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C:\Users\ethan\OneDrive\Documents\CSI\Data Regs\Data-Risk-Compliance\"/>
    </mc:Choice>
  </mc:AlternateContent>
  <xr:revisionPtr revIDLastSave="0" documentId="13_ncr:1_{92FFF168-BEF4-48B7-A4E9-F4B73EC6514D}" xr6:coauthVersionLast="47" xr6:coauthVersionMax="47" xr10:uidLastSave="{00000000-0000-0000-0000-000000000000}"/>
  <bookViews>
    <workbookView xWindow="0" yWindow="360" windowWidth="23256" windowHeight="12456" activeTab="4" xr2:uid="{00000000-000D-0000-FFFF-FFFF00000000}"/>
  </bookViews>
  <sheets>
    <sheet name="Home" sheetId="1" r:id="rId1"/>
    <sheet name="Query" sheetId="2" r:id="rId2"/>
    <sheet name="Data Transfer" sheetId="3" r:id="rId3"/>
    <sheet name="Compliance Database" sheetId="4" r:id="rId4"/>
    <sheet name="Acts" sheetId="5" r:id="rId5"/>
    <sheet name="Regulators" sheetId="6" r:id="rId6"/>
    <sheet name="Topics" sheetId="7" r:id="rId7"/>
    <sheet name="Lists" sheetId="8" state="hidden" r:id="rId8"/>
    <sheet name="Engine" sheetId="9" state="hidden" r:id="rId9"/>
    <sheet name="Transfer Engine" sheetId="10" state="hidden" r:id="rId10"/>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1199" i="10" l="1"/>
  <c r="C1199" i="10" s="1"/>
  <c r="A1198" i="10"/>
  <c r="C1198" i="10" s="1"/>
  <c r="A1197" i="10"/>
  <c r="C1197" i="10" s="1"/>
  <c r="A1196" i="10"/>
  <c r="C1196" i="10" s="1"/>
  <c r="A1195" i="10"/>
  <c r="C1195" i="10" s="1"/>
  <c r="A1194" i="10"/>
  <c r="B1194" i="10" s="1"/>
  <c r="C1193" i="10"/>
  <c r="A1193" i="10"/>
  <c r="B1193" i="10" s="1"/>
  <c r="C1192" i="10"/>
  <c r="A1192" i="10"/>
  <c r="B1192" i="10" s="1"/>
  <c r="C1191" i="10"/>
  <c r="A1191" i="10"/>
  <c r="B1191" i="10" s="1"/>
  <c r="C1190" i="10"/>
  <c r="A1190" i="10"/>
  <c r="B1190" i="10" s="1"/>
  <c r="C1189" i="10"/>
  <c r="A1189" i="10"/>
  <c r="B1189" i="10" s="1"/>
  <c r="B1188" i="10"/>
  <c r="A1188" i="10"/>
  <c r="C1188" i="10" s="1"/>
  <c r="C1187" i="10"/>
  <c r="B1187" i="10"/>
  <c r="A1187" i="10"/>
  <c r="B1186" i="10"/>
  <c r="A1186" i="10"/>
  <c r="C1186" i="10" s="1"/>
  <c r="B1185" i="10"/>
  <c r="A1185" i="10"/>
  <c r="C1185" i="10" s="1"/>
  <c r="C1184" i="10"/>
  <c r="B1184" i="10"/>
  <c r="A1184" i="10"/>
  <c r="A1183" i="10"/>
  <c r="A1182" i="10"/>
  <c r="B1182" i="10" s="1"/>
  <c r="A1181" i="10"/>
  <c r="A1180" i="10"/>
  <c r="B1180" i="10" s="1"/>
  <c r="B1179" i="10"/>
  <c r="A1179" i="10"/>
  <c r="C1179" i="10" s="1"/>
  <c r="A1178" i="10"/>
  <c r="B1178" i="10" s="1"/>
  <c r="C1177" i="10"/>
  <c r="B1177" i="10"/>
  <c r="A1177" i="10"/>
  <c r="C1176" i="10"/>
  <c r="A1176" i="10"/>
  <c r="B1176" i="10" s="1"/>
  <c r="C1175" i="10"/>
  <c r="B1175" i="10"/>
  <c r="A1175" i="10"/>
  <c r="C1174" i="10"/>
  <c r="B1174" i="10"/>
  <c r="A1174" i="10"/>
  <c r="C1173" i="10"/>
  <c r="A1173" i="10"/>
  <c r="B1173" i="10" s="1"/>
  <c r="B1172" i="10"/>
  <c r="A1172" i="10"/>
  <c r="C1172" i="10" s="1"/>
  <c r="C1171" i="10"/>
  <c r="B1171" i="10"/>
  <c r="A1171" i="10"/>
  <c r="A1170" i="10"/>
  <c r="A1169" i="10"/>
  <c r="C1169" i="10" s="1"/>
  <c r="C1168" i="10"/>
  <c r="B1168" i="10"/>
  <c r="A1168" i="10"/>
  <c r="A1167" i="10"/>
  <c r="A1166" i="10"/>
  <c r="C1166" i="10" s="1"/>
  <c r="A1165" i="10"/>
  <c r="A1164" i="10"/>
  <c r="B1164" i="10" s="1"/>
  <c r="C1163" i="10"/>
  <c r="B1163" i="10"/>
  <c r="A1163" i="10"/>
  <c r="A1162" i="10"/>
  <c r="B1162" i="10" s="1"/>
  <c r="A1161" i="10"/>
  <c r="C1160" i="10"/>
  <c r="A1160" i="10"/>
  <c r="B1160" i="10" s="1"/>
  <c r="C1159" i="10"/>
  <c r="B1159" i="10"/>
  <c r="A1159" i="10"/>
  <c r="B1158" i="10"/>
  <c r="A1158" i="10"/>
  <c r="C1158" i="10" s="1"/>
  <c r="C1157" i="10"/>
  <c r="A1157" i="10"/>
  <c r="B1157" i="10" s="1"/>
  <c r="B1156" i="10"/>
  <c r="A1156" i="10"/>
  <c r="C1156" i="10" s="1"/>
  <c r="C1155" i="10"/>
  <c r="B1155" i="10"/>
  <c r="A1155" i="10"/>
  <c r="A1154" i="10"/>
  <c r="B1153" i="10"/>
  <c r="A1153" i="10"/>
  <c r="C1153" i="10" s="1"/>
  <c r="C1152" i="10"/>
  <c r="B1152" i="10"/>
  <c r="A1152" i="10"/>
  <c r="A1151" i="10"/>
  <c r="A1150" i="10"/>
  <c r="C1150" i="10" s="1"/>
  <c r="A1149" i="10"/>
  <c r="A1148" i="10"/>
  <c r="A1147" i="10"/>
  <c r="C1147" i="10" s="1"/>
  <c r="A1146" i="10"/>
  <c r="B1146" i="10" s="1"/>
  <c r="C1145" i="10"/>
  <c r="B1145" i="10"/>
  <c r="A1145" i="10"/>
  <c r="C1144" i="10"/>
  <c r="A1144" i="10"/>
  <c r="B1144" i="10" s="1"/>
  <c r="C1143" i="10"/>
  <c r="B1143" i="10"/>
  <c r="A1143" i="10"/>
  <c r="C1142" i="10"/>
  <c r="B1142" i="10"/>
  <c r="A1142" i="10"/>
  <c r="C1141" i="10"/>
  <c r="A1141" i="10"/>
  <c r="B1141" i="10" s="1"/>
  <c r="A1140" i="10"/>
  <c r="C1140" i="10" s="1"/>
  <c r="C1139" i="10"/>
  <c r="B1139" i="10"/>
  <c r="A1139" i="10"/>
  <c r="A1138" i="10"/>
  <c r="C1138" i="10" s="1"/>
  <c r="A1137" i="10"/>
  <c r="C1136" i="10"/>
  <c r="B1136" i="10"/>
  <c r="A1136" i="10"/>
  <c r="A1135" i="10"/>
  <c r="A1134" i="10"/>
  <c r="A1133" i="10"/>
  <c r="A1132" i="10"/>
  <c r="B1132" i="10" s="1"/>
  <c r="C1131" i="10"/>
  <c r="B1131" i="10"/>
  <c r="A1131" i="10"/>
  <c r="C1130" i="10"/>
  <c r="A1130" i="10"/>
  <c r="B1130" i="10" s="1"/>
  <c r="C1129" i="10"/>
  <c r="A1129" i="10"/>
  <c r="B1129" i="10" s="1"/>
  <c r="C1128" i="10"/>
  <c r="A1128" i="10"/>
  <c r="B1128" i="10" s="1"/>
  <c r="C1127" i="10"/>
  <c r="B1127" i="10"/>
  <c r="A1127" i="10"/>
  <c r="C1126" i="10"/>
  <c r="B1126" i="10"/>
  <c r="A1126" i="10"/>
  <c r="C1125" i="10"/>
  <c r="B1125" i="10"/>
  <c r="A1125" i="10"/>
  <c r="A1124" i="10"/>
  <c r="C1124" i="10" s="1"/>
  <c r="C1123" i="10"/>
  <c r="B1123" i="10"/>
  <c r="A1123" i="10"/>
  <c r="A1122" i="10"/>
  <c r="A1121" i="10"/>
  <c r="C1120" i="10"/>
  <c r="B1120" i="10"/>
  <c r="A1120" i="10"/>
  <c r="A1119" i="10"/>
  <c r="C1118" i="10"/>
  <c r="B1118" i="10"/>
  <c r="A1118" i="10"/>
  <c r="A1117" i="10"/>
  <c r="A1116" i="10"/>
  <c r="A1115" i="10"/>
  <c r="C1115" i="10" s="1"/>
  <c r="C1114" i="10"/>
  <c r="A1114" i="10"/>
  <c r="B1114" i="10" s="1"/>
  <c r="C1113" i="10"/>
  <c r="B1113" i="10"/>
  <c r="A1113" i="10"/>
  <c r="C1112" i="10"/>
  <c r="A1112" i="10"/>
  <c r="B1112" i="10" s="1"/>
  <c r="C1111" i="10"/>
  <c r="B1111" i="10"/>
  <c r="A1111" i="10"/>
  <c r="A1110" i="10"/>
  <c r="C1109" i="10"/>
  <c r="B1109" i="10"/>
  <c r="A1109" i="10"/>
  <c r="B1108" i="10"/>
  <c r="A1108" i="10"/>
  <c r="C1108" i="10" s="1"/>
  <c r="C1107" i="10"/>
  <c r="B1107" i="10"/>
  <c r="A1107" i="10"/>
  <c r="B1106" i="10"/>
  <c r="A1106" i="10"/>
  <c r="C1106" i="10" s="1"/>
  <c r="B1105" i="10"/>
  <c r="A1105" i="10"/>
  <c r="C1105" i="10" s="1"/>
  <c r="C1104" i="10"/>
  <c r="B1104" i="10"/>
  <c r="A1104" i="10"/>
  <c r="A1103" i="10"/>
  <c r="A1102" i="10"/>
  <c r="C1102" i="10" s="1"/>
  <c r="A1101" i="10"/>
  <c r="A1100" i="10"/>
  <c r="A1099" i="10"/>
  <c r="C1098" i="10"/>
  <c r="A1098" i="10"/>
  <c r="B1098" i="10" s="1"/>
  <c r="C1097" i="10"/>
  <c r="B1097" i="10"/>
  <c r="A1097" i="10"/>
  <c r="C1096" i="10"/>
  <c r="A1096" i="10"/>
  <c r="B1096" i="10" s="1"/>
  <c r="C1095" i="10"/>
  <c r="B1095" i="10"/>
  <c r="A1095" i="10"/>
  <c r="C1094" i="10"/>
  <c r="A1094" i="10"/>
  <c r="B1094" i="10" s="1"/>
  <c r="C1093" i="10"/>
  <c r="B1093" i="10"/>
  <c r="A1093" i="10"/>
  <c r="A1092" i="10"/>
  <c r="C1091" i="10"/>
  <c r="B1091" i="10"/>
  <c r="A1091" i="10"/>
  <c r="A1090" i="10"/>
  <c r="A1089" i="10"/>
  <c r="C1089" i="10" s="1"/>
  <c r="C1088" i="10"/>
  <c r="B1088" i="10"/>
  <c r="A1088" i="10"/>
  <c r="A1087" i="10"/>
  <c r="C1086" i="10"/>
  <c r="B1086" i="10"/>
  <c r="A1086" i="10"/>
  <c r="A1085" i="10"/>
  <c r="C1084" i="10"/>
  <c r="A1084" i="10"/>
  <c r="B1084" i="10" s="1"/>
  <c r="C1083" i="10"/>
  <c r="A1083" i="10"/>
  <c r="B1083" i="10" s="1"/>
  <c r="C1082" i="10"/>
  <c r="A1082" i="10"/>
  <c r="B1082" i="10" s="1"/>
  <c r="A1081" i="10"/>
  <c r="C1080" i="10"/>
  <c r="A1080" i="10"/>
  <c r="B1080" i="10" s="1"/>
  <c r="C1079" i="10"/>
  <c r="B1079" i="10"/>
  <c r="A1079" i="10"/>
  <c r="C1078" i="10"/>
  <c r="B1078" i="10"/>
  <c r="A1078" i="10"/>
  <c r="C1077" i="10"/>
  <c r="B1077" i="10"/>
  <c r="A1077" i="10"/>
  <c r="B1076" i="10"/>
  <c r="A1076" i="10"/>
  <c r="C1076" i="10" s="1"/>
  <c r="C1075" i="10"/>
  <c r="B1075" i="10"/>
  <c r="A1075" i="10"/>
  <c r="A1074" i="10"/>
  <c r="A1073" i="10"/>
  <c r="C1073" i="10" s="1"/>
  <c r="C1072" i="10"/>
  <c r="B1072" i="10"/>
  <c r="A1072" i="10"/>
  <c r="A1071" i="10"/>
  <c r="A1070" i="10"/>
  <c r="C1070" i="10" s="1"/>
  <c r="A1069" i="10"/>
  <c r="A1068" i="10"/>
  <c r="B1068" i="10" s="1"/>
  <c r="C1067" i="10"/>
  <c r="B1067" i="10"/>
  <c r="A1067" i="10"/>
  <c r="C1066" i="10"/>
  <c r="A1066" i="10"/>
  <c r="B1066" i="10" s="1"/>
  <c r="A1065" i="10"/>
  <c r="C1065" i="10" s="1"/>
  <c r="C1064" i="10"/>
  <c r="A1064" i="10"/>
  <c r="B1064" i="10" s="1"/>
  <c r="C1063" i="10"/>
  <c r="B1063" i="10"/>
  <c r="A1063" i="10"/>
  <c r="C1062" i="10"/>
  <c r="A1062" i="10"/>
  <c r="B1062" i="10" s="1"/>
  <c r="C1061" i="10"/>
  <c r="B1061" i="10"/>
  <c r="A1061" i="10"/>
  <c r="A1060" i="10"/>
  <c r="C1060" i="10" s="1"/>
  <c r="C1059" i="10"/>
  <c r="B1059" i="10"/>
  <c r="A1059" i="10"/>
  <c r="B1058" i="10"/>
  <c r="A1058" i="10"/>
  <c r="C1058" i="10" s="1"/>
  <c r="B1057" i="10"/>
  <c r="A1057" i="10"/>
  <c r="C1057" i="10" s="1"/>
  <c r="C1056" i="10"/>
  <c r="B1056" i="10"/>
  <c r="A1056" i="10"/>
  <c r="A1055" i="10"/>
  <c r="C1054" i="10"/>
  <c r="B1054" i="10"/>
  <c r="A1054" i="10"/>
  <c r="A1053" i="10"/>
  <c r="C1052" i="10"/>
  <c r="A1052" i="10"/>
  <c r="B1052" i="10" s="1"/>
  <c r="A1051" i="10"/>
  <c r="C1051" i="10" s="1"/>
  <c r="A1050" i="10"/>
  <c r="B1050" i="10" s="1"/>
  <c r="A1049" i="10"/>
  <c r="C1049" i="10" s="1"/>
  <c r="C1048" i="10"/>
  <c r="A1048" i="10"/>
  <c r="B1048" i="10" s="1"/>
  <c r="C1047" i="10"/>
  <c r="B1047" i="10"/>
  <c r="A1047" i="10"/>
  <c r="A1046" i="10"/>
  <c r="C1045" i="10"/>
  <c r="B1045" i="10"/>
  <c r="A1045" i="10"/>
  <c r="B1044" i="10"/>
  <c r="A1044" i="10"/>
  <c r="C1044" i="10" s="1"/>
  <c r="C1043" i="10"/>
  <c r="B1043" i="10"/>
  <c r="A1043" i="10"/>
  <c r="B1042" i="10"/>
  <c r="A1042" i="10"/>
  <c r="C1042" i="10" s="1"/>
  <c r="A1041" i="10"/>
  <c r="C1041" i="10" s="1"/>
  <c r="C1040" i="10"/>
  <c r="B1040" i="10"/>
  <c r="A1040" i="10"/>
  <c r="A1039" i="10"/>
  <c r="A1038" i="10"/>
  <c r="C1038" i="10" s="1"/>
  <c r="A1037" i="10"/>
  <c r="C1036" i="10"/>
  <c r="A1036" i="10"/>
  <c r="B1036" i="10" s="1"/>
  <c r="A1035" i="10"/>
  <c r="A1034" i="10"/>
  <c r="B1034" i="10" s="1"/>
  <c r="A1033" i="10"/>
  <c r="C1032" i="10"/>
  <c r="A1032" i="10"/>
  <c r="B1032" i="10" s="1"/>
  <c r="C1031" i="10"/>
  <c r="B1031" i="10"/>
  <c r="A1031" i="10"/>
  <c r="C1030" i="10"/>
  <c r="B1030" i="10"/>
  <c r="A1030" i="10"/>
  <c r="C1029" i="10"/>
  <c r="B1029" i="10"/>
  <c r="A1029" i="10"/>
  <c r="B1028" i="10"/>
  <c r="A1028" i="10"/>
  <c r="C1028" i="10" s="1"/>
  <c r="C1027" i="10"/>
  <c r="B1027" i="10"/>
  <c r="A1027" i="10"/>
  <c r="A1026" i="10"/>
  <c r="A1025" i="10"/>
  <c r="C1025" i="10" s="1"/>
  <c r="C1024" i="10"/>
  <c r="B1024" i="10"/>
  <c r="A1024" i="10"/>
  <c r="A1023" i="10"/>
  <c r="A1022" i="10"/>
  <c r="C1022" i="10" s="1"/>
  <c r="A1021" i="10"/>
  <c r="A1020" i="10"/>
  <c r="B1020" i="10" s="1"/>
  <c r="C1019" i="10"/>
  <c r="B1019" i="10"/>
  <c r="A1019" i="10"/>
  <c r="A1018" i="10"/>
  <c r="B1018" i="10" s="1"/>
  <c r="A1017" i="10"/>
  <c r="C1017" i="10" s="1"/>
  <c r="C1016" i="10"/>
  <c r="A1016" i="10"/>
  <c r="B1016" i="10" s="1"/>
  <c r="C1015" i="10"/>
  <c r="B1015" i="10"/>
  <c r="A1015" i="10"/>
  <c r="B1014" i="10"/>
  <c r="A1014" i="10"/>
  <c r="C1014" i="10" s="1"/>
  <c r="C1013" i="10"/>
  <c r="B1013" i="10"/>
  <c r="A1013" i="10"/>
  <c r="A1012" i="10"/>
  <c r="C1011" i="10"/>
  <c r="B1011" i="10"/>
  <c r="A1011" i="10"/>
  <c r="A1010" i="10"/>
  <c r="C1010" i="10" s="1"/>
  <c r="B1009" i="10"/>
  <c r="A1009" i="10"/>
  <c r="C1009" i="10" s="1"/>
  <c r="C1008" i="10"/>
  <c r="B1008" i="10"/>
  <c r="A1008" i="10"/>
  <c r="A1007" i="10"/>
  <c r="A1006" i="10"/>
  <c r="A1005" i="10"/>
  <c r="A1004" i="10"/>
  <c r="B1004" i="10" s="1"/>
  <c r="A1003" i="10"/>
  <c r="A1002" i="10"/>
  <c r="B1002" i="10" s="1"/>
  <c r="C1001" i="10"/>
  <c r="B1001" i="10"/>
  <c r="A1001" i="10"/>
  <c r="C1000" i="10"/>
  <c r="A1000" i="10"/>
  <c r="B1000" i="10" s="1"/>
  <c r="C999" i="10"/>
  <c r="B999" i="10"/>
  <c r="A999" i="10"/>
  <c r="A998" i="10"/>
  <c r="B998" i="10" s="1"/>
  <c r="C997" i="10"/>
  <c r="B997" i="10"/>
  <c r="A997" i="10"/>
  <c r="A996" i="10"/>
  <c r="C995" i="10"/>
  <c r="B995" i="10"/>
  <c r="A995" i="10"/>
  <c r="A994" i="10"/>
  <c r="A993" i="10"/>
  <c r="C993" i="10" s="1"/>
  <c r="C992" i="10"/>
  <c r="B992" i="10"/>
  <c r="A992" i="10"/>
  <c r="A991" i="10"/>
  <c r="C990" i="10"/>
  <c r="A990" i="10"/>
  <c r="B990" i="10" s="1"/>
  <c r="A989" i="10"/>
  <c r="C988" i="10"/>
  <c r="A988" i="10"/>
  <c r="B988" i="10" s="1"/>
  <c r="C987" i="10"/>
  <c r="A987" i="10"/>
  <c r="B987" i="10" s="1"/>
  <c r="A986" i="10"/>
  <c r="B986" i="10" s="1"/>
  <c r="B985" i="10"/>
  <c r="A985" i="10"/>
  <c r="C985" i="10" s="1"/>
  <c r="C984" i="10"/>
  <c r="A984" i="10"/>
  <c r="B984" i="10" s="1"/>
  <c r="C983" i="10"/>
  <c r="B983" i="10"/>
  <c r="A983" i="10"/>
  <c r="C982" i="10"/>
  <c r="A982" i="10"/>
  <c r="B982" i="10" s="1"/>
  <c r="C981" i="10"/>
  <c r="B981" i="10"/>
  <c r="A981" i="10"/>
  <c r="A980" i="10"/>
  <c r="C979" i="10"/>
  <c r="B979" i="10"/>
  <c r="A979" i="10"/>
  <c r="B978" i="10"/>
  <c r="A978" i="10"/>
  <c r="C978" i="10" s="1"/>
  <c r="A977" i="10"/>
  <c r="C977" i="10" s="1"/>
  <c r="C976" i="10"/>
  <c r="B976" i="10"/>
  <c r="A976" i="10"/>
  <c r="A975" i="10"/>
  <c r="C974" i="10"/>
  <c r="B974" i="10"/>
  <c r="A974" i="10"/>
  <c r="A973" i="10"/>
  <c r="C972" i="10"/>
  <c r="A972" i="10"/>
  <c r="B972" i="10" s="1"/>
  <c r="A971" i="10"/>
  <c r="A970" i="10"/>
  <c r="B970" i="10" s="1"/>
  <c r="C969" i="10"/>
  <c r="B969" i="10"/>
  <c r="A969" i="10"/>
  <c r="C968" i="10"/>
  <c r="A968" i="10"/>
  <c r="B968" i="10" s="1"/>
  <c r="C967" i="10"/>
  <c r="B967" i="10"/>
  <c r="A967" i="10"/>
  <c r="A966" i="10"/>
  <c r="C965" i="10"/>
  <c r="B965" i="10"/>
  <c r="A965" i="10"/>
  <c r="B964" i="10"/>
  <c r="A964" i="10"/>
  <c r="C964" i="10" s="1"/>
  <c r="C963" i="10"/>
  <c r="B963" i="10"/>
  <c r="A963" i="10"/>
  <c r="B962" i="10"/>
  <c r="A962" i="10"/>
  <c r="C962" i="10" s="1"/>
  <c r="B961" i="10"/>
  <c r="A961" i="10"/>
  <c r="C961" i="10" s="1"/>
  <c r="C960" i="10"/>
  <c r="B960" i="10"/>
  <c r="A960" i="10"/>
  <c r="A959" i="10"/>
  <c r="A958" i="10"/>
  <c r="C958" i="10" s="1"/>
  <c r="A957" i="10"/>
  <c r="A956" i="10"/>
  <c r="C955" i="10"/>
  <c r="B955" i="10"/>
  <c r="A955" i="10"/>
  <c r="A954" i="10"/>
  <c r="B954" i="10" s="1"/>
  <c r="C953" i="10"/>
  <c r="B953" i="10"/>
  <c r="A953" i="10"/>
  <c r="C952" i="10"/>
  <c r="A952" i="10"/>
  <c r="B952" i="10" s="1"/>
  <c r="C951" i="10"/>
  <c r="B951" i="10"/>
  <c r="A951" i="10"/>
  <c r="C950" i="10"/>
  <c r="B950" i="10"/>
  <c r="A950" i="10"/>
  <c r="C949" i="10"/>
  <c r="B949" i="10"/>
  <c r="A949" i="10"/>
  <c r="A948" i="10"/>
  <c r="C948" i="10" s="1"/>
  <c r="C947" i="10"/>
  <c r="B947" i="10"/>
  <c r="A947" i="10"/>
  <c r="A946" i="10"/>
  <c r="C946" i="10" s="1"/>
  <c r="B945" i="10"/>
  <c r="A945" i="10"/>
  <c r="C945" i="10" s="1"/>
  <c r="C944" i="10"/>
  <c r="B944" i="10"/>
  <c r="A944" i="10"/>
  <c r="A943" i="10"/>
  <c r="A942" i="10"/>
  <c r="A941" i="10"/>
  <c r="A940" i="10"/>
  <c r="C939" i="10"/>
  <c r="B939" i="10"/>
  <c r="A939" i="10"/>
  <c r="A938" i="10"/>
  <c r="B938" i="10" s="1"/>
  <c r="C937" i="10"/>
  <c r="A937" i="10"/>
  <c r="B937" i="10" s="1"/>
  <c r="C936" i="10"/>
  <c r="A936" i="10"/>
  <c r="B936" i="10" s="1"/>
  <c r="C935" i="10"/>
  <c r="B935" i="10"/>
  <c r="A935" i="10"/>
  <c r="A934" i="10"/>
  <c r="C933" i="10"/>
  <c r="B933" i="10"/>
  <c r="A933" i="10"/>
  <c r="A932" i="10"/>
  <c r="C932" i="10" s="1"/>
  <c r="C931" i="10"/>
  <c r="B931" i="10"/>
  <c r="A931" i="10"/>
  <c r="A930" i="10"/>
  <c r="A929" i="10"/>
  <c r="C928" i="10"/>
  <c r="B928" i="10"/>
  <c r="A928" i="10"/>
  <c r="A927" i="10"/>
  <c r="C926" i="10"/>
  <c r="B926" i="10"/>
  <c r="A926" i="10"/>
  <c r="A925" i="10"/>
  <c r="A924" i="10"/>
  <c r="A923" i="10"/>
  <c r="C923" i="10" s="1"/>
  <c r="A922" i="10"/>
  <c r="B922" i="10" s="1"/>
  <c r="B921" i="10"/>
  <c r="A921" i="10"/>
  <c r="C921" i="10" s="1"/>
  <c r="C920" i="10"/>
  <c r="A920" i="10"/>
  <c r="B920" i="10" s="1"/>
  <c r="C919" i="10"/>
  <c r="B919" i="10"/>
  <c r="A919" i="10"/>
  <c r="A918" i="10"/>
  <c r="C918" i="10" s="1"/>
  <c r="C917" i="10"/>
  <c r="B917" i="10"/>
  <c r="A917" i="10"/>
  <c r="A916" i="10"/>
  <c r="C915" i="10"/>
  <c r="B915" i="10"/>
  <c r="A915" i="10"/>
  <c r="B914" i="10"/>
  <c r="A914" i="10"/>
  <c r="C914" i="10" s="1"/>
  <c r="A913" i="10"/>
  <c r="C913" i="10" s="1"/>
  <c r="C912" i="10"/>
  <c r="B912" i="10"/>
  <c r="A912" i="10"/>
  <c r="A911" i="10"/>
  <c r="C910" i="10"/>
  <c r="A910" i="10"/>
  <c r="B910" i="10" s="1"/>
  <c r="A909" i="10"/>
  <c r="C908" i="10"/>
  <c r="A908" i="10"/>
  <c r="B908" i="10" s="1"/>
  <c r="C907" i="10"/>
  <c r="B907" i="10"/>
  <c r="A907" i="10"/>
  <c r="A906" i="10"/>
  <c r="B906" i="10" s="1"/>
  <c r="C905" i="10"/>
  <c r="B905" i="10"/>
  <c r="A905" i="10"/>
  <c r="C904" i="10"/>
  <c r="A904" i="10"/>
  <c r="B904" i="10" s="1"/>
  <c r="C903" i="10"/>
  <c r="B903" i="10"/>
  <c r="A903" i="10"/>
  <c r="A902" i="10"/>
  <c r="C901" i="10"/>
  <c r="B901" i="10"/>
  <c r="A901" i="10"/>
  <c r="A900" i="10"/>
  <c r="C899" i="10"/>
  <c r="B899" i="10"/>
  <c r="A899" i="10"/>
  <c r="B898" i="10"/>
  <c r="A898" i="10"/>
  <c r="C898" i="10" s="1"/>
  <c r="A897" i="10"/>
  <c r="C896" i="10"/>
  <c r="B896" i="10"/>
  <c r="A896" i="10"/>
  <c r="A895" i="10"/>
  <c r="A894" i="10"/>
  <c r="C894" i="10" s="1"/>
  <c r="A893" i="10"/>
  <c r="A892" i="10"/>
  <c r="B892" i="10" s="1"/>
  <c r="C891" i="10"/>
  <c r="B891" i="10"/>
  <c r="A891" i="10"/>
  <c r="A890" i="10"/>
  <c r="B890" i="10" s="1"/>
  <c r="B889" i="10"/>
  <c r="A889" i="10"/>
  <c r="C889" i="10" s="1"/>
  <c r="C888" i="10"/>
  <c r="A888" i="10"/>
  <c r="B888" i="10" s="1"/>
  <c r="C887" i="10"/>
  <c r="B887" i="10"/>
  <c r="A887" i="10"/>
  <c r="A886" i="10"/>
  <c r="C885" i="10"/>
  <c r="B885" i="10"/>
  <c r="A885" i="10"/>
  <c r="B884" i="10"/>
  <c r="A884" i="10"/>
  <c r="C884" i="10" s="1"/>
  <c r="C883" i="10"/>
  <c r="B883" i="10"/>
  <c r="A883" i="10"/>
  <c r="A882" i="10"/>
  <c r="C882" i="10" s="1"/>
  <c r="B881" i="10"/>
  <c r="A881" i="10"/>
  <c r="C881" i="10" s="1"/>
  <c r="C880" i="10"/>
  <c r="B880" i="10"/>
  <c r="A880" i="10"/>
  <c r="A879" i="10"/>
  <c r="C878" i="10"/>
  <c r="B878" i="10"/>
  <c r="A878" i="10"/>
  <c r="A877" i="10"/>
  <c r="A876" i="10"/>
  <c r="B876" i="10" s="1"/>
  <c r="C875" i="10"/>
  <c r="A875" i="10"/>
  <c r="B875" i="10" s="1"/>
  <c r="A874" i="10"/>
  <c r="B874" i="10" s="1"/>
  <c r="A873" i="10"/>
  <c r="B873" i="10" s="1"/>
  <c r="C872" i="10"/>
  <c r="A872" i="10"/>
  <c r="B872" i="10" s="1"/>
  <c r="C871" i="10"/>
  <c r="B871" i="10"/>
  <c r="A871" i="10"/>
  <c r="C870" i="10"/>
  <c r="B870" i="10"/>
  <c r="A870" i="10"/>
  <c r="C869" i="10"/>
  <c r="B869" i="10"/>
  <c r="A869" i="10"/>
  <c r="A868" i="10"/>
  <c r="C868" i="10" s="1"/>
  <c r="C867" i="10"/>
  <c r="B867" i="10"/>
  <c r="A867" i="10"/>
  <c r="A866" i="10"/>
  <c r="B865" i="10"/>
  <c r="A865" i="10"/>
  <c r="C865" i="10" s="1"/>
  <c r="C864" i="10"/>
  <c r="B864" i="10"/>
  <c r="A864" i="10"/>
  <c r="A863" i="10"/>
  <c r="B862" i="10"/>
  <c r="A862" i="10"/>
  <c r="C862" i="10" s="1"/>
  <c r="A861" i="10"/>
  <c r="A860" i="10"/>
  <c r="B859" i="10"/>
  <c r="A859" i="10"/>
  <c r="C859" i="10" s="1"/>
  <c r="A858" i="10"/>
  <c r="B858" i="10" s="1"/>
  <c r="A857" i="10"/>
  <c r="C856" i="10"/>
  <c r="A856" i="10"/>
  <c r="B856" i="10" s="1"/>
  <c r="C855" i="10"/>
  <c r="B855" i="10"/>
  <c r="A855" i="10"/>
  <c r="A854" i="10"/>
  <c r="C854" i="10" s="1"/>
  <c r="C853" i="10"/>
  <c r="B853" i="10"/>
  <c r="A853" i="10"/>
  <c r="B852" i="10"/>
  <c r="A852" i="10"/>
  <c r="C852" i="10" s="1"/>
  <c r="C851" i="10"/>
  <c r="B851" i="10"/>
  <c r="A851" i="10"/>
  <c r="B850" i="10"/>
  <c r="A850" i="10"/>
  <c r="C850" i="10" s="1"/>
  <c r="A849" i="10"/>
  <c r="C849" i="10" s="1"/>
  <c r="C848" i="10"/>
  <c r="B848" i="10"/>
  <c r="A848" i="10"/>
  <c r="A847" i="10"/>
  <c r="A846" i="10"/>
  <c r="B846" i="10" s="1"/>
  <c r="A845" i="10"/>
  <c r="A844" i="10"/>
  <c r="C843" i="10"/>
  <c r="B843" i="10"/>
  <c r="A843" i="10"/>
  <c r="A842" i="10"/>
  <c r="B842" i="10" s="1"/>
  <c r="A841" i="10"/>
  <c r="C840" i="10"/>
  <c r="A840" i="10"/>
  <c r="B840" i="10" s="1"/>
  <c r="C839" i="10"/>
  <c r="B839" i="10"/>
  <c r="A839" i="10"/>
  <c r="A838" i="10"/>
  <c r="C838" i="10" s="1"/>
  <c r="C837" i="10"/>
  <c r="B837" i="10"/>
  <c r="A837" i="10"/>
  <c r="B836" i="10"/>
  <c r="A836" i="10"/>
  <c r="C836" i="10" s="1"/>
  <c r="C835" i="10"/>
  <c r="B835" i="10"/>
  <c r="A835" i="10"/>
  <c r="A834" i="10"/>
  <c r="C834" i="10" s="1"/>
  <c r="A833" i="10"/>
  <c r="C832" i="10"/>
  <c r="B832" i="10"/>
  <c r="A832" i="10"/>
  <c r="A831" i="10"/>
  <c r="B830" i="10"/>
  <c r="A830" i="10"/>
  <c r="C830" i="10" s="1"/>
  <c r="A829" i="10"/>
  <c r="C828" i="10"/>
  <c r="A828" i="10"/>
  <c r="B828" i="10" s="1"/>
  <c r="B827" i="10"/>
  <c r="A827" i="10"/>
  <c r="C827" i="10" s="1"/>
  <c r="A826" i="10"/>
  <c r="B826" i="10" s="1"/>
  <c r="C825" i="10"/>
  <c r="B825" i="10"/>
  <c r="A825" i="10"/>
  <c r="C824" i="10"/>
  <c r="A824" i="10"/>
  <c r="B824" i="10" s="1"/>
  <c r="C823" i="10"/>
  <c r="B823" i="10"/>
  <c r="A823" i="10"/>
  <c r="C822" i="10"/>
  <c r="B822" i="10"/>
  <c r="A822" i="10"/>
  <c r="C821" i="10"/>
  <c r="B821" i="10"/>
  <c r="A821" i="10"/>
  <c r="A820" i="10"/>
  <c r="C820" i="10" s="1"/>
  <c r="C819" i="10"/>
  <c r="B819" i="10"/>
  <c r="A819" i="10"/>
  <c r="B818" i="10"/>
  <c r="A818" i="10"/>
  <c r="C818" i="10" s="1"/>
  <c r="B817" i="10"/>
  <c r="A817" i="10"/>
  <c r="C817" i="10" s="1"/>
  <c r="C816" i="10"/>
  <c r="B816" i="10"/>
  <c r="A816" i="10"/>
  <c r="A815" i="10"/>
  <c r="A814" i="10"/>
  <c r="A813" i="10"/>
  <c r="A812" i="10"/>
  <c r="B812" i="10" s="1"/>
  <c r="C811" i="10"/>
  <c r="A811" i="10"/>
  <c r="B811" i="10" s="1"/>
  <c r="A810" i="10"/>
  <c r="B810" i="10" s="1"/>
  <c r="B809" i="10"/>
  <c r="A809" i="10"/>
  <c r="C809" i="10" s="1"/>
  <c r="C808" i="10"/>
  <c r="A808" i="10"/>
  <c r="B808" i="10" s="1"/>
  <c r="C807" i="10"/>
  <c r="B807" i="10"/>
  <c r="A807" i="10"/>
  <c r="C806" i="10"/>
  <c r="A806" i="10"/>
  <c r="B806" i="10" s="1"/>
  <c r="C805" i="10"/>
  <c r="B805" i="10"/>
  <c r="A805" i="10"/>
  <c r="B804" i="10"/>
  <c r="A804" i="10"/>
  <c r="C804" i="10" s="1"/>
  <c r="C803" i="10"/>
  <c r="B803" i="10"/>
  <c r="A803" i="10"/>
  <c r="C802" i="10"/>
  <c r="B802" i="10"/>
  <c r="A802" i="10"/>
  <c r="A801" i="10"/>
  <c r="C801" i="10" s="1"/>
  <c r="C800" i="10"/>
  <c r="B800" i="10"/>
  <c r="A800" i="10"/>
  <c r="A799" i="10"/>
  <c r="A798" i="10"/>
  <c r="B798" i="10" s="1"/>
  <c r="B797" i="10"/>
  <c r="A797" i="10"/>
  <c r="C797" i="10" s="1"/>
  <c r="A796" i="10"/>
  <c r="B796" i="10" s="1"/>
  <c r="C795" i="10"/>
  <c r="B795" i="10"/>
  <c r="A795" i="10"/>
  <c r="C794" i="10"/>
  <c r="A794" i="10"/>
  <c r="B794" i="10" s="1"/>
  <c r="C793" i="10"/>
  <c r="A793" i="10"/>
  <c r="B793" i="10" s="1"/>
  <c r="A792" i="10"/>
  <c r="C791" i="10"/>
  <c r="B791" i="10"/>
  <c r="A791" i="10"/>
  <c r="C790" i="10"/>
  <c r="B790" i="10"/>
  <c r="A790" i="10"/>
  <c r="C789" i="10"/>
  <c r="B789" i="10"/>
  <c r="A789" i="10"/>
  <c r="A788" i="10"/>
  <c r="C788" i="10" s="1"/>
  <c r="C787" i="10"/>
  <c r="B787" i="10"/>
  <c r="A787" i="10"/>
  <c r="C786" i="10"/>
  <c r="B786" i="10"/>
  <c r="A786" i="10"/>
  <c r="A785" i="10"/>
  <c r="C785" i="10" s="1"/>
  <c r="C784" i="10"/>
  <c r="B784" i="10"/>
  <c r="A784" i="10"/>
  <c r="A783" i="10"/>
  <c r="C782" i="10"/>
  <c r="B782" i="10"/>
  <c r="A782" i="10"/>
  <c r="A781" i="10"/>
  <c r="A780" i="10"/>
  <c r="B780" i="10" s="1"/>
  <c r="C779" i="10"/>
  <c r="B779" i="10"/>
  <c r="A779" i="10"/>
  <c r="C778" i="10"/>
  <c r="A778" i="10"/>
  <c r="B778" i="10" s="1"/>
  <c r="A777" i="10"/>
  <c r="C777" i="10" s="1"/>
  <c r="A776" i="10"/>
  <c r="B776" i="10" s="1"/>
  <c r="C775" i="10"/>
  <c r="B775" i="10"/>
  <c r="A775" i="10"/>
  <c r="C774" i="10"/>
  <c r="A774" i="10"/>
  <c r="B774" i="10" s="1"/>
  <c r="C773" i="10"/>
  <c r="B773" i="10"/>
  <c r="A773" i="10"/>
  <c r="A772" i="10"/>
  <c r="C771" i="10"/>
  <c r="B771" i="10"/>
  <c r="A771" i="10"/>
  <c r="C770" i="10"/>
  <c r="B770" i="10"/>
  <c r="A770" i="10"/>
  <c r="A769" i="10"/>
  <c r="C768" i="10"/>
  <c r="B768" i="10"/>
  <c r="A768" i="10"/>
  <c r="A767" i="10"/>
  <c r="B766" i="10"/>
  <c r="A766" i="10"/>
  <c r="C766" i="10" s="1"/>
  <c r="B765" i="10"/>
  <c r="A765" i="10"/>
  <c r="C765" i="10" s="1"/>
  <c r="C764" i="10"/>
  <c r="B764" i="10"/>
  <c r="A764" i="10"/>
  <c r="A763" i="10"/>
  <c r="C763" i="10" s="1"/>
  <c r="C762" i="10"/>
  <c r="A762" i="10"/>
  <c r="B762" i="10" s="1"/>
  <c r="A761" i="10"/>
  <c r="A760" i="10"/>
  <c r="A759" i="10"/>
  <c r="C759" i="10" s="1"/>
  <c r="C758" i="10"/>
  <c r="A758" i="10"/>
  <c r="B758" i="10" s="1"/>
  <c r="C757" i="10"/>
  <c r="B757" i="10"/>
  <c r="A757" i="10"/>
  <c r="B756" i="10"/>
  <c r="A756" i="10"/>
  <c r="C756" i="10" s="1"/>
  <c r="C755" i="10"/>
  <c r="B755" i="10"/>
  <c r="A755" i="10"/>
  <c r="B754" i="10"/>
  <c r="A754" i="10"/>
  <c r="C754" i="10" s="1"/>
  <c r="A753" i="10"/>
  <c r="C753" i="10" s="1"/>
  <c r="C752" i="10"/>
  <c r="B752" i="10"/>
  <c r="A752" i="10"/>
  <c r="A751" i="10"/>
  <c r="B750" i="10"/>
  <c r="A750" i="10"/>
  <c r="C750" i="10" s="1"/>
  <c r="A749" i="10"/>
  <c r="C749" i="10" s="1"/>
  <c r="A748" i="10"/>
  <c r="B748" i="10" s="1"/>
  <c r="C747" i="10"/>
  <c r="B747" i="10"/>
  <c r="A747" i="10"/>
  <c r="C746" i="10"/>
  <c r="A746" i="10"/>
  <c r="B746" i="10" s="1"/>
  <c r="C745" i="10"/>
  <c r="B745" i="10"/>
  <c r="A745" i="10"/>
  <c r="A744" i="10"/>
  <c r="A743" i="10"/>
  <c r="C743" i="10" s="1"/>
  <c r="C742" i="10"/>
  <c r="A742" i="10"/>
  <c r="B742" i="10" s="1"/>
  <c r="C741" i="10"/>
  <c r="B741" i="10"/>
  <c r="A741" i="10"/>
  <c r="B740" i="10"/>
  <c r="A740" i="10"/>
  <c r="C740" i="10" s="1"/>
  <c r="C739" i="10"/>
  <c r="B739" i="10"/>
  <c r="A739" i="10"/>
  <c r="B738" i="10"/>
  <c r="A738" i="10"/>
  <c r="C738" i="10" s="1"/>
  <c r="A737" i="10"/>
  <c r="C736" i="10"/>
  <c r="B736" i="10"/>
  <c r="A736" i="10"/>
  <c r="A735" i="10"/>
  <c r="A734" i="10"/>
  <c r="B733" i="10"/>
  <c r="A733" i="10"/>
  <c r="C733" i="10" s="1"/>
  <c r="A732" i="10"/>
  <c r="A731" i="10"/>
  <c r="C731" i="10" s="1"/>
  <c r="C730" i="10"/>
  <c r="A730" i="10"/>
  <c r="B730" i="10" s="1"/>
  <c r="A729" i="10"/>
  <c r="C729" i="10" s="1"/>
  <c r="A728" i="10"/>
  <c r="B728" i="10" s="1"/>
  <c r="C727" i="10"/>
  <c r="B727" i="10"/>
  <c r="A727" i="10"/>
  <c r="A726" i="10"/>
  <c r="C725" i="10"/>
  <c r="B725" i="10"/>
  <c r="A725" i="10"/>
  <c r="B724" i="10"/>
  <c r="A724" i="10"/>
  <c r="C724" i="10" s="1"/>
  <c r="C723" i="10"/>
  <c r="B723" i="10"/>
  <c r="A723" i="10"/>
  <c r="A722" i="10"/>
  <c r="C721" i="10"/>
  <c r="B721" i="10"/>
  <c r="A721" i="10"/>
  <c r="C720" i="10"/>
  <c r="B720" i="10"/>
  <c r="A720" i="10"/>
  <c r="A719" i="10"/>
  <c r="C718" i="10"/>
  <c r="B718" i="10"/>
  <c r="A718" i="10"/>
  <c r="B717" i="10"/>
  <c r="A717" i="10"/>
  <c r="C717" i="10" s="1"/>
  <c r="A716" i="10"/>
  <c r="C716" i="10" s="1"/>
  <c r="C715" i="10"/>
  <c r="B715" i="10"/>
  <c r="A715" i="10"/>
  <c r="C714" i="10"/>
  <c r="A714" i="10"/>
  <c r="B714" i="10" s="1"/>
  <c r="C713" i="10"/>
  <c r="A713" i="10"/>
  <c r="B713" i="10" s="1"/>
  <c r="A712" i="10"/>
  <c r="A711" i="10"/>
  <c r="C710" i="10"/>
  <c r="B710" i="10"/>
  <c r="A710" i="10"/>
  <c r="C709" i="10"/>
  <c r="B709" i="10"/>
  <c r="A709" i="10"/>
  <c r="A708" i="10"/>
  <c r="C708" i="10" s="1"/>
  <c r="C707" i="10"/>
  <c r="B707" i="10"/>
  <c r="A707" i="10"/>
  <c r="C706" i="10"/>
  <c r="B706" i="10"/>
  <c r="A706" i="10"/>
  <c r="B705" i="10"/>
  <c r="A705" i="10"/>
  <c r="C705" i="10" s="1"/>
  <c r="C704" i="10"/>
  <c r="B704" i="10"/>
  <c r="A704" i="10"/>
  <c r="A703" i="10"/>
  <c r="A702" i="10"/>
  <c r="C702" i="10" s="1"/>
  <c r="B701" i="10"/>
  <c r="A701" i="10"/>
  <c r="C701" i="10" s="1"/>
  <c r="A700" i="10"/>
  <c r="B699" i="10"/>
  <c r="A699" i="10"/>
  <c r="C699" i="10" s="1"/>
  <c r="C698" i="10"/>
  <c r="A698" i="10"/>
  <c r="B698" i="10" s="1"/>
  <c r="A697" i="10"/>
  <c r="C696" i="10"/>
  <c r="A696" i="10"/>
  <c r="B696" i="10" s="1"/>
  <c r="B695" i="10"/>
  <c r="A695" i="10"/>
  <c r="C695" i="10" s="1"/>
  <c r="A694" i="10"/>
  <c r="C693" i="10"/>
  <c r="B693" i="10"/>
  <c r="A693" i="10"/>
  <c r="B692" i="10"/>
  <c r="A692" i="10"/>
  <c r="C692" i="10" s="1"/>
  <c r="C691" i="10"/>
  <c r="B691" i="10"/>
  <c r="A691" i="10"/>
  <c r="A690" i="10"/>
  <c r="C690" i="10" s="1"/>
  <c r="C689" i="10"/>
  <c r="A689" i="10"/>
  <c r="B689" i="10" s="1"/>
  <c r="C688" i="10"/>
  <c r="B688" i="10"/>
  <c r="A688" i="10"/>
  <c r="A687" i="10"/>
  <c r="A686" i="10"/>
  <c r="C686" i="10" s="1"/>
  <c r="A685" i="10"/>
  <c r="C685" i="10" s="1"/>
  <c r="C684" i="10"/>
  <c r="B684" i="10"/>
  <c r="A684" i="10"/>
  <c r="B683" i="10"/>
  <c r="A683" i="10"/>
  <c r="C683" i="10" s="1"/>
  <c r="C682" i="10"/>
  <c r="A682" i="10"/>
  <c r="B682" i="10" s="1"/>
  <c r="A681" i="10"/>
  <c r="C680" i="10"/>
  <c r="A680" i="10"/>
  <c r="B680" i="10" s="1"/>
  <c r="A679" i="10"/>
  <c r="C679" i="10" s="1"/>
  <c r="C678" i="10"/>
  <c r="B678" i="10"/>
  <c r="A678" i="10"/>
  <c r="C677" i="10"/>
  <c r="B677" i="10"/>
  <c r="A677" i="10"/>
  <c r="A676" i="10"/>
  <c r="C676" i="10" s="1"/>
  <c r="C675" i="10"/>
  <c r="B675" i="10"/>
  <c r="A675" i="10"/>
  <c r="C674" i="10"/>
  <c r="B674" i="10"/>
  <c r="A674" i="10"/>
  <c r="A673" i="10"/>
  <c r="C673" i="10" s="1"/>
  <c r="C672" i="10"/>
  <c r="B672" i="10"/>
  <c r="A672" i="10"/>
  <c r="A671" i="10"/>
  <c r="A670" i="10"/>
  <c r="C670" i="10" s="1"/>
  <c r="B669" i="10"/>
  <c r="A669" i="10"/>
  <c r="C669" i="10" s="1"/>
  <c r="C668" i="10"/>
  <c r="B668" i="10"/>
  <c r="A668" i="10"/>
  <c r="C667" i="10"/>
  <c r="B667" i="10"/>
  <c r="A667" i="10"/>
  <c r="C666" i="10"/>
  <c r="A666" i="10"/>
  <c r="B666" i="10" s="1"/>
  <c r="A665" i="10"/>
  <c r="A664" i="10"/>
  <c r="B664" i="10" s="1"/>
  <c r="C663" i="10"/>
  <c r="B663" i="10"/>
  <c r="A663" i="10"/>
  <c r="A662" i="10"/>
  <c r="C661" i="10"/>
  <c r="B661" i="10"/>
  <c r="A661" i="10"/>
  <c r="B660" i="10"/>
  <c r="A660" i="10"/>
  <c r="C660" i="10" s="1"/>
  <c r="C659" i="10"/>
  <c r="B659" i="10"/>
  <c r="A659" i="10"/>
  <c r="A658" i="10"/>
  <c r="C658" i="10" s="1"/>
  <c r="C657" i="10"/>
  <c r="A657" i="10"/>
  <c r="B657" i="10" s="1"/>
  <c r="C656" i="10"/>
  <c r="B656" i="10"/>
  <c r="A656" i="10"/>
  <c r="A655" i="10"/>
  <c r="C654" i="10"/>
  <c r="B654" i="10"/>
  <c r="A654" i="10"/>
  <c r="A653" i="10"/>
  <c r="C653" i="10" s="1"/>
  <c r="C652" i="10"/>
  <c r="A652" i="10"/>
  <c r="B652" i="10" s="1"/>
  <c r="C651" i="10"/>
  <c r="B651" i="10"/>
  <c r="A651" i="10"/>
  <c r="C650" i="10"/>
  <c r="A650" i="10"/>
  <c r="B650" i="10" s="1"/>
  <c r="A649" i="10"/>
  <c r="A648" i="10"/>
  <c r="A647" i="10"/>
  <c r="C647" i="10" s="1"/>
  <c r="C646" i="10"/>
  <c r="A646" i="10"/>
  <c r="B646" i="10" s="1"/>
  <c r="C645" i="10"/>
  <c r="B645" i="10"/>
  <c r="A645" i="10"/>
  <c r="B644" i="10"/>
  <c r="A644" i="10"/>
  <c r="C644" i="10" s="1"/>
  <c r="C643" i="10"/>
  <c r="B643" i="10"/>
  <c r="A643" i="10"/>
  <c r="C642" i="10"/>
  <c r="B642" i="10"/>
  <c r="A642" i="10"/>
  <c r="A641" i="10"/>
  <c r="A640" i="10"/>
  <c r="A639" i="10"/>
  <c r="A638" i="10"/>
  <c r="C638" i="10" s="1"/>
  <c r="C637" i="10"/>
  <c r="B637" i="10"/>
  <c r="A637" i="10"/>
  <c r="C636" i="10"/>
  <c r="B636" i="10"/>
  <c r="A636" i="10"/>
  <c r="A635" i="10"/>
  <c r="C634" i="10"/>
  <c r="A634" i="10"/>
  <c r="B634" i="10" s="1"/>
  <c r="C633" i="10"/>
  <c r="B633" i="10"/>
  <c r="A633" i="10"/>
  <c r="C632" i="10"/>
  <c r="A632" i="10"/>
  <c r="B632" i="10" s="1"/>
  <c r="C631" i="10"/>
  <c r="B631" i="10"/>
  <c r="A631" i="10"/>
  <c r="C630" i="10"/>
  <c r="B630" i="10"/>
  <c r="A630" i="10"/>
  <c r="C629" i="10"/>
  <c r="B629" i="10"/>
  <c r="A629" i="10"/>
  <c r="B628" i="10"/>
  <c r="A628" i="10"/>
  <c r="C628" i="10" s="1"/>
  <c r="B627" i="10"/>
  <c r="A627" i="10"/>
  <c r="C627" i="10" s="1"/>
  <c r="C626" i="10"/>
  <c r="A626" i="10"/>
  <c r="B626" i="10" s="1"/>
  <c r="C625" i="10"/>
  <c r="B625" i="10"/>
  <c r="A625" i="10"/>
  <c r="A624" i="10"/>
  <c r="A623" i="10"/>
  <c r="C623" i="10" s="1"/>
  <c r="C622" i="10"/>
  <c r="B622" i="10"/>
  <c r="A622" i="10"/>
  <c r="C621" i="10"/>
  <c r="B621" i="10"/>
  <c r="A621" i="10"/>
  <c r="A620" i="10"/>
  <c r="C619" i="10"/>
  <c r="A619" i="10"/>
  <c r="B619" i="10" s="1"/>
  <c r="A618" i="10"/>
  <c r="A617" i="10"/>
  <c r="C616" i="10"/>
  <c r="A616" i="10"/>
  <c r="B616" i="10" s="1"/>
  <c r="C615" i="10"/>
  <c r="B615" i="10"/>
  <c r="A615" i="10"/>
  <c r="A614" i="10"/>
  <c r="C614" i="10" s="1"/>
  <c r="C613" i="10"/>
  <c r="B613" i="10"/>
  <c r="A613" i="10"/>
  <c r="C612" i="10"/>
  <c r="A612" i="10"/>
  <c r="B612" i="10" s="1"/>
  <c r="C611" i="10"/>
  <c r="B611" i="10"/>
  <c r="A611" i="10"/>
  <c r="C610" i="10"/>
  <c r="B610" i="10"/>
  <c r="A610" i="10"/>
  <c r="A609" i="10"/>
  <c r="C609" i="10" s="1"/>
  <c r="A608" i="10"/>
  <c r="B608" i="10" s="1"/>
  <c r="A607" i="10"/>
  <c r="B606" i="10"/>
  <c r="A606" i="10"/>
  <c r="C606" i="10" s="1"/>
  <c r="C605" i="10"/>
  <c r="A605" i="10"/>
  <c r="B605" i="10" s="1"/>
  <c r="A604" i="10"/>
  <c r="C604" i="10" s="1"/>
  <c r="C603" i="10"/>
  <c r="B603" i="10"/>
  <c r="A603" i="10"/>
  <c r="A602" i="10"/>
  <c r="B601" i="10"/>
  <c r="A601" i="10"/>
  <c r="C601" i="10" s="1"/>
  <c r="B600" i="10"/>
  <c r="A600" i="10"/>
  <c r="C600" i="10" s="1"/>
  <c r="B599" i="10"/>
  <c r="A599" i="10"/>
  <c r="C599" i="10" s="1"/>
  <c r="C598" i="10"/>
  <c r="A598" i="10"/>
  <c r="B598" i="10" s="1"/>
  <c r="C597" i="10"/>
  <c r="B597" i="10"/>
  <c r="A597" i="10"/>
  <c r="C596" i="10"/>
  <c r="A596" i="10"/>
  <c r="B596" i="10" s="1"/>
  <c r="B595" i="10"/>
  <c r="A595" i="10"/>
  <c r="C595" i="10" s="1"/>
  <c r="A594" i="10"/>
  <c r="B593" i="10"/>
  <c r="A593" i="10"/>
  <c r="C593" i="10" s="1"/>
  <c r="A592" i="10"/>
  <c r="A591" i="10"/>
  <c r="B590" i="10"/>
  <c r="A590" i="10"/>
  <c r="C590" i="10" s="1"/>
  <c r="C589" i="10"/>
  <c r="B589" i="10"/>
  <c r="A589" i="10"/>
  <c r="B588" i="10"/>
  <c r="A588" i="10"/>
  <c r="C588" i="10" s="1"/>
  <c r="B587" i="10"/>
  <c r="A587" i="10"/>
  <c r="C587" i="10" s="1"/>
  <c r="C586" i="10"/>
  <c r="A586" i="10"/>
  <c r="B586" i="10" s="1"/>
  <c r="B585" i="10"/>
  <c r="A585" i="10"/>
  <c r="C585" i="10" s="1"/>
  <c r="A584" i="10"/>
  <c r="C583" i="10"/>
  <c r="B583" i="10"/>
  <c r="A583" i="10"/>
  <c r="C582" i="10"/>
  <c r="B582" i="10"/>
  <c r="A582" i="10"/>
  <c r="C581" i="10"/>
  <c r="B581" i="10"/>
  <c r="A581" i="10"/>
  <c r="C580" i="10"/>
  <c r="A580" i="10"/>
  <c r="B580" i="10" s="1"/>
  <c r="B579" i="10"/>
  <c r="A579" i="10"/>
  <c r="C579" i="10" s="1"/>
  <c r="A578" i="10"/>
  <c r="B577" i="10"/>
  <c r="A577" i="10"/>
  <c r="C577" i="10" s="1"/>
  <c r="C576" i="10"/>
  <c r="B576" i="10"/>
  <c r="A576" i="10"/>
  <c r="B575" i="10"/>
  <c r="A575" i="10"/>
  <c r="C575" i="10" s="1"/>
  <c r="B574" i="10"/>
  <c r="A574" i="10"/>
  <c r="C574" i="10" s="1"/>
  <c r="C573" i="10"/>
  <c r="B573" i="10"/>
  <c r="A573" i="10"/>
  <c r="C572" i="10"/>
  <c r="B572" i="10"/>
  <c r="A572" i="10"/>
  <c r="C571" i="10"/>
  <c r="B571" i="10"/>
  <c r="A571" i="10"/>
  <c r="A570" i="10"/>
  <c r="C569" i="10"/>
  <c r="B569" i="10"/>
  <c r="A569" i="10"/>
  <c r="A568" i="10"/>
  <c r="C567" i="10"/>
  <c r="B567" i="10"/>
  <c r="A567" i="10"/>
  <c r="A566" i="10"/>
  <c r="C565" i="10"/>
  <c r="B565" i="10"/>
  <c r="A565" i="10"/>
  <c r="C564" i="10"/>
  <c r="B564" i="10"/>
  <c r="A564" i="10"/>
  <c r="B563" i="10"/>
  <c r="A563" i="10"/>
  <c r="C563" i="10" s="1"/>
  <c r="A562" i="10"/>
  <c r="C561" i="10"/>
  <c r="B561" i="10"/>
  <c r="A561" i="10"/>
  <c r="B560" i="10"/>
  <c r="A560" i="10"/>
  <c r="C560" i="10" s="1"/>
  <c r="B559" i="10"/>
  <c r="A559" i="10"/>
  <c r="C559" i="10" s="1"/>
  <c r="C558" i="10"/>
  <c r="B558" i="10"/>
  <c r="A558" i="10"/>
  <c r="C557" i="10"/>
  <c r="A557" i="10"/>
  <c r="B557" i="10" s="1"/>
  <c r="A556" i="10"/>
  <c r="A555" i="10"/>
  <c r="C554" i="10"/>
  <c r="A554" i="10"/>
  <c r="B554" i="10" s="1"/>
  <c r="A553" i="10"/>
  <c r="C552" i="10"/>
  <c r="A552" i="10"/>
  <c r="B552" i="10" s="1"/>
  <c r="A551" i="10"/>
  <c r="C551" i="10" s="1"/>
  <c r="C550" i="10"/>
  <c r="B550" i="10"/>
  <c r="A550" i="10"/>
  <c r="C549" i="10"/>
  <c r="B549" i="10"/>
  <c r="A549" i="10"/>
  <c r="C548" i="10"/>
  <c r="B548" i="10"/>
  <c r="A548" i="10"/>
  <c r="C547" i="10"/>
  <c r="B547" i="10"/>
  <c r="A547" i="10"/>
  <c r="C546" i="10"/>
  <c r="A546" i="10"/>
  <c r="B546" i="10" s="1"/>
  <c r="C545" i="10"/>
  <c r="B545" i="10"/>
  <c r="A545" i="10"/>
  <c r="C544" i="10"/>
  <c r="A544" i="10"/>
  <c r="B544" i="10" s="1"/>
  <c r="A543" i="10"/>
  <c r="A542" i="10"/>
  <c r="A541" i="10"/>
  <c r="A540" i="10"/>
  <c r="C539" i="10"/>
  <c r="B539" i="10"/>
  <c r="A539" i="10"/>
  <c r="A538" i="10"/>
  <c r="C537" i="10"/>
  <c r="A537" i="10"/>
  <c r="B537" i="10" s="1"/>
  <c r="A536" i="10"/>
  <c r="C536" i="10" s="1"/>
  <c r="B535" i="10"/>
  <c r="A535" i="10"/>
  <c r="C535" i="10" s="1"/>
  <c r="A534" i="10"/>
  <c r="C534" i="10" s="1"/>
  <c r="C533" i="10"/>
  <c r="B533" i="10"/>
  <c r="A533" i="10"/>
  <c r="C532" i="10"/>
  <c r="B532" i="10"/>
  <c r="A532" i="10"/>
  <c r="A531" i="10"/>
  <c r="C531" i="10" s="1"/>
  <c r="C530" i="10"/>
  <c r="A530" i="10"/>
  <c r="B530" i="10" s="1"/>
  <c r="B529" i="10"/>
  <c r="A529" i="10"/>
  <c r="C529" i="10" s="1"/>
  <c r="A528" i="10"/>
  <c r="A527" i="10"/>
  <c r="A526" i="10"/>
  <c r="C525" i="10"/>
  <c r="B525" i="10"/>
  <c r="A525" i="10"/>
  <c r="B524" i="10"/>
  <c r="A524" i="10"/>
  <c r="C524" i="10" s="1"/>
  <c r="C523" i="10"/>
  <c r="B523" i="10"/>
  <c r="A523" i="10"/>
  <c r="C522" i="10"/>
  <c r="B522" i="10"/>
  <c r="A522" i="10"/>
  <c r="C521" i="10"/>
  <c r="B521" i="10"/>
  <c r="A521" i="10"/>
  <c r="A520" i="10"/>
  <c r="C520" i="10" s="1"/>
  <c r="C519" i="10"/>
  <c r="A519" i="10"/>
  <c r="B519" i="10" s="1"/>
  <c r="A518" i="10"/>
  <c r="C518" i="10" s="1"/>
  <c r="C517" i="10"/>
  <c r="B517" i="10"/>
  <c r="A517" i="10"/>
  <c r="B516" i="10"/>
  <c r="A516" i="10"/>
  <c r="C516" i="10" s="1"/>
  <c r="A515" i="10"/>
  <c r="C514" i="10"/>
  <c r="B514" i="10"/>
  <c r="A514" i="10"/>
  <c r="C513" i="10"/>
  <c r="A513" i="10"/>
  <c r="B513" i="10" s="1"/>
  <c r="A512" i="10"/>
  <c r="C512" i="10" s="1"/>
  <c r="C511" i="10"/>
  <c r="A511" i="10"/>
  <c r="B511" i="10" s="1"/>
  <c r="C510" i="10"/>
  <c r="B510" i="10"/>
  <c r="A510" i="10"/>
  <c r="A509" i="10"/>
  <c r="C509" i="10" s="1"/>
  <c r="B508" i="10"/>
  <c r="A508" i="10"/>
  <c r="C508" i="10" s="1"/>
  <c r="C507" i="10"/>
  <c r="B507" i="10"/>
  <c r="A507" i="10"/>
  <c r="C506" i="10"/>
  <c r="B506" i="10"/>
  <c r="A506" i="10"/>
  <c r="C505" i="10"/>
  <c r="A505" i="10"/>
  <c r="B505" i="10" s="1"/>
  <c r="C504" i="10"/>
  <c r="A504" i="10"/>
  <c r="B504" i="10" s="1"/>
  <c r="A503" i="10"/>
  <c r="B503" i="10" s="1"/>
  <c r="A502" i="10"/>
  <c r="C502" i="10" s="1"/>
  <c r="C501" i="10"/>
  <c r="B501" i="10"/>
  <c r="A501" i="10"/>
  <c r="B500" i="10"/>
  <c r="A500" i="10"/>
  <c r="C500" i="10" s="1"/>
  <c r="B499" i="10"/>
  <c r="A499" i="10"/>
  <c r="C499" i="10" s="1"/>
  <c r="C498" i="10"/>
  <c r="B498" i="10"/>
  <c r="A498" i="10"/>
  <c r="C497" i="10"/>
  <c r="A497" i="10"/>
  <c r="B497" i="10" s="1"/>
  <c r="A496" i="10"/>
  <c r="C496" i="10" s="1"/>
  <c r="A495" i="10"/>
  <c r="C494" i="10"/>
  <c r="A494" i="10"/>
  <c r="B494" i="10" s="1"/>
  <c r="A493" i="10"/>
  <c r="B492" i="10"/>
  <c r="A492" i="10"/>
  <c r="C492" i="10" s="1"/>
  <c r="A491" i="10"/>
  <c r="C490" i="10"/>
  <c r="B490" i="10"/>
  <c r="A490" i="10"/>
  <c r="C489" i="10"/>
  <c r="B489" i="10"/>
  <c r="A489" i="10"/>
  <c r="A488" i="10"/>
  <c r="C488" i="10" s="1"/>
  <c r="A487" i="10"/>
  <c r="B487" i="10" s="1"/>
  <c r="A486" i="10"/>
  <c r="C486" i="10" s="1"/>
  <c r="B485" i="10"/>
  <c r="A485" i="10"/>
  <c r="C485" i="10" s="1"/>
  <c r="B484" i="10"/>
  <c r="A484" i="10"/>
  <c r="C484" i="10" s="1"/>
  <c r="C483" i="10"/>
  <c r="B483" i="10"/>
  <c r="A483" i="10"/>
  <c r="C482" i="10"/>
  <c r="B482" i="10"/>
  <c r="A482" i="10"/>
  <c r="A481" i="10"/>
  <c r="A480" i="10"/>
  <c r="C480" i="10" s="1"/>
  <c r="A479" i="10"/>
  <c r="A478" i="10"/>
  <c r="C477" i="10"/>
  <c r="A477" i="10"/>
  <c r="B477" i="10" s="1"/>
  <c r="B476" i="10"/>
  <c r="A476" i="10"/>
  <c r="C476" i="10" s="1"/>
  <c r="A475" i="10"/>
  <c r="C474" i="10"/>
  <c r="B474" i="10"/>
  <c r="A474" i="10"/>
  <c r="A473" i="10"/>
  <c r="C472" i="10"/>
  <c r="A472" i="10"/>
  <c r="B472" i="10" s="1"/>
  <c r="C471" i="10"/>
  <c r="A471" i="10"/>
  <c r="B471" i="10" s="1"/>
  <c r="B470" i="10"/>
  <c r="A470" i="10"/>
  <c r="C470" i="10" s="1"/>
  <c r="A469" i="10"/>
  <c r="B468" i="10"/>
  <c r="A468" i="10"/>
  <c r="C468" i="10" s="1"/>
  <c r="C467" i="10"/>
  <c r="A467" i="10"/>
  <c r="B467" i="10" s="1"/>
  <c r="C466" i="10"/>
  <c r="B466" i="10"/>
  <c r="A466" i="10"/>
  <c r="A465" i="10"/>
  <c r="C464" i="10"/>
  <c r="B464" i="10"/>
  <c r="A464" i="10"/>
  <c r="A463" i="10"/>
  <c r="B463" i="10" s="1"/>
  <c r="A462" i="10"/>
  <c r="C462" i="10" s="1"/>
  <c r="C461" i="10"/>
  <c r="A461" i="10"/>
  <c r="B461" i="10" s="1"/>
  <c r="B460" i="10"/>
  <c r="A460" i="10"/>
  <c r="C460" i="10" s="1"/>
  <c r="A459" i="10"/>
  <c r="C459" i="10" s="1"/>
  <c r="C458" i="10"/>
  <c r="B458" i="10"/>
  <c r="A458" i="10"/>
  <c r="A457" i="10"/>
  <c r="C456" i="10"/>
  <c r="A456" i="10"/>
  <c r="B456" i="10" s="1"/>
  <c r="A455" i="10"/>
  <c r="A454" i="10"/>
  <c r="C453" i="10"/>
  <c r="B453" i="10"/>
  <c r="A453" i="10"/>
  <c r="B452" i="10"/>
  <c r="A452" i="10"/>
  <c r="C452" i="10" s="1"/>
  <c r="A451" i="10"/>
  <c r="C451" i="10" s="1"/>
  <c r="C450" i="10"/>
  <c r="B450" i="10"/>
  <c r="A450" i="10"/>
  <c r="C449" i="10"/>
  <c r="A449" i="10"/>
  <c r="B449" i="10" s="1"/>
  <c r="B448" i="10"/>
  <c r="A448" i="10"/>
  <c r="C448" i="10" s="1"/>
  <c r="A447" i="10"/>
  <c r="C446" i="10"/>
  <c r="B446" i="10"/>
  <c r="A446" i="10"/>
  <c r="A445" i="10"/>
  <c r="C445" i="10" s="1"/>
  <c r="B444" i="10"/>
  <c r="A444" i="10"/>
  <c r="C444" i="10" s="1"/>
  <c r="C443" i="10"/>
  <c r="B443" i="10"/>
  <c r="A443" i="10"/>
  <c r="C442" i="10"/>
  <c r="B442" i="10"/>
  <c r="A442" i="10"/>
  <c r="A441" i="10"/>
  <c r="C441" i="10" s="1"/>
  <c r="C440" i="10"/>
  <c r="B440" i="10"/>
  <c r="A440" i="10"/>
  <c r="A439" i="10"/>
  <c r="B439" i="10" s="1"/>
  <c r="A438" i="10"/>
  <c r="C438" i="10" s="1"/>
  <c r="C437" i="10"/>
  <c r="B437" i="10"/>
  <c r="A437" i="10"/>
  <c r="A436" i="10"/>
  <c r="C436" i="10" s="1"/>
  <c r="C435" i="10"/>
  <c r="B435" i="10"/>
  <c r="A435" i="10"/>
  <c r="C434" i="10"/>
  <c r="B434" i="10"/>
  <c r="A434" i="10"/>
  <c r="C433" i="10"/>
  <c r="A433" i="10"/>
  <c r="B433" i="10" s="1"/>
  <c r="A432" i="10"/>
  <c r="C432" i="10" s="1"/>
  <c r="A431" i="10"/>
  <c r="B431" i="10" s="1"/>
  <c r="B430" i="10"/>
  <c r="A430" i="10"/>
  <c r="C430" i="10" s="1"/>
  <c r="A429" i="10"/>
  <c r="B428" i="10"/>
  <c r="A428" i="10"/>
  <c r="C428" i="10" s="1"/>
  <c r="C427" i="10"/>
  <c r="B427" i="10"/>
  <c r="A427" i="10"/>
  <c r="C426" i="10"/>
  <c r="B426" i="10"/>
  <c r="A426" i="10"/>
  <c r="C425" i="10"/>
  <c r="B425" i="10"/>
  <c r="A425" i="10"/>
  <c r="C424" i="10"/>
  <c r="B424" i="10"/>
  <c r="A424" i="10"/>
  <c r="A423" i="10"/>
  <c r="B422" i="10"/>
  <c r="A422" i="10"/>
  <c r="C422" i="10" s="1"/>
  <c r="C421" i="10"/>
  <c r="B421" i="10"/>
  <c r="A421" i="10"/>
  <c r="A420" i="10"/>
  <c r="A419" i="10"/>
  <c r="C419" i="10" s="1"/>
  <c r="C418" i="10"/>
  <c r="B418" i="10"/>
  <c r="A418" i="10"/>
  <c r="C417" i="10"/>
  <c r="A417" i="10"/>
  <c r="B417" i="10" s="1"/>
  <c r="B416" i="10"/>
  <c r="A416" i="10"/>
  <c r="C416" i="10" s="1"/>
  <c r="C415" i="10"/>
  <c r="A415" i="10"/>
  <c r="B415" i="10" s="1"/>
  <c r="A414" i="10"/>
  <c r="C413" i="10"/>
  <c r="B413" i="10"/>
  <c r="A413" i="10"/>
  <c r="B412" i="10"/>
  <c r="A412" i="10"/>
  <c r="C412" i="10" s="1"/>
  <c r="A411" i="10"/>
  <c r="C410" i="10"/>
  <c r="B410" i="10"/>
  <c r="A410" i="10"/>
  <c r="C409" i="10"/>
  <c r="B409" i="10"/>
  <c r="A409" i="10"/>
  <c r="A408" i="10"/>
  <c r="C407" i="10"/>
  <c r="A407" i="10"/>
  <c r="B407" i="10" s="1"/>
  <c r="A406" i="10"/>
  <c r="A405" i="10"/>
  <c r="C405" i="10" s="1"/>
  <c r="A404" i="10"/>
  <c r="C403" i="10"/>
  <c r="B403" i="10"/>
  <c r="A403" i="10"/>
  <c r="C402" i="10"/>
  <c r="B402" i="10"/>
  <c r="A402" i="10"/>
  <c r="A401" i="10"/>
  <c r="C400" i="10"/>
  <c r="A400" i="10"/>
  <c r="B400" i="10" s="1"/>
  <c r="C399" i="10"/>
  <c r="A399" i="10"/>
  <c r="B399" i="10" s="1"/>
  <c r="A398" i="10"/>
  <c r="C398" i="10" s="1"/>
  <c r="C397" i="10"/>
  <c r="B397" i="10"/>
  <c r="A397" i="10"/>
  <c r="B396" i="10"/>
  <c r="A396" i="10"/>
  <c r="C396" i="10" s="1"/>
  <c r="C395" i="10"/>
  <c r="A395" i="10"/>
  <c r="B395" i="10" s="1"/>
  <c r="C394" i="10"/>
  <c r="B394" i="10"/>
  <c r="A394" i="10"/>
  <c r="C393" i="10"/>
  <c r="A393" i="10"/>
  <c r="B393" i="10" s="1"/>
  <c r="A392" i="10"/>
  <c r="C391" i="10"/>
  <c r="A391" i="10"/>
  <c r="B391" i="10" s="1"/>
  <c r="A390" i="10"/>
  <c r="C390" i="10" s="1"/>
  <c r="C389" i="10"/>
  <c r="B389" i="10"/>
  <c r="A389" i="10"/>
  <c r="B388" i="10"/>
  <c r="A388" i="10"/>
  <c r="C388" i="10" s="1"/>
  <c r="C387" i="10"/>
  <c r="B387" i="10"/>
  <c r="A387" i="10"/>
  <c r="C386" i="10"/>
  <c r="B386" i="10"/>
  <c r="A386" i="10"/>
  <c r="C385" i="10"/>
  <c r="A385" i="10"/>
  <c r="B385" i="10" s="1"/>
  <c r="A384" i="10"/>
  <c r="C384" i="10" s="1"/>
  <c r="A383" i="10"/>
  <c r="B383" i="10" s="1"/>
  <c r="C382" i="10"/>
  <c r="B382" i="10"/>
  <c r="A382" i="10"/>
  <c r="A381" i="10"/>
  <c r="B380" i="10"/>
  <c r="A380" i="10"/>
  <c r="C380" i="10" s="1"/>
  <c r="C379" i="10"/>
  <c r="B379" i="10"/>
  <c r="A379" i="10"/>
  <c r="C378" i="10"/>
  <c r="B378" i="10"/>
  <c r="A378" i="10"/>
  <c r="A377" i="10"/>
  <c r="A376" i="10"/>
  <c r="B376" i="10" s="1"/>
  <c r="A375" i="10"/>
  <c r="B375" i="10" s="1"/>
  <c r="B374" i="10"/>
  <c r="A374" i="10"/>
  <c r="C374" i="10" s="1"/>
  <c r="C373" i="10"/>
  <c r="B373" i="10"/>
  <c r="A373" i="10"/>
  <c r="B372" i="10"/>
  <c r="A372" i="10"/>
  <c r="C372" i="10" s="1"/>
  <c r="A371" i="10"/>
  <c r="C370" i="10"/>
  <c r="B370" i="10"/>
  <c r="A370" i="10"/>
  <c r="A369" i="10"/>
  <c r="A368" i="10"/>
  <c r="A367" i="10"/>
  <c r="A366" i="10"/>
  <c r="A365" i="10"/>
  <c r="A364" i="10"/>
  <c r="A363" i="10"/>
  <c r="A362" i="10"/>
  <c r="A361" i="10"/>
  <c r="A360" i="10"/>
  <c r="A359" i="10"/>
  <c r="A358" i="10"/>
  <c r="A357" i="10"/>
  <c r="A356" i="10"/>
  <c r="A355" i="10"/>
  <c r="A354" i="10"/>
  <c r="A353" i="10"/>
  <c r="A352" i="10"/>
  <c r="A351" i="10"/>
  <c r="A350" i="10"/>
  <c r="A349" i="10"/>
  <c r="A348" i="10"/>
  <c r="A347" i="10"/>
  <c r="A346" i="10"/>
  <c r="A345" i="10"/>
  <c r="A344" i="10"/>
  <c r="A343" i="10"/>
  <c r="A342" i="10"/>
  <c r="A341" i="10"/>
  <c r="A340" i="10"/>
  <c r="A339" i="10"/>
  <c r="A338" i="10"/>
  <c r="A337" i="10"/>
  <c r="A336" i="10"/>
  <c r="A335" i="10"/>
  <c r="A334" i="10"/>
  <c r="A333" i="10"/>
  <c r="A332" i="10"/>
  <c r="A331" i="10"/>
  <c r="A330" i="10"/>
  <c r="A329" i="10"/>
  <c r="A328" i="10"/>
  <c r="A327" i="10"/>
  <c r="A326" i="10"/>
  <c r="A325" i="10"/>
  <c r="A324" i="10"/>
  <c r="A323" i="10"/>
  <c r="C322" i="10"/>
  <c r="A322" i="10"/>
  <c r="A321" i="10"/>
  <c r="A320" i="10"/>
  <c r="A319" i="10"/>
  <c r="A318" i="10"/>
  <c r="A317" i="10"/>
  <c r="A316" i="10"/>
  <c r="A315" i="10"/>
  <c r="A314" i="10"/>
  <c r="A313" i="10"/>
  <c r="A312" i="10"/>
  <c r="A311" i="10"/>
  <c r="A310" i="10"/>
  <c r="A309" i="10"/>
  <c r="A308" i="10"/>
  <c r="A307" i="10"/>
  <c r="A306" i="10"/>
  <c r="A305" i="10"/>
  <c r="A304" i="10"/>
  <c r="A303" i="10"/>
  <c r="A302" i="10"/>
  <c r="A301" i="10"/>
  <c r="A300" i="10"/>
  <c r="A299" i="10"/>
  <c r="A298" i="10"/>
  <c r="A297" i="10"/>
  <c r="A296" i="10"/>
  <c r="A295" i="10"/>
  <c r="A294" i="10"/>
  <c r="C293" i="10"/>
  <c r="A293" i="10"/>
  <c r="A292" i="10"/>
  <c r="A291" i="10"/>
  <c r="A290" i="10"/>
  <c r="A289" i="10"/>
  <c r="A288" i="10"/>
  <c r="A287" i="10"/>
  <c r="A286" i="10"/>
  <c r="A285" i="10"/>
  <c r="A284" i="10"/>
  <c r="A283" i="10"/>
  <c r="A282" i="10"/>
  <c r="A281" i="10"/>
  <c r="A280" i="10"/>
  <c r="A279" i="10"/>
  <c r="A278" i="10"/>
  <c r="A277" i="10"/>
  <c r="A276" i="10"/>
  <c r="A275" i="10"/>
  <c r="A274" i="10"/>
  <c r="A273" i="10"/>
  <c r="A272" i="10"/>
  <c r="A271" i="10"/>
  <c r="A270" i="10"/>
  <c r="A269" i="10"/>
  <c r="A268" i="10"/>
  <c r="A267" i="10"/>
  <c r="A266" i="10"/>
  <c r="A265" i="10"/>
  <c r="A264" i="10"/>
  <c r="A263" i="10"/>
  <c r="A262" i="10"/>
  <c r="A261" i="10"/>
  <c r="A260" i="10"/>
  <c r="A259" i="10"/>
  <c r="A258" i="10"/>
  <c r="A257" i="10"/>
  <c r="A256" i="10"/>
  <c r="A255" i="10"/>
  <c r="A254" i="10"/>
  <c r="A253" i="10"/>
  <c r="A252" i="10"/>
  <c r="A251" i="10"/>
  <c r="A250" i="10"/>
  <c r="A249" i="10"/>
  <c r="A248" i="10"/>
  <c r="A247" i="10"/>
  <c r="A246" i="10"/>
  <c r="A245" i="10"/>
  <c r="A244" i="10"/>
  <c r="A243" i="10"/>
  <c r="A242" i="10"/>
  <c r="A241" i="10"/>
  <c r="A240" i="10"/>
  <c r="A239" i="10"/>
  <c r="A238" i="10"/>
  <c r="A237" i="10"/>
  <c r="A236" i="10"/>
  <c r="A235" i="10"/>
  <c r="A234" i="10"/>
  <c r="A233" i="10"/>
  <c r="A232" i="10"/>
  <c r="A231" i="10"/>
  <c r="A230" i="10"/>
  <c r="A229" i="10"/>
  <c r="A228" i="10"/>
  <c r="A227" i="10"/>
  <c r="A226" i="10"/>
  <c r="A225" i="10"/>
  <c r="A224" i="10"/>
  <c r="A223" i="10"/>
  <c r="A222" i="10"/>
  <c r="A221" i="10"/>
  <c r="A220" i="10"/>
  <c r="A219" i="10"/>
  <c r="A218" i="10"/>
  <c r="A217" i="10"/>
  <c r="A216" i="10"/>
  <c r="A215" i="10"/>
  <c r="A214" i="10"/>
  <c r="A213" i="10"/>
  <c r="A212" i="10"/>
  <c r="A211" i="10"/>
  <c r="A210" i="10"/>
  <c r="A209" i="10"/>
  <c r="A208" i="10"/>
  <c r="A207" i="10"/>
  <c r="A206" i="10"/>
  <c r="A205" i="10"/>
  <c r="A204" i="10"/>
  <c r="A203" i="10"/>
  <c r="A202" i="10"/>
  <c r="A201" i="10"/>
  <c r="A200" i="10"/>
  <c r="A199" i="10"/>
  <c r="A198" i="10"/>
  <c r="A197" i="10"/>
  <c r="A196" i="10"/>
  <c r="A195" i="10"/>
  <c r="A194" i="10"/>
  <c r="A193" i="10"/>
  <c r="A192" i="10"/>
  <c r="A191" i="10"/>
  <c r="A190" i="10"/>
  <c r="A189" i="10"/>
  <c r="A188" i="10"/>
  <c r="A187" i="10"/>
  <c r="A186" i="10"/>
  <c r="A185" i="10"/>
  <c r="A184" i="10"/>
  <c r="A183" i="10"/>
  <c r="A182" i="10"/>
  <c r="A181" i="10"/>
  <c r="A180" i="10"/>
  <c r="A179" i="10"/>
  <c r="A178" i="10"/>
  <c r="A177" i="10"/>
  <c r="A176" i="10"/>
  <c r="A175" i="10"/>
  <c r="A174" i="10"/>
  <c r="A173" i="10"/>
  <c r="A172" i="10"/>
  <c r="A171" i="10"/>
  <c r="A170" i="10"/>
  <c r="A169" i="10"/>
  <c r="A168" i="10"/>
  <c r="A167" i="10"/>
  <c r="A166" i="10"/>
  <c r="A165" i="10"/>
  <c r="A164" i="10"/>
  <c r="A163" i="10"/>
  <c r="A162" i="10"/>
  <c r="A161" i="10"/>
  <c r="A160" i="10"/>
  <c r="A159" i="10"/>
  <c r="A158" i="10"/>
  <c r="A157" i="10"/>
  <c r="A156" i="10"/>
  <c r="A155" i="10"/>
  <c r="A154" i="10"/>
  <c r="A153" i="10"/>
  <c r="A152" i="10"/>
  <c r="A151" i="10"/>
  <c r="A150" i="10"/>
  <c r="A149" i="10"/>
  <c r="A148" i="10"/>
  <c r="A147" i="10"/>
  <c r="A146" i="10"/>
  <c r="A145" i="10"/>
  <c r="A144" i="10"/>
  <c r="A143" i="10"/>
  <c r="A142" i="10"/>
  <c r="A141" i="10"/>
  <c r="A140" i="10"/>
  <c r="A139" i="10"/>
  <c r="A138" i="10"/>
  <c r="A137" i="10"/>
  <c r="A136" i="10"/>
  <c r="A135" i="10"/>
  <c r="A134" i="10"/>
  <c r="A133" i="10"/>
  <c r="A132" i="10"/>
  <c r="A131" i="10"/>
  <c r="A130" i="10"/>
  <c r="A129" i="10"/>
  <c r="A128" i="10"/>
  <c r="A127" i="10"/>
  <c r="A126" i="10"/>
  <c r="A125" i="10"/>
  <c r="A124" i="10"/>
  <c r="A123" i="10"/>
  <c r="A122" i="10"/>
  <c r="A121" i="10"/>
  <c r="A120" i="10"/>
  <c r="A119" i="10"/>
  <c r="A118" i="10"/>
  <c r="A117" i="10"/>
  <c r="A116" i="10"/>
  <c r="A115" i="10"/>
  <c r="A114" i="10"/>
  <c r="A113" i="10"/>
  <c r="A112" i="10"/>
  <c r="A111" i="10"/>
  <c r="A110" i="10"/>
  <c r="A109" i="10"/>
  <c r="A108" i="10"/>
  <c r="A107" i="10"/>
  <c r="A106" i="10"/>
  <c r="A105" i="10"/>
  <c r="A104" i="10"/>
  <c r="A103" i="10"/>
  <c r="A102" i="10"/>
  <c r="A101" i="10"/>
  <c r="A100" i="10"/>
  <c r="A99" i="10"/>
  <c r="A98" i="10"/>
  <c r="A97" i="10"/>
  <c r="A96" i="10"/>
  <c r="A95" i="10"/>
  <c r="A94" i="10"/>
  <c r="A93" i="10"/>
  <c r="A92" i="10"/>
  <c r="A91" i="10"/>
  <c r="A90" i="10"/>
  <c r="A89" i="10"/>
  <c r="A88" i="10"/>
  <c r="A87" i="10"/>
  <c r="A86" i="10"/>
  <c r="A85" i="10"/>
  <c r="A84" i="10"/>
  <c r="A83" i="10"/>
  <c r="A82" i="10"/>
  <c r="A81" i="10"/>
  <c r="A80" i="10"/>
  <c r="A79" i="10"/>
  <c r="A78" i="10"/>
  <c r="A77" i="10"/>
  <c r="A76" i="10"/>
  <c r="A75" i="10"/>
  <c r="A74" i="10"/>
  <c r="A73" i="10"/>
  <c r="A72" i="10"/>
  <c r="A71" i="10"/>
  <c r="A70" i="10"/>
  <c r="A69" i="10"/>
  <c r="A68" i="10"/>
  <c r="A67" i="10"/>
  <c r="A66" i="10"/>
  <c r="A65" i="10"/>
  <c r="A64" i="10"/>
  <c r="A63" i="10"/>
  <c r="A62" i="10"/>
  <c r="A61" i="10"/>
  <c r="A60" i="10"/>
  <c r="A59" i="10"/>
  <c r="A58" i="10"/>
  <c r="A57" i="10"/>
  <c r="A56" i="10"/>
  <c r="A55" i="10"/>
  <c r="A54" i="10"/>
  <c r="A53" i="10"/>
  <c r="A52" i="10"/>
  <c r="A51" i="10"/>
  <c r="A50" i="10"/>
  <c r="A49" i="10"/>
  <c r="A48" i="10"/>
  <c r="A47" i="10"/>
  <c r="A46" i="10"/>
  <c r="A45" i="10"/>
  <c r="A44" i="10"/>
  <c r="A43" i="10"/>
  <c r="A42" i="10"/>
  <c r="A41" i="10"/>
  <c r="A40" i="10"/>
  <c r="A39" i="10"/>
  <c r="A38" i="10"/>
  <c r="A37" i="10"/>
  <c r="A36" i="10"/>
  <c r="A35" i="10"/>
  <c r="A34" i="10"/>
  <c r="A33" i="10"/>
  <c r="A32" i="10"/>
  <c r="A31" i="10"/>
  <c r="A30" i="10"/>
  <c r="A29" i="10"/>
  <c r="A28" i="10"/>
  <c r="A27" i="10"/>
  <c r="A26" i="10"/>
  <c r="A25" i="10"/>
  <c r="A24" i="10"/>
  <c r="A23" i="10"/>
  <c r="A22" i="10"/>
  <c r="A21" i="10"/>
  <c r="A20" i="10"/>
  <c r="A19" i="10"/>
  <c r="A18" i="10"/>
  <c r="A17" i="10"/>
  <c r="A16" i="10"/>
  <c r="A15" i="10"/>
  <c r="A14" i="10"/>
  <c r="A13" i="10"/>
  <c r="A12" i="10"/>
  <c r="A11" i="10"/>
  <c r="A10" i="10"/>
  <c r="A9" i="10"/>
  <c r="A8" i="10"/>
  <c r="C7" i="10"/>
  <c r="A7" i="10"/>
  <c r="A6" i="10"/>
  <c r="A5" i="10"/>
  <c r="A4" i="10"/>
  <c r="A3" i="10"/>
  <c r="A2" i="10"/>
  <c r="A1199" i="9"/>
  <c r="A1198" i="9"/>
  <c r="A1197" i="9"/>
  <c r="A1196" i="9"/>
  <c r="A1195" i="9"/>
  <c r="A1194" i="9"/>
  <c r="A1193" i="9"/>
  <c r="A1192" i="9"/>
  <c r="A1191" i="9"/>
  <c r="A1190" i="9"/>
  <c r="A1189" i="9"/>
  <c r="A1188" i="9"/>
  <c r="A1187" i="9"/>
  <c r="A1186" i="9"/>
  <c r="A1185" i="9"/>
  <c r="A1184" i="9"/>
  <c r="A1183" i="9"/>
  <c r="A1182" i="9"/>
  <c r="A1181" i="9"/>
  <c r="A1180" i="9"/>
  <c r="A1179" i="9"/>
  <c r="A1178" i="9"/>
  <c r="A1177" i="9"/>
  <c r="A1176" i="9"/>
  <c r="A1175" i="9"/>
  <c r="A1174" i="9"/>
  <c r="A1173" i="9"/>
  <c r="A1172" i="9"/>
  <c r="A1171" i="9"/>
  <c r="A1170" i="9"/>
  <c r="A1169" i="9"/>
  <c r="A1168" i="9"/>
  <c r="A1167" i="9"/>
  <c r="A1166" i="9"/>
  <c r="A1165" i="9"/>
  <c r="A1164" i="9"/>
  <c r="A1163" i="9"/>
  <c r="A1162" i="9"/>
  <c r="A1161" i="9"/>
  <c r="A1160" i="9"/>
  <c r="A1159" i="9"/>
  <c r="A1158" i="9"/>
  <c r="A1157" i="9"/>
  <c r="A1156" i="9"/>
  <c r="A1155" i="9"/>
  <c r="A1154" i="9"/>
  <c r="A1153" i="9"/>
  <c r="A1152" i="9"/>
  <c r="A1151" i="9"/>
  <c r="A1150" i="9"/>
  <c r="A1149" i="9"/>
  <c r="A1148" i="9"/>
  <c r="A1147" i="9"/>
  <c r="A1146" i="9"/>
  <c r="A1145" i="9"/>
  <c r="A1144" i="9"/>
  <c r="A1143" i="9"/>
  <c r="A1142" i="9"/>
  <c r="A1141" i="9"/>
  <c r="A1140" i="9"/>
  <c r="A1139" i="9"/>
  <c r="A1138" i="9"/>
  <c r="A1137" i="9"/>
  <c r="A1136" i="9"/>
  <c r="A1135" i="9"/>
  <c r="A1134" i="9"/>
  <c r="A1133" i="9"/>
  <c r="A1132" i="9"/>
  <c r="A1131" i="9"/>
  <c r="A1130" i="9"/>
  <c r="A1129" i="9"/>
  <c r="A1128" i="9"/>
  <c r="A1127" i="9"/>
  <c r="A1126" i="9"/>
  <c r="A1125" i="9"/>
  <c r="A1124" i="9"/>
  <c r="A1123" i="9"/>
  <c r="A1122" i="9"/>
  <c r="A1121" i="9"/>
  <c r="A1120" i="9"/>
  <c r="A1119" i="9"/>
  <c r="A1118" i="9"/>
  <c r="A1117" i="9"/>
  <c r="A1116" i="9"/>
  <c r="A1115" i="9"/>
  <c r="A1114" i="9"/>
  <c r="A1113" i="9"/>
  <c r="A1112" i="9"/>
  <c r="A1111" i="9"/>
  <c r="A1110" i="9"/>
  <c r="A1109" i="9"/>
  <c r="A1108" i="9"/>
  <c r="A1107" i="9"/>
  <c r="A1106" i="9"/>
  <c r="A1105" i="9"/>
  <c r="A1104" i="9"/>
  <c r="A1103" i="9"/>
  <c r="A1102" i="9"/>
  <c r="A1101" i="9"/>
  <c r="A1100" i="9"/>
  <c r="A1099" i="9"/>
  <c r="A1098" i="9"/>
  <c r="A1097" i="9"/>
  <c r="A1096" i="9"/>
  <c r="A1095" i="9"/>
  <c r="A1094" i="9"/>
  <c r="A1093" i="9"/>
  <c r="A1092" i="9"/>
  <c r="A1091" i="9"/>
  <c r="A1090" i="9"/>
  <c r="A1089" i="9"/>
  <c r="A1088" i="9"/>
  <c r="A1087" i="9"/>
  <c r="A1086" i="9"/>
  <c r="A1085" i="9"/>
  <c r="A1084" i="9"/>
  <c r="A1083" i="9"/>
  <c r="A1082" i="9"/>
  <c r="A1081" i="9"/>
  <c r="A1080" i="9"/>
  <c r="A1079" i="9"/>
  <c r="A1078" i="9"/>
  <c r="A1077" i="9"/>
  <c r="A1076" i="9"/>
  <c r="A1075" i="9"/>
  <c r="A1074" i="9"/>
  <c r="A1073" i="9"/>
  <c r="A1072" i="9"/>
  <c r="A1071" i="9"/>
  <c r="A1070" i="9"/>
  <c r="A1069" i="9"/>
  <c r="A1068" i="9"/>
  <c r="A1067" i="9"/>
  <c r="A1066" i="9"/>
  <c r="A1065" i="9"/>
  <c r="A1064" i="9"/>
  <c r="A1063" i="9"/>
  <c r="A1062" i="9"/>
  <c r="A1061" i="9"/>
  <c r="A1060" i="9"/>
  <c r="A1059" i="9"/>
  <c r="A1058" i="9"/>
  <c r="A1057" i="9"/>
  <c r="A1056" i="9"/>
  <c r="A1055" i="9"/>
  <c r="A1054" i="9"/>
  <c r="A1053" i="9"/>
  <c r="A1052" i="9"/>
  <c r="A1051" i="9"/>
  <c r="A1050" i="9"/>
  <c r="A1049" i="9"/>
  <c r="A1048" i="9"/>
  <c r="A1047" i="9"/>
  <c r="A1046" i="9"/>
  <c r="A1045" i="9"/>
  <c r="A1044" i="9"/>
  <c r="A1043" i="9"/>
  <c r="A1042" i="9"/>
  <c r="A1041" i="9"/>
  <c r="A1040" i="9"/>
  <c r="A1039" i="9"/>
  <c r="A1038" i="9"/>
  <c r="A1037" i="9"/>
  <c r="A1036" i="9"/>
  <c r="A1035" i="9"/>
  <c r="A1034" i="9"/>
  <c r="A1033" i="9"/>
  <c r="A1032" i="9"/>
  <c r="A1031" i="9"/>
  <c r="A1030" i="9"/>
  <c r="A1029" i="9"/>
  <c r="A1028" i="9"/>
  <c r="A1027" i="9"/>
  <c r="A1026" i="9"/>
  <c r="A1025" i="9"/>
  <c r="A1024" i="9"/>
  <c r="A1023" i="9"/>
  <c r="A1022" i="9"/>
  <c r="A1021" i="9"/>
  <c r="A1020" i="9"/>
  <c r="A1019" i="9"/>
  <c r="A1018" i="9"/>
  <c r="A1017" i="9"/>
  <c r="A1016" i="9"/>
  <c r="A1015" i="9"/>
  <c r="A1014" i="9"/>
  <c r="A1013" i="9"/>
  <c r="A1012" i="9"/>
  <c r="A1011" i="9"/>
  <c r="A1010" i="9"/>
  <c r="A1009" i="9"/>
  <c r="A1008" i="9"/>
  <c r="A1007" i="9"/>
  <c r="A1006" i="9"/>
  <c r="A1005" i="9"/>
  <c r="A1004" i="9"/>
  <c r="A1003" i="9"/>
  <c r="A1002" i="9"/>
  <c r="A1001" i="9"/>
  <c r="A1000" i="9"/>
  <c r="A999" i="9"/>
  <c r="A998" i="9"/>
  <c r="A997" i="9"/>
  <c r="A996" i="9"/>
  <c r="A995" i="9"/>
  <c r="A994" i="9"/>
  <c r="A993" i="9"/>
  <c r="A992" i="9"/>
  <c r="A991" i="9"/>
  <c r="A990" i="9"/>
  <c r="A989" i="9"/>
  <c r="A988" i="9"/>
  <c r="A987" i="9"/>
  <c r="A986" i="9"/>
  <c r="B986" i="9" s="1"/>
  <c r="A985" i="9"/>
  <c r="A984" i="9"/>
  <c r="A983" i="9"/>
  <c r="A982" i="9"/>
  <c r="A981" i="9"/>
  <c r="A980" i="9"/>
  <c r="A979" i="9"/>
  <c r="A978" i="9"/>
  <c r="A977" i="9"/>
  <c r="A976" i="9"/>
  <c r="A975" i="9"/>
  <c r="A974" i="9"/>
  <c r="A973" i="9"/>
  <c r="A972" i="9"/>
  <c r="A971" i="9"/>
  <c r="A970" i="9"/>
  <c r="A969" i="9"/>
  <c r="A968" i="9"/>
  <c r="A967" i="9"/>
  <c r="A966" i="9"/>
  <c r="A965" i="9"/>
  <c r="A964" i="9"/>
  <c r="A963" i="9"/>
  <c r="A962" i="9"/>
  <c r="A961" i="9"/>
  <c r="A960" i="9"/>
  <c r="A959" i="9"/>
  <c r="A958" i="9"/>
  <c r="A957" i="9"/>
  <c r="A956" i="9"/>
  <c r="A955" i="9"/>
  <c r="A954" i="9"/>
  <c r="A953" i="9"/>
  <c r="A952" i="9"/>
  <c r="A951" i="9"/>
  <c r="A950" i="9"/>
  <c r="A949" i="9"/>
  <c r="A948" i="9"/>
  <c r="A947" i="9"/>
  <c r="A946" i="9"/>
  <c r="A945" i="9"/>
  <c r="A944" i="9"/>
  <c r="A943" i="9"/>
  <c r="A942" i="9"/>
  <c r="A941" i="9"/>
  <c r="A940" i="9"/>
  <c r="A939" i="9"/>
  <c r="A938" i="9"/>
  <c r="A937" i="9"/>
  <c r="A936" i="9"/>
  <c r="A935" i="9"/>
  <c r="A934" i="9"/>
  <c r="A933" i="9"/>
  <c r="A932" i="9"/>
  <c r="A931" i="9"/>
  <c r="A930" i="9"/>
  <c r="A929" i="9"/>
  <c r="A928" i="9"/>
  <c r="A927" i="9"/>
  <c r="A926" i="9"/>
  <c r="A925" i="9"/>
  <c r="A924" i="9"/>
  <c r="A923" i="9"/>
  <c r="A922" i="9"/>
  <c r="A921" i="9"/>
  <c r="A920" i="9"/>
  <c r="A919" i="9"/>
  <c r="A918" i="9"/>
  <c r="A917" i="9"/>
  <c r="A916" i="9"/>
  <c r="A915" i="9"/>
  <c r="A914" i="9"/>
  <c r="A913" i="9"/>
  <c r="A912" i="9"/>
  <c r="A911" i="9"/>
  <c r="A910" i="9"/>
  <c r="A909" i="9"/>
  <c r="A908" i="9"/>
  <c r="A907" i="9"/>
  <c r="A906" i="9"/>
  <c r="A905" i="9"/>
  <c r="A904" i="9"/>
  <c r="A903" i="9"/>
  <c r="A902" i="9"/>
  <c r="A901" i="9"/>
  <c r="A900" i="9"/>
  <c r="A899" i="9"/>
  <c r="A898" i="9"/>
  <c r="A897" i="9"/>
  <c r="A896" i="9"/>
  <c r="A895" i="9"/>
  <c r="A894" i="9"/>
  <c r="A893" i="9"/>
  <c r="A892" i="9"/>
  <c r="A891" i="9"/>
  <c r="A890" i="9"/>
  <c r="A889" i="9"/>
  <c r="A888" i="9"/>
  <c r="A887" i="9"/>
  <c r="A886" i="9"/>
  <c r="A885" i="9"/>
  <c r="A884" i="9"/>
  <c r="A883" i="9"/>
  <c r="A882" i="9"/>
  <c r="A881" i="9"/>
  <c r="A880" i="9"/>
  <c r="A879" i="9"/>
  <c r="A878" i="9"/>
  <c r="A877" i="9"/>
  <c r="A876" i="9"/>
  <c r="A875" i="9"/>
  <c r="A874" i="9"/>
  <c r="A873" i="9"/>
  <c r="A872" i="9"/>
  <c r="A871" i="9"/>
  <c r="A870" i="9"/>
  <c r="A869" i="9"/>
  <c r="A868" i="9"/>
  <c r="A867" i="9"/>
  <c r="A866" i="9"/>
  <c r="A865" i="9"/>
  <c r="A864" i="9"/>
  <c r="A863" i="9"/>
  <c r="A862" i="9"/>
  <c r="A861" i="9"/>
  <c r="A860" i="9"/>
  <c r="A859" i="9"/>
  <c r="A858" i="9"/>
  <c r="A857" i="9"/>
  <c r="A856" i="9"/>
  <c r="A855" i="9"/>
  <c r="A854" i="9"/>
  <c r="A853" i="9"/>
  <c r="A852" i="9"/>
  <c r="A851" i="9"/>
  <c r="A850" i="9"/>
  <c r="A849" i="9"/>
  <c r="A848" i="9"/>
  <c r="A847" i="9"/>
  <c r="A846" i="9"/>
  <c r="A845" i="9"/>
  <c r="A844" i="9"/>
  <c r="A843" i="9"/>
  <c r="A842" i="9"/>
  <c r="A841" i="9"/>
  <c r="A840" i="9"/>
  <c r="A839" i="9"/>
  <c r="A838" i="9"/>
  <c r="A837" i="9"/>
  <c r="A836" i="9"/>
  <c r="A835" i="9"/>
  <c r="A834" i="9"/>
  <c r="A833" i="9"/>
  <c r="A832" i="9"/>
  <c r="A831" i="9"/>
  <c r="A830" i="9"/>
  <c r="A829" i="9"/>
  <c r="A828" i="9"/>
  <c r="A827" i="9"/>
  <c r="A826" i="9"/>
  <c r="A825" i="9"/>
  <c r="A824" i="9"/>
  <c r="A823" i="9"/>
  <c r="A822" i="9"/>
  <c r="A821" i="9"/>
  <c r="A820" i="9"/>
  <c r="A819" i="9"/>
  <c r="A818" i="9"/>
  <c r="A817" i="9"/>
  <c r="A816" i="9"/>
  <c r="A815" i="9"/>
  <c r="A814" i="9"/>
  <c r="A813" i="9"/>
  <c r="A812" i="9"/>
  <c r="A811" i="9"/>
  <c r="A810" i="9"/>
  <c r="A809" i="9"/>
  <c r="A808" i="9"/>
  <c r="A807" i="9"/>
  <c r="A806" i="9"/>
  <c r="A805" i="9"/>
  <c r="A804" i="9"/>
  <c r="A803" i="9"/>
  <c r="A802" i="9"/>
  <c r="A801" i="9"/>
  <c r="A800" i="9"/>
  <c r="A799" i="9"/>
  <c r="A798" i="9"/>
  <c r="A797" i="9"/>
  <c r="A796" i="9"/>
  <c r="A795" i="9"/>
  <c r="A794" i="9"/>
  <c r="A793" i="9"/>
  <c r="A792" i="9"/>
  <c r="A791" i="9"/>
  <c r="A790" i="9"/>
  <c r="A789" i="9"/>
  <c r="A788" i="9"/>
  <c r="A787" i="9"/>
  <c r="A786" i="9"/>
  <c r="A785" i="9"/>
  <c r="A784" i="9"/>
  <c r="A783" i="9"/>
  <c r="A782" i="9"/>
  <c r="A781" i="9"/>
  <c r="A780" i="9"/>
  <c r="A779" i="9"/>
  <c r="A778" i="9"/>
  <c r="A777" i="9"/>
  <c r="A776" i="9"/>
  <c r="A775" i="9"/>
  <c r="A774" i="9"/>
  <c r="A773" i="9"/>
  <c r="A772" i="9"/>
  <c r="A771" i="9"/>
  <c r="A770" i="9"/>
  <c r="A769" i="9"/>
  <c r="A768" i="9"/>
  <c r="A767" i="9"/>
  <c r="A766" i="9"/>
  <c r="A765" i="9"/>
  <c r="A764" i="9"/>
  <c r="A763" i="9"/>
  <c r="A762" i="9"/>
  <c r="A761" i="9"/>
  <c r="A760" i="9"/>
  <c r="A759" i="9"/>
  <c r="A758" i="9"/>
  <c r="A757" i="9"/>
  <c r="A756" i="9"/>
  <c r="A755" i="9"/>
  <c r="A754" i="9"/>
  <c r="A753" i="9"/>
  <c r="A752" i="9"/>
  <c r="A751" i="9"/>
  <c r="A750" i="9"/>
  <c r="A749" i="9"/>
  <c r="A748" i="9"/>
  <c r="A747" i="9"/>
  <c r="A746" i="9"/>
  <c r="A745" i="9"/>
  <c r="A744" i="9"/>
  <c r="A743" i="9"/>
  <c r="A742" i="9"/>
  <c r="A741" i="9"/>
  <c r="A740" i="9"/>
  <c r="A739" i="9"/>
  <c r="A738" i="9"/>
  <c r="A737" i="9"/>
  <c r="A736" i="9"/>
  <c r="A735" i="9"/>
  <c r="A734" i="9"/>
  <c r="A733" i="9"/>
  <c r="A732" i="9"/>
  <c r="A731" i="9"/>
  <c r="A730" i="9"/>
  <c r="A729" i="9"/>
  <c r="A728" i="9"/>
  <c r="A727" i="9"/>
  <c r="A726" i="9"/>
  <c r="A725" i="9"/>
  <c r="A724" i="9"/>
  <c r="A723" i="9"/>
  <c r="A722" i="9"/>
  <c r="A721" i="9"/>
  <c r="A720" i="9"/>
  <c r="A719" i="9"/>
  <c r="A718" i="9"/>
  <c r="A717" i="9"/>
  <c r="A716" i="9"/>
  <c r="A715" i="9"/>
  <c r="A714" i="9"/>
  <c r="A713" i="9"/>
  <c r="A712" i="9"/>
  <c r="A711" i="9"/>
  <c r="A710" i="9"/>
  <c r="A709" i="9"/>
  <c r="A708" i="9"/>
  <c r="A707" i="9"/>
  <c r="A706" i="9"/>
  <c r="A705" i="9"/>
  <c r="A704" i="9"/>
  <c r="A703" i="9"/>
  <c r="A702" i="9"/>
  <c r="A701" i="9"/>
  <c r="A700" i="9"/>
  <c r="A699" i="9"/>
  <c r="A698" i="9"/>
  <c r="A697" i="9"/>
  <c r="A696" i="9"/>
  <c r="A695" i="9"/>
  <c r="A694" i="9"/>
  <c r="A693" i="9"/>
  <c r="A692" i="9"/>
  <c r="A691" i="9"/>
  <c r="A690" i="9"/>
  <c r="A689" i="9"/>
  <c r="A688" i="9"/>
  <c r="A687" i="9"/>
  <c r="A686" i="9"/>
  <c r="A685" i="9"/>
  <c r="A684" i="9"/>
  <c r="A683" i="9"/>
  <c r="A682" i="9"/>
  <c r="A681" i="9"/>
  <c r="A680" i="9"/>
  <c r="A679" i="9"/>
  <c r="A678" i="9"/>
  <c r="A677" i="9"/>
  <c r="A676" i="9"/>
  <c r="A675" i="9"/>
  <c r="A674" i="9"/>
  <c r="A673" i="9"/>
  <c r="A672" i="9"/>
  <c r="A671" i="9"/>
  <c r="A670" i="9"/>
  <c r="A669" i="9"/>
  <c r="A668" i="9"/>
  <c r="A667" i="9"/>
  <c r="A666" i="9"/>
  <c r="A665" i="9"/>
  <c r="A664" i="9"/>
  <c r="A663" i="9"/>
  <c r="A662" i="9"/>
  <c r="A661" i="9"/>
  <c r="A660" i="9"/>
  <c r="A659" i="9"/>
  <c r="A658" i="9"/>
  <c r="A657" i="9"/>
  <c r="A656" i="9"/>
  <c r="A655" i="9"/>
  <c r="A654" i="9"/>
  <c r="A653" i="9"/>
  <c r="A652" i="9"/>
  <c r="A651" i="9"/>
  <c r="A650" i="9"/>
  <c r="A649" i="9"/>
  <c r="A648" i="9"/>
  <c r="A647" i="9"/>
  <c r="A646" i="9"/>
  <c r="A645" i="9"/>
  <c r="A644" i="9"/>
  <c r="A643" i="9"/>
  <c r="A642" i="9"/>
  <c r="A641" i="9"/>
  <c r="A640" i="9"/>
  <c r="A639" i="9"/>
  <c r="A638" i="9"/>
  <c r="A637" i="9"/>
  <c r="A636" i="9"/>
  <c r="A635" i="9"/>
  <c r="A634" i="9"/>
  <c r="A633" i="9"/>
  <c r="A632" i="9"/>
  <c r="A631" i="9"/>
  <c r="A630" i="9"/>
  <c r="A629" i="9"/>
  <c r="A628" i="9"/>
  <c r="A627" i="9"/>
  <c r="A626" i="9"/>
  <c r="A625" i="9"/>
  <c r="A624" i="9"/>
  <c r="A623" i="9"/>
  <c r="A622" i="9"/>
  <c r="A621" i="9"/>
  <c r="A620" i="9"/>
  <c r="A619" i="9"/>
  <c r="A618" i="9"/>
  <c r="A617" i="9"/>
  <c r="A616" i="9"/>
  <c r="A615" i="9"/>
  <c r="A614" i="9"/>
  <c r="A613" i="9"/>
  <c r="A612" i="9"/>
  <c r="A611" i="9"/>
  <c r="A610" i="9"/>
  <c r="A609" i="9"/>
  <c r="A608" i="9"/>
  <c r="A607" i="9"/>
  <c r="A606" i="9"/>
  <c r="A605" i="9"/>
  <c r="A604" i="9"/>
  <c r="A603" i="9"/>
  <c r="A602" i="9"/>
  <c r="A601" i="9"/>
  <c r="A600" i="9"/>
  <c r="A599" i="9"/>
  <c r="A598" i="9"/>
  <c r="A597" i="9"/>
  <c r="A596" i="9"/>
  <c r="A595" i="9"/>
  <c r="A594" i="9"/>
  <c r="A593" i="9"/>
  <c r="A592" i="9"/>
  <c r="A591" i="9"/>
  <c r="A590" i="9"/>
  <c r="A589" i="9"/>
  <c r="A588" i="9"/>
  <c r="A587" i="9"/>
  <c r="A586" i="9"/>
  <c r="A585" i="9"/>
  <c r="A584" i="9"/>
  <c r="A583" i="9"/>
  <c r="A582" i="9"/>
  <c r="A581" i="9"/>
  <c r="A580" i="9"/>
  <c r="A579" i="9"/>
  <c r="A578" i="9"/>
  <c r="A577" i="9"/>
  <c r="A576" i="9"/>
  <c r="A575" i="9"/>
  <c r="A574" i="9"/>
  <c r="A573" i="9"/>
  <c r="A572" i="9"/>
  <c r="A571" i="9"/>
  <c r="A570" i="9"/>
  <c r="A569" i="9"/>
  <c r="A568" i="9"/>
  <c r="A567" i="9"/>
  <c r="A566" i="9"/>
  <c r="A565" i="9"/>
  <c r="A564" i="9"/>
  <c r="A563" i="9"/>
  <c r="A562" i="9"/>
  <c r="A561" i="9"/>
  <c r="A560" i="9"/>
  <c r="A559" i="9"/>
  <c r="A558" i="9"/>
  <c r="A557" i="9"/>
  <c r="A556" i="9"/>
  <c r="A555" i="9"/>
  <c r="A554" i="9"/>
  <c r="A553" i="9"/>
  <c r="A552" i="9"/>
  <c r="A551" i="9"/>
  <c r="A550" i="9"/>
  <c r="A549" i="9"/>
  <c r="A548" i="9"/>
  <c r="A547" i="9"/>
  <c r="A546" i="9"/>
  <c r="A545" i="9"/>
  <c r="A544" i="9"/>
  <c r="A543" i="9"/>
  <c r="A542" i="9"/>
  <c r="A541" i="9"/>
  <c r="A540" i="9"/>
  <c r="A539" i="9"/>
  <c r="A538" i="9"/>
  <c r="A537" i="9"/>
  <c r="A536" i="9"/>
  <c r="A535" i="9"/>
  <c r="A534" i="9"/>
  <c r="A533" i="9"/>
  <c r="A532" i="9"/>
  <c r="A531" i="9"/>
  <c r="A530" i="9"/>
  <c r="A529" i="9"/>
  <c r="A528" i="9"/>
  <c r="A527" i="9"/>
  <c r="A526" i="9"/>
  <c r="A525" i="9"/>
  <c r="A524" i="9"/>
  <c r="A523" i="9"/>
  <c r="A522" i="9"/>
  <c r="A521" i="9"/>
  <c r="A520" i="9"/>
  <c r="A519" i="9"/>
  <c r="A518" i="9"/>
  <c r="A517" i="9"/>
  <c r="A516" i="9"/>
  <c r="A515" i="9"/>
  <c r="A514" i="9"/>
  <c r="A513" i="9"/>
  <c r="A512" i="9"/>
  <c r="A511" i="9"/>
  <c r="A510" i="9"/>
  <c r="A509" i="9"/>
  <c r="A508" i="9"/>
  <c r="A507" i="9"/>
  <c r="A506" i="9"/>
  <c r="A505" i="9"/>
  <c r="A504" i="9"/>
  <c r="A503" i="9"/>
  <c r="A502" i="9"/>
  <c r="A501" i="9"/>
  <c r="A500" i="9"/>
  <c r="A499" i="9"/>
  <c r="A498" i="9"/>
  <c r="A497" i="9"/>
  <c r="A496" i="9"/>
  <c r="A495" i="9"/>
  <c r="A494" i="9"/>
  <c r="A493" i="9"/>
  <c r="A492" i="9"/>
  <c r="A491" i="9"/>
  <c r="A490" i="9"/>
  <c r="A489" i="9"/>
  <c r="A488" i="9"/>
  <c r="A487" i="9"/>
  <c r="A486" i="9"/>
  <c r="A485" i="9"/>
  <c r="A484" i="9"/>
  <c r="A483" i="9"/>
  <c r="A482" i="9"/>
  <c r="A481" i="9"/>
  <c r="A480" i="9"/>
  <c r="A479" i="9"/>
  <c r="A478" i="9"/>
  <c r="A477" i="9"/>
  <c r="A476" i="9"/>
  <c r="A475" i="9"/>
  <c r="A474" i="9"/>
  <c r="A473" i="9"/>
  <c r="A472" i="9"/>
  <c r="A471" i="9"/>
  <c r="A470" i="9"/>
  <c r="A469" i="9"/>
  <c r="A468" i="9"/>
  <c r="A467" i="9"/>
  <c r="A466" i="9"/>
  <c r="A465" i="9"/>
  <c r="A464" i="9"/>
  <c r="A463" i="9"/>
  <c r="A462" i="9"/>
  <c r="A461" i="9"/>
  <c r="A460" i="9"/>
  <c r="A459" i="9"/>
  <c r="A458" i="9"/>
  <c r="A457" i="9"/>
  <c r="A456" i="9"/>
  <c r="A455" i="9"/>
  <c r="A454" i="9"/>
  <c r="A453" i="9"/>
  <c r="A452" i="9"/>
  <c r="A451" i="9"/>
  <c r="A450" i="9"/>
  <c r="A449" i="9"/>
  <c r="A448" i="9"/>
  <c r="A447" i="9"/>
  <c r="A446" i="9"/>
  <c r="A445" i="9"/>
  <c r="A444" i="9"/>
  <c r="A443" i="9"/>
  <c r="A442" i="9"/>
  <c r="A441" i="9"/>
  <c r="A440" i="9"/>
  <c r="A439" i="9"/>
  <c r="A438" i="9"/>
  <c r="A437" i="9"/>
  <c r="A436" i="9"/>
  <c r="A435" i="9"/>
  <c r="A434" i="9"/>
  <c r="A433" i="9"/>
  <c r="A432" i="9"/>
  <c r="A431" i="9"/>
  <c r="A430" i="9"/>
  <c r="A429" i="9"/>
  <c r="A428" i="9"/>
  <c r="A427" i="9"/>
  <c r="A426" i="9"/>
  <c r="A425" i="9"/>
  <c r="A424" i="9"/>
  <c r="A423" i="9"/>
  <c r="A422" i="9"/>
  <c r="A421" i="9"/>
  <c r="A420" i="9"/>
  <c r="A419" i="9"/>
  <c r="A418" i="9"/>
  <c r="A417" i="9"/>
  <c r="A416" i="9"/>
  <c r="A415" i="9"/>
  <c r="A414" i="9"/>
  <c r="A413" i="9"/>
  <c r="A412" i="9"/>
  <c r="A411" i="9"/>
  <c r="A410" i="9"/>
  <c r="A409" i="9"/>
  <c r="A408" i="9"/>
  <c r="A407" i="9"/>
  <c r="A406" i="9"/>
  <c r="A405" i="9"/>
  <c r="A404" i="9"/>
  <c r="A403" i="9"/>
  <c r="A402" i="9"/>
  <c r="A401" i="9"/>
  <c r="A400" i="9"/>
  <c r="A399" i="9"/>
  <c r="A398" i="9"/>
  <c r="A397" i="9"/>
  <c r="B397" i="9" s="1"/>
  <c r="A396" i="9"/>
  <c r="A395" i="9"/>
  <c r="A394" i="9"/>
  <c r="A393" i="9"/>
  <c r="A392" i="9"/>
  <c r="A391" i="9"/>
  <c r="A390" i="9"/>
  <c r="A389" i="9"/>
  <c r="A388" i="9"/>
  <c r="A387" i="9"/>
  <c r="A386" i="9"/>
  <c r="A385" i="9"/>
  <c r="A384" i="9"/>
  <c r="A383" i="9"/>
  <c r="A382" i="9"/>
  <c r="A381" i="9"/>
  <c r="A380" i="9"/>
  <c r="A379" i="9"/>
  <c r="A378" i="9"/>
  <c r="A377" i="9"/>
  <c r="A376" i="9"/>
  <c r="A375" i="9"/>
  <c r="A374" i="9"/>
  <c r="A373" i="9"/>
  <c r="A372" i="9"/>
  <c r="A371" i="9"/>
  <c r="A370" i="9"/>
  <c r="A369" i="9"/>
  <c r="A368" i="9"/>
  <c r="A367" i="9"/>
  <c r="A366" i="9"/>
  <c r="A365" i="9"/>
  <c r="A364" i="9"/>
  <c r="A363" i="9"/>
  <c r="A362" i="9"/>
  <c r="A361" i="9"/>
  <c r="A360" i="9"/>
  <c r="A359" i="9"/>
  <c r="A358" i="9"/>
  <c r="A357" i="9"/>
  <c r="A356" i="9"/>
  <c r="A355" i="9"/>
  <c r="A354" i="9"/>
  <c r="A353" i="9"/>
  <c r="A352" i="9"/>
  <c r="A351" i="9"/>
  <c r="A350" i="9"/>
  <c r="A349" i="9"/>
  <c r="A348" i="9"/>
  <c r="A347" i="9"/>
  <c r="A346" i="9"/>
  <c r="A345" i="9"/>
  <c r="A344" i="9"/>
  <c r="A343" i="9"/>
  <c r="A342" i="9"/>
  <c r="A341" i="9"/>
  <c r="A340" i="9"/>
  <c r="A339" i="9"/>
  <c r="A338" i="9"/>
  <c r="A337" i="9"/>
  <c r="A336" i="9"/>
  <c r="A335" i="9"/>
  <c r="A334" i="9"/>
  <c r="A333" i="9"/>
  <c r="A332" i="9"/>
  <c r="A331" i="9"/>
  <c r="A330" i="9"/>
  <c r="A329" i="9"/>
  <c r="A328" i="9"/>
  <c r="A327" i="9"/>
  <c r="A326" i="9"/>
  <c r="A325" i="9"/>
  <c r="A324" i="9"/>
  <c r="A323" i="9"/>
  <c r="A322" i="9"/>
  <c r="A321" i="9"/>
  <c r="A320" i="9"/>
  <c r="A319" i="9"/>
  <c r="A318" i="9"/>
  <c r="C318" i="9" s="1"/>
  <c r="A317" i="9"/>
  <c r="A316" i="9"/>
  <c r="A315" i="9"/>
  <c r="A314" i="9"/>
  <c r="A313" i="9"/>
  <c r="A312" i="9"/>
  <c r="A311" i="9"/>
  <c r="A310" i="9"/>
  <c r="A309" i="9"/>
  <c r="A308" i="9"/>
  <c r="A307" i="9"/>
  <c r="A306" i="9"/>
  <c r="A305" i="9"/>
  <c r="A304" i="9"/>
  <c r="A303" i="9"/>
  <c r="A302" i="9"/>
  <c r="A301" i="9"/>
  <c r="A300" i="9"/>
  <c r="A299" i="9"/>
  <c r="A298" i="9"/>
  <c r="A297" i="9"/>
  <c r="A296" i="9"/>
  <c r="A295" i="9"/>
  <c r="A294" i="9"/>
  <c r="A293" i="9"/>
  <c r="A292" i="9"/>
  <c r="C292" i="9" s="1"/>
  <c r="A291" i="9"/>
  <c r="A290" i="9"/>
  <c r="A289" i="9"/>
  <c r="A288" i="9"/>
  <c r="A287" i="9"/>
  <c r="A286" i="9"/>
  <c r="A285" i="9"/>
  <c r="A284" i="9"/>
  <c r="A283" i="9"/>
  <c r="A282" i="9"/>
  <c r="A281" i="9"/>
  <c r="A280" i="9"/>
  <c r="A279" i="9"/>
  <c r="A278" i="9"/>
  <c r="A277" i="9"/>
  <c r="A276" i="9"/>
  <c r="A275" i="9"/>
  <c r="A274" i="9"/>
  <c r="A273" i="9"/>
  <c r="A272" i="9"/>
  <c r="A271" i="9"/>
  <c r="A270" i="9"/>
  <c r="A269" i="9"/>
  <c r="A268" i="9"/>
  <c r="A267" i="9"/>
  <c r="A266" i="9"/>
  <c r="A265" i="9"/>
  <c r="A264" i="9"/>
  <c r="A263" i="9"/>
  <c r="A262" i="9"/>
  <c r="A261" i="9"/>
  <c r="A260" i="9"/>
  <c r="A259" i="9"/>
  <c r="A258" i="9"/>
  <c r="A257" i="9"/>
  <c r="A256" i="9"/>
  <c r="A255" i="9"/>
  <c r="A254" i="9"/>
  <c r="A253" i="9"/>
  <c r="A252" i="9"/>
  <c r="A251" i="9"/>
  <c r="A250" i="9"/>
  <c r="A249" i="9"/>
  <c r="A248" i="9"/>
  <c r="A247" i="9"/>
  <c r="A246" i="9"/>
  <c r="A245" i="9"/>
  <c r="A244" i="9"/>
  <c r="A243" i="9"/>
  <c r="A242" i="9"/>
  <c r="A241" i="9"/>
  <c r="A240" i="9"/>
  <c r="A239" i="9"/>
  <c r="A238" i="9"/>
  <c r="A237" i="9"/>
  <c r="A236" i="9"/>
  <c r="A235" i="9"/>
  <c r="A234" i="9"/>
  <c r="A233" i="9"/>
  <c r="A232" i="9"/>
  <c r="A231" i="9"/>
  <c r="A230" i="9"/>
  <c r="A229" i="9"/>
  <c r="A228" i="9"/>
  <c r="A227" i="9"/>
  <c r="A226" i="9"/>
  <c r="A225" i="9"/>
  <c r="A224" i="9"/>
  <c r="A223" i="9"/>
  <c r="A222" i="9"/>
  <c r="A221" i="9"/>
  <c r="A220" i="9"/>
  <c r="A219" i="9"/>
  <c r="A218" i="9"/>
  <c r="A217" i="9"/>
  <c r="A216" i="9"/>
  <c r="A215" i="9"/>
  <c r="A214" i="9"/>
  <c r="A213" i="9"/>
  <c r="A212" i="9"/>
  <c r="A211" i="9"/>
  <c r="A210" i="9"/>
  <c r="A209" i="9"/>
  <c r="A208" i="9"/>
  <c r="A207" i="9"/>
  <c r="A206" i="9"/>
  <c r="A205" i="9"/>
  <c r="A204" i="9"/>
  <c r="A203" i="9"/>
  <c r="A202" i="9"/>
  <c r="A201" i="9"/>
  <c r="A200" i="9"/>
  <c r="A199" i="9"/>
  <c r="A198" i="9"/>
  <c r="A197" i="9"/>
  <c r="A196" i="9"/>
  <c r="A195" i="9"/>
  <c r="A194" i="9"/>
  <c r="C194" i="9" s="1"/>
  <c r="A193" i="9"/>
  <c r="A192" i="9"/>
  <c r="A191" i="9"/>
  <c r="A190" i="9"/>
  <c r="A189" i="9"/>
  <c r="A188" i="9"/>
  <c r="A187" i="9"/>
  <c r="A186" i="9"/>
  <c r="A185" i="9"/>
  <c r="A184" i="9"/>
  <c r="A183" i="9"/>
  <c r="A182" i="9"/>
  <c r="A181" i="9"/>
  <c r="A180" i="9"/>
  <c r="C180" i="9" s="1"/>
  <c r="A179" i="9"/>
  <c r="A178" i="9"/>
  <c r="A177" i="9"/>
  <c r="A176" i="9"/>
  <c r="A175" i="9"/>
  <c r="A174" i="9"/>
  <c r="A173" i="9"/>
  <c r="A172" i="9"/>
  <c r="A171" i="9"/>
  <c r="A170" i="9"/>
  <c r="A169" i="9"/>
  <c r="A168" i="9"/>
  <c r="A167" i="9"/>
  <c r="A166" i="9"/>
  <c r="A165" i="9"/>
  <c r="A164" i="9"/>
  <c r="A163" i="9"/>
  <c r="A162" i="9"/>
  <c r="B162" i="9" s="1"/>
  <c r="A161" i="9"/>
  <c r="A160" i="9"/>
  <c r="A159" i="9"/>
  <c r="A158" i="9"/>
  <c r="A157" i="9"/>
  <c r="A156" i="9"/>
  <c r="A155" i="9"/>
  <c r="A154" i="9"/>
  <c r="A153" i="9"/>
  <c r="A152" i="9"/>
  <c r="A151" i="9"/>
  <c r="A150" i="9"/>
  <c r="A149" i="9"/>
  <c r="A148" i="9"/>
  <c r="A147" i="9"/>
  <c r="A146" i="9"/>
  <c r="A145" i="9"/>
  <c r="A144" i="9"/>
  <c r="A143" i="9"/>
  <c r="A142" i="9"/>
  <c r="A141" i="9"/>
  <c r="A140" i="9"/>
  <c r="A139" i="9"/>
  <c r="A138" i="9"/>
  <c r="A137" i="9"/>
  <c r="A136" i="9"/>
  <c r="A135" i="9"/>
  <c r="C135" i="9" s="1"/>
  <c r="A134" i="9"/>
  <c r="A133" i="9"/>
  <c r="A132" i="9"/>
  <c r="A131" i="9"/>
  <c r="A130" i="9"/>
  <c r="A129" i="9"/>
  <c r="A128" i="9"/>
  <c r="A127" i="9"/>
  <c r="A126" i="9"/>
  <c r="A125" i="9"/>
  <c r="A124" i="9"/>
  <c r="A123" i="9"/>
  <c r="A122" i="9"/>
  <c r="A121" i="9"/>
  <c r="A120" i="9"/>
  <c r="A119" i="9"/>
  <c r="A118" i="9"/>
  <c r="A117" i="9"/>
  <c r="A116" i="9"/>
  <c r="A115" i="9"/>
  <c r="A114" i="9"/>
  <c r="A113" i="9"/>
  <c r="A112" i="9"/>
  <c r="A111" i="9"/>
  <c r="A110" i="9"/>
  <c r="A109" i="9"/>
  <c r="A108" i="9"/>
  <c r="A107" i="9"/>
  <c r="A106" i="9"/>
  <c r="A105" i="9"/>
  <c r="A104" i="9"/>
  <c r="A103" i="9"/>
  <c r="A102" i="9"/>
  <c r="A101" i="9"/>
  <c r="A100" i="9"/>
  <c r="A99" i="9"/>
  <c r="A98" i="9"/>
  <c r="A97" i="9"/>
  <c r="A96" i="9"/>
  <c r="A95" i="9"/>
  <c r="A94" i="9"/>
  <c r="A93" i="9"/>
  <c r="A92" i="9"/>
  <c r="A91" i="9"/>
  <c r="A90" i="9"/>
  <c r="A89" i="9"/>
  <c r="A88" i="9"/>
  <c r="A87" i="9"/>
  <c r="A86" i="9"/>
  <c r="A85" i="9"/>
  <c r="A84" i="9"/>
  <c r="A83" i="9"/>
  <c r="A82" i="9"/>
  <c r="A81" i="9"/>
  <c r="A80" i="9"/>
  <c r="A79" i="9"/>
  <c r="A78" i="9"/>
  <c r="A77" i="9"/>
  <c r="A76" i="9"/>
  <c r="A75" i="9"/>
  <c r="A74" i="9"/>
  <c r="A73" i="9"/>
  <c r="A72" i="9"/>
  <c r="A71" i="9"/>
  <c r="A70" i="9"/>
  <c r="A69" i="9"/>
  <c r="A68" i="9"/>
  <c r="A67" i="9"/>
  <c r="A66" i="9"/>
  <c r="A65" i="9"/>
  <c r="A64" i="9"/>
  <c r="A63" i="9"/>
  <c r="A62" i="9"/>
  <c r="A61" i="9"/>
  <c r="A60" i="9"/>
  <c r="A59" i="9"/>
  <c r="A58" i="9"/>
  <c r="A57" i="9"/>
  <c r="A56" i="9"/>
  <c r="A55" i="9"/>
  <c r="A54" i="9"/>
  <c r="A53" i="9"/>
  <c r="A52" i="9"/>
  <c r="A51" i="9"/>
  <c r="A50" i="9"/>
  <c r="A49" i="9"/>
  <c r="A48" i="9"/>
  <c r="A47" i="9"/>
  <c r="A46" i="9"/>
  <c r="A45" i="9"/>
  <c r="A44" i="9"/>
  <c r="A43" i="9"/>
  <c r="A42" i="9"/>
  <c r="A41" i="9"/>
  <c r="A40" i="9"/>
  <c r="A39" i="9"/>
  <c r="A38" i="9"/>
  <c r="A37" i="9"/>
  <c r="A36" i="9"/>
  <c r="A35" i="9"/>
  <c r="A34" i="9"/>
  <c r="A33" i="9"/>
  <c r="A32" i="9"/>
  <c r="A31" i="9"/>
  <c r="A30" i="9"/>
  <c r="A29" i="9"/>
  <c r="A28" i="9"/>
  <c r="A27" i="9"/>
  <c r="A26" i="9"/>
  <c r="A25" i="9"/>
  <c r="A24" i="9"/>
  <c r="A23" i="9"/>
  <c r="A22" i="9"/>
  <c r="A21" i="9"/>
  <c r="A20" i="9"/>
  <c r="A19" i="9"/>
  <c r="A18" i="9"/>
  <c r="A17" i="9"/>
  <c r="A16" i="9"/>
  <c r="C16" i="9" s="1"/>
  <c r="A15" i="9"/>
  <c r="A14" i="9"/>
  <c r="A13" i="9"/>
  <c r="A12" i="9"/>
  <c r="A11" i="9"/>
  <c r="A10" i="9"/>
  <c r="A9" i="9"/>
  <c r="A8" i="9"/>
  <c r="A7" i="9"/>
  <c r="A6" i="9"/>
  <c r="A5" i="9"/>
  <c r="C4" i="9"/>
  <c r="A4" i="9"/>
  <c r="B4" i="9" s="1"/>
  <c r="A3" i="9"/>
  <c r="C3" i="9" s="1"/>
  <c r="A2" i="9"/>
  <c r="B2" i="9" s="1"/>
  <c r="B306" i="9" l="1"/>
  <c r="B337" i="10"/>
  <c r="C337" i="10"/>
  <c r="C478" i="10"/>
  <c r="B478" i="10"/>
  <c r="C1182" i="10"/>
  <c r="C469" i="10"/>
  <c r="B469" i="10"/>
  <c r="C1149" i="10"/>
  <c r="B1149" i="10"/>
  <c r="C528" i="10"/>
  <c r="B528" i="10"/>
  <c r="C1165" i="10"/>
  <c r="B1165" i="10"/>
  <c r="C1183" i="10"/>
  <c r="B1183" i="10"/>
  <c r="C697" i="10"/>
  <c r="B697" i="10"/>
  <c r="C553" i="10"/>
  <c r="B553" i="10"/>
  <c r="C1006" i="10"/>
  <c r="B1006" i="10"/>
  <c r="C371" i="10"/>
  <c r="B371" i="10"/>
  <c r="C980" i="10"/>
  <c r="B980" i="10"/>
  <c r="C360" i="10"/>
  <c r="C1133" i="10"/>
  <c r="B1133" i="10"/>
  <c r="C1170" i="10"/>
  <c r="B1170" i="10"/>
  <c r="C345" i="10"/>
  <c r="B345" i="10"/>
  <c r="C637" i="9"/>
  <c r="B637" i="9"/>
  <c r="C668" i="9"/>
  <c r="C475" i="9"/>
  <c r="B475" i="9"/>
  <c r="C1164" i="9"/>
  <c r="B762" i="9"/>
  <c r="C8" i="10"/>
  <c r="B100" i="10"/>
  <c r="C40" i="10"/>
  <c r="C299" i="10"/>
  <c r="B286" i="10"/>
  <c r="C138" i="10"/>
  <c r="C125" i="10"/>
  <c r="B8" i="10"/>
  <c r="B34" i="10"/>
  <c r="C19" i="10"/>
  <c r="B258" i="10"/>
  <c r="C197" i="10"/>
  <c r="C137" i="10"/>
  <c r="B77" i="10"/>
  <c r="B137" i="10"/>
  <c r="B270" i="10"/>
  <c r="B60" i="10"/>
  <c r="C313" i="10"/>
  <c r="C237" i="10"/>
  <c r="C206" i="10"/>
  <c r="B147" i="10"/>
  <c r="C163" i="10"/>
  <c r="C147" i="10"/>
  <c r="B206" i="10"/>
  <c r="B98" i="10"/>
  <c r="B111" i="10"/>
  <c r="C1189" i="9"/>
  <c r="C1176" i="9"/>
  <c r="B893" i="9"/>
  <c r="C1195" i="9"/>
  <c r="B1195" i="9"/>
  <c r="C315" i="10"/>
  <c r="B315" i="10"/>
  <c r="C942" i="10"/>
  <c r="B942" i="10"/>
  <c r="C105" i="9"/>
  <c r="B105" i="9"/>
  <c r="C121" i="9"/>
  <c r="C307" i="9"/>
  <c r="B307" i="9"/>
  <c r="C12" i="9"/>
  <c r="B12" i="9"/>
  <c r="C205" i="9"/>
  <c r="B84" i="9"/>
  <c r="C374" i="9"/>
  <c r="B267" i="9"/>
  <c r="C98" i="9"/>
  <c r="C577" i="9"/>
  <c r="C293" i="9"/>
  <c r="B291" i="9"/>
  <c r="B27" i="9"/>
  <c r="C277" i="9"/>
  <c r="B13" i="9"/>
  <c r="C155" i="9"/>
  <c r="C125" i="9"/>
  <c r="C82" i="9"/>
  <c r="C234" i="9"/>
  <c r="B234" i="9"/>
  <c r="C221" i="9"/>
  <c r="B221" i="9"/>
  <c r="B74" i="9"/>
  <c r="B66" i="9"/>
  <c r="B57" i="9"/>
  <c r="C41" i="9"/>
  <c r="B9" i="9"/>
  <c r="C117" i="9"/>
  <c r="C109" i="9"/>
  <c r="B82" i="9"/>
  <c r="C73" i="9"/>
  <c r="B56" i="9"/>
  <c r="B8" i="9"/>
  <c r="B73" i="9"/>
  <c r="B40" i="9"/>
  <c r="C23" i="9"/>
  <c r="C445" i="9"/>
  <c r="C416" i="9"/>
  <c r="C405" i="9"/>
  <c r="C338" i="9"/>
  <c r="C214" i="9"/>
  <c r="B180" i="9"/>
  <c r="B134" i="9"/>
  <c r="C123" i="9"/>
  <c r="C59" i="9"/>
  <c r="B10" i="9"/>
  <c r="C1077" i="9"/>
  <c r="C501" i="9"/>
  <c r="B416" i="9"/>
  <c r="B302" i="9"/>
  <c r="B238" i="9"/>
  <c r="B214" i="9"/>
  <c r="C145" i="9"/>
  <c r="B111" i="9"/>
  <c r="B89" i="9"/>
  <c r="B80" i="9"/>
  <c r="B59" i="9"/>
  <c r="B1077" i="9"/>
  <c r="C1017" i="9"/>
  <c r="C986" i="9"/>
  <c r="C847" i="9"/>
  <c r="C514" i="9"/>
  <c r="B337" i="9"/>
  <c r="B249" i="9"/>
  <c r="B189" i="9"/>
  <c r="C37" i="9"/>
  <c r="B626" i="9"/>
  <c r="B336" i="9"/>
  <c r="B212" i="9"/>
  <c r="B166" i="9"/>
  <c r="B132" i="9"/>
  <c r="C27" i="9"/>
  <c r="B1029" i="9"/>
  <c r="C681" i="9"/>
  <c r="C651" i="9"/>
  <c r="B638" i="9"/>
  <c r="C512" i="9"/>
  <c r="C324" i="9"/>
  <c r="C247" i="9"/>
  <c r="C199" i="9"/>
  <c r="C1056" i="9"/>
  <c r="C537" i="9"/>
  <c r="C398" i="9"/>
  <c r="C358" i="9"/>
  <c r="C296" i="9"/>
  <c r="C35" i="9"/>
  <c r="B5" i="9"/>
  <c r="B796" i="9"/>
  <c r="C409" i="9"/>
  <c r="C231" i="9"/>
  <c r="B95" i="9"/>
  <c r="C43" i="9"/>
  <c r="B588" i="9"/>
  <c r="B468" i="9"/>
  <c r="C103" i="9"/>
  <c r="B31" i="9"/>
  <c r="B21" i="9"/>
  <c r="C10" i="9"/>
  <c r="C739" i="9"/>
  <c r="B602" i="9"/>
  <c r="B560" i="9"/>
  <c r="C408" i="9"/>
  <c r="C396" i="9"/>
  <c r="C270" i="9"/>
  <c r="C243" i="9"/>
  <c r="C215" i="9"/>
  <c r="C141" i="9"/>
  <c r="C115" i="9"/>
  <c r="C42" i="9"/>
  <c r="C629" i="9"/>
  <c r="C325" i="9"/>
  <c r="B243" i="9"/>
  <c r="B215" i="9"/>
  <c r="C153" i="9"/>
  <c r="B141" i="9"/>
  <c r="C53" i="9"/>
  <c r="B30" i="9"/>
  <c r="C1137" i="9"/>
  <c r="C1043" i="9"/>
  <c r="B809" i="9"/>
  <c r="C750" i="9"/>
  <c r="C395" i="9"/>
  <c r="B164" i="9"/>
  <c r="B153" i="9"/>
  <c r="B88" i="9"/>
  <c r="B53" i="9"/>
  <c r="B750" i="9"/>
  <c r="C126" i="9"/>
  <c r="B18" i="9"/>
  <c r="C777" i="9"/>
  <c r="C762" i="9"/>
  <c r="C613" i="9"/>
  <c r="B571" i="9"/>
  <c r="C434" i="9"/>
  <c r="C267" i="9"/>
  <c r="B174" i="9"/>
  <c r="B976" i="9"/>
  <c r="C835" i="9"/>
  <c r="B432" i="9"/>
  <c r="C306" i="9"/>
  <c r="C222" i="9"/>
  <c r="C172" i="9"/>
  <c r="C161" i="9"/>
  <c r="B15" i="9"/>
  <c r="B651" i="9"/>
  <c r="C576" i="9"/>
  <c r="B374" i="9"/>
  <c r="C329" i="9"/>
  <c r="B259" i="9"/>
  <c r="C11" i="9"/>
  <c r="B329" i="9"/>
  <c r="B146" i="9"/>
  <c r="C132" i="9"/>
  <c r="B11" i="9"/>
  <c r="B899" i="9"/>
  <c r="C185" i="9"/>
  <c r="B62" i="9"/>
  <c r="B36" i="9"/>
  <c r="B618" i="9"/>
  <c r="C328" i="9"/>
  <c r="C211" i="9"/>
  <c r="B172" i="9"/>
  <c r="C1119" i="9"/>
  <c r="B741" i="9"/>
  <c r="B384" i="9"/>
  <c r="C397" i="9"/>
  <c r="C171" i="9"/>
  <c r="C21" i="9"/>
  <c r="B194" i="9"/>
  <c r="B70" i="9"/>
  <c r="B43" i="9"/>
  <c r="C5" i="9"/>
  <c r="B104" i="9"/>
  <c r="C134" i="9"/>
  <c r="B193" i="9"/>
  <c r="B206" i="9"/>
  <c r="B253" i="9"/>
  <c r="C419" i="9"/>
  <c r="B419" i="9"/>
  <c r="B577" i="9"/>
  <c r="C908" i="9"/>
  <c r="B908" i="9"/>
  <c r="C36" i="9"/>
  <c r="B51" i="9"/>
  <c r="C51" i="9"/>
  <c r="B195" i="9"/>
  <c r="C195" i="9"/>
  <c r="C565" i="9"/>
  <c r="C626" i="9"/>
  <c r="C6" i="9"/>
  <c r="B6" i="9"/>
  <c r="C22" i="9"/>
  <c r="B81" i="9"/>
  <c r="B94" i="9"/>
  <c r="B182" i="9"/>
  <c r="C346" i="9"/>
  <c r="C534" i="9"/>
  <c r="C753" i="9"/>
  <c r="B37" i="9"/>
  <c r="C81" i="9"/>
  <c r="B125" i="9"/>
  <c r="C182" i="9"/>
  <c r="C754" i="9"/>
  <c r="C456" i="9"/>
  <c r="C504" i="9"/>
  <c r="C69" i="9"/>
  <c r="B318" i="9"/>
  <c r="C348" i="9"/>
  <c r="C55" i="9"/>
  <c r="B98" i="9"/>
  <c r="C554" i="9"/>
  <c r="B554" i="9"/>
  <c r="C97" i="9"/>
  <c r="B97" i="9"/>
  <c r="B847" i="9"/>
  <c r="C60" i="9"/>
  <c r="B60" i="9"/>
  <c r="B476" i="9"/>
  <c r="C1150" i="9"/>
  <c r="B1150" i="9"/>
  <c r="B47" i="9"/>
  <c r="B61" i="9"/>
  <c r="C61" i="9"/>
  <c r="C87" i="9"/>
  <c r="C446" i="9"/>
  <c r="B446" i="9"/>
  <c r="B22" i="9"/>
  <c r="C47" i="9"/>
  <c r="B87" i="9"/>
  <c r="C356" i="9"/>
  <c r="C372" i="9"/>
  <c r="C462" i="9"/>
  <c r="B462" i="9"/>
  <c r="C727" i="9"/>
  <c r="B727" i="9"/>
  <c r="B76" i="9"/>
  <c r="C76" i="9"/>
  <c r="B173" i="9"/>
  <c r="C173" i="9"/>
  <c r="B23" i="9"/>
  <c r="C317" i="9"/>
  <c r="C807" i="9"/>
  <c r="C104" i="9"/>
  <c r="C162" i="9"/>
  <c r="B317" i="9"/>
  <c r="B434" i="9"/>
  <c r="B807" i="9"/>
  <c r="C110" i="9"/>
  <c r="C124" i="9"/>
  <c r="B124" i="9"/>
  <c r="B266" i="9"/>
  <c r="C266" i="9"/>
  <c r="C278" i="9"/>
  <c r="B278" i="9"/>
  <c r="C347" i="9"/>
  <c r="B347" i="9"/>
  <c r="C625" i="9"/>
  <c r="B625" i="9"/>
  <c r="C28" i="9"/>
  <c r="B28" i="9"/>
  <c r="C52" i="9"/>
  <c r="C63" i="9"/>
  <c r="B63" i="9"/>
  <c r="B113" i="9"/>
  <c r="B213" i="9"/>
  <c r="C406" i="9"/>
  <c r="C464" i="9"/>
  <c r="B464" i="9"/>
  <c r="B808" i="9"/>
  <c r="C808" i="9"/>
  <c r="B932" i="9"/>
  <c r="C77" i="9"/>
  <c r="B77" i="9"/>
  <c r="C113" i="9"/>
  <c r="B226" i="9"/>
  <c r="B268" i="9"/>
  <c r="C268" i="9"/>
  <c r="B282" i="9"/>
  <c r="C282" i="9"/>
  <c r="B406" i="9"/>
  <c r="C435" i="9"/>
  <c r="B435" i="9"/>
  <c r="C778" i="9"/>
  <c r="B778" i="9"/>
  <c r="B41" i="9"/>
  <c r="C127" i="9"/>
  <c r="B127" i="9"/>
  <c r="C422" i="9"/>
  <c r="B422" i="9"/>
  <c r="B42" i="9"/>
  <c r="B165" i="9"/>
  <c r="B408" i="9"/>
  <c r="C31" i="9"/>
  <c r="C54" i="9"/>
  <c r="B54" i="9"/>
  <c r="C339" i="9"/>
  <c r="B498" i="9"/>
  <c r="B514" i="9"/>
  <c r="C588" i="9"/>
  <c r="B55" i="9"/>
  <c r="C68" i="9"/>
  <c r="B68" i="9"/>
  <c r="C116" i="9"/>
  <c r="B116" i="9"/>
  <c r="B205" i="9"/>
  <c r="C259" i="9"/>
  <c r="B340" i="9"/>
  <c r="C384" i="9"/>
  <c r="C483" i="9"/>
  <c r="B576" i="9"/>
  <c r="C603" i="9"/>
  <c r="C618" i="9"/>
  <c r="C244" i="9"/>
  <c r="B244" i="9"/>
  <c r="B269" i="9"/>
  <c r="C523" i="9"/>
  <c r="B537" i="9"/>
  <c r="C740" i="9"/>
  <c r="C1177" i="9"/>
  <c r="C15" i="9"/>
  <c r="C44" i="9"/>
  <c r="B44" i="9"/>
  <c r="C164" i="9"/>
  <c r="C232" i="9"/>
  <c r="B232" i="9"/>
  <c r="C245" i="9"/>
  <c r="C283" i="9"/>
  <c r="B283" i="9"/>
  <c r="C387" i="9"/>
  <c r="B387" i="9"/>
  <c r="C424" i="9"/>
  <c r="B424" i="9"/>
  <c r="B523" i="9"/>
  <c r="B664" i="9"/>
  <c r="C664" i="9"/>
  <c r="C694" i="9"/>
  <c r="B694" i="9"/>
  <c r="C726" i="9"/>
  <c r="B726" i="9"/>
  <c r="B740" i="9"/>
  <c r="B1148" i="9"/>
  <c r="C1194" i="9"/>
  <c r="C154" i="9"/>
  <c r="B154" i="9"/>
  <c r="B235" i="9"/>
  <c r="C390" i="9"/>
  <c r="C484" i="9"/>
  <c r="C499" i="9"/>
  <c r="C526" i="9"/>
  <c r="C1089" i="9"/>
  <c r="B1089" i="9"/>
  <c r="B78" i="9"/>
  <c r="C78" i="9"/>
  <c r="C88" i="9"/>
  <c r="B155" i="9"/>
  <c r="C188" i="9"/>
  <c r="B222" i="9"/>
  <c r="B260" i="9"/>
  <c r="C260" i="9"/>
  <c r="B312" i="9"/>
  <c r="B348" i="9"/>
  <c r="B456" i="9"/>
  <c r="B484" i="9"/>
  <c r="B499" i="9"/>
  <c r="B526" i="9"/>
  <c r="C714" i="9"/>
  <c r="B714" i="9"/>
  <c r="C730" i="9"/>
  <c r="B730" i="9"/>
  <c r="C893" i="9"/>
  <c r="B1106" i="9"/>
  <c r="C1106" i="9"/>
  <c r="B1137" i="9"/>
  <c r="B19" i="9"/>
  <c r="C19" i="9"/>
  <c r="B29" i="9"/>
  <c r="C48" i="9"/>
  <c r="C99" i="9"/>
  <c r="C122" i="9"/>
  <c r="B122" i="9"/>
  <c r="B133" i="9"/>
  <c r="C156" i="9"/>
  <c r="B156" i="9"/>
  <c r="C202" i="9"/>
  <c r="B202" i="9"/>
  <c r="C223" i="9"/>
  <c r="B223" i="9"/>
  <c r="C326" i="9"/>
  <c r="B326" i="9"/>
  <c r="C486" i="9"/>
  <c r="B486" i="9"/>
  <c r="C20" i="9"/>
  <c r="C29" i="9"/>
  <c r="C38" i="9"/>
  <c r="B38" i="9"/>
  <c r="B123" i="9"/>
  <c r="B203" i="9"/>
  <c r="B224" i="9"/>
  <c r="C315" i="9"/>
  <c r="C473" i="9"/>
  <c r="B642" i="9"/>
  <c r="C987" i="9"/>
  <c r="B987" i="9"/>
  <c r="C146" i="9"/>
  <c r="C191" i="9"/>
  <c r="B191" i="9"/>
  <c r="C291" i="9"/>
  <c r="C488" i="9"/>
  <c r="B488" i="9"/>
  <c r="C560" i="9"/>
  <c r="B629" i="9"/>
  <c r="C642" i="9"/>
  <c r="C975" i="9"/>
  <c r="C1064" i="9"/>
  <c r="B1064" i="9"/>
  <c r="B109" i="9"/>
  <c r="B117" i="9"/>
  <c r="B137" i="9"/>
  <c r="B157" i="9"/>
  <c r="C166" i="9"/>
  <c r="C186" i="9"/>
  <c r="B186" i="9"/>
  <c r="C207" i="9"/>
  <c r="C216" i="9"/>
  <c r="B216" i="9"/>
  <c r="B239" i="9"/>
  <c r="B330" i="9"/>
  <c r="C330" i="9"/>
  <c r="B354" i="9"/>
  <c r="B365" i="9"/>
  <c r="C399" i="9"/>
  <c r="B399" i="9"/>
  <c r="B452" i="9"/>
  <c r="B567" i="9"/>
  <c r="B716" i="9"/>
  <c r="B857" i="9"/>
  <c r="C932" i="9"/>
  <c r="C976" i="9"/>
  <c r="C66" i="10"/>
  <c r="C32" i="9"/>
  <c r="B48" i="9"/>
  <c r="B91" i="9"/>
  <c r="C138" i="9"/>
  <c r="B138" i="9"/>
  <c r="B147" i="9"/>
  <c r="C167" i="9"/>
  <c r="B167" i="9"/>
  <c r="B178" i="9"/>
  <c r="B187" i="9"/>
  <c r="C196" i="9"/>
  <c r="B196" i="9"/>
  <c r="B207" i="9"/>
  <c r="C228" i="9"/>
  <c r="B250" i="9"/>
  <c r="C286" i="9"/>
  <c r="B308" i="9"/>
  <c r="C320" i="9"/>
  <c r="C354" i="9"/>
  <c r="C365" i="9"/>
  <c r="B377" i="9"/>
  <c r="B390" i="9"/>
  <c r="C440" i="9"/>
  <c r="B440" i="9"/>
  <c r="B477" i="9"/>
  <c r="B492" i="9"/>
  <c r="B531" i="9"/>
  <c r="C544" i="9"/>
  <c r="B555" i="9"/>
  <c r="C567" i="9"/>
  <c r="B593" i="9"/>
  <c r="C593" i="9"/>
  <c r="B606" i="9"/>
  <c r="B687" i="9"/>
  <c r="C716" i="9"/>
  <c r="B743" i="9"/>
  <c r="C857" i="9"/>
  <c r="C933" i="9"/>
  <c r="B933" i="9"/>
  <c r="B990" i="9"/>
  <c r="B35" i="10"/>
  <c r="C35" i="10"/>
  <c r="B16" i="9"/>
  <c r="B24" i="9"/>
  <c r="C57" i="9"/>
  <c r="C74" i="9"/>
  <c r="C91" i="9"/>
  <c r="B139" i="9"/>
  <c r="C147" i="9"/>
  <c r="B158" i="9"/>
  <c r="C178" i="9"/>
  <c r="C187" i="9"/>
  <c r="C229" i="9"/>
  <c r="B229" i="9"/>
  <c r="C250" i="9"/>
  <c r="C262" i="9"/>
  <c r="B262" i="9"/>
  <c r="B299" i="9"/>
  <c r="C308" i="9"/>
  <c r="C355" i="9"/>
  <c r="B355" i="9"/>
  <c r="C427" i="9"/>
  <c r="B427" i="9"/>
  <c r="B453" i="9"/>
  <c r="B544" i="9"/>
  <c r="B594" i="9"/>
  <c r="C687" i="9"/>
  <c r="C831" i="9"/>
  <c r="C873" i="9"/>
  <c r="B873" i="9"/>
  <c r="C1052" i="9"/>
  <c r="B1052" i="9"/>
  <c r="C1032" i="9"/>
  <c r="C25" i="9"/>
  <c r="C49" i="9"/>
  <c r="B49" i="9"/>
  <c r="C92" i="9"/>
  <c r="B92" i="9"/>
  <c r="C102" i="9"/>
  <c r="B110" i="9"/>
  <c r="C130" i="9"/>
  <c r="B130" i="9"/>
  <c r="C139" i="9"/>
  <c r="B148" i="9"/>
  <c r="C158" i="9"/>
  <c r="B179" i="9"/>
  <c r="C209" i="9"/>
  <c r="C299" i="9"/>
  <c r="C322" i="9"/>
  <c r="B344" i="9"/>
  <c r="B366" i="9"/>
  <c r="C378" i="9"/>
  <c r="B442" i="9"/>
  <c r="C453" i="9"/>
  <c r="C494" i="9"/>
  <c r="B507" i="9"/>
  <c r="C521" i="9"/>
  <c r="B532" i="9"/>
  <c r="B556" i="9"/>
  <c r="C594" i="9"/>
  <c r="C660" i="9"/>
  <c r="B704" i="9"/>
  <c r="C704" i="9"/>
  <c r="B832" i="9"/>
  <c r="C846" i="9"/>
  <c r="B920" i="9"/>
  <c r="C920" i="9"/>
  <c r="C934" i="9"/>
  <c r="C978" i="9"/>
  <c r="C9" i="9"/>
  <c r="C17" i="9"/>
  <c r="B17" i="9"/>
  <c r="B25" i="9"/>
  <c r="B34" i="9"/>
  <c r="C58" i="9"/>
  <c r="B67" i="9"/>
  <c r="B75" i="9"/>
  <c r="C83" i="9"/>
  <c r="C93" i="9"/>
  <c r="B119" i="9"/>
  <c r="B131" i="9"/>
  <c r="C140" i="9"/>
  <c r="C148" i="9"/>
  <c r="C179" i="9"/>
  <c r="B188" i="9"/>
  <c r="B242" i="9"/>
  <c r="B276" i="9"/>
  <c r="C289" i="9"/>
  <c r="B289" i="9"/>
  <c r="B300" i="9"/>
  <c r="C300" i="9"/>
  <c r="C310" i="9"/>
  <c r="C323" i="9"/>
  <c r="B356" i="9"/>
  <c r="C366" i="9"/>
  <c r="C379" i="9"/>
  <c r="B379" i="9"/>
  <c r="B521" i="9"/>
  <c r="C532" i="9"/>
  <c r="B545" i="9"/>
  <c r="C635" i="9"/>
  <c r="B649" i="9"/>
  <c r="C676" i="9"/>
  <c r="B676" i="9"/>
  <c r="C705" i="9"/>
  <c r="C832" i="9"/>
  <c r="B859" i="9"/>
  <c r="C921" i="9"/>
  <c r="C950" i="9"/>
  <c r="B979" i="9"/>
  <c r="C56" i="9"/>
  <c r="C40" i="9"/>
  <c r="C24" i="9"/>
  <c r="C8" i="9"/>
  <c r="B3" i="9"/>
  <c r="C163" i="9"/>
  <c r="B150" i="9"/>
  <c r="B341" i="9"/>
  <c r="B277" i="9"/>
  <c r="C261" i="9"/>
  <c r="B1082" i="9"/>
  <c r="C998" i="9"/>
  <c r="B788" i="9"/>
  <c r="C686" i="9"/>
  <c r="B660" i="9"/>
  <c r="C564" i="9"/>
  <c r="C553" i="9"/>
  <c r="C472" i="9"/>
  <c r="C426" i="9"/>
  <c r="B324" i="9"/>
  <c r="B228" i="9"/>
  <c r="C201" i="9"/>
  <c r="B185" i="9"/>
  <c r="B161" i="9"/>
  <c r="B145" i="9"/>
  <c r="C136" i="9"/>
  <c r="C129" i="9"/>
  <c r="B115" i="9"/>
  <c r="C86" i="9"/>
  <c r="B65" i="9"/>
  <c r="C46" i="9"/>
  <c r="B33" i="9"/>
  <c r="C14" i="9"/>
  <c r="C696" i="9"/>
  <c r="C671" i="9"/>
  <c r="C610" i="9"/>
  <c r="B540" i="9"/>
  <c r="B517" i="9"/>
  <c r="C506" i="9"/>
  <c r="B483" i="9"/>
  <c r="B472" i="9"/>
  <c r="C448" i="9"/>
  <c r="C437" i="9"/>
  <c r="C414" i="9"/>
  <c r="B305" i="9"/>
  <c r="C254" i="9"/>
  <c r="C237" i="9"/>
  <c r="B201" i="9"/>
  <c r="C193" i="9"/>
  <c r="B168" i="9"/>
  <c r="B152" i="9"/>
  <c r="B129" i="9"/>
  <c r="B86" i="9"/>
  <c r="C79" i="9"/>
  <c r="B46" i="9"/>
  <c r="C39" i="9"/>
  <c r="B14" i="9"/>
  <c r="C7" i="9"/>
  <c r="C882" i="9"/>
  <c r="C787" i="9"/>
  <c r="C596" i="9"/>
  <c r="C528" i="9"/>
  <c r="B437" i="9"/>
  <c r="C392" i="9"/>
  <c r="C362" i="9"/>
  <c r="C341" i="9"/>
  <c r="C331" i="9"/>
  <c r="C313" i="9"/>
  <c r="C294" i="9"/>
  <c r="B274" i="9"/>
  <c r="B254" i="9"/>
  <c r="B237" i="9"/>
  <c r="B227" i="9"/>
  <c r="B184" i="9"/>
  <c r="C114" i="9"/>
  <c r="B79" i="9"/>
  <c r="C64" i="9"/>
  <c r="B58" i="9"/>
  <c r="B52" i="9"/>
  <c r="B26" i="9"/>
  <c r="B20" i="9"/>
  <c r="C1053" i="9"/>
  <c r="B924" i="9"/>
  <c r="C867" i="9"/>
  <c r="B799" i="9"/>
  <c r="B721" i="9"/>
  <c r="C619" i="9"/>
  <c r="B596" i="9"/>
  <c r="C505" i="9"/>
  <c r="C371" i="9"/>
  <c r="B331" i="9"/>
  <c r="B294" i="9"/>
  <c r="B128" i="9"/>
  <c r="B114" i="9"/>
  <c r="B64" i="9"/>
  <c r="C786" i="9"/>
  <c r="B772" i="9"/>
  <c r="B669" i="9"/>
  <c r="B515" i="9"/>
  <c r="B505" i="9"/>
  <c r="B371" i="9"/>
  <c r="C349" i="9"/>
  <c r="C340" i="9"/>
  <c r="C312" i="9"/>
  <c r="C253" i="9"/>
  <c r="C236" i="9"/>
  <c r="C226" i="9"/>
  <c r="C174" i="9"/>
  <c r="C70" i="9"/>
  <c r="C880" i="9"/>
  <c r="C810" i="9"/>
  <c r="C617" i="9"/>
  <c r="C477" i="9"/>
  <c r="B445" i="9"/>
  <c r="B409" i="9"/>
  <c r="C389" i="9"/>
  <c r="C377" i="9"/>
  <c r="B270" i="9"/>
  <c r="C206" i="9"/>
  <c r="B198" i="9"/>
  <c r="C157" i="9"/>
  <c r="C133" i="9"/>
  <c r="B126" i="9"/>
  <c r="C118" i="9"/>
  <c r="C62" i="9"/>
  <c r="C30" i="9"/>
  <c r="C26" i="9"/>
  <c r="B35" i="9"/>
  <c r="B50" i="9"/>
  <c r="C67" i="9"/>
  <c r="C75" i="9"/>
  <c r="C94" i="9"/>
  <c r="B103" i="9"/>
  <c r="C111" i="9"/>
  <c r="C120" i="9"/>
  <c r="B120" i="9"/>
  <c r="C131" i="9"/>
  <c r="B140" i="9"/>
  <c r="B199" i="9"/>
  <c r="C220" i="9"/>
  <c r="B231" i="9"/>
  <c r="C276" i="9"/>
  <c r="C290" i="9"/>
  <c r="B290" i="9"/>
  <c r="C301" i="9"/>
  <c r="B301" i="9"/>
  <c r="B334" i="9"/>
  <c r="C430" i="9"/>
  <c r="B430" i="9"/>
  <c r="C468" i="9"/>
  <c r="C522" i="9"/>
  <c r="B522" i="9"/>
  <c r="C533" i="9"/>
  <c r="B533" i="9"/>
  <c r="C545" i="9"/>
  <c r="C571" i="9"/>
  <c r="C582" i="9"/>
  <c r="C649" i="9"/>
  <c r="C662" i="9"/>
  <c r="B662" i="9"/>
  <c r="C818" i="9"/>
  <c r="B69" i="9"/>
  <c r="B83" i="9"/>
  <c r="C90" i="9"/>
  <c r="B90" i="9"/>
  <c r="B181" i="9"/>
  <c r="C189" i="9"/>
  <c r="C251" i="9"/>
  <c r="B251" i="9"/>
  <c r="B281" i="9"/>
  <c r="B320" i="9"/>
  <c r="B338" i="9"/>
  <c r="B398" i="9"/>
  <c r="C454" i="9"/>
  <c r="B454" i="9"/>
  <c r="B467" i="9"/>
  <c r="C513" i="9"/>
  <c r="C605" i="9"/>
  <c r="B605" i="9"/>
  <c r="C717" i="9"/>
  <c r="B717" i="9"/>
  <c r="B822" i="9"/>
  <c r="C822" i="9"/>
  <c r="C964" i="9"/>
  <c r="B964" i="9"/>
  <c r="C1151" i="9"/>
  <c r="C583" i="9"/>
  <c r="B583" i="9"/>
  <c r="C630" i="9"/>
  <c r="B630" i="9"/>
  <c r="C682" i="9"/>
  <c r="B682" i="9"/>
  <c r="C733" i="9"/>
  <c r="B733" i="9"/>
  <c r="C951" i="9"/>
  <c r="B951" i="9"/>
  <c r="B1009" i="9"/>
  <c r="B1078" i="9"/>
  <c r="C1078" i="9"/>
  <c r="C1093" i="9"/>
  <c r="C76" i="10"/>
  <c r="C164" i="10"/>
  <c r="B164" i="10"/>
  <c r="B45" i="9"/>
  <c r="B85" i="9"/>
  <c r="B151" i="9"/>
  <c r="C159" i="9"/>
  <c r="B183" i="9"/>
  <c r="C200" i="9"/>
  <c r="B361" i="9"/>
  <c r="B380" i="9"/>
  <c r="B412" i="9"/>
  <c r="C457" i="9"/>
  <c r="B457" i="9"/>
  <c r="C538" i="9"/>
  <c r="B538" i="9"/>
  <c r="C561" i="9"/>
  <c r="B561" i="9"/>
  <c r="B584" i="9"/>
  <c r="C608" i="9"/>
  <c r="C695" i="9"/>
  <c r="C708" i="9"/>
  <c r="C759" i="9"/>
  <c r="B826" i="9"/>
  <c r="B910" i="9"/>
  <c r="C937" i="9"/>
  <c r="C1025" i="9"/>
  <c r="B1093" i="9"/>
  <c r="B218" i="10"/>
  <c r="C17" i="10"/>
  <c r="B287" i="10"/>
  <c r="C13" i="9"/>
  <c r="B32" i="9"/>
  <c r="C45" i="9"/>
  <c r="C71" i="9"/>
  <c r="B71" i="9"/>
  <c r="C85" i="9"/>
  <c r="B99" i="9"/>
  <c r="B107" i="9"/>
  <c r="C107" i="9"/>
  <c r="B135" i="9"/>
  <c r="C143" i="9"/>
  <c r="C151" i="9"/>
  <c r="B159" i="9"/>
  <c r="C175" i="9"/>
  <c r="B200" i="9"/>
  <c r="B209" i="9"/>
  <c r="B245" i="9"/>
  <c r="C274" i="9"/>
  <c r="B323" i="9"/>
  <c r="C350" i="9"/>
  <c r="B350" i="9"/>
  <c r="B362" i="9"/>
  <c r="C380" i="9"/>
  <c r="B392" i="9"/>
  <c r="B494" i="9"/>
  <c r="C562" i="9"/>
  <c r="B562" i="9"/>
  <c r="C584" i="9"/>
  <c r="C658" i="9"/>
  <c r="B658" i="9"/>
  <c r="B670" i="9"/>
  <c r="B695" i="9"/>
  <c r="B708" i="9"/>
  <c r="C910" i="9"/>
  <c r="B1025" i="9"/>
  <c r="C1094" i="9"/>
  <c r="B17" i="10"/>
  <c r="B32" i="10"/>
  <c r="C182" i="10"/>
  <c r="C288" i="10"/>
  <c r="B288" i="10"/>
  <c r="B7" i="9"/>
  <c r="B39" i="9"/>
  <c r="B72" i="9"/>
  <c r="B108" i="9"/>
  <c r="C152" i="9"/>
  <c r="C168" i="9"/>
  <c r="B175" i="9"/>
  <c r="B414" i="9"/>
  <c r="C425" i="9"/>
  <c r="B425" i="9"/>
  <c r="B448" i="9"/>
  <c r="B506" i="9"/>
  <c r="C585" i="9"/>
  <c r="B585" i="9"/>
  <c r="B610" i="9"/>
  <c r="C646" i="9"/>
  <c r="C748" i="9"/>
  <c r="B868" i="9"/>
  <c r="C33" i="9"/>
  <c r="C65" i="9"/>
  <c r="C72" i="9"/>
  <c r="B93" i="9"/>
  <c r="C100" i="9"/>
  <c r="B100" i="9"/>
  <c r="C108" i="9"/>
  <c r="B121" i="9"/>
  <c r="B136" i="9"/>
  <c r="B219" i="9"/>
  <c r="C246" i="9"/>
  <c r="B265" i="9"/>
  <c r="B275" i="9"/>
  <c r="B285" i="9"/>
  <c r="B314" i="9"/>
  <c r="B332" i="9"/>
  <c r="C332" i="9"/>
  <c r="C342" i="9"/>
  <c r="B342" i="9"/>
  <c r="C363" i="9"/>
  <c r="B372" i="9"/>
  <c r="C382" i="9"/>
  <c r="C404" i="9"/>
  <c r="B404" i="9"/>
  <c r="B426" i="9"/>
  <c r="B553" i="9"/>
  <c r="B564" i="9"/>
  <c r="B998" i="9"/>
  <c r="C1112" i="9"/>
  <c r="B1112" i="9"/>
  <c r="B101" i="9"/>
  <c r="C101" i="9"/>
  <c r="C169" i="9"/>
  <c r="B169" i="9"/>
  <c r="B220" i="9"/>
  <c r="C238" i="9"/>
  <c r="C265" i="9"/>
  <c r="C285" i="9"/>
  <c r="C314" i="9"/>
  <c r="C353" i="9"/>
  <c r="B353" i="9"/>
  <c r="C383" i="9"/>
  <c r="B383" i="9"/>
  <c r="C415" i="9"/>
  <c r="B415" i="9"/>
  <c r="C496" i="9"/>
  <c r="B587" i="9"/>
  <c r="C1014" i="9"/>
  <c r="B1014" i="9"/>
  <c r="B1189" i="9"/>
  <c r="B358" i="9"/>
  <c r="B391" i="9"/>
  <c r="C400" i="9"/>
  <c r="B400" i="9"/>
  <c r="C417" i="9"/>
  <c r="C438" i="9"/>
  <c r="B438" i="9"/>
  <c r="C447" i="9"/>
  <c r="B447" i="9"/>
  <c r="C467" i="9"/>
  <c r="C498" i="9"/>
  <c r="C507" i="9"/>
  <c r="B516" i="9"/>
  <c r="C527" i="9"/>
  <c r="C546" i="9"/>
  <c r="B546" i="9"/>
  <c r="C587" i="9"/>
  <c r="C597" i="9"/>
  <c r="C609" i="9"/>
  <c r="B619" i="9"/>
  <c r="C652" i="9"/>
  <c r="C663" i="9"/>
  <c r="B663" i="9"/>
  <c r="B753" i="9"/>
  <c r="C788" i="9"/>
  <c r="C799" i="9"/>
  <c r="C836" i="9"/>
  <c r="B950" i="9"/>
  <c r="B1043" i="9"/>
  <c r="B1165" i="9"/>
  <c r="B1194" i="9"/>
  <c r="C212" i="10"/>
  <c r="B212" i="10"/>
  <c r="C314" i="10"/>
  <c r="B314" i="10"/>
  <c r="D1" i="9"/>
  <c r="C12" i="2" s="1"/>
  <c r="C106" i="9"/>
  <c r="B142" i="9"/>
  <c r="B149" i="9"/>
  <c r="C203" i="9"/>
  <c r="C239" i="9"/>
  <c r="C255" i="9"/>
  <c r="B255" i="9"/>
  <c r="C271" i="9"/>
  <c r="C302" i="9"/>
  <c r="B311" i="9"/>
  <c r="C334" i="9"/>
  <c r="B359" i="9"/>
  <c r="C393" i="9"/>
  <c r="C402" i="9"/>
  <c r="B410" i="9"/>
  <c r="C449" i="9"/>
  <c r="B460" i="9"/>
  <c r="B478" i="9"/>
  <c r="B490" i="9"/>
  <c r="C529" i="9"/>
  <c r="B548" i="9"/>
  <c r="B568" i="9"/>
  <c r="C568" i="9"/>
  <c r="B643" i="9"/>
  <c r="B654" i="9"/>
  <c r="B677" i="9"/>
  <c r="B700" i="9"/>
  <c r="C721" i="9"/>
  <c r="B801" i="9"/>
  <c r="C826" i="9"/>
  <c r="C838" i="9"/>
  <c r="C850" i="9"/>
  <c r="C888" i="9"/>
  <c r="C899" i="9"/>
  <c r="B968" i="9"/>
  <c r="B1006" i="9"/>
  <c r="C1057" i="9"/>
  <c r="B1057" i="9"/>
  <c r="C1139" i="9"/>
  <c r="B1139" i="9"/>
  <c r="B1183" i="9"/>
  <c r="C244" i="10"/>
  <c r="B244" i="10"/>
  <c r="B541" i="10"/>
  <c r="C541" i="10"/>
  <c r="B1192" i="9"/>
  <c r="B1176" i="9"/>
  <c r="B1199" i="9"/>
  <c r="B1187" i="9"/>
  <c r="B1146" i="9"/>
  <c r="B1135" i="9"/>
  <c r="B1119" i="9"/>
  <c r="C1162" i="9"/>
  <c r="C1192" i="9"/>
  <c r="B1162" i="9"/>
  <c r="C1160" i="9"/>
  <c r="B1101" i="9"/>
  <c r="C1171" i="9"/>
  <c r="C1163" i="9"/>
  <c r="B1134" i="9"/>
  <c r="C1107" i="9"/>
  <c r="B1094" i="9"/>
  <c r="C1087" i="9"/>
  <c r="C1074" i="9"/>
  <c r="B1068" i="9"/>
  <c r="C1055" i="9"/>
  <c r="C1042" i="9"/>
  <c r="C1036" i="9"/>
  <c r="C1030" i="9"/>
  <c r="B1024" i="9"/>
  <c r="C1018" i="9"/>
  <c r="B1007" i="9"/>
  <c r="B996" i="9"/>
  <c r="C990" i="9"/>
  <c r="B985" i="9"/>
  <c r="C979" i="9"/>
  <c r="C968" i="9"/>
  <c r="B1171" i="9"/>
  <c r="B1163" i="9"/>
  <c r="C1141" i="9"/>
  <c r="C1114" i="9"/>
  <c r="B1018" i="9"/>
  <c r="C973" i="9"/>
  <c r="B1141" i="9"/>
  <c r="C1133" i="9"/>
  <c r="B1114" i="9"/>
  <c r="B1086" i="9"/>
  <c r="C1023" i="9"/>
  <c r="B973" i="9"/>
  <c r="B1085" i="9"/>
  <c r="C1066" i="9"/>
  <c r="B1053" i="9"/>
  <c r="C1005" i="9"/>
  <c r="C891" i="9"/>
  <c r="C875" i="9"/>
  <c r="C859" i="9"/>
  <c r="C843" i="9"/>
  <c r="C827" i="9"/>
  <c r="C811" i="9"/>
  <c r="C795" i="9"/>
  <c r="C779" i="9"/>
  <c r="C763" i="9"/>
  <c r="C1152" i="9"/>
  <c r="C1098" i="9"/>
  <c r="B1034" i="9"/>
  <c r="C1021" i="9"/>
  <c r="C1193" i="9"/>
  <c r="C1144" i="9"/>
  <c r="C1101" i="9"/>
  <c r="C1091" i="9"/>
  <c r="C1075" i="9"/>
  <c r="B1035" i="9"/>
  <c r="C1019" i="9"/>
  <c r="C974" i="9"/>
  <c r="B966" i="9"/>
  <c r="B939" i="9"/>
  <c r="B865" i="9"/>
  <c r="C851" i="9"/>
  <c r="B845" i="9"/>
  <c r="C755" i="9"/>
  <c r="C691" i="9"/>
  <c r="B611" i="9"/>
  <c r="B1144" i="9"/>
  <c r="B1118" i="9"/>
  <c r="B1075" i="9"/>
  <c r="C1050" i="9"/>
  <c r="B1019" i="9"/>
  <c r="C1011" i="9"/>
  <c r="C945" i="9"/>
  <c r="C898" i="9"/>
  <c r="B851" i="9"/>
  <c r="C817" i="9"/>
  <c r="B811" i="9"/>
  <c r="C785" i="9"/>
  <c r="B779" i="9"/>
  <c r="B755" i="9"/>
  <c r="B691" i="9"/>
  <c r="C627" i="9"/>
  <c r="C1182" i="9"/>
  <c r="C1172" i="9"/>
  <c r="C1135" i="9"/>
  <c r="C1126" i="9"/>
  <c r="C1090" i="9"/>
  <c r="B1066" i="9"/>
  <c r="B1050" i="9"/>
  <c r="C1034" i="9"/>
  <c r="C980" i="9"/>
  <c r="B945" i="9"/>
  <c r="C931" i="9"/>
  <c r="B925" i="9"/>
  <c r="B891" i="9"/>
  <c r="B817" i="9"/>
  <c r="B785" i="9"/>
  <c r="B1182" i="9"/>
  <c r="B1161" i="9"/>
  <c r="B1152" i="9"/>
  <c r="B1126" i="9"/>
  <c r="C1117" i="9"/>
  <c r="C1082" i="9"/>
  <c r="B980" i="9"/>
  <c r="B931" i="9"/>
  <c r="C897" i="9"/>
  <c r="B1088" i="9"/>
  <c r="B1079" i="9"/>
  <c r="C1071" i="9"/>
  <c r="B977" i="9"/>
  <c r="C963" i="9"/>
  <c r="B929" i="9"/>
  <c r="C915" i="9"/>
  <c r="B909" i="9"/>
  <c r="B875" i="9"/>
  <c r="C723" i="9"/>
  <c r="C659" i="9"/>
  <c r="C1187" i="9"/>
  <c r="C1148" i="9"/>
  <c r="C1115" i="9"/>
  <c r="B1031" i="9"/>
  <c r="B915" i="9"/>
  <c r="C881" i="9"/>
  <c r="C834" i="9"/>
  <c r="C801" i="9"/>
  <c r="B795" i="9"/>
  <c r="C1146" i="9"/>
  <c r="C1136" i="9"/>
  <c r="B1116" i="9"/>
  <c r="C1103" i="9"/>
  <c r="B1051" i="9"/>
  <c r="B1032" i="9"/>
  <c r="B1021" i="9"/>
  <c r="C1013" i="9"/>
  <c r="B957" i="9"/>
  <c r="C913" i="9"/>
  <c r="C879" i="9"/>
  <c r="B821" i="9"/>
  <c r="B783" i="9"/>
  <c r="B739" i="9"/>
  <c r="C732" i="9"/>
  <c r="C699" i="9"/>
  <c r="C692" i="9"/>
  <c r="B686" i="9"/>
  <c r="C673" i="9"/>
  <c r="C628" i="9"/>
  <c r="C592" i="9"/>
  <c r="C586" i="9"/>
  <c r="C575" i="9"/>
  <c r="C547" i="9"/>
  <c r="C519" i="9"/>
  <c r="C503" i="9"/>
  <c r="C487" i="9"/>
  <c r="C471" i="9"/>
  <c r="C455" i="9"/>
  <c r="C439" i="9"/>
  <c r="C423" i="9"/>
  <c r="C407" i="9"/>
  <c r="C391" i="9"/>
  <c r="C375" i="9"/>
  <c r="C359" i="9"/>
  <c r="C343" i="9"/>
  <c r="C1158" i="9"/>
  <c r="C1125" i="9"/>
  <c r="B1040" i="9"/>
  <c r="B940" i="9"/>
  <c r="C930" i="9"/>
  <c r="B913" i="9"/>
  <c r="C904" i="9"/>
  <c r="B879" i="9"/>
  <c r="C862" i="9"/>
  <c r="B853" i="9"/>
  <c r="B846" i="9"/>
  <c r="B813" i="9"/>
  <c r="C790" i="9"/>
  <c r="C718" i="9"/>
  <c r="C712" i="9"/>
  <c r="B699" i="9"/>
  <c r="B692" i="9"/>
  <c r="B679" i="9"/>
  <c r="B673" i="9"/>
  <c r="B659" i="9"/>
  <c r="C634" i="9"/>
  <c r="B628" i="9"/>
  <c r="B592" i="9"/>
  <c r="B586" i="9"/>
  <c r="C580" i="9"/>
  <c r="B575" i="9"/>
  <c r="C569" i="9"/>
  <c r="C558" i="9"/>
  <c r="B547" i="9"/>
  <c r="B519" i="9"/>
  <c r="C508" i="9"/>
  <c r="B503" i="9"/>
  <c r="C492" i="9"/>
  <c r="B487" i="9"/>
  <c r="C476" i="9"/>
  <c r="B471" i="9"/>
  <c r="C460" i="9"/>
  <c r="B455" i="9"/>
  <c r="C444" i="9"/>
  <c r="B439" i="9"/>
  <c r="C428" i="9"/>
  <c r="B423" i="9"/>
  <c r="B1145" i="9"/>
  <c r="B1102" i="9"/>
  <c r="B1059" i="9"/>
  <c r="C1002" i="9"/>
  <c r="C992" i="9"/>
  <c r="C947" i="9"/>
  <c r="B829" i="9"/>
  <c r="B805" i="9"/>
  <c r="B797" i="9"/>
  <c r="C738" i="9"/>
  <c r="C731" i="9"/>
  <c r="B718" i="9"/>
  <c r="C563" i="9"/>
  <c r="C1069" i="9"/>
  <c r="C1039" i="9"/>
  <c r="B955" i="9"/>
  <c r="B947" i="9"/>
  <c r="C929" i="9"/>
  <c r="B861" i="9"/>
  <c r="C812" i="9"/>
  <c r="B789" i="9"/>
  <c r="B731" i="9"/>
  <c r="B627" i="9"/>
  <c r="B563" i="9"/>
  <c r="B1177" i="9"/>
  <c r="B1133" i="9"/>
  <c r="B1069" i="9"/>
  <c r="C1029" i="9"/>
  <c r="C991" i="9"/>
  <c r="C902" i="9"/>
  <c r="B885" i="9"/>
  <c r="B877" i="9"/>
  <c r="C868" i="9"/>
  <c r="C819" i="9"/>
  <c r="B812" i="9"/>
  <c r="C796" i="9"/>
  <c r="B781" i="9"/>
  <c r="C744" i="9"/>
  <c r="C639" i="9"/>
  <c r="C579" i="9"/>
  <c r="B1175" i="9"/>
  <c r="B1164" i="9"/>
  <c r="B1017" i="9"/>
  <c r="C1008" i="9"/>
  <c r="C989" i="9"/>
  <c r="C961" i="9"/>
  <c r="C953" i="9"/>
  <c r="B883" i="9"/>
  <c r="B842" i="9"/>
  <c r="C802" i="9"/>
  <c r="B787" i="9"/>
  <c r="B689" i="9"/>
  <c r="C595" i="9"/>
  <c r="B989" i="9"/>
  <c r="C970" i="9"/>
  <c r="B961" i="9"/>
  <c r="C866" i="9"/>
  <c r="C849" i="9"/>
  <c r="C833" i="9"/>
  <c r="C771" i="9"/>
  <c r="B763" i="9"/>
  <c r="C735" i="9"/>
  <c r="C715" i="9"/>
  <c r="B709" i="9"/>
  <c r="C643" i="9"/>
  <c r="B595" i="9"/>
  <c r="B1160" i="9"/>
  <c r="C1085" i="9"/>
  <c r="C1062" i="9"/>
  <c r="C1051" i="9"/>
  <c r="C1016" i="9"/>
  <c r="B949" i="9"/>
  <c r="B907" i="9"/>
  <c r="B897" i="9"/>
  <c r="C865" i="9"/>
  <c r="B835" i="9"/>
  <c r="C825" i="9"/>
  <c r="B815" i="9"/>
  <c r="B777" i="9"/>
  <c r="C747" i="9"/>
  <c r="C675" i="9"/>
  <c r="B667" i="9"/>
  <c r="B657" i="9"/>
  <c r="C641" i="9"/>
  <c r="C624" i="9"/>
  <c r="B617" i="9"/>
  <c r="B559" i="9"/>
  <c r="C543" i="9"/>
  <c r="C489" i="9"/>
  <c r="C482" i="9"/>
  <c r="C474" i="9"/>
  <c r="C429" i="9"/>
  <c r="C421" i="9"/>
  <c r="B389" i="9"/>
  <c r="B293" i="9"/>
  <c r="C258" i="9"/>
  <c r="B247" i="9"/>
  <c r="C230" i="9"/>
  <c r="C208" i="9"/>
  <c r="C192" i="9"/>
  <c r="C176" i="9"/>
  <c r="C160" i="9"/>
  <c r="C144" i="9"/>
  <c r="C128" i="9"/>
  <c r="C112" i="9"/>
  <c r="C96" i="9"/>
  <c r="C80" i="9"/>
  <c r="C1110" i="9"/>
  <c r="B1073" i="9"/>
  <c r="B1005" i="9"/>
  <c r="B982" i="9"/>
  <c r="B971" i="9"/>
  <c r="B765" i="9"/>
  <c r="B747" i="9"/>
  <c r="B737" i="9"/>
  <c r="C728" i="9"/>
  <c r="C719" i="9"/>
  <c r="B702" i="9"/>
  <c r="C683" i="9"/>
  <c r="B675" i="9"/>
  <c r="B624" i="9"/>
  <c r="B608" i="9"/>
  <c r="B599" i="9"/>
  <c r="C590" i="9"/>
  <c r="C550" i="9"/>
  <c r="B543" i="9"/>
  <c r="B489" i="9"/>
  <c r="B436" i="9"/>
  <c r="B429" i="9"/>
  <c r="B421" i="9"/>
  <c r="B401" i="9"/>
  <c r="B382" i="9"/>
  <c r="B376" i="9"/>
  <c r="C370" i="9"/>
  <c r="C345" i="9"/>
  <c r="C333" i="9"/>
  <c r="C327" i="9"/>
  <c r="B322" i="9"/>
  <c r="B310" i="9"/>
  <c r="C304" i="9"/>
  <c r="C298" i="9"/>
  <c r="C275" i="9"/>
  <c r="C269" i="9"/>
  <c r="C263" i="9"/>
  <c r="B258" i="9"/>
  <c r="C252" i="9"/>
  <c r="B241" i="9"/>
  <c r="C235" i="9"/>
  <c r="B230" i="9"/>
  <c r="C224" i="9"/>
  <c r="C213" i="9"/>
  <c r="B208" i="9"/>
  <c r="C197" i="9"/>
  <c r="B192" i="9"/>
  <c r="C181" i="9"/>
  <c r="B176" i="9"/>
  <c r="C165" i="9"/>
  <c r="B160" i="9"/>
  <c r="C149" i="9"/>
  <c r="B144" i="9"/>
  <c r="C1159" i="9"/>
  <c r="C1121" i="9"/>
  <c r="C1037" i="9"/>
  <c r="C927" i="9"/>
  <c r="C906" i="9"/>
  <c r="B843" i="9"/>
  <c r="B814" i="9"/>
  <c r="C803" i="9"/>
  <c r="B719" i="9"/>
  <c r="C710" i="9"/>
  <c r="B683" i="9"/>
  <c r="C631" i="9"/>
  <c r="B590" i="9"/>
  <c r="C581" i="9"/>
  <c r="C466" i="9"/>
  <c r="C458" i="9"/>
  <c r="C413" i="9"/>
  <c r="B407" i="9"/>
  <c r="C394" i="9"/>
  <c r="C357" i="9"/>
  <c r="B333" i="9"/>
  <c r="B327" i="9"/>
  <c r="B263" i="9"/>
  <c r="B1132" i="9"/>
  <c r="B1095" i="9"/>
  <c r="B1072" i="9"/>
  <c r="B1037" i="9"/>
  <c r="C1004" i="9"/>
  <c r="C981" i="9"/>
  <c r="B958" i="9"/>
  <c r="B937" i="9"/>
  <c r="B906" i="9"/>
  <c r="C863" i="9"/>
  <c r="B833" i="9"/>
  <c r="B803" i="9"/>
  <c r="C793" i="9"/>
  <c r="B746" i="9"/>
  <c r="C736" i="9"/>
  <c r="B710" i="9"/>
  <c r="C674" i="9"/>
  <c r="C623" i="9"/>
  <c r="C598" i="9"/>
  <c r="B581" i="9"/>
  <c r="C542" i="9"/>
  <c r="B413" i="9"/>
  <c r="C381" i="9"/>
  <c r="B375" i="9"/>
  <c r="B357" i="9"/>
  <c r="C309" i="9"/>
  <c r="C1183" i="9"/>
  <c r="C1169" i="9"/>
  <c r="B991" i="9"/>
  <c r="C969" i="9"/>
  <c r="C946" i="9"/>
  <c r="C926" i="9"/>
  <c r="C883" i="9"/>
  <c r="B863" i="9"/>
  <c r="C842" i="9"/>
  <c r="B793" i="9"/>
  <c r="C783" i="9"/>
  <c r="C647" i="9"/>
  <c r="C638" i="9"/>
  <c r="B623" i="9"/>
  <c r="C606" i="9"/>
  <c r="C556" i="9"/>
  <c r="C517" i="9"/>
  <c r="C450" i="9"/>
  <c r="C442" i="9"/>
  <c r="B381" i="9"/>
  <c r="B309" i="9"/>
  <c r="B1117" i="9"/>
  <c r="B1056" i="9"/>
  <c r="B967" i="9"/>
  <c r="C943" i="9"/>
  <c r="B881" i="9"/>
  <c r="C830" i="9"/>
  <c r="B819" i="9"/>
  <c r="C780" i="9"/>
  <c r="B771" i="9"/>
  <c r="C707" i="9"/>
  <c r="C604" i="9"/>
  <c r="C578" i="9"/>
  <c r="C570" i="9"/>
  <c r="C539" i="9"/>
  <c r="C493" i="9"/>
  <c r="C485" i="9"/>
  <c r="C418" i="9"/>
  <c r="B405" i="9"/>
  <c r="C373" i="9"/>
  <c r="B349" i="9"/>
  <c r="B325" i="9"/>
  <c r="B261" i="9"/>
  <c r="C1165" i="9"/>
  <c r="B943" i="9"/>
  <c r="B923" i="9"/>
  <c r="B849" i="9"/>
  <c r="C809" i="9"/>
  <c r="B780" i="9"/>
  <c r="C760" i="9"/>
  <c r="B723" i="9"/>
  <c r="B715" i="9"/>
  <c r="B707" i="9"/>
  <c r="C680" i="9"/>
  <c r="C670" i="9"/>
  <c r="B644" i="9"/>
  <c r="B570" i="9"/>
  <c r="C531" i="9"/>
  <c r="C515" i="9"/>
  <c r="B493" i="9"/>
  <c r="B485" i="9"/>
  <c r="B373" i="9"/>
  <c r="C295" i="9"/>
  <c r="B106" i="9"/>
  <c r="B112" i="9"/>
  <c r="B118" i="9"/>
  <c r="C142" i="9"/>
  <c r="B163" i="9"/>
  <c r="B210" i="9"/>
  <c r="B217" i="9"/>
  <c r="B225" i="9"/>
  <c r="C240" i="9"/>
  <c r="B240" i="9"/>
  <c r="B248" i="9"/>
  <c r="B271" i="9"/>
  <c r="B279" i="9"/>
  <c r="B295" i="9"/>
  <c r="C303" i="9"/>
  <c r="B303" i="9"/>
  <c r="C311" i="9"/>
  <c r="C335" i="9"/>
  <c r="C376" i="9"/>
  <c r="C385" i="9"/>
  <c r="B385" i="9"/>
  <c r="B393" i="9"/>
  <c r="C410" i="9"/>
  <c r="B450" i="9"/>
  <c r="B469" i="9"/>
  <c r="C478" i="9"/>
  <c r="C490" i="9"/>
  <c r="C500" i="9"/>
  <c r="B500" i="9"/>
  <c r="B509" i="9"/>
  <c r="B529" i="9"/>
  <c r="C548" i="9"/>
  <c r="B569" i="9"/>
  <c r="C600" i="9"/>
  <c r="C611" i="9"/>
  <c r="B634" i="9"/>
  <c r="C654" i="9"/>
  <c r="C678" i="9"/>
  <c r="B678" i="9"/>
  <c r="C700" i="9"/>
  <c r="B722" i="9"/>
  <c r="B734" i="9"/>
  <c r="C745" i="9"/>
  <c r="C839" i="9"/>
  <c r="B839" i="9"/>
  <c r="B876" i="9"/>
  <c r="B889" i="9"/>
  <c r="B900" i="9"/>
  <c r="B926" i="9"/>
  <c r="C1007" i="9"/>
  <c r="C1020" i="9"/>
  <c r="C1033" i="9"/>
  <c r="B1033" i="9"/>
  <c r="B1098" i="9"/>
  <c r="C86" i="10"/>
  <c r="B86" i="10"/>
  <c r="C473" i="10"/>
  <c r="B473" i="10"/>
  <c r="C491" i="10"/>
  <c r="B491" i="10"/>
  <c r="C170" i="9"/>
  <c r="B170" i="9"/>
  <c r="B177" i="9"/>
  <c r="C183" i="9"/>
  <c r="B190" i="9"/>
  <c r="B197" i="9"/>
  <c r="B204" i="9"/>
  <c r="C210" i="9"/>
  <c r="C217" i="9"/>
  <c r="B233" i="9"/>
  <c r="C248" i="9"/>
  <c r="B256" i="9"/>
  <c r="B264" i="9"/>
  <c r="C272" i="9"/>
  <c r="C279" i="9"/>
  <c r="B288" i="9"/>
  <c r="B304" i="9"/>
  <c r="B335" i="9"/>
  <c r="B343" i="9"/>
  <c r="B352" i="9"/>
  <c r="B360" i="9"/>
  <c r="B368" i="9"/>
  <c r="B403" i="9"/>
  <c r="B411" i="9"/>
  <c r="C431" i="9"/>
  <c r="B431" i="9"/>
  <c r="B441" i="9"/>
  <c r="C451" i="9"/>
  <c r="B461" i="9"/>
  <c r="C469" i="9"/>
  <c r="C479" i="9"/>
  <c r="B479" i="9"/>
  <c r="C491" i="9"/>
  <c r="C509" i="9"/>
  <c r="C530" i="9"/>
  <c r="C549" i="9"/>
  <c r="B549" i="9"/>
  <c r="C559" i="9"/>
  <c r="B579" i="9"/>
  <c r="C601" i="9"/>
  <c r="B601" i="9"/>
  <c r="C612" i="9"/>
  <c r="B612" i="9"/>
  <c r="C655" i="9"/>
  <c r="B655" i="9"/>
  <c r="C667" i="9"/>
  <c r="C689" i="9"/>
  <c r="B713" i="9"/>
  <c r="C722" i="9"/>
  <c r="C734" i="9"/>
  <c r="C756" i="9"/>
  <c r="B791" i="9"/>
  <c r="C815" i="9"/>
  <c r="B827" i="9"/>
  <c r="C852" i="9"/>
  <c r="B852" i="9"/>
  <c r="C877" i="9"/>
  <c r="C889" i="9"/>
  <c r="C900" i="9"/>
  <c r="B914" i="9"/>
  <c r="C954" i="9"/>
  <c r="B954" i="9"/>
  <c r="B969" i="9"/>
  <c r="B1099" i="9"/>
  <c r="C1099" i="9"/>
  <c r="C41" i="10"/>
  <c r="B41" i="10"/>
  <c r="C232" i="10"/>
  <c r="C408" i="10"/>
  <c r="B408" i="10"/>
  <c r="B447" i="10"/>
  <c r="C447" i="10"/>
  <c r="B465" i="10"/>
  <c r="C465" i="10"/>
  <c r="C2" i="9"/>
  <c r="C18" i="9"/>
  <c r="C34" i="9"/>
  <c r="C50" i="9"/>
  <c r="C66" i="9"/>
  <c r="C89" i="9"/>
  <c r="C95" i="9"/>
  <c r="B143" i="9"/>
  <c r="C150" i="9"/>
  <c r="B171" i="9"/>
  <c r="C177" i="9"/>
  <c r="C184" i="9"/>
  <c r="C190" i="9"/>
  <c r="C204" i="9"/>
  <c r="B211" i="9"/>
  <c r="C218" i="9"/>
  <c r="C233" i="9"/>
  <c r="C249" i="9"/>
  <c r="C256" i="9"/>
  <c r="C264" i="9"/>
  <c r="B272" i="9"/>
  <c r="C280" i="9"/>
  <c r="C288" i="9"/>
  <c r="B296" i="9"/>
  <c r="B328" i="9"/>
  <c r="C336" i="9"/>
  <c r="C344" i="9"/>
  <c r="C352" i="9"/>
  <c r="C360" i="9"/>
  <c r="C368" i="9"/>
  <c r="C386" i="9"/>
  <c r="B395" i="9"/>
  <c r="C403" i="9"/>
  <c r="C411" i="9"/>
  <c r="C432" i="9"/>
  <c r="C441" i="9"/>
  <c r="C461" i="9"/>
  <c r="C480" i="9"/>
  <c r="B480" i="9"/>
  <c r="B491" i="9"/>
  <c r="B501" i="9"/>
  <c r="C510" i="9"/>
  <c r="B510" i="9"/>
  <c r="C540" i="9"/>
  <c r="B580" i="9"/>
  <c r="B613" i="9"/>
  <c r="B635" i="9"/>
  <c r="B645" i="9"/>
  <c r="B668" i="9"/>
  <c r="C690" i="9"/>
  <c r="B690" i="9"/>
  <c r="C713" i="9"/>
  <c r="B735" i="9"/>
  <c r="C757" i="9"/>
  <c r="B769" i="9"/>
  <c r="B816" i="9"/>
  <c r="C841" i="9"/>
  <c r="B866" i="9"/>
  <c r="C890" i="9"/>
  <c r="C914" i="9"/>
  <c r="B941" i="9"/>
  <c r="B1047" i="9"/>
  <c r="C1199" i="9"/>
  <c r="B28" i="10"/>
  <c r="C28" i="10"/>
  <c r="C87" i="10"/>
  <c r="B757" i="9"/>
  <c r="C769" i="9"/>
  <c r="C781" i="9"/>
  <c r="C816" i="9"/>
  <c r="B841" i="9"/>
  <c r="B890" i="9"/>
  <c r="C942" i="9"/>
  <c r="B997" i="9"/>
  <c r="C1035" i="9"/>
  <c r="C1116" i="9"/>
  <c r="B1130" i="9"/>
  <c r="C1142" i="9"/>
  <c r="D1" i="10"/>
  <c r="C8" i="3" s="1"/>
  <c r="C59" i="10"/>
  <c r="B59" i="10"/>
  <c r="C84" i="9"/>
  <c r="B96" i="9"/>
  <c r="B102" i="9"/>
  <c r="C119" i="9"/>
  <c r="C137" i="9"/>
  <c r="C198" i="9"/>
  <c r="C212" i="9"/>
  <c r="C219" i="9"/>
  <c r="C227" i="9"/>
  <c r="C242" i="9"/>
  <c r="B273" i="9"/>
  <c r="C281" i="9"/>
  <c r="C297" i="9"/>
  <c r="B297" i="9"/>
  <c r="B313" i="9"/>
  <c r="B345" i="9"/>
  <c r="C361" i="9"/>
  <c r="B378" i="9"/>
  <c r="B396" i="9"/>
  <c r="C412" i="9"/>
  <c r="C502" i="9"/>
  <c r="B502" i="9"/>
  <c r="B512" i="9"/>
  <c r="B551" i="9"/>
  <c r="B582" i="9"/>
  <c r="C602" i="9"/>
  <c r="C614" i="9"/>
  <c r="B614" i="9"/>
  <c r="C636" i="9"/>
  <c r="B636" i="9"/>
  <c r="B647" i="9"/>
  <c r="C657" i="9"/>
  <c r="C669" i="9"/>
  <c r="B681" i="9"/>
  <c r="C703" i="9"/>
  <c r="B748" i="9"/>
  <c r="C770" i="9"/>
  <c r="B770" i="9"/>
  <c r="B867" i="9"/>
  <c r="B880" i="9"/>
  <c r="C916" i="9"/>
  <c r="B942" i="9"/>
  <c r="C997" i="9"/>
  <c r="C1009" i="9"/>
  <c r="C1024" i="9"/>
  <c r="C1088" i="9"/>
  <c r="C1130" i="9"/>
  <c r="C1143" i="9"/>
  <c r="B1143" i="9"/>
  <c r="C366" i="10"/>
  <c r="C354" i="10"/>
  <c r="B348" i="10"/>
  <c r="B342" i="10"/>
  <c r="B336" i="10"/>
  <c r="B330" i="10"/>
  <c r="B324" i="10"/>
  <c r="C318" i="10"/>
  <c r="B301" i="10"/>
  <c r="C295" i="10"/>
  <c r="C289" i="10"/>
  <c r="C283" i="10"/>
  <c r="C277" i="10"/>
  <c r="B266" i="10"/>
  <c r="B260" i="10"/>
  <c r="C254" i="10"/>
  <c r="B237" i="10"/>
  <c r="C231" i="10"/>
  <c r="C225" i="10"/>
  <c r="C219" i="10"/>
  <c r="C213" i="10"/>
  <c r="B202" i="10"/>
  <c r="B196" i="10"/>
  <c r="B185" i="10"/>
  <c r="C179" i="10"/>
  <c r="B174" i="10"/>
  <c r="C168" i="10"/>
  <c r="C157" i="10"/>
  <c r="B146" i="10"/>
  <c r="C129" i="10"/>
  <c r="B118" i="10"/>
  <c r="B107" i="10"/>
  <c r="C101" i="10"/>
  <c r="B96" i="10"/>
  <c r="C90" i="10"/>
  <c r="C79" i="10"/>
  <c r="B74" i="10"/>
  <c r="C63" i="10"/>
  <c r="B58" i="10"/>
  <c r="C47" i="10"/>
  <c r="B42" i="10"/>
  <c r="C31" i="10"/>
  <c r="B26" i="10"/>
  <c r="B366" i="10"/>
  <c r="B354" i="10"/>
  <c r="B318" i="10"/>
  <c r="C306" i="10"/>
  <c r="B283" i="10"/>
  <c r="B277" i="10"/>
  <c r="B254" i="10"/>
  <c r="C242" i="10"/>
  <c r="B219" i="10"/>
  <c r="B213" i="10"/>
  <c r="B179" i="10"/>
  <c r="B168" i="10"/>
  <c r="C162" i="10"/>
  <c r="B157" i="10"/>
  <c r="C151" i="10"/>
  <c r="B140" i="10"/>
  <c r="C134" i="10"/>
  <c r="B129" i="10"/>
  <c r="B101" i="10"/>
  <c r="B90" i="10"/>
  <c r="C84" i="10"/>
  <c r="B79" i="10"/>
  <c r="C68" i="10"/>
  <c r="B63" i="10"/>
  <c r="C52" i="10"/>
  <c r="B47" i="10"/>
  <c r="C36" i="10"/>
  <c r="B31" i="10"/>
  <c r="C20" i="10"/>
  <c r="B15" i="10"/>
  <c r="C4" i="10"/>
  <c r="B306" i="10"/>
  <c r="B300" i="10"/>
  <c r="B242" i="10"/>
  <c r="B236" i="10"/>
  <c r="B162" i="10"/>
  <c r="C178" i="10"/>
  <c r="C367" i="10"/>
  <c r="C359" i="10"/>
  <c r="C298" i="10"/>
  <c r="B291" i="10"/>
  <c r="C269" i="10"/>
  <c r="C261" i="10"/>
  <c r="B246" i="10"/>
  <c r="C239" i="10"/>
  <c r="C217" i="10"/>
  <c r="C210" i="10"/>
  <c r="C176" i="10"/>
  <c r="B163" i="10"/>
  <c r="C149" i="10"/>
  <c r="B143" i="10"/>
  <c r="C130" i="10"/>
  <c r="C116" i="10"/>
  <c r="C110" i="10"/>
  <c r="B97" i="10"/>
  <c r="B83" i="10"/>
  <c r="C70" i="10"/>
  <c r="C64" i="10"/>
  <c r="B51" i="10"/>
  <c r="C350" i="10"/>
  <c r="C343" i="10"/>
  <c r="C334" i="10"/>
  <c r="C304" i="10"/>
  <c r="C275" i="10"/>
  <c r="B261" i="10"/>
  <c r="B253" i="10"/>
  <c r="B239" i="10"/>
  <c r="B217" i="10"/>
  <c r="B210" i="10"/>
  <c r="C196" i="10"/>
  <c r="B176" i="10"/>
  <c r="B149" i="10"/>
  <c r="B130" i="10"/>
  <c r="B116" i="10"/>
  <c r="B110" i="10"/>
  <c r="C103" i="10"/>
  <c r="B89" i="10"/>
  <c r="B70" i="10"/>
  <c r="B64" i="10"/>
  <c r="B38" i="10"/>
  <c r="B304" i="10"/>
  <c r="C290" i="10"/>
  <c r="B275" i="10"/>
  <c r="B268" i="10"/>
  <c r="C96" i="10"/>
  <c r="C82" i="10"/>
  <c r="C56" i="10"/>
  <c r="C50" i="10"/>
  <c r="C24" i="10"/>
  <c r="C18" i="10"/>
  <c r="C12" i="10"/>
  <c r="B297" i="10"/>
  <c r="B290" i="10"/>
  <c r="C260" i="10"/>
  <c r="B252" i="10"/>
  <c r="C209" i="10"/>
  <c r="B142" i="10"/>
  <c r="B122" i="10"/>
  <c r="B82" i="10"/>
  <c r="C69" i="10"/>
  <c r="B56" i="10"/>
  <c r="B50" i="10"/>
  <c r="C37" i="10"/>
  <c r="B24" i="10"/>
  <c r="B18" i="10"/>
  <c r="B12" i="10"/>
  <c r="B6" i="10"/>
  <c r="C281" i="10"/>
  <c r="C274" i="10"/>
  <c r="C202" i="10"/>
  <c r="C194" i="10"/>
  <c r="C135" i="10"/>
  <c r="B69" i="10"/>
  <c r="B37" i="10"/>
  <c r="B364" i="10"/>
  <c r="B281" i="10"/>
  <c r="B274" i="10"/>
  <c r="C208" i="10"/>
  <c r="B194" i="10"/>
  <c r="C141" i="10"/>
  <c r="B243" i="10"/>
  <c r="C107" i="10"/>
  <c r="C10" i="10"/>
  <c r="C362" i="10"/>
  <c r="C346" i="10"/>
  <c r="C338" i="10"/>
  <c r="C272" i="10"/>
  <c r="B332" i="10"/>
  <c r="B322" i="10"/>
  <c r="B313" i="10"/>
  <c r="C302" i="10"/>
  <c r="B226" i="10"/>
  <c r="B197" i="10"/>
  <c r="C187" i="10"/>
  <c r="B178" i="10"/>
  <c r="B170" i="10"/>
  <c r="B7" i="10"/>
  <c r="C292" i="10"/>
  <c r="B272" i="10"/>
  <c r="B262" i="10"/>
  <c r="C233" i="10"/>
  <c r="B187" i="10"/>
  <c r="C152" i="10"/>
  <c r="C118" i="10"/>
  <c r="B22" i="10"/>
  <c r="B14" i="10"/>
  <c r="B363" i="10"/>
  <c r="C301" i="10"/>
  <c r="B233" i="10"/>
  <c r="C160" i="10"/>
  <c r="B152" i="10"/>
  <c r="C143" i="10"/>
  <c r="C38" i="10"/>
  <c r="C29" i="10"/>
  <c r="C330" i="10"/>
  <c r="C320" i="10"/>
  <c r="C291" i="10"/>
  <c r="B160" i="10"/>
  <c r="B29" i="10"/>
  <c r="C21" i="10"/>
  <c r="C13" i="10"/>
  <c r="C361" i="10"/>
  <c r="C328" i="10"/>
  <c r="C258" i="10"/>
  <c r="C249" i="10"/>
  <c r="C185" i="10"/>
  <c r="B166" i="10"/>
  <c r="C114" i="10"/>
  <c r="B61" i="10"/>
  <c r="C53" i="10"/>
  <c r="C307" i="10"/>
  <c r="C287" i="10"/>
  <c r="B229" i="10"/>
  <c r="B19" i="10"/>
  <c r="C368" i="10"/>
  <c r="B344" i="10"/>
  <c r="B320" i="10"/>
  <c r="B309" i="10"/>
  <c r="B221" i="10"/>
  <c r="C166" i="10"/>
  <c r="B125" i="10"/>
  <c r="B114" i="10"/>
  <c r="C104" i="10"/>
  <c r="C74" i="10"/>
  <c r="B368" i="10"/>
  <c r="C273" i="10"/>
  <c r="C240" i="10"/>
  <c r="B104" i="10"/>
  <c r="B23" i="10"/>
  <c r="B13" i="10"/>
  <c r="B3" i="10"/>
  <c r="B240" i="10"/>
  <c r="C229" i="10"/>
  <c r="B220" i="10"/>
  <c r="B208" i="10"/>
  <c r="B198" i="10"/>
  <c r="B165" i="10"/>
  <c r="C144" i="10"/>
  <c r="B124" i="10"/>
  <c r="C113" i="10"/>
  <c r="C83" i="10"/>
  <c r="B53" i="10"/>
  <c r="B307" i="10"/>
  <c r="B284" i="10"/>
  <c r="C174" i="10"/>
  <c r="B113" i="10"/>
  <c r="C42" i="10"/>
  <c r="C2" i="10"/>
  <c r="B362" i="10"/>
  <c r="B338" i="10"/>
  <c r="C280" i="10"/>
  <c r="C183" i="10"/>
  <c r="B150" i="10"/>
  <c r="C226" i="10"/>
  <c r="B204" i="10"/>
  <c r="C193" i="10"/>
  <c r="C98" i="10"/>
  <c r="B78" i="10"/>
  <c r="C39" i="10"/>
  <c r="C344" i="10"/>
  <c r="C305" i="10"/>
  <c r="B255" i="10"/>
  <c r="C192" i="10"/>
  <c r="C97" i="10"/>
  <c r="C85" i="10"/>
  <c r="C51" i="10"/>
  <c r="B40" i="10"/>
  <c r="C228" i="10"/>
  <c r="C132" i="10"/>
  <c r="B121" i="10"/>
  <c r="B85" i="10"/>
  <c r="B276" i="10"/>
  <c r="C264" i="10"/>
  <c r="C191" i="10"/>
  <c r="C26" i="10"/>
  <c r="C15" i="10"/>
  <c r="B316" i="10"/>
  <c r="B264" i="10"/>
  <c r="C227" i="10"/>
  <c r="B191" i="10"/>
  <c r="C153" i="10"/>
  <c r="B141" i="10"/>
  <c r="C71" i="10"/>
  <c r="C61" i="10"/>
  <c r="B328" i="10"/>
  <c r="B227" i="10"/>
  <c r="C119" i="10"/>
  <c r="B71" i="10"/>
  <c r="B48" i="10"/>
  <c r="B2" i="10"/>
  <c r="B235" i="10"/>
  <c r="B211" i="10"/>
  <c r="B138" i="10"/>
  <c r="C127" i="10"/>
  <c r="C58" i="10"/>
  <c r="C45" i="10"/>
  <c r="B21" i="10"/>
  <c r="C324" i="10"/>
  <c r="C270" i="10"/>
  <c r="B127" i="10"/>
  <c r="B45" i="10"/>
  <c r="B10" i="10"/>
  <c r="C243" i="10"/>
  <c r="B80" i="10"/>
  <c r="C146" i="10"/>
  <c r="B105" i="10"/>
  <c r="B92" i="10"/>
  <c r="B11" i="10"/>
  <c r="C339" i="10"/>
  <c r="C255" i="10"/>
  <c r="C170" i="10"/>
  <c r="C266" i="10"/>
  <c r="C77" i="10"/>
  <c r="C65" i="10"/>
  <c r="B222" i="10"/>
  <c r="B361" i="10"/>
  <c r="B346" i="10"/>
  <c r="B249" i="10"/>
  <c r="C111" i="10"/>
  <c r="C32" i="10"/>
  <c r="C60" i="10"/>
  <c r="C234" i="10"/>
  <c r="B279" i="10"/>
  <c r="C279" i="10"/>
  <c r="B293" i="10"/>
  <c r="C336" i="10"/>
  <c r="B284" i="9"/>
  <c r="C319" i="9"/>
  <c r="C367" i="9"/>
  <c r="B418" i="9"/>
  <c r="C470" i="9"/>
  <c r="B470" i="9"/>
  <c r="B508" i="9"/>
  <c r="B539" i="9"/>
  <c r="B578" i="9"/>
  <c r="B604" i="9"/>
  <c r="C620" i="9"/>
  <c r="C661" i="9"/>
  <c r="B688" i="9"/>
  <c r="C697" i="9"/>
  <c r="B697" i="9"/>
  <c r="C742" i="9"/>
  <c r="B742" i="9"/>
  <c r="C751" i="9"/>
  <c r="B800" i="9"/>
  <c r="B830" i="9"/>
  <c r="B840" i="9"/>
  <c r="C860" i="9"/>
  <c r="C901" i="9"/>
  <c r="B901" i="9"/>
  <c r="C999" i="9"/>
  <c r="B999" i="9"/>
  <c r="B1022" i="9"/>
  <c r="C1022" i="9"/>
  <c r="C1044" i="9"/>
  <c r="C1104" i="9"/>
  <c r="C1129" i="9"/>
  <c r="B1129" i="9"/>
  <c r="C126" i="10"/>
  <c r="B334" i="10"/>
  <c r="C381" i="10"/>
  <c r="B381" i="10"/>
  <c r="B555" i="10"/>
  <c r="C555" i="10"/>
  <c r="B584" i="10"/>
  <c r="C584" i="10"/>
  <c r="B681" i="10"/>
  <c r="C681" i="10"/>
  <c r="C273" i="9"/>
  <c r="C284" i="9"/>
  <c r="B319" i="9"/>
  <c r="C337" i="9"/>
  <c r="B367" i="9"/>
  <c r="B386" i="9"/>
  <c r="C433" i="9"/>
  <c r="C463" i="9"/>
  <c r="B463" i="9"/>
  <c r="C516" i="9"/>
  <c r="C524" i="9"/>
  <c r="C555" i="9"/>
  <c r="B620" i="9"/>
  <c r="B661" i="9"/>
  <c r="B671" i="9"/>
  <c r="C688" i="9"/>
  <c r="C698" i="9"/>
  <c r="B698" i="9"/>
  <c r="C724" i="9"/>
  <c r="C743" i="9"/>
  <c r="C761" i="9"/>
  <c r="C800" i="9"/>
  <c r="B810" i="9"/>
  <c r="C840" i="9"/>
  <c r="B860" i="9"/>
  <c r="C924" i="9"/>
  <c r="B934" i="9"/>
  <c r="B978" i="9"/>
  <c r="C1045" i="9"/>
  <c r="B1045" i="9"/>
  <c r="C1068" i="9"/>
  <c r="B1104" i="9"/>
  <c r="C75" i="10"/>
  <c r="B75" i="10"/>
  <c r="C112" i="10"/>
  <c r="C181" i="10"/>
  <c r="B181" i="10"/>
  <c r="B250" i="10"/>
  <c r="C250" i="10"/>
  <c r="C257" i="9"/>
  <c r="C321" i="9"/>
  <c r="C369" i="9"/>
  <c r="C420" i="9"/>
  <c r="C465" i="9"/>
  <c r="C495" i="9"/>
  <c r="B495" i="9"/>
  <c r="B542" i="9"/>
  <c r="C572" i="9"/>
  <c r="B572" i="9"/>
  <c r="C589" i="9"/>
  <c r="B589" i="9"/>
  <c r="B598" i="9"/>
  <c r="B674" i="9"/>
  <c r="C701" i="9"/>
  <c r="B774" i="9"/>
  <c r="C774" i="9"/>
  <c r="C894" i="9"/>
  <c r="B894" i="9"/>
  <c r="C958" i="9"/>
  <c r="C1072" i="9"/>
  <c r="C1083" i="9"/>
  <c r="C1095" i="9"/>
  <c r="B1158" i="9"/>
  <c r="B36" i="10"/>
  <c r="B200" i="10"/>
  <c r="C734" i="10"/>
  <c r="B734" i="10"/>
  <c r="C900" i="10"/>
  <c r="B900" i="10"/>
  <c r="B218" i="9"/>
  <c r="B246" i="9"/>
  <c r="B257" i="9"/>
  <c r="B280" i="9"/>
  <c r="B286" i="9"/>
  <c r="B292" i="9"/>
  <c r="B315" i="9"/>
  <c r="B321" i="9"/>
  <c r="B339" i="9"/>
  <c r="C351" i="9"/>
  <c r="B363" i="9"/>
  <c r="B369" i="9"/>
  <c r="C388" i="9"/>
  <c r="B394" i="9"/>
  <c r="B420" i="9"/>
  <c r="B428" i="9"/>
  <c r="C443" i="9"/>
  <c r="B458" i="9"/>
  <c r="B466" i="9"/>
  <c r="B473" i="9"/>
  <c r="C518" i="9"/>
  <c r="B518" i="9"/>
  <c r="B534" i="9"/>
  <c r="C557" i="9"/>
  <c r="B557" i="9"/>
  <c r="B565" i="9"/>
  <c r="C573" i="9"/>
  <c r="C607" i="9"/>
  <c r="B607" i="9"/>
  <c r="C615" i="9"/>
  <c r="B631" i="9"/>
  <c r="B639" i="9"/>
  <c r="B648" i="9"/>
  <c r="C665" i="9"/>
  <c r="B665" i="9"/>
  <c r="B701" i="9"/>
  <c r="B754" i="9"/>
  <c r="C775" i="9"/>
  <c r="B784" i="9"/>
  <c r="C823" i="9"/>
  <c r="B823" i="9"/>
  <c r="C874" i="9"/>
  <c r="C884" i="9"/>
  <c r="B916" i="9"/>
  <c r="B927" i="9"/>
  <c r="B970" i="9"/>
  <c r="C1084" i="9"/>
  <c r="C1170" i="9"/>
  <c r="B1170" i="9"/>
  <c r="B1184" i="9"/>
  <c r="B52" i="10"/>
  <c r="C158" i="10"/>
  <c r="C186" i="10"/>
  <c r="B186" i="10"/>
  <c r="C200" i="10"/>
  <c r="C267" i="10"/>
  <c r="B267" i="10"/>
  <c r="C352" i="10"/>
  <c r="B352" i="10"/>
  <c r="C376" i="10"/>
  <c r="C392" i="10"/>
  <c r="B392" i="10"/>
  <c r="C543" i="10"/>
  <c r="B543" i="10"/>
  <c r="C241" i="9"/>
  <c r="B252" i="9"/>
  <c r="B298" i="9"/>
  <c r="B351" i="9"/>
  <c r="B370" i="9"/>
  <c r="B388" i="9"/>
  <c r="C401" i="9"/>
  <c r="C436" i="9"/>
  <c r="B443" i="9"/>
  <c r="B451" i="9"/>
  <c r="C481" i="9"/>
  <c r="B496" i="9"/>
  <c r="B504" i="9"/>
  <c r="C511" i="9"/>
  <c r="B511" i="9"/>
  <c r="B527" i="9"/>
  <c r="B550" i="9"/>
  <c r="B558" i="9"/>
  <c r="B573" i="9"/>
  <c r="C599" i="9"/>
  <c r="C648" i="9"/>
  <c r="C666" i="9"/>
  <c r="C702" i="9"/>
  <c r="B728" i="9"/>
  <c r="C737" i="9"/>
  <c r="C765" i="9"/>
  <c r="C784" i="9"/>
  <c r="C794" i="9"/>
  <c r="B794" i="9"/>
  <c r="B824" i="9"/>
  <c r="C824" i="9"/>
  <c r="B874" i="9"/>
  <c r="C959" i="9"/>
  <c r="C982" i="9"/>
  <c r="C1015" i="9"/>
  <c r="B1015" i="9"/>
  <c r="C1073" i="9"/>
  <c r="B1084" i="9"/>
  <c r="C1184" i="9"/>
  <c r="B66" i="10"/>
  <c r="C105" i="10"/>
  <c r="B158" i="10"/>
  <c r="C171" i="10"/>
  <c r="B171" i="10"/>
  <c r="C287" i="9"/>
  <c r="B316" i="9"/>
  <c r="B364" i="9"/>
  <c r="B444" i="9"/>
  <c r="C459" i="9"/>
  <c r="B474" i="9"/>
  <c r="B482" i="9"/>
  <c r="B520" i="9"/>
  <c r="C535" i="9"/>
  <c r="C566" i="9"/>
  <c r="C574" i="9"/>
  <c r="B574" i="9"/>
  <c r="B632" i="9"/>
  <c r="B641" i="9"/>
  <c r="C693" i="9"/>
  <c r="C711" i="9"/>
  <c r="B711" i="9"/>
  <c r="B825" i="9"/>
  <c r="B856" i="9"/>
  <c r="C907" i="9"/>
  <c r="B928" i="9"/>
  <c r="B960" i="9"/>
  <c r="B994" i="9"/>
  <c r="C994" i="9"/>
  <c r="C1028" i="9"/>
  <c r="B1028" i="9"/>
  <c r="C1038" i="9"/>
  <c r="B1038" i="9"/>
  <c r="B1062" i="9"/>
  <c r="B1122" i="9"/>
  <c r="B159" i="10"/>
  <c r="C172" i="10"/>
  <c r="B172" i="10"/>
  <c r="C256" i="10"/>
  <c r="C340" i="10"/>
  <c r="B340" i="10"/>
  <c r="C225" i="9"/>
  <c r="B236" i="9"/>
  <c r="B287" i="9"/>
  <c r="C305" i="9"/>
  <c r="C316" i="9"/>
  <c r="B346" i="9"/>
  <c r="C364" i="9"/>
  <c r="B402" i="9"/>
  <c r="C452" i="9"/>
  <c r="B459" i="9"/>
  <c r="C497" i="9"/>
  <c r="C520" i="9"/>
  <c r="B528" i="9"/>
  <c r="C551" i="9"/>
  <c r="B566" i="9"/>
  <c r="C591" i="9"/>
  <c r="B591" i="9"/>
  <c r="B600" i="9"/>
  <c r="C632" i="9"/>
  <c r="C684" i="9"/>
  <c r="B684" i="9"/>
  <c r="B693" i="9"/>
  <c r="B720" i="9"/>
  <c r="C720" i="9"/>
  <c r="B756" i="9"/>
  <c r="C766" i="9"/>
  <c r="B766" i="9"/>
  <c r="C856" i="9"/>
  <c r="C876" i="9"/>
  <c r="C928" i="9"/>
  <c r="C960" i="9"/>
  <c r="B972" i="9"/>
  <c r="C972" i="9"/>
  <c r="C1006" i="9"/>
  <c r="C1111" i="9"/>
  <c r="B1111" i="9"/>
  <c r="C1122" i="9"/>
  <c r="C1147" i="9"/>
  <c r="B1147" i="9"/>
  <c r="B67" i="10"/>
  <c r="C67" i="10"/>
  <c r="C159" i="10"/>
  <c r="B256" i="10"/>
  <c r="C650" i="9"/>
  <c r="B656" i="9"/>
  <c r="C656" i="9"/>
  <c r="C729" i="9"/>
  <c r="C858" i="9"/>
  <c r="C917" i="9"/>
  <c r="B917" i="9"/>
  <c r="C935" i="9"/>
  <c r="B935" i="9"/>
  <c r="B944" i="9"/>
  <c r="B953" i="9"/>
  <c r="B1008" i="9"/>
  <c r="B1036" i="9"/>
  <c r="C1065" i="9"/>
  <c r="B1065" i="9"/>
  <c r="C1076" i="9"/>
  <c r="C1086" i="9"/>
  <c r="C1097" i="9"/>
  <c r="B1097" i="9"/>
  <c r="C1109" i="9"/>
  <c r="B1109" i="9"/>
  <c r="C1120" i="9"/>
  <c r="B1120" i="9"/>
  <c r="C1131" i="9"/>
  <c r="C1175" i="9"/>
  <c r="C33" i="10"/>
  <c r="C102" i="10"/>
  <c r="C115" i="10"/>
  <c r="C211" i="10"/>
  <c r="C223" i="10"/>
  <c r="C235" i="10"/>
  <c r="C248" i="10"/>
  <c r="C285" i="10"/>
  <c r="C578" i="10"/>
  <c r="B578" i="10"/>
  <c r="C644" i="9"/>
  <c r="B650" i="9"/>
  <c r="B696" i="9"/>
  <c r="B703" i="9"/>
  <c r="B729" i="9"/>
  <c r="B736" i="9"/>
  <c r="C749" i="9"/>
  <c r="B749" i="9"/>
  <c r="C764" i="9"/>
  <c r="B764" i="9"/>
  <c r="C772" i="9"/>
  <c r="B834" i="9"/>
  <c r="B850" i="9"/>
  <c r="C944" i="9"/>
  <c r="C971" i="9"/>
  <c r="B981" i="9"/>
  <c r="B1110" i="9"/>
  <c r="B1121" i="9"/>
  <c r="B1131" i="9"/>
  <c r="B1142" i="9"/>
  <c r="C80" i="10"/>
  <c r="C91" i="10"/>
  <c r="C286" i="10"/>
  <c r="B299" i="10"/>
  <c r="C515" i="10"/>
  <c r="B515" i="10"/>
  <c r="C540" i="10"/>
  <c r="B540" i="10"/>
  <c r="B620" i="10"/>
  <c r="C620" i="10"/>
  <c r="B940" i="10"/>
  <c r="C940" i="10"/>
  <c r="C633" i="9"/>
  <c r="B633" i="9"/>
  <c r="B672" i="9"/>
  <c r="C758" i="9"/>
  <c r="B758" i="9"/>
  <c r="C804" i="9"/>
  <c r="B804" i="9"/>
  <c r="C844" i="9"/>
  <c r="B844" i="9"/>
  <c r="C861" i="9"/>
  <c r="C911" i="9"/>
  <c r="B911" i="9"/>
  <c r="C938" i="9"/>
  <c r="B938" i="9"/>
  <c r="C955" i="9"/>
  <c r="C983" i="9"/>
  <c r="B983" i="9"/>
  <c r="C1001" i="9"/>
  <c r="B1001" i="9"/>
  <c r="B1039" i="9"/>
  <c r="C1048" i="9"/>
  <c r="B1048" i="9"/>
  <c r="C1113" i="9"/>
  <c r="B1113" i="9"/>
  <c r="C1157" i="9"/>
  <c r="B1166" i="9"/>
  <c r="B1190" i="9"/>
  <c r="C106" i="10"/>
  <c r="B106" i="10"/>
  <c r="C131" i="10"/>
  <c r="B369" i="10"/>
  <c r="C857" i="10"/>
  <c r="B857" i="10"/>
  <c r="C916" i="10"/>
  <c r="B916" i="10"/>
  <c r="C934" i="10"/>
  <c r="B934" i="10"/>
  <c r="C1161" i="10"/>
  <c r="B1161" i="10"/>
  <c r="B417" i="9"/>
  <c r="B433" i="9"/>
  <c r="B449" i="9"/>
  <c r="B465" i="9"/>
  <c r="B481" i="9"/>
  <c r="B497" i="9"/>
  <c r="B513" i="9"/>
  <c r="B524" i="9"/>
  <c r="B535" i="9"/>
  <c r="C541" i="9"/>
  <c r="B552" i="9"/>
  <c r="B597" i="9"/>
  <c r="B603" i="9"/>
  <c r="B609" i="9"/>
  <c r="C621" i="9"/>
  <c r="B640" i="9"/>
  <c r="B646" i="9"/>
  <c r="B652" i="9"/>
  <c r="C672" i="9"/>
  <c r="B705" i="9"/>
  <c r="B724" i="9"/>
  <c r="B738" i="9"/>
  <c r="B751" i="9"/>
  <c r="C782" i="9"/>
  <c r="C797" i="9"/>
  <c r="C820" i="9"/>
  <c r="C829" i="9"/>
  <c r="B836" i="9"/>
  <c r="C869" i="9"/>
  <c r="C878" i="9"/>
  <c r="B886" i="9"/>
  <c r="C903" i="9"/>
  <c r="B903" i="9"/>
  <c r="B921" i="9"/>
  <c r="C984" i="9"/>
  <c r="B992" i="9"/>
  <c r="B1002" i="9"/>
  <c r="B1020" i="9"/>
  <c r="B1030" i="9"/>
  <c r="C1059" i="9"/>
  <c r="C1102" i="9"/>
  <c r="C1124" i="9"/>
  <c r="C1166" i="9"/>
  <c r="C1190" i="9"/>
  <c r="B131" i="10"/>
  <c r="C329" i="10"/>
  <c r="B329" i="10"/>
  <c r="C369" i="10"/>
  <c r="B401" i="10"/>
  <c r="C401" i="10"/>
  <c r="B530" i="9"/>
  <c r="B541" i="9"/>
  <c r="C552" i="9"/>
  <c r="B615" i="9"/>
  <c r="B621" i="9"/>
  <c r="C640" i="9"/>
  <c r="B666" i="9"/>
  <c r="C679" i="9"/>
  <c r="C685" i="9"/>
  <c r="B685" i="9"/>
  <c r="B745" i="9"/>
  <c r="B759" i="9"/>
  <c r="C767" i="9"/>
  <c r="B775" i="9"/>
  <c r="B782" i="9"/>
  <c r="B790" i="9"/>
  <c r="C813" i="9"/>
  <c r="B820" i="9"/>
  <c r="C853" i="9"/>
  <c r="B862" i="9"/>
  <c r="B869" i="9"/>
  <c r="C886" i="9"/>
  <c r="C895" i="9"/>
  <c r="B895" i="9"/>
  <c r="B904" i="9"/>
  <c r="B930" i="9"/>
  <c r="C940" i="9"/>
  <c r="C965" i="9"/>
  <c r="B965" i="9"/>
  <c r="B975" i="9"/>
  <c r="B984" i="9"/>
  <c r="C1040" i="9"/>
  <c r="C1070" i="9"/>
  <c r="C1080" i="9"/>
  <c r="B1080" i="9"/>
  <c r="B1115" i="9"/>
  <c r="B1125" i="9"/>
  <c r="B39" i="10"/>
  <c r="C121" i="10"/>
  <c r="B132" i="10"/>
  <c r="C142" i="10"/>
  <c r="B228" i="10"/>
  <c r="B685" i="10"/>
  <c r="B744" i="10"/>
  <c r="C744" i="10"/>
  <c r="C525" i="9"/>
  <c r="B536" i="9"/>
  <c r="C622" i="9"/>
  <c r="B622" i="9"/>
  <c r="C653" i="9"/>
  <c r="B706" i="9"/>
  <c r="C725" i="9"/>
  <c r="B732" i="9"/>
  <c r="B752" i="9"/>
  <c r="C752" i="9"/>
  <c r="B768" i="9"/>
  <c r="C798" i="9"/>
  <c r="B798" i="9"/>
  <c r="B806" i="9"/>
  <c r="B870" i="9"/>
  <c r="C870" i="9"/>
  <c r="C887" i="9"/>
  <c r="B887" i="9"/>
  <c r="B896" i="9"/>
  <c r="C922" i="9"/>
  <c r="B922" i="9"/>
  <c r="C948" i="9"/>
  <c r="C957" i="9"/>
  <c r="C993" i="9"/>
  <c r="C1003" i="9"/>
  <c r="B1003" i="9"/>
  <c r="B1013" i="9"/>
  <c r="C1060" i="9"/>
  <c r="B1070" i="9"/>
  <c r="B1103" i="9"/>
  <c r="B1136" i="9"/>
  <c r="C5" i="10"/>
  <c r="B5" i="10"/>
  <c r="C16" i="10"/>
  <c r="C27" i="10"/>
  <c r="B180" i="10"/>
  <c r="B192" i="10"/>
  <c r="C662" i="10"/>
  <c r="B662" i="10"/>
  <c r="B525" i="9"/>
  <c r="C536" i="9"/>
  <c r="B616" i="9"/>
  <c r="C616" i="9"/>
  <c r="B653" i="9"/>
  <c r="C706" i="9"/>
  <c r="B725" i="9"/>
  <c r="C746" i="9"/>
  <c r="B760" i="9"/>
  <c r="C768" i="9"/>
  <c r="B776" i="9"/>
  <c r="C776" i="9"/>
  <c r="C791" i="9"/>
  <c r="C806" i="9"/>
  <c r="C814" i="9"/>
  <c r="B854" i="9"/>
  <c r="C854" i="9"/>
  <c r="B888" i="9"/>
  <c r="C896" i="9"/>
  <c r="C905" i="9"/>
  <c r="C923" i="9"/>
  <c r="C941" i="9"/>
  <c r="B948" i="9"/>
  <c r="C967" i="9"/>
  <c r="B993" i="9"/>
  <c r="B1004" i="9"/>
  <c r="C1061" i="9"/>
  <c r="B1061" i="9"/>
  <c r="B1159" i="9"/>
  <c r="B1169" i="9"/>
  <c r="B16" i="10"/>
  <c r="B27" i="10"/>
  <c r="C122" i="10"/>
  <c r="C180" i="10"/>
  <c r="C218" i="10"/>
  <c r="C278" i="10"/>
  <c r="B278" i="10"/>
  <c r="C411" i="10"/>
  <c r="B411" i="10"/>
  <c r="B568" i="10"/>
  <c r="C568" i="10"/>
  <c r="C828" i="9"/>
  <c r="B848" i="9"/>
  <c r="C909" i="9"/>
  <c r="B936" i="9"/>
  <c r="C956" i="9"/>
  <c r="B963" i="9"/>
  <c r="C977" i="9"/>
  <c r="C985" i="9"/>
  <c r="B1000" i="9"/>
  <c r="B1046" i="9"/>
  <c r="C1054" i="9"/>
  <c r="B1054" i="9"/>
  <c r="C1063" i="9"/>
  <c r="B1071" i="9"/>
  <c r="C1096" i="9"/>
  <c r="B1105" i="9"/>
  <c r="B1123" i="9"/>
  <c r="C1140" i="9"/>
  <c r="B1140" i="9"/>
  <c r="C1167" i="9"/>
  <c r="B1167" i="9"/>
  <c r="B1178" i="9"/>
  <c r="C1198" i="9"/>
  <c r="C49" i="10"/>
  <c r="B68" i="10"/>
  <c r="C120" i="10"/>
  <c r="C139" i="10"/>
  <c r="B139" i="10"/>
  <c r="B247" i="10"/>
  <c r="B280" i="10"/>
  <c r="C303" i="10"/>
  <c r="B303" i="10"/>
  <c r="C325" i="10"/>
  <c r="B325" i="10"/>
  <c r="C989" i="10"/>
  <c r="B989" i="10"/>
  <c r="C1092" i="10"/>
  <c r="B1092" i="10"/>
  <c r="C677" i="9"/>
  <c r="B712" i="9"/>
  <c r="C741" i="9"/>
  <c r="C789" i="9"/>
  <c r="B802" i="9"/>
  <c r="C821" i="9"/>
  <c r="B828" i="9"/>
  <c r="C848" i="9"/>
  <c r="C855" i="9"/>
  <c r="B855" i="9"/>
  <c r="B882" i="9"/>
  <c r="B902" i="9"/>
  <c r="C936" i="9"/>
  <c r="C949" i="9"/>
  <c r="B956" i="9"/>
  <c r="C1000" i="9"/>
  <c r="B1016" i="9"/>
  <c r="B1023" i="9"/>
  <c r="C1046" i="9"/>
  <c r="B1063" i="9"/>
  <c r="B1096" i="9"/>
  <c r="C1105" i="9"/>
  <c r="C1123" i="9"/>
  <c r="C1132" i="9"/>
  <c r="B1149" i="9"/>
  <c r="C1149" i="9"/>
  <c r="C1178" i="9"/>
  <c r="C1188" i="9"/>
  <c r="B1188" i="9"/>
  <c r="C9" i="10"/>
  <c r="B9" i="10"/>
  <c r="B49" i="10"/>
  <c r="C99" i="10"/>
  <c r="B120" i="10"/>
  <c r="C205" i="10"/>
  <c r="C216" i="10"/>
  <c r="C247" i="10"/>
  <c r="B257" i="10"/>
  <c r="C257" i="10"/>
  <c r="C349" i="10"/>
  <c r="B349" i="10"/>
  <c r="C866" i="10"/>
  <c r="B866" i="10"/>
  <c r="B924" i="10"/>
  <c r="C924" i="10"/>
  <c r="C941" i="10"/>
  <c r="B941" i="10"/>
  <c r="B864" i="9"/>
  <c r="C925" i="9"/>
  <c r="B952" i="9"/>
  <c r="C995" i="9"/>
  <c r="B1010" i="9"/>
  <c r="C1010" i="9"/>
  <c r="B1026" i="9"/>
  <c r="C1041" i="9"/>
  <c r="B1090" i="9"/>
  <c r="C1191" i="9"/>
  <c r="B1191" i="9"/>
  <c r="C72" i="10"/>
  <c r="C93" i="10"/>
  <c r="B133" i="10"/>
  <c r="C133" i="10"/>
  <c r="B144" i="10"/>
  <c r="C154" i="10"/>
  <c r="B154" i="10"/>
  <c r="C165" i="10"/>
  <c r="C198" i="10"/>
  <c r="C220" i="10"/>
  <c r="C404" i="10"/>
  <c r="B404" i="10"/>
  <c r="C655" i="10"/>
  <c r="B655" i="10"/>
  <c r="C726" i="10"/>
  <c r="B726" i="10"/>
  <c r="B792" i="9"/>
  <c r="C837" i="9"/>
  <c r="C864" i="9"/>
  <c r="C871" i="9"/>
  <c r="B871" i="9"/>
  <c r="B878" i="9"/>
  <c r="B884" i="9"/>
  <c r="B898" i="9"/>
  <c r="B905" i="9"/>
  <c r="B918" i="9"/>
  <c r="C952" i="9"/>
  <c r="B988" i="9"/>
  <c r="B995" i="9"/>
  <c r="B1011" i="9"/>
  <c r="C1026" i="9"/>
  <c r="B1041" i="9"/>
  <c r="C1100" i="9"/>
  <c r="B1100" i="9"/>
  <c r="B1153" i="9"/>
  <c r="C3" i="10"/>
  <c r="B33" i="10"/>
  <c r="B93" i="10"/>
  <c r="C155" i="10"/>
  <c r="C296" i="10"/>
  <c r="C308" i="10"/>
  <c r="B308" i="10"/>
  <c r="C355" i="10"/>
  <c r="B355" i="10"/>
  <c r="B462" i="10"/>
  <c r="B638" i="10"/>
  <c r="C671" i="10"/>
  <c r="B671" i="10"/>
  <c r="C711" i="10"/>
  <c r="B711" i="10"/>
  <c r="B761" i="9"/>
  <c r="B767" i="9"/>
  <c r="C773" i="9"/>
  <c r="C792" i="9"/>
  <c r="B831" i="9"/>
  <c r="B837" i="9"/>
  <c r="C845" i="9"/>
  <c r="B858" i="9"/>
  <c r="B872" i="9"/>
  <c r="C892" i="9"/>
  <c r="B912" i="9"/>
  <c r="C918" i="9"/>
  <c r="C939" i="9"/>
  <c r="B959" i="9"/>
  <c r="C966" i="9"/>
  <c r="B974" i="9"/>
  <c r="C988" i="9"/>
  <c r="C996" i="9"/>
  <c r="C1027" i="9"/>
  <c r="B1058" i="9"/>
  <c r="C1067" i="9"/>
  <c r="B1083" i="9"/>
  <c r="C1153" i="9"/>
  <c r="C1173" i="9"/>
  <c r="B1173" i="9"/>
  <c r="B1193" i="9"/>
  <c r="C44" i="10"/>
  <c r="C54" i="10"/>
  <c r="B84" i="10"/>
  <c r="C94" i="10"/>
  <c r="C145" i="10"/>
  <c r="B145" i="10"/>
  <c r="C189" i="10"/>
  <c r="B199" i="10"/>
  <c r="B285" i="10"/>
  <c r="B296" i="10"/>
  <c r="C356" i="10"/>
  <c r="C414" i="10"/>
  <c r="B414" i="10"/>
  <c r="C429" i="10"/>
  <c r="B429" i="10"/>
  <c r="C562" i="10"/>
  <c r="B562" i="10"/>
  <c r="C591" i="10"/>
  <c r="B591" i="10"/>
  <c r="B1038" i="10"/>
  <c r="C645" i="9"/>
  <c r="B680" i="9"/>
  <c r="C709" i="9"/>
  <c r="B744" i="9"/>
  <c r="B773" i="9"/>
  <c r="B786" i="9"/>
  <c r="C805" i="9"/>
  <c r="B818" i="9"/>
  <c r="B838" i="9"/>
  <c r="C872" i="9"/>
  <c r="C885" i="9"/>
  <c r="B892" i="9"/>
  <c r="C912" i="9"/>
  <c r="C919" i="9"/>
  <c r="B919" i="9"/>
  <c r="B946" i="9"/>
  <c r="C1012" i="9"/>
  <c r="B1012" i="9"/>
  <c r="B1027" i="9"/>
  <c r="C1058" i="9"/>
  <c r="B1067" i="9"/>
  <c r="C1154" i="9"/>
  <c r="B1154" i="9"/>
  <c r="C1174" i="9"/>
  <c r="C34" i="10"/>
  <c r="B54" i="10"/>
  <c r="B65" i="10"/>
  <c r="B94" i="10"/>
  <c r="C177" i="10"/>
  <c r="B177" i="10"/>
  <c r="C199" i="10"/>
  <c r="C297" i="10"/>
  <c r="B356" i="10"/>
  <c r="C375" i="10"/>
  <c r="C454" i="10"/>
  <c r="B454" i="10"/>
  <c r="B570" i="10"/>
  <c r="C570" i="10"/>
  <c r="C592" i="10"/>
  <c r="B592" i="10"/>
  <c r="C617" i="10"/>
  <c r="B617" i="10"/>
  <c r="C640" i="10"/>
  <c r="B640" i="10"/>
  <c r="B648" i="10"/>
  <c r="C648" i="10"/>
  <c r="C886" i="10"/>
  <c r="B886" i="10"/>
  <c r="C975" i="10"/>
  <c r="B975" i="10"/>
  <c r="C1099" i="10"/>
  <c r="B1099" i="10"/>
  <c r="C1151" i="10"/>
  <c r="B1151" i="10"/>
  <c r="B1091" i="9"/>
  <c r="C1118" i="9"/>
  <c r="C1138" i="9"/>
  <c r="B1138" i="9"/>
  <c r="C1145" i="9"/>
  <c r="C1168" i="9"/>
  <c r="C1185" i="9"/>
  <c r="B1185" i="9"/>
  <c r="C11" i="10"/>
  <c r="C43" i="10"/>
  <c r="B43" i="10"/>
  <c r="C78" i="10"/>
  <c r="B87" i="10"/>
  <c r="C148" i="10"/>
  <c r="C184" i="10"/>
  <c r="B184" i="10"/>
  <c r="C201" i="10"/>
  <c r="B201" i="10"/>
  <c r="C221" i="10"/>
  <c r="C238" i="10"/>
  <c r="C317" i="10"/>
  <c r="B317" i="10"/>
  <c r="C377" i="10"/>
  <c r="B377" i="10"/>
  <c r="B423" i="10"/>
  <c r="C423" i="10"/>
  <c r="B618" i="10"/>
  <c r="C618" i="10"/>
  <c r="C639" i="10"/>
  <c r="B639" i="10"/>
  <c r="C833" i="10"/>
  <c r="B833" i="10"/>
  <c r="C893" i="10"/>
  <c r="B893" i="10"/>
  <c r="C1053" i="10"/>
  <c r="B1053" i="10"/>
  <c r="B1060" i="10"/>
  <c r="C1047" i="9"/>
  <c r="C1079" i="9"/>
  <c r="C1092" i="9"/>
  <c r="C1161" i="9"/>
  <c r="B20" i="10"/>
  <c r="C88" i="10"/>
  <c r="C150" i="10"/>
  <c r="C175" i="10"/>
  <c r="B193" i="10"/>
  <c r="C203" i="10"/>
  <c r="C222" i="10"/>
  <c r="C309" i="10"/>
  <c r="C319" i="10"/>
  <c r="B350" i="10"/>
  <c r="C493" i="10"/>
  <c r="B493" i="10"/>
  <c r="C542" i="10"/>
  <c r="B542" i="10"/>
  <c r="C649" i="10"/>
  <c r="B649" i="10"/>
  <c r="C1037" i="10"/>
  <c r="B1037" i="10"/>
  <c r="C1134" i="10"/>
  <c r="B1134" i="10"/>
  <c r="B962" i="9"/>
  <c r="C1127" i="9"/>
  <c r="C1179" i="9"/>
  <c r="B1179" i="9"/>
  <c r="C46" i="10"/>
  <c r="C55" i="10"/>
  <c r="C81" i="10"/>
  <c r="C108" i="10"/>
  <c r="C117" i="10"/>
  <c r="B117" i="10"/>
  <c r="B241" i="10"/>
  <c r="C251" i="10"/>
  <c r="B251" i="10"/>
  <c r="C271" i="10"/>
  <c r="B495" i="10"/>
  <c r="C495" i="10"/>
  <c r="C772" i="10"/>
  <c r="B772" i="10"/>
  <c r="B844" i="10"/>
  <c r="C844" i="10"/>
  <c r="C1003" i="10"/>
  <c r="B1003" i="10"/>
  <c r="C1021" i="10"/>
  <c r="B1021" i="10"/>
  <c r="C1046" i="10"/>
  <c r="B1046" i="10"/>
  <c r="C1087" i="10"/>
  <c r="B1087" i="10"/>
  <c r="C1154" i="10"/>
  <c r="B1154" i="10"/>
  <c r="C962" i="9"/>
  <c r="B1042" i="9"/>
  <c r="B1055" i="9"/>
  <c r="B1074" i="9"/>
  <c r="B1087" i="9"/>
  <c r="B1107" i="9"/>
  <c r="B1127" i="9"/>
  <c r="C1134" i="9"/>
  <c r="B1155" i="9"/>
  <c r="C1180" i="9"/>
  <c r="B1196" i="9"/>
  <c r="C6" i="10"/>
  <c r="C14" i="10"/>
  <c r="C22" i="10"/>
  <c r="B46" i="10"/>
  <c r="B55" i="10"/>
  <c r="B72" i="10"/>
  <c r="B81" i="10"/>
  <c r="B91" i="10"/>
  <c r="B99" i="10"/>
  <c r="B108" i="10"/>
  <c r="B126" i="10"/>
  <c r="B134" i="10"/>
  <c r="C169" i="10"/>
  <c r="B205" i="10"/>
  <c r="C214" i="10"/>
  <c r="B214" i="10"/>
  <c r="C241" i="10"/>
  <c r="C262" i="10"/>
  <c r="B292" i="10"/>
  <c r="B321" i="10"/>
  <c r="C321" i="10"/>
  <c r="C331" i="10"/>
  <c r="B331" i="10"/>
  <c r="B441" i="10"/>
  <c r="B455" i="10"/>
  <c r="C455" i="10"/>
  <c r="C487" i="10"/>
  <c r="B604" i="10"/>
  <c r="C781" i="10"/>
  <c r="B781" i="10"/>
  <c r="C1049" i="9"/>
  <c r="B1049" i="9"/>
  <c r="C1081" i="9"/>
  <c r="B1081" i="9"/>
  <c r="C1128" i="9"/>
  <c r="C1155" i="9"/>
  <c r="C1181" i="9"/>
  <c r="C1196" i="9"/>
  <c r="C109" i="10"/>
  <c r="C161" i="10"/>
  <c r="B215" i="10"/>
  <c r="B302" i="10"/>
  <c r="C332" i="10"/>
  <c r="B353" i="10"/>
  <c r="C353" i="10"/>
  <c r="C364" i="10"/>
  <c r="C526" i="10"/>
  <c r="B526" i="10"/>
  <c r="C996" i="10"/>
  <c r="B996" i="10"/>
  <c r="C1004" i="10"/>
  <c r="C1031" i="9"/>
  <c r="C1108" i="9"/>
  <c r="B1128" i="9"/>
  <c r="C1156" i="9"/>
  <c r="B1156" i="9"/>
  <c r="B1172" i="9"/>
  <c r="C1197" i="9"/>
  <c r="C23" i="10"/>
  <c r="C48" i="10"/>
  <c r="C73" i="10"/>
  <c r="B73" i="10"/>
  <c r="C92" i="10"/>
  <c r="B119" i="10"/>
  <c r="C136" i="10"/>
  <c r="B153" i="10"/>
  <c r="C215" i="10"/>
  <c r="B234" i="10"/>
  <c r="B263" i="10"/>
  <c r="C263" i="10"/>
  <c r="B480" i="10"/>
  <c r="B520" i="10"/>
  <c r="C527" i="10"/>
  <c r="B527" i="10"/>
  <c r="C700" i="10"/>
  <c r="B700" i="10"/>
  <c r="C732" i="10"/>
  <c r="B732" i="10"/>
  <c r="C748" i="10"/>
  <c r="B948" i="10"/>
  <c r="C971" i="10"/>
  <c r="B971" i="10"/>
  <c r="C265" i="10"/>
  <c r="B265" i="10"/>
  <c r="C323" i="10"/>
  <c r="B323" i="10"/>
  <c r="C457" i="10"/>
  <c r="B457" i="10"/>
  <c r="C767" i="10"/>
  <c r="B767" i="10"/>
  <c r="C1103" i="10"/>
  <c r="B1103" i="10"/>
  <c r="C1110" i="10"/>
  <c r="B1110" i="10"/>
  <c r="B4" i="10"/>
  <c r="C100" i="10"/>
  <c r="C173" i="10"/>
  <c r="B173" i="10"/>
  <c r="C207" i="10"/>
  <c r="B273" i="10"/>
  <c r="C316" i="10"/>
  <c r="B339" i="10"/>
  <c r="C347" i="10"/>
  <c r="B347" i="10"/>
  <c r="C363" i="10"/>
  <c r="C383" i="10"/>
  <c r="B436" i="10"/>
  <c r="B479" i="10"/>
  <c r="C479" i="10"/>
  <c r="B486" i="10"/>
  <c r="B534" i="10"/>
  <c r="C556" i="10"/>
  <c r="B556" i="10"/>
  <c r="C735" i="10"/>
  <c r="B735" i="10"/>
  <c r="B860" i="10"/>
  <c r="C860" i="10"/>
  <c r="C892" i="10"/>
  <c r="C959" i="10"/>
  <c r="B959" i="10"/>
  <c r="C966" i="10"/>
  <c r="B966" i="10"/>
  <c r="C998" i="10"/>
  <c r="C1119" i="10"/>
  <c r="B1119" i="10"/>
  <c r="C1135" i="10"/>
  <c r="B1135" i="10"/>
  <c r="C30" i="10"/>
  <c r="C62" i="10"/>
  <c r="C128" i="10"/>
  <c r="B167" i="10"/>
  <c r="C167" i="10"/>
  <c r="C188" i="10"/>
  <c r="C259" i="10"/>
  <c r="B259" i="10"/>
  <c r="C310" i="10"/>
  <c r="B333" i="10"/>
  <c r="C357" i="10"/>
  <c r="B712" i="10"/>
  <c r="C712" i="10"/>
  <c r="C814" i="10"/>
  <c r="B814" i="10"/>
  <c r="C879" i="10"/>
  <c r="B879" i="10"/>
  <c r="C895" i="10"/>
  <c r="B895" i="10"/>
  <c r="B1198" i="9"/>
  <c r="B30" i="10"/>
  <c r="B62" i="10"/>
  <c r="B88" i="10"/>
  <c r="C95" i="10"/>
  <c r="B95" i="10"/>
  <c r="B102" i="10"/>
  <c r="B109" i="10"/>
  <c r="B115" i="10"/>
  <c r="B128" i="10"/>
  <c r="B148" i="10"/>
  <c r="B161" i="10"/>
  <c r="B175" i="10"/>
  <c r="B188" i="10"/>
  <c r="B209" i="10"/>
  <c r="B216" i="10"/>
  <c r="B223" i="10"/>
  <c r="B238" i="10"/>
  <c r="C252" i="10"/>
  <c r="B310" i="10"/>
  <c r="C333" i="10"/>
  <c r="C341" i="10"/>
  <c r="B341" i="10"/>
  <c r="B357" i="10"/>
  <c r="C365" i="10"/>
  <c r="B398" i="10"/>
  <c r="C431" i="10"/>
  <c r="B459" i="10"/>
  <c r="B481" i="10"/>
  <c r="C481" i="10"/>
  <c r="B502" i="10"/>
  <c r="B536" i="10"/>
  <c r="C607" i="10"/>
  <c r="B607" i="10"/>
  <c r="B614" i="10"/>
  <c r="C761" i="10"/>
  <c r="B761" i="10"/>
  <c r="C776" i="10"/>
  <c r="C798" i="10"/>
  <c r="C845" i="10"/>
  <c r="B845" i="10"/>
  <c r="B1025" i="10"/>
  <c r="B1073" i="10"/>
  <c r="B1151" i="9"/>
  <c r="C1186" i="9"/>
  <c r="B1186" i="9"/>
  <c r="C195" i="10"/>
  <c r="B195" i="10"/>
  <c r="C245" i="10"/>
  <c r="C268" i="10"/>
  <c r="C282" i="10"/>
  <c r="B311" i="10"/>
  <c r="C326" i="10"/>
  <c r="C358" i="10"/>
  <c r="B365" i="10"/>
  <c r="B405" i="10"/>
  <c r="B438" i="10"/>
  <c r="B496" i="10"/>
  <c r="B509" i="10"/>
  <c r="C929" i="10"/>
  <c r="B929" i="10"/>
  <c r="C1026" i="10"/>
  <c r="B1026" i="10"/>
  <c r="C1074" i="10"/>
  <c r="B1074" i="10"/>
  <c r="B1044" i="9"/>
  <c r="B1060" i="9"/>
  <c r="B1076" i="9"/>
  <c r="B1092" i="9"/>
  <c r="B1108" i="9"/>
  <c r="B1124" i="9"/>
  <c r="B1157" i="9"/>
  <c r="B1168" i="9"/>
  <c r="B1174" i="9"/>
  <c r="B1180" i="9"/>
  <c r="B44" i="10"/>
  <c r="B76" i="10"/>
  <c r="C89" i="10"/>
  <c r="B103" i="10"/>
  <c r="B136" i="10"/>
  <c r="B155" i="10"/>
  <c r="B169" i="10"/>
  <c r="B182" i="10"/>
  <c r="B189" i="10"/>
  <c r="B203" i="10"/>
  <c r="C224" i="10"/>
  <c r="B224" i="10"/>
  <c r="B232" i="10"/>
  <c r="B245" i="10"/>
  <c r="C253" i="10"/>
  <c r="B282" i="10"/>
  <c r="C311" i="10"/>
  <c r="B319" i="10"/>
  <c r="B326" i="10"/>
  <c r="B343" i="10"/>
  <c r="B358" i="10"/>
  <c r="B419" i="10"/>
  <c r="B432" i="10"/>
  <c r="C503" i="10"/>
  <c r="B551" i="10"/>
  <c r="B566" i="10"/>
  <c r="C566" i="10"/>
  <c r="C608" i="10"/>
  <c r="C728" i="10"/>
  <c r="B777" i="10"/>
  <c r="B838" i="10"/>
  <c r="C846" i="10"/>
  <c r="B1010" i="10"/>
  <c r="B1017" i="10"/>
  <c r="C1033" i="10"/>
  <c r="B1033" i="10"/>
  <c r="B1065" i="10"/>
  <c r="C25" i="10"/>
  <c r="B25" i="10"/>
  <c r="C57" i="10"/>
  <c r="B57" i="10"/>
  <c r="C123" i="10"/>
  <c r="C246" i="10"/>
  <c r="B269" i="10"/>
  <c r="B298" i="10"/>
  <c r="C312" i="10"/>
  <c r="B327" i="10"/>
  <c r="C327" i="10"/>
  <c r="B359" i="10"/>
  <c r="B367" i="10"/>
  <c r="C406" i="10"/>
  <c r="B406" i="10"/>
  <c r="C475" i="10"/>
  <c r="B475" i="10"/>
  <c r="B538" i="10"/>
  <c r="C538" i="10"/>
  <c r="B594" i="10"/>
  <c r="C594" i="10"/>
  <c r="C624" i="10"/>
  <c r="B624" i="10"/>
  <c r="B785" i="10"/>
  <c r="C831" i="10"/>
  <c r="B831" i="10"/>
  <c r="C994" i="10"/>
  <c r="B994" i="10"/>
  <c r="B1051" i="10"/>
  <c r="C156" i="10"/>
  <c r="B156" i="10"/>
  <c r="B183" i="10"/>
  <c r="C190" i="10"/>
  <c r="C204" i="10"/>
  <c r="C276" i="10"/>
  <c r="C284" i="10"/>
  <c r="B305" i="10"/>
  <c r="B351" i="10"/>
  <c r="C351" i="10"/>
  <c r="C420" i="10"/>
  <c r="B420" i="10"/>
  <c r="C722" i="10"/>
  <c r="B722" i="10"/>
  <c r="B792" i="10"/>
  <c r="C792" i="10"/>
  <c r="C1035" i="10"/>
  <c r="B1035" i="10"/>
  <c r="B956" i="10"/>
  <c r="C956" i="10"/>
  <c r="C1081" i="10"/>
  <c r="B1081" i="10"/>
  <c r="C1090" i="10"/>
  <c r="B1090" i="10"/>
  <c r="C1121" i="10"/>
  <c r="B1121" i="10"/>
  <c r="C641" i="10"/>
  <c r="B641" i="10"/>
  <c r="B894" i="10"/>
  <c r="C902" i="10"/>
  <c r="B902" i="10"/>
  <c r="C927" i="10"/>
  <c r="B927" i="10"/>
  <c r="C957" i="10"/>
  <c r="B957" i="10"/>
  <c r="C1012" i="10"/>
  <c r="B1012" i="10"/>
  <c r="C1122" i="10"/>
  <c r="B1122" i="10"/>
  <c r="C1137" i="10"/>
  <c r="B1137" i="10"/>
  <c r="B1169" i="10"/>
  <c r="C230" i="10"/>
  <c r="C236" i="10"/>
  <c r="C294" i="10"/>
  <c r="C300" i="10"/>
  <c r="B335" i="10"/>
  <c r="C635" i="10"/>
  <c r="B635" i="10"/>
  <c r="C665" i="10"/>
  <c r="B665" i="10"/>
  <c r="C737" i="10"/>
  <c r="B737" i="10"/>
  <c r="C841" i="10"/>
  <c r="B841" i="10"/>
  <c r="C897" i="10"/>
  <c r="B897" i="10"/>
  <c r="C930" i="10"/>
  <c r="B930" i="10"/>
  <c r="C991" i="10"/>
  <c r="B991" i="10"/>
  <c r="C1039" i="10"/>
  <c r="B1039" i="10"/>
  <c r="B1181" i="9"/>
  <c r="B1197" i="9"/>
  <c r="B112" i="10"/>
  <c r="B123" i="10"/>
  <c r="C140" i="10"/>
  <c r="B151" i="10"/>
  <c r="B190" i="10"/>
  <c r="B207" i="10"/>
  <c r="B230" i="10"/>
  <c r="B248" i="10"/>
  <c r="B271" i="10"/>
  <c r="B294" i="10"/>
  <c r="B312" i="10"/>
  <c r="C335" i="10"/>
  <c r="B360" i="10"/>
  <c r="B384" i="10"/>
  <c r="B390" i="10"/>
  <c r="C439" i="10"/>
  <c r="B445" i="10"/>
  <c r="B451" i="10"/>
  <c r="C463" i="10"/>
  <c r="B488" i="10"/>
  <c r="B512" i="10"/>
  <c r="B518" i="10"/>
  <c r="B531" i="10"/>
  <c r="B609" i="10"/>
  <c r="B673" i="10"/>
  <c r="B679" i="10"/>
  <c r="B686" i="10"/>
  <c r="B716" i="10"/>
  <c r="B729" i="10"/>
  <c r="B753" i="10"/>
  <c r="B759" i="10"/>
  <c r="C873" i="10"/>
  <c r="C1069" i="10"/>
  <c r="B1069" i="10"/>
  <c r="C1085" i="10"/>
  <c r="B1085" i="10"/>
  <c r="B1116" i="10"/>
  <c r="C1116" i="10"/>
  <c r="B1140" i="10"/>
  <c r="B1147" i="10"/>
  <c r="B225" i="10"/>
  <c r="B231" i="10"/>
  <c r="B289" i="10"/>
  <c r="B295" i="10"/>
  <c r="C342" i="10"/>
  <c r="C348" i="10"/>
  <c r="B602" i="10"/>
  <c r="C602" i="10"/>
  <c r="C694" i="10"/>
  <c r="B694" i="10"/>
  <c r="C703" i="10"/>
  <c r="B703" i="10"/>
  <c r="C796" i="10"/>
  <c r="B913" i="10"/>
  <c r="B1100" i="10"/>
  <c r="C1100" i="10"/>
  <c r="C124" i="10"/>
  <c r="B135" i="10"/>
  <c r="C687" i="10"/>
  <c r="B687" i="10"/>
  <c r="B760" i="10"/>
  <c r="C760" i="10"/>
  <c r="C769" i="10"/>
  <c r="B769" i="10"/>
  <c r="C783" i="10"/>
  <c r="B783" i="10"/>
  <c r="B977" i="10"/>
  <c r="C1101" i="10"/>
  <c r="B1101" i="10"/>
  <c r="C1132" i="10"/>
  <c r="B1148" i="10"/>
  <c r="C1148" i="10"/>
  <c r="C943" i="10"/>
  <c r="B943" i="10"/>
  <c r="C1005" i="10"/>
  <c r="B1005" i="10"/>
  <c r="C799" i="10"/>
  <c r="B799" i="10"/>
  <c r="C847" i="10"/>
  <c r="B847" i="10"/>
  <c r="C909" i="10"/>
  <c r="B909" i="10"/>
  <c r="B658" i="10"/>
  <c r="B670" i="10"/>
  <c r="B676" i="10"/>
  <c r="C719" i="10"/>
  <c r="B719" i="10"/>
  <c r="B731" i="10"/>
  <c r="B743" i="10"/>
  <c r="B749" i="10"/>
  <c r="C812" i="10"/>
  <c r="B854" i="10"/>
  <c r="C861" i="10"/>
  <c r="B861" i="10"/>
  <c r="B868" i="10"/>
  <c r="B882" i="10"/>
  <c r="B923" i="10"/>
  <c r="B958" i="10"/>
  <c r="B1041" i="10"/>
  <c r="C1055" i="10"/>
  <c r="B1055" i="10"/>
  <c r="B1102" i="10"/>
  <c r="B1115" i="10"/>
  <c r="B1150" i="10"/>
  <c r="B623" i="10"/>
  <c r="C664" i="10"/>
  <c r="C780" i="10"/>
  <c r="C813" i="10"/>
  <c r="B813" i="10"/>
  <c r="B820" i="10"/>
  <c r="B834" i="10"/>
  <c r="B993" i="10"/>
  <c r="C1007" i="10"/>
  <c r="B1007" i="10"/>
  <c r="C1020" i="10"/>
  <c r="C1068" i="10"/>
  <c r="B1089" i="10"/>
  <c r="C1164" i="10"/>
  <c r="C911" i="10"/>
  <c r="B911" i="10"/>
  <c r="C973" i="10"/>
  <c r="B973" i="10"/>
  <c r="B647" i="10"/>
  <c r="B653" i="10"/>
  <c r="B690" i="10"/>
  <c r="B702" i="10"/>
  <c r="B708" i="10"/>
  <c r="C751" i="10"/>
  <c r="B751" i="10"/>
  <c r="B763" i="10"/>
  <c r="B788" i="10"/>
  <c r="B801" i="10"/>
  <c r="B849" i="10"/>
  <c r="C863" i="10"/>
  <c r="B863" i="10"/>
  <c r="C876" i="10"/>
  <c r="B918" i="10"/>
  <c r="C925" i="10"/>
  <c r="B925" i="10"/>
  <c r="B932" i="10"/>
  <c r="B946" i="10"/>
  <c r="B1022" i="10"/>
  <c r="B1049" i="10"/>
  <c r="B1070" i="10"/>
  <c r="C1117" i="10"/>
  <c r="B1117" i="10"/>
  <c r="B1124" i="10"/>
  <c r="B1166" i="10"/>
  <c r="C815" i="10"/>
  <c r="B815" i="10"/>
  <c r="C877" i="10"/>
  <c r="B877" i="10"/>
  <c r="B1138" i="10"/>
  <c r="C1180" i="10"/>
  <c r="C829" i="10"/>
  <c r="B829" i="10"/>
  <c r="C1023" i="10"/>
  <c r="B1023" i="10"/>
  <c r="C1071" i="10"/>
  <c r="B1071" i="10"/>
  <c r="C1167" i="10"/>
  <c r="B1167" i="10"/>
  <c r="C1181" i="10"/>
  <c r="B1181" i="10"/>
  <c r="C810" i="10"/>
  <c r="C826" i="10"/>
  <c r="C842" i="10"/>
  <c r="C858" i="10"/>
  <c r="C874" i="10"/>
  <c r="C890" i="10"/>
  <c r="C906" i="10"/>
  <c r="C922" i="10"/>
  <c r="C938" i="10"/>
  <c r="C954" i="10"/>
  <c r="C970" i="10"/>
  <c r="C986" i="10"/>
  <c r="C1002" i="10"/>
  <c r="C1018" i="10"/>
  <c r="C1034" i="10"/>
  <c r="C1050" i="10"/>
  <c r="C1146" i="10"/>
  <c r="C1162" i="10"/>
  <c r="C1178" i="10"/>
  <c r="C1194" i="10"/>
  <c r="B1195" i="10"/>
  <c r="B1196" i="10"/>
  <c r="B1197" i="10"/>
  <c r="B1198" i="10"/>
  <c r="B1199" i="10"/>
  <c r="F1211" i="2" l="1"/>
  <c r="F1210" i="2"/>
  <c r="F1209" i="2"/>
  <c r="F1208" i="2"/>
  <c r="F1207" i="2"/>
  <c r="F1206" i="2"/>
  <c r="F1205" i="2"/>
  <c r="F1204" i="2"/>
  <c r="F1203" i="2"/>
  <c r="F1202" i="2"/>
  <c r="F1201" i="2"/>
  <c r="F1200" i="2"/>
  <c r="F1199" i="2"/>
  <c r="F1198" i="2"/>
  <c r="F1197" i="2"/>
  <c r="F1196" i="2"/>
  <c r="F1195" i="2"/>
  <c r="F1194" i="2"/>
  <c r="F1193" i="2"/>
  <c r="F1192" i="2"/>
  <c r="F1191" i="2"/>
  <c r="F1190" i="2"/>
  <c r="F1189" i="2"/>
  <c r="F1188" i="2"/>
  <c r="F1187" i="2"/>
  <c r="F1186" i="2"/>
  <c r="F1185" i="2"/>
  <c r="F1184" i="2"/>
  <c r="F1183" i="2"/>
  <c r="E1211" i="2"/>
  <c r="E1210" i="2"/>
  <c r="E1209" i="2"/>
  <c r="E1208" i="2"/>
  <c r="E1207" i="2"/>
  <c r="E1206" i="2"/>
  <c r="E1205" i="2"/>
  <c r="E1204" i="2"/>
  <c r="E1203" i="2"/>
  <c r="E1202" i="2"/>
  <c r="E1201" i="2"/>
  <c r="E1200" i="2"/>
  <c r="E1199" i="2"/>
  <c r="E1198" i="2"/>
  <c r="E1197" i="2"/>
  <c r="E1196" i="2"/>
  <c r="E1195" i="2"/>
  <c r="E1194" i="2"/>
  <c r="E1193" i="2"/>
  <c r="E1192" i="2"/>
  <c r="E1191" i="2"/>
  <c r="E1190" i="2"/>
  <c r="E1189" i="2"/>
  <c r="E1188" i="2"/>
  <c r="E1187" i="2"/>
  <c r="E1186" i="2"/>
  <c r="E1185" i="2"/>
  <c r="E1184" i="2"/>
  <c r="E1183" i="2"/>
  <c r="D1211" i="2"/>
  <c r="D1210" i="2"/>
  <c r="P1211" i="2"/>
  <c r="P1210" i="2"/>
  <c r="P1209" i="2"/>
  <c r="P1208" i="2"/>
  <c r="P1207" i="2"/>
  <c r="P1206" i="2"/>
  <c r="P1205" i="2"/>
  <c r="P1204" i="2"/>
  <c r="M1211" i="2"/>
  <c r="O1211" i="2"/>
  <c r="J1210" i="2"/>
  <c r="D1209" i="2"/>
  <c r="A1208" i="2"/>
  <c r="M1206" i="2"/>
  <c r="J1205" i="2"/>
  <c r="G1204" i="2"/>
  <c r="C1203" i="2"/>
  <c r="A1202" i="2"/>
  <c r="O1200" i="2"/>
  <c r="M1199" i="2"/>
  <c r="K1198" i="2"/>
  <c r="I1197" i="2"/>
  <c r="G1196" i="2"/>
  <c r="C1195" i="2"/>
  <c r="A1194" i="2"/>
  <c r="O1192" i="2"/>
  <c r="M1191" i="2"/>
  <c r="K1190" i="2"/>
  <c r="I1189" i="2"/>
  <c r="G1188" i="2"/>
  <c r="C1187" i="2"/>
  <c r="A1186" i="2"/>
  <c r="O1184" i="2"/>
  <c r="M1183" i="2"/>
  <c r="K1182" i="2"/>
  <c r="K1181" i="2"/>
  <c r="K1180" i="2"/>
  <c r="K1179" i="2"/>
  <c r="K1178" i="2"/>
  <c r="K1177" i="2"/>
  <c r="K1176" i="2"/>
  <c r="K1175" i="2"/>
  <c r="K1174" i="2"/>
  <c r="K1173" i="2"/>
  <c r="K1172" i="2"/>
  <c r="K1171" i="2"/>
  <c r="K1170" i="2"/>
  <c r="K1169" i="2"/>
  <c r="K1168" i="2"/>
  <c r="K1167" i="2"/>
  <c r="K1166" i="2"/>
  <c r="K1165" i="2"/>
  <c r="K1164" i="2"/>
  <c r="K1163" i="2"/>
  <c r="K1162" i="2"/>
  <c r="K1161" i="2"/>
  <c r="K1160" i="2"/>
  <c r="K1159" i="2"/>
  <c r="K1158" i="2"/>
  <c r="K1157" i="2"/>
  <c r="K1156" i="2"/>
  <c r="K1155" i="2"/>
  <c r="K1154" i="2"/>
  <c r="K1153" i="2"/>
  <c r="K1152" i="2"/>
  <c r="K1151" i="2"/>
  <c r="K1150" i="2"/>
  <c r="K1149" i="2"/>
  <c r="K1148" i="2"/>
  <c r="K1147" i="2"/>
  <c r="K1146" i="2"/>
  <c r="K1145" i="2"/>
  <c r="K1144" i="2"/>
  <c r="K1143" i="2"/>
  <c r="K1142" i="2"/>
  <c r="K1141" i="2"/>
  <c r="K1140" i="2"/>
  <c r="K1139" i="2"/>
  <c r="K1138" i="2"/>
  <c r="K1137" i="2"/>
  <c r="K1136" i="2"/>
  <c r="K1135" i="2"/>
  <c r="K1134" i="2"/>
  <c r="K1133" i="2"/>
  <c r="K1132" i="2"/>
  <c r="K1131" i="2"/>
  <c r="K1130" i="2"/>
  <c r="K1129" i="2"/>
  <c r="K1128" i="2"/>
  <c r="K1127" i="2"/>
  <c r="K1126" i="2"/>
  <c r="K1125" i="2"/>
  <c r="K1124" i="2"/>
  <c r="K1123" i="2"/>
  <c r="K1122" i="2"/>
  <c r="K1121" i="2"/>
  <c r="K1120" i="2"/>
  <c r="K1119" i="2"/>
  <c r="K1118" i="2"/>
  <c r="K1117" i="2"/>
  <c r="K1116" i="2"/>
  <c r="K1115" i="2"/>
  <c r="K1114" i="2"/>
  <c r="K1113" i="2"/>
  <c r="K1112" i="2"/>
  <c r="K1111" i="2"/>
  <c r="K1110" i="2"/>
  <c r="K1109" i="2"/>
  <c r="K1108" i="2"/>
  <c r="K1107" i="2"/>
  <c r="K1106" i="2"/>
  <c r="K1105" i="2"/>
  <c r="K1104" i="2"/>
  <c r="K1103" i="2"/>
  <c r="K1102" i="2"/>
  <c r="K1101" i="2"/>
  <c r="K1100" i="2"/>
  <c r="K1099" i="2"/>
  <c r="K1098" i="2"/>
  <c r="K1097" i="2"/>
  <c r="K1096" i="2"/>
  <c r="K1095" i="2"/>
  <c r="K1094" i="2"/>
  <c r="K1093" i="2"/>
  <c r="K1092" i="2"/>
  <c r="K1091" i="2"/>
  <c r="K1090" i="2"/>
  <c r="K1089" i="2"/>
  <c r="K1088" i="2"/>
  <c r="K1087" i="2"/>
  <c r="K1086" i="2"/>
  <c r="K1085" i="2"/>
  <c r="K1084" i="2"/>
  <c r="K1083" i="2"/>
  <c r="K1082" i="2"/>
  <c r="K1081" i="2"/>
  <c r="K1080" i="2"/>
  <c r="K1079" i="2"/>
  <c r="K1078" i="2"/>
  <c r="K1077" i="2"/>
  <c r="K1076" i="2"/>
  <c r="K1075" i="2"/>
  <c r="K1074" i="2"/>
  <c r="K1073" i="2"/>
  <c r="K1072" i="2"/>
  <c r="K1071" i="2"/>
  <c r="K1070" i="2"/>
  <c r="K1069" i="2"/>
  <c r="K1068" i="2"/>
  <c r="K1067" i="2"/>
  <c r="K1066" i="2"/>
  <c r="K1065" i="2"/>
  <c r="K1064" i="2"/>
  <c r="K1063" i="2"/>
  <c r="K1062" i="2"/>
  <c r="K1061" i="2"/>
  <c r="K1060" i="2"/>
  <c r="K1059" i="2"/>
  <c r="K1058" i="2"/>
  <c r="K1057" i="2"/>
  <c r="K1056" i="2"/>
  <c r="K1055" i="2"/>
  <c r="K1054" i="2"/>
  <c r="N1211" i="2"/>
  <c r="I1210" i="2"/>
  <c r="C1209" i="2"/>
  <c r="O1207" i="2"/>
  <c r="L1206" i="2"/>
  <c r="I1205" i="2"/>
  <c r="D1204" i="2"/>
  <c r="B1203" i="2"/>
  <c r="P1201" i="2"/>
  <c r="N1200" i="2"/>
  <c r="L1199" i="2"/>
  <c r="J1198" i="2"/>
  <c r="H1197" i="2"/>
  <c r="D1196" i="2"/>
  <c r="B1195" i="2"/>
  <c r="P1193" i="2"/>
  <c r="N1192" i="2"/>
  <c r="L1191" i="2"/>
  <c r="J1190" i="2"/>
  <c r="H1189" i="2"/>
  <c r="D1188" i="2"/>
  <c r="B1187" i="2"/>
  <c r="P1185" i="2"/>
  <c r="N1184" i="2"/>
  <c r="L1183" i="2"/>
  <c r="J1182" i="2"/>
  <c r="J1181" i="2"/>
  <c r="J1180" i="2"/>
  <c r="J1179" i="2"/>
  <c r="J1178" i="2"/>
  <c r="J1177" i="2"/>
  <c r="J1176" i="2"/>
  <c r="J1175" i="2"/>
  <c r="J1174" i="2"/>
  <c r="J1173" i="2"/>
  <c r="J1172" i="2"/>
  <c r="J1171" i="2"/>
  <c r="J1170" i="2"/>
  <c r="J1169" i="2"/>
  <c r="J1168" i="2"/>
  <c r="J1167" i="2"/>
  <c r="J1166" i="2"/>
  <c r="J1165" i="2"/>
  <c r="J1164" i="2"/>
  <c r="J1163" i="2"/>
  <c r="J1162" i="2"/>
  <c r="J1161" i="2"/>
  <c r="J1160" i="2"/>
  <c r="J1159" i="2"/>
  <c r="J1158" i="2"/>
  <c r="J1157" i="2"/>
  <c r="J1156" i="2"/>
  <c r="J1155" i="2"/>
  <c r="J1154" i="2"/>
  <c r="J1153" i="2"/>
  <c r="J1152" i="2"/>
  <c r="J1151" i="2"/>
  <c r="J1150" i="2"/>
  <c r="J1149" i="2"/>
  <c r="J1148" i="2"/>
  <c r="J1147" i="2"/>
  <c r="J1146" i="2"/>
  <c r="J1145" i="2"/>
  <c r="J1144" i="2"/>
  <c r="J1143" i="2"/>
  <c r="J1142" i="2"/>
  <c r="J1141" i="2"/>
  <c r="J1140" i="2"/>
  <c r="J1139" i="2"/>
  <c r="J1138" i="2"/>
  <c r="J1137" i="2"/>
  <c r="J1136" i="2"/>
  <c r="J1135" i="2"/>
  <c r="J1134" i="2"/>
  <c r="J1133" i="2"/>
  <c r="J1132" i="2"/>
  <c r="J1131" i="2"/>
  <c r="J1130" i="2"/>
  <c r="J1129" i="2"/>
  <c r="J1128" i="2"/>
  <c r="J1127" i="2"/>
  <c r="J1126" i="2"/>
  <c r="J1125" i="2"/>
  <c r="J1124" i="2"/>
  <c r="J1123" i="2"/>
  <c r="J1122" i="2"/>
  <c r="J1121" i="2"/>
  <c r="J1120" i="2"/>
  <c r="J1119" i="2"/>
  <c r="J1118" i="2"/>
  <c r="J1117" i="2"/>
  <c r="J1116" i="2"/>
  <c r="J1115" i="2"/>
  <c r="J1114" i="2"/>
  <c r="J1113" i="2"/>
  <c r="J1112" i="2"/>
  <c r="J1111" i="2"/>
  <c r="J1110" i="2"/>
  <c r="J1109" i="2"/>
  <c r="J1108" i="2"/>
  <c r="J1107" i="2"/>
  <c r="J1106" i="2"/>
  <c r="J1105" i="2"/>
  <c r="J1104" i="2"/>
  <c r="J1103" i="2"/>
  <c r="J1102" i="2"/>
  <c r="J1101" i="2"/>
  <c r="J1100" i="2"/>
  <c r="J1099" i="2"/>
  <c r="J1098" i="2"/>
  <c r="J1097" i="2"/>
  <c r="J1096" i="2"/>
  <c r="J1095" i="2"/>
  <c r="J1094" i="2"/>
  <c r="J1093" i="2"/>
  <c r="J1092" i="2"/>
  <c r="J1091" i="2"/>
  <c r="J1090" i="2"/>
  <c r="J1089" i="2"/>
  <c r="J1088" i="2"/>
  <c r="J1087" i="2"/>
  <c r="J1086" i="2"/>
  <c r="J1085" i="2"/>
  <c r="J1084" i="2"/>
  <c r="J1083" i="2"/>
  <c r="J1082" i="2"/>
  <c r="J1081" i="2"/>
  <c r="J1080" i="2"/>
  <c r="J1079" i="2"/>
  <c r="J1078" i="2"/>
  <c r="J1077" i="2"/>
  <c r="J1076" i="2"/>
  <c r="J1075" i="2"/>
  <c r="J1074" i="2"/>
  <c r="J1073" i="2"/>
  <c r="J1072" i="2"/>
  <c r="J1071" i="2"/>
  <c r="J1070" i="2"/>
  <c r="J1069" i="2"/>
  <c r="J1068" i="2"/>
  <c r="J1067" i="2"/>
  <c r="J1066" i="2"/>
  <c r="J1065" i="2"/>
  <c r="J1064" i="2"/>
  <c r="J1063" i="2"/>
  <c r="J1062" i="2"/>
  <c r="J1061" i="2"/>
  <c r="J1060" i="2"/>
  <c r="J1059" i="2"/>
  <c r="J1058" i="2"/>
  <c r="J1057" i="2"/>
  <c r="J1056" i="2"/>
  <c r="J1055" i="2"/>
  <c r="J1054" i="2"/>
  <c r="L1211" i="2"/>
  <c r="H1210" i="2"/>
  <c r="B1209" i="2"/>
  <c r="N1207" i="2"/>
  <c r="K1206" i="2"/>
  <c r="H1205" i="2"/>
  <c r="C1204" i="2"/>
  <c r="A1203" i="2"/>
  <c r="O1201" i="2"/>
  <c r="M1200" i="2"/>
  <c r="K1199" i="2"/>
  <c r="I1198" i="2"/>
  <c r="G1197" i="2"/>
  <c r="C1196" i="2"/>
  <c r="A1195" i="2"/>
  <c r="O1193" i="2"/>
  <c r="M1192" i="2"/>
  <c r="K1191" i="2"/>
  <c r="I1190" i="2"/>
  <c r="G1189" i="2"/>
  <c r="C1188" i="2"/>
  <c r="A1187" i="2"/>
  <c r="O1185" i="2"/>
  <c r="M1184" i="2"/>
  <c r="K1183" i="2"/>
  <c r="I1182" i="2"/>
  <c r="I1181" i="2"/>
  <c r="I1180" i="2"/>
  <c r="I1179" i="2"/>
  <c r="I1178" i="2"/>
  <c r="I1177" i="2"/>
  <c r="I1176" i="2"/>
  <c r="I1175" i="2"/>
  <c r="I1174" i="2"/>
  <c r="I1173" i="2"/>
  <c r="I1172" i="2"/>
  <c r="I1171" i="2"/>
  <c r="I1170" i="2"/>
  <c r="I1169" i="2"/>
  <c r="I1168" i="2"/>
  <c r="I1167" i="2"/>
  <c r="I1166" i="2"/>
  <c r="I1165" i="2"/>
  <c r="I1164" i="2"/>
  <c r="I1163" i="2"/>
  <c r="I1162" i="2"/>
  <c r="I1161" i="2"/>
  <c r="I1160" i="2"/>
  <c r="I1159" i="2"/>
  <c r="I1158" i="2"/>
  <c r="I1157" i="2"/>
  <c r="I1156" i="2"/>
  <c r="I1155" i="2"/>
  <c r="I1154" i="2"/>
  <c r="I1153" i="2"/>
  <c r="I1152" i="2"/>
  <c r="I1151" i="2"/>
  <c r="I1150" i="2"/>
  <c r="I1149" i="2"/>
  <c r="I1148" i="2"/>
  <c r="I1147" i="2"/>
  <c r="I1146" i="2"/>
  <c r="I1145" i="2"/>
  <c r="I1144" i="2"/>
  <c r="I1143" i="2"/>
  <c r="I1142" i="2"/>
  <c r="I1141" i="2"/>
  <c r="I1140" i="2"/>
  <c r="I1139" i="2"/>
  <c r="I1138" i="2"/>
  <c r="I1137" i="2"/>
  <c r="I1136" i="2"/>
  <c r="I1135" i="2"/>
  <c r="I1134" i="2"/>
  <c r="I1133" i="2"/>
  <c r="I1132" i="2"/>
  <c r="I1131" i="2"/>
  <c r="I1130" i="2"/>
  <c r="I1129" i="2"/>
  <c r="I1128" i="2"/>
  <c r="I1127" i="2"/>
  <c r="I1126" i="2"/>
  <c r="I1125" i="2"/>
  <c r="I1124" i="2"/>
  <c r="I1123" i="2"/>
  <c r="I1122" i="2"/>
  <c r="I1121" i="2"/>
  <c r="I1120" i="2"/>
  <c r="I1119" i="2"/>
  <c r="I1118" i="2"/>
  <c r="I1117" i="2"/>
  <c r="I1116" i="2"/>
  <c r="I1115" i="2"/>
  <c r="I1114" i="2"/>
  <c r="I1113" i="2"/>
  <c r="I1112" i="2"/>
  <c r="I1111" i="2"/>
  <c r="I1110" i="2"/>
  <c r="I1109" i="2"/>
  <c r="I1108" i="2"/>
  <c r="I1107" i="2"/>
  <c r="I1106" i="2"/>
  <c r="I1105" i="2"/>
  <c r="I1104" i="2"/>
  <c r="I1103" i="2"/>
  <c r="I1102" i="2"/>
  <c r="I1101" i="2"/>
  <c r="I1100" i="2"/>
  <c r="I1099" i="2"/>
  <c r="I1098" i="2"/>
  <c r="I1097" i="2"/>
  <c r="I1096" i="2"/>
  <c r="I1095" i="2"/>
  <c r="I1094" i="2"/>
  <c r="I1093" i="2"/>
  <c r="I1092" i="2"/>
  <c r="I1091" i="2"/>
  <c r="I1090" i="2"/>
  <c r="I1089" i="2"/>
  <c r="I1088" i="2"/>
  <c r="I1087" i="2"/>
  <c r="I1086" i="2"/>
  <c r="I1085" i="2"/>
  <c r="I1084" i="2"/>
  <c r="I1083" i="2"/>
  <c r="I1082" i="2"/>
  <c r="I1081" i="2"/>
  <c r="I1080" i="2"/>
  <c r="I1079" i="2"/>
  <c r="I1078" i="2"/>
  <c r="I1077" i="2"/>
  <c r="I1076" i="2"/>
  <c r="I1075" i="2"/>
  <c r="I1074" i="2"/>
  <c r="I1073" i="2"/>
  <c r="I1072" i="2"/>
  <c r="I1071" i="2"/>
  <c r="I1070" i="2"/>
  <c r="I1069" i="2"/>
  <c r="I1068" i="2"/>
  <c r="I1067" i="2"/>
  <c r="I1066" i="2"/>
  <c r="I1065" i="2"/>
  <c r="I1064" i="2"/>
  <c r="I1063" i="2"/>
  <c r="K1211" i="2"/>
  <c r="G1210" i="2"/>
  <c r="A1209" i="2"/>
  <c r="M1207" i="2"/>
  <c r="J1206" i="2"/>
  <c r="G1205" i="2"/>
  <c r="B1204" i="2"/>
  <c r="P1202" i="2"/>
  <c r="N1201" i="2"/>
  <c r="L1200" i="2"/>
  <c r="J1199" i="2"/>
  <c r="H1198" i="2"/>
  <c r="D1197" i="2"/>
  <c r="B1196" i="2"/>
  <c r="P1194" i="2"/>
  <c r="N1193" i="2"/>
  <c r="L1192" i="2"/>
  <c r="J1191" i="2"/>
  <c r="H1190" i="2"/>
  <c r="D1189" i="2"/>
  <c r="B1188" i="2"/>
  <c r="P1186" i="2"/>
  <c r="N1185" i="2"/>
  <c r="L1184" i="2"/>
  <c r="J1183" i="2"/>
  <c r="H1182" i="2"/>
  <c r="H1181" i="2"/>
  <c r="H1180" i="2"/>
  <c r="H1179" i="2"/>
  <c r="H1178" i="2"/>
  <c r="H1177" i="2"/>
  <c r="H1176" i="2"/>
  <c r="H1175" i="2"/>
  <c r="H1174" i="2"/>
  <c r="H1173" i="2"/>
  <c r="H1172" i="2"/>
  <c r="H1171" i="2"/>
  <c r="H1170" i="2"/>
  <c r="H1169" i="2"/>
  <c r="H1168" i="2"/>
  <c r="H1167" i="2"/>
  <c r="H1166" i="2"/>
  <c r="H1165" i="2"/>
  <c r="H1164" i="2"/>
  <c r="H1163" i="2"/>
  <c r="H1162" i="2"/>
  <c r="H1161" i="2"/>
  <c r="H1160" i="2"/>
  <c r="H1159" i="2"/>
  <c r="H1158" i="2"/>
  <c r="H1157" i="2"/>
  <c r="H1156" i="2"/>
  <c r="H1155" i="2"/>
  <c r="H1154" i="2"/>
  <c r="H1153" i="2"/>
  <c r="H1152" i="2"/>
  <c r="H1151" i="2"/>
  <c r="H1150" i="2"/>
  <c r="H1149" i="2"/>
  <c r="H1148" i="2"/>
  <c r="H1147" i="2"/>
  <c r="H1146" i="2"/>
  <c r="H1145" i="2"/>
  <c r="H1144" i="2"/>
  <c r="H1143" i="2"/>
  <c r="H1142" i="2"/>
  <c r="H1141" i="2"/>
  <c r="H1140" i="2"/>
  <c r="H1139" i="2"/>
  <c r="H1138" i="2"/>
  <c r="H1137" i="2"/>
  <c r="H1136" i="2"/>
  <c r="H1135" i="2"/>
  <c r="H1134" i="2"/>
  <c r="H1133" i="2"/>
  <c r="H1132" i="2"/>
  <c r="H1131" i="2"/>
  <c r="H1130" i="2"/>
  <c r="H1129" i="2"/>
  <c r="H1128" i="2"/>
  <c r="H1127" i="2"/>
  <c r="H1126" i="2"/>
  <c r="H1125" i="2"/>
  <c r="H1124" i="2"/>
  <c r="H1123" i="2"/>
  <c r="H1122" i="2"/>
  <c r="H1121" i="2"/>
  <c r="H1120" i="2"/>
  <c r="H1119" i="2"/>
  <c r="H1118" i="2"/>
  <c r="H1117" i="2"/>
  <c r="H1116" i="2"/>
  <c r="H1115" i="2"/>
  <c r="H1114" i="2"/>
  <c r="H1113" i="2"/>
  <c r="H1112" i="2"/>
  <c r="H1111" i="2"/>
  <c r="H1110" i="2"/>
  <c r="H1109" i="2"/>
  <c r="H1108" i="2"/>
  <c r="H1107" i="2"/>
  <c r="H1106" i="2"/>
  <c r="H1105" i="2"/>
  <c r="H1104" i="2"/>
  <c r="H1103" i="2"/>
  <c r="H1102" i="2"/>
  <c r="H1101" i="2"/>
  <c r="H1100" i="2"/>
  <c r="H1099" i="2"/>
  <c r="H1098" i="2"/>
  <c r="H1097" i="2"/>
  <c r="H1096" i="2"/>
  <c r="H1095" i="2"/>
  <c r="H1094" i="2"/>
  <c r="H1093" i="2"/>
  <c r="H1092" i="2"/>
  <c r="H1091" i="2"/>
  <c r="H1090" i="2"/>
  <c r="H1089" i="2"/>
  <c r="H1088" i="2"/>
  <c r="H1087" i="2"/>
  <c r="H1086" i="2"/>
  <c r="H1085" i="2"/>
  <c r="H1084" i="2"/>
  <c r="H1083" i="2"/>
  <c r="H1082" i="2"/>
  <c r="H1081" i="2"/>
  <c r="H1080" i="2"/>
  <c r="H1079" i="2"/>
  <c r="H1078" i="2"/>
  <c r="H1077" i="2"/>
  <c r="H1076" i="2"/>
  <c r="H1075" i="2"/>
  <c r="H1074" i="2"/>
  <c r="H1073" i="2"/>
  <c r="H1072" i="2"/>
  <c r="H1071" i="2"/>
  <c r="H1070" i="2"/>
  <c r="H1069" i="2"/>
  <c r="H1068" i="2"/>
  <c r="H1067" i="2"/>
  <c r="H1066" i="2"/>
  <c r="H1065" i="2"/>
  <c r="H1064" i="2"/>
  <c r="H1063" i="2"/>
  <c r="H1062" i="2"/>
  <c r="H1061" i="2"/>
  <c r="H1060" i="2"/>
  <c r="H1059" i="2"/>
  <c r="H1058" i="2"/>
  <c r="H1057" i="2"/>
  <c r="H1056" i="2"/>
  <c r="H1055" i="2"/>
  <c r="H1054" i="2"/>
  <c r="H1053" i="2"/>
  <c r="H1052" i="2"/>
  <c r="H1051" i="2"/>
  <c r="H1050" i="2"/>
  <c r="H1049" i="2"/>
  <c r="H1048" i="2"/>
  <c r="H1047" i="2"/>
  <c r="H1046" i="2"/>
  <c r="H1045" i="2"/>
  <c r="H1044" i="2"/>
  <c r="H1043" i="2"/>
  <c r="H1042" i="2"/>
  <c r="H1041" i="2"/>
  <c r="H1040" i="2"/>
  <c r="J1211" i="2"/>
  <c r="C1210" i="2"/>
  <c r="O1208" i="2"/>
  <c r="L1207" i="2"/>
  <c r="I1206" i="2"/>
  <c r="D1205" i="2"/>
  <c r="A1204" i="2"/>
  <c r="O1202" i="2"/>
  <c r="M1201" i="2"/>
  <c r="K1200" i="2"/>
  <c r="I1199" i="2"/>
  <c r="G1198" i="2"/>
  <c r="C1197" i="2"/>
  <c r="A1196" i="2"/>
  <c r="O1194" i="2"/>
  <c r="M1193" i="2"/>
  <c r="K1192" i="2"/>
  <c r="I1191" i="2"/>
  <c r="G1190" i="2"/>
  <c r="C1189" i="2"/>
  <c r="A1188" i="2"/>
  <c r="O1186" i="2"/>
  <c r="M1185" i="2"/>
  <c r="K1184" i="2"/>
  <c r="I1183" i="2"/>
  <c r="G1182" i="2"/>
  <c r="G1181" i="2"/>
  <c r="G1180" i="2"/>
  <c r="G1179" i="2"/>
  <c r="G1178" i="2"/>
  <c r="G1177" i="2"/>
  <c r="G1176" i="2"/>
  <c r="G1175" i="2"/>
  <c r="G1174" i="2"/>
  <c r="G1173" i="2"/>
  <c r="G1172" i="2"/>
  <c r="G1171" i="2"/>
  <c r="G1170" i="2"/>
  <c r="G1169" i="2"/>
  <c r="G1168" i="2"/>
  <c r="G1167" i="2"/>
  <c r="G1166" i="2"/>
  <c r="G1165" i="2"/>
  <c r="G1164" i="2"/>
  <c r="G1163" i="2"/>
  <c r="G1162" i="2"/>
  <c r="G1161" i="2"/>
  <c r="G1160" i="2"/>
  <c r="G1159" i="2"/>
  <c r="G1158" i="2"/>
  <c r="G1157" i="2"/>
  <c r="G1156" i="2"/>
  <c r="G1155" i="2"/>
  <c r="G1154" i="2"/>
  <c r="G1153" i="2"/>
  <c r="G1152" i="2"/>
  <c r="G1151" i="2"/>
  <c r="G1150" i="2"/>
  <c r="G1149" i="2"/>
  <c r="G1148" i="2"/>
  <c r="G1147" i="2"/>
  <c r="G1146" i="2"/>
  <c r="G1145" i="2"/>
  <c r="G1144" i="2"/>
  <c r="G1143" i="2"/>
  <c r="G1142" i="2"/>
  <c r="G1141" i="2"/>
  <c r="G1140" i="2"/>
  <c r="G1139" i="2"/>
  <c r="G1138" i="2"/>
  <c r="G1137" i="2"/>
  <c r="G1136" i="2"/>
  <c r="G1135" i="2"/>
  <c r="G1134" i="2"/>
  <c r="G1133" i="2"/>
  <c r="G1132" i="2"/>
  <c r="G1131" i="2"/>
  <c r="G1130" i="2"/>
  <c r="G1129" i="2"/>
  <c r="G1128" i="2"/>
  <c r="G1127" i="2"/>
  <c r="G1126" i="2"/>
  <c r="G1125" i="2"/>
  <c r="G1124" i="2"/>
  <c r="G1123" i="2"/>
  <c r="G1122" i="2"/>
  <c r="G1121" i="2"/>
  <c r="G1120" i="2"/>
  <c r="G1119" i="2"/>
  <c r="G1118" i="2"/>
  <c r="G1117" i="2"/>
  <c r="G1116" i="2"/>
  <c r="G1115" i="2"/>
  <c r="G1114" i="2"/>
  <c r="G1113" i="2"/>
  <c r="G1112" i="2"/>
  <c r="G1111" i="2"/>
  <c r="G1110" i="2"/>
  <c r="G1109" i="2"/>
  <c r="G1108" i="2"/>
  <c r="G1107" i="2"/>
  <c r="G1106" i="2"/>
  <c r="G1105" i="2"/>
  <c r="G1104" i="2"/>
  <c r="G1103" i="2"/>
  <c r="G1102" i="2"/>
  <c r="G1101" i="2"/>
  <c r="G1100" i="2"/>
  <c r="G1099" i="2"/>
  <c r="G1098" i="2"/>
  <c r="G1097" i="2"/>
  <c r="G1096" i="2"/>
  <c r="G1095" i="2"/>
  <c r="G1094" i="2"/>
  <c r="G1093" i="2"/>
  <c r="G1092" i="2"/>
  <c r="G1091" i="2"/>
  <c r="G1090" i="2"/>
  <c r="G1089" i="2"/>
  <c r="G1088" i="2"/>
  <c r="G1087" i="2"/>
  <c r="G1086" i="2"/>
  <c r="G1085" i="2"/>
  <c r="G1084" i="2"/>
  <c r="G1083" i="2"/>
  <c r="G1082" i="2"/>
  <c r="G1081" i="2"/>
  <c r="G1080" i="2"/>
  <c r="G1079" i="2"/>
  <c r="G1078" i="2"/>
  <c r="G1077" i="2"/>
  <c r="G1076" i="2"/>
  <c r="G1075" i="2"/>
  <c r="G1074" i="2"/>
  <c r="G1073" i="2"/>
  <c r="G1072" i="2"/>
  <c r="G1071" i="2"/>
  <c r="G1070" i="2"/>
  <c r="G1069" i="2"/>
  <c r="G1068" i="2"/>
  <c r="G1067" i="2"/>
  <c r="G1066" i="2"/>
  <c r="G1065" i="2"/>
  <c r="G1064" i="2"/>
  <c r="H1211" i="2"/>
  <c r="A1210" i="2"/>
  <c r="M1208" i="2"/>
  <c r="J1207" i="2"/>
  <c r="G1206" i="2"/>
  <c r="B1205" i="2"/>
  <c r="O1203" i="2"/>
  <c r="M1202" i="2"/>
  <c r="K1201" i="2"/>
  <c r="I1200" i="2"/>
  <c r="G1199" i="2"/>
  <c r="C1198" i="2"/>
  <c r="A1197" i="2"/>
  <c r="O1195" i="2"/>
  <c r="M1194" i="2"/>
  <c r="K1193" i="2"/>
  <c r="I1192" i="2"/>
  <c r="G1191" i="2"/>
  <c r="C1190" i="2"/>
  <c r="A1189" i="2"/>
  <c r="O1187" i="2"/>
  <c r="M1186" i="2"/>
  <c r="K1185" i="2"/>
  <c r="I1184" i="2"/>
  <c r="G1183" i="2"/>
  <c r="E1182" i="2"/>
  <c r="E1181" i="2"/>
  <c r="E1180" i="2"/>
  <c r="E1179" i="2"/>
  <c r="E1178" i="2"/>
  <c r="E1177" i="2"/>
  <c r="E1176" i="2"/>
  <c r="E1175" i="2"/>
  <c r="E1174" i="2"/>
  <c r="E1173" i="2"/>
  <c r="E1172" i="2"/>
  <c r="E1171" i="2"/>
  <c r="E1170" i="2"/>
  <c r="E1169" i="2"/>
  <c r="E1168" i="2"/>
  <c r="E1167" i="2"/>
  <c r="E1166" i="2"/>
  <c r="E1165" i="2"/>
  <c r="E1164" i="2"/>
  <c r="E1163" i="2"/>
  <c r="E1162" i="2"/>
  <c r="E1161" i="2"/>
  <c r="E1160" i="2"/>
  <c r="E1159" i="2"/>
  <c r="E1158" i="2"/>
  <c r="E1157" i="2"/>
  <c r="E1156" i="2"/>
  <c r="E1155" i="2"/>
  <c r="E1154" i="2"/>
  <c r="E1153" i="2"/>
  <c r="E1152" i="2"/>
  <c r="E1151" i="2"/>
  <c r="E1150" i="2"/>
  <c r="E1149" i="2"/>
  <c r="E1148" i="2"/>
  <c r="E1147" i="2"/>
  <c r="E1146" i="2"/>
  <c r="E1145" i="2"/>
  <c r="E1144" i="2"/>
  <c r="E1143" i="2"/>
  <c r="E1142" i="2"/>
  <c r="E1141" i="2"/>
  <c r="E1140" i="2"/>
  <c r="E1139" i="2"/>
  <c r="E1138" i="2"/>
  <c r="E1137" i="2"/>
  <c r="E1136" i="2"/>
  <c r="E1135" i="2"/>
  <c r="E1134" i="2"/>
  <c r="E1133" i="2"/>
  <c r="E1132" i="2"/>
  <c r="E1131" i="2"/>
  <c r="E1130" i="2"/>
  <c r="E1129" i="2"/>
  <c r="E1128" i="2"/>
  <c r="E1127" i="2"/>
  <c r="E1126" i="2"/>
  <c r="E1125" i="2"/>
  <c r="E1124" i="2"/>
  <c r="E1123" i="2"/>
  <c r="E1122" i="2"/>
  <c r="E1121" i="2"/>
  <c r="E1120" i="2"/>
  <c r="E1119" i="2"/>
  <c r="E1118" i="2"/>
  <c r="E1117" i="2"/>
  <c r="E1116" i="2"/>
  <c r="E1115" i="2"/>
  <c r="E1114" i="2"/>
  <c r="E1113" i="2"/>
  <c r="E1112" i="2"/>
  <c r="E1111" i="2"/>
  <c r="E1110" i="2"/>
  <c r="E1109" i="2"/>
  <c r="E1108" i="2"/>
  <c r="E1107" i="2"/>
  <c r="E1106" i="2"/>
  <c r="E1105" i="2"/>
  <c r="E1104" i="2"/>
  <c r="E1103" i="2"/>
  <c r="E1102" i="2"/>
  <c r="E1101" i="2"/>
  <c r="E1100" i="2"/>
  <c r="E1099" i="2"/>
  <c r="E1098" i="2"/>
  <c r="E1097" i="2"/>
  <c r="E1096" i="2"/>
  <c r="E1095" i="2"/>
  <c r="E1094" i="2"/>
  <c r="E1093" i="2"/>
  <c r="E1092" i="2"/>
  <c r="E1091" i="2"/>
  <c r="E1090" i="2"/>
  <c r="E1089" i="2"/>
  <c r="E1088" i="2"/>
  <c r="E1087" i="2"/>
  <c r="E1086" i="2"/>
  <c r="E1085" i="2"/>
  <c r="E1084" i="2"/>
  <c r="E1083" i="2"/>
  <c r="E1082" i="2"/>
  <c r="E1081" i="2"/>
  <c r="E1080" i="2"/>
  <c r="E1079" i="2"/>
  <c r="E1078" i="2"/>
  <c r="E1077" i="2"/>
  <c r="E1076" i="2"/>
  <c r="E1075" i="2"/>
  <c r="E1074" i="2"/>
  <c r="E1073" i="2"/>
  <c r="E1072" i="2"/>
  <c r="E1071" i="2"/>
  <c r="E1070" i="2"/>
  <c r="E1069" i="2"/>
  <c r="E1068" i="2"/>
  <c r="E1067" i="2"/>
  <c r="E1066" i="2"/>
  <c r="E1065" i="2"/>
  <c r="E1064" i="2"/>
  <c r="E1063" i="2"/>
  <c r="E1062" i="2"/>
  <c r="E1061" i="2"/>
  <c r="E1060" i="2"/>
  <c r="E1059" i="2"/>
  <c r="E1058" i="2"/>
  <c r="E1057" i="2"/>
  <c r="E1056" i="2"/>
  <c r="E1055" i="2"/>
  <c r="E1054" i="2"/>
  <c r="C1211" i="2"/>
  <c r="N1209" i="2"/>
  <c r="K1208" i="2"/>
  <c r="H1207" i="2"/>
  <c r="C1206" i="2"/>
  <c r="O1204" i="2"/>
  <c r="M1203" i="2"/>
  <c r="K1202" i="2"/>
  <c r="I1201" i="2"/>
  <c r="G1200" i="2"/>
  <c r="C1199" i="2"/>
  <c r="A1198" i="2"/>
  <c r="O1196" i="2"/>
  <c r="M1195" i="2"/>
  <c r="K1194" i="2"/>
  <c r="I1193" i="2"/>
  <c r="G1192" i="2"/>
  <c r="C1191" i="2"/>
  <c r="A1190" i="2"/>
  <c r="O1188" i="2"/>
  <c r="M1187" i="2"/>
  <c r="K1186" i="2"/>
  <c r="I1185" i="2"/>
  <c r="G1184" i="2"/>
  <c r="C1183" i="2"/>
  <c r="C1182" i="2"/>
  <c r="C1181" i="2"/>
  <c r="C1180" i="2"/>
  <c r="C1179" i="2"/>
  <c r="C1178" i="2"/>
  <c r="C1177" i="2"/>
  <c r="C1176" i="2"/>
  <c r="C1175" i="2"/>
  <c r="C1174" i="2"/>
  <c r="C1173" i="2"/>
  <c r="C1172" i="2"/>
  <c r="C1171" i="2"/>
  <c r="C1170" i="2"/>
  <c r="C1169" i="2"/>
  <c r="C1168" i="2"/>
  <c r="C1167" i="2"/>
  <c r="C1166" i="2"/>
  <c r="C1165" i="2"/>
  <c r="C1164" i="2"/>
  <c r="C1163" i="2"/>
  <c r="C1162" i="2"/>
  <c r="C1161" i="2"/>
  <c r="C1160" i="2"/>
  <c r="C1159" i="2"/>
  <c r="C1158" i="2"/>
  <c r="C1157" i="2"/>
  <c r="C1156" i="2"/>
  <c r="C1155" i="2"/>
  <c r="C1154" i="2"/>
  <c r="C1153" i="2"/>
  <c r="C1152" i="2"/>
  <c r="C1151" i="2"/>
  <c r="C1150" i="2"/>
  <c r="C1149" i="2"/>
  <c r="C1148" i="2"/>
  <c r="C1147" i="2"/>
  <c r="C1146" i="2"/>
  <c r="C1145" i="2"/>
  <c r="C1144" i="2"/>
  <c r="C1143" i="2"/>
  <c r="C1142" i="2"/>
  <c r="C1141" i="2"/>
  <c r="C1140" i="2"/>
  <c r="C1139" i="2"/>
  <c r="C1138" i="2"/>
  <c r="C1137" i="2"/>
  <c r="C1136" i="2"/>
  <c r="C1135" i="2"/>
  <c r="C1134" i="2"/>
  <c r="C1133" i="2"/>
  <c r="C1132" i="2"/>
  <c r="C1131" i="2"/>
  <c r="C1130" i="2"/>
  <c r="C1129" i="2"/>
  <c r="C1128" i="2"/>
  <c r="C1127" i="2"/>
  <c r="C1126" i="2"/>
  <c r="C1125" i="2"/>
  <c r="C1124" i="2"/>
  <c r="C1123" i="2"/>
  <c r="C1122" i="2"/>
  <c r="C1121" i="2"/>
  <c r="C1120" i="2"/>
  <c r="C1119" i="2"/>
  <c r="C1118" i="2"/>
  <c r="C1117" i="2"/>
  <c r="C1116" i="2"/>
  <c r="C1115" i="2"/>
  <c r="C1114" i="2"/>
  <c r="C1113" i="2"/>
  <c r="C1112" i="2"/>
  <c r="C1111" i="2"/>
  <c r="C1110" i="2"/>
  <c r="C1109" i="2"/>
  <c r="C1108" i="2"/>
  <c r="C1107" i="2"/>
  <c r="C1106" i="2"/>
  <c r="C1105" i="2"/>
  <c r="C1104" i="2"/>
  <c r="C1103" i="2"/>
  <c r="C1102" i="2"/>
  <c r="C1101" i="2"/>
  <c r="C1100" i="2"/>
  <c r="C1099" i="2"/>
  <c r="C1098" i="2"/>
  <c r="C1097" i="2"/>
  <c r="C1096" i="2"/>
  <c r="C1095" i="2"/>
  <c r="C1094" i="2"/>
  <c r="C1093" i="2"/>
  <c r="C1092" i="2"/>
  <c r="C1091" i="2"/>
  <c r="C1090" i="2"/>
  <c r="C1089" i="2"/>
  <c r="C1088" i="2"/>
  <c r="C1087" i="2"/>
  <c r="C1086" i="2"/>
  <c r="C1085" i="2"/>
  <c r="C1084" i="2"/>
  <c r="C1083" i="2"/>
  <c r="C1082" i="2"/>
  <c r="C1081" i="2"/>
  <c r="C1080" i="2"/>
  <c r="C1079" i="2"/>
  <c r="C1078" i="2"/>
  <c r="C1077" i="2"/>
  <c r="C1076" i="2"/>
  <c r="C1075" i="2"/>
  <c r="C1074" i="2"/>
  <c r="C1073" i="2"/>
  <c r="C1072" i="2"/>
  <c r="C1071" i="2"/>
  <c r="C1070" i="2"/>
  <c r="C1069" i="2"/>
  <c r="C1068" i="2"/>
  <c r="C1067" i="2"/>
  <c r="C1066" i="2"/>
  <c r="C1065" i="2"/>
  <c r="C1064" i="2"/>
  <c r="C1063" i="2"/>
  <c r="C1062" i="2"/>
  <c r="C1061" i="2"/>
  <c r="C1060" i="2"/>
  <c r="C1059" i="2"/>
  <c r="C1058" i="2"/>
  <c r="C1057" i="2"/>
  <c r="C1056" i="2"/>
  <c r="C1055" i="2"/>
  <c r="B1211" i="2"/>
  <c r="M1209" i="2"/>
  <c r="J1208" i="2"/>
  <c r="G1207" i="2"/>
  <c r="B1206" i="2"/>
  <c r="N1204" i="2"/>
  <c r="L1203" i="2"/>
  <c r="J1202" i="2"/>
  <c r="H1201" i="2"/>
  <c r="D1200" i="2"/>
  <c r="B1199" i="2"/>
  <c r="P1197" i="2"/>
  <c r="N1196" i="2"/>
  <c r="L1195" i="2"/>
  <c r="J1194" i="2"/>
  <c r="H1193" i="2"/>
  <c r="D1192" i="2"/>
  <c r="B1191" i="2"/>
  <c r="P1189" i="2"/>
  <c r="N1188" i="2"/>
  <c r="L1187" i="2"/>
  <c r="J1186" i="2"/>
  <c r="H1185" i="2"/>
  <c r="D1184" i="2"/>
  <c r="B1183" i="2"/>
  <c r="B1182" i="2"/>
  <c r="B1181" i="2"/>
  <c r="B1180" i="2"/>
  <c r="B1179" i="2"/>
  <c r="B1178" i="2"/>
  <c r="B1177" i="2"/>
  <c r="B1176" i="2"/>
  <c r="B1175" i="2"/>
  <c r="B1174" i="2"/>
  <c r="B1173" i="2"/>
  <c r="B1172" i="2"/>
  <c r="B1171" i="2"/>
  <c r="B1170" i="2"/>
  <c r="B1169" i="2"/>
  <c r="B1168" i="2"/>
  <c r="B1167" i="2"/>
  <c r="B1166" i="2"/>
  <c r="B1165" i="2"/>
  <c r="B1164" i="2"/>
  <c r="B1163" i="2"/>
  <c r="B1162" i="2"/>
  <c r="B1161" i="2"/>
  <c r="B1160" i="2"/>
  <c r="B1159" i="2"/>
  <c r="B1158" i="2"/>
  <c r="B1157" i="2"/>
  <c r="B1156" i="2"/>
  <c r="B1155" i="2"/>
  <c r="B1154" i="2"/>
  <c r="B1153" i="2"/>
  <c r="B1152" i="2"/>
  <c r="B1151" i="2"/>
  <c r="B1150" i="2"/>
  <c r="B1149" i="2"/>
  <c r="B1148" i="2"/>
  <c r="B1147" i="2"/>
  <c r="B1146" i="2"/>
  <c r="B1145" i="2"/>
  <c r="B1144" i="2"/>
  <c r="B1143" i="2"/>
  <c r="B1142" i="2"/>
  <c r="B1141" i="2"/>
  <c r="B1140" i="2"/>
  <c r="B1139" i="2"/>
  <c r="L1209" i="2"/>
  <c r="D1207" i="2"/>
  <c r="M1204" i="2"/>
  <c r="I1202" i="2"/>
  <c r="C1200" i="2"/>
  <c r="O1197" i="2"/>
  <c r="K1195" i="2"/>
  <c r="G1193" i="2"/>
  <c r="A1191" i="2"/>
  <c r="M1188" i="2"/>
  <c r="I1186" i="2"/>
  <c r="C1184" i="2"/>
  <c r="A1182" i="2"/>
  <c r="A1180" i="2"/>
  <c r="A1178" i="2"/>
  <c r="A1176" i="2"/>
  <c r="A1174" i="2"/>
  <c r="A1172" i="2"/>
  <c r="A1170" i="2"/>
  <c r="A1168" i="2"/>
  <c r="A1166" i="2"/>
  <c r="A1164" i="2"/>
  <c r="A1162" i="2"/>
  <c r="A1160" i="2"/>
  <c r="A1158" i="2"/>
  <c r="A1156" i="2"/>
  <c r="A1154" i="2"/>
  <c r="A1152" i="2"/>
  <c r="A1150" i="2"/>
  <c r="A1148" i="2"/>
  <c r="A1146" i="2"/>
  <c r="A1144" i="2"/>
  <c r="A1142" i="2"/>
  <c r="A1140" i="2"/>
  <c r="B1138" i="2"/>
  <c r="F1136" i="2"/>
  <c r="M1134" i="2"/>
  <c r="O1132" i="2"/>
  <c r="A1131" i="2"/>
  <c r="D1129" i="2"/>
  <c r="L1127" i="2"/>
  <c r="N1125" i="2"/>
  <c r="P1123" i="2"/>
  <c r="B1122" i="2"/>
  <c r="F1120" i="2"/>
  <c r="M1118" i="2"/>
  <c r="O1116" i="2"/>
  <c r="A1115" i="2"/>
  <c r="D1113" i="2"/>
  <c r="L1111" i="2"/>
  <c r="N1109" i="2"/>
  <c r="P1107" i="2"/>
  <c r="B1106" i="2"/>
  <c r="F1104" i="2"/>
  <c r="M1102" i="2"/>
  <c r="O1100" i="2"/>
  <c r="A1099" i="2"/>
  <c r="D1097" i="2"/>
  <c r="L1095" i="2"/>
  <c r="N1093" i="2"/>
  <c r="P1091" i="2"/>
  <c r="B1090" i="2"/>
  <c r="F1088" i="2"/>
  <c r="M1086" i="2"/>
  <c r="O1084" i="2"/>
  <c r="A1083" i="2"/>
  <c r="D1081" i="2"/>
  <c r="L1079" i="2"/>
  <c r="N1077" i="2"/>
  <c r="P1075" i="2"/>
  <c r="B1074" i="2"/>
  <c r="F1072" i="2"/>
  <c r="M1070" i="2"/>
  <c r="O1068" i="2"/>
  <c r="A1067" i="2"/>
  <c r="D1065" i="2"/>
  <c r="L1063" i="2"/>
  <c r="A1062" i="2"/>
  <c r="L1060" i="2"/>
  <c r="B1059" i="2"/>
  <c r="M1057" i="2"/>
  <c r="D1056" i="2"/>
  <c r="N1054" i="2"/>
  <c r="J1053" i="2"/>
  <c r="I1052" i="2"/>
  <c r="G1051" i="2"/>
  <c r="F1050" i="2"/>
  <c r="E1049" i="2"/>
  <c r="D1048" i="2"/>
  <c r="C1047" i="2"/>
  <c r="B1046" i="2"/>
  <c r="A1045" i="2"/>
  <c r="P1043" i="2"/>
  <c r="O1042" i="2"/>
  <c r="N1041" i="2"/>
  <c r="M1040" i="2"/>
  <c r="L1039" i="2"/>
  <c r="L1038" i="2"/>
  <c r="L1037" i="2"/>
  <c r="L1036" i="2"/>
  <c r="L1035" i="2"/>
  <c r="L1034" i="2"/>
  <c r="L1033" i="2"/>
  <c r="L1032" i="2"/>
  <c r="L1031" i="2"/>
  <c r="L1030" i="2"/>
  <c r="L1029" i="2"/>
  <c r="L1028" i="2"/>
  <c r="L1027" i="2"/>
  <c r="L1026" i="2"/>
  <c r="L1025" i="2"/>
  <c r="L1024" i="2"/>
  <c r="L1023" i="2"/>
  <c r="L1022" i="2"/>
  <c r="L1021" i="2"/>
  <c r="L1020" i="2"/>
  <c r="L1019" i="2"/>
  <c r="L1018" i="2"/>
  <c r="L1017" i="2"/>
  <c r="L1016" i="2"/>
  <c r="L1015" i="2"/>
  <c r="L1014" i="2"/>
  <c r="L1013" i="2"/>
  <c r="L1012" i="2"/>
  <c r="L1011" i="2"/>
  <c r="L1010" i="2"/>
  <c r="L1009" i="2"/>
  <c r="L1008" i="2"/>
  <c r="L1007" i="2"/>
  <c r="L1006" i="2"/>
  <c r="L1005" i="2"/>
  <c r="L1004" i="2"/>
  <c r="L1003" i="2"/>
  <c r="L1002" i="2"/>
  <c r="L1001" i="2"/>
  <c r="L1000" i="2"/>
  <c r="L999" i="2"/>
  <c r="L998" i="2"/>
  <c r="L997" i="2"/>
  <c r="L996" i="2"/>
  <c r="L995" i="2"/>
  <c r="L994" i="2"/>
  <c r="L993" i="2"/>
  <c r="L992" i="2"/>
  <c r="L991" i="2"/>
  <c r="L990" i="2"/>
  <c r="L989" i="2"/>
  <c r="L988" i="2"/>
  <c r="L987" i="2"/>
  <c r="L986" i="2"/>
  <c r="L985" i="2"/>
  <c r="L984" i="2"/>
  <c r="L983" i="2"/>
  <c r="L982" i="2"/>
  <c r="L981" i="2"/>
  <c r="L980" i="2"/>
  <c r="L979" i="2"/>
  <c r="L978" i="2"/>
  <c r="L977" i="2"/>
  <c r="L976" i="2"/>
  <c r="L975" i="2"/>
  <c r="L974" i="2"/>
  <c r="L973" i="2"/>
  <c r="L972" i="2"/>
  <c r="L971" i="2"/>
  <c r="L970" i="2"/>
  <c r="L969" i="2"/>
  <c r="L968" i="2"/>
  <c r="L967" i="2"/>
  <c r="L966" i="2"/>
  <c r="L965" i="2"/>
  <c r="L964" i="2"/>
  <c r="L963" i="2"/>
  <c r="L962" i="2"/>
  <c r="L961" i="2"/>
  <c r="L960" i="2"/>
  <c r="L959" i="2"/>
  <c r="L958" i="2"/>
  <c r="L957" i="2"/>
  <c r="L956" i="2"/>
  <c r="L955" i="2"/>
  <c r="L954" i="2"/>
  <c r="L953" i="2"/>
  <c r="L952" i="2"/>
  <c r="L951" i="2"/>
  <c r="L950" i="2"/>
  <c r="L949" i="2"/>
  <c r="L948" i="2"/>
  <c r="L947" i="2"/>
  <c r="L946" i="2"/>
  <c r="L945" i="2"/>
  <c r="L944" i="2"/>
  <c r="L943" i="2"/>
  <c r="L942" i="2"/>
  <c r="L941" i="2"/>
  <c r="L940" i="2"/>
  <c r="L939" i="2"/>
  <c r="L938" i="2"/>
  <c r="L937" i="2"/>
  <c r="L936" i="2"/>
  <c r="L935" i="2"/>
  <c r="L934" i="2"/>
  <c r="L933" i="2"/>
  <c r="L932" i="2"/>
  <c r="L931" i="2"/>
  <c r="L930" i="2"/>
  <c r="L929" i="2"/>
  <c r="L928" i="2"/>
  <c r="L927" i="2"/>
  <c r="L926" i="2"/>
  <c r="L925" i="2"/>
  <c r="L924" i="2"/>
  <c r="L923" i="2"/>
  <c r="L922" i="2"/>
  <c r="L921" i="2"/>
  <c r="L920" i="2"/>
  <c r="L919" i="2"/>
  <c r="L918" i="2"/>
  <c r="L917" i="2"/>
  <c r="L916" i="2"/>
  <c r="L915" i="2"/>
  <c r="L914" i="2"/>
  <c r="L913" i="2"/>
  <c r="L912" i="2"/>
  <c r="L911" i="2"/>
  <c r="L910" i="2"/>
  <c r="L909" i="2"/>
  <c r="L908" i="2"/>
  <c r="L907" i="2"/>
  <c r="L906" i="2"/>
  <c r="L905" i="2"/>
  <c r="L904" i="2"/>
  <c r="L903" i="2"/>
  <c r="L902" i="2"/>
  <c r="L901" i="2"/>
  <c r="L900" i="2"/>
  <c r="L899" i="2"/>
  <c r="L898" i="2"/>
  <c r="L897" i="2"/>
  <c r="L896" i="2"/>
  <c r="L895" i="2"/>
  <c r="L894" i="2"/>
  <c r="L893" i="2"/>
  <c r="L892" i="2"/>
  <c r="L891" i="2"/>
  <c r="L890" i="2"/>
  <c r="L889" i="2"/>
  <c r="L888" i="2"/>
  <c r="L887" i="2"/>
  <c r="L886" i="2"/>
  <c r="L885" i="2"/>
  <c r="L884" i="2"/>
  <c r="L883" i="2"/>
  <c r="L882" i="2"/>
  <c r="K1209" i="2"/>
  <c r="C1207" i="2"/>
  <c r="L1204" i="2"/>
  <c r="H1202" i="2"/>
  <c r="B1200" i="2"/>
  <c r="N1197" i="2"/>
  <c r="J1195" i="2"/>
  <c r="D1193" i="2"/>
  <c r="P1190" i="2"/>
  <c r="L1188" i="2"/>
  <c r="H1186" i="2"/>
  <c r="B1184" i="2"/>
  <c r="P1181" i="2"/>
  <c r="P1179" i="2"/>
  <c r="P1177" i="2"/>
  <c r="P1175" i="2"/>
  <c r="P1173" i="2"/>
  <c r="P1171" i="2"/>
  <c r="P1169" i="2"/>
  <c r="P1167" i="2"/>
  <c r="P1165" i="2"/>
  <c r="P1163" i="2"/>
  <c r="P1161" i="2"/>
  <c r="P1159" i="2"/>
  <c r="P1157" i="2"/>
  <c r="P1155" i="2"/>
  <c r="P1153" i="2"/>
  <c r="P1151" i="2"/>
  <c r="P1149" i="2"/>
  <c r="P1147" i="2"/>
  <c r="P1145" i="2"/>
  <c r="P1143" i="2"/>
  <c r="P1141" i="2"/>
  <c r="P1139" i="2"/>
  <c r="A1138" i="2"/>
  <c r="D1136" i="2"/>
  <c r="L1134" i="2"/>
  <c r="N1132" i="2"/>
  <c r="P1130" i="2"/>
  <c r="B1129" i="2"/>
  <c r="F1127" i="2"/>
  <c r="M1125" i="2"/>
  <c r="O1123" i="2"/>
  <c r="A1122" i="2"/>
  <c r="D1120" i="2"/>
  <c r="L1118" i="2"/>
  <c r="N1116" i="2"/>
  <c r="P1114" i="2"/>
  <c r="B1113" i="2"/>
  <c r="F1111" i="2"/>
  <c r="M1109" i="2"/>
  <c r="O1107" i="2"/>
  <c r="A1106" i="2"/>
  <c r="D1104" i="2"/>
  <c r="L1102" i="2"/>
  <c r="N1100" i="2"/>
  <c r="P1098" i="2"/>
  <c r="B1097" i="2"/>
  <c r="F1095" i="2"/>
  <c r="M1093" i="2"/>
  <c r="O1091" i="2"/>
  <c r="A1090" i="2"/>
  <c r="D1088" i="2"/>
  <c r="L1086" i="2"/>
  <c r="N1084" i="2"/>
  <c r="P1082" i="2"/>
  <c r="B1081" i="2"/>
  <c r="F1079" i="2"/>
  <c r="M1077" i="2"/>
  <c r="O1075" i="2"/>
  <c r="A1074" i="2"/>
  <c r="D1072" i="2"/>
  <c r="L1070" i="2"/>
  <c r="N1068" i="2"/>
  <c r="P1066" i="2"/>
  <c r="B1065" i="2"/>
  <c r="G1063" i="2"/>
  <c r="P1061" i="2"/>
  <c r="I1060" i="2"/>
  <c r="A1059" i="2"/>
  <c r="L1057" i="2"/>
  <c r="B1056" i="2"/>
  <c r="M1054" i="2"/>
  <c r="I1053" i="2"/>
  <c r="G1052" i="2"/>
  <c r="F1051" i="2"/>
  <c r="E1050" i="2"/>
  <c r="D1049" i="2"/>
  <c r="C1048" i="2"/>
  <c r="B1047" i="2"/>
  <c r="A1046" i="2"/>
  <c r="P1044" i="2"/>
  <c r="O1043" i="2"/>
  <c r="N1042" i="2"/>
  <c r="M1041" i="2"/>
  <c r="L1040" i="2"/>
  <c r="K1039" i="2"/>
  <c r="K1038" i="2"/>
  <c r="K1037" i="2"/>
  <c r="K1036" i="2"/>
  <c r="K1035" i="2"/>
  <c r="K1034" i="2"/>
  <c r="K1033" i="2"/>
  <c r="K1032" i="2"/>
  <c r="K1031" i="2"/>
  <c r="K1030" i="2"/>
  <c r="K1029" i="2"/>
  <c r="K1028" i="2"/>
  <c r="K1027" i="2"/>
  <c r="K1026" i="2"/>
  <c r="K1025" i="2"/>
  <c r="K1024" i="2"/>
  <c r="K1023" i="2"/>
  <c r="K1022" i="2"/>
  <c r="K1021" i="2"/>
  <c r="K1020" i="2"/>
  <c r="K1019" i="2"/>
  <c r="K1018" i="2"/>
  <c r="K1017" i="2"/>
  <c r="K1016" i="2"/>
  <c r="K1015" i="2"/>
  <c r="K1014" i="2"/>
  <c r="K1013" i="2"/>
  <c r="K1012" i="2"/>
  <c r="K1011" i="2"/>
  <c r="K1010" i="2"/>
  <c r="K1009" i="2"/>
  <c r="K1008" i="2"/>
  <c r="K1007" i="2"/>
  <c r="K1006" i="2"/>
  <c r="K1005" i="2"/>
  <c r="K1004" i="2"/>
  <c r="K1003" i="2"/>
  <c r="K1002" i="2"/>
  <c r="K1001" i="2"/>
  <c r="K1000" i="2"/>
  <c r="K999" i="2"/>
  <c r="K998" i="2"/>
  <c r="K997" i="2"/>
  <c r="K996" i="2"/>
  <c r="K995" i="2"/>
  <c r="K994" i="2"/>
  <c r="K993" i="2"/>
  <c r="K992" i="2"/>
  <c r="K991" i="2"/>
  <c r="K990" i="2"/>
  <c r="K989" i="2"/>
  <c r="K988" i="2"/>
  <c r="K987" i="2"/>
  <c r="K986" i="2"/>
  <c r="K985" i="2"/>
  <c r="K984" i="2"/>
  <c r="K983" i="2"/>
  <c r="K982" i="2"/>
  <c r="K981" i="2"/>
  <c r="K980" i="2"/>
  <c r="K979" i="2"/>
  <c r="K978" i="2"/>
  <c r="K977" i="2"/>
  <c r="K976" i="2"/>
  <c r="K975" i="2"/>
  <c r="K974" i="2"/>
  <c r="K973" i="2"/>
  <c r="K972" i="2"/>
  <c r="K971" i="2"/>
  <c r="K970" i="2"/>
  <c r="K969" i="2"/>
  <c r="K968" i="2"/>
  <c r="K967" i="2"/>
  <c r="K966" i="2"/>
  <c r="K965" i="2"/>
  <c r="K964" i="2"/>
  <c r="K963" i="2"/>
  <c r="K962" i="2"/>
  <c r="K961" i="2"/>
  <c r="K960" i="2"/>
  <c r="K959" i="2"/>
  <c r="K958" i="2"/>
  <c r="K957" i="2"/>
  <c r="K956" i="2"/>
  <c r="K955" i="2"/>
  <c r="K954" i="2"/>
  <c r="K953" i="2"/>
  <c r="K952" i="2"/>
  <c r="K951" i="2"/>
  <c r="K950" i="2"/>
  <c r="K949" i="2"/>
  <c r="K948" i="2"/>
  <c r="K947" i="2"/>
  <c r="K946" i="2"/>
  <c r="K945" i="2"/>
  <c r="K944" i="2"/>
  <c r="K943" i="2"/>
  <c r="K942" i="2"/>
  <c r="K941" i="2"/>
  <c r="K940" i="2"/>
  <c r="K939" i="2"/>
  <c r="K938" i="2"/>
  <c r="K937" i="2"/>
  <c r="K936" i="2"/>
  <c r="K935" i="2"/>
  <c r="K934" i="2"/>
  <c r="K933" i="2"/>
  <c r="K932" i="2"/>
  <c r="K931" i="2"/>
  <c r="K930" i="2"/>
  <c r="K929" i="2"/>
  <c r="K928" i="2"/>
  <c r="K927" i="2"/>
  <c r="K926" i="2"/>
  <c r="K925" i="2"/>
  <c r="K924" i="2"/>
  <c r="K923" i="2"/>
  <c r="K922" i="2"/>
  <c r="K921" i="2"/>
  <c r="K920" i="2"/>
  <c r="K919" i="2"/>
  <c r="K918" i="2"/>
  <c r="K917" i="2"/>
  <c r="K916" i="2"/>
  <c r="K915" i="2"/>
  <c r="K914" i="2"/>
  <c r="K913" i="2"/>
  <c r="K912" i="2"/>
  <c r="K911" i="2"/>
  <c r="K910" i="2"/>
  <c r="K909" i="2"/>
  <c r="K908" i="2"/>
  <c r="K907" i="2"/>
  <c r="K906" i="2"/>
  <c r="K905" i="2"/>
  <c r="K904" i="2"/>
  <c r="K903" i="2"/>
  <c r="K902" i="2"/>
  <c r="K901" i="2"/>
  <c r="K900" i="2"/>
  <c r="K899" i="2"/>
  <c r="K898" i="2"/>
  <c r="K897" i="2"/>
  <c r="K896" i="2"/>
  <c r="K895" i="2"/>
  <c r="K894" i="2"/>
  <c r="K893" i="2"/>
  <c r="K892" i="2"/>
  <c r="K891" i="2"/>
  <c r="K890" i="2"/>
  <c r="K889" i="2"/>
  <c r="K888" i="2"/>
  <c r="K887" i="2"/>
  <c r="J1209" i="2"/>
  <c r="B1207" i="2"/>
  <c r="K1204" i="2"/>
  <c r="G1202" i="2"/>
  <c r="A1200" i="2"/>
  <c r="M1197" i="2"/>
  <c r="I1195" i="2"/>
  <c r="C1193" i="2"/>
  <c r="O1190" i="2"/>
  <c r="K1188" i="2"/>
  <c r="G1186" i="2"/>
  <c r="A1184" i="2"/>
  <c r="O1181" i="2"/>
  <c r="O1179" i="2"/>
  <c r="O1177" i="2"/>
  <c r="O1175" i="2"/>
  <c r="O1173" i="2"/>
  <c r="O1171" i="2"/>
  <c r="O1169" i="2"/>
  <c r="O1167" i="2"/>
  <c r="O1165" i="2"/>
  <c r="O1163" i="2"/>
  <c r="O1161" i="2"/>
  <c r="O1159" i="2"/>
  <c r="O1157" i="2"/>
  <c r="O1155" i="2"/>
  <c r="O1153" i="2"/>
  <c r="O1151" i="2"/>
  <c r="O1149" i="2"/>
  <c r="O1147" i="2"/>
  <c r="O1145" i="2"/>
  <c r="O1143" i="2"/>
  <c r="O1141" i="2"/>
  <c r="O1139" i="2"/>
  <c r="P1137" i="2"/>
  <c r="B1136" i="2"/>
  <c r="F1134" i="2"/>
  <c r="M1132" i="2"/>
  <c r="O1130" i="2"/>
  <c r="A1129" i="2"/>
  <c r="D1127" i="2"/>
  <c r="L1125" i="2"/>
  <c r="N1123" i="2"/>
  <c r="P1121" i="2"/>
  <c r="B1120" i="2"/>
  <c r="F1118" i="2"/>
  <c r="M1116" i="2"/>
  <c r="O1114" i="2"/>
  <c r="A1113" i="2"/>
  <c r="D1111" i="2"/>
  <c r="L1109" i="2"/>
  <c r="N1107" i="2"/>
  <c r="P1105" i="2"/>
  <c r="B1104" i="2"/>
  <c r="F1102" i="2"/>
  <c r="M1100" i="2"/>
  <c r="O1098" i="2"/>
  <c r="A1097" i="2"/>
  <c r="D1095" i="2"/>
  <c r="L1093" i="2"/>
  <c r="N1091" i="2"/>
  <c r="P1089" i="2"/>
  <c r="B1088" i="2"/>
  <c r="F1086" i="2"/>
  <c r="M1084" i="2"/>
  <c r="O1082" i="2"/>
  <c r="A1081" i="2"/>
  <c r="D1079" i="2"/>
  <c r="L1077" i="2"/>
  <c r="N1075" i="2"/>
  <c r="P1073" i="2"/>
  <c r="B1072" i="2"/>
  <c r="F1070" i="2"/>
  <c r="M1068" i="2"/>
  <c r="O1066" i="2"/>
  <c r="A1065" i="2"/>
  <c r="F1063" i="2"/>
  <c r="O1061" i="2"/>
  <c r="G1060" i="2"/>
  <c r="P1058" i="2"/>
  <c r="I1057" i="2"/>
  <c r="A1056" i="2"/>
  <c r="L1054" i="2"/>
  <c r="G1053" i="2"/>
  <c r="F1052" i="2"/>
  <c r="E1051" i="2"/>
  <c r="D1050" i="2"/>
  <c r="C1049" i="2"/>
  <c r="B1048" i="2"/>
  <c r="A1047" i="2"/>
  <c r="P1045" i="2"/>
  <c r="O1044" i="2"/>
  <c r="N1043" i="2"/>
  <c r="M1042" i="2"/>
  <c r="L1041" i="2"/>
  <c r="K1040" i="2"/>
  <c r="J1039" i="2"/>
  <c r="J1038" i="2"/>
  <c r="J1037" i="2"/>
  <c r="J1036" i="2"/>
  <c r="J1035" i="2"/>
  <c r="J1034" i="2"/>
  <c r="J1033" i="2"/>
  <c r="J1032" i="2"/>
  <c r="J1031" i="2"/>
  <c r="J1030" i="2"/>
  <c r="J1029" i="2"/>
  <c r="J1028" i="2"/>
  <c r="J1027" i="2"/>
  <c r="J1026" i="2"/>
  <c r="J1025" i="2"/>
  <c r="J1024" i="2"/>
  <c r="J1023" i="2"/>
  <c r="J1022" i="2"/>
  <c r="J1021" i="2"/>
  <c r="J1020" i="2"/>
  <c r="J1019" i="2"/>
  <c r="J1018" i="2"/>
  <c r="J1017" i="2"/>
  <c r="J1016" i="2"/>
  <c r="J1015" i="2"/>
  <c r="J1014" i="2"/>
  <c r="J1013" i="2"/>
  <c r="J1012" i="2"/>
  <c r="J1011" i="2"/>
  <c r="J1010" i="2"/>
  <c r="J1009" i="2"/>
  <c r="J1008" i="2"/>
  <c r="J1007" i="2"/>
  <c r="J1006" i="2"/>
  <c r="J1005" i="2"/>
  <c r="J1004" i="2"/>
  <c r="J1003" i="2"/>
  <c r="J1002" i="2"/>
  <c r="J1001" i="2"/>
  <c r="J1000" i="2"/>
  <c r="J999" i="2"/>
  <c r="J998" i="2"/>
  <c r="J997" i="2"/>
  <c r="J996" i="2"/>
  <c r="J995" i="2"/>
  <c r="J994" i="2"/>
  <c r="J993" i="2"/>
  <c r="J992" i="2"/>
  <c r="J991" i="2"/>
  <c r="J990" i="2"/>
  <c r="J989" i="2"/>
  <c r="J988" i="2"/>
  <c r="J987" i="2"/>
  <c r="J986" i="2"/>
  <c r="J985" i="2"/>
  <c r="J984" i="2"/>
  <c r="J983" i="2"/>
  <c r="J982" i="2"/>
  <c r="J981" i="2"/>
  <c r="J980" i="2"/>
  <c r="J979" i="2"/>
  <c r="J978" i="2"/>
  <c r="J977" i="2"/>
  <c r="J976" i="2"/>
  <c r="J975" i="2"/>
  <c r="J974" i="2"/>
  <c r="J973" i="2"/>
  <c r="J972" i="2"/>
  <c r="J971" i="2"/>
  <c r="J970" i="2"/>
  <c r="J969" i="2"/>
  <c r="J968" i="2"/>
  <c r="J967" i="2"/>
  <c r="J966" i="2"/>
  <c r="J965" i="2"/>
  <c r="J964" i="2"/>
  <c r="J963" i="2"/>
  <c r="J962" i="2"/>
  <c r="J961" i="2"/>
  <c r="J960" i="2"/>
  <c r="J959" i="2"/>
  <c r="J958" i="2"/>
  <c r="J957" i="2"/>
  <c r="J956" i="2"/>
  <c r="J955" i="2"/>
  <c r="J954" i="2"/>
  <c r="J953" i="2"/>
  <c r="J952" i="2"/>
  <c r="J951" i="2"/>
  <c r="J950" i="2"/>
  <c r="J949" i="2"/>
  <c r="J948" i="2"/>
  <c r="J947" i="2"/>
  <c r="J946" i="2"/>
  <c r="J945" i="2"/>
  <c r="J944" i="2"/>
  <c r="J943" i="2"/>
  <c r="J942" i="2"/>
  <c r="J941" i="2"/>
  <c r="J940" i="2"/>
  <c r="J939" i="2"/>
  <c r="J938" i="2"/>
  <c r="J937" i="2"/>
  <c r="J936" i="2"/>
  <c r="J935" i="2"/>
  <c r="J934" i="2"/>
  <c r="J933" i="2"/>
  <c r="J932" i="2"/>
  <c r="J931" i="2"/>
  <c r="J930" i="2"/>
  <c r="J929" i="2"/>
  <c r="J928" i="2"/>
  <c r="J927" i="2"/>
  <c r="J926" i="2"/>
  <c r="J925" i="2"/>
  <c r="J924" i="2"/>
  <c r="J923" i="2"/>
  <c r="J922" i="2"/>
  <c r="J921" i="2"/>
  <c r="J920" i="2"/>
  <c r="J919" i="2"/>
  <c r="J918" i="2"/>
  <c r="J917" i="2"/>
  <c r="J916" i="2"/>
  <c r="J915" i="2"/>
  <c r="J914" i="2"/>
  <c r="J913" i="2"/>
  <c r="J912" i="2"/>
  <c r="J911" i="2"/>
  <c r="J910" i="2"/>
  <c r="J909" i="2"/>
  <c r="J908" i="2"/>
  <c r="J907" i="2"/>
  <c r="J906" i="2"/>
  <c r="J905" i="2"/>
  <c r="J904" i="2"/>
  <c r="J903" i="2"/>
  <c r="J902" i="2"/>
  <c r="J901" i="2"/>
  <c r="J900" i="2"/>
  <c r="J899" i="2"/>
  <c r="J898" i="2"/>
  <c r="J897" i="2"/>
  <c r="J896" i="2"/>
  <c r="J895" i="2"/>
  <c r="J894" i="2"/>
  <c r="J893" i="2"/>
  <c r="J892" i="2"/>
  <c r="J891" i="2"/>
  <c r="J890" i="2"/>
  <c r="J889" i="2"/>
  <c r="J888" i="2"/>
  <c r="J887" i="2"/>
  <c r="J886" i="2"/>
  <c r="J885" i="2"/>
  <c r="J884" i="2"/>
  <c r="J883" i="2"/>
  <c r="J882" i="2"/>
  <c r="J881" i="2"/>
  <c r="J880" i="2"/>
  <c r="J879" i="2"/>
  <c r="J878" i="2"/>
  <c r="J877" i="2"/>
  <c r="J876" i="2"/>
  <c r="J875" i="2"/>
  <c r="J874" i="2"/>
  <c r="J873" i="2"/>
  <c r="J872" i="2"/>
  <c r="J871" i="2"/>
  <c r="J870" i="2"/>
  <c r="J869" i="2"/>
  <c r="J868" i="2"/>
  <c r="J867" i="2"/>
  <c r="J866" i="2"/>
  <c r="J865" i="2"/>
  <c r="J864" i="2"/>
  <c r="J863" i="2"/>
  <c r="J862" i="2"/>
  <c r="J861" i="2"/>
  <c r="I1209" i="2"/>
  <c r="A1207" i="2"/>
  <c r="J1204" i="2"/>
  <c r="D1202" i="2"/>
  <c r="P1199" i="2"/>
  <c r="L1197" i="2"/>
  <c r="H1195" i="2"/>
  <c r="B1193" i="2"/>
  <c r="N1190" i="2"/>
  <c r="J1188" i="2"/>
  <c r="D1186" i="2"/>
  <c r="P1183" i="2"/>
  <c r="N1181" i="2"/>
  <c r="N1179" i="2"/>
  <c r="N1177" i="2"/>
  <c r="N1175" i="2"/>
  <c r="N1173" i="2"/>
  <c r="N1171" i="2"/>
  <c r="N1169" i="2"/>
  <c r="N1167" i="2"/>
  <c r="N1165" i="2"/>
  <c r="N1163" i="2"/>
  <c r="N1161" i="2"/>
  <c r="N1159" i="2"/>
  <c r="N1157" i="2"/>
  <c r="N1155" i="2"/>
  <c r="N1153" i="2"/>
  <c r="N1151" i="2"/>
  <c r="N1149" i="2"/>
  <c r="N1147" i="2"/>
  <c r="N1145" i="2"/>
  <c r="N1143" i="2"/>
  <c r="N1141" i="2"/>
  <c r="N1139" i="2"/>
  <c r="O1137" i="2"/>
  <c r="A1136" i="2"/>
  <c r="D1134" i="2"/>
  <c r="L1132" i="2"/>
  <c r="N1130" i="2"/>
  <c r="P1128" i="2"/>
  <c r="B1127" i="2"/>
  <c r="F1125" i="2"/>
  <c r="M1123" i="2"/>
  <c r="O1121" i="2"/>
  <c r="A1120" i="2"/>
  <c r="D1118" i="2"/>
  <c r="L1116" i="2"/>
  <c r="N1114" i="2"/>
  <c r="P1112" i="2"/>
  <c r="B1111" i="2"/>
  <c r="F1109" i="2"/>
  <c r="M1107" i="2"/>
  <c r="O1105" i="2"/>
  <c r="A1104" i="2"/>
  <c r="D1102" i="2"/>
  <c r="L1100" i="2"/>
  <c r="N1098" i="2"/>
  <c r="P1096" i="2"/>
  <c r="B1095" i="2"/>
  <c r="F1093" i="2"/>
  <c r="M1091" i="2"/>
  <c r="O1089" i="2"/>
  <c r="A1088" i="2"/>
  <c r="D1086" i="2"/>
  <c r="L1084" i="2"/>
  <c r="N1082" i="2"/>
  <c r="P1080" i="2"/>
  <c r="B1079" i="2"/>
  <c r="F1077" i="2"/>
  <c r="M1075" i="2"/>
  <c r="O1073" i="2"/>
  <c r="A1072" i="2"/>
  <c r="D1070" i="2"/>
  <c r="L1068" i="2"/>
  <c r="N1066" i="2"/>
  <c r="P1064" i="2"/>
  <c r="D1063" i="2"/>
  <c r="N1061" i="2"/>
  <c r="F1060" i="2"/>
  <c r="O1058" i="2"/>
  <c r="G1057" i="2"/>
  <c r="P1055" i="2"/>
  <c r="I1054" i="2"/>
  <c r="F1053" i="2"/>
  <c r="E1052" i="2"/>
  <c r="D1051" i="2"/>
  <c r="C1050" i="2"/>
  <c r="B1049" i="2"/>
  <c r="A1048" i="2"/>
  <c r="P1046" i="2"/>
  <c r="O1045" i="2"/>
  <c r="N1044" i="2"/>
  <c r="M1043" i="2"/>
  <c r="L1042" i="2"/>
  <c r="K1041" i="2"/>
  <c r="J1040" i="2"/>
  <c r="I1039" i="2"/>
  <c r="I1038" i="2"/>
  <c r="I1037" i="2"/>
  <c r="I1036" i="2"/>
  <c r="I1035" i="2"/>
  <c r="I1034" i="2"/>
  <c r="I1033" i="2"/>
  <c r="I1032" i="2"/>
  <c r="I1031" i="2"/>
  <c r="I1030" i="2"/>
  <c r="I1029" i="2"/>
  <c r="I1028" i="2"/>
  <c r="I1027" i="2"/>
  <c r="I1026" i="2"/>
  <c r="I1025" i="2"/>
  <c r="I1024" i="2"/>
  <c r="I1023" i="2"/>
  <c r="I1022" i="2"/>
  <c r="I1021" i="2"/>
  <c r="I1020" i="2"/>
  <c r="I1019" i="2"/>
  <c r="I1018" i="2"/>
  <c r="I1017" i="2"/>
  <c r="I1016" i="2"/>
  <c r="I1015" i="2"/>
  <c r="I1014" i="2"/>
  <c r="I1013" i="2"/>
  <c r="I1012" i="2"/>
  <c r="I1011" i="2"/>
  <c r="I1010" i="2"/>
  <c r="I1009" i="2"/>
  <c r="I1008" i="2"/>
  <c r="I1007" i="2"/>
  <c r="I1006" i="2"/>
  <c r="I1005" i="2"/>
  <c r="I1004" i="2"/>
  <c r="I1003" i="2"/>
  <c r="I1002" i="2"/>
  <c r="I1001" i="2"/>
  <c r="I1000" i="2"/>
  <c r="I999" i="2"/>
  <c r="I998" i="2"/>
  <c r="I997" i="2"/>
  <c r="I996" i="2"/>
  <c r="I995" i="2"/>
  <c r="I994" i="2"/>
  <c r="I993" i="2"/>
  <c r="I992" i="2"/>
  <c r="I991" i="2"/>
  <c r="I990" i="2"/>
  <c r="I989" i="2"/>
  <c r="I988" i="2"/>
  <c r="I987" i="2"/>
  <c r="I986" i="2"/>
  <c r="I985" i="2"/>
  <c r="I984" i="2"/>
  <c r="I983" i="2"/>
  <c r="I982" i="2"/>
  <c r="I981" i="2"/>
  <c r="I980" i="2"/>
  <c r="I979" i="2"/>
  <c r="I978" i="2"/>
  <c r="I977" i="2"/>
  <c r="I976" i="2"/>
  <c r="I975" i="2"/>
  <c r="I974" i="2"/>
  <c r="I973" i="2"/>
  <c r="I972" i="2"/>
  <c r="I971" i="2"/>
  <c r="I970" i="2"/>
  <c r="I969" i="2"/>
  <c r="I968" i="2"/>
  <c r="I967" i="2"/>
  <c r="I966" i="2"/>
  <c r="I965" i="2"/>
  <c r="I964" i="2"/>
  <c r="I963" i="2"/>
  <c r="I962" i="2"/>
  <c r="I961" i="2"/>
  <c r="I960" i="2"/>
  <c r="I959" i="2"/>
  <c r="I958" i="2"/>
  <c r="I957" i="2"/>
  <c r="I956" i="2"/>
  <c r="I955" i="2"/>
  <c r="I954" i="2"/>
  <c r="I953" i="2"/>
  <c r="I952" i="2"/>
  <c r="I951" i="2"/>
  <c r="I950" i="2"/>
  <c r="I949" i="2"/>
  <c r="I948" i="2"/>
  <c r="I947" i="2"/>
  <c r="I946" i="2"/>
  <c r="I945" i="2"/>
  <c r="I944" i="2"/>
  <c r="I943" i="2"/>
  <c r="I942" i="2"/>
  <c r="I941" i="2"/>
  <c r="I940" i="2"/>
  <c r="I939" i="2"/>
  <c r="I938" i="2"/>
  <c r="I937" i="2"/>
  <c r="I936" i="2"/>
  <c r="I935" i="2"/>
  <c r="I934" i="2"/>
  <c r="I933" i="2"/>
  <c r="I932" i="2"/>
  <c r="I931" i="2"/>
  <c r="I930" i="2"/>
  <c r="I929" i="2"/>
  <c r="I928" i="2"/>
  <c r="I927" i="2"/>
  <c r="I926" i="2"/>
  <c r="I925" i="2"/>
  <c r="I924" i="2"/>
  <c r="I923" i="2"/>
  <c r="I922" i="2"/>
  <c r="I921" i="2"/>
  <c r="I920" i="2"/>
  <c r="I919" i="2"/>
  <c r="I918" i="2"/>
  <c r="I917" i="2"/>
  <c r="I916" i="2"/>
  <c r="I915" i="2"/>
  <c r="I914" i="2"/>
  <c r="I913" i="2"/>
  <c r="I912" i="2"/>
  <c r="I911" i="2"/>
  <c r="I910" i="2"/>
  <c r="I909" i="2"/>
  <c r="I908" i="2"/>
  <c r="I907" i="2"/>
  <c r="I906" i="2"/>
  <c r="I905" i="2"/>
  <c r="I904" i="2"/>
  <c r="I903" i="2"/>
  <c r="I902" i="2"/>
  <c r="I901" i="2"/>
  <c r="I900" i="2"/>
  <c r="I899" i="2"/>
  <c r="I898" i="2"/>
  <c r="I897" i="2"/>
  <c r="I896" i="2"/>
  <c r="I895" i="2"/>
  <c r="I894" i="2"/>
  <c r="I893" i="2"/>
  <c r="I892" i="2"/>
  <c r="I891" i="2"/>
  <c r="I890" i="2"/>
  <c r="I889" i="2"/>
  <c r="I888" i="2"/>
  <c r="I887" i="2"/>
  <c r="I886" i="2"/>
  <c r="I885" i="2"/>
  <c r="I884" i="2"/>
  <c r="I883" i="2"/>
  <c r="I882" i="2"/>
  <c r="I881" i="2"/>
  <c r="I880" i="2"/>
  <c r="I879" i="2"/>
  <c r="I878" i="2"/>
  <c r="I877" i="2"/>
  <c r="I876" i="2"/>
  <c r="I875" i="2"/>
  <c r="I874" i="2"/>
  <c r="H1209" i="2"/>
  <c r="O1206" i="2"/>
  <c r="I1204" i="2"/>
  <c r="C1202" i="2"/>
  <c r="O1199" i="2"/>
  <c r="K1197" i="2"/>
  <c r="G1195" i="2"/>
  <c r="A1193" i="2"/>
  <c r="M1190" i="2"/>
  <c r="I1188" i="2"/>
  <c r="C1186" i="2"/>
  <c r="O1183" i="2"/>
  <c r="M1181" i="2"/>
  <c r="M1179" i="2"/>
  <c r="M1177" i="2"/>
  <c r="M1175" i="2"/>
  <c r="M1173" i="2"/>
  <c r="M1171" i="2"/>
  <c r="M1169" i="2"/>
  <c r="M1167" i="2"/>
  <c r="M1165" i="2"/>
  <c r="M1163" i="2"/>
  <c r="M1161" i="2"/>
  <c r="M1159" i="2"/>
  <c r="M1157" i="2"/>
  <c r="M1155" i="2"/>
  <c r="M1153" i="2"/>
  <c r="M1151" i="2"/>
  <c r="M1149" i="2"/>
  <c r="M1147" i="2"/>
  <c r="M1145" i="2"/>
  <c r="M1143" i="2"/>
  <c r="M1141" i="2"/>
  <c r="M1139" i="2"/>
  <c r="N1137" i="2"/>
  <c r="P1135" i="2"/>
  <c r="B1134" i="2"/>
  <c r="F1132" i="2"/>
  <c r="M1130" i="2"/>
  <c r="O1128" i="2"/>
  <c r="A1127" i="2"/>
  <c r="D1125" i="2"/>
  <c r="L1123" i="2"/>
  <c r="N1121" i="2"/>
  <c r="P1119" i="2"/>
  <c r="B1118" i="2"/>
  <c r="F1116" i="2"/>
  <c r="M1114" i="2"/>
  <c r="O1112" i="2"/>
  <c r="A1111" i="2"/>
  <c r="D1109" i="2"/>
  <c r="L1107" i="2"/>
  <c r="N1105" i="2"/>
  <c r="P1103" i="2"/>
  <c r="B1102" i="2"/>
  <c r="F1100" i="2"/>
  <c r="M1098" i="2"/>
  <c r="O1096" i="2"/>
  <c r="A1095" i="2"/>
  <c r="D1093" i="2"/>
  <c r="L1091" i="2"/>
  <c r="N1089" i="2"/>
  <c r="P1087" i="2"/>
  <c r="B1086" i="2"/>
  <c r="F1084" i="2"/>
  <c r="M1082" i="2"/>
  <c r="O1080" i="2"/>
  <c r="A1079" i="2"/>
  <c r="D1077" i="2"/>
  <c r="L1075" i="2"/>
  <c r="N1073" i="2"/>
  <c r="P1071" i="2"/>
  <c r="B1070" i="2"/>
  <c r="F1068" i="2"/>
  <c r="M1066" i="2"/>
  <c r="O1064" i="2"/>
  <c r="B1063" i="2"/>
  <c r="M1061" i="2"/>
  <c r="D1060" i="2"/>
  <c r="N1058" i="2"/>
  <c r="F1057" i="2"/>
  <c r="O1055" i="2"/>
  <c r="G1054" i="2"/>
  <c r="E1053" i="2"/>
  <c r="D1052" i="2"/>
  <c r="C1051" i="2"/>
  <c r="B1050" i="2"/>
  <c r="A1049" i="2"/>
  <c r="P1047" i="2"/>
  <c r="O1046" i="2"/>
  <c r="N1045" i="2"/>
  <c r="M1044" i="2"/>
  <c r="L1043" i="2"/>
  <c r="K1042" i="2"/>
  <c r="J1041" i="2"/>
  <c r="I1040" i="2"/>
  <c r="H1039" i="2"/>
  <c r="H1038" i="2"/>
  <c r="H1037" i="2"/>
  <c r="H1036" i="2"/>
  <c r="H1035" i="2"/>
  <c r="H1034" i="2"/>
  <c r="H1033" i="2"/>
  <c r="H1032" i="2"/>
  <c r="H1031" i="2"/>
  <c r="H1030" i="2"/>
  <c r="H1029" i="2"/>
  <c r="H1028" i="2"/>
  <c r="H1027" i="2"/>
  <c r="H1026" i="2"/>
  <c r="H1025" i="2"/>
  <c r="H1024" i="2"/>
  <c r="H1023" i="2"/>
  <c r="H1022" i="2"/>
  <c r="H1021" i="2"/>
  <c r="H1020" i="2"/>
  <c r="H1019" i="2"/>
  <c r="H1018" i="2"/>
  <c r="H1017" i="2"/>
  <c r="H1016" i="2"/>
  <c r="H1015" i="2"/>
  <c r="H1014" i="2"/>
  <c r="H1013" i="2"/>
  <c r="H1012" i="2"/>
  <c r="H1011" i="2"/>
  <c r="H1010" i="2"/>
  <c r="H1009" i="2"/>
  <c r="H1008" i="2"/>
  <c r="H1007" i="2"/>
  <c r="H1006" i="2"/>
  <c r="H1005" i="2"/>
  <c r="H1004" i="2"/>
  <c r="H1003" i="2"/>
  <c r="H1002" i="2"/>
  <c r="H1001" i="2"/>
  <c r="H1000" i="2"/>
  <c r="H999" i="2"/>
  <c r="H998" i="2"/>
  <c r="H997" i="2"/>
  <c r="H996" i="2"/>
  <c r="H995" i="2"/>
  <c r="H994" i="2"/>
  <c r="H993" i="2"/>
  <c r="H992" i="2"/>
  <c r="H991" i="2"/>
  <c r="H990" i="2"/>
  <c r="H989" i="2"/>
  <c r="H988" i="2"/>
  <c r="H987" i="2"/>
  <c r="H986" i="2"/>
  <c r="H985" i="2"/>
  <c r="H984" i="2"/>
  <c r="H983" i="2"/>
  <c r="H982" i="2"/>
  <c r="H981" i="2"/>
  <c r="H980" i="2"/>
  <c r="H979" i="2"/>
  <c r="H978" i="2"/>
  <c r="H977" i="2"/>
  <c r="H976" i="2"/>
  <c r="H975" i="2"/>
  <c r="H974" i="2"/>
  <c r="H973" i="2"/>
  <c r="H972" i="2"/>
  <c r="H971" i="2"/>
  <c r="H970" i="2"/>
  <c r="H969" i="2"/>
  <c r="H968" i="2"/>
  <c r="H967" i="2"/>
  <c r="H966" i="2"/>
  <c r="H965" i="2"/>
  <c r="H964" i="2"/>
  <c r="H963" i="2"/>
  <c r="H962" i="2"/>
  <c r="H961" i="2"/>
  <c r="H960" i="2"/>
  <c r="H959" i="2"/>
  <c r="H958" i="2"/>
  <c r="H957" i="2"/>
  <c r="H956" i="2"/>
  <c r="H955" i="2"/>
  <c r="H954" i="2"/>
  <c r="H953" i="2"/>
  <c r="H952" i="2"/>
  <c r="H951" i="2"/>
  <c r="H950" i="2"/>
  <c r="H949" i="2"/>
  <c r="H948" i="2"/>
  <c r="H947" i="2"/>
  <c r="H946" i="2"/>
  <c r="H945" i="2"/>
  <c r="H944" i="2"/>
  <c r="H943" i="2"/>
  <c r="H942" i="2"/>
  <c r="H941" i="2"/>
  <c r="H940" i="2"/>
  <c r="H939" i="2"/>
  <c r="H938" i="2"/>
  <c r="H937" i="2"/>
  <c r="H936" i="2"/>
  <c r="H935" i="2"/>
  <c r="H934" i="2"/>
  <c r="H933" i="2"/>
  <c r="H932" i="2"/>
  <c r="H931" i="2"/>
  <c r="H930" i="2"/>
  <c r="H929" i="2"/>
  <c r="H928" i="2"/>
  <c r="I1211" i="2"/>
  <c r="N1208" i="2"/>
  <c r="H1206" i="2"/>
  <c r="P1203" i="2"/>
  <c r="L1201" i="2"/>
  <c r="H1199" i="2"/>
  <c r="B1197" i="2"/>
  <c r="N1194" i="2"/>
  <c r="J1192" i="2"/>
  <c r="D1190" i="2"/>
  <c r="P1187" i="2"/>
  <c r="L1185" i="2"/>
  <c r="H1183" i="2"/>
  <c r="F1181" i="2"/>
  <c r="F1179" i="2"/>
  <c r="F1177" i="2"/>
  <c r="F1175" i="2"/>
  <c r="F1173" i="2"/>
  <c r="F1171" i="2"/>
  <c r="F1169" i="2"/>
  <c r="F1167" i="2"/>
  <c r="F1165" i="2"/>
  <c r="F1163" i="2"/>
  <c r="F1161" i="2"/>
  <c r="F1159" i="2"/>
  <c r="F1157" i="2"/>
  <c r="F1155" i="2"/>
  <c r="F1153" i="2"/>
  <c r="F1151" i="2"/>
  <c r="F1149" i="2"/>
  <c r="F1147" i="2"/>
  <c r="F1145" i="2"/>
  <c r="F1143" i="2"/>
  <c r="F1141" i="2"/>
  <c r="F1139" i="2"/>
  <c r="L1137" i="2"/>
  <c r="N1135" i="2"/>
  <c r="P1133" i="2"/>
  <c r="B1132" i="2"/>
  <c r="F1130" i="2"/>
  <c r="M1128" i="2"/>
  <c r="O1126" i="2"/>
  <c r="A1125" i="2"/>
  <c r="D1123" i="2"/>
  <c r="L1121" i="2"/>
  <c r="N1119" i="2"/>
  <c r="P1117" i="2"/>
  <c r="B1116" i="2"/>
  <c r="F1114" i="2"/>
  <c r="M1112" i="2"/>
  <c r="O1110" i="2"/>
  <c r="A1109" i="2"/>
  <c r="D1107" i="2"/>
  <c r="L1105" i="2"/>
  <c r="N1103" i="2"/>
  <c r="P1101" i="2"/>
  <c r="B1100" i="2"/>
  <c r="F1098" i="2"/>
  <c r="M1096" i="2"/>
  <c r="O1094" i="2"/>
  <c r="A1093" i="2"/>
  <c r="D1091" i="2"/>
  <c r="L1089" i="2"/>
  <c r="N1087" i="2"/>
  <c r="P1085" i="2"/>
  <c r="B1084" i="2"/>
  <c r="F1082" i="2"/>
  <c r="M1080" i="2"/>
  <c r="O1078" i="2"/>
  <c r="A1077" i="2"/>
  <c r="D1075" i="2"/>
  <c r="L1073" i="2"/>
  <c r="N1071" i="2"/>
  <c r="P1069" i="2"/>
  <c r="B1068" i="2"/>
  <c r="F1066" i="2"/>
  <c r="M1064" i="2"/>
  <c r="P1062" i="2"/>
  <c r="I1061" i="2"/>
  <c r="A1060" i="2"/>
  <c r="L1058" i="2"/>
  <c r="B1057" i="2"/>
  <c r="M1055" i="2"/>
  <c r="D1054" i="2"/>
  <c r="C1053" i="2"/>
  <c r="B1052" i="2"/>
  <c r="A1051" i="2"/>
  <c r="P1049" i="2"/>
  <c r="O1048" i="2"/>
  <c r="N1047" i="2"/>
  <c r="M1046" i="2"/>
  <c r="L1045" i="2"/>
  <c r="K1044" i="2"/>
  <c r="J1043" i="2"/>
  <c r="I1042" i="2"/>
  <c r="G1041" i="2"/>
  <c r="F1040" i="2"/>
  <c r="F1039" i="2"/>
  <c r="F1038" i="2"/>
  <c r="F1037" i="2"/>
  <c r="F1036" i="2"/>
  <c r="F1035" i="2"/>
  <c r="F1034" i="2"/>
  <c r="F1033" i="2"/>
  <c r="F1032" i="2"/>
  <c r="F1031" i="2"/>
  <c r="F1030" i="2"/>
  <c r="F1029" i="2"/>
  <c r="F1028" i="2"/>
  <c r="F1027" i="2"/>
  <c r="F1026" i="2"/>
  <c r="F1025" i="2"/>
  <c r="F1024" i="2"/>
  <c r="F1023" i="2"/>
  <c r="F1022" i="2"/>
  <c r="F1021" i="2"/>
  <c r="F1020" i="2"/>
  <c r="F1019" i="2"/>
  <c r="F1018" i="2"/>
  <c r="F1017" i="2"/>
  <c r="F1016" i="2"/>
  <c r="F1015" i="2"/>
  <c r="F1014" i="2"/>
  <c r="F1013" i="2"/>
  <c r="F1012" i="2"/>
  <c r="F1011" i="2"/>
  <c r="F1010" i="2"/>
  <c r="F1009" i="2"/>
  <c r="F1008" i="2"/>
  <c r="F1007" i="2"/>
  <c r="F1006" i="2"/>
  <c r="F1005" i="2"/>
  <c r="F1004" i="2"/>
  <c r="F1003" i="2"/>
  <c r="F1002" i="2"/>
  <c r="F1001" i="2"/>
  <c r="F1000" i="2"/>
  <c r="F999" i="2"/>
  <c r="F998" i="2"/>
  <c r="F997" i="2"/>
  <c r="F996" i="2"/>
  <c r="F995" i="2"/>
  <c r="F994" i="2"/>
  <c r="F993" i="2"/>
  <c r="F992" i="2"/>
  <c r="F991" i="2"/>
  <c r="F990" i="2"/>
  <c r="F989" i="2"/>
  <c r="F988" i="2"/>
  <c r="F987" i="2"/>
  <c r="F986" i="2"/>
  <c r="F985" i="2"/>
  <c r="F984" i="2"/>
  <c r="F983" i="2"/>
  <c r="F982" i="2"/>
  <c r="F981" i="2"/>
  <c r="F980" i="2"/>
  <c r="F979" i="2"/>
  <c r="F978" i="2"/>
  <c r="F977" i="2"/>
  <c r="F976" i="2"/>
  <c r="F975" i="2"/>
  <c r="F974" i="2"/>
  <c r="F973" i="2"/>
  <c r="F972" i="2"/>
  <c r="F971" i="2"/>
  <c r="F970" i="2"/>
  <c r="F969" i="2"/>
  <c r="F968" i="2"/>
  <c r="F967" i="2"/>
  <c r="F966" i="2"/>
  <c r="F965" i="2"/>
  <c r="F964" i="2"/>
  <c r="F963" i="2"/>
  <c r="F962" i="2"/>
  <c r="F961" i="2"/>
  <c r="F960" i="2"/>
  <c r="F959" i="2"/>
  <c r="F958" i="2"/>
  <c r="F957" i="2"/>
  <c r="F956" i="2"/>
  <c r="F955" i="2"/>
  <c r="F954" i="2"/>
  <c r="F953" i="2"/>
  <c r="F952" i="2"/>
  <c r="F951" i="2"/>
  <c r="F950" i="2"/>
  <c r="F949" i="2"/>
  <c r="F948" i="2"/>
  <c r="F947" i="2"/>
  <c r="F946" i="2"/>
  <c r="F945" i="2"/>
  <c r="F944" i="2"/>
  <c r="F943" i="2"/>
  <c r="F942" i="2"/>
  <c r="F941" i="2"/>
  <c r="F940" i="2"/>
  <c r="F939" i="2"/>
  <c r="F938" i="2"/>
  <c r="F937" i="2"/>
  <c r="F936" i="2"/>
  <c r="F935" i="2"/>
  <c r="F934" i="2"/>
  <c r="F933" i="2"/>
  <c r="F932" i="2"/>
  <c r="F931" i="2"/>
  <c r="F930" i="2"/>
  <c r="F929" i="2"/>
  <c r="F928" i="2"/>
  <c r="F927" i="2"/>
  <c r="F926" i="2"/>
  <c r="F925" i="2"/>
  <c r="F924" i="2"/>
  <c r="F923" i="2"/>
  <c r="F922" i="2"/>
  <c r="F921" i="2"/>
  <c r="F920" i="2"/>
  <c r="F919" i="2"/>
  <c r="F918" i="2"/>
  <c r="F917" i="2"/>
  <c r="F916" i="2"/>
  <c r="F915" i="2"/>
  <c r="F914" i="2"/>
  <c r="F913" i="2"/>
  <c r="F912" i="2"/>
  <c r="F911" i="2"/>
  <c r="F910" i="2"/>
  <c r="F909" i="2"/>
  <c r="F908" i="2"/>
  <c r="F907" i="2"/>
  <c r="F906" i="2"/>
  <c r="F905" i="2"/>
  <c r="F904" i="2"/>
  <c r="F903" i="2"/>
  <c r="A1211" i="2"/>
  <c r="I1208" i="2"/>
  <c r="A1206" i="2"/>
  <c r="K1203" i="2"/>
  <c r="G1201" i="2"/>
  <c r="A1199" i="2"/>
  <c r="M1196" i="2"/>
  <c r="I1194" i="2"/>
  <c r="C1192" i="2"/>
  <c r="O1189" i="2"/>
  <c r="K1187" i="2"/>
  <c r="G1185" i="2"/>
  <c r="A1183" i="2"/>
  <c r="A1181" i="2"/>
  <c r="A1179" i="2"/>
  <c r="A1177" i="2"/>
  <c r="A1175" i="2"/>
  <c r="A1173" i="2"/>
  <c r="A1171" i="2"/>
  <c r="A1169" i="2"/>
  <c r="A1167" i="2"/>
  <c r="A1165" i="2"/>
  <c r="A1163" i="2"/>
  <c r="A1161" i="2"/>
  <c r="A1159" i="2"/>
  <c r="A1157" i="2"/>
  <c r="A1155" i="2"/>
  <c r="A1153" i="2"/>
  <c r="A1151" i="2"/>
  <c r="A1149" i="2"/>
  <c r="A1147" i="2"/>
  <c r="A1145" i="2"/>
  <c r="A1143" i="2"/>
  <c r="A1141" i="2"/>
  <c r="A1139" i="2"/>
  <c r="D1137" i="2"/>
  <c r="L1135" i="2"/>
  <c r="N1133" i="2"/>
  <c r="P1131" i="2"/>
  <c r="B1130" i="2"/>
  <c r="F1128" i="2"/>
  <c r="M1126" i="2"/>
  <c r="O1124" i="2"/>
  <c r="A1123" i="2"/>
  <c r="D1121" i="2"/>
  <c r="L1119" i="2"/>
  <c r="N1117" i="2"/>
  <c r="P1115" i="2"/>
  <c r="B1114" i="2"/>
  <c r="F1112" i="2"/>
  <c r="M1110" i="2"/>
  <c r="O1108" i="2"/>
  <c r="A1107" i="2"/>
  <c r="D1105" i="2"/>
  <c r="L1103" i="2"/>
  <c r="N1101" i="2"/>
  <c r="P1099" i="2"/>
  <c r="B1098" i="2"/>
  <c r="F1096" i="2"/>
  <c r="M1094" i="2"/>
  <c r="O1092" i="2"/>
  <c r="A1091" i="2"/>
  <c r="D1089" i="2"/>
  <c r="L1087" i="2"/>
  <c r="N1085" i="2"/>
  <c r="P1083" i="2"/>
  <c r="B1082" i="2"/>
  <c r="F1080" i="2"/>
  <c r="M1078" i="2"/>
  <c r="O1076" i="2"/>
  <c r="A1075" i="2"/>
  <c r="D1073" i="2"/>
  <c r="L1071" i="2"/>
  <c r="N1069" i="2"/>
  <c r="P1067" i="2"/>
  <c r="B1066" i="2"/>
  <c r="F1064" i="2"/>
  <c r="N1062" i="2"/>
  <c r="F1061" i="2"/>
  <c r="O1059" i="2"/>
  <c r="G1058" i="2"/>
  <c r="P1056" i="2"/>
  <c r="I1055" i="2"/>
  <c r="B1054" i="2"/>
  <c r="A1053" i="2"/>
  <c r="P1051" i="2"/>
  <c r="O1050" i="2"/>
  <c r="N1049" i="2"/>
  <c r="M1048" i="2"/>
  <c r="L1047" i="2"/>
  <c r="K1046" i="2"/>
  <c r="J1045" i="2"/>
  <c r="I1044" i="2"/>
  <c r="G1043" i="2"/>
  <c r="F1042" i="2"/>
  <c r="E1041" i="2"/>
  <c r="D1040" i="2"/>
  <c r="D1039" i="2"/>
  <c r="D1038" i="2"/>
  <c r="D1037" i="2"/>
  <c r="D1036" i="2"/>
  <c r="D1035" i="2"/>
  <c r="D1034" i="2"/>
  <c r="D1033" i="2"/>
  <c r="D1032" i="2"/>
  <c r="D1031" i="2"/>
  <c r="D1030" i="2"/>
  <c r="D1029" i="2"/>
  <c r="D1028" i="2"/>
  <c r="D1027" i="2"/>
  <c r="D1026" i="2"/>
  <c r="D1025" i="2"/>
  <c r="D1024" i="2"/>
  <c r="D1023" i="2"/>
  <c r="D1022" i="2"/>
  <c r="D1021" i="2"/>
  <c r="D1020" i="2"/>
  <c r="D1019" i="2"/>
  <c r="D1018" i="2"/>
  <c r="D1017" i="2"/>
  <c r="D1016" i="2"/>
  <c r="D1015" i="2"/>
  <c r="D1014" i="2"/>
  <c r="D1013" i="2"/>
  <c r="D1012" i="2"/>
  <c r="D1011" i="2"/>
  <c r="D1010" i="2"/>
  <c r="D1009" i="2"/>
  <c r="D1008" i="2"/>
  <c r="D1007" i="2"/>
  <c r="D1006" i="2"/>
  <c r="D1005" i="2"/>
  <c r="D1004" i="2"/>
  <c r="D1003" i="2"/>
  <c r="D1002" i="2"/>
  <c r="D1001" i="2"/>
  <c r="D1000" i="2"/>
  <c r="D999" i="2"/>
  <c r="D998" i="2"/>
  <c r="D997" i="2"/>
  <c r="D996" i="2"/>
  <c r="D995" i="2"/>
  <c r="D994" i="2"/>
  <c r="D993" i="2"/>
  <c r="D992" i="2"/>
  <c r="D991" i="2"/>
  <c r="D990" i="2"/>
  <c r="D989" i="2"/>
  <c r="D988" i="2"/>
  <c r="D987" i="2"/>
  <c r="D986" i="2"/>
  <c r="D985" i="2"/>
  <c r="D984" i="2"/>
  <c r="D983" i="2"/>
  <c r="D982" i="2"/>
  <c r="D981" i="2"/>
  <c r="D980" i="2"/>
  <c r="D979" i="2"/>
  <c r="D978" i="2"/>
  <c r="D977" i="2"/>
  <c r="D976" i="2"/>
  <c r="D975" i="2"/>
  <c r="D974" i="2"/>
  <c r="D973" i="2"/>
  <c r="D972" i="2"/>
  <c r="D971" i="2"/>
  <c r="D970" i="2"/>
  <c r="D969" i="2"/>
  <c r="D968" i="2"/>
  <c r="D967" i="2"/>
  <c r="D966" i="2"/>
  <c r="D965" i="2"/>
  <c r="D964" i="2"/>
  <c r="D963" i="2"/>
  <c r="D962" i="2"/>
  <c r="D961" i="2"/>
  <c r="D960" i="2"/>
  <c r="D959" i="2"/>
  <c r="D958" i="2"/>
  <c r="D957" i="2"/>
  <c r="D956" i="2"/>
  <c r="D955" i="2"/>
  <c r="D954" i="2"/>
  <c r="D953" i="2"/>
  <c r="D952" i="2"/>
  <c r="D951" i="2"/>
  <c r="D950" i="2"/>
  <c r="D949" i="2"/>
  <c r="D948" i="2"/>
  <c r="D947" i="2"/>
  <c r="D946" i="2"/>
  <c r="D945" i="2"/>
  <c r="D944" i="2"/>
  <c r="D943" i="2"/>
  <c r="D942" i="2"/>
  <c r="D941" i="2"/>
  <c r="D940" i="2"/>
  <c r="D939" i="2"/>
  <c r="D938" i="2"/>
  <c r="D937" i="2"/>
  <c r="D936" i="2"/>
  <c r="D935" i="2"/>
  <c r="D934" i="2"/>
  <c r="D933" i="2"/>
  <c r="D932" i="2"/>
  <c r="D931" i="2"/>
  <c r="D930" i="2"/>
  <c r="D929" i="2"/>
  <c r="D928" i="2"/>
  <c r="D927" i="2"/>
  <c r="D926" i="2"/>
  <c r="D925" i="2"/>
  <c r="D924" i="2"/>
  <c r="D923" i="2"/>
  <c r="D922" i="2"/>
  <c r="D921" i="2"/>
  <c r="D920" i="2"/>
  <c r="D919" i="2"/>
  <c r="D918" i="2"/>
  <c r="D917" i="2"/>
  <c r="D916" i="2"/>
  <c r="D915" i="2"/>
  <c r="D914" i="2"/>
  <c r="D913" i="2"/>
  <c r="D912" i="2"/>
  <c r="D911" i="2"/>
  <c r="D910" i="2"/>
  <c r="D909" i="2"/>
  <c r="D908" i="2"/>
  <c r="D907" i="2"/>
  <c r="D906" i="2"/>
  <c r="D905" i="2"/>
  <c r="D904" i="2"/>
  <c r="D903" i="2"/>
  <c r="D902" i="2"/>
  <c r="D901" i="2"/>
  <c r="D900" i="2"/>
  <c r="D899" i="2"/>
  <c r="D898" i="2"/>
  <c r="D897" i="2"/>
  <c r="D896" i="2"/>
  <c r="D895" i="2"/>
  <c r="D894" i="2"/>
  <c r="D893" i="2"/>
  <c r="D892" i="2"/>
  <c r="D891" i="2"/>
  <c r="D890" i="2"/>
  <c r="D889" i="2"/>
  <c r="D888" i="2"/>
  <c r="D887" i="2"/>
  <c r="D886" i="2"/>
  <c r="O1210" i="2"/>
  <c r="H1208" i="2"/>
  <c r="O1205" i="2"/>
  <c r="J1203" i="2"/>
  <c r="D1201" i="2"/>
  <c r="P1198" i="2"/>
  <c r="L1196" i="2"/>
  <c r="H1194" i="2"/>
  <c r="B1192" i="2"/>
  <c r="N1189" i="2"/>
  <c r="J1187" i="2"/>
  <c r="D1185" i="2"/>
  <c r="P1182" i="2"/>
  <c r="P1180" i="2"/>
  <c r="P1178" i="2"/>
  <c r="P1176" i="2"/>
  <c r="P1174" i="2"/>
  <c r="P1172" i="2"/>
  <c r="P1170" i="2"/>
  <c r="P1168" i="2"/>
  <c r="P1166" i="2"/>
  <c r="P1164" i="2"/>
  <c r="P1162" i="2"/>
  <c r="P1160" i="2"/>
  <c r="P1158" i="2"/>
  <c r="P1156" i="2"/>
  <c r="P1154" i="2"/>
  <c r="P1152" i="2"/>
  <c r="P1150" i="2"/>
  <c r="P1148" i="2"/>
  <c r="P1146" i="2"/>
  <c r="P1144" i="2"/>
  <c r="P1142" i="2"/>
  <c r="P1140" i="2"/>
  <c r="P1138" i="2"/>
  <c r="B1137" i="2"/>
  <c r="F1135" i="2"/>
  <c r="M1133" i="2"/>
  <c r="O1131" i="2"/>
  <c r="A1130" i="2"/>
  <c r="D1128" i="2"/>
  <c r="L1126" i="2"/>
  <c r="N1124" i="2"/>
  <c r="P1122" i="2"/>
  <c r="B1121" i="2"/>
  <c r="F1119" i="2"/>
  <c r="M1117" i="2"/>
  <c r="O1115" i="2"/>
  <c r="A1114" i="2"/>
  <c r="D1112" i="2"/>
  <c r="L1110" i="2"/>
  <c r="N1108" i="2"/>
  <c r="P1106" i="2"/>
  <c r="B1105" i="2"/>
  <c r="F1103" i="2"/>
  <c r="M1101" i="2"/>
  <c r="O1099" i="2"/>
  <c r="A1098" i="2"/>
  <c r="D1096" i="2"/>
  <c r="L1094" i="2"/>
  <c r="N1092" i="2"/>
  <c r="P1090" i="2"/>
  <c r="B1089" i="2"/>
  <c r="F1087" i="2"/>
  <c r="M1085" i="2"/>
  <c r="O1083" i="2"/>
  <c r="A1082" i="2"/>
  <c r="D1080" i="2"/>
  <c r="L1078" i="2"/>
  <c r="N1076" i="2"/>
  <c r="P1074" i="2"/>
  <c r="B1073" i="2"/>
  <c r="F1071" i="2"/>
  <c r="M1069" i="2"/>
  <c r="O1067" i="2"/>
  <c r="A1066" i="2"/>
  <c r="D1064" i="2"/>
  <c r="M1062" i="2"/>
  <c r="D1061" i="2"/>
  <c r="N1059" i="2"/>
  <c r="F1058" i="2"/>
  <c r="O1056" i="2"/>
  <c r="G1055" i="2"/>
  <c r="A1054" i="2"/>
  <c r="P1052" i="2"/>
  <c r="O1051" i="2"/>
  <c r="N1050" i="2"/>
  <c r="M1049" i="2"/>
  <c r="L1048" i="2"/>
  <c r="K1047" i="2"/>
  <c r="J1046" i="2"/>
  <c r="I1045" i="2"/>
  <c r="G1044" i="2"/>
  <c r="F1043" i="2"/>
  <c r="E1042" i="2"/>
  <c r="D1041" i="2"/>
  <c r="C1040" i="2"/>
  <c r="C1039" i="2"/>
  <c r="C1038" i="2"/>
  <c r="C1037" i="2"/>
  <c r="C1036" i="2"/>
  <c r="C1035" i="2"/>
  <c r="C1034" i="2"/>
  <c r="C1033" i="2"/>
  <c r="C1032" i="2"/>
  <c r="C1031" i="2"/>
  <c r="C1030" i="2"/>
  <c r="C1029" i="2"/>
  <c r="C1028" i="2"/>
  <c r="C1027" i="2"/>
  <c r="C1026" i="2"/>
  <c r="C1025" i="2"/>
  <c r="C1024" i="2"/>
  <c r="C1023" i="2"/>
  <c r="C1022" i="2"/>
  <c r="C1021" i="2"/>
  <c r="C1020" i="2"/>
  <c r="C1019" i="2"/>
  <c r="C1018" i="2"/>
  <c r="C1017" i="2"/>
  <c r="C1016" i="2"/>
  <c r="C1015" i="2"/>
  <c r="C1014" i="2"/>
  <c r="C1013" i="2"/>
  <c r="C1012" i="2"/>
  <c r="C1011" i="2"/>
  <c r="C1010" i="2"/>
  <c r="C1009" i="2"/>
  <c r="C1008" i="2"/>
  <c r="C1007" i="2"/>
  <c r="C1006" i="2"/>
  <c r="C1005" i="2"/>
  <c r="C1004" i="2"/>
  <c r="C1003" i="2"/>
  <c r="C1002" i="2"/>
  <c r="C1001" i="2"/>
  <c r="C1000" i="2"/>
  <c r="C999" i="2"/>
  <c r="C998" i="2"/>
  <c r="C997" i="2"/>
  <c r="C996" i="2"/>
  <c r="C995" i="2"/>
  <c r="C994" i="2"/>
  <c r="C993" i="2"/>
  <c r="C992" i="2"/>
  <c r="C991" i="2"/>
  <c r="C990" i="2"/>
  <c r="C989" i="2"/>
  <c r="C988" i="2"/>
  <c r="C987" i="2"/>
  <c r="C986" i="2"/>
  <c r="C985" i="2"/>
  <c r="C984" i="2"/>
  <c r="C983" i="2"/>
  <c r="C982" i="2"/>
  <c r="C981" i="2"/>
  <c r="C980" i="2"/>
  <c r="C979" i="2"/>
  <c r="C978" i="2"/>
  <c r="C977" i="2"/>
  <c r="C976" i="2"/>
  <c r="C975" i="2"/>
  <c r="C974" i="2"/>
  <c r="C973" i="2"/>
  <c r="C972" i="2"/>
  <c r="C971" i="2"/>
  <c r="C970" i="2"/>
  <c r="C969" i="2"/>
  <c r="C968" i="2"/>
  <c r="C967" i="2"/>
  <c r="C966" i="2"/>
  <c r="C965" i="2"/>
  <c r="C964" i="2"/>
  <c r="C963" i="2"/>
  <c r="C962" i="2"/>
  <c r="C961" i="2"/>
  <c r="C960" i="2"/>
  <c r="C959" i="2"/>
  <c r="C958" i="2"/>
  <c r="C957" i="2"/>
  <c r="C956" i="2"/>
  <c r="C955" i="2"/>
  <c r="C954" i="2"/>
  <c r="C953" i="2"/>
  <c r="C952" i="2"/>
  <c r="C951" i="2"/>
  <c r="C950" i="2"/>
  <c r="C949" i="2"/>
  <c r="C948" i="2"/>
  <c r="C947" i="2"/>
  <c r="C946" i="2"/>
  <c r="C945" i="2"/>
  <c r="C944" i="2"/>
  <c r="C943" i="2"/>
  <c r="C942" i="2"/>
  <c r="C941" i="2"/>
  <c r="C940" i="2"/>
  <c r="C939" i="2"/>
  <c r="C938" i="2"/>
  <c r="C937" i="2"/>
  <c r="C936" i="2"/>
  <c r="C935" i="2"/>
  <c r="C934" i="2"/>
  <c r="C933" i="2"/>
  <c r="C932" i="2"/>
  <c r="C931" i="2"/>
  <c r="C930" i="2"/>
  <c r="C929" i="2"/>
  <c r="C928" i="2"/>
  <c r="C927" i="2"/>
  <c r="C926" i="2"/>
  <c r="C925" i="2"/>
  <c r="C924" i="2"/>
  <c r="C923" i="2"/>
  <c r="C922" i="2"/>
  <c r="C921" i="2"/>
  <c r="C920" i="2"/>
  <c r="C919" i="2"/>
  <c r="C918" i="2"/>
  <c r="C917" i="2"/>
  <c r="C916" i="2"/>
  <c r="C915" i="2"/>
  <c r="C914" i="2"/>
  <c r="C913" i="2"/>
  <c r="C912" i="2"/>
  <c r="C911" i="2"/>
  <c r="C910" i="2"/>
  <c r="C909" i="2"/>
  <c r="C908" i="2"/>
  <c r="C907" i="2"/>
  <c r="C906" i="2"/>
  <c r="C905" i="2"/>
  <c r="C904" i="2"/>
  <c r="C903" i="2"/>
  <c r="C902" i="2"/>
  <c r="C901" i="2"/>
  <c r="C900" i="2"/>
  <c r="C899" i="2"/>
  <c r="C898" i="2"/>
  <c r="C897" i="2"/>
  <c r="C896" i="2"/>
  <c r="C895" i="2"/>
  <c r="C894" i="2"/>
  <c r="C893" i="2"/>
  <c r="C892" i="2"/>
  <c r="C891" i="2"/>
  <c r="C890" i="2"/>
  <c r="C889" i="2"/>
  <c r="C888" i="2"/>
  <c r="C887" i="2"/>
  <c r="C886" i="2"/>
  <c r="C885" i="2"/>
  <c r="C884" i="2"/>
  <c r="C883" i="2"/>
  <c r="N1210" i="2"/>
  <c r="N1205" i="2"/>
  <c r="C1201" i="2"/>
  <c r="K1196" i="2"/>
  <c r="A1192" i="2"/>
  <c r="I1187" i="2"/>
  <c r="O1182" i="2"/>
  <c r="O1178" i="2"/>
  <c r="O1174" i="2"/>
  <c r="O1170" i="2"/>
  <c r="O1166" i="2"/>
  <c r="O1162" i="2"/>
  <c r="O1158" i="2"/>
  <c r="O1154" i="2"/>
  <c r="O1150" i="2"/>
  <c r="O1146" i="2"/>
  <c r="O1142" i="2"/>
  <c r="O1138" i="2"/>
  <c r="D1135" i="2"/>
  <c r="N1131" i="2"/>
  <c r="B1128" i="2"/>
  <c r="M1124" i="2"/>
  <c r="A1121" i="2"/>
  <c r="L1117" i="2"/>
  <c r="P1113" i="2"/>
  <c r="F1110" i="2"/>
  <c r="O1106" i="2"/>
  <c r="D1103" i="2"/>
  <c r="N1099" i="2"/>
  <c r="B1096" i="2"/>
  <c r="M1092" i="2"/>
  <c r="A1089" i="2"/>
  <c r="L1085" i="2"/>
  <c r="P1081" i="2"/>
  <c r="F1078" i="2"/>
  <c r="O1074" i="2"/>
  <c r="D1071" i="2"/>
  <c r="N1067" i="2"/>
  <c r="B1064" i="2"/>
  <c r="B1061" i="2"/>
  <c r="D1058" i="2"/>
  <c r="F1055" i="2"/>
  <c r="O1052" i="2"/>
  <c r="M1050" i="2"/>
  <c r="K1048" i="2"/>
  <c r="I1046" i="2"/>
  <c r="F1044" i="2"/>
  <c r="D1042" i="2"/>
  <c r="B1040" i="2"/>
  <c r="B1038" i="2"/>
  <c r="B1036" i="2"/>
  <c r="B1034" i="2"/>
  <c r="B1032" i="2"/>
  <c r="B1030" i="2"/>
  <c r="B1028" i="2"/>
  <c r="B1026" i="2"/>
  <c r="B1024" i="2"/>
  <c r="B1022" i="2"/>
  <c r="B1020" i="2"/>
  <c r="B1018" i="2"/>
  <c r="B1016" i="2"/>
  <c r="B1014" i="2"/>
  <c r="B1012" i="2"/>
  <c r="B1010" i="2"/>
  <c r="B1008" i="2"/>
  <c r="B1006" i="2"/>
  <c r="B1004" i="2"/>
  <c r="B1002" i="2"/>
  <c r="B1000" i="2"/>
  <c r="B998" i="2"/>
  <c r="B996" i="2"/>
  <c r="B994" i="2"/>
  <c r="B992" i="2"/>
  <c r="B990" i="2"/>
  <c r="B988" i="2"/>
  <c r="B986" i="2"/>
  <c r="B984" i="2"/>
  <c r="B982" i="2"/>
  <c r="B980" i="2"/>
  <c r="B978" i="2"/>
  <c r="B976" i="2"/>
  <c r="B974" i="2"/>
  <c r="B972" i="2"/>
  <c r="B970" i="2"/>
  <c r="B968" i="2"/>
  <c r="B966" i="2"/>
  <c r="B964" i="2"/>
  <c r="B962" i="2"/>
  <c r="B960" i="2"/>
  <c r="B958" i="2"/>
  <c r="B956" i="2"/>
  <c r="B954" i="2"/>
  <c r="B952" i="2"/>
  <c r="B950" i="2"/>
  <c r="B948" i="2"/>
  <c r="B946" i="2"/>
  <c r="B944" i="2"/>
  <c r="B942" i="2"/>
  <c r="B940" i="2"/>
  <c r="B938" i="2"/>
  <c r="B936" i="2"/>
  <c r="B934" i="2"/>
  <c r="B932" i="2"/>
  <c r="B930" i="2"/>
  <c r="B928" i="2"/>
  <c r="G926" i="2"/>
  <c r="M924" i="2"/>
  <c r="O922" i="2"/>
  <c r="A921" i="2"/>
  <c r="E919" i="2"/>
  <c r="H917" i="2"/>
  <c r="N915" i="2"/>
  <c r="P913" i="2"/>
  <c r="B912" i="2"/>
  <c r="G910" i="2"/>
  <c r="M908" i="2"/>
  <c r="O906" i="2"/>
  <c r="A905" i="2"/>
  <c r="E903" i="2"/>
  <c r="M901" i="2"/>
  <c r="A900" i="2"/>
  <c r="G898" i="2"/>
  <c r="O896" i="2"/>
  <c r="E895" i="2"/>
  <c r="M893" i="2"/>
  <c r="A892" i="2"/>
  <c r="G890" i="2"/>
  <c r="O888" i="2"/>
  <c r="E887" i="2"/>
  <c r="N885" i="2"/>
  <c r="G884" i="2"/>
  <c r="B883" i="2"/>
  <c r="O881" i="2"/>
  <c r="M880" i="2"/>
  <c r="K879" i="2"/>
  <c r="G878" i="2"/>
  <c r="E877" i="2"/>
  <c r="C876" i="2"/>
  <c r="A875" i="2"/>
  <c r="O873" i="2"/>
  <c r="N872" i="2"/>
  <c r="M871" i="2"/>
  <c r="L870" i="2"/>
  <c r="K869" i="2"/>
  <c r="I868" i="2"/>
  <c r="H867" i="2"/>
  <c r="G866" i="2"/>
  <c r="F865" i="2"/>
  <c r="E864" i="2"/>
  <c r="D863" i="2"/>
  <c r="C862" i="2"/>
  <c r="B861" i="2"/>
  <c r="B860" i="2"/>
  <c r="B859" i="2"/>
  <c r="B858" i="2"/>
  <c r="B857" i="2"/>
  <c r="B856" i="2"/>
  <c r="B855" i="2"/>
  <c r="B854" i="2"/>
  <c r="B853" i="2"/>
  <c r="B852" i="2"/>
  <c r="B851" i="2"/>
  <c r="B850" i="2"/>
  <c r="B849" i="2"/>
  <c r="B848" i="2"/>
  <c r="B847" i="2"/>
  <c r="B846" i="2"/>
  <c r="B845" i="2"/>
  <c r="B844" i="2"/>
  <c r="B843" i="2"/>
  <c r="B842" i="2"/>
  <c r="B841" i="2"/>
  <c r="B840" i="2"/>
  <c r="B839" i="2"/>
  <c r="B838" i="2"/>
  <c r="B837" i="2"/>
  <c r="B836" i="2"/>
  <c r="B835" i="2"/>
  <c r="B834" i="2"/>
  <c r="B833" i="2"/>
  <c r="B832" i="2"/>
  <c r="B831" i="2"/>
  <c r="B830" i="2"/>
  <c r="B829" i="2"/>
  <c r="B828" i="2"/>
  <c r="B827" i="2"/>
  <c r="B826" i="2"/>
  <c r="B825" i="2"/>
  <c r="B824" i="2"/>
  <c r="B823" i="2"/>
  <c r="B822" i="2"/>
  <c r="B821" i="2"/>
  <c r="B820" i="2"/>
  <c r="B819" i="2"/>
  <c r="B818" i="2"/>
  <c r="B817" i="2"/>
  <c r="B816" i="2"/>
  <c r="B815" i="2"/>
  <c r="B814" i="2"/>
  <c r="B813" i="2"/>
  <c r="B812" i="2"/>
  <c r="B811" i="2"/>
  <c r="B810" i="2"/>
  <c r="B809" i="2"/>
  <c r="B808" i="2"/>
  <c r="B807" i="2"/>
  <c r="B806" i="2"/>
  <c r="B805" i="2"/>
  <c r="B804" i="2"/>
  <c r="B803" i="2"/>
  <c r="B802" i="2"/>
  <c r="B801" i="2"/>
  <c r="B800" i="2"/>
  <c r="B799" i="2"/>
  <c r="B798" i="2"/>
  <c r="B797" i="2"/>
  <c r="B796" i="2"/>
  <c r="B795" i="2"/>
  <c r="B794" i="2"/>
  <c r="B793" i="2"/>
  <c r="B792" i="2"/>
  <c r="B791" i="2"/>
  <c r="B790" i="2"/>
  <c r="B789" i="2"/>
  <c r="B788" i="2"/>
  <c r="B787" i="2"/>
  <c r="B786" i="2"/>
  <c r="B785" i="2"/>
  <c r="B784" i="2"/>
  <c r="B783" i="2"/>
  <c r="B782" i="2"/>
  <c r="B781" i="2"/>
  <c r="B780" i="2"/>
  <c r="B779" i="2"/>
  <c r="B778" i="2"/>
  <c r="B777" i="2"/>
  <c r="B776" i="2"/>
  <c r="B775" i="2"/>
  <c r="B774" i="2"/>
  <c r="B773" i="2"/>
  <c r="B772" i="2"/>
  <c r="B771" i="2"/>
  <c r="B770" i="2"/>
  <c r="B769" i="2"/>
  <c r="B768" i="2"/>
  <c r="B767" i="2"/>
  <c r="B766" i="2"/>
  <c r="B765" i="2"/>
  <c r="B764" i="2"/>
  <c r="B763" i="2"/>
  <c r="B762" i="2"/>
  <c r="B761" i="2"/>
  <c r="B760" i="2"/>
  <c r="B759" i="2"/>
  <c r="B758" i="2"/>
  <c r="B757" i="2"/>
  <c r="B756" i="2"/>
  <c r="B755" i="2"/>
  <c r="B754" i="2"/>
  <c r="B753" i="2"/>
  <c r="B752" i="2"/>
  <c r="B751" i="2"/>
  <c r="B750" i="2"/>
  <c r="B749" i="2"/>
  <c r="B748" i="2"/>
  <c r="B747" i="2"/>
  <c r="B746" i="2"/>
  <c r="B745" i="2"/>
  <c r="B744" i="2"/>
  <c r="B743" i="2"/>
  <c r="B742" i="2"/>
  <c r="B741" i="2"/>
  <c r="B740" i="2"/>
  <c r="B739" i="2"/>
  <c r="B738" i="2"/>
  <c r="B737" i="2"/>
  <c r="B736" i="2"/>
  <c r="B735" i="2"/>
  <c r="B734" i="2"/>
  <c r="B733" i="2"/>
  <c r="B732" i="2"/>
  <c r="B731" i="2"/>
  <c r="B730" i="2"/>
  <c r="B729" i="2"/>
  <c r="B728" i="2"/>
  <c r="B727" i="2"/>
  <c r="B726" i="2"/>
  <c r="B725" i="2"/>
  <c r="B724" i="2"/>
  <c r="B723" i="2"/>
  <c r="B722" i="2"/>
  <c r="B721" i="2"/>
  <c r="B720" i="2"/>
  <c r="B719" i="2"/>
  <c r="B718" i="2"/>
  <c r="B717" i="2"/>
  <c r="B716" i="2"/>
  <c r="B715" i="2"/>
  <c r="B714" i="2"/>
  <c r="B713" i="2"/>
  <c r="M1210" i="2"/>
  <c r="M1205" i="2"/>
  <c r="B1201" i="2"/>
  <c r="J1196" i="2"/>
  <c r="P1191" i="2"/>
  <c r="H1187" i="2"/>
  <c r="N1182" i="2"/>
  <c r="N1178" i="2"/>
  <c r="N1174" i="2"/>
  <c r="N1170" i="2"/>
  <c r="N1166" i="2"/>
  <c r="N1162" i="2"/>
  <c r="N1158" i="2"/>
  <c r="N1154" i="2"/>
  <c r="N1150" i="2"/>
  <c r="N1146" i="2"/>
  <c r="N1142" i="2"/>
  <c r="N1138" i="2"/>
  <c r="B1135" i="2"/>
  <c r="M1131" i="2"/>
  <c r="A1128" i="2"/>
  <c r="L1124" i="2"/>
  <c r="P1120" i="2"/>
  <c r="F1117" i="2"/>
  <c r="O1113" i="2"/>
  <c r="D1110" i="2"/>
  <c r="N1106" i="2"/>
  <c r="B1103" i="2"/>
  <c r="M1099" i="2"/>
  <c r="A1096" i="2"/>
  <c r="L1092" i="2"/>
  <c r="P1088" i="2"/>
  <c r="F1085" i="2"/>
  <c r="O1081" i="2"/>
  <c r="D1078" i="2"/>
  <c r="N1074" i="2"/>
  <c r="B1071" i="2"/>
  <c r="M1067" i="2"/>
  <c r="A1064" i="2"/>
  <c r="A1061" i="2"/>
  <c r="B1058" i="2"/>
  <c r="D1055" i="2"/>
  <c r="N1052" i="2"/>
  <c r="L1050" i="2"/>
  <c r="J1048" i="2"/>
  <c r="G1046" i="2"/>
  <c r="E1044" i="2"/>
  <c r="C1042" i="2"/>
  <c r="A1040" i="2"/>
  <c r="A1038" i="2"/>
  <c r="A1036" i="2"/>
  <c r="A1034" i="2"/>
  <c r="A1032" i="2"/>
  <c r="A1030" i="2"/>
  <c r="A1028" i="2"/>
  <c r="A1026" i="2"/>
  <c r="A1024" i="2"/>
  <c r="A1022" i="2"/>
  <c r="A1020" i="2"/>
  <c r="A1018" i="2"/>
  <c r="A1016" i="2"/>
  <c r="A1014" i="2"/>
  <c r="A1012" i="2"/>
  <c r="A1010" i="2"/>
  <c r="A1008" i="2"/>
  <c r="A1006" i="2"/>
  <c r="A1004" i="2"/>
  <c r="A1002" i="2"/>
  <c r="A1000" i="2"/>
  <c r="A998" i="2"/>
  <c r="A996" i="2"/>
  <c r="A994" i="2"/>
  <c r="A992" i="2"/>
  <c r="A990" i="2"/>
  <c r="A988" i="2"/>
  <c r="A986" i="2"/>
  <c r="A984" i="2"/>
  <c r="A982" i="2"/>
  <c r="A980" i="2"/>
  <c r="A978" i="2"/>
  <c r="A976" i="2"/>
  <c r="A974" i="2"/>
  <c r="A972" i="2"/>
  <c r="A970" i="2"/>
  <c r="A968" i="2"/>
  <c r="A966" i="2"/>
  <c r="A964" i="2"/>
  <c r="A962" i="2"/>
  <c r="A960" i="2"/>
  <c r="A958" i="2"/>
  <c r="A956" i="2"/>
  <c r="A954" i="2"/>
  <c r="A952" i="2"/>
  <c r="A950" i="2"/>
  <c r="A948" i="2"/>
  <c r="A946" i="2"/>
  <c r="A944" i="2"/>
  <c r="A942" i="2"/>
  <c r="A940" i="2"/>
  <c r="A938" i="2"/>
  <c r="A936" i="2"/>
  <c r="A934" i="2"/>
  <c r="A932" i="2"/>
  <c r="A930" i="2"/>
  <c r="A928" i="2"/>
  <c r="E926" i="2"/>
  <c r="H924" i="2"/>
  <c r="N922" i="2"/>
  <c r="P920" i="2"/>
  <c r="B919" i="2"/>
  <c r="G917" i="2"/>
  <c r="M915" i="2"/>
  <c r="O913" i="2"/>
  <c r="A912" i="2"/>
  <c r="E910" i="2"/>
  <c r="H908" i="2"/>
  <c r="N906" i="2"/>
  <c r="P904" i="2"/>
  <c r="B903" i="2"/>
  <c r="H901" i="2"/>
  <c r="P899" i="2"/>
  <c r="F898" i="2"/>
  <c r="N896" i="2"/>
  <c r="B895" i="2"/>
  <c r="H893" i="2"/>
  <c r="P891" i="2"/>
  <c r="F890" i="2"/>
  <c r="N888" i="2"/>
  <c r="B887" i="2"/>
  <c r="M885" i="2"/>
  <c r="F884" i="2"/>
  <c r="A883" i="2"/>
  <c r="N881" i="2"/>
  <c r="L880" i="2"/>
  <c r="H879" i="2"/>
  <c r="F878" i="2"/>
  <c r="D877" i="2"/>
  <c r="B876" i="2"/>
  <c r="P874" i="2"/>
  <c r="N873" i="2"/>
  <c r="M872" i="2"/>
  <c r="L871" i="2"/>
  <c r="K870" i="2"/>
  <c r="I869" i="2"/>
  <c r="H868" i="2"/>
  <c r="G867" i="2"/>
  <c r="F866" i="2"/>
  <c r="E865" i="2"/>
  <c r="D864" i="2"/>
  <c r="C863" i="2"/>
  <c r="B862" i="2"/>
  <c r="A861" i="2"/>
  <c r="A860" i="2"/>
  <c r="A859" i="2"/>
  <c r="A858" i="2"/>
  <c r="A857" i="2"/>
  <c r="A856" i="2"/>
  <c r="A855" i="2"/>
  <c r="A854" i="2"/>
  <c r="A853" i="2"/>
  <c r="A852" i="2"/>
  <c r="A851" i="2"/>
  <c r="A850" i="2"/>
  <c r="A849" i="2"/>
  <c r="A848" i="2"/>
  <c r="A847" i="2"/>
  <c r="A846" i="2"/>
  <c r="A845" i="2"/>
  <c r="A844" i="2"/>
  <c r="A843" i="2"/>
  <c r="A842" i="2"/>
  <c r="A841" i="2"/>
  <c r="A840" i="2"/>
  <c r="A839" i="2"/>
  <c r="A838" i="2"/>
  <c r="A837" i="2"/>
  <c r="A836" i="2"/>
  <c r="A835" i="2"/>
  <c r="A834" i="2"/>
  <c r="A833" i="2"/>
  <c r="A832" i="2"/>
  <c r="A831" i="2"/>
  <c r="A830" i="2"/>
  <c r="A829" i="2"/>
  <c r="A828" i="2"/>
  <c r="A827" i="2"/>
  <c r="A826" i="2"/>
  <c r="A825" i="2"/>
  <c r="A824" i="2"/>
  <c r="A823" i="2"/>
  <c r="A822" i="2"/>
  <c r="A821" i="2"/>
  <c r="A820" i="2"/>
  <c r="A819" i="2"/>
  <c r="A818" i="2"/>
  <c r="A817" i="2"/>
  <c r="A816" i="2"/>
  <c r="A815" i="2"/>
  <c r="A814" i="2"/>
  <c r="A813" i="2"/>
  <c r="A812" i="2"/>
  <c r="A811" i="2"/>
  <c r="A810" i="2"/>
  <c r="A809" i="2"/>
  <c r="A808" i="2"/>
  <c r="A807" i="2"/>
  <c r="A806" i="2"/>
  <c r="A805" i="2"/>
  <c r="A804" i="2"/>
  <c r="A803" i="2"/>
  <c r="A802" i="2"/>
  <c r="A801" i="2"/>
  <c r="A800" i="2"/>
  <c r="A799" i="2"/>
  <c r="A798" i="2"/>
  <c r="A797" i="2"/>
  <c r="A796" i="2"/>
  <c r="A795" i="2"/>
  <c r="A794" i="2"/>
  <c r="A793" i="2"/>
  <c r="A792" i="2"/>
  <c r="A791" i="2"/>
  <c r="A790" i="2"/>
  <c r="A789" i="2"/>
  <c r="A788" i="2"/>
  <c r="A787" i="2"/>
  <c r="A786" i="2"/>
  <c r="A785" i="2"/>
  <c r="A784" i="2"/>
  <c r="A783" i="2"/>
  <c r="A782" i="2"/>
  <c r="A781" i="2"/>
  <c r="A780" i="2"/>
  <c r="A779" i="2"/>
  <c r="A778" i="2"/>
  <c r="A777" i="2"/>
  <c r="A776" i="2"/>
  <c r="A775" i="2"/>
  <c r="A774" i="2"/>
  <c r="A773" i="2"/>
  <c r="A772" i="2"/>
  <c r="A771" i="2"/>
  <c r="A770" i="2"/>
  <c r="A769" i="2"/>
  <c r="A768" i="2"/>
  <c r="A767" i="2"/>
  <c r="A766" i="2"/>
  <c r="A765" i="2"/>
  <c r="A764" i="2"/>
  <c r="A763" i="2"/>
  <c r="A762" i="2"/>
  <c r="A761" i="2"/>
  <c r="A760" i="2"/>
  <c r="A759" i="2"/>
  <c r="A758" i="2"/>
  <c r="A757" i="2"/>
  <c r="A756" i="2"/>
  <c r="A755" i="2"/>
  <c r="A754" i="2"/>
  <c r="A753" i="2"/>
  <c r="A752" i="2"/>
  <c r="A751" i="2"/>
  <c r="A750" i="2"/>
  <c r="A749" i="2"/>
  <c r="A748" i="2"/>
  <c r="A747" i="2"/>
  <c r="A746" i="2"/>
  <c r="A745" i="2"/>
  <c r="A744" i="2"/>
  <c r="A743" i="2"/>
  <c r="A742" i="2"/>
  <c r="A741" i="2"/>
  <c r="A740" i="2"/>
  <c r="A739" i="2"/>
  <c r="A738" i="2"/>
  <c r="A737" i="2"/>
  <c r="A736" i="2"/>
  <c r="A735" i="2"/>
  <c r="A734" i="2"/>
  <c r="A733" i="2"/>
  <c r="A732" i="2"/>
  <c r="A731" i="2"/>
  <c r="A730" i="2"/>
  <c r="A729" i="2"/>
  <c r="A728" i="2"/>
  <c r="A727" i="2"/>
  <c r="A726" i="2"/>
  <c r="A725" i="2"/>
  <c r="A724" i="2"/>
  <c r="A723" i="2"/>
  <c r="A722" i="2"/>
  <c r="A721" i="2"/>
  <c r="A720" i="2"/>
  <c r="A719" i="2"/>
  <c r="A718" i="2"/>
  <c r="A717" i="2"/>
  <c r="A716" i="2"/>
  <c r="A715" i="2"/>
  <c r="A714" i="2"/>
  <c r="A713" i="2"/>
  <c r="A712" i="2"/>
  <c r="A711" i="2"/>
  <c r="A710" i="2"/>
  <c r="A709" i="2"/>
  <c r="A708" i="2"/>
  <c r="A707" i="2"/>
  <c r="A706" i="2"/>
  <c r="A705" i="2"/>
  <c r="A704" i="2"/>
  <c r="A703" i="2"/>
  <c r="A702" i="2"/>
  <c r="L1210" i="2"/>
  <c r="L1205" i="2"/>
  <c r="A1201" i="2"/>
  <c r="I1196" i="2"/>
  <c r="O1191" i="2"/>
  <c r="G1187" i="2"/>
  <c r="M1182" i="2"/>
  <c r="M1178" i="2"/>
  <c r="M1174" i="2"/>
  <c r="M1170" i="2"/>
  <c r="M1166" i="2"/>
  <c r="M1162" i="2"/>
  <c r="M1158" i="2"/>
  <c r="M1154" i="2"/>
  <c r="M1150" i="2"/>
  <c r="M1146" i="2"/>
  <c r="M1142" i="2"/>
  <c r="M1138" i="2"/>
  <c r="A1135" i="2"/>
  <c r="L1131" i="2"/>
  <c r="P1127" i="2"/>
  <c r="F1124" i="2"/>
  <c r="O1120" i="2"/>
  <c r="D1117" i="2"/>
  <c r="N1113" i="2"/>
  <c r="B1110" i="2"/>
  <c r="M1106" i="2"/>
  <c r="A1103" i="2"/>
  <c r="L1099" i="2"/>
  <c r="P1095" i="2"/>
  <c r="F1092" i="2"/>
  <c r="O1088" i="2"/>
  <c r="D1085" i="2"/>
  <c r="N1081" i="2"/>
  <c r="B1078" i="2"/>
  <c r="M1074" i="2"/>
  <c r="A1071" i="2"/>
  <c r="L1067" i="2"/>
  <c r="P1063" i="2"/>
  <c r="P1060" i="2"/>
  <c r="A1058" i="2"/>
  <c r="B1055" i="2"/>
  <c r="M1052" i="2"/>
  <c r="K1050" i="2"/>
  <c r="I1048" i="2"/>
  <c r="F1046" i="2"/>
  <c r="D1044" i="2"/>
  <c r="B1042" i="2"/>
  <c r="P1039" i="2"/>
  <c r="P1037" i="2"/>
  <c r="P1035" i="2"/>
  <c r="P1033" i="2"/>
  <c r="P1031" i="2"/>
  <c r="P1029" i="2"/>
  <c r="P1027" i="2"/>
  <c r="P1025" i="2"/>
  <c r="P1023" i="2"/>
  <c r="P1021" i="2"/>
  <c r="P1019" i="2"/>
  <c r="P1017" i="2"/>
  <c r="P1015" i="2"/>
  <c r="P1013" i="2"/>
  <c r="P1011" i="2"/>
  <c r="P1009" i="2"/>
  <c r="P1007" i="2"/>
  <c r="P1005" i="2"/>
  <c r="P1003" i="2"/>
  <c r="P1001" i="2"/>
  <c r="P999" i="2"/>
  <c r="P997" i="2"/>
  <c r="P995" i="2"/>
  <c r="P993" i="2"/>
  <c r="P991" i="2"/>
  <c r="P989" i="2"/>
  <c r="P987" i="2"/>
  <c r="P985" i="2"/>
  <c r="P983" i="2"/>
  <c r="P981" i="2"/>
  <c r="P979" i="2"/>
  <c r="P977" i="2"/>
  <c r="P975" i="2"/>
  <c r="P973" i="2"/>
  <c r="P971" i="2"/>
  <c r="P969" i="2"/>
  <c r="P967" i="2"/>
  <c r="P965" i="2"/>
  <c r="P963" i="2"/>
  <c r="P961" i="2"/>
  <c r="P959" i="2"/>
  <c r="P957" i="2"/>
  <c r="P955" i="2"/>
  <c r="P953" i="2"/>
  <c r="P951" i="2"/>
  <c r="P949" i="2"/>
  <c r="P947" i="2"/>
  <c r="P945" i="2"/>
  <c r="P943" i="2"/>
  <c r="P941" i="2"/>
  <c r="P939" i="2"/>
  <c r="P937" i="2"/>
  <c r="P935" i="2"/>
  <c r="P933" i="2"/>
  <c r="P931" i="2"/>
  <c r="P929" i="2"/>
  <c r="P927" i="2"/>
  <c r="B926" i="2"/>
  <c r="G924" i="2"/>
  <c r="M922" i="2"/>
  <c r="O920" i="2"/>
  <c r="A919" i="2"/>
  <c r="E917" i="2"/>
  <c r="H915" i="2"/>
  <c r="N913" i="2"/>
  <c r="P911" i="2"/>
  <c r="B910" i="2"/>
  <c r="G908" i="2"/>
  <c r="M906" i="2"/>
  <c r="O904" i="2"/>
  <c r="A903" i="2"/>
  <c r="G901" i="2"/>
  <c r="O899" i="2"/>
  <c r="E898" i="2"/>
  <c r="M896" i="2"/>
  <c r="A895" i="2"/>
  <c r="G893" i="2"/>
  <c r="O891" i="2"/>
  <c r="E890" i="2"/>
  <c r="M888" i="2"/>
  <c r="A887" i="2"/>
  <c r="K885" i="2"/>
  <c r="E884" i="2"/>
  <c r="P882" i="2"/>
  <c r="M881" i="2"/>
  <c r="K880" i="2"/>
  <c r="G879" i="2"/>
  <c r="E878" i="2"/>
  <c r="C877" i="2"/>
  <c r="A876" i="2"/>
  <c r="O874" i="2"/>
  <c r="M873" i="2"/>
  <c r="L872" i="2"/>
  <c r="K871" i="2"/>
  <c r="I870" i="2"/>
  <c r="H869" i="2"/>
  <c r="G868" i="2"/>
  <c r="F867" i="2"/>
  <c r="E866" i="2"/>
  <c r="D865" i="2"/>
  <c r="C864" i="2"/>
  <c r="B863" i="2"/>
  <c r="A862" i="2"/>
  <c r="P860" i="2"/>
  <c r="P859" i="2"/>
  <c r="P858" i="2"/>
  <c r="P857" i="2"/>
  <c r="P856" i="2"/>
  <c r="P855" i="2"/>
  <c r="P854" i="2"/>
  <c r="P853" i="2"/>
  <c r="P852" i="2"/>
  <c r="P851" i="2"/>
  <c r="P850" i="2"/>
  <c r="P849" i="2"/>
  <c r="P848" i="2"/>
  <c r="P847" i="2"/>
  <c r="P846" i="2"/>
  <c r="P845" i="2"/>
  <c r="P844" i="2"/>
  <c r="P843" i="2"/>
  <c r="P842" i="2"/>
  <c r="P841" i="2"/>
  <c r="P840" i="2"/>
  <c r="P839" i="2"/>
  <c r="P838" i="2"/>
  <c r="P837" i="2"/>
  <c r="P836" i="2"/>
  <c r="P835" i="2"/>
  <c r="P834" i="2"/>
  <c r="P833" i="2"/>
  <c r="P832" i="2"/>
  <c r="P831" i="2"/>
  <c r="P830" i="2"/>
  <c r="P829" i="2"/>
  <c r="P828" i="2"/>
  <c r="P827" i="2"/>
  <c r="P826" i="2"/>
  <c r="P825" i="2"/>
  <c r="P824" i="2"/>
  <c r="P823" i="2"/>
  <c r="P822" i="2"/>
  <c r="P821" i="2"/>
  <c r="P820" i="2"/>
  <c r="P819" i="2"/>
  <c r="P818" i="2"/>
  <c r="P817" i="2"/>
  <c r="P816" i="2"/>
  <c r="P815" i="2"/>
  <c r="P814" i="2"/>
  <c r="P813" i="2"/>
  <c r="P812" i="2"/>
  <c r="P811" i="2"/>
  <c r="P810" i="2"/>
  <c r="P809" i="2"/>
  <c r="P808" i="2"/>
  <c r="P807" i="2"/>
  <c r="P806" i="2"/>
  <c r="P805" i="2"/>
  <c r="P804" i="2"/>
  <c r="P803" i="2"/>
  <c r="P802" i="2"/>
  <c r="P801" i="2"/>
  <c r="P800" i="2"/>
  <c r="P799" i="2"/>
  <c r="P798" i="2"/>
  <c r="P797" i="2"/>
  <c r="P796" i="2"/>
  <c r="P795" i="2"/>
  <c r="P794" i="2"/>
  <c r="P793" i="2"/>
  <c r="K1210" i="2"/>
  <c r="K1205" i="2"/>
  <c r="P1200" i="2"/>
  <c r="H1196" i="2"/>
  <c r="N1191" i="2"/>
  <c r="D1187" i="2"/>
  <c r="L1182" i="2"/>
  <c r="L1178" i="2"/>
  <c r="L1174" i="2"/>
  <c r="L1170" i="2"/>
  <c r="L1166" i="2"/>
  <c r="L1162" i="2"/>
  <c r="L1158" i="2"/>
  <c r="L1154" i="2"/>
  <c r="L1150" i="2"/>
  <c r="L1146" i="2"/>
  <c r="L1142" i="2"/>
  <c r="L1138" i="2"/>
  <c r="P1134" i="2"/>
  <c r="F1131" i="2"/>
  <c r="O1127" i="2"/>
  <c r="D1124" i="2"/>
  <c r="N1120" i="2"/>
  <c r="B1117" i="2"/>
  <c r="M1113" i="2"/>
  <c r="A1110" i="2"/>
  <c r="L1106" i="2"/>
  <c r="P1102" i="2"/>
  <c r="F1099" i="2"/>
  <c r="O1095" i="2"/>
  <c r="D1092" i="2"/>
  <c r="N1088" i="2"/>
  <c r="B1085" i="2"/>
  <c r="M1081" i="2"/>
  <c r="A1078" i="2"/>
  <c r="L1074" i="2"/>
  <c r="P1070" i="2"/>
  <c r="F1067" i="2"/>
  <c r="O1063" i="2"/>
  <c r="O1060" i="2"/>
  <c r="P1057" i="2"/>
  <c r="A1055" i="2"/>
  <c r="L1052" i="2"/>
  <c r="J1050" i="2"/>
  <c r="G1048" i="2"/>
  <c r="E1046" i="2"/>
  <c r="C1044" i="2"/>
  <c r="A1042" i="2"/>
  <c r="O1039" i="2"/>
  <c r="O1037" i="2"/>
  <c r="O1035" i="2"/>
  <c r="O1033" i="2"/>
  <c r="O1031" i="2"/>
  <c r="O1029" i="2"/>
  <c r="O1027" i="2"/>
  <c r="O1025" i="2"/>
  <c r="O1023" i="2"/>
  <c r="O1021" i="2"/>
  <c r="O1019" i="2"/>
  <c r="O1017" i="2"/>
  <c r="O1015" i="2"/>
  <c r="O1013" i="2"/>
  <c r="O1011" i="2"/>
  <c r="O1009" i="2"/>
  <c r="O1007" i="2"/>
  <c r="O1005" i="2"/>
  <c r="O1003" i="2"/>
  <c r="O1001" i="2"/>
  <c r="O999" i="2"/>
  <c r="O997" i="2"/>
  <c r="O995" i="2"/>
  <c r="O993" i="2"/>
  <c r="O991" i="2"/>
  <c r="O989" i="2"/>
  <c r="O987" i="2"/>
  <c r="O985" i="2"/>
  <c r="O983" i="2"/>
  <c r="O981" i="2"/>
  <c r="O979" i="2"/>
  <c r="O977" i="2"/>
  <c r="O975" i="2"/>
  <c r="O973" i="2"/>
  <c r="O971" i="2"/>
  <c r="O969" i="2"/>
  <c r="O967" i="2"/>
  <c r="O965" i="2"/>
  <c r="O963" i="2"/>
  <c r="O961" i="2"/>
  <c r="O959" i="2"/>
  <c r="O957" i="2"/>
  <c r="O955" i="2"/>
  <c r="O953" i="2"/>
  <c r="O951" i="2"/>
  <c r="O949" i="2"/>
  <c r="O947" i="2"/>
  <c r="O945" i="2"/>
  <c r="O943" i="2"/>
  <c r="O941" i="2"/>
  <c r="O939" i="2"/>
  <c r="O937" i="2"/>
  <c r="O935" i="2"/>
  <c r="O933" i="2"/>
  <c r="O931" i="2"/>
  <c r="O929" i="2"/>
  <c r="O927" i="2"/>
  <c r="A926" i="2"/>
  <c r="E924" i="2"/>
  <c r="H922" i="2"/>
  <c r="N920" i="2"/>
  <c r="P918" i="2"/>
  <c r="B917" i="2"/>
  <c r="G915" i="2"/>
  <c r="M913" i="2"/>
  <c r="O911" i="2"/>
  <c r="A910" i="2"/>
  <c r="E908" i="2"/>
  <c r="H906" i="2"/>
  <c r="N904" i="2"/>
  <c r="P902" i="2"/>
  <c r="F901" i="2"/>
  <c r="N899" i="2"/>
  <c r="B898" i="2"/>
  <c r="H896" i="2"/>
  <c r="P894" i="2"/>
  <c r="F893" i="2"/>
  <c r="N891" i="2"/>
  <c r="B890" i="2"/>
  <c r="H888" i="2"/>
  <c r="P886" i="2"/>
  <c r="H885" i="2"/>
  <c r="D884" i="2"/>
  <c r="O882" i="2"/>
  <c r="L881" i="2"/>
  <c r="H880" i="2"/>
  <c r="F879" i="2"/>
  <c r="D878" i="2"/>
  <c r="B877" i="2"/>
  <c r="P875" i="2"/>
  <c r="N874" i="2"/>
  <c r="L873" i="2"/>
  <c r="K872" i="2"/>
  <c r="I871" i="2"/>
  <c r="H870" i="2"/>
  <c r="G869" i="2"/>
  <c r="F868" i="2"/>
  <c r="E867" i="2"/>
  <c r="D866" i="2"/>
  <c r="C865" i="2"/>
  <c r="B864" i="2"/>
  <c r="A863" i="2"/>
  <c r="P861" i="2"/>
  <c r="O860" i="2"/>
  <c r="O859" i="2"/>
  <c r="O858" i="2"/>
  <c r="O857" i="2"/>
  <c r="O856" i="2"/>
  <c r="O855" i="2"/>
  <c r="O854" i="2"/>
  <c r="O853" i="2"/>
  <c r="O852" i="2"/>
  <c r="O851" i="2"/>
  <c r="O850" i="2"/>
  <c r="O849" i="2"/>
  <c r="O848" i="2"/>
  <c r="O847" i="2"/>
  <c r="O846" i="2"/>
  <c r="O845" i="2"/>
  <c r="O844" i="2"/>
  <c r="O843" i="2"/>
  <c r="O842" i="2"/>
  <c r="O841" i="2"/>
  <c r="O840" i="2"/>
  <c r="O839" i="2"/>
  <c r="O838" i="2"/>
  <c r="O837" i="2"/>
  <c r="O836" i="2"/>
  <c r="O835" i="2"/>
  <c r="O834" i="2"/>
  <c r="O833" i="2"/>
  <c r="O832" i="2"/>
  <c r="O831" i="2"/>
  <c r="O830" i="2"/>
  <c r="O829" i="2"/>
  <c r="O828" i="2"/>
  <c r="O827" i="2"/>
  <c r="O826" i="2"/>
  <c r="O825" i="2"/>
  <c r="O824" i="2"/>
  <c r="O823" i="2"/>
  <c r="O822" i="2"/>
  <c r="O821" i="2"/>
  <c r="O820" i="2"/>
  <c r="O819" i="2"/>
  <c r="O818" i="2"/>
  <c r="O817" i="2"/>
  <c r="O816" i="2"/>
  <c r="O815" i="2"/>
  <c r="O814" i="2"/>
  <c r="O813" i="2"/>
  <c r="O812" i="2"/>
  <c r="O811" i="2"/>
  <c r="O810" i="2"/>
  <c r="O809" i="2"/>
  <c r="O808" i="2"/>
  <c r="O807" i="2"/>
  <c r="O806" i="2"/>
  <c r="O805" i="2"/>
  <c r="O804" i="2"/>
  <c r="O803" i="2"/>
  <c r="O802" i="2"/>
  <c r="O801" i="2"/>
  <c r="O800" i="2"/>
  <c r="O799" i="2"/>
  <c r="O798" i="2"/>
  <c r="O797" i="2"/>
  <c r="O796" i="2"/>
  <c r="O795" i="2"/>
  <c r="O794" i="2"/>
  <c r="O793" i="2"/>
  <c r="O792" i="2"/>
  <c r="O791" i="2"/>
  <c r="O790" i="2"/>
  <c r="O789" i="2"/>
  <c r="O788" i="2"/>
  <c r="O787" i="2"/>
  <c r="O786" i="2"/>
  <c r="O785" i="2"/>
  <c r="O784" i="2"/>
  <c r="O783" i="2"/>
  <c r="O782" i="2"/>
  <c r="O781" i="2"/>
  <c r="O780" i="2"/>
  <c r="O779" i="2"/>
  <c r="O778" i="2"/>
  <c r="O777" i="2"/>
  <c r="O776" i="2"/>
  <c r="O775" i="2"/>
  <c r="O774" i="2"/>
  <c r="O773" i="2"/>
  <c r="O772" i="2"/>
  <c r="O771" i="2"/>
  <c r="O770" i="2"/>
  <c r="O769" i="2"/>
  <c r="O768" i="2"/>
  <c r="O767" i="2"/>
  <c r="O766" i="2"/>
  <c r="O765" i="2"/>
  <c r="O764" i="2"/>
  <c r="O763" i="2"/>
  <c r="O762" i="2"/>
  <c r="O761" i="2"/>
  <c r="O760" i="2"/>
  <c r="O759" i="2"/>
  <c r="O758" i="2"/>
  <c r="O757" i="2"/>
  <c r="O756" i="2"/>
  <c r="O755" i="2"/>
  <c r="O754" i="2"/>
  <c r="O753" i="2"/>
  <c r="O752" i="2"/>
  <c r="O751" i="2"/>
  <c r="O750" i="2"/>
  <c r="O749" i="2"/>
  <c r="O748" i="2"/>
  <c r="O747" i="2"/>
  <c r="O746" i="2"/>
  <c r="O745" i="2"/>
  <c r="O744" i="2"/>
  <c r="O743" i="2"/>
  <c r="O742" i="2"/>
  <c r="O741" i="2"/>
  <c r="O740" i="2"/>
  <c r="O739" i="2"/>
  <c r="O738" i="2"/>
  <c r="O737" i="2"/>
  <c r="O736" i="2"/>
  <c r="O735" i="2"/>
  <c r="O734" i="2"/>
  <c r="O733" i="2"/>
  <c r="O732" i="2"/>
  <c r="O731" i="2"/>
  <c r="O730" i="2"/>
  <c r="O729" i="2"/>
  <c r="O728" i="2"/>
  <c r="O727" i="2"/>
  <c r="O726" i="2"/>
  <c r="O725" i="2"/>
  <c r="O724" i="2"/>
  <c r="O723" i="2"/>
  <c r="O722" i="2"/>
  <c r="O721" i="2"/>
  <c r="O720" i="2"/>
  <c r="O719" i="2"/>
  <c r="O718" i="2"/>
  <c r="O717" i="2"/>
  <c r="O716" i="2"/>
  <c r="O715" i="2"/>
  <c r="O714" i="2"/>
  <c r="O713" i="2"/>
  <c r="O712" i="2"/>
  <c r="O711" i="2"/>
  <c r="O710" i="2"/>
  <c r="O709" i="2"/>
  <c r="O708" i="2"/>
  <c r="O707" i="2"/>
  <c r="O706" i="2"/>
  <c r="O705" i="2"/>
  <c r="O704" i="2"/>
  <c r="O703" i="2"/>
  <c r="O702" i="2"/>
  <c r="O701" i="2"/>
  <c r="O700" i="2"/>
  <c r="O699" i="2"/>
  <c r="O698" i="2"/>
  <c r="O697" i="2"/>
  <c r="O696" i="2"/>
  <c r="O695" i="2"/>
  <c r="O694" i="2"/>
  <c r="O693" i="2"/>
  <c r="O692" i="2"/>
  <c r="O691" i="2"/>
  <c r="O690" i="2"/>
  <c r="O689" i="2"/>
  <c r="O688" i="2"/>
  <c r="O687" i="2"/>
  <c r="O686" i="2"/>
  <c r="O685" i="2"/>
  <c r="O684" i="2"/>
  <c r="O683" i="2"/>
  <c r="B1210" i="2"/>
  <c r="C1205" i="2"/>
  <c r="J1200" i="2"/>
  <c r="P1195" i="2"/>
  <c r="H1191" i="2"/>
  <c r="N1186" i="2"/>
  <c r="F1182" i="2"/>
  <c r="F1178" i="2"/>
  <c r="F1174" i="2"/>
  <c r="F1170" i="2"/>
  <c r="F1166" i="2"/>
  <c r="F1162" i="2"/>
  <c r="F1158" i="2"/>
  <c r="F1154" i="2"/>
  <c r="F1150" i="2"/>
  <c r="F1146" i="2"/>
  <c r="F1142" i="2"/>
  <c r="F1138" i="2"/>
  <c r="O1134" i="2"/>
  <c r="D1131" i="2"/>
  <c r="N1127" i="2"/>
  <c r="B1124" i="2"/>
  <c r="M1120" i="2"/>
  <c r="A1117" i="2"/>
  <c r="L1113" i="2"/>
  <c r="P1109" i="2"/>
  <c r="F1106" i="2"/>
  <c r="O1102" i="2"/>
  <c r="D1099" i="2"/>
  <c r="N1095" i="2"/>
  <c r="B1092" i="2"/>
  <c r="M1088" i="2"/>
  <c r="A1085" i="2"/>
  <c r="L1081" i="2"/>
  <c r="P1077" i="2"/>
  <c r="F1074" i="2"/>
  <c r="O1070" i="2"/>
  <c r="D1067" i="2"/>
  <c r="N1063" i="2"/>
  <c r="N1060" i="2"/>
  <c r="O1057" i="2"/>
  <c r="P1054" i="2"/>
  <c r="K1052" i="2"/>
  <c r="I1050" i="2"/>
  <c r="F1048" i="2"/>
  <c r="D1046" i="2"/>
  <c r="B1044" i="2"/>
  <c r="P1041" i="2"/>
  <c r="N1039" i="2"/>
  <c r="N1037" i="2"/>
  <c r="N1035" i="2"/>
  <c r="N1033" i="2"/>
  <c r="N1031" i="2"/>
  <c r="N1029" i="2"/>
  <c r="N1027" i="2"/>
  <c r="N1025" i="2"/>
  <c r="N1023" i="2"/>
  <c r="N1021" i="2"/>
  <c r="N1019" i="2"/>
  <c r="N1017" i="2"/>
  <c r="N1015" i="2"/>
  <c r="N1013" i="2"/>
  <c r="N1011" i="2"/>
  <c r="N1009" i="2"/>
  <c r="N1007" i="2"/>
  <c r="N1005" i="2"/>
  <c r="N1003" i="2"/>
  <c r="N1001" i="2"/>
  <c r="N999" i="2"/>
  <c r="N997" i="2"/>
  <c r="N995" i="2"/>
  <c r="N993" i="2"/>
  <c r="N991" i="2"/>
  <c r="N989" i="2"/>
  <c r="N987" i="2"/>
  <c r="N985" i="2"/>
  <c r="N983" i="2"/>
  <c r="N981" i="2"/>
  <c r="N979" i="2"/>
  <c r="N977" i="2"/>
  <c r="N975" i="2"/>
  <c r="N973" i="2"/>
  <c r="N971" i="2"/>
  <c r="N969" i="2"/>
  <c r="N967" i="2"/>
  <c r="N965" i="2"/>
  <c r="N963" i="2"/>
  <c r="N961" i="2"/>
  <c r="N959" i="2"/>
  <c r="N957" i="2"/>
  <c r="N955" i="2"/>
  <c r="N953" i="2"/>
  <c r="N951" i="2"/>
  <c r="N949" i="2"/>
  <c r="N947" i="2"/>
  <c r="N945" i="2"/>
  <c r="N943" i="2"/>
  <c r="N941" i="2"/>
  <c r="N939" i="2"/>
  <c r="N937" i="2"/>
  <c r="N935" i="2"/>
  <c r="N933" i="2"/>
  <c r="N931" i="2"/>
  <c r="N929" i="2"/>
  <c r="N927" i="2"/>
  <c r="P925" i="2"/>
  <c r="B924" i="2"/>
  <c r="G922" i="2"/>
  <c r="M920" i="2"/>
  <c r="O918" i="2"/>
  <c r="A917" i="2"/>
  <c r="E915" i="2"/>
  <c r="H913" i="2"/>
  <c r="N911" i="2"/>
  <c r="P909" i="2"/>
  <c r="B908" i="2"/>
  <c r="G906" i="2"/>
  <c r="M904" i="2"/>
  <c r="O902" i="2"/>
  <c r="E901" i="2"/>
  <c r="M899" i="2"/>
  <c r="A898" i="2"/>
  <c r="G896" i="2"/>
  <c r="O894" i="2"/>
  <c r="E893" i="2"/>
  <c r="M891" i="2"/>
  <c r="A890" i="2"/>
  <c r="G888" i="2"/>
  <c r="O886" i="2"/>
  <c r="G885" i="2"/>
  <c r="B884" i="2"/>
  <c r="N882" i="2"/>
  <c r="K881" i="2"/>
  <c r="G880" i="2"/>
  <c r="E879" i="2"/>
  <c r="C878" i="2"/>
  <c r="A877" i="2"/>
  <c r="O875" i="2"/>
  <c r="M874" i="2"/>
  <c r="K873" i="2"/>
  <c r="I872" i="2"/>
  <c r="H871" i="2"/>
  <c r="G870" i="2"/>
  <c r="F869" i="2"/>
  <c r="E868" i="2"/>
  <c r="D867" i="2"/>
  <c r="C866" i="2"/>
  <c r="B865" i="2"/>
  <c r="A864" i="2"/>
  <c r="P862" i="2"/>
  <c r="O861" i="2"/>
  <c r="N860" i="2"/>
  <c r="N859" i="2"/>
  <c r="N858" i="2"/>
  <c r="N857" i="2"/>
  <c r="N856" i="2"/>
  <c r="N855" i="2"/>
  <c r="N854" i="2"/>
  <c r="N853" i="2"/>
  <c r="N852" i="2"/>
  <c r="N851" i="2"/>
  <c r="N850" i="2"/>
  <c r="N849" i="2"/>
  <c r="N848" i="2"/>
  <c r="N847" i="2"/>
  <c r="N846" i="2"/>
  <c r="N845" i="2"/>
  <c r="N844" i="2"/>
  <c r="N843" i="2"/>
  <c r="N842" i="2"/>
  <c r="N841" i="2"/>
  <c r="N840" i="2"/>
  <c r="N839" i="2"/>
  <c r="N838" i="2"/>
  <c r="N837" i="2"/>
  <c r="N836" i="2"/>
  <c r="N835" i="2"/>
  <c r="N834" i="2"/>
  <c r="N833" i="2"/>
  <c r="N832" i="2"/>
  <c r="N831" i="2"/>
  <c r="N830" i="2"/>
  <c r="N829" i="2"/>
  <c r="N828" i="2"/>
  <c r="N827" i="2"/>
  <c r="N826" i="2"/>
  <c r="N825" i="2"/>
  <c r="N824" i="2"/>
  <c r="N823" i="2"/>
  <c r="N822" i="2"/>
  <c r="N821" i="2"/>
  <c r="N820" i="2"/>
  <c r="N819" i="2"/>
  <c r="N818" i="2"/>
  <c r="N817" i="2"/>
  <c r="N816" i="2"/>
  <c r="N815" i="2"/>
  <c r="N814" i="2"/>
  <c r="N813" i="2"/>
  <c r="N812" i="2"/>
  <c r="N811" i="2"/>
  <c r="N810" i="2"/>
  <c r="N809" i="2"/>
  <c r="N808" i="2"/>
  <c r="N807" i="2"/>
  <c r="N806" i="2"/>
  <c r="N805" i="2"/>
  <c r="N804" i="2"/>
  <c r="N803" i="2"/>
  <c r="N802" i="2"/>
  <c r="N801" i="2"/>
  <c r="N800" i="2"/>
  <c r="N799" i="2"/>
  <c r="N798" i="2"/>
  <c r="N797" i="2"/>
  <c r="N796" i="2"/>
  <c r="N795" i="2"/>
  <c r="N794" i="2"/>
  <c r="N793" i="2"/>
  <c r="N792" i="2"/>
  <c r="N791" i="2"/>
  <c r="N790" i="2"/>
  <c r="N789" i="2"/>
  <c r="N788" i="2"/>
  <c r="N787" i="2"/>
  <c r="N786" i="2"/>
  <c r="N785" i="2"/>
  <c r="N784" i="2"/>
  <c r="N783" i="2"/>
  <c r="N782" i="2"/>
  <c r="N781" i="2"/>
  <c r="N780" i="2"/>
  <c r="N779" i="2"/>
  <c r="N778" i="2"/>
  <c r="N777" i="2"/>
  <c r="N776" i="2"/>
  <c r="N775" i="2"/>
  <c r="N774" i="2"/>
  <c r="N773" i="2"/>
  <c r="N772" i="2"/>
  <c r="N771" i="2"/>
  <c r="N770" i="2"/>
  <c r="N769" i="2"/>
  <c r="N768" i="2"/>
  <c r="N767" i="2"/>
  <c r="N766" i="2"/>
  <c r="N765" i="2"/>
  <c r="N764" i="2"/>
  <c r="N763" i="2"/>
  <c r="N762" i="2"/>
  <c r="N761" i="2"/>
  <c r="N760" i="2"/>
  <c r="N759" i="2"/>
  <c r="N758" i="2"/>
  <c r="N757" i="2"/>
  <c r="N756" i="2"/>
  <c r="N755" i="2"/>
  <c r="N754" i="2"/>
  <c r="N753" i="2"/>
  <c r="N752" i="2"/>
  <c r="O1209" i="2"/>
  <c r="A1205" i="2"/>
  <c r="H1200" i="2"/>
  <c r="N1195" i="2"/>
  <c r="D1191" i="2"/>
  <c r="L1186" i="2"/>
  <c r="D1182" i="2"/>
  <c r="D1178" i="2"/>
  <c r="D1174" i="2"/>
  <c r="D1170" i="2"/>
  <c r="D1166" i="2"/>
  <c r="D1162" i="2"/>
  <c r="D1158" i="2"/>
  <c r="D1154" i="2"/>
  <c r="D1150" i="2"/>
  <c r="D1146" i="2"/>
  <c r="D1142" i="2"/>
  <c r="D1138" i="2"/>
  <c r="N1134" i="2"/>
  <c r="B1131" i="2"/>
  <c r="M1127" i="2"/>
  <c r="A1124" i="2"/>
  <c r="L1120" i="2"/>
  <c r="P1116" i="2"/>
  <c r="F1113" i="2"/>
  <c r="O1109" i="2"/>
  <c r="D1106" i="2"/>
  <c r="N1102" i="2"/>
  <c r="B1099" i="2"/>
  <c r="M1095" i="2"/>
  <c r="A1092" i="2"/>
  <c r="L1088" i="2"/>
  <c r="P1084" i="2"/>
  <c r="F1081" i="2"/>
  <c r="O1077" i="2"/>
  <c r="D1074" i="2"/>
  <c r="N1070" i="2"/>
  <c r="B1067" i="2"/>
  <c r="M1063" i="2"/>
  <c r="M1060" i="2"/>
  <c r="N1057" i="2"/>
  <c r="O1054" i="2"/>
  <c r="J1052" i="2"/>
  <c r="G1050" i="2"/>
  <c r="E1048" i="2"/>
  <c r="C1046" i="2"/>
  <c r="A1044" i="2"/>
  <c r="O1041" i="2"/>
  <c r="M1039" i="2"/>
  <c r="M1037" i="2"/>
  <c r="M1035" i="2"/>
  <c r="M1033" i="2"/>
  <c r="M1031" i="2"/>
  <c r="M1029" i="2"/>
  <c r="M1027" i="2"/>
  <c r="M1025" i="2"/>
  <c r="M1023" i="2"/>
  <c r="M1021" i="2"/>
  <c r="M1019" i="2"/>
  <c r="M1017" i="2"/>
  <c r="M1015" i="2"/>
  <c r="M1013" i="2"/>
  <c r="M1011" i="2"/>
  <c r="M1009" i="2"/>
  <c r="M1007" i="2"/>
  <c r="M1005" i="2"/>
  <c r="M1003" i="2"/>
  <c r="M1001" i="2"/>
  <c r="M999" i="2"/>
  <c r="M997" i="2"/>
  <c r="M995" i="2"/>
  <c r="M993" i="2"/>
  <c r="M991" i="2"/>
  <c r="M989" i="2"/>
  <c r="M987" i="2"/>
  <c r="M985" i="2"/>
  <c r="M983" i="2"/>
  <c r="M981" i="2"/>
  <c r="M979" i="2"/>
  <c r="M977" i="2"/>
  <c r="M975" i="2"/>
  <c r="M973" i="2"/>
  <c r="M971" i="2"/>
  <c r="M969" i="2"/>
  <c r="M967" i="2"/>
  <c r="M965" i="2"/>
  <c r="M963" i="2"/>
  <c r="M961" i="2"/>
  <c r="M959" i="2"/>
  <c r="M957" i="2"/>
  <c r="M955" i="2"/>
  <c r="M953" i="2"/>
  <c r="M951" i="2"/>
  <c r="M949" i="2"/>
  <c r="M947" i="2"/>
  <c r="M945" i="2"/>
  <c r="M943" i="2"/>
  <c r="M941" i="2"/>
  <c r="M939" i="2"/>
  <c r="M937" i="2"/>
  <c r="M935" i="2"/>
  <c r="M933" i="2"/>
  <c r="M931" i="2"/>
  <c r="M929" i="2"/>
  <c r="M927" i="2"/>
  <c r="O925" i="2"/>
  <c r="A924" i="2"/>
  <c r="E922" i="2"/>
  <c r="H920" i="2"/>
  <c r="N918" i="2"/>
  <c r="P916" i="2"/>
  <c r="B915" i="2"/>
  <c r="G913" i="2"/>
  <c r="M911" i="2"/>
  <c r="O909" i="2"/>
  <c r="A908" i="2"/>
  <c r="E906" i="2"/>
  <c r="H904" i="2"/>
  <c r="N902" i="2"/>
  <c r="B901" i="2"/>
  <c r="H899" i="2"/>
  <c r="P897" i="2"/>
  <c r="F896" i="2"/>
  <c r="N894" i="2"/>
  <c r="B893" i="2"/>
  <c r="H891" i="2"/>
  <c r="P889" i="2"/>
  <c r="F888" i="2"/>
  <c r="N886" i="2"/>
  <c r="F885" i="2"/>
  <c r="A884" i="2"/>
  <c r="M882" i="2"/>
  <c r="H881" i="2"/>
  <c r="F880" i="2"/>
  <c r="D879" i="2"/>
  <c r="B878" i="2"/>
  <c r="P876" i="2"/>
  <c r="N875" i="2"/>
  <c r="L874" i="2"/>
  <c r="I873" i="2"/>
  <c r="H872" i="2"/>
  <c r="G871" i="2"/>
  <c r="F870" i="2"/>
  <c r="E869" i="2"/>
  <c r="D868" i="2"/>
  <c r="C867" i="2"/>
  <c r="B866" i="2"/>
  <c r="A865" i="2"/>
  <c r="P863" i="2"/>
  <c r="O862" i="2"/>
  <c r="N861" i="2"/>
  <c r="G1209" i="2"/>
  <c r="H1204" i="2"/>
  <c r="N1199" i="2"/>
  <c r="D1195" i="2"/>
  <c r="L1190" i="2"/>
  <c r="B1186" i="2"/>
  <c r="L1181" i="2"/>
  <c r="L1177" i="2"/>
  <c r="L1173" i="2"/>
  <c r="L1169" i="2"/>
  <c r="L1165" i="2"/>
  <c r="L1161" i="2"/>
  <c r="L1157" i="2"/>
  <c r="L1153" i="2"/>
  <c r="L1149" i="2"/>
  <c r="L1145" i="2"/>
  <c r="L1141" i="2"/>
  <c r="M1137" i="2"/>
  <c r="A1134" i="2"/>
  <c r="L1130" i="2"/>
  <c r="P1126" i="2"/>
  <c r="F1123" i="2"/>
  <c r="O1119" i="2"/>
  <c r="D1116" i="2"/>
  <c r="N1112" i="2"/>
  <c r="B1109" i="2"/>
  <c r="M1105" i="2"/>
  <c r="A1102" i="2"/>
  <c r="L1098" i="2"/>
  <c r="P1094" i="2"/>
  <c r="F1091" i="2"/>
  <c r="O1087" i="2"/>
  <c r="D1084" i="2"/>
  <c r="N1080" i="2"/>
  <c r="B1077" i="2"/>
  <c r="M1073" i="2"/>
  <c r="A1070" i="2"/>
  <c r="L1066" i="2"/>
  <c r="A1063" i="2"/>
  <c r="B1060" i="2"/>
  <c r="D1057" i="2"/>
  <c r="F1054" i="2"/>
  <c r="C1052" i="2"/>
  <c r="A1050" i="2"/>
  <c r="O1047" i="2"/>
  <c r="M1045" i="2"/>
  <c r="K1043" i="2"/>
  <c r="I1041" i="2"/>
  <c r="G1039" i="2"/>
  <c r="G1037" i="2"/>
  <c r="G1035" i="2"/>
  <c r="G1033" i="2"/>
  <c r="G1031" i="2"/>
  <c r="G1029" i="2"/>
  <c r="G1027" i="2"/>
  <c r="G1025" i="2"/>
  <c r="G1023" i="2"/>
  <c r="G1021" i="2"/>
  <c r="G1019" i="2"/>
  <c r="G1017" i="2"/>
  <c r="G1015" i="2"/>
  <c r="G1013" i="2"/>
  <c r="G1011" i="2"/>
  <c r="G1009" i="2"/>
  <c r="G1007" i="2"/>
  <c r="G1005" i="2"/>
  <c r="G1003" i="2"/>
  <c r="G1001" i="2"/>
  <c r="G999" i="2"/>
  <c r="G997" i="2"/>
  <c r="G995" i="2"/>
  <c r="G993" i="2"/>
  <c r="G991" i="2"/>
  <c r="G989" i="2"/>
  <c r="G987" i="2"/>
  <c r="G985" i="2"/>
  <c r="G983" i="2"/>
  <c r="G981" i="2"/>
  <c r="G979" i="2"/>
  <c r="G977" i="2"/>
  <c r="G975" i="2"/>
  <c r="G973" i="2"/>
  <c r="G971" i="2"/>
  <c r="G969" i="2"/>
  <c r="G967" i="2"/>
  <c r="G965" i="2"/>
  <c r="G963" i="2"/>
  <c r="G961" i="2"/>
  <c r="G959" i="2"/>
  <c r="G957" i="2"/>
  <c r="G955" i="2"/>
  <c r="G953" i="2"/>
  <c r="G951" i="2"/>
  <c r="G949" i="2"/>
  <c r="G947" i="2"/>
  <c r="G945" i="2"/>
  <c r="G943" i="2"/>
  <c r="G941" i="2"/>
  <c r="G939" i="2"/>
  <c r="G937" i="2"/>
  <c r="G935" i="2"/>
  <c r="G933" i="2"/>
  <c r="G931" i="2"/>
  <c r="G929" i="2"/>
  <c r="H927" i="2"/>
  <c r="N925" i="2"/>
  <c r="P923" i="2"/>
  <c r="B922" i="2"/>
  <c r="G920" i="2"/>
  <c r="M918" i="2"/>
  <c r="O916" i="2"/>
  <c r="A915" i="2"/>
  <c r="E913" i="2"/>
  <c r="H911" i="2"/>
  <c r="N909" i="2"/>
  <c r="P907" i="2"/>
  <c r="B906" i="2"/>
  <c r="G904" i="2"/>
  <c r="M902" i="2"/>
  <c r="A901" i="2"/>
  <c r="G899" i="2"/>
  <c r="O897" i="2"/>
  <c r="E896" i="2"/>
  <c r="M894" i="2"/>
  <c r="A893" i="2"/>
  <c r="G891" i="2"/>
  <c r="O889" i="2"/>
  <c r="E888" i="2"/>
  <c r="M886" i="2"/>
  <c r="E885" i="2"/>
  <c r="P883" i="2"/>
  <c r="K882" i="2"/>
  <c r="G881" i="2"/>
  <c r="E880" i="2"/>
  <c r="C879" i="2"/>
  <c r="A878" i="2"/>
  <c r="O876" i="2"/>
  <c r="M875" i="2"/>
  <c r="K874" i="2"/>
  <c r="H873" i="2"/>
  <c r="G872" i="2"/>
  <c r="F871" i="2"/>
  <c r="E870" i="2"/>
  <c r="D869" i="2"/>
  <c r="C868" i="2"/>
  <c r="B867" i="2"/>
  <c r="A866" i="2"/>
  <c r="P864" i="2"/>
  <c r="O863" i="2"/>
  <c r="N862" i="2"/>
  <c r="M861" i="2"/>
  <c r="L860" i="2"/>
  <c r="L859" i="2"/>
  <c r="L858" i="2"/>
  <c r="L857" i="2"/>
  <c r="L856" i="2"/>
  <c r="L855" i="2"/>
  <c r="L854" i="2"/>
  <c r="L853" i="2"/>
  <c r="L852" i="2"/>
  <c r="L851" i="2"/>
  <c r="L850" i="2"/>
  <c r="L849" i="2"/>
  <c r="L848" i="2"/>
  <c r="L847" i="2"/>
  <c r="L846" i="2"/>
  <c r="L845" i="2"/>
  <c r="L844" i="2"/>
  <c r="L843" i="2"/>
  <c r="L842" i="2"/>
  <c r="L841" i="2"/>
  <c r="L840" i="2"/>
  <c r="L839" i="2"/>
  <c r="L838" i="2"/>
  <c r="L837" i="2"/>
  <c r="L836" i="2"/>
  <c r="L835" i="2"/>
  <c r="L834" i="2"/>
  <c r="L833" i="2"/>
  <c r="L832" i="2"/>
  <c r="L831" i="2"/>
  <c r="L830" i="2"/>
  <c r="L829" i="2"/>
  <c r="L828" i="2"/>
  <c r="L827" i="2"/>
  <c r="L826" i="2"/>
  <c r="L825" i="2"/>
  <c r="L824" i="2"/>
  <c r="L823" i="2"/>
  <c r="L822" i="2"/>
  <c r="L821" i="2"/>
  <c r="L820" i="2"/>
  <c r="L819" i="2"/>
  <c r="L818" i="2"/>
  <c r="L817" i="2"/>
  <c r="L816" i="2"/>
  <c r="L815" i="2"/>
  <c r="L814" i="2"/>
  <c r="L813" i="2"/>
  <c r="L812" i="2"/>
  <c r="L811" i="2"/>
  <c r="L810" i="2"/>
  <c r="L809" i="2"/>
  <c r="L808" i="2"/>
  <c r="L807" i="2"/>
  <c r="L806" i="2"/>
  <c r="L805" i="2"/>
  <c r="L804" i="2"/>
  <c r="L803" i="2"/>
  <c r="L802" i="2"/>
  <c r="L801" i="2"/>
  <c r="L800" i="2"/>
  <c r="L799" i="2"/>
  <c r="L798" i="2"/>
  <c r="L797" i="2"/>
  <c r="L796" i="2"/>
  <c r="L795" i="2"/>
  <c r="L794" i="2"/>
  <c r="G1208" i="2"/>
  <c r="I1203" i="2"/>
  <c r="O1198" i="2"/>
  <c r="G1194" i="2"/>
  <c r="M1189" i="2"/>
  <c r="C1185" i="2"/>
  <c r="O1180" i="2"/>
  <c r="O1176" i="2"/>
  <c r="O1172" i="2"/>
  <c r="O1168" i="2"/>
  <c r="O1164" i="2"/>
  <c r="O1160" i="2"/>
  <c r="O1156" i="2"/>
  <c r="O1152" i="2"/>
  <c r="O1148" i="2"/>
  <c r="O1144" i="2"/>
  <c r="O1140" i="2"/>
  <c r="A1137" i="2"/>
  <c r="L1133" i="2"/>
  <c r="P1129" i="2"/>
  <c r="F1126" i="2"/>
  <c r="O1122" i="2"/>
  <c r="D1119" i="2"/>
  <c r="N1115" i="2"/>
  <c r="B1112" i="2"/>
  <c r="M1108" i="2"/>
  <c r="A1105" i="2"/>
  <c r="L1101" i="2"/>
  <c r="P1097" i="2"/>
  <c r="F1094" i="2"/>
  <c r="O1090" i="2"/>
  <c r="D1087" i="2"/>
  <c r="N1083" i="2"/>
  <c r="B1080" i="2"/>
  <c r="M1076" i="2"/>
  <c r="A1073" i="2"/>
  <c r="L1069" i="2"/>
  <c r="P1065" i="2"/>
  <c r="L1062" i="2"/>
  <c r="M1059" i="2"/>
  <c r="N1056" i="2"/>
  <c r="P1053" i="2"/>
  <c r="N1051" i="2"/>
  <c r="L1049" i="2"/>
  <c r="J1047" i="2"/>
  <c r="G1045" i="2"/>
  <c r="E1043" i="2"/>
  <c r="C1041" i="2"/>
  <c r="B1039" i="2"/>
  <c r="B1037" i="2"/>
  <c r="B1035" i="2"/>
  <c r="B1033" i="2"/>
  <c r="B1031" i="2"/>
  <c r="B1029" i="2"/>
  <c r="B1027" i="2"/>
  <c r="B1025" i="2"/>
  <c r="B1023" i="2"/>
  <c r="B1021" i="2"/>
  <c r="B1019" i="2"/>
  <c r="B1017" i="2"/>
  <c r="B1015" i="2"/>
  <c r="B1013" i="2"/>
  <c r="B1011" i="2"/>
  <c r="B1009" i="2"/>
  <c r="B1007" i="2"/>
  <c r="B1005" i="2"/>
  <c r="B1003" i="2"/>
  <c r="B1001" i="2"/>
  <c r="B999" i="2"/>
  <c r="B997" i="2"/>
  <c r="B995" i="2"/>
  <c r="B993" i="2"/>
  <c r="B991" i="2"/>
  <c r="B989" i="2"/>
  <c r="B987" i="2"/>
  <c r="B985" i="2"/>
  <c r="B983" i="2"/>
  <c r="B981" i="2"/>
  <c r="B979" i="2"/>
  <c r="B977" i="2"/>
  <c r="B975" i="2"/>
  <c r="B973" i="2"/>
  <c r="B971" i="2"/>
  <c r="B969" i="2"/>
  <c r="B967" i="2"/>
  <c r="B965" i="2"/>
  <c r="B963" i="2"/>
  <c r="B961" i="2"/>
  <c r="B959" i="2"/>
  <c r="B957" i="2"/>
  <c r="B955" i="2"/>
  <c r="B953" i="2"/>
  <c r="B951" i="2"/>
  <c r="B949" i="2"/>
  <c r="B947" i="2"/>
  <c r="B945" i="2"/>
  <c r="B943" i="2"/>
  <c r="B941" i="2"/>
  <c r="B939" i="2"/>
  <c r="B937" i="2"/>
  <c r="B935" i="2"/>
  <c r="B933" i="2"/>
  <c r="B931" i="2"/>
  <c r="B929" i="2"/>
  <c r="E927" i="2"/>
  <c r="H925" i="2"/>
  <c r="N923" i="2"/>
  <c r="P921" i="2"/>
  <c r="B920" i="2"/>
  <c r="G918" i="2"/>
  <c r="M916" i="2"/>
  <c r="O914" i="2"/>
  <c r="A913" i="2"/>
  <c r="E911" i="2"/>
  <c r="H909" i="2"/>
  <c r="N907" i="2"/>
  <c r="P905" i="2"/>
  <c r="B904" i="2"/>
  <c r="G902" i="2"/>
  <c r="O900" i="2"/>
  <c r="E899" i="2"/>
  <c r="M897" i="2"/>
  <c r="A896" i="2"/>
  <c r="G894" i="2"/>
  <c r="O892" i="2"/>
  <c r="E891" i="2"/>
  <c r="M889" i="2"/>
  <c r="A888" i="2"/>
  <c r="H886" i="2"/>
  <c r="B885" i="2"/>
  <c r="N883" i="2"/>
  <c r="G882" i="2"/>
  <c r="E881" i="2"/>
  <c r="C880" i="2"/>
  <c r="A879" i="2"/>
  <c r="O877" i="2"/>
  <c r="M876" i="2"/>
  <c r="K875" i="2"/>
  <c r="G874" i="2"/>
  <c r="F873" i="2"/>
  <c r="E872" i="2"/>
  <c r="D871" i="2"/>
  <c r="C870" i="2"/>
  <c r="B869" i="2"/>
  <c r="A868" i="2"/>
  <c r="P866" i="2"/>
  <c r="O865" i="2"/>
  <c r="N864" i="2"/>
  <c r="M863" i="2"/>
  <c r="L862" i="2"/>
  <c r="K861" i="2"/>
  <c r="J860" i="2"/>
  <c r="J859" i="2"/>
  <c r="J858" i="2"/>
  <c r="J857" i="2"/>
  <c r="J856" i="2"/>
  <c r="J855" i="2"/>
  <c r="J854" i="2"/>
  <c r="J853" i="2"/>
  <c r="J852" i="2"/>
  <c r="J851" i="2"/>
  <c r="J850" i="2"/>
  <c r="J849" i="2"/>
  <c r="J848" i="2"/>
  <c r="J847" i="2"/>
  <c r="J846" i="2"/>
  <c r="J845" i="2"/>
  <c r="J844" i="2"/>
  <c r="J843" i="2"/>
  <c r="J842" i="2"/>
  <c r="J841" i="2"/>
  <c r="J840" i="2"/>
  <c r="J839" i="2"/>
  <c r="J838" i="2"/>
  <c r="J837" i="2"/>
  <c r="J836" i="2"/>
  <c r="J835" i="2"/>
  <c r="J834" i="2"/>
  <c r="J833" i="2"/>
  <c r="J832" i="2"/>
  <c r="J831" i="2"/>
  <c r="J830" i="2"/>
  <c r="J829" i="2"/>
  <c r="J828" i="2"/>
  <c r="J827" i="2"/>
  <c r="J826" i="2"/>
  <c r="J825" i="2"/>
  <c r="J824" i="2"/>
  <c r="J823" i="2"/>
  <c r="J822" i="2"/>
  <c r="J821" i="2"/>
  <c r="J820" i="2"/>
  <c r="J819" i="2"/>
  <c r="J818" i="2"/>
  <c r="J817" i="2"/>
  <c r="J816" i="2"/>
  <c r="J815" i="2"/>
  <c r="J814" i="2"/>
  <c r="J813" i="2"/>
  <c r="J812" i="2"/>
  <c r="J811" i="2"/>
  <c r="J810" i="2"/>
  <c r="J809" i="2"/>
  <c r="J808" i="2"/>
  <c r="J807" i="2"/>
  <c r="J806" i="2"/>
  <c r="J805" i="2"/>
  <c r="J804" i="2"/>
  <c r="J803" i="2"/>
  <c r="J802" i="2"/>
  <c r="J801" i="2"/>
  <c r="J800" i="2"/>
  <c r="J799" i="2"/>
  <c r="J798" i="2"/>
  <c r="J797" i="2"/>
  <c r="J796" i="2"/>
  <c r="J795" i="2"/>
  <c r="J794" i="2"/>
  <c r="J793" i="2"/>
  <c r="J792" i="2"/>
  <c r="J791" i="2"/>
  <c r="J790" i="2"/>
  <c r="J789" i="2"/>
  <c r="J788" i="2"/>
  <c r="J787" i="2"/>
  <c r="J786" i="2"/>
  <c r="J785" i="2"/>
  <c r="J784" i="2"/>
  <c r="J783" i="2"/>
  <c r="J782" i="2"/>
  <c r="J781" i="2"/>
  <c r="J780" i="2"/>
  <c r="J779" i="2"/>
  <c r="J778" i="2"/>
  <c r="J777" i="2"/>
  <c r="J776" i="2"/>
  <c r="J775" i="2"/>
  <c r="J774" i="2"/>
  <c r="J773" i="2"/>
  <c r="J772" i="2"/>
  <c r="J771" i="2"/>
  <c r="J770" i="2"/>
  <c r="J769" i="2"/>
  <c r="J768" i="2"/>
  <c r="J767" i="2"/>
  <c r="J766" i="2"/>
  <c r="J765" i="2"/>
  <c r="J764" i="2"/>
  <c r="J763" i="2"/>
  <c r="J762" i="2"/>
  <c r="J761" i="2"/>
  <c r="J760" i="2"/>
  <c r="J759" i="2"/>
  <c r="J758" i="2"/>
  <c r="J757" i="2"/>
  <c r="J756" i="2"/>
  <c r="J755" i="2"/>
  <c r="J754" i="2"/>
  <c r="J753" i="2"/>
  <c r="J752" i="2"/>
  <c r="J751" i="2"/>
  <c r="J750" i="2"/>
  <c r="J749" i="2"/>
  <c r="J748" i="2"/>
  <c r="J747" i="2"/>
  <c r="J746" i="2"/>
  <c r="J745" i="2"/>
  <c r="J744" i="2"/>
  <c r="J743" i="2"/>
  <c r="J742" i="2"/>
  <c r="J741" i="2"/>
  <c r="J740" i="2"/>
  <c r="J739" i="2"/>
  <c r="J738" i="2"/>
  <c r="J737" i="2"/>
  <c r="J736" i="2"/>
  <c r="J735" i="2"/>
  <c r="J734" i="2"/>
  <c r="J733" i="2"/>
  <c r="J732" i="2"/>
  <c r="J731" i="2"/>
  <c r="J730" i="2"/>
  <c r="J729" i="2"/>
  <c r="J728" i="2"/>
  <c r="J727" i="2"/>
  <c r="J726" i="2"/>
  <c r="J725" i="2"/>
  <c r="J724" i="2"/>
  <c r="J723" i="2"/>
  <c r="J722" i="2"/>
  <c r="J721" i="2"/>
  <c r="J720" i="2"/>
  <c r="J719" i="2"/>
  <c r="J718" i="2"/>
  <c r="J717" i="2"/>
  <c r="J716" i="2"/>
  <c r="J715" i="2"/>
  <c r="H1203" i="2"/>
  <c r="D1194" i="2"/>
  <c r="B1185" i="2"/>
  <c r="N1176" i="2"/>
  <c r="N1168" i="2"/>
  <c r="N1160" i="2"/>
  <c r="N1152" i="2"/>
  <c r="N1144" i="2"/>
  <c r="P1136" i="2"/>
  <c r="O1129" i="2"/>
  <c r="N1122" i="2"/>
  <c r="M1115" i="2"/>
  <c r="L1108" i="2"/>
  <c r="F1101" i="2"/>
  <c r="D1094" i="2"/>
  <c r="B1087" i="2"/>
  <c r="A1080" i="2"/>
  <c r="P1072" i="2"/>
  <c r="O1065" i="2"/>
  <c r="L1059" i="2"/>
  <c r="O1053" i="2"/>
  <c r="K1049" i="2"/>
  <c r="F1045" i="2"/>
  <c r="B1041" i="2"/>
  <c r="A1037" i="2"/>
  <c r="A1033" i="2"/>
  <c r="A1029" i="2"/>
  <c r="A1025" i="2"/>
  <c r="A1021" i="2"/>
  <c r="A1017" i="2"/>
  <c r="A1013" i="2"/>
  <c r="A1009" i="2"/>
  <c r="A1005" i="2"/>
  <c r="A1001" i="2"/>
  <c r="A997" i="2"/>
  <c r="A993" i="2"/>
  <c r="A989" i="2"/>
  <c r="A985" i="2"/>
  <c r="A981" i="2"/>
  <c r="A977" i="2"/>
  <c r="A973" i="2"/>
  <c r="A969" i="2"/>
  <c r="A965" i="2"/>
  <c r="A961" i="2"/>
  <c r="A957" i="2"/>
  <c r="A953" i="2"/>
  <c r="A949" i="2"/>
  <c r="A945" i="2"/>
  <c r="A941" i="2"/>
  <c r="A937" i="2"/>
  <c r="A933" i="2"/>
  <c r="A929" i="2"/>
  <c r="G925" i="2"/>
  <c r="O921" i="2"/>
  <c r="E918" i="2"/>
  <c r="N914" i="2"/>
  <c r="B911" i="2"/>
  <c r="M907" i="2"/>
  <c r="A904" i="2"/>
  <c r="N900" i="2"/>
  <c r="H897" i="2"/>
  <c r="F894" i="2"/>
  <c r="B891" i="2"/>
  <c r="P887" i="2"/>
  <c r="A885" i="2"/>
  <c r="F882" i="2"/>
  <c r="B880" i="2"/>
  <c r="N877" i="2"/>
  <c r="H875" i="2"/>
  <c r="E873" i="2"/>
  <c r="C871" i="2"/>
  <c r="A869" i="2"/>
  <c r="O866" i="2"/>
  <c r="M864" i="2"/>
  <c r="K862" i="2"/>
  <c r="K860" i="2"/>
  <c r="C859" i="2"/>
  <c r="E857" i="2"/>
  <c r="G855" i="2"/>
  <c r="I853" i="2"/>
  <c r="M851" i="2"/>
  <c r="D850" i="2"/>
  <c r="F848" i="2"/>
  <c r="H846" i="2"/>
  <c r="K844" i="2"/>
  <c r="C843" i="2"/>
  <c r="E841" i="2"/>
  <c r="G839" i="2"/>
  <c r="I837" i="2"/>
  <c r="M835" i="2"/>
  <c r="D834" i="2"/>
  <c r="F832" i="2"/>
  <c r="H830" i="2"/>
  <c r="K828" i="2"/>
  <c r="C827" i="2"/>
  <c r="E825" i="2"/>
  <c r="G823" i="2"/>
  <c r="I821" i="2"/>
  <c r="M819" i="2"/>
  <c r="D818" i="2"/>
  <c r="F816" i="2"/>
  <c r="H814" i="2"/>
  <c r="K812" i="2"/>
  <c r="C811" i="2"/>
  <c r="E809" i="2"/>
  <c r="G807" i="2"/>
  <c r="I805" i="2"/>
  <c r="M803" i="2"/>
  <c r="D802" i="2"/>
  <c r="F800" i="2"/>
  <c r="H798" i="2"/>
  <c r="K796" i="2"/>
  <c r="C795" i="2"/>
  <c r="F793" i="2"/>
  <c r="M791" i="2"/>
  <c r="G790" i="2"/>
  <c r="P788" i="2"/>
  <c r="H787" i="2"/>
  <c r="C786" i="2"/>
  <c r="I784" i="2"/>
  <c r="D783" i="2"/>
  <c r="K781" i="2"/>
  <c r="E780" i="2"/>
  <c r="L778" i="2"/>
  <c r="F777" i="2"/>
  <c r="M775" i="2"/>
  <c r="G774" i="2"/>
  <c r="P772" i="2"/>
  <c r="H771" i="2"/>
  <c r="C770" i="2"/>
  <c r="I768" i="2"/>
  <c r="D767" i="2"/>
  <c r="K765" i="2"/>
  <c r="E764" i="2"/>
  <c r="L762" i="2"/>
  <c r="F761" i="2"/>
  <c r="M759" i="2"/>
  <c r="G758" i="2"/>
  <c r="P756" i="2"/>
  <c r="H755" i="2"/>
  <c r="C754" i="2"/>
  <c r="I752" i="2"/>
  <c r="E751" i="2"/>
  <c r="N749" i="2"/>
  <c r="I748" i="2"/>
  <c r="E747" i="2"/>
  <c r="N745" i="2"/>
  <c r="I744" i="2"/>
  <c r="E743" i="2"/>
  <c r="N741" i="2"/>
  <c r="I740" i="2"/>
  <c r="E739" i="2"/>
  <c r="N737" i="2"/>
  <c r="I736" i="2"/>
  <c r="E735" i="2"/>
  <c r="N733" i="2"/>
  <c r="I732" i="2"/>
  <c r="E731" i="2"/>
  <c r="N729" i="2"/>
  <c r="I728" i="2"/>
  <c r="E727" i="2"/>
  <c r="N725" i="2"/>
  <c r="I724" i="2"/>
  <c r="E723" i="2"/>
  <c r="N721" i="2"/>
  <c r="I720" i="2"/>
  <c r="E719" i="2"/>
  <c r="N717" i="2"/>
  <c r="I716" i="2"/>
  <c r="E715" i="2"/>
  <c r="P713" i="2"/>
  <c r="L712" i="2"/>
  <c r="J711" i="2"/>
  <c r="H710" i="2"/>
  <c r="F709" i="2"/>
  <c r="D708" i="2"/>
  <c r="B707" i="2"/>
  <c r="N705" i="2"/>
  <c r="L704" i="2"/>
  <c r="J703" i="2"/>
  <c r="H702" i="2"/>
  <c r="F701" i="2"/>
  <c r="E700" i="2"/>
  <c r="D699" i="2"/>
  <c r="C698" i="2"/>
  <c r="B697" i="2"/>
  <c r="A696" i="2"/>
  <c r="P694" i="2"/>
  <c r="N693" i="2"/>
  <c r="M692" i="2"/>
  <c r="L691" i="2"/>
  <c r="K690" i="2"/>
  <c r="J689" i="2"/>
  <c r="I688" i="2"/>
  <c r="H687" i="2"/>
  <c r="G686" i="2"/>
  <c r="F685" i="2"/>
  <c r="E684" i="2"/>
  <c r="D683" i="2"/>
  <c r="D682" i="2"/>
  <c r="D681" i="2"/>
  <c r="D680" i="2"/>
  <c r="D679" i="2"/>
  <c r="D678" i="2"/>
  <c r="D677" i="2"/>
  <c r="D676" i="2"/>
  <c r="D675" i="2"/>
  <c r="D674" i="2"/>
  <c r="D673" i="2"/>
  <c r="D672" i="2"/>
  <c r="D671" i="2"/>
  <c r="D670" i="2"/>
  <c r="D669" i="2"/>
  <c r="D668" i="2"/>
  <c r="D667" i="2"/>
  <c r="D666" i="2"/>
  <c r="D665" i="2"/>
  <c r="D664" i="2"/>
  <c r="D663" i="2"/>
  <c r="D662" i="2"/>
  <c r="D661" i="2"/>
  <c r="D660" i="2"/>
  <c r="D659" i="2"/>
  <c r="D658" i="2"/>
  <c r="D657" i="2"/>
  <c r="D656" i="2"/>
  <c r="D655" i="2"/>
  <c r="D654" i="2"/>
  <c r="D653" i="2"/>
  <c r="D652" i="2"/>
  <c r="D651" i="2"/>
  <c r="D650" i="2"/>
  <c r="D649" i="2"/>
  <c r="D648" i="2"/>
  <c r="D647" i="2"/>
  <c r="D646" i="2"/>
  <c r="D645" i="2"/>
  <c r="D644" i="2"/>
  <c r="D643" i="2"/>
  <c r="D642" i="2"/>
  <c r="D641" i="2"/>
  <c r="D640" i="2"/>
  <c r="D639" i="2"/>
  <c r="D638" i="2"/>
  <c r="D637" i="2"/>
  <c r="D636" i="2"/>
  <c r="D635" i="2"/>
  <c r="D634" i="2"/>
  <c r="D633" i="2"/>
  <c r="D632" i="2"/>
  <c r="D631" i="2"/>
  <c r="D630" i="2"/>
  <c r="D629" i="2"/>
  <c r="D628" i="2"/>
  <c r="D627" i="2"/>
  <c r="D626" i="2"/>
  <c r="D625" i="2"/>
  <c r="D624" i="2"/>
  <c r="D623" i="2"/>
  <c r="D622" i="2"/>
  <c r="D621" i="2"/>
  <c r="D620" i="2"/>
  <c r="D619" i="2"/>
  <c r="D618" i="2"/>
  <c r="D617" i="2"/>
  <c r="D616" i="2"/>
  <c r="D615" i="2"/>
  <c r="D614" i="2"/>
  <c r="D613" i="2"/>
  <c r="D612" i="2"/>
  <c r="D611" i="2"/>
  <c r="D610" i="2"/>
  <c r="D609" i="2"/>
  <c r="D608" i="2"/>
  <c r="D607" i="2"/>
  <c r="D606" i="2"/>
  <c r="D605" i="2"/>
  <c r="D604" i="2"/>
  <c r="D603" i="2"/>
  <c r="D602" i="2"/>
  <c r="D601" i="2"/>
  <c r="D600" i="2"/>
  <c r="D599" i="2"/>
  <c r="D598" i="2"/>
  <c r="D597" i="2"/>
  <c r="D596" i="2"/>
  <c r="D595" i="2"/>
  <c r="D594" i="2"/>
  <c r="D593" i="2"/>
  <c r="D592" i="2"/>
  <c r="D591" i="2"/>
  <c r="D590" i="2"/>
  <c r="D589" i="2"/>
  <c r="D588" i="2"/>
  <c r="D587" i="2"/>
  <c r="D586" i="2"/>
  <c r="D585" i="2"/>
  <c r="D584" i="2"/>
  <c r="D583" i="2"/>
  <c r="D582" i="2"/>
  <c r="D581" i="2"/>
  <c r="D580" i="2"/>
  <c r="D579" i="2"/>
  <c r="D578" i="2"/>
  <c r="D577" i="2"/>
  <c r="D576" i="2"/>
  <c r="D575" i="2"/>
  <c r="D574" i="2"/>
  <c r="D573" i="2"/>
  <c r="D572" i="2"/>
  <c r="D571" i="2"/>
  <c r="D570" i="2"/>
  <c r="D569" i="2"/>
  <c r="D568" i="2"/>
  <c r="D567" i="2"/>
  <c r="D566" i="2"/>
  <c r="D565" i="2"/>
  <c r="D564" i="2"/>
  <c r="D563" i="2"/>
  <c r="D562" i="2"/>
  <c r="D561" i="2"/>
  <c r="D560" i="2"/>
  <c r="D559" i="2"/>
  <c r="D558" i="2"/>
  <c r="D557" i="2"/>
  <c r="D556" i="2"/>
  <c r="D555" i="2"/>
  <c r="D554" i="2"/>
  <c r="D553" i="2"/>
  <c r="D552" i="2"/>
  <c r="D551" i="2"/>
  <c r="D550" i="2"/>
  <c r="D549" i="2"/>
  <c r="D548" i="2"/>
  <c r="D547" i="2"/>
  <c r="D546" i="2"/>
  <c r="D545" i="2"/>
  <c r="D544" i="2"/>
  <c r="D543" i="2"/>
  <c r="D542" i="2"/>
  <c r="D541" i="2"/>
  <c r="D540" i="2"/>
  <c r="D539" i="2"/>
  <c r="D538" i="2"/>
  <c r="D537" i="2"/>
  <c r="D536" i="2"/>
  <c r="D535" i="2"/>
  <c r="D534" i="2"/>
  <c r="D533" i="2"/>
  <c r="D532" i="2"/>
  <c r="D531" i="2"/>
  <c r="D530" i="2"/>
  <c r="D529" i="2"/>
  <c r="D528" i="2"/>
  <c r="D527" i="2"/>
  <c r="D526" i="2"/>
  <c r="D525" i="2"/>
  <c r="D524" i="2"/>
  <c r="D523" i="2"/>
  <c r="D522" i="2"/>
  <c r="D521" i="2"/>
  <c r="D520" i="2"/>
  <c r="D519" i="2"/>
  <c r="D518" i="2"/>
  <c r="D517" i="2"/>
  <c r="D516" i="2"/>
  <c r="D515" i="2"/>
  <c r="D514" i="2"/>
  <c r="D513" i="2"/>
  <c r="D512" i="2"/>
  <c r="D511" i="2"/>
  <c r="D510" i="2"/>
  <c r="D509" i="2"/>
  <c r="D508" i="2"/>
  <c r="D507" i="2"/>
  <c r="D506" i="2"/>
  <c r="D505" i="2"/>
  <c r="D504" i="2"/>
  <c r="D503" i="2"/>
  <c r="D502" i="2"/>
  <c r="D501" i="2"/>
  <c r="D500" i="2"/>
  <c r="D499" i="2"/>
  <c r="D498" i="2"/>
  <c r="D497" i="2"/>
  <c r="D496" i="2"/>
  <c r="D495" i="2"/>
  <c r="D494" i="2"/>
  <c r="D493" i="2"/>
  <c r="D492" i="2"/>
  <c r="D491" i="2"/>
  <c r="D490" i="2"/>
  <c r="D489" i="2"/>
  <c r="D488" i="2"/>
  <c r="D487" i="2"/>
  <c r="D486" i="2"/>
  <c r="D485" i="2"/>
  <c r="D484" i="2"/>
  <c r="D483" i="2"/>
  <c r="D482" i="2"/>
  <c r="D481" i="2"/>
  <c r="D480" i="2"/>
  <c r="D479" i="2"/>
  <c r="D478" i="2"/>
  <c r="D477" i="2"/>
  <c r="D476" i="2"/>
  <c r="D475" i="2"/>
  <c r="D474" i="2"/>
  <c r="D473" i="2"/>
  <c r="D472" i="2"/>
  <c r="D471" i="2"/>
  <c r="D470" i="2"/>
  <c r="D469" i="2"/>
  <c r="D468" i="2"/>
  <c r="D467" i="2"/>
  <c r="D466" i="2"/>
  <c r="D465" i="2"/>
  <c r="D464" i="2"/>
  <c r="D463" i="2"/>
  <c r="D462" i="2"/>
  <c r="D461" i="2"/>
  <c r="D460" i="2"/>
  <c r="D459" i="2"/>
  <c r="D458" i="2"/>
  <c r="D457" i="2"/>
  <c r="D456" i="2"/>
  <c r="D455" i="2"/>
  <c r="D454" i="2"/>
  <c r="D453" i="2"/>
  <c r="D452" i="2"/>
  <c r="D451" i="2"/>
  <c r="D450" i="2"/>
  <c r="D449" i="2"/>
  <c r="D448" i="2"/>
  <c r="D447" i="2"/>
  <c r="D446" i="2"/>
  <c r="D445" i="2"/>
  <c r="D444" i="2"/>
  <c r="D443" i="2"/>
  <c r="D442" i="2"/>
  <c r="D441" i="2"/>
  <c r="D440" i="2"/>
  <c r="D439" i="2"/>
  <c r="D438" i="2"/>
  <c r="D437" i="2"/>
  <c r="D436" i="2"/>
  <c r="D435" i="2"/>
  <c r="D434" i="2"/>
  <c r="D433" i="2"/>
  <c r="D432" i="2"/>
  <c r="D431" i="2"/>
  <c r="D430" i="2"/>
  <c r="D429" i="2"/>
  <c r="D428" i="2"/>
  <c r="D427" i="2"/>
  <c r="D426" i="2"/>
  <c r="D425" i="2"/>
  <c r="D424" i="2"/>
  <c r="D423" i="2"/>
  <c r="D422" i="2"/>
  <c r="D421" i="2"/>
  <c r="D420" i="2"/>
  <c r="D419" i="2"/>
  <c r="D418" i="2"/>
  <c r="D417" i="2"/>
  <c r="D416" i="2"/>
  <c r="D415" i="2"/>
  <c r="D414" i="2"/>
  <c r="D413" i="2"/>
  <c r="D412" i="2"/>
  <c r="D411" i="2"/>
  <c r="D410" i="2"/>
  <c r="D409" i="2"/>
  <c r="D408" i="2"/>
  <c r="D407" i="2"/>
  <c r="D406" i="2"/>
  <c r="D405" i="2"/>
  <c r="D404" i="2"/>
  <c r="D403" i="2"/>
  <c r="D402" i="2"/>
  <c r="D401" i="2"/>
  <c r="D400" i="2"/>
  <c r="D399" i="2"/>
  <c r="D398" i="2"/>
  <c r="D397" i="2"/>
  <c r="D396" i="2"/>
  <c r="D395" i="2"/>
  <c r="D394" i="2"/>
  <c r="D393" i="2"/>
  <c r="D392" i="2"/>
  <c r="D391" i="2"/>
  <c r="D390" i="2"/>
  <c r="D389" i="2"/>
  <c r="D388" i="2"/>
  <c r="D387" i="2"/>
  <c r="D386" i="2"/>
  <c r="D385" i="2"/>
  <c r="D384" i="2"/>
  <c r="D383" i="2"/>
  <c r="D382" i="2"/>
  <c r="D381" i="2"/>
  <c r="D380" i="2"/>
  <c r="D379" i="2"/>
  <c r="D378" i="2"/>
  <c r="D377" i="2"/>
  <c r="D376" i="2"/>
  <c r="D375" i="2"/>
  <c r="D374" i="2"/>
  <c r="D373" i="2"/>
  <c r="D372" i="2"/>
  <c r="D371" i="2"/>
  <c r="D370" i="2"/>
  <c r="D369" i="2"/>
  <c r="D368" i="2"/>
  <c r="D367" i="2"/>
  <c r="D366" i="2"/>
  <c r="D365" i="2"/>
  <c r="D364" i="2"/>
  <c r="D363" i="2"/>
  <c r="D362" i="2"/>
  <c r="D361" i="2"/>
  <c r="D360" i="2"/>
  <c r="D359" i="2"/>
  <c r="D358" i="2"/>
  <c r="D357" i="2"/>
  <c r="D356" i="2"/>
  <c r="D355" i="2"/>
  <c r="D354" i="2"/>
  <c r="D353" i="2"/>
  <c r="D352" i="2"/>
  <c r="D351" i="2"/>
  <c r="D350" i="2"/>
  <c r="D349" i="2"/>
  <c r="D348" i="2"/>
  <c r="D347" i="2"/>
  <c r="D346" i="2"/>
  <c r="D345" i="2"/>
  <c r="D344" i="2"/>
  <c r="D343" i="2"/>
  <c r="D342" i="2"/>
  <c r="D341" i="2"/>
  <c r="D340" i="2"/>
  <c r="D339" i="2"/>
  <c r="D338" i="2"/>
  <c r="D337" i="2"/>
  <c r="D336" i="2"/>
  <c r="D335" i="2"/>
  <c r="D334" i="2"/>
  <c r="D333" i="2"/>
  <c r="D332" i="2"/>
  <c r="D331" i="2"/>
  <c r="D330" i="2"/>
  <c r="D329" i="2"/>
  <c r="D328" i="2"/>
  <c r="D327" i="2"/>
  <c r="D326" i="2"/>
  <c r="D325" i="2"/>
  <c r="D324" i="2"/>
  <c r="D323" i="2"/>
  <c r="D322" i="2"/>
  <c r="D321" i="2"/>
  <c r="D320" i="2"/>
  <c r="D319" i="2"/>
  <c r="D318" i="2"/>
  <c r="G1203" i="2"/>
  <c r="C1194" i="2"/>
  <c r="A1185" i="2"/>
  <c r="M1176" i="2"/>
  <c r="M1168" i="2"/>
  <c r="M1160" i="2"/>
  <c r="M1152" i="2"/>
  <c r="M1144" i="2"/>
  <c r="O1136" i="2"/>
  <c r="N1129" i="2"/>
  <c r="M1122" i="2"/>
  <c r="L1115" i="2"/>
  <c r="F1108" i="2"/>
  <c r="D1101" i="2"/>
  <c r="B1094" i="2"/>
  <c r="A1087" i="2"/>
  <c r="P1079" i="2"/>
  <c r="O1072" i="2"/>
  <c r="N1065" i="2"/>
  <c r="I1059" i="2"/>
  <c r="N1053" i="2"/>
  <c r="J1049" i="2"/>
  <c r="E1045" i="2"/>
  <c r="A1041" i="2"/>
  <c r="P1036" i="2"/>
  <c r="P1032" i="2"/>
  <c r="P1028" i="2"/>
  <c r="P1024" i="2"/>
  <c r="P1020" i="2"/>
  <c r="P1016" i="2"/>
  <c r="P1012" i="2"/>
  <c r="P1008" i="2"/>
  <c r="P1004" i="2"/>
  <c r="P1000" i="2"/>
  <c r="P996" i="2"/>
  <c r="P992" i="2"/>
  <c r="P988" i="2"/>
  <c r="P984" i="2"/>
  <c r="P980" i="2"/>
  <c r="P976" i="2"/>
  <c r="P972" i="2"/>
  <c r="P968" i="2"/>
  <c r="P964" i="2"/>
  <c r="P960" i="2"/>
  <c r="P956" i="2"/>
  <c r="P952" i="2"/>
  <c r="P948" i="2"/>
  <c r="P944" i="2"/>
  <c r="P940" i="2"/>
  <c r="P936" i="2"/>
  <c r="P932" i="2"/>
  <c r="P928" i="2"/>
  <c r="E925" i="2"/>
  <c r="N921" i="2"/>
  <c r="B918" i="2"/>
  <c r="M914" i="2"/>
  <c r="A911" i="2"/>
  <c r="H907" i="2"/>
  <c r="P903" i="2"/>
  <c r="M900" i="2"/>
  <c r="G897" i="2"/>
  <c r="E894" i="2"/>
  <c r="A891" i="2"/>
  <c r="O887" i="2"/>
  <c r="P884" i="2"/>
  <c r="E882" i="2"/>
  <c r="A880" i="2"/>
  <c r="M877" i="2"/>
  <c r="G875" i="2"/>
  <c r="D873" i="2"/>
  <c r="B871" i="2"/>
  <c r="P868" i="2"/>
  <c r="N866" i="2"/>
  <c r="L864" i="2"/>
  <c r="I862" i="2"/>
  <c r="I860" i="2"/>
  <c r="M858" i="2"/>
  <c r="D857" i="2"/>
  <c r="F855" i="2"/>
  <c r="H853" i="2"/>
  <c r="K851" i="2"/>
  <c r="C850" i="2"/>
  <c r="E848" i="2"/>
  <c r="G846" i="2"/>
  <c r="I844" i="2"/>
  <c r="M842" i="2"/>
  <c r="D841" i="2"/>
  <c r="F839" i="2"/>
  <c r="H837" i="2"/>
  <c r="K835" i="2"/>
  <c r="C834" i="2"/>
  <c r="E832" i="2"/>
  <c r="G830" i="2"/>
  <c r="I828" i="2"/>
  <c r="M826" i="2"/>
  <c r="D825" i="2"/>
  <c r="F823" i="2"/>
  <c r="H821" i="2"/>
  <c r="K819" i="2"/>
  <c r="C818" i="2"/>
  <c r="E816" i="2"/>
  <c r="G814" i="2"/>
  <c r="I812" i="2"/>
  <c r="M810" i="2"/>
  <c r="D809" i="2"/>
  <c r="F807" i="2"/>
  <c r="H805" i="2"/>
  <c r="K803" i="2"/>
  <c r="C802" i="2"/>
  <c r="E800" i="2"/>
  <c r="G798" i="2"/>
  <c r="I796" i="2"/>
  <c r="M794" i="2"/>
  <c r="E793" i="2"/>
  <c r="L791" i="2"/>
  <c r="F790" i="2"/>
  <c r="M788" i="2"/>
  <c r="G787" i="2"/>
  <c r="P785" i="2"/>
  <c r="H784" i="2"/>
  <c r="C783" i="2"/>
  <c r="I781" i="2"/>
  <c r="D780" i="2"/>
  <c r="K778" i="2"/>
  <c r="E777" i="2"/>
  <c r="L775" i="2"/>
  <c r="F774" i="2"/>
  <c r="M772" i="2"/>
  <c r="G771" i="2"/>
  <c r="P769" i="2"/>
  <c r="H768" i="2"/>
  <c r="C767" i="2"/>
  <c r="I765" i="2"/>
  <c r="D764" i="2"/>
  <c r="K762" i="2"/>
  <c r="E761" i="2"/>
  <c r="L759" i="2"/>
  <c r="F758" i="2"/>
  <c r="M756" i="2"/>
  <c r="G755" i="2"/>
  <c r="P753" i="2"/>
  <c r="H752" i="2"/>
  <c r="D751" i="2"/>
  <c r="M749" i="2"/>
  <c r="H748" i="2"/>
  <c r="D747" i="2"/>
  <c r="M745" i="2"/>
  <c r="H744" i="2"/>
  <c r="D743" i="2"/>
  <c r="M741" i="2"/>
  <c r="H740" i="2"/>
  <c r="D739" i="2"/>
  <c r="M737" i="2"/>
  <c r="H736" i="2"/>
  <c r="D735" i="2"/>
  <c r="M733" i="2"/>
  <c r="H732" i="2"/>
  <c r="D731" i="2"/>
  <c r="M729" i="2"/>
  <c r="H728" i="2"/>
  <c r="D727" i="2"/>
  <c r="M725" i="2"/>
  <c r="H724" i="2"/>
  <c r="D723" i="2"/>
  <c r="M721" i="2"/>
  <c r="H720" i="2"/>
  <c r="D719" i="2"/>
  <c r="M717" i="2"/>
  <c r="H716" i="2"/>
  <c r="D715" i="2"/>
  <c r="N713" i="2"/>
  <c r="K712" i="2"/>
  <c r="I711" i="2"/>
  <c r="G710" i="2"/>
  <c r="E709" i="2"/>
  <c r="C708" i="2"/>
  <c r="P706" i="2"/>
  <c r="M705" i="2"/>
  <c r="K704" i="2"/>
  <c r="I703" i="2"/>
  <c r="G702" i="2"/>
  <c r="E701" i="2"/>
  <c r="D700" i="2"/>
  <c r="C699" i="2"/>
  <c r="B698" i="2"/>
  <c r="A697" i="2"/>
  <c r="P695" i="2"/>
  <c r="N694" i="2"/>
  <c r="M693" i="2"/>
  <c r="L692" i="2"/>
  <c r="K691" i="2"/>
  <c r="J690" i="2"/>
  <c r="I689" i="2"/>
  <c r="H688" i="2"/>
  <c r="G687" i="2"/>
  <c r="F686" i="2"/>
  <c r="E685" i="2"/>
  <c r="D684" i="2"/>
  <c r="C683" i="2"/>
  <c r="C682" i="2"/>
  <c r="C681" i="2"/>
  <c r="C680" i="2"/>
  <c r="C679" i="2"/>
  <c r="C678" i="2"/>
  <c r="C677" i="2"/>
  <c r="C676" i="2"/>
  <c r="C675" i="2"/>
  <c r="C674" i="2"/>
  <c r="C673" i="2"/>
  <c r="C672" i="2"/>
  <c r="C671" i="2"/>
  <c r="C670" i="2"/>
  <c r="C669" i="2"/>
  <c r="C668" i="2"/>
  <c r="C667" i="2"/>
  <c r="C666" i="2"/>
  <c r="C665" i="2"/>
  <c r="C664" i="2"/>
  <c r="C663" i="2"/>
  <c r="C662" i="2"/>
  <c r="C661" i="2"/>
  <c r="C660" i="2"/>
  <c r="C659" i="2"/>
  <c r="C658" i="2"/>
  <c r="C657" i="2"/>
  <c r="C656" i="2"/>
  <c r="C655" i="2"/>
  <c r="C654" i="2"/>
  <c r="C653" i="2"/>
  <c r="C652" i="2"/>
  <c r="C651" i="2"/>
  <c r="C650" i="2"/>
  <c r="C649" i="2"/>
  <c r="C648" i="2"/>
  <c r="C647" i="2"/>
  <c r="C646" i="2"/>
  <c r="C645" i="2"/>
  <c r="C644" i="2"/>
  <c r="C643" i="2"/>
  <c r="C642" i="2"/>
  <c r="C641" i="2"/>
  <c r="C640" i="2"/>
  <c r="C639" i="2"/>
  <c r="C638" i="2"/>
  <c r="C637" i="2"/>
  <c r="C636" i="2"/>
  <c r="C635" i="2"/>
  <c r="C634" i="2"/>
  <c r="C633" i="2"/>
  <c r="C632" i="2"/>
  <c r="C631" i="2"/>
  <c r="C630" i="2"/>
  <c r="C629" i="2"/>
  <c r="C628" i="2"/>
  <c r="C627" i="2"/>
  <c r="C626" i="2"/>
  <c r="C625" i="2"/>
  <c r="C624" i="2"/>
  <c r="C623" i="2"/>
  <c r="C622" i="2"/>
  <c r="C621" i="2"/>
  <c r="C620" i="2"/>
  <c r="C619" i="2"/>
  <c r="C618" i="2"/>
  <c r="C617" i="2"/>
  <c r="C616" i="2"/>
  <c r="C615" i="2"/>
  <c r="C614" i="2"/>
  <c r="C613" i="2"/>
  <c r="C612" i="2"/>
  <c r="C611" i="2"/>
  <c r="C610" i="2"/>
  <c r="C609" i="2"/>
  <c r="C608" i="2"/>
  <c r="C607" i="2"/>
  <c r="C606" i="2"/>
  <c r="C605" i="2"/>
  <c r="C604" i="2"/>
  <c r="C603" i="2"/>
  <c r="C602" i="2"/>
  <c r="C601" i="2"/>
  <c r="C600" i="2"/>
  <c r="C599" i="2"/>
  <c r="C598" i="2"/>
  <c r="C597" i="2"/>
  <c r="C596" i="2"/>
  <c r="C595" i="2"/>
  <c r="C594" i="2"/>
  <c r="C593" i="2"/>
  <c r="C592" i="2"/>
  <c r="C591" i="2"/>
  <c r="C590" i="2"/>
  <c r="C589" i="2"/>
  <c r="C588" i="2"/>
  <c r="C587" i="2"/>
  <c r="C586" i="2"/>
  <c r="C585" i="2"/>
  <c r="C584" i="2"/>
  <c r="C583" i="2"/>
  <c r="C582" i="2"/>
  <c r="C581" i="2"/>
  <c r="C580" i="2"/>
  <c r="C579" i="2"/>
  <c r="C578" i="2"/>
  <c r="C577" i="2"/>
  <c r="C576" i="2"/>
  <c r="C575" i="2"/>
  <c r="C574" i="2"/>
  <c r="C573" i="2"/>
  <c r="C572" i="2"/>
  <c r="C571" i="2"/>
  <c r="C570" i="2"/>
  <c r="C569" i="2"/>
  <c r="C568" i="2"/>
  <c r="C567" i="2"/>
  <c r="C566" i="2"/>
  <c r="C565" i="2"/>
  <c r="C564" i="2"/>
  <c r="C563" i="2"/>
  <c r="C562" i="2"/>
  <c r="C561" i="2"/>
  <c r="C560" i="2"/>
  <c r="C559" i="2"/>
  <c r="C558" i="2"/>
  <c r="C557" i="2"/>
  <c r="C556" i="2"/>
  <c r="C555" i="2"/>
  <c r="C554" i="2"/>
  <c r="C553" i="2"/>
  <c r="C552" i="2"/>
  <c r="C551" i="2"/>
  <c r="C550" i="2"/>
  <c r="C549" i="2"/>
  <c r="C548" i="2"/>
  <c r="C547" i="2"/>
  <c r="C546" i="2"/>
  <c r="C545" i="2"/>
  <c r="C544" i="2"/>
  <c r="C543" i="2"/>
  <c r="C542" i="2"/>
  <c r="C541" i="2"/>
  <c r="C540" i="2"/>
  <c r="C539" i="2"/>
  <c r="C538" i="2"/>
  <c r="C537" i="2"/>
  <c r="C536" i="2"/>
  <c r="C535" i="2"/>
  <c r="C534" i="2"/>
  <c r="C533" i="2"/>
  <c r="C532" i="2"/>
  <c r="C531" i="2"/>
  <c r="C530" i="2"/>
  <c r="C529" i="2"/>
  <c r="C528" i="2"/>
  <c r="C527" i="2"/>
  <c r="C526" i="2"/>
  <c r="C525" i="2"/>
  <c r="C524" i="2"/>
  <c r="C523" i="2"/>
  <c r="C522" i="2"/>
  <c r="C521" i="2"/>
  <c r="C520" i="2"/>
  <c r="C519" i="2"/>
  <c r="C518" i="2"/>
  <c r="C517" i="2"/>
  <c r="C516" i="2"/>
  <c r="C515" i="2"/>
  <c r="C514" i="2"/>
  <c r="C513" i="2"/>
  <c r="C512" i="2"/>
  <c r="C511" i="2"/>
  <c r="C510" i="2"/>
  <c r="C509" i="2"/>
  <c r="C508" i="2"/>
  <c r="C507" i="2"/>
  <c r="C506" i="2"/>
  <c r="C505" i="2"/>
  <c r="C504" i="2"/>
  <c r="C503" i="2"/>
  <c r="C502" i="2"/>
  <c r="C501" i="2"/>
  <c r="C500" i="2"/>
  <c r="C499" i="2"/>
  <c r="C498" i="2"/>
  <c r="C497" i="2"/>
  <c r="C496" i="2"/>
  <c r="C495" i="2"/>
  <c r="C494" i="2"/>
  <c r="C493" i="2"/>
  <c r="C492" i="2"/>
  <c r="C491" i="2"/>
  <c r="C490" i="2"/>
  <c r="C489" i="2"/>
  <c r="C488" i="2"/>
  <c r="C487" i="2"/>
  <c r="C486" i="2"/>
  <c r="C485" i="2"/>
  <c r="C484" i="2"/>
  <c r="C483" i="2"/>
  <c r="C482" i="2"/>
  <c r="C481" i="2"/>
  <c r="C480" i="2"/>
  <c r="C479" i="2"/>
  <c r="C478" i="2"/>
  <c r="C477" i="2"/>
  <c r="C476" i="2"/>
  <c r="C475" i="2"/>
  <c r="C474" i="2"/>
  <c r="C473" i="2"/>
  <c r="C472" i="2"/>
  <c r="C471" i="2"/>
  <c r="C470" i="2"/>
  <c r="C469" i="2"/>
  <c r="C468" i="2"/>
  <c r="C467" i="2"/>
  <c r="C466" i="2"/>
  <c r="C465" i="2"/>
  <c r="C464" i="2"/>
  <c r="C463" i="2"/>
  <c r="C462" i="2"/>
  <c r="C461" i="2"/>
  <c r="C460" i="2"/>
  <c r="C459" i="2"/>
  <c r="C458" i="2"/>
  <c r="C457" i="2"/>
  <c r="C456" i="2"/>
  <c r="C455" i="2"/>
  <c r="C454" i="2"/>
  <c r="C453" i="2"/>
  <c r="C452" i="2"/>
  <c r="C451" i="2"/>
  <c r="C450" i="2"/>
  <c r="C449" i="2"/>
  <c r="C448" i="2"/>
  <c r="C447" i="2"/>
  <c r="C446" i="2"/>
  <c r="C445" i="2"/>
  <c r="C444" i="2"/>
  <c r="C443" i="2"/>
  <c r="C442" i="2"/>
  <c r="C441" i="2"/>
  <c r="C440" i="2"/>
  <c r="C439" i="2"/>
  <c r="C438" i="2"/>
  <c r="C437" i="2"/>
  <c r="C436" i="2"/>
  <c r="C435" i="2"/>
  <c r="C434" i="2"/>
  <c r="C433" i="2"/>
  <c r="C432" i="2"/>
  <c r="C431" i="2"/>
  <c r="C430" i="2"/>
  <c r="C429" i="2"/>
  <c r="C428" i="2"/>
  <c r="C427" i="2"/>
  <c r="C426" i="2"/>
  <c r="C425" i="2"/>
  <c r="C424" i="2"/>
  <c r="C423" i="2"/>
  <c r="C422" i="2"/>
  <c r="C421" i="2"/>
  <c r="C420" i="2"/>
  <c r="C419" i="2"/>
  <c r="C418" i="2"/>
  <c r="C417" i="2"/>
  <c r="C416" i="2"/>
  <c r="C415" i="2"/>
  <c r="C414" i="2"/>
  <c r="C413" i="2"/>
  <c r="C412" i="2"/>
  <c r="C411" i="2"/>
  <c r="C410" i="2"/>
  <c r="C409" i="2"/>
  <c r="C408" i="2"/>
  <c r="C407" i="2"/>
  <c r="C406" i="2"/>
  <c r="C405" i="2"/>
  <c r="C404" i="2"/>
  <c r="C403" i="2"/>
  <c r="C402" i="2"/>
  <c r="C401" i="2"/>
  <c r="C400" i="2"/>
  <c r="C399" i="2"/>
  <c r="C398" i="2"/>
  <c r="C397" i="2"/>
  <c r="C396" i="2"/>
  <c r="C395" i="2"/>
  <c r="C394" i="2"/>
  <c r="C393" i="2"/>
  <c r="C392" i="2"/>
  <c r="C391" i="2"/>
  <c r="C390" i="2"/>
  <c r="C389" i="2"/>
  <c r="C388" i="2"/>
  <c r="C387" i="2"/>
  <c r="C386" i="2"/>
  <c r="C385" i="2"/>
  <c r="C384" i="2"/>
  <c r="C383" i="2"/>
  <c r="C382" i="2"/>
  <c r="C381" i="2"/>
  <c r="C380" i="2"/>
  <c r="C379" i="2"/>
  <c r="C378" i="2"/>
  <c r="C377" i="2"/>
  <c r="C376" i="2"/>
  <c r="C375" i="2"/>
  <c r="C374" i="2"/>
  <c r="C373" i="2"/>
  <c r="C372" i="2"/>
  <c r="C371" i="2"/>
  <c r="C370" i="2"/>
  <c r="C369" i="2"/>
  <c r="C368" i="2"/>
  <c r="C367" i="2"/>
  <c r="D1203" i="2"/>
  <c r="B1194" i="2"/>
  <c r="P1184" i="2"/>
  <c r="L1176" i="2"/>
  <c r="L1168" i="2"/>
  <c r="L1160" i="2"/>
  <c r="L1152" i="2"/>
  <c r="L1144" i="2"/>
  <c r="N1136" i="2"/>
  <c r="M1129" i="2"/>
  <c r="L1122" i="2"/>
  <c r="F1115" i="2"/>
  <c r="D1108" i="2"/>
  <c r="B1101" i="2"/>
  <c r="A1094" i="2"/>
  <c r="P1086" i="2"/>
  <c r="O1079" i="2"/>
  <c r="N1072" i="2"/>
  <c r="M1065" i="2"/>
  <c r="G1059" i="2"/>
  <c r="M1053" i="2"/>
  <c r="I1049" i="2"/>
  <c r="D1045" i="2"/>
  <c r="P1040" i="2"/>
  <c r="O1036" i="2"/>
  <c r="O1032" i="2"/>
  <c r="O1028" i="2"/>
  <c r="O1024" i="2"/>
  <c r="O1020" i="2"/>
  <c r="O1016" i="2"/>
  <c r="O1012" i="2"/>
  <c r="O1008" i="2"/>
  <c r="O1004" i="2"/>
  <c r="O1000" i="2"/>
  <c r="O996" i="2"/>
  <c r="O992" i="2"/>
  <c r="O988" i="2"/>
  <c r="O984" i="2"/>
  <c r="O980" i="2"/>
  <c r="O976" i="2"/>
  <c r="O972" i="2"/>
  <c r="O968" i="2"/>
  <c r="O964" i="2"/>
  <c r="O960" i="2"/>
  <c r="O956" i="2"/>
  <c r="O952" i="2"/>
  <c r="O948" i="2"/>
  <c r="O944" i="2"/>
  <c r="O940" i="2"/>
  <c r="O936" i="2"/>
  <c r="O932" i="2"/>
  <c r="O928" i="2"/>
  <c r="B925" i="2"/>
  <c r="M921" i="2"/>
  <c r="A918" i="2"/>
  <c r="H914" i="2"/>
  <c r="P910" i="2"/>
  <c r="G907" i="2"/>
  <c r="O903" i="2"/>
  <c r="H900" i="2"/>
  <c r="F897" i="2"/>
  <c r="B894" i="2"/>
  <c r="P890" i="2"/>
  <c r="N887" i="2"/>
  <c r="O884" i="2"/>
  <c r="D882" i="2"/>
  <c r="P879" i="2"/>
  <c r="L877" i="2"/>
  <c r="F875" i="2"/>
  <c r="C873" i="2"/>
  <c r="A871" i="2"/>
  <c r="O868" i="2"/>
  <c r="M866" i="2"/>
  <c r="K864" i="2"/>
  <c r="H862" i="2"/>
  <c r="H860" i="2"/>
  <c r="K858" i="2"/>
  <c r="C857" i="2"/>
  <c r="E855" i="2"/>
  <c r="G853" i="2"/>
  <c r="I851" i="2"/>
  <c r="M849" i="2"/>
  <c r="D848" i="2"/>
  <c r="F846" i="2"/>
  <c r="H844" i="2"/>
  <c r="K842" i="2"/>
  <c r="C841" i="2"/>
  <c r="E839" i="2"/>
  <c r="G837" i="2"/>
  <c r="I835" i="2"/>
  <c r="M833" i="2"/>
  <c r="D832" i="2"/>
  <c r="F830" i="2"/>
  <c r="H828" i="2"/>
  <c r="K826" i="2"/>
  <c r="C825" i="2"/>
  <c r="E823" i="2"/>
  <c r="G821" i="2"/>
  <c r="I819" i="2"/>
  <c r="M817" i="2"/>
  <c r="D816" i="2"/>
  <c r="F814" i="2"/>
  <c r="H812" i="2"/>
  <c r="K810" i="2"/>
  <c r="C809" i="2"/>
  <c r="E807" i="2"/>
  <c r="G805" i="2"/>
  <c r="I803" i="2"/>
  <c r="M801" i="2"/>
  <c r="D800" i="2"/>
  <c r="F798" i="2"/>
  <c r="H796" i="2"/>
  <c r="K794" i="2"/>
  <c r="D793" i="2"/>
  <c r="K791" i="2"/>
  <c r="E790" i="2"/>
  <c r="L788" i="2"/>
  <c r="F787" i="2"/>
  <c r="M785" i="2"/>
  <c r="G784" i="2"/>
  <c r="P782" i="2"/>
  <c r="H781" i="2"/>
  <c r="C780" i="2"/>
  <c r="I778" i="2"/>
  <c r="D777" i="2"/>
  <c r="K775" i="2"/>
  <c r="E774" i="2"/>
  <c r="L772" i="2"/>
  <c r="F771" i="2"/>
  <c r="M769" i="2"/>
  <c r="G768" i="2"/>
  <c r="P766" i="2"/>
  <c r="H765" i="2"/>
  <c r="C764" i="2"/>
  <c r="I762" i="2"/>
  <c r="D761" i="2"/>
  <c r="K759" i="2"/>
  <c r="E758" i="2"/>
  <c r="L756" i="2"/>
  <c r="F755" i="2"/>
  <c r="M753" i="2"/>
  <c r="G752" i="2"/>
  <c r="C751" i="2"/>
  <c r="L749" i="2"/>
  <c r="G748" i="2"/>
  <c r="C747" i="2"/>
  <c r="L745" i="2"/>
  <c r="G744" i="2"/>
  <c r="C743" i="2"/>
  <c r="L741" i="2"/>
  <c r="G740" i="2"/>
  <c r="C739" i="2"/>
  <c r="L737" i="2"/>
  <c r="G736" i="2"/>
  <c r="C735" i="2"/>
  <c r="L733" i="2"/>
  <c r="G732" i="2"/>
  <c r="C731" i="2"/>
  <c r="L729" i="2"/>
  <c r="G728" i="2"/>
  <c r="C727" i="2"/>
  <c r="L725" i="2"/>
  <c r="G724" i="2"/>
  <c r="C723" i="2"/>
  <c r="L721" i="2"/>
  <c r="G720" i="2"/>
  <c r="C719" i="2"/>
  <c r="L717" i="2"/>
  <c r="G716" i="2"/>
  <c r="C715" i="2"/>
  <c r="M713" i="2"/>
  <c r="J712" i="2"/>
  <c r="H711" i="2"/>
  <c r="F710" i="2"/>
  <c r="D709" i="2"/>
  <c r="B708" i="2"/>
  <c r="N706" i="2"/>
  <c r="L705" i="2"/>
  <c r="J704" i="2"/>
  <c r="H703" i="2"/>
  <c r="F702" i="2"/>
  <c r="D701" i="2"/>
  <c r="C700" i="2"/>
  <c r="B699" i="2"/>
  <c r="A698" i="2"/>
  <c r="P696" i="2"/>
  <c r="N695" i="2"/>
  <c r="M694" i="2"/>
  <c r="L693" i="2"/>
  <c r="K692" i="2"/>
  <c r="J691" i="2"/>
  <c r="I690" i="2"/>
  <c r="H689" i="2"/>
  <c r="G688" i="2"/>
  <c r="F687" i="2"/>
  <c r="E686" i="2"/>
  <c r="D685" i="2"/>
  <c r="C684" i="2"/>
  <c r="B683" i="2"/>
  <c r="B682" i="2"/>
  <c r="B681" i="2"/>
  <c r="B680" i="2"/>
  <c r="B679" i="2"/>
  <c r="B678" i="2"/>
  <c r="B677" i="2"/>
  <c r="B676" i="2"/>
  <c r="B675" i="2"/>
  <c r="B674" i="2"/>
  <c r="B673" i="2"/>
  <c r="B672" i="2"/>
  <c r="B671" i="2"/>
  <c r="B670" i="2"/>
  <c r="B669" i="2"/>
  <c r="B668" i="2"/>
  <c r="B667" i="2"/>
  <c r="B666" i="2"/>
  <c r="B665" i="2"/>
  <c r="B664" i="2"/>
  <c r="B663" i="2"/>
  <c r="B662" i="2"/>
  <c r="B661" i="2"/>
  <c r="B660" i="2"/>
  <c r="B659" i="2"/>
  <c r="B658" i="2"/>
  <c r="B657" i="2"/>
  <c r="B656" i="2"/>
  <c r="B655" i="2"/>
  <c r="B654" i="2"/>
  <c r="B653" i="2"/>
  <c r="B652" i="2"/>
  <c r="B651" i="2"/>
  <c r="B650" i="2"/>
  <c r="B649" i="2"/>
  <c r="B648" i="2"/>
  <c r="B647" i="2"/>
  <c r="B646" i="2"/>
  <c r="B645" i="2"/>
  <c r="B644" i="2"/>
  <c r="B643" i="2"/>
  <c r="B642" i="2"/>
  <c r="B641" i="2"/>
  <c r="B640" i="2"/>
  <c r="B639" i="2"/>
  <c r="B638" i="2"/>
  <c r="B637" i="2"/>
  <c r="B636" i="2"/>
  <c r="B635" i="2"/>
  <c r="B634" i="2"/>
  <c r="B633" i="2"/>
  <c r="B632" i="2"/>
  <c r="B631" i="2"/>
  <c r="B630" i="2"/>
  <c r="B629" i="2"/>
  <c r="B628" i="2"/>
  <c r="B627" i="2"/>
  <c r="B626" i="2"/>
  <c r="B625" i="2"/>
  <c r="B624" i="2"/>
  <c r="B623" i="2"/>
  <c r="B622" i="2"/>
  <c r="B621" i="2"/>
  <c r="B620" i="2"/>
  <c r="B619" i="2"/>
  <c r="B618" i="2"/>
  <c r="B617" i="2"/>
  <c r="B616" i="2"/>
  <c r="B615" i="2"/>
  <c r="B614" i="2"/>
  <c r="B613" i="2"/>
  <c r="B612" i="2"/>
  <c r="B611" i="2"/>
  <c r="B610" i="2"/>
  <c r="B609" i="2"/>
  <c r="B608" i="2"/>
  <c r="B607" i="2"/>
  <c r="B606" i="2"/>
  <c r="B605" i="2"/>
  <c r="B604" i="2"/>
  <c r="B603" i="2"/>
  <c r="B602" i="2"/>
  <c r="B601" i="2"/>
  <c r="B600" i="2"/>
  <c r="B599" i="2"/>
  <c r="B598" i="2"/>
  <c r="B597" i="2"/>
  <c r="B596" i="2"/>
  <c r="B595" i="2"/>
  <c r="B594" i="2"/>
  <c r="B593" i="2"/>
  <c r="B592" i="2"/>
  <c r="B591" i="2"/>
  <c r="B590" i="2"/>
  <c r="B589" i="2"/>
  <c r="B588" i="2"/>
  <c r="B587" i="2"/>
  <c r="B586" i="2"/>
  <c r="B585" i="2"/>
  <c r="B584" i="2"/>
  <c r="B583" i="2"/>
  <c r="B582" i="2"/>
  <c r="B581" i="2"/>
  <c r="B580" i="2"/>
  <c r="B579" i="2"/>
  <c r="B578" i="2"/>
  <c r="B577" i="2"/>
  <c r="B576" i="2"/>
  <c r="B575" i="2"/>
  <c r="B574" i="2"/>
  <c r="B573" i="2"/>
  <c r="B572" i="2"/>
  <c r="B571" i="2"/>
  <c r="B570" i="2"/>
  <c r="B569" i="2"/>
  <c r="B568" i="2"/>
  <c r="B567" i="2"/>
  <c r="B566" i="2"/>
  <c r="B565" i="2"/>
  <c r="B564" i="2"/>
  <c r="B563" i="2"/>
  <c r="B562" i="2"/>
  <c r="B561" i="2"/>
  <c r="B560" i="2"/>
  <c r="B559" i="2"/>
  <c r="B558" i="2"/>
  <c r="B557" i="2"/>
  <c r="B556" i="2"/>
  <c r="B555" i="2"/>
  <c r="B554" i="2"/>
  <c r="B553" i="2"/>
  <c r="B552" i="2"/>
  <c r="B551" i="2"/>
  <c r="B550" i="2"/>
  <c r="B549" i="2"/>
  <c r="B548" i="2"/>
  <c r="B547" i="2"/>
  <c r="B546" i="2"/>
  <c r="B545" i="2"/>
  <c r="B544" i="2"/>
  <c r="B543" i="2"/>
  <c r="B542" i="2"/>
  <c r="B541" i="2"/>
  <c r="B540" i="2"/>
  <c r="B539" i="2"/>
  <c r="B538" i="2"/>
  <c r="B537" i="2"/>
  <c r="B536" i="2"/>
  <c r="B535" i="2"/>
  <c r="B534" i="2"/>
  <c r="B533" i="2"/>
  <c r="B532" i="2"/>
  <c r="B531" i="2"/>
  <c r="B530" i="2"/>
  <c r="B529" i="2"/>
  <c r="B528" i="2"/>
  <c r="B527" i="2"/>
  <c r="B526" i="2"/>
  <c r="B525" i="2"/>
  <c r="B524" i="2"/>
  <c r="B523" i="2"/>
  <c r="B522" i="2"/>
  <c r="B521" i="2"/>
  <c r="B520" i="2"/>
  <c r="B519" i="2"/>
  <c r="B518" i="2"/>
  <c r="B517" i="2"/>
  <c r="B516" i="2"/>
  <c r="B515" i="2"/>
  <c r="B514" i="2"/>
  <c r="B513" i="2"/>
  <c r="B512" i="2"/>
  <c r="B511" i="2"/>
  <c r="B510" i="2"/>
  <c r="B509" i="2"/>
  <c r="B508" i="2"/>
  <c r="B507" i="2"/>
  <c r="B506" i="2"/>
  <c r="B505" i="2"/>
  <c r="B504" i="2"/>
  <c r="B503" i="2"/>
  <c r="B502" i="2"/>
  <c r="B501" i="2"/>
  <c r="B500" i="2"/>
  <c r="B499" i="2"/>
  <c r="B498" i="2"/>
  <c r="B497" i="2"/>
  <c r="B496" i="2"/>
  <c r="B495" i="2"/>
  <c r="B494" i="2"/>
  <c r="B493" i="2"/>
  <c r="B492" i="2"/>
  <c r="B491" i="2"/>
  <c r="B490" i="2"/>
  <c r="B489" i="2"/>
  <c r="B488" i="2"/>
  <c r="B487" i="2"/>
  <c r="B486" i="2"/>
  <c r="B485" i="2"/>
  <c r="B484" i="2"/>
  <c r="B483" i="2"/>
  <c r="B482" i="2"/>
  <c r="B481" i="2"/>
  <c r="B480" i="2"/>
  <c r="B479" i="2"/>
  <c r="B478" i="2"/>
  <c r="B477" i="2"/>
  <c r="B476" i="2"/>
  <c r="B475" i="2"/>
  <c r="B474" i="2"/>
  <c r="B473" i="2"/>
  <c r="B472" i="2"/>
  <c r="B471" i="2"/>
  <c r="B470" i="2"/>
  <c r="B469" i="2"/>
  <c r="B468" i="2"/>
  <c r="B467" i="2"/>
  <c r="B466" i="2"/>
  <c r="B465" i="2"/>
  <c r="B464" i="2"/>
  <c r="B463" i="2"/>
  <c r="B462" i="2"/>
  <c r="B461" i="2"/>
  <c r="B460" i="2"/>
  <c r="B459" i="2"/>
  <c r="B458" i="2"/>
  <c r="B457" i="2"/>
  <c r="B456" i="2"/>
  <c r="B455" i="2"/>
  <c r="B454" i="2"/>
  <c r="B453" i="2"/>
  <c r="B452" i="2"/>
  <c r="B451" i="2"/>
  <c r="B450" i="2"/>
  <c r="B449" i="2"/>
  <c r="B448" i="2"/>
  <c r="B447" i="2"/>
  <c r="B446" i="2"/>
  <c r="B445" i="2"/>
  <c r="B444" i="2"/>
  <c r="B443" i="2"/>
  <c r="B442" i="2"/>
  <c r="B441" i="2"/>
  <c r="B440" i="2"/>
  <c r="B439" i="2"/>
  <c r="B438" i="2"/>
  <c r="B437" i="2"/>
  <c r="B436" i="2"/>
  <c r="B435" i="2"/>
  <c r="B434" i="2"/>
  <c r="B433" i="2"/>
  <c r="B432" i="2"/>
  <c r="B431" i="2"/>
  <c r="B430" i="2"/>
  <c r="B429" i="2"/>
  <c r="B428" i="2"/>
  <c r="B427" i="2"/>
  <c r="B426" i="2"/>
  <c r="B425" i="2"/>
  <c r="B424" i="2"/>
  <c r="B423" i="2"/>
  <c r="B422" i="2"/>
  <c r="B421" i="2"/>
  <c r="B420" i="2"/>
  <c r="B419" i="2"/>
  <c r="B418" i="2"/>
  <c r="B417" i="2"/>
  <c r="B416" i="2"/>
  <c r="B415" i="2"/>
  <c r="B414" i="2"/>
  <c r="B413" i="2"/>
  <c r="N1202" i="2"/>
  <c r="L1193" i="2"/>
  <c r="J1184" i="2"/>
  <c r="F1176" i="2"/>
  <c r="F1168" i="2"/>
  <c r="F1160" i="2"/>
  <c r="F1152" i="2"/>
  <c r="F1144" i="2"/>
  <c r="M1136" i="2"/>
  <c r="L1129" i="2"/>
  <c r="F1122" i="2"/>
  <c r="D1115" i="2"/>
  <c r="B1108" i="2"/>
  <c r="A1101" i="2"/>
  <c r="P1093" i="2"/>
  <c r="O1086" i="2"/>
  <c r="N1079" i="2"/>
  <c r="M1072" i="2"/>
  <c r="L1065" i="2"/>
  <c r="F1059" i="2"/>
  <c r="L1053" i="2"/>
  <c r="G1049" i="2"/>
  <c r="C1045" i="2"/>
  <c r="O1040" i="2"/>
  <c r="N1036" i="2"/>
  <c r="N1032" i="2"/>
  <c r="N1028" i="2"/>
  <c r="N1024" i="2"/>
  <c r="N1020" i="2"/>
  <c r="N1016" i="2"/>
  <c r="N1012" i="2"/>
  <c r="N1008" i="2"/>
  <c r="N1004" i="2"/>
  <c r="N1000" i="2"/>
  <c r="N996" i="2"/>
  <c r="N992" i="2"/>
  <c r="N988" i="2"/>
  <c r="N984" i="2"/>
  <c r="N980" i="2"/>
  <c r="N976" i="2"/>
  <c r="N972" i="2"/>
  <c r="N968" i="2"/>
  <c r="N964" i="2"/>
  <c r="N960" i="2"/>
  <c r="N956" i="2"/>
  <c r="N952" i="2"/>
  <c r="N948" i="2"/>
  <c r="N944" i="2"/>
  <c r="N940" i="2"/>
  <c r="N936" i="2"/>
  <c r="N932" i="2"/>
  <c r="N928" i="2"/>
  <c r="A925" i="2"/>
  <c r="H921" i="2"/>
  <c r="P917" i="2"/>
  <c r="G914" i="2"/>
  <c r="O910" i="2"/>
  <c r="E907" i="2"/>
  <c r="N903" i="2"/>
  <c r="G900" i="2"/>
  <c r="E897" i="2"/>
  <c r="A894" i="2"/>
  <c r="O890" i="2"/>
  <c r="M887" i="2"/>
  <c r="N884" i="2"/>
  <c r="C882" i="2"/>
  <c r="O879" i="2"/>
  <c r="K877" i="2"/>
  <c r="E875" i="2"/>
  <c r="B873" i="2"/>
  <c r="P870" i="2"/>
  <c r="N868" i="2"/>
  <c r="L866" i="2"/>
  <c r="I864" i="2"/>
  <c r="G862" i="2"/>
  <c r="G860" i="2"/>
  <c r="I858" i="2"/>
  <c r="M856" i="2"/>
  <c r="D855" i="2"/>
  <c r="F853" i="2"/>
  <c r="H851" i="2"/>
  <c r="K849" i="2"/>
  <c r="C848" i="2"/>
  <c r="E846" i="2"/>
  <c r="G844" i="2"/>
  <c r="I842" i="2"/>
  <c r="M840" i="2"/>
  <c r="D839" i="2"/>
  <c r="F837" i="2"/>
  <c r="H835" i="2"/>
  <c r="K833" i="2"/>
  <c r="C832" i="2"/>
  <c r="E830" i="2"/>
  <c r="G828" i="2"/>
  <c r="I826" i="2"/>
  <c r="M824" i="2"/>
  <c r="D823" i="2"/>
  <c r="F821" i="2"/>
  <c r="H819" i="2"/>
  <c r="K817" i="2"/>
  <c r="C816" i="2"/>
  <c r="E814" i="2"/>
  <c r="G812" i="2"/>
  <c r="I810" i="2"/>
  <c r="M808" i="2"/>
  <c r="D807" i="2"/>
  <c r="F805" i="2"/>
  <c r="H803" i="2"/>
  <c r="K801" i="2"/>
  <c r="C800" i="2"/>
  <c r="E798" i="2"/>
  <c r="G796" i="2"/>
  <c r="I794" i="2"/>
  <c r="C793" i="2"/>
  <c r="I791" i="2"/>
  <c r="D790" i="2"/>
  <c r="K788" i="2"/>
  <c r="E787" i="2"/>
  <c r="L785" i="2"/>
  <c r="F784" i="2"/>
  <c r="M782" i="2"/>
  <c r="G781" i="2"/>
  <c r="P779" i="2"/>
  <c r="H778" i="2"/>
  <c r="C777" i="2"/>
  <c r="I775" i="2"/>
  <c r="D774" i="2"/>
  <c r="K772" i="2"/>
  <c r="E771" i="2"/>
  <c r="L769" i="2"/>
  <c r="F768" i="2"/>
  <c r="M766" i="2"/>
  <c r="G765" i="2"/>
  <c r="P763" i="2"/>
  <c r="H762" i="2"/>
  <c r="C761" i="2"/>
  <c r="I759" i="2"/>
  <c r="D758" i="2"/>
  <c r="K756" i="2"/>
  <c r="E755" i="2"/>
  <c r="L753" i="2"/>
  <c r="F752" i="2"/>
  <c r="P750" i="2"/>
  <c r="K749" i="2"/>
  <c r="F748" i="2"/>
  <c r="P746" i="2"/>
  <c r="K745" i="2"/>
  <c r="F744" i="2"/>
  <c r="P742" i="2"/>
  <c r="K741" i="2"/>
  <c r="F740" i="2"/>
  <c r="P738" i="2"/>
  <c r="K737" i="2"/>
  <c r="F736" i="2"/>
  <c r="P734" i="2"/>
  <c r="K733" i="2"/>
  <c r="F732" i="2"/>
  <c r="P730" i="2"/>
  <c r="K729" i="2"/>
  <c r="F728" i="2"/>
  <c r="P726" i="2"/>
  <c r="K725" i="2"/>
  <c r="F724" i="2"/>
  <c r="P722" i="2"/>
  <c r="K721" i="2"/>
  <c r="F720" i="2"/>
  <c r="P718" i="2"/>
  <c r="K717" i="2"/>
  <c r="F716" i="2"/>
  <c r="P714" i="2"/>
  <c r="L713" i="2"/>
  <c r="I712" i="2"/>
  <c r="G711" i="2"/>
  <c r="E710" i="2"/>
  <c r="C709" i="2"/>
  <c r="P707" i="2"/>
  <c r="M706" i="2"/>
  <c r="K705" i="2"/>
  <c r="I704" i="2"/>
  <c r="G703" i="2"/>
  <c r="E702" i="2"/>
  <c r="C701" i="2"/>
  <c r="B700" i="2"/>
  <c r="A699" i="2"/>
  <c r="P697" i="2"/>
  <c r="N696" i="2"/>
  <c r="M695" i="2"/>
  <c r="L694" i="2"/>
  <c r="K693" i="2"/>
  <c r="J692" i="2"/>
  <c r="I691" i="2"/>
  <c r="H690" i="2"/>
  <c r="G689" i="2"/>
  <c r="F688" i="2"/>
  <c r="E687" i="2"/>
  <c r="D686" i="2"/>
  <c r="C685" i="2"/>
  <c r="B684" i="2"/>
  <c r="A683" i="2"/>
  <c r="A682" i="2"/>
  <c r="A681" i="2"/>
  <c r="A680" i="2"/>
  <c r="A679" i="2"/>
  <c r="A678" i="2"/>
  <c r="A677" i="2"/>
  <c r="A676" i="2"/>
  <c r="A675" i="2"/>
  <c r="A674" i="2"/>
  <c r="A673" i="2"/>
  <c r="A672" i="2"/>
  <c r="A671" i="2"/>
  <c r="A670" i="2"/>
  <c r="A669" i="2"/>
  <c r="A668" i="2"/>
  <c r="A667" i="2"/>
  <c r="A666" i="2"/>
  <c r="A665" i="2"/>
  <c r="A664" i="2"/>
  <c r="A663" i="2"/>
  <c r="A662" i="2"/>
  <c r="A661" i="2"/>
  <c r="A660" i="2"/>
  <c r="A659" i="2"/>
  <c r="A658" i="2"/>
  <c r="A657" i="2"/>
  <c r="A656" i="2"/>
  <c r="A655" i="2"/>
  <c r="A654" i="2"/>
  <c r="A653" i="2"/>
  <c r="A652" i="2"/>
  <c r="A651" i="2"/>
  <c r="A650" i="2"/>
  <c r="A649" i="2"/>
  <c r="A648" i="2"/>
  <c r="A647" i="2"/>
  <c r="A646" i="2"/>
  <c r="A645" i="2"/>
  <c r="A644" i="2"/>
  <c r="A643" i="2"/>
  <c r="A642" i="2"/>
  <c r="A641" i="2"/>
  <c r="A640" i="2"/>
  <c r="A639" i="2"/>
  <c r="A638" i="2"/>
  <c r="A637" i="2"/>
  <c r="A636" i="2"/>
  <c r="A635" i="2"/>
  <c r="A634" i="2"/>
  <c r="A633" i="2"/>
  <c r="A632" i="2"/>
  <c r="A631" i="2"/>
  <c r="A630" i="2"/>
  <c r="A629" i="2"/>
  <c r="A628" i="2"/>
  <c r="A627" i="2"/>
  <c r="A626" i="2"/>
  <c r="A625" i="2"/>
  <c r="A624" i="2"/>
  <c r="A623" i="2"/>
  <c r="A622" i="2"/>
  <c r="A621" i="2"/>
  <c r="A620" i="2"/>
  <c r="A619" i="2"/>
  <c r="A618" i="2"/>
  <c r="A617" i="2"/>
  <c r="A616" i="2"/>
  <c r="A615" i="2"/>
  <c r="A614" i="2"/>
  <c r="A613" i="2"/>
  <c r="A612" i="2"/>
  <c r="A611" i="2"/>
  <c r="A610" i="2"/>
  <c r="A609" i="2"/>
  <c r="A608" i="2"/>
  <c r="A607" i="2"/>
  <c r="A606" i="2"/>
  <c r="A605" i="2"/>
  <c r="A604" i="2"/>
  <c r="A603" i="2"/>
  <c r="A602" i="2"/>
  <c r="A601" i="2"/>
  <c r="A600" i="2"/>
  <c r="A599" i="2"/>
  <c r="A598" i="2"/>
  <c r="A597" i="2"/>
  <c r="A596" i="2"/>
  <c r="A595" i="2"/>
  <c r="A594" i="2"/>
  <c r="A593" i="2"/>
  <c r="A592" i="2"/>
  <c r="A591" i="2"/>
  <c r="A590" i="2"/>
  <c r="A589" i="2"/>
  <c r="A588" i="2"/>
  <c r="A587" i="2"/>
  <c r="A586" i="2"/>
  <c r="A585" i="2"/>
  <c r="A584" i="2"/>
  <c r="A583" i="2"/>
  <c r="A582" i="2"/>
  <c r="A581" i="2"/>
  <c r="A580" i="2"/>
  <c r="A579" i="2"/>
  <c r="A578" i="2"/>
  <c r="A577" i="2"/>
  <c r="A576" i="2"/>
  <c r="A575" i="2"/>
  <c r="A574" i="2"/>
  <c r="A573" i="2"/>
  <c r="A572" i="2"/>
  <c r="A571" i="2"/>
  <c r="A570" i="2"/>
  <c r="A569" i="2"/>
  <c r="A568" i="2"/>
  <c r="A567" i="2"/>
  <c r="A566" i="2"/>
  <c r="A565" i="2"/>
  <c r="A564" i="2"/>
  <c r="A563" i="2"/>
  <c r="A562" i="2"/>
  <c r="A561" i="2"/>
  <c r="A560" i="2"/>
  <c r="A559" i="2"/>
  <c r="A558" i="2"/>
  <c r="A557" i="2"/>
  <c r="A556" i="2"/>
  <c r="A555" i="2"/>
  <c r="A554" i="2"/>
  <c r="A553" i="2"/>
  <c r="A552" i="2"/>
  <c r="A551" i="2"/>
  <c r="A550" i="2"/>
  <c r="A549" i="2"/>
  <c r="A548" i="2"/>
  <c r="A547" i="2"/>
  <c r="A546" i="2"/>
  <c r="A545" i="2"/>
  <c r="A544" i="2"/>
  <c r="A543" i="2"/>
  <c r="A542" i="2"/>
  <c r="A541" i="2"/>
  <c r="A540" i="2"/>
  <c r="A539" i="2"/>
  <c r="A538" i="2"/>
  <c r="A537" i="2"/>
  <c r="A536" i="2"/>
  <c r="A535" i="2"/>
  <c r="A534" i="2"/>
  <c r="A533" i="2"/>
  <c r="A532" i="2"/>
  <c r="A531" i="2"/>
  <c r="A530" i="2"/>
  <c r="A529" i="2"/>
  <c r="A528" i="2"/>
  <c r="A527" i="2"/>
  <c r="A526" i="2"/>
  <c r="A525" i="2"/>
  <c r="A524" i="2"/>
  <c r="A523" i="2"/>
  <c r="A522" i="2"/>
  <c r="A521" i="2"/>
  <c r="A520" i="2"/>
  <c r="A519" i="2"/>
  <c r="A518" i="2"/>
  <c r="A517" i="2"/>
  <c r="A516" i="2"/>
  <c r="A515" i="2"/>
  <c r="A514" i="2"/>
  <c r="A513" i="2"/>
  <c r="A512" i="2"/>
  <c r="A511" i="2"/>
  <c r="A510" i="2"/>
  <c r="A509" i="2"/>
  <c r="A508" i="2"/>
  <c r="A507" i="2"/>
  <c r="A506" i="2"/>
  <c r="A505" i="2"/>
  <c r="A504" i="2"/>
  <c r="A503" i="2"/>
  <c r="A502" i="2"/>
  <c r="A501" i="2"/>
  <c r="A500" i="2"/>
  <c r="A499" i="2"/>
  <c r="A498" i="2"/>
  <c r="A497" i="2"/>
  <c r="A496" i="2"/>
  <c r="A495" i="2"/>
  <c r="A494" i="2"/>
  <c r="A493" i="2"/>
  <c r="A492" i="2"/>
  <c r="A491" i="2"/>
  <c r="A490" i="2"/>
  <c r="A489" i="2"/>
  <c r="A488" i="2"/>
  <c r="A487" i="2"/>
  <c r="A486" i="2"/>
  <c r="A485" i="2"/>
  <c r="A484" i="2"/>
  <c r="A483" i="2"/>
  <c r="A482" i="2"/>
  <c r="A481" i="2"/>
  <c r="A480" i="2"/>
  <c r="A479" i="2"/>
  <c r="A478" i="2"/>
  <c r="A477" i="2"/>
  <c r="A476" i="2"/>
  <c r="A475" i="2"/>
  <c r="A474" i="2"/>
  <c r="A473" i="2"/>
  <c r="A472" i="2"/>
  <c r="A471" i="2"/>
  <c r="A470" i="2"/>
  <c r="A469" i="2"/>
  <c r="A468" i="2"/>
  <c r="A467" i="2"/>
  <c r="A466" i="2"/>
  <c r="A465" i="2"/>
  <c r="A464" i="2"/>
  <c r="A463" i="2"/>
  <c r="A462" i="2"/>
  <c r="A461" i="2"/>
  <c r="A460" i="2"/>
  <c r="A459" i="2"/>
  <c r="A458" i="2"/>
  <c r="A457" i="2"/>
  <c r="A456" i="2"/>
  <c r="A455" i="2"/>
  <c r="A454" i="2"/>
  <c r="A453" i="2"/>
  <c r="A452" i="2"/>
  <c r="A451" i="2"/>
  <c r="A450" i="2"/>
  <c r="A449" i="2"/>
  <c r="A448" i="2"/>
  <c r="A447" i="2"/>
  <c r="A446" i="2"/>
  <c r="A445" i="2"/>
  <c r="A444" i="2"/>
  <c r="A443" i="2"/>
  <c r="A442" i="2"/>
  <c r="A441" i="2"/>
  <c r="A440" i="2"/>
  <c r="A439" i="2"/>
  <c r="A438" i="2"/>
  <c r="A437" i="2"/>
  <c r="A436" i="2"/>
  <c r="A435" i="2"/>
  <c r="A434" i="2"/>
  <c r="A433" i="2"/>
  <c r="A432" i="2"/>
  <c r="A431" i="2"/>
  <c r="A430" i="2"/>
  <c r="A429" i="2"/>
  <c r="A428" i="2"/>
  <c r="A427" i="2"/>
  <c r="A426" i="2"/>
  <c r="A425" i="2"/>
  <c r="A424" i="2"/>
  <c r="A423" i="2"/>
  <c r="A422" i="2"/>
  <c r="A421" i="2"/>
  <c r="A420" i="2"/>
  <c r="A419" i="2"/>
  <c r="A418" i="2"/>
  <c r="A417" i="2"/>
  <c r="A416" i="2"/>
  <c r="A415" i="2"/>
  <c r="A414" i="2"/>
  <c r="A413" i="2"/>
  <c r="A412" i="2"/>
  <c r="A411" i="2"/>
  <c r="A410" i="2"/>
  <c r="A409" i="2"/>
  <c r="A408" i="2"/>
  <c r="A407" i="2"/>
  <c r="A406" i="2"/>
  <c r="A405" i="2"/>
  <c r="A404" i="2"/>
  <c r="A403" i="2"/>
  <c r="A402" i="2"/>
  <c r="A401" i="2"/>
  <c r="A400" i="2"/>
  <c r="A399" i="2"/>
  <c r="A398" i="2"/>
  <c r="A397" i="2"/>
  <c r="A396" i="2"/>
  <c r="A395" i="2"/>
  <c r="A394" i="2"/>
  <c r="A393" i="2"/>
  <c r="A392" i="2"/>
  <c r="A391" i="2"/>
  <c r="A390" i="2"/>
  <c r="A389" i="2"/>
  <c r="A388" i="2"/>
  <c r="A387" i="2"/>
  <c r="A386" i="2"/>
  <c r="A385" i="2"/>
  <c r="A384" i="2"/>
  <c r="A383" i="2"/>
  <c r="A382" i="2"/>
  <c r="A381" i="2"/>
  <c r="A380" i="2"/>
  <c r="A379" i="2"/>
  <c r="A378" i="2"/>
  <c r="A377" i="2"/>
  <c r="A376" i="2"/>
  <c r="A375" i="2"/>
  <c r="A374" i="2"/>
  <c r="A373" i="2"/>
  <c r="A372" i="2"/>
  <c r="A371" i="2"/>
  <c r="A370" i="2"/>
  <c r="A369" i="2"/>
  <c r="A368" i="2"/>
  <c r="A367" i="2"/>
  <c r="A366" i="2"/>
  <c r="A365" i="2"/>
  <c r="A364" i="2"/>
  <c r="A363" i="2"/>
  <c r="A362" i="2"/>
  <c r="A361" i="2"/>
  <c r="A360" i="2"/>
  <c r="A359" i="2"/>
  <c r="A358" i="2"/>
  <c r="A357" i="2"/>
  <c r="A356" i="2"/>
  <c r="A355" i="2"/>
  <c r="A354" i="2"/>
  <c r="A353" i="2"/>
  <c r="A352" i="2"/>
  <c r="A351" i="2"/>
  <c r="A350" i="2"/>
  <c r="L1202" i="2"/>
  <c r="J1193" i="2"/>
  <c r="H1184" i="2"/>
  <c r="D1176" i="2"/>
  <c r="D1168" i="2"/>
  <c r="D1160" i="2"/>
  <c r="D1152" i="2"/>
  <c r="D1144" i="2"/>
  <c r="L1136" i="2"/>
  <c r="F1129" i="2"/>
  <c r="D1122" i="2"/>
  <c r="B1115" i="2"/>
  <c r="A1108" i="2"/>
  <c r="P1100" i="2"/>
  <c r="O1093" i="2"/>
  <c r="N1086" i="2"/>
  <c r="M1079" i="2"/>
  <c r="L1072" i="2"/>
  <c r="F1065" i="2"/>
  <c r="D1059" i="2"/>
  <c r="K1053" i="2"/>
  <c r="F1049" i="2"/>
  <c r="B1045" i="2"/>
  <c r="N1040" i="2"/>
  <c r="M1036" i="2"/>
  <c r="M1032" i="2"/>
  <c r="M1028" i="2"/>
  <c r="M1024" i="2"/>
  <c r="M1020" i="2"/>
  <c r="M1016" i="2"/>
  <c r="M1012" i="2"/>
  <c r="M1008" i="2"/>
  <c r="M1004" i="2"/>
  <c r="M1000" i="2"/>
  <c r="M996" i="2"/>
  <c r="M992" i="2"/>
  <c r="M988" i="2"/>
  <c r="M984" i="2"/>
  <c r="M980" i="2"/>
  <c r="M976" i="2"/>
  <c r="M972" i="2"/>
  <c r="M968" i="2"/>
  <c r="M964" i="2"/>
  <c r="M960" i="2"/>
  <c r="M956" i="2"/>
  <c r="M952" i="2"/>
  <c r="M948" i="2"/>
  <c r="M944" i="2"/>
  <c r="M940" i="2"/>
  <c r="M936" i="2"/>
  <c r="M932" i="2"/>
  <c r="M928" i="2"/>
  <c r="P924" i="2"/>
  <c r="G921" i="2"/>
  <c r="O917" i="2"/>
  <c r="E914" i="2"/>
  <c r="N910" i="2"/>
  <c r="B907" i="2"/>
  <c r="M903" i="2"/>
  <c r="F900" i="2"/>
  <c r="B897" i="2"/>
  <c r="P893" i="2"/>
  <c r="N890" i="2"/>
  <c r="H887" i="2"/>
  <c r="M884" i="2"/>
  <c r="B882" i="2"/>
  <c r="N879" i="2"/>
  <c r="H877" i="2"/>
  <c r="D875" i="2"/>
  <c r="A873" i="2"/>
  <c r="O870" i="2"/>
  <c r="M868" i="2"/>
  <c r="K866" i="2"/>
  <c r="H864" i="2"/>
  <c r="F862" i="2"/>
  <c r="F860" i="2"/>
  <c r="H858" i="2"/>
  <c r="K856" i="2"/>
  <c r="C855" i="2"/>
  <c r="E853" i="2"/>
  <c r="G851" i="2"/>
  <c r="I849" i="2"/>
  <c r="M847" i="2"/>
  <c r="D846" i="2"/>
  <c r="F844" i="2"/>
  <c r="H842" i="2"/>
  <c r="K840" i="2"/>
  <c r="C839" i="2"/>
  <c r="E837" i="2"/>
  <c r="G835" i="2"/>
  <c r="I833" i="2"/>
  <c r="M831" i="2"/>
  <c r="D830" i="2"/>
  <c r="F828" i="2"/>
  <c r="H826" i="2"/>
  <c r="K824" i="2"/>
  <c r="C823" i="2"/>
  <c r="E821" i="2"/>
  <c r="G819" i="2"/>
  <c r="I817" i="2"/>
  <c r="M815" i="2"/>
  <c r="D814" i="2"/>
  <c r="F812" i="2"/>
  <c r="H810" i="2"/>
  <c r="K808" i="2"/>
  <c r="C807" i="2"/>
  <c r="E805" i="2"/>
  <c r="G803" i="2"/>
  <c r="I801" i="2"/>
  <c r="M799" i="2"/>
  <c r="D798" i="2"/>
  <c r="F796" i="2"/>
  <c r="H794" i="2"/>
  <c r="P792" i="2"/>
  <c r="H791" i="2"/>
  <c r="C790" i="2"/>
  <c r="I788" i="2"/>
  <c r="D787" i="2"/>
  <c r="K785" i="2"/>
  <c r="E784" i="2"/>
  <c r="L782" i="2"/>
  <c r="F781" i="2"/>
  <c r="M779" i="2"/>
  <c r="G778" i="2"/>
  <c r="P776" i="2"/>
  <c r="H775" i="2"/>
  <c r="C774" i="2"/>
  <c r="I772" i="2"/>
  <c r="D771" i="2"/>
  <c r="K769" i="2"/>
  <c r="E768" i="2"/>
  <c r="L766" i="2"/>
  <c r="F765" i="2"/>
  <c r="M763" i="2"/>
  <c r="G762" i="2"/>
  <c r="P760" i="2"/>
  <c r="H759" i="2"/>
  <c r="C758" i="2"/>
  <c r="I756" i="2"/>
  <c r="D755" i="2"/>
  <c r="K753" i="2"/>
  <c r="E752" i="2"/>
  <c r="N750" i="2"/>
  <c r="I749" i="2"/>
  <c r="E748" i="2"/>
  <c r="N746" i="2"/>
  <c r="I745" i="2"/>
  <c r="E744" i="2"/>
  <c r="N742" i="2"/>
  <c r="I741" i="2"/>
  <c r="E740" i="2"/>
  <c r="N738" i="2"/>
  <c r="I737" i="2"/>
  <c r="E736" i="2"/>
  <c r="N734" i="2"/>
  <c r="I733" i="2"/>
  <c r="E732" i="2"/>
  <c r="N730" i="2"/>
  <c r="I729" i="2"/>
  <c r="E728" i="2"/>
  <c r="N726" i="2"/>
  <c r="I725" i="2"/>
  <c r="E724" i="2"/>
  <c r="N722" i="2"/>
  <c r="I721" i="2"/>
  <c r="E720" i="2"/>
  <c r="N718" i="2"/>
  <c r="I717" i="2"/>
  <c r="E716" i="2"/>
  <c r="N714" i="2"/>
  <c r="K713" i="2"/>
  <c r="H712" i="2"/>
  <c r="F711" i="2"/>
  <c r="D710" i="2"/>
  <c r="B709" i="2"/>
  <c r="N707" i="2"/>
  <c r="L706" i="2"/>
  <c r="J705" i="2"/>
  <c r="H704" i="2"/>
  <c r="F703" i="2"/>
  <c r="D702" i="2"/>
  <c r="B701" i="2"/>
  <c r="A700" i="2"/>
  <c r="P698" i="2"/>
  <c r="N697" i="2"/>
  <c r="M696" i="2"/>
  <c r="L695" i="2"/>
  <c r="K694" i="2"/>
  <c r="J693" i="2"/>
  <c r="I692" i="2"/>
  <c r="H691" i="2"/>
  <c r="G690" i="2"/>
  <c r="F689" i="2"/>
  <c r="E688" i="2"/>
  <c r="D687" i="2"/>
  <c r="C686" i="2"/>
  <c r="B685" i="2"/>
  <c r="A684" i="2"/>
  <c r="P682" i="2"/>
  <c r="P681" i="2"/>
  <c r="P680" i="2"/>
  <c r="P679" i="2"/>
  <c r="P678" i="2"/>
  <c r="P677" i="2"/>
  <c r="P676" i="2"/>
  <c r="P675" i="2"/>
  <c r="P674" i="2"/>
  <c r="P673" i="2"/>
  <c r="P672" i="2"/>
  <c r="P671" i="2"/>
  <c r="P670" i="2"/>
  <c r="P669" i="2"/>
  <c r="P668" i="2"/>
  <c r="P667" i="2"/>
  <c r="P666" i="2"/>
  <c r="P665" i="2"/>
  <c r="P664" i="2"/>
  <c r="P663" i="2"/>
  <c r="P662" i="2"/>
  <c r="P661" i="2"/>
  <c r="P660" i="2"/>
  <c r="P659" i="2"/>
  <c r="P658" i="2"/>
  <c r="P657" i="2"/>
  <c r="P656" i="2"/>
  <c r="P655" i="2"/>
  <c r="P654" i="2"/>
  <c r="P653" i="2"/>
  <c r="P652" i="2"/>
  <c r="P651" i="2"/>
  <c r="P650" i="2"/>
  <c r="P649" i="2"/>
  <c r="P648" i="2"/>
  <c r="P647" i="2"/>
  <c r="P646" i="2"/>
  <c r="P645" i="2"/>
  <c r="P644" i="2"/>
  <c r="P643" i="2"/>
  <c r="P642" i="2"/>
  <c r="P641" i="2"/>
  <c r="P640" i="2"/>
  <c r="P639" i="2"/>
  <c r="P638" i="2"/>
  <c r="P637" i="2"/>
  <c r="P636" i="2"/>
  <c r="P635" i="2"/>
  <c r="P634" i="2"/>
  <c r="P633" i="2"/>
  <c r="P632" i="2"/>
  <c r="P631" i="2"/>
  <c r="P630" i="2"/>
  <c r="P629" i="2"/>
  <c r="P628" i="2"/>
  <c r="P627" i="2"/>
  <c r="P626" i="2"/>
  <c r="P625" i="2"/>
  <c r="P624" i="2"/>
  <c r="P623" i="2"/>
  <c r="P622" i="2"/>
  <c r="P621" i="2"/>
  <c r="P620" i="2"/>
  <c r="P619" i="2"/>
  <c r="P618" i="2"/>
  <c r="P617" i="2"/>
  <c r="P616" i="2"/>
  <c r="P615" i="2"/>
  <c r="P614" i="2"/>
  <c r="P613" i="2"/>
  <c r="P612" i="2"/>
  <c r="P611" i="2"/>
  <c r="P610" i="2"/>
  <c r="P609" i="2"/>
  <c r="P608" i="2"/>
  <c r="P607" i="2"/>
  <c r="P606" i="2"/>
  <c r="P605" i="2"/>
  <c r="P604" i="2"/>
  <c r="P603" i="2"/>
  <c r="P602" i="2"/>
  <c r="P601" i="2"/>
  <c r="P600" i="2"/>
  <c r="P599" i="2"/>
  <c r="P598" i="2"/>
  <c r="P597" i="2"/>
  <c r="P596" i="2"/>
  <c r="P595" i="2"/>
  <c r="P594" i="2"/>
  <c r="P593" i="2"/>
  <c r="P592" i="2"/>
  <c r="P591" i="2"/>
  <c r="P590" i="2"/>
  <c r="P589" i="2"/>
  <c r="P588" i="2"/>
  <c r="P587" i="2"/>
  <c r="P586" i="2"/>
  <c r="P585" i="2"/>
  <c r="P584" i="2"/>
  <c r="P583" i="2"/>
  <c r="P582" i="2"/>
  <c r="P581" i="2"/>
  <c r="P580" i="2"/>
  <c r="P579" i="2"/>
  <c r="P578" i="2"/>
  <c r="P577" i="2"/>
  <c r="P576" i="2"/>
  <c r="P575" i="2"/>
  <c r="P574" i="2"/>
  <c r="P573" i="2"/>
  <c r="P572" i="2"/>
  <c r="P571" i="2"/>
  <c r="P570" i="2"/>
  <c r="P569" i="2"/>
  <c r="P568" i="2"/>
  <c r="P567" i="2"/>
  <c r="P566" i="2"/>
  <c r="P565" i="2"/>
  <c r="P564" i="2"/>
  <c r="P563" i="2"/>
  <c r="P562" i="2"/>
  <c r="G1211" i="2"/>
  <c r="J1201" i="2"/>
  <c r="H1192" i="2"/>
  <c r="D1183" i="2"/>
  <c r="D1175" i="2"/>
  <c r="D1167" i="2"/>
  <c r="D1159" i="2"/>
  <c r="D1151" i="2"/>
  <c r="D1143" i="2"/>
  <c r="M1135" i="2"/>
  <c r="L1128" i="2"/>
  <c r="F1121" i="2"/>
  <c r="D1114" i="2"/>
  <c r="B1107" i="2"/>
  <c r="A1100" i="2"/>
  <c r="P1092" i="2"/>
  <c r="O1085" i="2"/>
  <c r="N1078" i="2"/>
  <c r="M1071" i="2"/>
  <c r="L1064" i="2"/>
  <c r="I1058" i="2"/>
  <c r="B1053" i="2"/>
  <c r="N1048" i="2"/>
  <c r="J1044" i="2"/>
  <c r="E1040" i="2"/>
  <c r="E1036" i="2"/>
  <c r="E1032" i="2"/>
  <c r="E1028" i="2"/>
  <c r="E1024" i="2"/>
  <c r="E1020" i="2"/>
  <c r="E1016" i="2"/>
  <c r="E1012" i="2"/>
  <c r="E1008" i="2"/>
  <c r="E1004" i="2"/>
  <c r="E1000" i="2"/>
  <c r="E996" i="2"/>
  <c r="E992" i="2"/>
  <c r="E988" i="2"/>
  <c r="E984" i="2"/>
  <c r="E980" i="2"/>
  <c r="E976" i="2"/>
  <c r="E972" i="2"/>
  <c r="E968" i="2"/>
  <c r="E964" i="2"/>
  <c r="E960" i="2"/>
  <c r="E956" i="2"/>
  <c r="E952" i="2"/>
  <c r="E948" i="2"/>
  <c r="E944" i="2"/>
  <c r="E940" i="2"/>
  <c r="E936" i="2"/>
  <c r="E932" i="2"/>
  <c r="E928" i="2"/>
  <c r="N924" i="2"/>
  <c r="B921" i="2"/>
  <c r="M917" i="2"/>
  <c r="A914" i="2"/>
  <c r="H910" i="2"/>
  <c r="P906" i="2"/>
  <c r="G903" i="2"/>
  <c r="B900" i="2"/>
  <c r="P896" i="2"/>
  <c r="N893" i="2"/>
  <c r="H890" i="2"/>
  <c r="F887" i="2"/>
  <c r="H884" i="2"/>
  <c r="P881" i="2"/>
  <c r="L879" i="2"/>
  <c r="F877" i="2"/>
  <c r="B875" i="2"/>
  <c r="O872" i="2"/>
  <c r="M870" i="2"/>
  <c r="K868" i="2"/>
  <c r="H866" i="2"/>
  <c r="F864" i="2"/>
  <c r="D862" i="2"/>
  <c r="D860" i="2"/>
  <c r="F858" i="2"/>
  <c r="H856" i="2"/>
  <c r="K854" i="2"/>
  <c r="C853" i="2"/>
  <c r="E851" i="2"/>
  <c r="G849" i="2"/>
  <c r="I847" i="2"/>
  <c r="M845" i="2"/>
  <c r="D844" i="2"/>
  <c r="F842" i="2"/>
  <c r="H840" i="2"/>
  <c r="K838" i="2"/>
  <c r="C837" i="2"/>
  <c r="E835" i="2"/>
  <c r="G833" i="2"/>
  <c r="I831" i="2"/>
  <c r="M829" i="2"/>
  <c r="D828" i="2"/>
  <c r="F826" i="2"/>
  <c r="H824" i="2"/>
  <c r="K822" i="2"/>
  <c r="C821" i="2"/>
  <c r="E819" i="2"/>
  <c r="G817" i="2"/>
  <c r="I815" i="2"/>
  <c r="M813" i="2"/>
  <c r="D812" i="2"/>
  <c r="F810" i="2"/>
  <c r="H808" i="2"/>
  <c r="K806" i="2"/>
  <c r="C805" i="2"/>
  <c r="E803" i="2"/>
  <c r="G801" i="2"/>
  <c r="I799" i="2"/>
  <c r="M797" i="2"/>
  <c r="D796" i="2"/>
  <c r="F794" i="2"/>
  <c r="L792" i="2"/>
  <c r="F791" i="2"/>
  <c r="M789" i="2"/>
  <c r="G788" i="2"/>
  <c r="P786" i="2"/>
  <c r="H785" i="2"/>
  <c r="C784" i="2"/>
  <c r="I782" i="2"/>
  <c r="D781" i="2"/>
  <c r="K779" i="2"/>
  <c r="E778" i="2"/>
  <c r="L776" i="2"/>
  <c r="F775" i="2"/>
  <c r="M773" i="2"/>
  <c r="G772" i="2"/>
  <c r="P770" i="2"/>
  <c r="H769" i="2"/>
  <c r="C768" i="2"/>
  <c r="I766" i="2"/>
  <c r="D765" i="2"/>
  <c r="K763" i="2"/>
  <c r="E762" i="2"/>
  <c r="L760" i="2"/>
  <c r="F759" i="2"/>
  <c r="M757" i="2"/>
  <c r="G756" i="2"/>
  <c r="P754" i="2"/>
  <c r="H753" i="2"/>
  <c r="C752" i="2"/>
  <c r="L750" i="2"/>
  <c r="G749" i="2"/>
  <c r="C748" i="2"/>
  <c r="L746" i="2"/>
  <c r="G745" i="2"/>
  <c r="C744" i="2"/>
  <c r="L742" i="2"/>
  <c r="G741" i="2"/>
  <c r="C740" i="2"/>
  <c r="L738" i="2"/>
  <c r="G737" i="2"/>
  <c r="C736" i="2"/>
  <c r="L734" i="2"/>
  <c r="G733" i="2"/>
  <c r="C732" i="2"/>
  <c r="L730" i="2"/>
  <c r="G729" i="2"/>
  <c r="C728" i="2"/>
  <c r="L726" i="2"/>
  <c r="G725" i="2"/>
  <c r="C724" i="2"/>
  <c r="L722" i="2"/>
  <c r="G721" i="2"/>
  <c r="C720" i="2"/>
  <c r="L718" i="2"/>
  <c r="G717" i="2"/>
  <c r="C716" i="2"/>
  <c r="L714" i="2"/>
  <c r="I713" i="2"/>
  <c r="F712" i="2"/>
  <c r="D711" i="2"/>
  <c r="B710" i="2"/>
  <c r="N708" i="2"/>
  <c r="L707" i="2"/>
  <c r="J706" i="2"/>
  <c r="H705" i="2"/>
  <c r="F704" i="2"/>
  <c r="D703" i="2"/>
  <c r="B702" i="2"/>
  <c r="P700" i="2"/>
  <c r="N699" i="2"/>
  <c r="M698" i="2"/>
  <c r="L697" i="2"/>
  <c r="K696" i="2"/>
  <c r="J695" i="2"/>
  <c r="I694" i="2"/>
  <c r="H693" i="2"/>
  <c r="G692" i="2"/>
  <c r="F691" i="2"/>
  <c r="E690" i="2"/>
  <c r="D689" i="2"/>
  <c r="C688" i="2"/>
  <c r="B687" i="2"/>
  <c r="A686" i="2"/>
  <c r="P684" i="2"/>
  <c r="N683" i="2"/>
  <c r="N682" i="2"/>
  <c r="N681" i="2"/>
  <c r="N680" i="2"/>
  <c r="N679" i="2"/>
  <c r="N678" i="2"/>
  <c r="N677" i="2"/>
  <c r="N676" i="2"/>
  <c r="N675" i="2"/>
  <c r="N674" i="2"/>
  <c r="N673" i="2"/>
  <c r="N672" i="2"/>
  <c r="N671" i="2"/>
  <c r="N670" i="2"/>
  <c r="N669" i="2"/>
  <c r="N668" i="2"/>
  <c r="N667" i="2"/>
  <c r="N666" i="2"/>
  <c r="N665" i="2"/>
  <c r="N664" i="2"/>
  <c r="N663" i="2"/>
  <c r="N662" i="2"/>
  <c r="N661" i="2"/>
  <c r="N660" i="2"/>
  <c r="N659" i="2"/>
  <c r="N658" i="2"/>
  <c r="N657" i="2"/>
  <c r="N656" i="2"/>
  <c r="N655" i="2"/>
  <c r="N654" i="2"/>
  <c r="N653" i="2"/>
  <c r="N652" i="2"/>
  <c r="N651" i="2"/>
  <c r="N650" i="2"/>
  <c r="N649" i="2"/>
  <c r="N648" i="2"/>
  <c r="N647" i="2"/>
  <c r="N646" i="2"/>
  <c r="N645" i="2"/>
  <c r="N644" i="2"/>
  <c r="N643" i="2"/>
  <c r="N642" i="2"/>
  <c r="N641" i="2"/>
  <c r="N640" i="2"/>
  <c r="N639" i="2"/>
  <c r="N638" i="2"/>
  <c r="N637" i="2"/>
  <c r="N636" i="2"/>
  <c r="N635" i="2"/>
  <c r="N634" i="2"/>
  <c r="N633" i="2"/>
  <c r="N632" i="2"/>
  <c r="N631" i="2"/>
  <c r="N630" i="2"/>
  <c r="N629" i="2"/>
  <c r="N628" i="2"/>
  <c r="N627" i="2"/>
  <c r="N626" i="2"/>
  <c r="N625" i="2"/>
  <c r="N624" i="2"/>
  <c r="N623" i="2"/>
  <c r="N622" i="2"/>
  <c r="N621" i="2"/>
  <c r="N620" i="2"/>
  <c r="N619" i="2"/>
  <c r="N618" i="2"/>
  <c r="N617" i="2"/>
  <c r="N616" i="2"/>
  <c r="N615" i="2"/>
  <c r="N614" i="2"/>
  <c r="N613" i="2"/>
  <c r="N612" i="2"/>
  <c r="N611" i="2"/>
  <c r="N610" i="2"/>
  <c r="N609" i="2"/>
  <c r="N608" i="2"/>
  <c r="N607" i="2"/>
  <c r="N606" i="2"/>
  <c r="N605" i="2"/>
  <c r="N604" i="2"/>
  <c r="N603" i="2"/>
  <c r="N602" i="2"/>
  <c r="N601" i="2"/>
  <c r="N600" i="2"/>
  <c r="N599" i="2"/>
  <c r="N598" i="2"/>
  <c r="N597" i="2"/>
  <c r="N596" i="2"/>
  <c r="N595" i="2"/>
  <c r="N594" i="2"/>
  <c r="N593" i="2"/>
  <c r="N592" i="2"/>
  <c r="N591" i="2"/>
  <c r="N590" i="2"/>
  <c r="N589" i="2"/>
  <c r="N588" i="2"/>
  <c r="N587" i="2"/>
  <c r="N586" i="2"/>
  <c r="N585" i="2"/>
  <c r="N584" i="2"/>
  <c r="N583" i="2"/>
  <c r="N582" i="2"/>
  <c r="N581" i="2"/>
  <c r="N580" i="2"/>
  <c r="N579" i="2"/>
  <c r="N578" i="2"/>
  <c r="N577" i="2"/>
  <c r="N576" i="2"/>
  <c r="N575" i="2"/>
  <c r="N574" i="2"/>
  <c r="N573" i="2"/>
  <c r="N572" i="2"/>
  <c r="N571" i="2"/>
  <c r="N570" i="2"/>
  <c r="N569" i="2"/>
  <c r="N568" i="2"/>
  <c r="N567" i="2"/>
  <c r="N566" i="2"/>
  <c r="N565" i="2"/>
  <c r="N564" i="2"/>
  <c r="N563" i="2"/>
  <c r="N562" i="2"/>
  <c r="N561" i="2"/>
  <c r="N560" i="2"/>
  <c r="N559" i="2"/>
  <c r="N558" i="2"/>
  <c r="N557" i="2"/>
  <c r="N556" i="2"/>
  <c r="N555" i="2"/>
  <c r="N554" i="2"/>
  <c r="N553" i="2"/>
  <c r="N552" i="2"/>
  <c r="N551" i="2"/>
  <c r="N550" i="2"/>
  <c r="N549" i="2"/>
  <c r="N548" i="2"/>
  <c r="N547" i="2"/>
  <c r="N546" i="2"/>
  <c r="N545" i="2"/>
  <c r="N544" i="2"/>
  <c r="N543" i="2"/>
  <c r="N542" i="2"/>
  <c r="N541" i="2"/>
  <c r="N540" i="2"/>
  <c r="N539" i="2"/>
  <c r="N538" i="2"/>
  <c r="N537" i="2"/>
  <c r="N536" i="2"/>
  <c r="N535" i="2"/>
  <c r="N534" i="2"/>
  <c r="N533" i="2"/>
  <c r="N532" i="2"/>
  <c r="N531" i="2"/>
  <c r="N530" i="2"/>
  <c r="N529" i="2"/>
  <c r="N528" i="2"/>
  <c r="N527" i="2"/>
  <c r="N526" i="2"/>
  <c r="N525" i="2"/>
  <c r="N524" i="2"/>
  <c r="N523" i="2"/>
  <c r="N522" i="2"/>
  <c r="N521" i="2"/>
  <c r="N520" i="2"/>
  <c r="N519" i="2"/>
  <c r="N518" i="2"/>
  <c r="N517" i="2"/>
  <c r="N516" i="2"/>
  <c r="N515" i="2"/>
  <c r="N514" i="2"/>
  <c r="N513" i="2"/>
  <c r="N512" i="2"/>
  <c r="N511" i="2"/>
  <c r="N510" i="2"/>
  <c r="N509" i="2"/>
  <c r="N508" i="2"/>
  <c r="N507" i="2"/>
  <c r="N506" i="2"/>
  <c r="N505" i="2"/>
  <c r="N504" i="2"/>
  <c r="N503" i="2"/>
  <c r="N502" i="2"/>
  <c r="N501" i="2"/>
  <c r="N500" i="2"/>
  <c r="N499" i="2"/>
  <c r="N498" i="2"/>
  <c r="N497" i="2"/>
  <c r="N496" i="2"/>
  <c r="N495" i="2"/>
  <c r="N494" i="2"/>
  <c r="N493" i="2"/>
  <c r="N492" i="2"/>
  <c r="N491" i="2"/>
  <c r="N490" i="2"/>
  <c r="N489" i="2"/>
  <c r="N488" i="2"/>
  <c r="N487" i="2"/>
  <c r="N486" i="2"/>
  <c r="N485" i="2"/>
  <c r="N484" i="2"/>
  <c r="N483" i="2"/>
  <c r="N482" i="2"/>
  <c r="N481" i="2"/>
  <c r="N480" i="2"/>
  <c r="N479" i="2"/>
  <c r="N478" i="2"/>
  <c r="N477" i="2"/>
  <c r="N476" i="2"/>
  <c r="N475" i="2"/>
  <c r="N474" i="2"/>
  <c r="N473" i="2"/>
  <c r="N472" i="2"/>
  <c r="N471" i="2"/>
  <c r="N470" i="2"/>
  <c r="N469" i="2"/>
  <c r="N468" i="2"/>
  <c r="N467" i="2"/>
  <c r="N466" i="2"/>
  <c r="N465" i="2"/>
  <c r="N464" i="2"/>
  <c r="N463" i="2"/>
  <c r="N462" i="2"/>
  <c r="N461" i="2"/>
  <c r="N460" i="2"/>
  <c r="N459" i="2"/>
  <c r="N458" i="2"/>
  <c r="N457" i="2"/>
  <c r="N456" i="2"/>
  <c r="N455" i="2"/>
  <c r="N454" i="2"/>
  <c r="N453" i="2"/>
  <c r="N452" i="2"/>
  <c r="N451" i="2"/>
  <c r="N450" i="2"/>
  <c r="N449" i="2"/>
  <c r="N448" i="2"/>
  <c r="N447" i="2"/>
  <c r="N446" i="2"/>
  <c r="N445" i="2"/>
  <c r="N444" i="2"/>
  <c r="N443" i="2"/>
  <c r="N442" i="2"/>
  <c r="N441" i="2"/>
  <c r="N440" i="2"/>
  <c r="N439" i="2"/>
  <c r="N438" i="2"/>
  <c r="N437" i="2"/>
  <c r="N436" i="2"/>
  <c r="N435" i="2"/>
  <c r="N434" i="2"/>
  <c r="N433" i="2"/>
  <c r="N432" i="2"/>
  <c r="N431" i="2"/>
  <c r="N430" i="2"/>
  <c r="N429" i="2"/>
  <c r="N428" i="2"/>
  <c r="N427" i="2"/>
  <c r="N426" i="2"/>
  <c r="N425" i="2"/>
  <c r="N424" i="2"/>
  <c r="N423" i="2"/>
  <c r="N422" i="2"/>
  <c r="N421" i="2"/>
  <c r="N420" i="2"/>
  <c r="N419" i="2"/>
  <c r="N418" i="2"/>
  <c r="N417" i="2"/>
  <c r="N416" i="2"/>
  <c r="N415" i="2"/>
  <c r="N414" i="2"/>
  <c r="N413" i="2"/>
  <c r="N412" i="2"/>
  <c r="N411" i="2"/>
  <c r="N410" i="2"/>
  <c r="N409" i="2"/>
  <c r="N408" i="2"/>
  <c r="N407" i="2"/>
  <c r="N406" i="2"/>
  <c r="N405" i="2"/>
  <c r="N404" i="2"/>
  <c r="N403" i="2"/>
  <c r="N402" i="2"/>
  <c r="N401" i="2"/>
  <c r="N400" i="2"/>
  <c r="N399" i="2"/>
  <c r="N398" i="2"/>
  <c r="N397" i="2"/>
  <c r="N396" i="2"/>
  <c r="N395" i="2"/>
  <c r="N394" i="2"/>
  <c r="N393" i="2"/>
  <c r="N392" i="2"/>
  <c r="N391" i="2"/>
  <c r="N390" i="2"/>
  <c r="N389" i="2"/>
  <c r="N388" i="2"/>
  <c r="N387" i="2"/>
  <c r="N386" i="2"/>
  <c r="N385" i="2"/>
  <c r="N384" i="2"/>
  <c r="N383" i="2"/>
  <c r="N382" i="2"/>
  <c r="N381" i="2"/>
  <c r="N380" i="2"/>
  <c r="N379" i="2"/>
  <c r="N378" i="2"/>
  <c r="N377" i="2"/>
  <c r="N376" i="2"/>
  <c r="N375" i="2"/>
  <c r="N374" i="2"/>
  <c r="N373" i="2"/>
  <c r="N372" i="2"/>
  <c r="N371" i="2"/>
  <c r="N370" i="2"/>
  <c r="N369" i="2"/>
  <c r="N368" i="2"/>
  <c r="N367" i="2"/>
  <c r="N366" i="2"/>
  <c r="N365" i="2"/>
  <c r="N364" i="2"/>
  <c r="N363" i="2"/>
  <c r="N362" i="2"/>
  <c r="N361" i="2"/>
  <c r="N360" i="2"/>
  <c r="N359" i="2"/>
  <c r="N358" i="2"/>
  <c r="N357" i="2"/>
  <c r="D1208" i="2"/>
  <c r="N1198" i="2"/>
  <c r="L1189" i="2"/>
  <c r="N1180" i="2"/>
  <c r="N1172" i="2"/>
  <c r="N1164" i="2"/>
  <c r="N1156" i="2"/>
  <c r="N1148" i="2"/>
  <c r="N1140" i="2"/>
  <c r="F1133" i="2"/>
  <c r="D1126" i="2"/>
  <c r="B1119" i="2"/>
  <c r="A1112" i="2"/>
  <c r="P1104" i="2"/>
  <c r="O1097" i="2"/>
  <c r="N1090" i="2"/>
  <c r="M1083" i="2"/>
  <c r="L1076" i="2"/>
  <c r="F1069" i="2"/>
  <c r="I1062" i="2"/>
  <c r="M1056" i="2"/>
  <c r="M1051" i="2"/>
  <c r="I1047" i="2"/>
  <c r="D1043" i="2"/>
  <c r="A1039" i="2"/>
  <c r="A1035" i="2"/>
  <c r="A1031" i="2"/>
  <c r="A1027" i="2"/>
  <c r="A1023" i="2"/>
  <c r="A1019" i="2"/>
  <c r="A1015" i="2"/>
  <c r="A1011" i="2"/>
  <c r="A1007" i="2"/>
  <c r="A1003" i="2"/>
  <c r="A999" i="2"/>
  <c r="A995" i="2"/>
  <c r="A991" i="2"/>
  <c r="A987" i="2"/>
  <c r="A983" i="2"/>
  <c r="A979" i="2"/>
  <c r="A975" i="2"/>
  <c r="A971" i="2"/>
  <c r="A967" i="2"/>
  <c r="A963" i="2"/>
  <c r="A959" i="2"/>
  <c r="A955" i="2"/>
  <c r="A951" i="2"/>
  <c r="A947" i="2"/>
  <c r="A943" i="2"/>
  <c r="A939" i="2"/>
  <c r="A935" i="2"/>
  <c r="A931" i="2"/>
  <c r="B927" i="2"/>
  <c r="M923" i="2"/>
  <c r="A920" i="2"/>
  <c r="H916" i="2"/>
  <c r="P912" i="2"/>
  <c r="G909" i="2"/>
  <c r="O905" i="2"/>
  <c r="F902" i="2"/>
  <c r="B899" i="2"/>
  <c r="P895" i="2"/>
  <c r="N892" i="2"/>
  <c r="H889" i="2"/>
  <c r="G886" i="2"/>
  <c r="M883" i="2"/>
  <c r="D881" i="2"/>
  <c r="P878" i="2"/>
  <c r="L876" i="2"/>
  <c r="F874" i="2"/>
  <c r="D872" i="2"/>
  <c r="B870" i="2"/>
  <c r="P867" i="2"/>
  <c r="N865" i="2"/>
  <c r="L863" i="2"/>
  <c r="I861" i="2"/>
  <c r="M859" i="2"/>
  <c r="D858" i="2"/>
  <c r="F856" i="2"/>
  <c r="H854" i="2"/>
  <c r="K852" i="2"/>
  <c r="C851" i="2"/>
  <c r="E849" i="2"/>
  <c r="G847" i="2"/>
  <c r="I845" i="2"/>
  <c r="M843" i="2"/>
  <c r="D842" i="2"/>
  <c r="F840" i="2"/>
  <c r="H838" i="2"/>
  <c r="K836" i="2"/>
  <c r="C835" i="2"/>
  <c r="E833" i="2"/>
  <c r="G831" i="2"/>
  <c r="I829" i="2"/>
  <c r="M827" i="2"/>
  <c r="D826" i="2"/>
  <c r="F824" i="2"/>
  <c r="H822" i="2"/>
  <c r="K820" i="2"/>
  <c r="C819" i="2"/>
  <c r="E817" i="2"/>
  <c r="G815" i="2"/>
  <c r="I813" i="2"/>
  <c r="M811" i="2"/>
  <c r="D810" i="2"/>
  <c r="F808" i="2"/>
  <c r="H806" i="2"/>
  <c r="K804" i="2"/>
  <c r="C803" i="2"/>
  <c r="E801" i="2"/>
  <c r="G799" i="2"/>
  <c r="I797" i="2"/>
  <c r="M795" i="2"/>
  <c r="D794" i="2"/>
  <c r="I792" i="2"/>
  <c r="D791" i="2"/>
  <c r="K789" i="2"/>
  <c r="E788" i="2"/>
  <c r="L786" i="2"/>
  <c r="F785" i="2"/>
  <c r="M783" i="2"/>
  <c r="G782" i="2"/>
  <c r="P780" i="2"/>
  <c r="H779" i="2"/>
  <c r="C778" i="2"/>
  <c r="I776" i="2"/>
  <c r="D775" i="2"/>
  <c r="K773" i="2"/>
  <c r="E772" i="2"/>
  <c r="L770" i="2"/>
  <c r="F769" i="2"/>
  <c r="M767" i="2"/>
  <c r="G766" i="2"/>
  <c r="P764" i="2"/>
  <c r="H763" i="2"/>
  <c r="C762" i="2"/>
  <c r="I760" i="2"/>
  <c r="D759" i="2"/>
  <c r="K757" i="2"/>
  <c r="E756" i="2"/>
  <c r="L754" i="2"/>
  <c r="F753" i="2"/>
  <c r="N751" i="2"/>
  <c r="I750" i="2"/>
  <c r="E749" i="2"/>
  <c r="N747" i="2"/>
  <c r="I746" i="2"/>
  <c r="E745" i="2"/>
  <c r="N743" i="2"/>
  <c r="I742" i="2"/>
  <c r="E741" i="2"/>
  <c r="N739" i="2"/>
  <c r="I738" i="2"/>
  <c r="E737" i="2"/>
  <c r="N735" i="2"/>
  <c r="I734" i="2"/>
  <c r="E733" i="2"/>
  <c r="N731" i="2"/>
  <c r="I730" i="2"/>
  <c r="E729" i="2"/>
  <c r="N727" i="2"/>
  <c r="I726" i="2"/>
  <c r="E725" i="2"/>
  <c r="N723" i="2"/>
  <c r="I722" i="2"/>
  <c r="E721" i="2"/>
  <c r="N719" i="2"/>
  <c r="I718" i="2"/>
  <c r="E717" i="2"/>
  <c r="N715" i="2"/>
  <c r="J714" i="2"/>
  <c r="G713" i="2"/>
  <c r="D712" i="2"/>
  <c r="B711" i="2"/>
  <c r="N709" i="2"/>
  <c r="L708" i="2"/>
  <c r="J707" i="2"/>
  <c r="H706" i="2"/>
  <c r="F705" i="2"/>
  <c r="D704" i="2"/>
  <c r="B703" i="2"/>
  <c r="N701" i="2"/>
  <c r="M700" i="2"/>
  <c r="L699" i="2"/>
  <c r="K698" i="2"/>
  <c r="J697" i="2"/>
  <c r="I696" i="2"/>
  <c r="H695" i="2"/>
  <c r="G694" i="2"/>
  <c r="F693" i="2"/>
  <c r="E692" i="2"/>
  <c r="D691" i="2"/>
  <c r="C690" i="2"/>
  <c r="B689" i="2"/>
  <c r="A688" i="2"/>
  <c r="P686" i="2"/>
  <c r="N685" i="2"/>
  <c r="M684" i="2"/>
  <c r="L683" i="2"/>
  <c r="L682" i="2"/>
  <c r="L681" i="2"/>
  <c r="L680" i="2"/>
  <c r="L679" i="2"/>
  <c r="L678" i="2"/>
  <c r="L677" i="2"/>
  <c r="L676" i="2"/>
  <c r="L675" i="2"/>
  <c r="L674" i="2"/>
  <c r="L673" i="2"/>
  <c r="L672" i="2"/>
  <c r="L671" i="2"/>
  <c r="L670" i="2"/>
  <c r="L669" i="2"/>
  <c r="L668" i="2"/>
  <c r="L667" i="2"/>
  <c r="L666" i="2"/>
  <c r="L665" i="2"/>
  <c r="L664" i="2"/>
  <c r="L663" i="2"/>
  <c r="L662" i="2"/>
  <c r="L661" i="2"/>
  <c r="L660" i="2"/>
  <c r="L659" i="2"/>
  <c r="L658" i="2"/>
  <c r="L657" i="2"/>
  <c r="L656" i="2"/>
  <c r="L655" i="2"/>
  <c r="L654" i="2"/>
  <c r="L653" i="2"/>
  <c r="L652" i="2"/>
  <c r="L651" i="2"/>
  <c r="L650" i="2"/>
  <c r="L649" i="2"/>
  <c r="L648" i="2"/>
  <c r="L647" i="2"/>
  <c r="L646" i="2"/>
  <c r="L645" i="2"/>
  <c r="L644" i="2"/>
  <c r="L643" i="2"/>
  <c r="L642" i="2"/>
  <c r="L641" i="2"/>
  <c r="L640" i="2"/>
  <c r="L639" i="2"/>
  <c r="L638" i="2"/>
  <c r="L637" i="2"/>
  <c r="L636" i="2"/>
  <c r="L635" i="2"/>
  <c r="L634" i="2"/>
  <c r="L633" i="2"/>
  <c r="L632" i="2"/>
  <c r="L631" i="2"/>
  <c r="L630" i="2"/>
  <c r="L629" i="2"/>
  <c r="L628" i="2"/>
  <c r="L627" i="2"/>
  <c r="L626" i="2"/>
  <c r="L625" i="2"/>
  <c r="L624" i="2"/>
  <c r="L623" i="2"/>
  <c r="L622" i="2"/>
  <c r="L621" i="2"/>
  <c r="L620" i="2"/>
  <c r="L619" i="2"/>
  <c r="L618" i="2"/>
  <c r="L617" i="2"/>
  <c r="L616" i="2"/>
  <c r="L615" i="2"/>
  <c r="L614" i="2"/>
  <c r="L613" i="2"/>
  <c r="L612" i="2"/>
  <c r="L611" i="2"/>
  <c r="L610" i="2"/>
  <c r="L609" i="2"/>
  <c r="L608" i="2"/>
  <c r="L607" i="2"/>
  <c r="L606" i="2"/>
  <c r="L605" i="2"/>
  <c r="L604" i="2"/>
  <c r="L603" i="2"/>
  <c r="L602" i="2"/>
  <c r="L601" i="2"/>
  <c r="L600" i="2"/>
  <c r="L599" i="2"/>
  <c r="L598" i="2"/>
  <c r="L597" i="2"/>
  <c r="L596" i="2"/>
  <c r="L595" i="2"/>
  <c r="L594" i="2"/>
  <c r="L593" i="2"/>
  <c r="L592" i="2"/>
  <c r="L591" i="2"/>
  <c r="L590" i="2"/>
  <c r="L589" i="2"/>
  <c r="L588" i="2"/>
  <c r="L587" i="2"/>
  <c r="L586" i="2"/>
  <c r="L585" i="2"/>
  <c r="L584" i="2"/>
  <c r="L583" i="2"/>
  <c r="L582" i="2"/>
  <c r="L581" i="2"/>
  <c r="L580" i="2"/>
  <c r="L579" i="2"/>
  <c r="L578" i="2"/>
  <c r="L577" i="2"/>
  <c r="L576" i="2"/>
  <c r="L575" i="2"/>
  <c r="L574" i="2"/>
  <c r="L573" i="2"/>
  <c r="L572" i="2"/>
  <c r="L571" i="2"/>
  <c r="L570" i="2"/>
  <c r="L569" i="2"/>
  <c r="L568" i="2"/>
  <c r="L567" i="2"/>
  <c r="L566" i="2"/>
  <c r="L565" i="2"/>
  <c r="L564" i="2"/>
  <c r="L563" i="2"/>
  <c r="L562" i="2"/>
  <c r="L561" i="2"/>
  <c r="L560" i="2"/>
  <c r="L559" i="2"/>
  <c r="L558" i="2"/>
  <c r="L557" i="2"/>
  <c r="L556" i="2"/>
  <c r="L555" i="2"/>
  <c r="L554" i="2"/>
  <c r="L553" i="2"/>
  <c r="L552" i="2"/>
  <c r="L551" i="2"/>
  <c r="L550" i="2"/>
  <c r="L549" i="2"/>
  <c r="L548" i="2"/>
  <c r="L547" i="2"/>
  <c r="L546" i="2"/>
  <c r="L545" i="2"/>
  <c r="L544" i="2"/>
  <c r="L543" i="2"/>
  <c r="L542" i="2"/>
  <c r="L541" i="2"/>
  <c r="L540" i="2"/>
  <c r="L539" i="2"/>
  <c r="L538" i="2"/>
  <c r="L537" i="2"/>
  <c r="L536" i="2"/>
  <c r="L535" i="2"/>
  <c r="L534" i="2"/>
  <c r="L533" i="2"/>
  <c r="L532" i="2"/>
  <c r="L531" i="2"/>
  <c r="L530" i="2"/>
  <c r="L529" i="2"/>
  <c r="L528" i="2"/>
  <c r="L527" i="2"/>
  <c r="L526" i="2"/>
  <c r="L525" i="2"/>
  <c r="L524" i="2"/>
  <c r="L523" i="2"/>
  <c r="L522" i="2"/>
  <c r="L521" i="2"/>
  <c r="L520" i="2"/>
  <c r="L519" i="2"/>
  <c r="L518" i="2"/>
  <c r="L517" i="2"/>
  <c r="L516" i="2"/>
  <c r="L515" i="2"/>
  <c r="L514" i="2"/>
  <c r="L513" i="2"/>
  <c r="L512" i="2"/>
  <c r="L511" i="2"/>
  <c r="L510" i="2"/>
  <c r="L509" i="2"/>
  <c r="L508" i="2"/>
  <c r="L507" i="2"/>
  <c r="L506" i="2"/>
  <c r="L505" i="2"/>
  <c r="L504" i="2"/>
  <c r="L503" i="2"/>
  <c r="L502" i="2"/>
  <c r="L501" i="2"/>
  <c r="L500" i="2"/>
  <c r="L499" i="2"/>
  <c r="L498" i="2"/>
  <c r="L497" i="2"/>
  <c r="L496" i="2"/>
  <c r="L495" i="2"/>
  <c r="L494" i="2"/>
  <c r="L493" i="2"/>
  <c r="L492" i="2"/>
  <c r="L491" i="2"/>
  <c r="L490" i="2"/>
  <c r="L489" i="2"/>
  <c r="L488" i="2"/>
  <c r="L487" i="2"/>
  <c r="L486" i="2"/>
  <c r="L485" i="2"/>
  <c r="L484" i="2"/>
  <c r="L483" i="2"/>
  <c r="L482" i="2"/>
  <c r="L481" i="2"/>
  <c r="L480" i="2"/>
  <c r="L479" i="2"/>
  <c r="L478" i="2"/>
  <c r="L477" i="2"/>
  <c r="L476" i="2"/>
  <c r="L475" i="2"/>
  <c r="L474" i="2"/>
  <c r="L473" i="2"/>
  <c r="L472" i="2"/>
  <c r="L471" i="2"/>
  <c r="L470" i="2"/>
  <c r="L469" i="2"/>
  <c r="L468" i="2"/>
  <c r="L467" i="2"/>
  <c r="L466" i="2"/>
  <c r="L465" i="2"/>
  <c r="L464" i="2"/>
  <c r="L463" i="2"/>
  <c r="L462" i="2"/>
  <c r="L461" i="2"/>
  <c r="L460" i="2"/>
  <c r="L459" i="2"/>
  <c r="L458" i="2"/>
  <c r="L457" i="2"/>
  <c r="L456" i="2"/>
  <c r="L455" i="2"/>
  <c r="L454" i="2"/>
  <c r="L453" i="2"/>
  <c r="L452" i="2"/>
  <c r="L451" i="2"/>
  <c r="L450" i="2"/>
  <c r="L449" i="2"/>
  <c r="L448" i="2"/>
  <c r="L447" i="2"/>
  <c r="L446" i="2"/>
  <c r="L445" i="2"/>
  <c r="L444" i="2"/>
  <c r="L443" i="2"/>
  <c r="L442" i="2"/>
  <c r="L441" i="2"/>
  <c r="L440" i="2"/>
  <c r="L439" i="2"/>
  <c r="L438" i="2"/>
  <c r="L437" i="2"/>
  <c r="L436" i="2"/>
  <c r="L435" i="2"/>
  <c r="L434" i="2"/>
  <c r="L433" i="2"/>
  <c r="L432" i="2"/>
  <c r="L431" i="2"/>
  <c r="L430" i="2"/>
  <c r="L429" i="2"/>
  <c r="L428" i="2"/>
  <c r="L427" i="2"/>
  <c r="L426" i="2"/>
  <c r="L425" i="2"/>
  <c r="L424" i="2"/>
  <c r="L423" i="2"/>
  <c r="L422" i="2"/>
  <c r="L421" i="2"/>
  <c r="L420" i="2"/>
  <c r="L419" i="2"/>
  <c r="L418" i="2"/>
  <c r="L417" i="2"/>
  <c r="L416" i="2"/>
  <c r="L415" i="2"/>
  <c r="L414" i="2"/>
  <c r="L413" i="2"/>
  <c r="L412" i="2"/>
  <c r="L411" i="2"/>
  <c r="L410" i="2"/>
  <c r="L409" i="2"/>
  <c r="L408" i="2"/>
  <c r="L407" i="2"/>
  <c r="L406" i="2"/>
  <c r="L405" i="2"/>
  <c r="L404" i="2"/>
  <c r="L403" i="2"/>
  <c r="L402" i="2"/>
  <c r="L401" i="2"/>
  <c r="L400" i="2"/>
  <c r="L399" i="2"/>
  <c r="L398" i="2"/>
  <c r="L397" i="2"/>
  <c r="L396" i="2"/>
  <c r="L395" i="2"/>
  <c r="L394" i="2"/>
  <c r="L393" i="2"/>
  <c r="L392" i="2"/>
  <c r="L391" i="2"/>
  <c r="L390" i="2"/>
  <c r="L389" i="2"/>
  <c r="L388" i="2"/>
  <c r="L387" i="2"/>
  <c r="L386" i="2"/>
  <c r="L385" i="2"/>
  <c r="L384" i="2"/>
  <c r="L383" i="2"/>
  <c r="L382" i="2"/>
  <c r="L381" i="2"/>
  <c r="C1208" i="2"/>
  <c r="M1198" i="2"/>
  <c r="K1189" i="2"/>
  <c r="M1180" i="2"/>
  <c r="M1172" i="2"/>
  <c r="M1164" i="2"/>
  <c r="M1156" i="2"/>
  <c r="M1148" i="2"/>
  <c r="M1140" i="2"/>
  <c r="D1133" i="2"/>
  <c r="B1126" i="2"/>
  <c r="A1119" i="2"/>
  <c r="P1111" i="2"/>
  <c r="O1104" i="2"/>
  <c r="N1097" i="2"/>
  <c r="M1090" i="2"/>
  <c r="L1083" i="2"/>
  <c r="F1076" i="2"/>
  <c r="D1069" i="2"/>
  <c r="G1062" i="2"/>
  <c r="L1056" i="2"/>
  <c r="L1051" i="2"/>
  <c r="G1047" i="2"/>
  <c r="C1043" i="2"/>
  <c r="P1038" i="2"/>
  <c r="P1034" i="2"/>
  <c r="P1030" i="2"/>
  <c r="P1026" i="2"/>
  <c r="P1022" i="2"/>
  <c r="P1018" i="2"/>
  <c r="P1014" i="2"/>
  <c r="P1010" i="2"/>
  <c r="P1006" i="2"/>
  <c r="P1002" i="2"/>
  <c r="P998" i="2"/>
  <c r="P994" i="2"/>
  <c r="P990" i="2"/>
  <c r="P986" i="2"/>
  <c r="P982" i="2"/>
  <c r="P978" i="2"/>
  <c r="P974" i="2"/>
  <c r="P970" i="2"/>
  <c r="P966" i="2"/>
  <c r="P962" i="2"/>
  <c r="P958" i="2"/>
  <c r="P954" i="2"/>
  <c r="P950" i="2"/>
  <c r="P946" i="2"/>
  <c r="P942" i="2"/>
  <c r="P938" i="2"/>
  <c r="P934" i="2"/>
  <c r="P930" i="2"/>
  <c r="A927" i="2"/>
  <c r="H923" i="2"/>
  <c r="P919" i="2"/>
  <c r="G916" i="2"/>
  <c r="O912" i="2"/>
  <c r="E909" i="2"/>
  <c r="N905" i="2"/>
  <c r="E902" i="2"/>
  <c r="A899" i="2"/>
  <c r="O895" i="2"/>
  <c r="M892" i="2"/>
  <c r="G889" i="2"/>
  <c r="F886" i="2"/>
  <c r="K883" i="2"/>
  <c r="C881" i="2"/>
  <c r="O878" i="2"/>
  <c r="K876" i="2"/>
  <c r="E874" i="2"/>
  <c r="C872" i="2"/>
  <c r="A870" i="2"/>
  <c r="O867" i="2"/>
  <c r="M865" i="2"/>
  <c r="K863" i="2"/>
  <c r="H861" i="2"/>
  <c r="K859" i="2"/>
  <c r="C858" i="2"/>
  <c r="E856" i="2"/>
  <c r="G854" i="2"/>
  <c r="I852" i="2"/>
  <c r="M850" i="2"/>
  <c r="D849" i="2"/>
  <c r="F847" i="2"/>
  <c r="H845" i="2"/>
  <c r="K843" i="2"/>
  <c r="C842" i="2"/>
  <c r="E840" i="2"/>
  <c r="G838" i="2"/>
  <c r="I836" i="2"/>
  <c r="M834" i="2"/>
  <c r="D833" i="2"/>
  <c r="F831" i="2"/>
  <c r="H829" i="2"/>
  <c r="K827" i="2"/>
  <c r="C826" i="2"/>
  <c r="E824" i="2"/>
  <c r="G822" i="2"/>
  <c r="I820" i="2"/>
  <c r="M818" i="2"/>
  <c r="D817" i="2"/>
  <c r="F815" i="2"/>
  <c r="H813" i="2"/>
  <c r="K811" i="2"/>
  <c r="C810" i="2"/>
  <c r="E808" i="2"/>
  <c r="G806" i="2"/>
  <c r="I804" i="2"/>
  <c r="M802" i="2"/>
  <c r="D801" i="2"/>
  <c r="F799" i="2"/>
  <c r="H797" i="2"/>
  <c r="K795" i="2"/>
  <c r="C794" i="2"/>
  <c r="H792" i="2"/>
  <c r="C791" i="2"/>
  <c r="I789" i="2"/>
  <c r="D788" i="2"/>
  <c r="K786" i="2"/>
  <c r="E785" i="2"/>
  <c r="L783" i="2"/>
  <c r="F782" i="2"/>
  <c r="M780" i="2"/>
  <c r="G779" i="2"/>
  <c r="P777" i="2"/>
  <c r="H776" i="2"/>
  <c r="C775" i="2"/>
  <c r="I773" i="2"/>
  <c r="D772" i="2"/>
  <c r="K770" i="2"/>
  <c r="E769" i="2"/>
  <c r="L767" i="2"/>
  <c r="F766" i="2"/>
  <c r="M764" i="2"/>
  <c r="G763" i="2"/>
  <c r="P761" i="2"/>
  <c r="H760" i="2"/>
  <c r="C759" i="2"/>
  <c r="I757" i="2"/>
  <c r="D756" i="2"/>
  <c r="K754" i="2"/>
  <c r="E753" i="2"/>
  <c r="M751" i="2"/>
  <c r="H750" i="2"/>
  <c r="D749" i="2"/>
  <c r="M747" i="2"/>
  <c r="H746" i="2"/>
  <c r="D745" i="2"/>
  <c r="M743" i="2"/>
  <c r="H742" i="2"/>
  <c r="D741" i="2"/>
  <c r="M739" i="2"/>
  <c r="H738" i="2"/>
  <c r="D737" i="2"/>
  <c r="M735" i="2"/>
  <c r="H734" i="2"/>
  <c r="D733" i="2"/>
  <c r="M731" i="2"/>
  <c r="H730" i="2"/>
  <c r="D729" i="2"/>
  <c r="M727" i="2"/>
  <c r="H726" i="2"/>
  <c r="D725" i="2"/>
  <c r="M723" i="2"/>
  <c r="H722" i="2"/>
  <c r="D721" i="2"/>
  <c r="M719" i="2"/>
  <c r="H718" i="2"/>
  <c r="D717" i="2"/>
  <c r="M715" i="2"/>
  <c r="I714" i="2"/>
  <c r="F713" i="2"/>
  <c r="C712" i="2"/>
  <c r="P710" i="2"/>
  <c r="M709" i="2"/>
  <c r="K708" i="2"/>
  <c r="I707" i="2"/>
  <c r="G706" i="2"/>
  <c r="E705" i="2"/>
  <c r="C704" i="2"/>
  <c r="P702" i="2"/>
  <c r="M701" i="2"/>
  <c r="L700" i="2"/>
  <c r="K699" i="2"/>
  <c r="J698" i="2"/>
  <c r="I697" i="2"/>
  <c r="H696" i="2"/>
  <c r="G695" i="2"/>
  <c r="F694" i="2"/>
  <c r="E693" i="2"/>
  <c r="D692" i="2"/>
  <c r="C691" i="2"/>
  <c r="B690" i="2"/>
  <c r="A689" i="2"/>
  <c r="P687" i="2"/>
  <c r="N686" i="2"/>
  <c r="M685" i="2"/>
  <c r="L684" i="2"/>
  <c r="K683" i="2"/>
  <c r="K682" i="2"/>
  <c r="K681" i="2"/>
  <c r="K680" i="2"/>
  <c r="K679" i="2"/>
  <c r="K678" i="2"/>
  <c r="K677" i="2"/>
  <c r="K676" i="2"/>
  <c r="K675" i="2"/>
  <c r="K674" i="2"/>
  <c r="K673" i="2"/>
  <c r="K672" i="2"/>
  <c r="K671" i="2"/>
  <c r="K670" i="2"/>
  <c r="K669" i="2"/>
  <c r="K668" i="2"/>
  <c r="K667" i="2"/>
  <c r="K666" i="2"/>
  <c r="K665" i="2"/>
  <c r="K664" i="2"/>
  <c r="K663" i="2"/>
  <c r="K662" i="2"/>
  <c r="K661" i="2"/>
  <c r="K660" i="2"/>
  <c r="K659" i="2"/>
  <c r="K658" i="2"/>
  <c r="K657" i="2"/>
  <c r="K656" i="2"/>
  <c r="K655" i="2"/>
  <c r="K654" i="2"/>
  <c r="K653" i="2"/>
  <c r="K652" i="2"/>
  <c r="K651" i="2"/>
  <c r="K650" i="2"/>
  <c r="K649" i="2"/>
  <c r="K648" i="2"/>
  <c r="K647" i="2"/>
  <c r="K646" i="2"/>
  <c r="K645" i="2"/>
  <c r="K644" i="2"/>
  <c r="K643" i="2"/>
  <c r="K642" i="2"/>
  <c r="K641" i="2"/>
  <c r="K640" i="2"/>
  <c r="K639" i="2"/>
  <c r="K638" i="2"/>
  <c r="K637" i="2"/>
  <c r="K636" i="2"/>
  <c r="K635" i="2"/>
  <c r="K634" i="2"/>
  <c r="K633" i="2"/>
  <c r="K632" i="2"/>
  <c r="K631" i="2"/>
  <c r="K630" i="2"/>
  <c r="K629" i="2"/>
  <c r="K628" i="2"/>
  <c r="K627" i="2"/>
  <c r="K626" i="2"/>
  <c r="K625" i="2"/>
  <c r="K624" i="2"/>
  <c r="K623" i="2"/>
  <c r="K622" i="2"/>
  <c r="K621" i="2"/>
  <c r="K620" i="2"/>
  <c r="K619" i="2"/>
  <c r="K618" i="2"/>
  <c r="K617" i="2"/>
  <c r="K616" i="2"/>
  <c r="K615" i="2"/>
  <c r="K614" i="2"/>
  <c r="K613" i="2"/>
  <c r="K612" i="2"/>
  <c r="K611" i="2"/>
  <c r="K610" i="2"/>
  <c r="K609" i="2"/>
  <c r="K608" i="2"/>
  <c r="K607" i="2"/>
  <c r="K606" i="2"/>
  <c r="K605" i="2"/>
  <c r="K604" i="2"/>
  <c r="K603" i="2"/>
  <c r="K602" i="2"/>
  <c r="K601" i="2"/>
  <c r="K600" i="2"/>
  <c r="K599" i="2"/>
  <c r="K598" i="2"/>
  <c r="K597" i="2"/>
  <c r="K596" i="2"/>
  <c r="K595" i="2"/>
  <c r="K594" i="2"/>
  <c r="K593" i="2"/>
  <c r="K592" i="2"/>
  <c r="K591" i="2"/>
  <c r="K590" i="2"/>
  <c r="K589" i="2"/>
  <c r="K588" i="2"/>
  <c r="K587" i="2"/>
  <c r="K586" i="2"/>
  <c r="K585" i="2"/>
  <c r="K584" i="2"/>
  <c r="K583" i="2"/>
  <c r="K582" i="2"/>
  <c r="K581" i="2"/>
  <c r="K580" i="2"/>
  <c r="K579" i="2"/>
  <c r="K578" i="2"/>
  <c r="K577" i="2"/>
  <c r="K576" i="2"/>
  <c r="K575" i="2"/>
  <c r="K574" i="2"/>
  <c r="K573" i="2"/>
  <c r="K572" i="2"/>
  <c r="K571" i="2"/>
  <c r="K570" i="2"/>
  <c r="K569" i="2"/>
  <c r="K568" i="2"/>
  <c r="K567" i="2"/>
  <c r="K566" i="2"/>
  <c r="K565" i="2"/>
  <c r="K564" i="2"/>
  <c r="K563" i="2"/>
  <c r="K562" i="2"/>
  <c r="K561" i="2"/>
  <c r="K560" i="2"/>
  <c r="K559" i="2"/>
  <c r="K558" i="2"/>
  <c r="K557" i="2"/>
  <c r="K556" i="2"/>
  <c r="K555" i="2"/>
  <c r="K554" i="2"/>
  <c r="K553" i="2"/>
  <c r="K552" i="2"/>
  <c r="K551" i="2"/>
  <c r="K550" i="2"/>
  <c r="K549" i="2"/>
  <c r="K548" i="2"/>
  <c r="K547" i="2"/>
  <c r="K546" i="2"/>
  <c r="K545" i="2"/>
  <c r="K544" i="2"/>
  <c r="K543" i="2"/>
  <c r="K542" i="2"/>
  <c r="K541" i="2"/>
  <c r="K540" i="2"/>
  <c r="K539" i="2"/>
  <c r="K538" i="2"/>
  <c r="K537" i="2"/>
  <c r="K536" i="2"/>
  <c r="K535" i="2"/>
  <c r="K534" i="2"/>
  <c r="K533" i="2"/>
  <c r="K532" i="2"/>
  <c r="K531" i="2"/>
  <c r="K530" i="2"/>
  <c r="K529" i="2"/>
  <c r="K528" i="2"/>
  <c r="K527" i="2"/>
  <c r="K526" i="2"/>
  <c r="K525" i="2"/>
  <c r="K524" i="2"/>
  <c r="K523" i="2"/>
  <c r="K522" i="2"/>
  <c r="K521" i="2"/>
  <c r="K520" i="2"/>
  <c r="K519" i="2"/>
  <c r="K518" i="2"/>
  <c r="K517" i="2"/>
  <c r="K516" i="2"/>
  <c r="K515" i="2"/>
  <c r="K514" i="2"/>
  <c r="K513" i="2"/>
  <c r="K512" i="2"/>
  <c r="K511" i="2"/>
  <c r="K510" i="2"/>
  <c r="K509" i="2"/>
  <c r="K508" i="2"/>
  <c r="K507" i="2"/>
  <c r="K506" i="2"/>
  <c r="K505" i="2"/>
  <c r="K504" i="2"/>
  <c r="K503" i="2"/>
  <c r="K502" i="2"/>
  <c r="K501" i="2"/>
  <c r="K500" i="2"/>
  <c r="K499" i="2"/>
  <c r="K498" i="2"/>
  <c r="K497" i="2"/>
  <c r="K496" i="2"/>
  <c r="K495" i="2"/>
  <c r="K494" i="2"/>
  <c r="K493" i="2"/>
  <c r="K492" i="2"/>
  <c r="K491" i="2"/>
  <c r="K490" i="2"/>
  <c r="K489" i="2"/>
  <c r="K488" i="2"/>
  <c r="K487" i="2"/>
  <c r="K486" i="2"/>
  <c r="K485" i="2"/>
  <c r="K484" i="2"/>
  <c r="K483" i="2"/>
  <c r="K482" i="2"/>
  <c r="K481" i="2"/>
  <c r="K480" i="2"/>
  <c r="K479" i="2"/>
  <c r="K478" i="2"/>
  <c r="K477" i="2"/>
  <c r="K476" i="2"/>
  <c r="K475" i="2"/>
  <c r="K474" i="2"/>
  <c r="K473" i="2"/>
  <c r="K472" i="2"/>
  <c r="K471" i="2"/>
  <c r="K470" i="2"/>
  <c r="K469" i="2"/>
  <c r="K468" i="2"/>
  <c r="K467" i="2"/>
  <c r="K466" i="2"/>
  <c r="K465" i="2"/>
  <c r="K464" i="2"/>
  <c r="K463" i="2"/>
  <c r="K462" i="2"/>
  <c r="K461" i="2"/>
  <c r="K460" i="2"/>
  <c r="K459" i="2"/>
  <c r="K458" i="2"/>
  <c r="K457" i="2"/>
  <c r="K456" i="2"/>
  <c r="K455" i="2"/>
  <c r="K454" i="2"/>
  <c r="K453" i="2"/>
  <c r="K452" i="2"/>
  <c r="K451" i="2"/>
  <c r="K450" i="2"/>
  <c r="K449" i="2"/>
  <c r="K448" i="2"/>
  <c r="K447" i="2"/>
  <c r="L1198" i="2"/>
  <c r="L1180" i="2"/>
  <c r="L1164" i="2"/>
  <c r="L1148" i="2"/>
  <c r="B1133" i="2"/>
  <c r="P1118" i="2"/>
  <c r="N1104" i="2"/>
  <c r="L1090" i="2"/>
  <c r="D1076" i="2"/>
  <c r="F1062" i="2"/>
  <c r="K1051" i="2"/>
  <c r="B1043" i="2"/>
  <c r="O1034" i="2"/>
  <c r="O1026" i="2"/>
  <c r="O1018" i="2"/>
  <c r="O1010" i="2"/>
  <c r="O1002" i="2"/>
  <c r="O994" i="2"/>
  <c r="O986" i="2"/>
  <c r="O978" i="2"/>
  <c r="O970" i="2"/>
  <c r="O962" i="2"/>
  <c r="O954" i="2"/>
  <c r="O946" i="2"/>
  <c r="O938" i="2"/>
  <c r="O930" i="2"/>
  <c r="G923" i="2"/>
  <c r="E916" i="2"/>
  <c r="B909" i="2"/>
  <c r="B902" i="2"/>
  <c r="N895" i="2"/>
  <c r="F889" i="2"/>
  <c r="H883" i="2"/>
  <c r="N878" i="2"/>
  <c r="D874" i="2"/>
  <c r="P869" i="2"/>
  <c r="L865" i="2"/>
  <c r="G861" i="2"/>
  <c r="M857" i="2"/>
  <c r="F854" i="2"/>
  <c r="K850" i="2"/>
  <c r="E847" i="2"/>
  <c r="I843" i="2"/>
  <c r="D840" i="2"/>
  <c r="H836" i="2"/>
  <c r="C833" i="2"/>
  <c r="G829" i="2"/>
  <c r="M825" i="2"/>
  <c r="F822" i="2"/>
  <c r="K818" i="2"/>
  <c r="E815" i="2"/>
  <c r="I811" i="2"/>
  <c r="D808" i="2"/>
  <c r="H804" i="2"/>
  <c r="C801" i="2"/>
  <c r="G797" i="2"/>
  <c r="M793" i="2"/>
  <c r="P790" i="2"/>
  <c r="C788" i="2"/>
  <c r="D785" i="2"/>
  <c r="E782" i="2"/>
  <c r="F779" i="2"/>
  <c r="G776" i="2"/>
  <c r="H773" i="2"/>
  <c r="I770" i="2"/>
  <c r="K767" i="2"/>
  <c r="L764" i="2"/>
  <c r="M761" i="2"/>
  <c r="P758" i="2"/>
  <c r="C756" i="2"/>
  <c r="D753" i="2"/>
  <c r="G750" i="2"/>
  <c r="L747" i="2"/>
  <c r="C745" i="2"/>
  <c r="G742" i="2"/>
  <c r="L739" i="2"/>
  <c r="C737" i="2"/>
  <c r="G734" i="2"/>
  <c r="L731" i="2"/>
  <c r="C729" i="2"/>
  <c r="G726" i="2"/>
  <c r="L723" i="2"/>
  <c r="C721" i="2"/>
  <c r="G718" i="2"/>
  <c r="L715" i="2"/>
  <c r="E713" i="2"/>
  <c r="N710" i="2"/>
  <c r="J708" i="2"/>
  <c r="F706" i="2"/>
  <c r="B704" i="2"/>
  <c r="L701" i="2"/>
  <c r="J699" i="2"/>
  <c r="H697" i="2"/>
  <c r="F695" i="2"/>
  <c r="D693" i="2"/>
  <c r="B691" i="2"/>
  <c r="P688" i="2"/>
  <c r="M686" i="2"/>
  <c r="K684" i="2"/>
  <c r="J682" i="2"/>
  <c r="D1198" i="2"/>
  <c r="F1180" i="2"/>
  <c r="F1164" i="2"/>
  <c r="F1148" i="2"/>
  <c r="A1133" i="2"/>
  <c r="O1118" i="2"/>
  <c r="M1104" i="2"/>
  <c r="F1090" i="2"/>
  <c r="B1076" i="2"/>
  <c r="D1062" i="2"/>
  <c r="J1051" i="2"/>
  <c r="A1043" i="2"/>
  <c r="N1034" i="2"/>
  <c r="N1026" i="2"/>
  <c r="N1018" i="2"/>
  <c r="N1010" i="2"/>
  <c r="N1002" i="2"/>
  <c r="N994" i="2"/>
  <c r="N986" i="2"/>
  <c r="N978" i="2"/>
  <c r="N970" i="2"/>
  <c r="N962" i="2"/>
  <c r="N954" i="2"/>
  <c r="N946" i="2"/>
  <c r="N938" i="2"/>
  <c r="N930" i="2"/>
  <c r="E923" i="2"/>
  <c r="B916" i="2"/>
  <c r="A909" i="2"/>
  <c r="A902" i="2"/>
  <c r="M895" i="2"/>
  <c r="E889" i="2"/>
  <c r="G883" i="2"/>
  <c r="M878" i="2"/>
  <c r="C874" i="2"/>
  <c r="O869" i="2"/>
  <c r="K865" i="2"/>
  <c r="F861" i="2"/>
  <c r="K857" i="2"/>
  <c r="E854" i="2"/>
  <c r="I850" i="2"/>
  <c r="D847" i="2"/>
  <c r="H843" i="2"/>
  <c r="C840" i="2"/>
  <c r="G836" i="2"/>
  <c r="M832" i="2"/>
  <c r="F829" i="2"/>
  <c r="K825" i="2"/>
  <c r="E822" i="2"/>
  <c r="I818" i="2"/>
  <c r="D815" i="2"/>
  <c r="H811" i="2"/>
  <c r="C808" i="2"/>
  <c r="G804" i="2"/>
  <c r="M800" i="2"/>
  <c r="F797" i="2"/>
  <c r="L793" i="2"/>
  <c r="M790" i="2"/>
  <c r="P787" i="2"/>
  <c r="C785" i="2"/>
  <c r="D782" i="2"/>
  <c r="E779" i="2"/>
  <c r="F776" i="2"/>
  <c r="G773" i="2"/>
  <c r="H770" i="2"/>
  <c r="I767" i="2"/>
  <c r="K764" i="2"/>
  <c r="L761" i="2"/>
  <c r="M758" i="2"/>
  <c r="P755" i="2"/>
  <c r="C753" i="2"/>
  <c r="F750" i="2"/>
  <c r="K747" i="2"/>
  <c r="P744" i="2"/>
  <c r="F742" i="2"/>
  <c r="K739" i="2"/>
  <c r="P736" i="2"/>
  <c r="F734" i="2"/>
  <c r="K731" i="2"/>
  <c r="P728" i="2"/>
  <c r="F726" i="2"/>
  <c r="K723" i="2"/>
  <c r="P720" i="2"/>
  <c r="F718" i="2"/>
  <c r="K715" i="2"/>
  <c r="D713" i="2"/>
  <c r="M710" i="2"/>
  <c r="I708" i="2"/>
  <c r="E706" i="2"/>
  <c r="P703" i="2"/>
  <c r="K701" i="2"/>
  <c r="I699" i="2"/>
  <c r="G697" i="2"/>
  <c r="E695" i="2"/>
  <c r="C693" i="2"/>
  <c r="A691" i="2"/>
  <c r="N688" i="2"/>
  <c r="L686" i="2"/>
  <c r="J684" i="2"/>
  <c r="I682" i="2"/>
  <c r="I680" i="2"/>
  <c r="J1197" i="2"/>
  <c r="L1179" i="2"/>
  <c r="L1163" i="2"/>
  <c r="L1147" i="2"/>
  <c r="D1132" i="2"/>
  <c r="A1118" i="2"/>
  <c r="O1103" i="2"/>
  <c r="M1089" i="2"/>
  <c r="F1075" i="2"/>
  <c r="L1061" i="2"/>
  <c r="B1051" i="2"/>
  <c r="J1042" i="2"/>
  <c r="G1034" i="2"/>
  <c r="G1026" i="2"/>
  <c r="G1018" i="2"/>
  <c r="G1010" i="2"/>
  <c r="G1002" i="2"/>
  <c r="G994" i="2"/>
  <c r="G986" i="2"/>
  <c r="G978" i="2"/>
  <c r="G970" i="2"/>
  <c r="G962" i="2"/>
  <c r="G954" i="2"/>
  <c r="G946" i="2"/>
  <c r="G938" i="2"/>
  <c r="G930" i="2"/>
  <c r="A923" i="2"/>
  <c r="P915" i="2"/>
  <c r="O908" i="2"/>
  <c r="O901" i="2"/>
  <c r="G895" i="2"/>
  <c r="A889" i="2"/>
  <c r="E883" i="2"/>
  <c r="K878" i="2"/>
  <c r="A874" i="2"/>
  <c r="M869" i="2"/>
  <c r="H865" i="2"/>
  <c r="D861" i="2"/>
  <c r="H857" i="2"/>
  <c r="C854" i="2"/>
  <c r="G850" i="2"/>
  <c r="M846" i="2"/>
  <c r="F843" i="2"/>
  <c r="K839" i="2"/>
  <c r="E836" i="2"/>
  <c r="I832" i="2"/>
  <c r="D829" i="2"/>
  <c r="H825" i="2"/>
  <c r="C822" i="2"/>
  <c r="G818" i="2"/>
  <c r="M814" i="2"/>
  <c r="F811" i="2"/>
  <c r="K807" i="2"/>
  <c r="E804" i="2"/>
  <c r="I800" i="2"/>
  <c r="D797" i="2"/>
  <c r="I793" i="2"/>
  <c r="K790" i="2"/>
  <c r="L787" i="2"/>
  <c r="M784" i="2"/>
  <c r="P781" i="2"/>
  <c r="C779" i="2"/>
  <c r="D776" i="2"/>
  <c r="E773" i="2"/>
  <c r="F770" i="2"/>
  <c r="G767" i="2"/>
  <c r="H764" i="2"/>
  <c r="I761" i="2"/>
  <c r="K758" i="2"/>
  <c r="L755" i="2"/>
  <c r="M752" i="2"/>
  <c r="D750" i="2"/>
  <c r="H747" i="2"/>
  <c r="M744" i="2"/>
  <c r="D742" i="2"/>
  <c r="H739" i="2"/>
  <c r="M736" i="2"/>
  <c r="D734" i="2"/>
  <c r="H731" i="2"/>
  <c r="M728" i="2"/>
  <c r="D726" i="2"/>
  <c r="H723" i="2"/>
  <c r="M720" i="2"/>
  <c r="D718" i="2"/>
  <c r="P1196" i="2"/>
  <c r="D1179" i="2"/>
  <c r="D1163" i="2"/>
  <c r="D1147" i="2"/>
  <c r="A1132" i="2"/>
  <c r="O1117" i="2"/>
  <c r="M1103" i="2"/>
  <c r="F1089" i="2"/>
  <c r="B1075" i="2"/>
  <c r="G1061" i="2"/>
  <c r="P1050" i="2"/>
  <c r="G1042" i="2"/>
  <c r="E1034" i="2"/>
  <c r="E1026" i="2"/>
  <c r="E1018" i="2"/>
  <c r="E1010" i="2"/>
  <c r="E1002" i="2"/>
  <c r="E994" i="2"/>
  <c r="E986" i="2"/>
  <c r="E978" i="2"/>
  <c r="E970" i="2"/>
  <c r="E962" i="2"/>
  <c r="E954" i="2"/>
  <c r="E946" i="2"/>
  <c r="E938" i="2"/>
  <c r="E930" i="2"/>
  <c r="P922" i="2"/>
  <c r="O915" i="2"/>
  <c r="N908" i="2"/>
  <c r="N901" i="2"/>
  <c r="F895" i="2"/>
  <c r="P888" i="2"/>
  <c r="D883" i="2"/>
  <c r="H878" i="2"/>
  <c r="P873" i="2"/>
  <c r="L869" i="2"/>
  <c r="G865" i="2"/>
  <c r="C861" i="2"/>
  <c r="G857" i="2"/>
  <c r="M853" i="2"/>
  <c r="F850" i="2"/>
  <c r="K846" i="2"/>
  <c r="E843" i="2"/>
  <c r="I839" i="2"/>
  <c r="D836" i="2"/>
  <c r="H832" i="2"/>
  <c r="C829" i="2"/>
  <c r="G825" i="2"/>
  <c r="M821" i="2"/>
  <c r="F818" i="2"/>
  <c r="K814" i="2"/>
  <c r="E811" i="2"/>
  <c r="I807" i="2"/>
  <c r="D804" i="2"/>
  <c r="H800" i="2"/>
  <c r="C797" i="2"/>
  <c r="H793" i="2"/>
  <c r="I790" i="2"/>
  <c r="K787" i="2"/>
  <c r="L784" i="2"/>
  <c r="M781" i="2"/>
  <c r="P778" i="2"/>
  <c r="C776" i="2"/>
  <c r="D773" i="2"/>
  <c r="E770" i="2"/>
  <c r="F767" i="2"/>
  <c r="G764" i="2"/>
  <c r="H761" i="2"/>
  <c r="I758" i="2"/>
  <c r="K755" i="2"/>
  <c r="L752" i="2"/>
  <c r="C750" i="2"/>
  <c r="G747" i="2"/>
  <c r="L744" i="2"/>
  <c r="C742" i="2"/>
  <c r="G739" i="2"/>
  <c r="L736" i="2"/>
  <c r="C734" i="2"/>
  <c r="G731" i="2"/>
  <c r="L728" i="2"/>
  <c r="C726" i="2"/>
  <c r="G723" i="2"/>
  <c r="L720" i="2"/>
  <c r="C718" i="2"/>
  <c r="G715" i="2"/>
  <c r="N712" i="2"/>
  <c r="L1194" i="2"/>
  <c r="D1177" i="2"/>
  <c r="D1161" i="2"/>
  <c r="D1145" i="2"/>
  <c r="D1130" i="2"/>
  <c r="A1116" i="2"/>
  <c r="O1101" i="2"/>
  <c r="M1087" i="2"/>
  <c r="F1073" i="2"/>
  <c r="P1059" i="2"/>
  <c r="O1049" i="2"/>
  <c r="F1041" i="2"/>
  <c r="E1033" i="2"/>
  <c r="E1025" i="2"/>
  <c r="E1017" i="2"/>
  <c r="E1009" i="2"/>
  <c r="E1001" i="2"/>
  <c r="E993" i="2"/>
  <c r="E985" i="2"/>
  <c r="E977" i="2"/>
  <c r="E969" i="2"/>
  <c r="E961" i="2"/>
  <c r="E953" i="2"/>
  <c r="E945" i="2"/>
  <c r="E937" i="2"/>
  <c r="E929" i="2"/>
  <c r="A922" i="2"/>
  <c r="P914" i="2"/>
  <c r="O907" i="2"/>
  <c r="P900" i="2"/>
  <c r="H894" i="2"/>
  <c r="B888" i="2"/>
  <c r="H882" i="2"/>
  <c r="P877" i="2"/>
  <c r="G873" i="2"/>
  <c r="C869" i="2"/>
  <c r="O864" i="2"/>
  <c r="M860" i="2"/>
  <c r="F857" i="2"/>
  <c r="K853" i="2"/>
  <c r="E850" i="2"/>
  <c r="I846" i="2"/>
  <c r="D843" i="2"/>
  <c r="H839" i="2"/>
  <c r="C836" i="2"/>
  <c r="G832" i="2"/>
  <c r="M828" i="2"/>
  <c r="F825" i="2"/>
  <c r="K821" i="2"/>
  <c r="E818" i="2"/>
  <c r="I814" i="2"/>
  <c r="D811" i="2"/>
  <c r="H807" i="2"/>
  <c r="C804" i="2"/>
  <c r="G800" i="2"/>
  <c r="M796" i="2"/>
  <c r="G793" i="2"/>
  <c r="H790" i="2"/>
  <c r="I787" i="2"/>
  <c r="K784" i="2"/>
  <c r="L781" i="2"/>
  <c r="M778" i="2"/>
  <c r="P775" i="2"/>
  <c r="C773" i="2"/>
  <c r="L1208" i="2"/>
  <c r="B1190" i="2"/>
  <c r="D1173" i="2"/>
  <c r="D1157" i="2"/>
  <c r="D1141" i="2"/>
  <c r="N1126" i="2"/>
  <c r="L1112" i="2"/>
  <c r="D1098" i="2"/>
  <c r="A1084" i="2"/>
  <c r="O1069" i="2"/>
  <c r="A1057" i="2"/>
  <c r="M1047" i="2"/>
  <c r="E1039" i="2"/>
  <c r="E1031" i="2"/>
  <c r="E1023" i="2"/>
  <c r="E1015" i="2"/>
  <c r="E1007" i="2"/>
  <c r="E999" i="2"/>
  <c r="E991" i="2"/>
  <c r="E983" i="2"/>
  <c r="E975" i="2"/>
  <c r="E967" i="2"/>
  <c r="E959" i="2"/>
  <c r="E951" i="2"/>
  <c r="E943" i="2"/>
  <c r="E935" i="2"/>
  <c r="G927" i="2"/>
  <c r="E920" i="2"/>
  <c r="B913" i="2"/>
  <c r="A906" i="2"/>
  <c r="F899" i="2"/>
  <c r="P892" i="2"/>
  <c r="K886" i="2"/>
  <c r="F881" i="2"/>
  <c r="N876" i="2"/>
  <c r="F872" i="2"/>
  <c r="B868" i="2"/>
  <c r="N863" i="2"/>
  <c r="C860" i="2"/>
  <c r="G856" i="2"/>
  <c r="M852" i="2"/>
  <c r="F849" i="2"/>
  <c r="K845" i="2"/>
  <c r="E842" i="2"/>
  <c r="I838" i="2"/>
  <c r="D835" i="2"/>
  <c r="H831" i="2"/>
  <c r="C828" i="2"/>
  <c r="G824" i="2"/>
  <c r="M820" i="2"/>
  <c r="F817" i="2"/>
  <c r="K813" i="2"/>
  <c r="E810" i="2"/>
  <c r="I806" i="2"/>
  <c r="D803" i="2"/>
  <c r="H799" i="2"/>
  <c r="C796" i="2"/>
  <c r="K792" i="2"/>
  <c r="L789" i="2"/>
  <c r="M786" i="2"/>
  <c r="P783" i="2"/>
  <c r="C781" i="2"/>
  <c r="D778" i="2"/>
  <c r="E775" i="2"/>
  <c r="F772" i="2"/>
  <c r="G769" i="2"/>
  <c r="H766" i="2"/>
  <c r="I763" i="2"/>
  <c r="K760" i="2"/>
  <c r="L757" i="2"/>
  <c r="M754" i="2"/>
  <c r="P751" i="2"/>
  <c r="F749" i="2"/>
  <c r="B1208" i="2"/>
  <c r="J1189" i="2"/>
  <c r="L1172" i="2"/>
  <c r="L1156" i="2"/>
  <c r="L1140" i="2"/>
  <c r="A1126" i="2"/>
  <c r="O1111" i="2"/>
  <c r="M1097" i="2"/>
  <c r="F1083" i="2"/>
  <c r="B1069" i="2"/>
  <c r="I1056" i="2"/>
  <c r="F1047" i="2"/>
  <c r="O1038" i="2"/>
  <c r="O1030" i="2"/>
  <c r="O1022" i="2"/>
  <c r="O1014" i="2"/>
  <c r="O1006" i="2"/>
  <c r="O998" i="2"/>
  <c r="O990" i="2"/>
  <c r="O982" i="2"/>
  <c r="O974" i="2"/>
  <c r="O966" i="2"/>
  <c r="O958" i="2"/>
  <c r="O950" i="2"/>
  <c r="O942" i="2"/>
  <c r="O934" i="2"/>
  <c r="P926" i="2"/>
  <c r="O919" i="2"/>
  <c r="N912" i="2"/>
  <c r="M905" i="2"/>
  <c r="P898" i="2"/>
  <c r="H892" i="2"/>
  <c r="E886" i="2"/>
  <c r="B881" i="2"/>
  <c r="H876" i="2"/>
  <c r="B872" i="2"/>
  <c r="N867" i="2"/>
  <c r="I863" i="2"/>
  <c r="I859" i="2"/>
  <c r="D856" i="2"/>
  <c r="H852" i="2"/>
  <c r="C849" i="2"/>
  <c r="G845" i="2"/>
  <c r="M841" i="2"/>
  <c r="F838" i="2"/>
  <c r="K834" i="2"/>
  <c r="E831" i="2"/>
  <c r="I827" i="2"/>
  <c r="D824" i="2"/>
  <c r="H820" i="2"/>
  <c r="C817" i="2"/>
  <c r="G813" i="2"/>
  <c r="M809" i="2"/>
  <c r="F806" i="2"/>
  <c r="K802" i="2"/>
  <c r="E799" i="2"/>
  <c r="I795" i="2"/>
  <c r="G792" i="2"/>
  <c r="H789" i="2"/>
  <c r="I786" i="2"/>
  <c r="K783" i="2"/>
  <c r="L780" i="2"/>
  <c r="M777" i="2"/>
  <c r="P774" i="2"/>
  <c r="C772" i="2"/>
  <c r="D769" i="2"/>
  <c r="E766" i="2"/>
  <c r="F763" i="2"/>
  <c r="G760" i="2"/>
  <c r="H757" i="2"/>
  <c r="I754" i="2"/>
  <c r="L751" i="2"/>
  <c r="C749" i="2"/>
  <c r="G746" i="2"/>
  <c r="L743" i="2"/>
  <c r="C741" i="2"/>
  <c r="G738" i="2"/>
  <c r="L735" i="2"/>
  <c r="C733" i="2"/>
  <c r="G730" i="2"/>
  <c r="L727" i="2"/>
  <c r="C725" i="2"/>
  <c r="G722" i="2"/>
  <c r="L719" i="2"/>
  <c r="C717" i="2"/>
  <c r="H714" i="2"/>
  <c r="B1202" i="2"/>
  <c r="D1171" i="2"/>
  <c r="D1140" i="2"/>
  <c r="L1114" i="2"/>
  <c r="B1091" i="2"/>
  <c r="D1066" i="2"/>
  <c r="N1046" i="2"/>
  <c r="N1030" i="2"/>
  <c r="M1018" i="2"/>
  <c r="G1004" i="2"/>
  <c r="E990" i="2"/>
  <c r="M974" i="2"/>
  <c r="G960" i="2"/>
  <c r="E947" i="2"/>
  <c r="E933" i="2"/>
  <c r="H919" i="2"/>
  <c r="H905" i="2"/>
  <c r="H895" i="2"/>
  <c r="K884" i="2"/>
  <c r="D876" i="2"/>
  <c r="L867" i="2"/>
  <c r="E860" i="2"/>
  <c r="I854" i="2"/>
  <c r="G848" i="2"/>
  <c r="H841" i="2"/>
  <c r="I834" i="2"/>
  <c r="E829" i="2"/>
  <c r="M822" i="2"/>
  <c r="H816" i="2"/>
  <c r="I809" i="2"/>
  <c r="F803" i="2"/>
  <c r="K797" i="2"/>
  <c r="P791" i="2"/>
  <c r="F786" i="2"/>
  <c r="K780" i="2"/>
  <c r="E776" i="2"/>
  <c r="C771" i="2"/>
  <c r="C766" i="2"/>
  <c r="K761" i="2"/>
  <c r="D757" i="2"/>
  <c r="D752" i="2"/>
  <c r="D748" i="2"/>
  <c r="P743" i="2"/>
  <c r="K740" i="2"/>
  <c r="D736" i="2"/>
  <c r="L732" i="2"/>
  <c r="K728" i="2"/>
  <c r="M724" i="2"/>
  <c r="N720" i="2"/>
  <c r="N716" i="2"/>
  <c r="J713" i="2"/>
  <c r="K710" i="2"/>
  <c r="E708" i="2"/>
  <c r="G705" i="2"/>
  <c r="M702" i="2"/>
  <c r="H700" i="2"/>
  <c r="D698" i="2"/>
  <c r="I695" i="2"/>
  <c r="A693" i="2"/>
  <c r="L690" i="2"/>
  <c r="B688" i="2"/>
  <c r="K685" i="2"/>
  <c r="G683" i="2"/>
  <c r="E681" i="2"/>
  <c r="O678" i="2"/>
  <c r="O676" i="2"/>
  <c r="O674" i="2"/>
  <c r="O672" i="2"/>
  <c r="O670" i="2"/>
  <c r="O668" i="2"/>
  <c r="O666" i="2"/>
  <c r="O664" i="2"/>
  <c r="O662" i="2"/>
  <c r="O660" i="2"/>
  <c r="O658" i="2"/>
  <c r="O656" i="2"/>
  <c r="O654" i="2"/>
  <c r="O652" i="2"/>
  <c r="O650" i="2"/>
  <c r="O648" i="2"/>
  <c r="O646" i="2"/>
  <c r="O644" i="2"/>
  <c r="O642" i="2"/>
  <c r="O640" i="2"/>
  <c r="O638" i="2"/>
  <c r="O636" i="2"/>
  <c r="O634" i="2"/>
  <c r="O632" i="2"/>
  <c r="O630" i="2"/>
  <c r="O628" i="2"/>
  <c r="O626" i="2"/>
  <c r="O624" i="2"/>
  <c r="O622" i="2"/>
  <c r="O620" i="2"/>
  <c r="O618" i="2"/>
  <c r="O616" i="2"/>
  <c r="O614" i="2"/>
  <c r="O612" i="2"/>
  <c r="O610" i="2"/>
  <c r="O608" i="2"/>
  <c r="O606" i="2"/>
  <c r="O604" i="2"/>
  <c r="O602" i="2"/>
  <c r="O600" i="2"/>
  <c r="O598" i="2"/>
  <c r="O596" i="2"/>
  <c r="O594" i="2"/>
  <c r="O592" i="2"/>
  <c r="O590" i="2"/>
  <c r="O588" i="2"/>
  <c r="O586" i="2"/>
  <c r="O584" i="2"/>
  <c r="O582" i="2"/>
  <c r="O580" i="2"/>
  <c r="O578" i="2"/>
  <c r="O576" i="2"/>
  <c r="O574" i="2"/>
  <c r="O572" i="2"/>
  <c r="O570" i="2"/>
  <c r="O568" i="2"/>
  <c r="O566" i="2"/>
  <c r="O564" i="2"/>
  <c r="O562" i="2"/>
  <c r="E561" i="2"/>
  <c r="G559" i="2"/>
  <c r="I557" i="2"/>
  <c r="M555" i="2"/>
  <c r="P553" i="2"/>
  <c r="F552" i="2"/>
  <c r="H550" i="2"/>
  <c r="J548" i="2"/>
  <c r="O546" i="2"/>
  <c r="E545" i="2"/>
  <c r="G543" i="2"/>
  <c r="I541" i="2"/>
  <c r="M539" i="2"/>
  <c r="P537" i="2"/>
  <c r="F536" i="2"/>
  <c r="H534" i="2"/>
  <c r="J532" i="2"/>
  <c r="O530" i="2"/>
  <c r="E529" i="2"/>
  <c r="G527" i="2"/>
  <c r="I525" i="2"/>
  <c r="M523" i="2"/>
  <c r="P521" i="2"/>
  <c r="F520" i="2"/>
  <c r="H518" i="2"/>
  <c r="J516" i="2"/>
  <c r="O514" i="2"/>
  <c r="E513" i="2"/>
  <c r="G511" i="2"/>
  <c r="I509" i="2"/>
  <c r="M507" i="2"/>
  <c r="P505" i="2"/>
  <c r="F504" i="2"/>
  <c r="H502" i="2"/>
  <c r="J500" i="2"/>
  <c r="O498" i="2"/>
  <c r="E497" i="2"/>
  <c r="G495" i="2"/>
  <c r="I493" i="2"/>
  <c r="M491" i="2"/>
  <c r="P489" i="2"/>
  <c r="F488" i="2"/>
  <c r="H486" i="2"/>
  <c r="J484" i="2"/>
  <c r="O482" i="2"/>
  <c r="E481" i="2"/>
  <c r="G479" i="2"/>
  <c r="I477" i="2"/>
  <c r="M475" i="2"/>
  <c r="P473" i="2"/>
  <c r="F472" i="2"/>
  <c r="H470" i="2"/>
  <c r="J468" i="2"/>
  <c r="O466" i="2"/>
  <c r="E465" i="2"/>
  <c r="G463" i="2"/>
  <c r="I461" i="2"/>
  <c r="M459" i="2"/>
  <c r="P457" i="2"/>
  <c r="F456" i="2"/>
  <c r="H454" i="2"/>
  <c r="J452" i="2"/>
  <c r="O450" i="2"/>
  <c r="E449" i="2"/>
  <c r="G447" i="2"/>
  <c r="K445" i="2"/>
  <c r="E444" i="2"/>
  <c r="I442" i="2"/>
  <c r="O440" i="2"/>
  <c r="G439" i="2"/>
  <c r="K437" i="2"/>
  <c r="E436" i="2"/>
  <c r="I434" i="2"/>
  <c r="O432" i="2"/>
  <c r="G431" i="2"/>
  <c r="K429" i="2"/>
  <c r="E428" i="2"/>
  <c r="I426" i="2"/>
  <c r="O424" i="2"/>
  <c r="G423" i="2"/>
  <c r="K421" i="2"/>
  <c r="E420" i="2"/>
  <c r="I418" i="2"/>
  <c r="O416" i="2"/>
  <c r="G415" i="2"/>
  <c r="K413" i="2"/>
  <c r="E412" i="2"/>
  <c r="K410" i="2"/>
  <c r="F409" i="2"/>
  <c r="M407" i="2"/>
  <c r="G406" i="2"/>
  <c r="O404" i="2"/>
  <c r="H403" i="2"/>
  <c r="P401" i="2"/>
  <c r="I400" i="2"/>
  <c r="B399" i="2"/>
  <c r="J397" i="2"/>
  <c r="E396" i="2"/>
  <c r="K394" i="2"/>
  <c r="F393" i="2"/>
  <c r="M391" i="2"/>
  <c r="G390" i="2"/>
  <c r="O388" i="2"/>
  <c r="H387" i="2"/>
  <c r="P385" i="2"/>
  <c r="I384" i="2"/>
  <c r="B383" i="2"/>
  <c r="J381" i="2"/>
  <c r="F380" i="2"/>
  <c r="O378" i="2"/>
  <c r="J377" i="2"/>
  <c r="F376" i="2"/>
  <c r="O374" i="2"/>
  <c r="J373" i="2"/>
  <c r="F372" i="2"/>
  <c r="O370" i="2"/>
  <c r="J369" i="2"/>
  <c r="F368" i="2"/>
  <c r="O366" i="2"/>
  <c r="K365" i="2"/>
  <c r="H364" i="2"/>
  <c r="E363" i="2"/>
  <c r="P361" i="2"/>
  <c r="L360" i="2"/>
  <c r="I359" i="2"/>
  <c r="F358" i="2"/>
  <c r="B357" i="2"/>
  <c r="O355" i="2"/>
  <c r="M354" i="2"/>
  <c r="K353" i="2"/>
  <c r="I352" i="2"/>
  <c r="G351" i="2"/>
  <c r="E350" i="2"/>
  <c r="B349" i="2"/>
  <c r="A348" i="2"/>
  <c r="P346" i="2"/>
  <c r="O345" i="2"/>
  <c r="N344" i="2"/>
  <c r="M343" i="2"/>
  <c r="L342" i="2"/>
  <c r="K341" i="2"/>
  <c r="J340" i="2"/>
  <c r="I339" i="2"/>
  <c r="H338" i="2"/>
  <c r="G337" i="2"/>
  <c r="F336" i="2"/>
  <c r="E335" i="2"/>
  <c r="C334" i="2"/>
  <c r="B333" i="2"/>
  <c r="A332" i="2"/>
  <c r="P330" i="2"/>
  <c r="O329" i="2"/>
  <c r="N328" i="2"/>
  <c r="M327" i="2"/>
  <c r="L326" i="2"/>
  <c r="K325" i="2"/>
  <c r="J324" i="2"/>
  <c r="I323" i="2"/>
  <c r="H322" i="2"/>
  <c r="G321" i="2"/>
  <c r="F320" i="2"/>
  <c r="E319" i="2"/>
  <c r="C318" i="2"/>
  <c r="C317" i="2"/>
  <c r="C316" i="2"/>
  <c r="C315" i="2"/>
  <c r="C314" i="2"/>
  <c r="C313" i="2"/>
  <c r="C312" i="2"/>
  <c r="C311" i="2"/>
  <c r="C310" i="2"/>
  <c r="C309" i="2"/>
  <c r="C308" i="2"/>
  <c r="C307" i="2"/>
  <c r="C306" i="2"/>
  <c r="C305" i="2"/>
  <c r="C304" i="2"/>
  <c r="C303" i="2"/>
  <c r="C302" i="2"/>
  <c r="C301" i="2"/>
  <c r="C300" i="2"/>
  <c r="C299" i="2"/>
  <c r="C298" i="2"/>
  <c r="C297" i="2"/>
  <c r="C296" i="2"/>
  <c r="C295" i="2"/>
  <c r="C294" i="2"/>
  <c r="C293" i="2"/>
  <c r="C292" i="2"/>
  <c r="C291" i="2"/>
  <c r="C290" i="2"/>
  <c r="C289" i="2"/>
  <c r="C288" i="2"/>
  <c r="C287" i="2"/>
  <c r="C286" i="2"/>
  <c r="C285" i="2"/>
  <c r="C284" i="2"/>
  <c r="C283" i="2"/>
  <c r="C282" i="2"/>
  <c r="C281" i="2"/>
  <c r="C280" i="2"/>
  <c r="C279" i="2"/>
  <c r="C278" i="2"/>
  <c r="C277" i="2"/>
  <c r="C276" i="2"/>
  <c r="C275" i="2"/>
  <c r="C274" i="2"/>
  <c r="C273" i="2"/>
  <c r="C272" i="2"/>
  <c r="C271" i="2"/>
  <c r="C270" i="2"/>
  <c r="C269" i="2"/>
  <c r="C268" i="2"/>
  <c r="C267" i="2"/>
  <c r="C266" i="2"/>
  <c r="C265" i="2"/>
  <c r="C264" i="2"/>
  <c r="C263" i="2"/>
  <c r="C262" i="2"/>
  <c r="C261" i="2"/>
  <c r="C260" i="2"/>
  <c r="C259" i="2"/>
  <c r="C258" i="2"/>
  <c r="C257" i="2"/>
  <c r="C256" i="2"/>
  <c r="C255" i="2"/>
  <c r="C254" i="2"/>
  <c r="C253" i="2"/>
  <c r="C252" i="2"/>
  <c r="C251" i="2"/>
  <c r="C250" i="2"/>
  <c r="C249" i="2"/>
  <c r="C248" i="2"/>
  <c r="C247" i="2"/>
  <c r="C246" i="2"/>
  <c r="C245" i="2"/>
  <c r="C244" i="2"/>
  <c r="C243" i="2"/>
  <c r="C242" i="2"/>
  <c r="C241" i="2"/>
  <c r="C240" i="2"/>
  <c r="C239" i="2"/>
  <c r="C238" i="2"/>
  <c r="C237" i="2"/>
  <c r="C236" i="2"/>
  <c r="C235" i="2"/>
  <c r="C234" i="2"/>
  <c r="C233" i="2"/>
  <c r="C232" i="2"/>
  <c r="C231" i="2"/>
  <c r="C230" i="2"/>
  <c r="C229" i="2"/>
  <c r="C228" i="2"/>
  <c r="C227" i="2"/>
  <c r="C226" i="2"/>
  <c r="C225" i="2"/>
  <c r="C224" i="2"/>
  <c r="C223" i="2"/>
  <c r="C222" i="2"/>
  <c r="C221" i="2"/>
  <c r="C220" i="2"/>
  <c r="C219" i="2"/>
  <c r="C218" i="2"/>
  <c r="C217" i="2"/>
  <c r="C216" i="2"/>
  <c r="C215" i="2"/>
  <c r="C214" i="2"/>
  <c r="C213" i="2"/>
  <c r="C212" i="2"/>
  <c r="C211" i="2"/>
  <c r="C210" i="2"/>
  <c r="C209" i="2"/>
  <c r="C208" i="2"/>
  <c r="C207" i="2"/>
  <c r="C206" i="2"/>
  <c r="C205" i="2"/>
  <c r="C204" i="2"/>
  <c r="C203" i="2"/>
  <c r="C202" i="2"/>
  <c r="C201" i="2"/>
  <c r="C200" i="2"/>
  <c r="C199" i="2"/>
  <c r="C198" i="2"/>
  <c r="C197" i="2"/>
  <c r="C196" i="2"/>
  <c r="C195" i="2"/>
  <c r="C194" i="2"/>
  <c r="C193" i="2"/>
  <c r="C192" i="2"/>
  <c r="C191" i="2"/>
  <c r="C190" i="2"/>
  <c r="C189" i="2"/>
  <c r="C188" i="2"/>
  <c r="C187" i="2"/>
  <c r="C186" i="2"/>
  <c r="C185" i="2"/>
  <c r="C184" i="2"/>
  <c r="C183" i="2"/>
  <c r="C182" i="2"/>
  <c r="C181" i="2"/>
  <c r="C180" i="2"/>
  <c r="C179" i="2"/>
  <c r="C178" i="2"/>
  <c r="C177" i="2"/>
  <c r="C176" i="2"/>
  <c r="C175" i="2"/>
  <c r="C174" i="2"/>
  <c r="C173" i="2"/>
  <c r="C172" i="2"/>
  <c r="C171" i="2"/>
  <c r="C170" i="2"/>
  <c r="C169" i="2"/>
  <c r="C168" i="2"/>
  <c r="C167" i="2"/>
  <c r="C166" i="2"/>
  <c r="C165" i="2"/>
  <c r="C164" i="2"/>
  <c r="C163" i="2"/>
  <c r="C162" i="2"/>
  <c r="C161" i="2"/>
  <c r="C160" i="2"/>
  <c r="C159" i="2"/>
  <c r="C158" i="2"/>
  <c r="C157" i="2"/>
  <c r="C156" i="2"/>
  <c r="C155" i="2"/>
  <c r="C154" i="2"/>
  <c r="C153" i="2"/>
  <c r="C152" i="2"/>
  <c r="C151" i="2"/>
  <c r="C150" i="2"/>
  <c r="C149" i="2"/>
  <c r="C148" i="2"/>
  <c r="C147" i="2"/>
  <c r="C146" i="2"/>
  <c r="C145" i="2"/>
  <c r="C144" i="2"/>
  <c r="C143" i="2"/>
  <c r="C142" i="2"/>
  <c r="C141" i="2"/>
  <c r="C140" i="2"/>
  <c r="C139" i="2"/>
  <c r="C138" i="2"/>
  <c r="C137" i="2"/>
  <c r="C136" i="2"/>
  <c r="C135" i="2"/>
  <c r="C134" i="2"/>
  <c r="C133" i="2"/>
  <c r="C132" i="2"/>
  <c r="C131" i="2"/>
  <c r="C130" i="2"/>
  <c r="C129" i="2"/>
  <c r="C128" i="2"/>
  <c r="C127" i="2"/>
  <c r="C126" i="2"/>
  <c r="C125" i="2"/>
  <c r="C124" i="2"/>
  <c r="C123" i="2"/>
  <c r="C122" i="2"/>
  <c r="C121" i="2"/>
  <c r="C120" i="2"/>
  <c r="C119" i="2"/>
  <c r="C118" i="2"/>
  <c r="C117" i="2"/>
  <c r="C116" i="2"/>
  <c r="C115" i="2"/>
  <c r="C114" i="2"/>
  <c r="C113" i="2"/>
  <c r="C112" i="2"/>
  <c r="C111" i="2"/>
  <c r="C110" i="2"/>
  <c r="C109" i="2"/>
  <c r="C108" i="2"/>
  <c r="C107" i="2"/>
  <c r="C106" i="2"/>
  <c r="C105" i="2"/>
  <c r="C104" i="2"/>
  <c r="C103" i="2"/>
  <c r="C102" i="2"/>
  <c r="C101" i="2"/>
  <c r="C100" i="2"/>
  <c r="C99" i="2"/>
  <c r="C98" i="2"/>
  <c r="C97" i="2"/>
  <c r="C96" i="2"/>
  <c r="C95" i="2"/>
  <c r="C94" i="2"/>
  <c r="C93" i="2"/>
  <c r="C92" i="2"/>
  <c r="C91" i="2"/>
  <c r="C90" i="2"/>
  <c r="C89" i="2"/>
  <c r="C88" i="2"/>
  <c r="C87" i="2"/>
  <c r="C86" i="2"/>
  <c r="C85" i="2"/>
  <c r="C84" i="2"/>
  <c r="C83" i="2"/>
  <c r="C82" i="2"/>
  <c r="C81" i="2"/>
  <c r="C80" i="2"/>
  <c r="C79" i="2"/>
  <c r="C78" i="2"/>
  <c r="C77" i="2"/>
  <c r="C76" i="2"/>
  <c r="C75" i="2"/>
  <c r="C74" i="2"/>
  <c r="C73" i="2"/>
  <c r="C72" i="2"/>
  <c r="C71" i="2"/>
  <c r="C70" i="2"/>
  <c r="C69" i="2"/>
  <c r="C68" i="2"/>
  <c r="C67" i="2"/>
  <c r="C66" i="2"/>
  <c r="C65" i="2"/>
  <c r="C64" i="2"/>
  <c r="C63" i="2"/>
  <c r="C62" i="2"/>
  <c r="C61" i="2"/>
  <c r="C60" i="2"/>
  <c r="C59" i="2"/>
  <c r="C58" i="2"/>
  <c r="C57" i="2"/>
  <c r="C56" i="2"/>
  <c r="C55" i="2"/>
  <c r="C54" i="2"/>
  <c r="C53" i="2"/>
  <c r="C52" i="2"/>
  <c r="C51" i="2"/>
  <c r="C50" i="2"/>
  <c r="C49" i="2"/>
  <c r="C48" i="2"/>
  <c r="C47" i="2"/>
  <c r="C46" i="2"/>
  <c r="C45" i="2"/>
  <c r="C44" i="2"/>
  <c r="C43" i="2"/>
  <c r="C42" i="2"/>
  <c r="C41" i="2"/>
  <c r="C40" i="2"/>
  <c r="C39" i="2"/>
  <c r="C38" i="2"/>
  <c r="C37" i="2"/>
  <c r="C36" i="2"/>
  <c r="C35" i="2"/>
  <c r="C34" i="2"/>
  <c r="C33" i="2"/>
  <c r="C32" i="2"/>
  <c r="C31" i="2"/>
  <c r="C30" i="2"/>
  <c r="C29" i="2"/>
  <c r="C28" i="2"/>
  <c r="C27" i="2"/>
  <c r="C26" i="2"/>
  <c r="C25" i="2"/>
  <c r="C24" i="2"/>
  <c r="C23" i="2"/>
  <c r="C22" i="2"/>
  <c r="C21" i="2"/>
  <c r="C20" i="2"/>
  <c r="C19" i="2"/>
  <c r="C18" i="2"/>
  <c r="C17" i="2"/>
  <c r="C16" i="2"/>
  <c r="C15" i="2"/>
  <c r="C14" i="2"/>
  <c r="O528" i="2"/>
  <c r="E527" i="2"/>
  <c r="G525" i="2"/>
  <c r="I523" i="2"/>
  <c r="M521" i="2"/>
  <c r="P519" i="2"/>
  <c r="H516" i="2"/>
  <c r="O512" i="2"/>
  <c r="G509" i="2"/>
  <c r="M505" i="2"/>
  <c r="F502" i="2"/>
  <c r="J498" i="2"/>
  <c r="E495" i="2"/>
  <c r="I491" i="2"/>
  <c r="P487" i="2"/>
  <c r="H484" i="2"/>
  <c r="O480" i="2"/>
  <c r="G477" i="2"/>
  <c r="M473" i="2"/>
  <c r="F470" i="2"/>
  <c r="J466" i="2"/>
  <c r="E463" i="2"/>
  <c r="I459" i="2"/>
  <c r="P455" i="2"/>
  <c r="H452" i="2"/>
  <c r="O448" i="2"/>
  <c r="I445" i="2"/>
  <c r="G442" i="2"/>
  <c r="E439" i="2"/>
  <c r="O435" i="2"/>
  <c r="K432" i="2"/>
  <c r="I429" i="2"/>
  <c r="G426" i="2"/>
  <c r="E423" i="2"/>
  <c r="O419" i="2"/>
  <c r="K416" i="2"/>
  <c r="I413" i="2"/>
  <c r="I410" i="2"/>
  <c r="J407" i="2"/>
  <c r="K404" i="2"/>
  <c r="M401" i="2"/>
  <c r="O398" i="2"/>
  <c r="P395" i="2"/>
  <c r="B393" i="2"/>
  <c r="E390" i="2"/>
  <c r="F387" i="2"/>
  <c r="G384" i="2"/>
  <c r="H381" i="2"/>
  <c r="L378" i="2"/>
  <c r="B376" i="2"/>
  <c r="L374" i="2"/>
  <c r="B372" i="2"/>
  <c r="H369" i="2"/>
  <c r="L366" i="2"/>
  <c r="F364" i="2"/>
  <c r="M361" i="2"/>
  <c r="G359" i="2"/>
  <c r="O356" i="2"/>
  <c r="K354" i="2"/>
  <c r="G352" i="2"/>
  <c r="B350" i="2"/>
  <c r="O347" i="2"/>
  <c r="M345" i="2"/>
  <c r="K343" i="2"/>
  <c r="I341" i="2"/>
  <c r="G339" i="2"/>
  <c r="E337" i="2"/>
  <c r="B335" i="2"/>
  <c r="P332" i="2"/>
  <c r="N330" i="2"/>
  <c r="L328" i="2"/>
  <c r="J326" i="2"/>
  <c r="H324" i="2"/>
  <c r="F322" i="2"/>
  <c r="C320" i="2"/>
  <c r="A318" i="2"/>
  <c r="A316" i="2"/>
  <c r="A314" i="2"/>
  <c r="A311" i="2"/>
  <c r="A309" i="2"/>
  <c r="A307" i="2"/>
  <c r="A305" i="2"/>
  <c r="A303" i="2"/>
  <c r="A302" i="2"/>
  <c r="A300" i="2"/>
  <c r="A298" i="2"/>
  <c r="D1199" i="2"/>
  <c r="D1169" i="2"/>
  <c r="L1139" i="2"/>
  <c r="N1111" i="2"/>
  <c r="D1090" i="2"/>
  <c r="N1064" i="2"/>
  <c r="L1046" i="2"/>
  <c r="M1030" i="2"/>
  <c r="G1016" i="2"/>
  <c r="E1003" i="2"/>
  <c r="E989" i="2"/>
  <c r="G974" i="2"/>
  <c r="N958" i="2"/>
  <c r="M946" i="2"/>
  <c r="G932" i="2"/>
  <c r="G919" i="2"/>
  <c r="G905" i="2"/>
  <c r="O893" i="2"/>
  <c r="O883" i="2"/>
  <c r="L875" i="2"/>
  <c r="K867" i="2"/>
  <c r="H859" i="2"/>
  <c r="D854" i="2"/>
  <c r="K847" i="2"/>
  <c r="G841" i="2"/>
  <c r="H834" i="2"/>
  <c r="E828" i="2"/>
  <c r="I822" i="2"/>
  <c r="G816" i="2"/>
  <c r="H809" i="2"/>
  <c r="I802" i="2"/>
  <c r="E797" i="2"/>
  <c r="G791" i="2"/>
  <c r="E786" i="2"/>
  <c r="I780" i="2"/>
  <c r="G775" i="2"/>
  <c r="M770" i="2"/>
  <c r="P765" i="2"/>
  <c r="G761" i="2"/>
  <c r="C757" i="2"/>
  <c r="K751" i="2"/>
  <c r="P747" i="2"/>
  <c r="K743" i="2"/>
  <c r="D740" i="2"/>
  <c r="P735" i="2"/>
  <c r="K732" i="2"/>
  <c r="D728" i="2"/>
  <c r="L724" i="2"/>
  <c r="K720" i="2"/>
  <c r="M716" i="2"/>
  <c r="H713" i="2"/>
  <c r="J710" i="2"/>
  <c r="M707" i="2"/>
  <c r="D705" i="2"/>
  <c r="L702" i="2"/>
  <c r="G700" i="2"/>
  <c r="M697" i="2"/>
  <c r="D695" i="2"/>
  <c r="P692" i="2"/>
  <c r="F690" i="2"/>
  <c r="N687" i="2"/>
  <c r="J685" i="2"/>
  <c r="F683" i="2"/>
  <c r="O680" i="2"/>
  <c r="M678" i="2"/>
  <c r="M676" i="2"/>
  <c r="M674" i="2"/>
  <c r="M672" i="2"/>
  <c r="M670" i="2"/>
  <c r="M668" i="2"/>
  <c r="M666" i="2"/>
  <c r="M664" i="2"/>
  <c r="M662" i="2"/>
  <c r="M660" i="2"/>
  <c r="M658" i="2"/>
  <c r="M656" i="2"/>
  <c r="M654" i="2"/>
  <c r="M652" i="2"/>
  <c r="M650" i="2"/>
  <c r="M648" i="2"/>
  <c r="M646" i="2"/>
  <c r="M644" i="2"/>
  <c r="M642" i="2"/>
  <c r="M640" i="2"/>
  <c r="M638" i="2"/>
  <c r="M636" i="2"/>
  <c r="M634" i="2"/>
  <c r="M632" i="2"/>
  <c r="M630" i="2"/>
  <c r="M628" i="2"/>
  <c r="M626" i="2"/>
  <c r="M624" i="2"/>
  <c r="M622" i="2"/>
  <c r="M620" i="2"/>
  <c r="M618" i="2"/>
  <c r="M616" i="2"/>
  <c r="M614" i="2"/>
  <c r="M612" i="2"/>
  <c r="M610" i="2"/>
  <c r="M608" i="2"/>
  <c r="M606" i="2"/>
  <c r="M604" i="2"/>
  <c r="M602" i="2"/>
  <c r="M600" i="2"/>
  <c r="M598" i="2"/>
  <c r="M596" i="2"/>
  <c r="M594" i="2"/>
  <c r="M592" i="2"/>
  <c r="M590" i="2"/>
  <c r="M588" i="2"/>
  <c r="M586" i="2"/>
  <c r="M584" i="2"/>
  <c r="M582" i="2"/>
  <c r="M580" i="2"/>
  <c r="M578" i="2"/>
  <c r="M576" i="2"/>
  <c r="M574" i="2"/>
  <c r="M572" i="2"/>
  <c r="M570" i="2"/>
  <c r="M568" i="2"/>
  <c r="M566" i="2"/>
  <c r="M564" i="2"/>
  <c r="M562" i="2"/>
  <c r="P560" i="2"/>
  <c r="F559" i="2"/>
  <c r="H557" i="2"/>
  <c r="J555" i="2"/>
  <c r="O553" i="2"/>
  <c r="E552" i="2"/>
  <c r="G550" i="2"/>
  <c r="I548" i="2"/>
  <c r="M546" i="2"/>
  <c r="P544" i="2"/>
  <c r="F543" i="2"/>
  <c r="H541" i="2"/>
  <c r="J539" i="2"/>
  <c r="O537" i="2"/>
  <c r="E536" i="2"/>
  <c r="G534" i="2"/>
  <c r="I532" i="2"/>
  <c r="M530" i="2"/>
  <c r="P528" i="2"/>
  <c r="F527" i="2"/>
  <c r="H525" i="2"/>
  <c r="J523" i="2"/>
  <c r="O521" i="2"/>
  <c r="E520" i="2"/>
  <c r="G518" i="2"/>
  <c r="I516" i="2"/>
  <c r="M514" i="2"/>
  <c r="P512" i="2"/>
  <c r="F511" i="2"/>
  <c r="H509" i="2"/>
  <c r="J507" i="2"/>
  <c r="O505" i="2"/>
  <c r="E504" i="2"/>
  <c r="G502" i="2"/>
  <c r="I500" i="2"/>
  <c r="M498" i="2"/>
  <c r="P496" i="2"/>
  <c r="F495" i="2"/>
  <c r="H493" i="2"/>
  <c r="J491" i="2"/>
  <c r="O489" i="2"/>
  <c r="E488" i="2"/>
  <c r="G486" i="2"/>
  <c r="I484" i="2"/>
  <c r="M482" i="2"/>
  <c r="P480" i="2"/>
  <c r="F479" i="2"/>
  <c r="H477" i="2"/>
  <c r="J475" i="2"/>
  <c r="O473" i="2"/>
  <c r="E472" i="2"/>
  <c r="G470" i="2"/>
  <c r="I468" i="2"/>
  <c r="M466" i="2"/>
  <c r="P464" i="2"/>
  <c r="F463" i="2"/>
  <c r="H461" i="2"/>
  <c r="J459" i="2"/>
  <c r="O457" i="2"/>
  <c r="E456" i="2"/>
  <c r="G454" i="2"/>
  <c r="I452" i="2"/>
  <c r="M450" i="2"/>
  <c r="P448" i="2"/>
  <c r="F447" i="2"/>
  <c r="J445" i="2"/>
  <c r="P443" i="2"/>
  <c r="H442" i="2"/>
  <c r="M440" i="2"/>
  <c r="F439" i="2"/>
  <c r="J437" i="2"/>
  <c r="P435" i="2"/>
  <c r="H434" i="2"/>
  <c r="M432" i="2"/>
  <c r="F431" i="2"/>
  <c r="J429" i="2"/>
  <c r="P427" i="2"/>
  <c r="H426" i="2"/>
  <c r="M424" i="2"/>
  <c r="F423" i="2"/>
  <c r="J421" i="2"/>
  <c r="P419" i="2"/>
  <c r="H418" i="2"/>
  <c r="M416" i="2"/>
  <c r="F415" i="2"/>
  <c r="J413" i="2"/>
  <c r="B412" i="2"/>
  <c r="J410" i="2"/>
  <c r="E409" i="2"/>
  <c r="K407" i="2"/>
  <c r="F406" i="2"/>
  <c r="M404" i="2"/>
  <c r="G403" i="2"/>
  <c r="O401" i="2"/>
  <c r="H400" i="2"/>
  <c r="P398" i="2"/>
  <c r="I397" i="2"/>
  <c r="B396" i="2"/>
  <c r="J394" i="2"/>
  <c r="E393" i="2"/>
  <c r="K391" i="2"/>
  <c r="F390" i="2"/>
  <c r="M388" i="2"/>
  <c r="G387" i="2"/>
  <c r="O385" i="2"/>
  <c r="H384" i="2"/>
  <c r="P382" i="2"/>
  <c r="I381" i="2"/>
  <c r="E380" i="2"/>
  <c r="M378" i="2"/>
  <c r="I377" i="2"/>
  <c r="E376" i="2"/>
  <c r="M374" i="2"/>
  <c r="I373" i="2"/>
  <c r="E372" i="2"/>
  <c r="M370" i="2"/>
  <c r="I369" i="2"/>
  <c r="E368" i="2"/>
  <c r="M366" i="2"/>
  <c r="J365" i="2"/>
  <c r="G364" i="2"/>
  <c r="C363" i="2"/>
  <c r="O361" i="2"/>
  <c r="K360" i="2"/>
  <c r="H359" i="2"/>
  <c r="E358" i="2"/>
  <c r="P356" i="2"/>
  <c r="N355" i="2"/>
  <c r="L354" i="2"/>
  <c r="J353" i="2"/>
  <c r="H352" i="2"/>
  <c r="F351" i="2"/>
  <c r="C350" i="2"/>
  <c r="A349" i="2"/>
  <c r="P347" i="2"/>
  <c r="O346" i="2"/>
  <c r="N345" i="2"/>
  <c r="M344" i="2"/>
  <c r="L343" i="2"/>
  <c r="K342" i="2"/>
  <c r="J341" i="2"/>
  <c r="I340" i="2"/>
  <c r="H339" i="2"/>
  <c r="G338" i="2"/>
  <c r="F337" i="2"/>
  <c r="E336" i="2"/>
  <c r="C335" i="2"/>
  <c r="B334" i="2"/>
  <c r="A333" i="2"/>
  <c r="P331" i="2"/>
  <c r="O330" i="2"/>
  <c r="N329" i="2"/>
  <c r="M328" i="2"/>
  <c r="L327" i="2"/>
  <c r="K326" i="2"/>
  <c r="J325" i="2"/>
  <c r="I324" i="2"/>
  <c r="H323" i="2"/>
  <c r="G322" i="2"/>
  <c r="F321" i="2"/>
  <c r="E320" i="2"/>
  <c r="C319" i="2"/>
  <c r="B318" i="2"/>
  <c r="B317" i="2"/>
  <c r="B316" i="2"/>
  <c r="B315" i="2"/>
  <c r="B314" i="2"/>
  <c r="B313" i="2"/>
  <c r="B312" i="2"/>
  <c r="B311" i="2"/>
  <c r="B310" i="2"/>
  <c r="B309" i="2"/>
  <c r="B308" i="2"/>
  <c r="B307" i="2"/>
  <c r="B306" i="2"/>
  <c r="B305" i="2"/>
  <c r="B304" i="2"/>
  <c r="B303" i="2"/>
  <c r="B302" i="2"/>
  <c r="B301" i="2"/>
  <c r="B300" i="2"/>
  <c r="B299" i="2"/>
  <c r="B298" i="2"/>
  <c r="B297" i="2"/>
  <c r="B296" i="2"/>
  <c r="B295" i="2"/>
  <c r="B294" i="2"/>
  <c r="B293" i="2"/>
  <c r="B292" i="2"/>
  <c r="B291" i="2"/>
  <c r="B290" i="2"/>
  <c r="B289" i="2"/>
  <c r="B288" i="2"/>
  <c r="B287" i="2"/>
  <c r="B286" i="2"/>
  <c r="B285" i="2"/>
  <c r="B284" i="2"/>
  <c r="B283" i="2"/>
  <c r="B282" i="2"/>
  <c r="B281" i="2"/>
  <c r="B280" i="2"/>
  <c r="B279" i="2"/>
  <c r="B278" i="2"/>
  <c r="B277" i="2"/>
  <c r="B276" i="2"/>
  <c r="B275" i="2"/>
  <c r="B274" i="2"/>
  <c r="B273" i="2"/>
  <c r="B272" i="2"/>
  <c r="B271" i="2"/>
  <c r="B270" i="2"/>
  <c r="B269" i="2"/>
  <c r="B268" i="2"/>
  <c r="B267" i="2"/>
  <c r="B266" i="2"/>
  <c r="B265" i="2"/>
  <c r="B264" i="2"/>
  <c r="B263" i="2"/>
  <c r="B262" i="2"/>
  <c r="B261" i="2"/>
  <c r="B260" i="2"/>
  <c r="B259" i="2"/>
  <c r="B258" i="2"/>
  <c r="B257" i="2"/>
  <c r="B256" i="2"/>
  <c r="B255" i="2"/>
  <c r="B254" i="2"/>
  <c r="B253" i="2"/>
  <c r="B252" i="2"/>
  <c r="B251" i="2"/>
  <c r="B250" i="2"/>
  <c r="B249" i="2"/>
  <c r="B248" i="2"/>
  <c r="B247" i="2"/>
  <c r="B246" i="2"/>
  <c r="B245" i="2"/>
  <c r="B244" i="2"/>
  <c r="B243" i="2"/>
  <c r="B242" i="2"/>
  <c r="B241" i="2"/>
  <c r="B240" i="2"/>
  <c r="B239" i="2"/>
  <c r="B238" i="2"/>
  <c r="B237" i="2"/>
  <c r="B236" i="2"/>
  <c r="B235" i="2"/>
  <c r="B234" i="2"/>
  <c r="B233" i="2"/>
  <c r="B232" i="2"/>
  <c r="B231" i="2"/>
  <c r="B230" i="2"/>
  <c r="B229" i="2"/>
  <c r="B228" i="2"/>
  <c r="B227" i="2"/>
  <c r="B226" i="2"/>
  <c r="B225" i="2"/>
  <c r="B224" i="2"/>
  <c r="B223" i="2"/>
  <c r="B222" i="2"/>
  <c r="B221" i="2"/>
  <c r="B220" i="2"/>
  <c r="B219" i="2"/>
  <c r="B218" i="2"/>
  <c r="B217" i="2"/>
  <c r="B216" i="2"/>
  <c r="B215" i="2"/>
  <c r="B214" i="2"/>
  <c r="B213" i="2"/>
  <c r="B212" i="2"/>
  <c r="B211" i="2"/>
  <c r="B210" i="2"/>
  <c r="B209" i="2"/>
  <c r="B208" i="2"/>
  <c r="B207" i="2"/>
  <c r="B206" i="2"/>
  <c r="B205" i="2"/>
  <c r="B204" i="2"/>
  <c r="B203" i="2"/>
  <c r="B202" i="2"/>
  <c r="B201" i="2"/>
  <c r="B200" i="2"/>
  <c r="B199" i="2"/>
  <c r="B198" i="2"/>
  <c r="B197" i="2"/>
  <c r="B196" i="2"/>
  <c r="B195" i="2"/>
  <c r="B194" i="2"/>
  <c r="B193" i="2"/>
  <c r="B192" i="2"/>
  <c r="B191" i="2"/>
  <c r="B190" i="2"/>
  <c r="B189" i="2"/>
  <c r="B188" i="2"/>
  <c r="B187" i="2"/>
  <c r="B186" i="2"/>
  <c r="B185" i="2"/>
  <c r="B184" i="2"/>
  <c r="B183" i="2"/>
  <c r="B182" i="2"/>
  <c r="B181" i="2"/>
  <c r="B180" i="2"/>
  <c r="B179" i="2"/>
  <c r="B178" i="2"/>
  <c r="B177" i="2"/>
  <c r="B176" i="2"/>
  <c r="B175" i="2"/>
  <c r="B174" i="2"/>
  <c r="B173" i="2"/>
  <c r="B172" i="2"/>
  <c r="B171" i="2"/>
  <c r="B170" i="2"/>
  <c r="B169" i="2"/>
  <c r="B168" i="2"/>
  <c r="B167" i="2"/>
  <c r="B166" i="2"/>
  <c r="B165" i="2"/>
  <c r="B164" i="2"/>
  <c r="B163" i="2"/>
  <c r="B162" i="2"/>
  <c r="B161" i="2"/>
  <c r="B160" i="2"/>
  <c r="B159" i="2"/>
  <c r="B158" i="2"/>
  <c r="B157" i="2"/>
  <c r="B156" i="2"/>
  <c r="B155" i="2"/>
  <c r="B154" i="2"/>
  <c r="B153" i="2"/>
  <c r="B152" i="2"/>
  <c r="B151" i="2"/>
  <c r="B150" i="2"/>
  <c r="B149" i="2"/>
  <c r="B148" i="2"/>
  <c r="B147" i="2"/>
  <c r="B146" i="2"/>
  <c r="B145" i="2"/>
  <c r="B144" i="2"/>
  <c r="B143" i="2"/>
  <c r="B142" i="2"/>
  <c r="B141" i="2"/>
  <c r="B140" i="2"/>
  <c r="B139" i="2"/>
  <c r="B138" i="2"/>
  <c r="B137" i="2"/>
  <c r="B136" i="2"/>
  <c r="B135" i="2"/>
  <c r="B134" i="2"/>
  <c r="B133" i="2"/>
  <c r="B132" i="2"/>
  <c r="B131" i="2"/>
  <c r="B130" i="2"/>
  <c r="B129" i="2"/>
  <c r="B128" i="2"/>
  <c r="B127" i="2"/>
  <c r="B126" i="2"/>
  <c r="B125" i="2"/>
  <c r="B124" i="2"/>
  <c r="B123" i="2"/>
  <c r="B122" i="2"/>
  <c r="B121" i="2"/>
  <c r="B120" i="2"/>
  <c r="B119" i="2"/>
  <c r="B118" i="2"/>
  <c r="B117" i="2"/>
  <c r="B116" i="2"/>
  <c r="B115" i="2"/>
  <c r="B114" i="2"/>
  <c r="B113" i="2"/>
  <c r="B112" i="2"/>
  <c r="B111" i="2"/>
  <c r="B110" i="2"/>
  <c r="B109" i="2"/>
  <c r="B108" i="2"/>
  <c r="B107" i="2"/>
  <c r="B106" i="2"/>
  <c r="B105" i="2"/>
  <c r="B104" i="2"/>
  <c r="B103" i="2"/>
  <c r="B102" i="2"/>
  <c r="B101" i="2"/>
  <c r="B100" i="2"/>
  <c r="B99" i="2"/>
  <c r="B98" i="2"/>
  <c r="B97" i="2"/>
  <c r="B96" i="2"/>
  <c r="B95" i="2"/>
  <c r="B94" i="2"/>
  <c r="B93" i="2"/>
  <c r="B92" i="2"/>
  <c r="B91" i="2"/>
  <c r="B90" i="2"/>
  <c r="B89" i="2"/>
  <c r="B88" i="2"/>
  <c r="B87" i="2"/>
  <c r="B86" i="2"/>
  <c r="B85" i="2"/>
  <c r="B84" i="2"/>
  <c r="B83" i="2"/>
  <c r="B82" i="2"/>
  <c r="B81" i="2"/>
  <c r="B80" i="2"/>
  <c r="B79" i="2"/>
  <c r="B78" i="2"/>
  <c r="B77" i="2"/>
  <c r="B76" i="2"/>
  <c r="B75" i="2"/>
  <c r="B74" i="2"/>
  <c r="B73" i="2"/>
  <c r="B72" i="2"/>
  <c r="B71" i="2"/>
  <c r="B70" i="2"/>
  <c r="B69" i="2"/>
  <c r="B68" i="2"/>
  <c r="B67" i="2"/>
  <c r="B66" i="2"/>
  <c r="B65" i="2"/>
  <c r="B64" i="2"/>
  <c r="B63" i="2"/>
  <c r="B62" i="2"/>
  <c r="B61" i="2"/>
  <c r="B60" i="2"/>
  <c r="B59" i="2"/>
  <c r="B58" i="2"/>
  <c r="B57" i="2"/>
  <c r="B56" i="2"/>
  <c r="B55" i="2"/>
  <c r="B54" i="2"/>
  <c r="B53" i="2"/>
  <c r="B52" i="2"/>
  <c r="B51" i="2"/>
  <c r="B50" i="2"/>
  <c r="B49" i="2"/>
  <c r="B48" i="2"/>
  <c r="B47" i="2"/>
  <c r="B46" i="2"/>
  <c r="B45" i="2"/>
  <c r="B44" i="2"/>
  <c r="B43" i="2"/>
  <c r="B42" i="2"/>
  <c r="B41" i="2"/>
  <c r="B40" i="2"/>
  <c r="B39" i="2"/>
  <c r="B38" i="2"/>
  <c r="B37" i="2"/>
  <c r="B36" i="2"/>
  <c r="B35" i="2"/>
  <c r="B34" i="2"/>
  <c r="B33" i="2"/>
  <c r="B32" i="2"/>
  <c r="B31" i="2"/>
  <c r="B30" i="2"/>
  <c r="B29" i="2"/>
  <c r="B28" i="2"/>
  <c r="B27" i="2"/>
  <c r="B26" i="2"/>
  <c r="B25" i="2"/>
  <c r="B24" i="2"/>
  <c r="B23" i="2"/>
  <c r="B22" i="2"/>
  <c r="B21" i="2"/>
  <c r="B20" i="2"/>
  <c r="B19" i="2"/>
  <c r="B18" i="2"/>
  <c r="B17" i="2"/>
  <c r="B16" i="2"/>
  <c r="B15" i="2"/>
  <c r="B14" i="2"/>
  <c r="J530" i="2"/>
  <c r="F518" i="2"/>
  <c r="J514" i="2"/>
  <c r="E511" i="2"/>
  <c r="I507" i="2"/>
  <c r="P503" i="2"/>
  <c r="H500" i="2"/>
  <c r="O496" i="2"/>
  <c r="G493" i="2"/>
  <c r="M489" i="2"/>
  <c r="F486" i="2"/>
  <c r="J482" i="2"/>
  <c r="E479" i="2"/>
  <c r="I475" i="2"/>
  <c r="P471" i="2"/>
  <c r="H468" i="2"/>
  <c r="O464" i="2"/>
  <c r="G461" i="2"/>
  <c r="M457" i="2"/>
  <c r="F454" i="2"/>
  <c r="J450" i="2"/>
  <c r="E447" i="2"/>
  <c r="O443" i="2"/>
  <c r="K440" i="2"/>
  <c r="I437" i="2"/>
  <c r="G434" i="2"/>
  <c r="E431" i="2"/>
  <c r="O427" i="2"/>
  <c r="K424" i="2"/>
  <c r="I421" i="2"/>
  <c r="G418" i="2"/>
  <c r="E415" i="2"/>
  <c r="P411" i="2"/>
  <c r="B409" i="2"/>
  <c r="E406" i="2"/>
  <c r="F403" i="2"/>
  <c r="G400" i="2"/>
  <c r="H397" i="2"/>
  <c r="I394" i="2"/>
  <c r="J391" i="2"/>
  <c r="K388" i="2"/>
  <c r="M385" i="2"/>
  <c r="O382" i="2"/>
  <c r="B380" i="2"/>
  <c r="H377" i="2"/>
  <c r="H373" i="2"/>
  <c r="L370" i="2"/>
  <c r="B368" i="2"/>
  <c r="I365" i="2"/>
  <c r="B363" i="2"/>
  <c r="J360" i="2"/>
  <c r="C358" i="2"/>
  <c r="M355" i="2"/>
  <c r="I353" i="2"/>
  <c r="E351" i="2"/>
  <c r="P348" i="2"/>
  <c r="N346" i="2"/>
  <c r="L344" i="2"/>
  <c r="J342" i="2"/>
  <c r="H340" i="2"/>
  <c r="F338" i="2"/>
  <c r="C336" i="2"/>
  <c r="A334" i="2"/>
  <c r="O331" i="2"/>
  <c r="M329" i="2"/>
  <c r="K327" i="2"/>
  <c r="I325" i="2"/>
  <c r="G323" i="2"/>
  <c r="E321" i="2"/>
  <c r="B319" i="2"/>
  <c r="A317" i="2"/>
  <c r="A315" i="2"/>
  <c r="A313" i="2"/>
  <c r="A312" i="2"/>
  <c r="A310" i="2"/>
  <c r="A308" i="2"/>
  <c r="A306" i="2"/>
  <c r="A304" i="2"/>
  <c r="A301" i="2"/>
  <c r="A299" i="2"/>
  <c r="A297" i="2"/>
  <c r="B1198" i="2"/>
  <c r="L1167" i="2"/>
  <c r="D1139" i="2"/>
  <c r="M1111" i="2"/>
  <c r="A1086" i="2"/>
  <c r="O1062" i="2"/>
  <c r="K1045" i="2"/>
  <c r="G1030" i="2"/>
  <c r="N1014" i="2"/>
  <c r="M1002" i="2"/>
  <c r="G988" i="2"/>
  <c r="E974" i="2"/>
  <c r="M958" i="2"/>
  <c r="G944" i="2"/>
  <c r="E931" i="2"/>
  <c r="H918" i="2"/>
  <c r="E905" i="2"/>
  <c r="G892" i="2"/>
  <c r="F883" i="2"/>
  <c r="C875" i="2"/>
  <c r="I867" i="2"/>
  <c r="G859" i="2"/>
  <c r="D853" i="2"/>
  <c r="H847" i="2"/>
  <c r="F841" i="2"/>
  <c r="G834" i="2"/>
  <c r="H827" i="2"/>
  <c r="D822" i="2"/>
  <c r="K815" i="2"/>
  <c r="G809" i="2"/>
  <c r="H802" i="2"/>
  <c r="E796" i="2"/>
  <c r="E791" i="2"/>
  <c r="D786" i="2"/>
  <c r="H780" i="2"/>
  <c r="M774" i="2"/>
  <c r="G770" i="2"/>
  <c r="M765" i="2"/>
  <c r="M760" i="2"/>
  <c r="H756" i="2"/>
  <c r="I751" i="2"/>
  <c r="I747" i="2"/>
  <c r="I743" i="2"/>
  <c r="P739" i="2"/>
  <c r="K735" i="2"/>
  <c r="D732" i="2"/>
  <c r="P727" i="2"/>
  <c r="K724" i="2"/>
  <c r="D720" i="2"/>
  <c r="L716" i="2"/>
  <c r="C713" i="2"/>
  <c r="I710" i="2"/>
  <c r="K707" i="2"/>
  <c r="C705" i="2"/>
  <c r="K702" i="2"/>
  <c r="F700" i="2"/>
  <c r="K697" i="2"/>
  <c r="C695" i="2"/>
  <c r="N692" i="2"/>
  <c r="D690" i="2"/>
  <c r="M687" i="2"/>
  <c r="I685" i="2"/>
  <c r="E683" i="2"/>
  <c r="M680" i="2"/>
  <c r="J678" i="2"/>
  <c r="J676" i="2"/>
  <c r="J674" i="2"/>
  <c r="J672" i="2"/>
  <c r="J670" i="2"/>
  <c r="J668" i="2"/>
  <c r="J666" i="2"/>
  <c r="J664" i="2"/>
  <c r="J662" i="2"/>
  <c r="J660" i="2"/>
  <c r="J658" i="2"/>
  <c r="J656" i="2"/>
  <c r="J654" i="2"/>
  <c r="J652" i="2"/>
  <c r="J650" i="2"/>
  <c r="J648" i="2"/>
  <c r="J646" i="2"/>
  <c r="J644" i="2"/>
  <c r="J642" i="2"/>
  <c r="J640" i="2"/>
  <c r="J638" i="2"/>
  <c r="J636" i="2"/>
  <c r="J634" i="2"/>
  <c r="J632" i="2"/>
  <c r="J630" i="2"/>
  <c r="J628" i="2"/>
  <c r="J626" i="2"/>
  <c r="J624" i="2"/>
  <c r="J622" i="2"/>
  <c r="J620" i="2"/>
  <c r="J618" i="2"/>
  <c r="J616" i="2"/>
  <c r="J614" i="2"/>
  <c r="J612" i="2"/>
  <c r="J610" i="2"/>
  <c r="J608" i="2"/>
  <c r="J606" i="2"/>
  <c r="J604" i="2"/>
  <c r="J602" i="2"/>
  <c r="J600" i="2"/>
  <c r="J598" i="2"/>
  <c r="J596" i="2"/>
  <c r="J594" i="2"/>
  <c r="J592" i="2"/>
  <c r="J590" i="2"/>
  <c r="J588" i="2"/>
  <c r="J586" i="2"/>
  <c r="J584" i="2"/>
  <c r="J582" i="2"/>
  <c r="J580" i="2"/>
  <c r="J578" i="2"/>
  <c r="J576" i="2"/>
  <c r="J574" i="2"/>
  <c r="J572" i="2"/>
  <c r="J570" i="2"/>
  <c r="J568" i="2"/>
  <c r="J566" i="2"/>
  <c r="J564" i="2"/>
  <c r="J562" i="2"/>
  <c r="O560" i="2"/>
  <c r="E559" i="2"/>
  <c r="G557" i="2"/>
  <c r="I555" i="2"/>
  <c r="M553" i="2"/>
  <c r="P551" i="2"/>
  <c r="F550" i="2"/>
  <c r="H548" i="2"/>
  <c r="J546" i="2"/>
  <c r="O544" i="2"/>
  <c r="E543" i="2"/>
  <c r="G541" i="2"/>
  <c r="I539" i="2"/>
  <c r="M537" i="2"/>
  <c r="P535" i="2"/>
  <c r="F534" i="2"/>
  <c r="P1192" i="2"/>
  <c r="D1165" i="2"/>
  <c r="F1137" i="2"/>
  <c r="P1110" i="2"/>
  <c r="D1083" i="2"/>
  <c r="B1062" i="2"/>
  <c r="L1044" i="2"/>
  <c r="E1030" i="2"/>
  <c r="M1014" i="2"/>
  <c r="G1000" i="2"/>
  <c r="E987" i="2"/>
  <c r="E973" i="2"/>
  <c r="G958" i="2"/>
  <c r="N942" i="2"/>
  <c r="M930" i="2"/>
  <c r="N917" i="2"/>
  <c r="B905" i="2"/>
  <c r="F892" i="2"/>
  <c r="A882" i="2"/>
  <c r="H874" i="2"/>
  <c r="A867" i="2"/>
  <c r="F859" i="2"/>
  <c r="G852" i="2"/>
  <c r="C847" i="2"/>
  <c r="I840" i="2"/>
  <c r="F834" i="2"/>
  <c r="G827" i="2"/>
  <c r="D821" i="2"/>
  <c r="H815" i="2"/>
  <c r="F809" i="2"/>
  <c r="G802" i="2"/>
  <c r="H795" i="2"/>
  <c r="L790" i="2"/>
  <c r="I785" i="2"/>
  <c r="G780" i="2"/>
  <c r="L774" i="2"/>
  <c r="D770" i="2"/>
  <c r="L765" i="2"/>
  <c r="F760" i="2"/>
  <c r="F756" i="2"/>
  <c r="H751" i="2"/>
  <c r="F747" i="2"/>
  <c r="H743" i="2"/>
  <c r="I739" i="2"/>
  <c r="I735" i="2"/>
  <c r="P731" i="2"/>
  <c r="K727" i="2"/>
  <c r="D724" i="2"/>
  <c r="P719" i="2"/>
  <c r="K716" i="2"/>
  <c r="P712" i="2"/>
  <c r="C710" i="2"/>
  <c r="H707" i="2"/>
  <c r="B705" i="2"/>
  <c r="J702" i="2"/>
  <c r="P699" i="2"/>
  <c r="F697" i="2"/>
  <c r="B695" i="2"/>
  <c r="H692" i="2"/>
  <c r="A690" i="2"/>
  <c r="L687" i="2"/>
  <c r="H685" i="2"/>
  <c r="O682" i="2"/>
  <c r="J680" i="2"/>
  <c r="I678" i="2"/>
  <c r="I676" i="2"/>
  <c r="I674" i="2"/>
  <c r="I672" i="2"/>
  <c r="I670" i="2"/>
  <c r="I668" i="2"/>
  <c r="I666" i="2"/>
  <c r="I664" i="2"/>
  <c r="I662" i="2"/>
  <c r="I660" i="2"/>
  <c r="I658" i="2"/>
  <c r="I656" i="2"/>
  <c r="I654" i="2"/>
  <c r="I652" i="2"/>
  <c r="I650" i="2"/>
  <c r="I648" i="2"/>
  <c r="I646" i="2"/>
  <c r="I644" i="2"/>
  <c r="I642" i="2"/>
  <c r="I640" i="2"/>
  <c r="I638" i="2"/>
  <c r="I636" i="2"/>
  <c r="I634" i="2"/>
  <c r="I632" i="2"/>
  <c r="I630" i="2"/>
  <c r="I628" i="2"/>
  <c r="I626" i="2"/>
  <c r="I624" i="2"/>
  <c r="I622" i="2"/>
  <c r="I620" i="2"/>
  <c r="I618" i="2"/>
  <c r="I616" i="2"/>
  <c r="I614" i="2"/>
  <c r="I612" i="2"/>
  <c r="I610" i="2"/>
  <c r="I608" i="2"/>
  <c r="I606" i="2"/>
  <c r="I604" i="2"/>
  <c r="I602" i="2"/>
  <c r="I600" i="2"/>
  <c r="I598" i="2"/>
  <c r="I596" i="2"/>
  <c r="I594" i="2"/>
  <c r="I592" i="2"/>
  <c r="I590" i="2"/>
  <c r="I588" i="2"/>
  <c r="I586" i="2"/>
  <c r="I584" i="2"/>
  <c r="I582" i="2"/>
  <c r="I580" i="2"/>
  <c r="I578" i="2"/>
  <c r="I576" i="2"/>
  <c r="I574" i="2"/>
  <c r="I572" i="2"/>
  <c r="I570" i="2"/>
  <c r="I568" i="2"/>
  <c r="I566" i="2"/>
  <c r="I564" i="2"/>
  <c r="I562" i="2"/>
  <c r="M560" i="2"/>
  <c r="P558" i="2"/>
  <c r="F557" i="2"/>
  <c r="H555" i="2"/>
  <c r="J553" i="2"/>
  <c r="O551" i="2"/>
  <c r="E550" i="2"/>
  <c r="G548" i="2"/>
  <c r="I546" i="2"/>
  <c r="M544" i="2"/>
  <c r="P542" i="2"/>
  <c r="F541" i="2"/>
  <c r="H539" i="2"/>
  <c r="J537" i="2"/>
  <c r="O535" i="2"/>
  <c r="E534" i="2"/>
  <c r="G532" i="2"/>
  <c r="I530" i="2"/>
  <c r="M528" i="2"/>
  <c r="P526" i="2"/>
  <c r="F525" i="2"/>
  <c r="H523" i="2"/>
  <c r="J521" i="2"/>
  <c r="O519" i="2"/>
  <c r="E518" i="2"/>
  <c r="G516" i="2"/>
  <c r="I514" i="2"/>
  <c r="M512" i="2"/>
  <c r="P510" i="2"/>
  <c r="F509" i="2"/>
  <c r="H507" i="2"/>
  <c r="J505" i="2"/>
  <c r="O503" i="2"/>
  <c r="E502" i="2"/>
  <c r="G500" i="2"/>
  <c r="I498" i="2"/>
  <c r="M496" i="2"/>
  <c r="P494" i="2"/>
  <c r="F493" i="2"/>
  <c r="H491" i="2"/>
  <c r="J489" i="2"/>
  <c r="O487" i="2"/>
  <c r="E486" i="2"/>
  <c r="G484" i="2"/>
  <c r="I482" i="2"/>
  <c r="M480" i="2"/>
  <c r="P478" i="2"/>
  <c r="F477" i="2"/>
  <c r="H475" i="2"/>
  <c r="J473" i="2"/>
  <c r="O471" i="2"/>
  <c r="E470" i="2"/>
  <c r="G468" i="2"/>
  <c r="I466" i="2"/>
  <c r="M464" i="2"/>
  <c r="P462" i="2"/>
  <c r="F461" i="2"/>
  <c r="H459" i="2"/>
  <c r="J457" i="2"/>
  <c r="O455" i="2"/>
  <c r="E454" i="2"/>
  <c r="G452" i="2"/>
  <c r="I450" i="2"/>
  <c r="M448" i="2"/>
  <c r="P446" i="2"/>
  <c r="H445" i="2"/>
  <c r="M443" i="2"/>
  <c r="F442" i="2"/>
  <c r="J440" i="2"/>
  <c r="P438" i="2"/>
  <c r="H437" i="2"/>
  <c r="M435" i="2"/>
  <c r="F434" i="2"/>
  <c r="J432" i="2"/>
  <c r="P430" i="2"/>
  <c r="H429" i="2"/>
  <c r="M427" i="2"/>
  <c r="F426" i="2"/>
  <c r="J424" i="2"/>
  <c r="P422" i="2"/>
  <c r="H421" i="2"/>
  <c r="M419" i="2"/>
  <c r="F418" i="2"/>
  <c r="J416" i="2"/>
  <c r="P414" i="2"/>
  <c r="H413" i="2"/>
  <c r="O411" i="2"/>
  <c r="H410" i="2"/>
  <c r="P408" i="2"/>
  <c r="I407" i="2"/>
  <c r="B406" i="2"/>
  <c r="J404" i="2"/>
  <c r="E403" i="2"/>
  <c r="K401" i="2"/>
  <c r="F400" i="2"/>
  <c r="M398" i="2"/>
  <c r="G397" i="2"/>
  <c r="O395" i="2"/>
  <c r="H394" i="2"/>
  <c r="P392" i="2"/>
  <c r="I391" i="2"/>
  <c r="B390" i="2"/>
  <c r="J388" i="2"/>
  <c r="E387" i="2"/>
  <c r="K385" i="2"/>
  <c r="F384" i="2"/>
  <c r="M382" i="2"/>
  <c r="G381" i="2"/>
  <c r="P379" i="2"/>
  <c r="K378" i="2"/>
  <c r="G377" i="2"/>
  <c r="P375" i="2"/>
  <c r="K374" i="2"/>
  <c r="G373" i="2"/>
  <c r="P371" i="2"/>
  <c r="K370" i="2"/>
  <c r="G369" i="2"/>
  <c r="P367" i="2"/>
  <c r="K366" i="2"/>
  <c r="H365" i="2"/>
  <c r="E364" i="2"/>
  <c r="P362" i="2"/>
  <c r="L361" i="2"/>
  <c r="I360" i="2"/>
  <c r="F359" i="2"/>
  <c r="B358" i="2"/>
  <c r="N356" i="2"/>
  <c r="L355" i="2"/>
  <c r="J354" i="2"/>
  <c r="H353" i="2"/>
  <c r="F352" i="2"/>
  <c r="C351" i="2"/>
  <c r="P349" i="2"/>
  <c r="O348" i="2"/>
  <c r="N347" i="2"/>
  <c r="M346" i="2"/>
  <c r="L345" i="2"/>
  <c r="K344" i="2"/>
  <c r="J343" i="2"/>
  <c r="I342" i="2"/>
  <c r="H341" i="2"/>
  <c r="G340" i="2"/>
  <c r="F339" i="2"/>
  <c r="E338" i="2"/>
  <c r="C337" i="2"/>
  <c r="B336" i="2"/>
  <c r="A335" i="2"/>
  <c r="P333" i="2"/>
  <c r="O332" i="2"/>
  <c r="N331" i="2"/>
  <c r="M330" i="2"/>
  <c r="L329" i="2"/>
  <c r="K328" i="2"/>
  <c r="J327" i="2"/>
  <c r="I326" i="2"/>
  <c r="H325" i="2"/>
  <c r="G324" i="2"/>
  <c r="F323" i="2"/>
  <c r="E322" i="2"/>
  <c r="C321" i="2"/>
  <c r="B320" i="2"/>
  <c r="A319" i="2"/>
  <c r="P317" i="2"/>
  <c r="P316" i="2"/>
  <c r="P315" i="2"/>
  <c r="P314" i="2"/>
  <c r="P313" i="2"/>
  <c r="P312" i="2"/>
  <c r="P311" i="2"/>
  <c r="P310" i="2"/>
  <c r="P309" i="2"/>
  <c r="P308" i="2"/>
  <c r="P307" i="2"/>
  <c r="P306" i="2"/>
  <c r="P305" i="2"/>
  <c r="P304" i="2"/>
  <c r="P303" i="2"/>
  <c r="P302" i="2"/>
  <c r="P301" i="2"/>
  <c r="P300" i="2"/>
  <c r="P299" i="2"/>
  <c r="P298" i="2"/>
  <c r="P297" i="2"/>
  <c r="P296" i="2"/>
  <c r="P295" i="2"/>
  <c r="P294" i="2"/>
  <c r="P293" i="2"/>
  <c r="P292" i="2"/>
  <c r="P291" i="2"/>
  <c r="P290" i="2"/>
  <c r="P289" i="2"/>
  <c r="P288" i="2"/>
  <c r="P287" i="2"/>
  <c r="P286" i="2"/>
  <c r="P285" i="2"/>
  <c r="P284" i="2"/>
  <c r="P283" i="2"/>
  <c r="P282" i="2"/>
  <c r="P281" i="2"/>
  <c r="P280" i="2"/>
  <c r="P279" i="2"/>
  <c r="P278" i="2"/>
  <c r="P277" i="2"/>
  <c r="P276" i="2"/>
  <c r="P275" i="2"/>
  <c r="P274" i="2"/>
  <c r="P273" i="2"/>
  <c r="P272" i="2"/>
  <c r="P271" i="2"/>
  <c r="P270" i="2"/>
  <c r="P269" i="2"/>
  <c r="P268" i="2"/>
  <c r="P267" i="2"/>
  <c r="P266" i="2"/>
  <c r="P265" i="2"/>
  <c r="P264" i="2"/>
  <c r="P263" i="2"/>
  <c r="P262" i="2"/>
  <c r="P261" i="2"/>
  <c r="P260" i="2"/>
  <c r="P259" i="2"/>
  <c r="P258" i="2"/>
  <c r="P257" i="2"/>
  <c r="P256" i="2"/>
  <c r="P255" i="2"/>
  <c r="P254" i="2"/>
  <c r="P253" i="2"/>
  <c r="P252" i="2"/>
  <c r="P251" i="2"/>
  <c r="P250" i="2"/>
  <c r="P249" i="2"/>
  <c r="P248" i="2"/>
  <c r="P247" i="2"/>
  <c r="P246" i="2"/>
  <c r="P245" i="2"/>
  <c r="P244" i="2"/>
  <c r="P243" i="2"/>
  <c r="P242" i="2"/>
  <c r="P241" i="2"/>
  <c r="P240" i="2"/>
  <c r="P239" i="2"/>
  <c r="P238" i="2"/>
  <c r="P237" i="2"/>
  <c r="P236" i="2"/>
  <c r="P235" i="2"/>
  <c r="P234" i="2"/>
  <c r="P233" i="2"/>
  <c r="P232" i="2"/>
  <c r="P231" i="2"/>
  <c r="P230" i="2"/>
  <c r="P229" i="2"/>
  <c r="P228" i="2"/>
  <c r="P227" i="2"/>
  <c r="P226" i="2"/>
  <c r="P225" i="2"/>
  <c r="P224" i="2"/>
  <c r="P223" i="2"/>
  <c r="P222" i="2"/>
  <c r="P221" i="2"/>
  <c r="P220" i="2"/>
  <c r="P219" i="2"/>
  <c r="P218" i="2"/>
  <c r="P217" i="2"/>
  <c r="P216" i="2"/>
  <c r="P215" i="2"/>
  <c r="P214" i="2"/>
  <c r="P213" i="2"/>
  <c r="P212" i="2"/>
  <c r="P211" i="2"/>
  <c r="P210" i="2"/>
  <c r="P209" i="2"/>
  <c r="P208" i="2"/>
  <c r="P207" i="2"/>
  <c r="P206" i="2"/>
  <c r="P205" i="2"/>
  <c r="P204" i="2"/>
  <c r="P203" i="2"/>
  <c r="P202" i="2"/>
  <c r="P201" i="2"/>
  <c r="P200" i="2"/>
  <c r="P199" i="2"/>
  <c r="P198" i="2"/>
  <c r="P197" i="2"/>
  <c r="P196" i="2"/>
  <c r="P195" i="2"/>
  <c r="P194" i="2"/>
  <c r="P193" i="2"/>
  <c r="P192" i="2"/>
  <c r="P191" i="2"/>
  <c r="P190" i="2"/>
  <c r="P189" i="2"/>
  <c r="P188" i="2"/>
  <c r="P187" i="2"/>
  <c r="P186" i="2"/>
  <c r="P185" i="2"/>
  <c r="P184" i="2"/>
  <c r="P183" i="2"/>
  <c r="P182" i="2"/>
  <c r="P181" i="2"/>
  <c r="P180" i="2"/>
  <c r="P179" i="2"/>
  <c r="P178" i="2"/>
  <c r="P177" i="2"/>
  <c r="P176" i="2"/>
  <c r="P175" i="2"/>
  <c r="P174" i="2"/>
  <c r="P173" i="2"/>
  <c r="P172" i="2"/>
  <c r="P171" i="2"/>
  <c r="P170" i="2"/>
  <c r="P169" i="2"/>
  <c r="P168" i="2"/>
  <c r="P167" i="2"/>
  <c r="P166" i="2"/>
  <c r="P165" i="2"/>
  <c r="P164" i="2"/>
  <c r="P163" i="2"/>
  <c r="P162" i="2"/>
  <c r="P161" i="2"/>
  <c r="P160" i="2"/>
  <c r="P159" i="2"/>
  <c r="P158" i="2"/>
  <c r="P157" i="2"/>
  <c r="P156" i="2"/>
  <c r="P155" i="2"/>
  <c r="P154" i="2"/>
  <c r="P153" i="2"/>
  <c r="P152" i="2"/>
  <c r="P151" i="2"/>
  <c r="P150" i="2"/>
  <c r="P149" i="2"/>
  <c r="P148" i="2"/>
  <c r="P147" i="2"/>
  <c r="P146" i="2"/>
  <c r="P145" i="2"/>
  <c r="P144" i="2"/>
  <c r="P143" i="2"/>
  <c r="P142" i="2"/>
  <c r="P141" i="2"/>
  <c r="P140" i="2"/>
  <c r="P139" i="2"/>
  <c r="P138" i="2"/>
  <c r="P137" i="2"/>
  <c r="P136" i="2"/>
  <c r="P135" i="2"/>
  <c r="P134" i="2"/>
  <c r="P133" i="2"/>
  <c r="P132" i="2"/>
  <c r="P131" i="2"/>
  <c r="P130" i="2"/>
  <c r="P129" i="2"/>
  <c r="P128" i="2"/>
  <c r="P127" i="2"/>
  <c r="P126" i="2"/>
  <c r="P125" i="2"/>
  <c r="P124" i="2"/>
  <c r="P123" i="2"/>
  <c r="P122" i="2"/>
  <c r="P121" i="2"/>
  <c r="P120" i="2"/>
  <c r="P119" i="2"/>
  <c r="P118" i="2"/>
  <c r="P117" i="2"/>
  <c r="P116" i="2"/>
  <c r="P115" i="2"/>
  <c r="P114" i="2"/>
  <c r="P113" i="2"/>
  <c r="P112" i="2"/>
  <c r="P111" i="2"/>
  <c r="P110" i="2"/>
  <c r="P109" i="2"/>
  <c r="P108" i="2"/>
  <c r="P107" i="2"/>
  <c r="P106" i="2"/>
  <c r="P105" i="2"/>
  <c r="P104" i="2"/>
  <c r="P103" i="2"/>
  <c r="P102" i="2"/>
  <c r="P101" i="2"/>
  <c r="P100" i="2"/>
  <c r="P99" i="2"/>
  <c r="P98" i="2"/>
  <c r="P97" i="2"/>
  <c r="P96" i="2"/>
  <c r="P95" i="2"/>
  <c r="P94" i="2"/>
  <c r="P93" i="2"/>
  <c r="P92" i="2"/>
  <c r="P91" i="2"/>
  <c r="P90" i="2"/>
  <c r="P89" i="2"/>
  <c r="P88" i="2"/>
  <c r="P87" i="2"/>
  <c r="P86" i="2"/>
  <c r="P85" i="2"/>
  <c r="P84" i="2"/>
  <c r="P83" i="2"/>
  <c r="P82" i="2"/>
  <c r="P81" i="2"/>
  <c r="P80" i="2"/>
  <c r="P79" i="2"/>
  <c r="P78" i="2"/>
  <c r="P77" i="2"/>
  <c r="P76" i="2"/>
  <c r="P75" i="2"/>
  <c r="P74" i="2"/>
  <c r="P73" i="2"/>
  <c r="P72" i="2"/>
  <c r="P71" i="2"/>
  <c r="P70" i="2"/>
  <c r="P69" i="2"/>
  <c r="P68" i="2"/>
  <c r="P67" i="2"/>
  <c r="P66" i="2"/>
  <c r="P65" i="2"/>
  <c r="P64" i="2"/>
  <c r="P63" i="2"/>
  <c r="P62" i="2"/>
  <c r="P61" i="2"/>
  <c r="P60" i="2"/>
  <c r="P59" i="2"/>
  <c r="P58" i="2"/>
  <c r="P57" i="2"/>
  <c r="P56" i="2"/>
  <c r="P55" i="2"/>
  <c r="P54" i="2"/>
  <c r="P53" i="2"/>
  <c r="P52" i="2"/>
  <c r="P51" i="2"/>
  <c r="P50" i="2"/>
  <c r="P49" i="2"/>
  <c r="P48" i="2"/>
  <c r="P47" i="2"/>
  <c r="P46" i="2"/>
  <c r="P45" i="2"/>
  <c r="P44" i="2"/>
  <c r="P43" i="2"/>
  <c r="P42" i="2"/>
  <c r="P41" i="2"/>
  <c r="P40" i="2"/>
  <c r="P39" i="2"/>
  <c r="P38" i="2"/>
  <c r="P37" i="2"/>
  <c r="P36" i="2"/>
  <c r="P35" i="2"/>
  <c r="P34" i="2"/>
  <c r="P33" i="2"/>
  <c r="P32" i="2"/>
  <c r="P31" i="2"/>
  <c r="P30" i="2"/>
  <c r="P29" i="2"/>
  <c r="P28" i="2"/>
  <c r="P27" i="2"/>
  <c r="P26" i="2"/>
  <c r="P25" i="2"/>
  <c r="P24" i="2"/>
  <c r="P23" i="2"/>
  <c r="P22" i="2"/>
  <c r="P21" i="2"/>
  <c r="P20" i="2"/>
  <c r="P19" i="2"/>
  <c r="P18" i="2"/>
  <c r="P17" i="2"/>
  <c r="P16" i="2"/>
  <c r="P15" i="2"/>
  <c r="P14" i="2"/>
  <c r="B1189" i="2"/>
  <c r="D1164" i="2"/>
  <c r="O1135" i="2"/>
  <c r="N1110" i="2"/>
  <c r="B1083" i="2"/>
  <c r="M1058" i="2"/>
  <c r="I1043" i="2"/>
  <c r="E1029" i="2"/>
  <c r="G1014" i="2"/>
  <c r="N998" i="2"/>
  <c r="M986" i="2"/>
  <c r="G972" i="2"/>
  <c r="E958" i="2"/>
  <c r="M942" i="2"/>
  <c r="G928" i="2"/>
  <c r="N916" i="2"/>
  <c r="E904" i="2"/>
  <c r="E892" i="2"/>
  <c r="A881" i="2"/>
  <c r="B874" i="2"/>
  <c r="I866" i="2"/>
  <c r="E859" i="2"/>
  <c r="F852" i="2"/>
  <c r="C846" i="2"/>
  <c r="G840" i="2"/>
  <c r="E834" i="2"/>
  <c r="F827" i="2"/>
  <c r="G820" i="2"/>
  <c r="C815" i="2"/>
  <c r="I808" i="2"/>
  <c r="F802" i="2"/>
  <c r="G795" i="2"/>
  <c r="P789" i="2"/>
  <c r="G785" i="2"/>
  <c r="F780" i="2"/>
  <c r="K774" i="2"/>
  <c r="I769" i="2"/>
  <c r="E765" i="2"/>
  <c r="E760" i="2"/>
  <c r="M755" i="2"/>
  <c r="G751" i="2"/>
  <c r="M746" i="2"/>
  <c r="G743" i="2"/>
  <c r="F739" i="2"/>
  <c r="H735" i="2"/>
  <c r="I731" i="2"/>
  <c r="I727" i="2"/>
  <c r="P723" i="2"/>
  <c r="K719" i="2"/>
  <c r="D716" i="2"/>
  <c r="M712" i="2"/>
  <c r="P709" i="2"/>
  <c r="G707" i="2"/>
  <c r="P704" i="2"/>
  <c r="I702" i="2"/>
  <c r="M699" i="2"/>
  <c r="E697" i="2"/>
  <c r="A695" i="2"/>
  <c r="F692" i="2"/>
  <c r="P689" i="2"/>
  <c r="K687" i="2"/>
  <c r="G685" i="2"/>
  <c r="M682" i="2"/>
  <c r="H680" i="2"/>
  <c r="H678" i="2"/>
  <c r="H676" i="2"/>
  <c r="H674" i="2"/>
  <c r="H672" i="2"/>
  <c r="H670" i="2"/>
  <c r="H668" i="2"/>
  <c r="H666" i="2"/>
  <c r="H664" i="2"/>
  <c r="H662" i="2"/>
  <c r="H660" i="2"/>
  <c r="H658" i="2"/>
  <c r="H656" i="2"/>
  <c r="H654" i="2"/>
  <c r="H652" i="2"/>
  <c r="H650" i="2"/>
  <c r="H648" i="2"/>
  <c r="H646" i="2"/>
  <c r="H644" i="2"/>
  <c r="H642" i="2"/>
  <c r="H640" i="2"/>
  <c r="H638" i="2"/>
  <c r="H636" i="2"/>
  <c r="H634" i="2"/>
  <c r="H632" i="2"/>
  <c r="H630" i="2"/>
  <c r="H628" i="2"/>
  <c r="H626" i="2"/>
  <c r="H624" i="2"/>
  <c r="H622" i="2"/>
  <c r="H620" i="2"/>
  <c r="H618" i="2"/>
  <c r="H616" i="2"/>
  <c r="H614" i="2"/>
  <c r="H612" i="2"/>
  <c r="H610" i="2"/>
  <c r="H608" i="2"/>
  <c r="H606" i="2"/>
  <c r="H604" i="2"/>
  <c r="H602" i="2"/>
  <c r="H600" i="2"/>
  <c r="H598" i="2"/>
  <c r="H596" i="2"/>
  <c r="H594" i="2"/>
  <c r="H592" i="2"/>
  <c r="H590" i="2"/>
  <c r="H588" i="2"/>
  <c r="H586" i="2"/>
  <c r="H584" i="2"/>
  <c r="H582" i="2"/>
  <c r="H580" i="2"/>
  <c r="H578" i="2"/>
  <c r="H576" i="2"/>
  <c r="H574" i="2"/>
  <c r="H572" i="2"/>
  <c r="H570" i="2"/>
  <c r="H568" i="2"/>
  <c r="H566" i="2"/>
  <c r="H564" i="2"/>
  <c r="H562" i="2"/>
  <c r="J560" i="2"/>
  <c r="O558" i="2"/>
  <c r="E557" i="2"/>
  <c r="G555" i="2"/>
  <c r="I553" i="2"/>
  <c r="M551" i="2"/>
  <c r="P549" i="2"/>
  <c r="F548" i="2"/>
  <c r="H546" i="2"/>
  <c r="J544" i="2"/>
  <c r="O542" i="2"/>
  <c r="E541" i="2"/>
  <c r="G539" i="2"/>
  <c r="I537" i="2"/>
  <c r="M535" i="2"/>
  <c r="P533" i="2"/>
  <c r="F532" i="2"/>
  <c r="H530" i="2"/>
  <c r="J528" i="2"/>
  <c r="O526" i="2"/>
  <c r="E525" i="2"/>
  <c r="G523" i="2"/>
  <c r="I521" i="2"/>
  <c r="M519" i="2"/>
  <c r="P517" i="2"/>
  <c r="F516" i="2"/>
  <c r="H514" i="2"/>
  <c r="J512" i="2"/>
  <c r="O510" i="2"/>
  <c r="E509" i="2"/>
  <c r="G507" i="2"/>
  <c r="I505" i="2"/>
  <c r="M503" i="2"/>
  <c r="P501" i="2"/>
  <c r="F500" i="2"/>
  <c r="H498" i="2"/>
  <c r="J496" i="2"/>
  <c r="O494" i="2"/>
  <c r="E493" i="2"/>
  <c r="G491" i="2"/>
  <c r="I489" i="2"/>
  <c r="M487" i="2"/>
  <c r="P485" i="2"/>
  <c r="F484" i="2"/>
  <c r="H482" i="2"/>
  <c r="J480" i="2"/>
  <c r="O478" i="2"/>
  <c r="E477" i="2"/>
  <c r="G475" i="2"/>
  <c r="I473" i="2"/>
  <c r="M471" i="2"/>
  <c r="P469" i="2"/>
  <c r="F468" i="2"/>
  <c r="H466" i="2"/>
  <c r="J464" i="2"/>
  <c r="O462" i="2"/>
  <c r="E461" i="2"/>
  <c r="G459" i="2"/>
  <c r="I457" i="2"/>
  <c r="M455" i="2"/>
  <c r="P453" i="2"/>
  <c r="F452" i="2"/>
  <c r="H450" i="2"/>
  <c r="J448" i="2"/>
  <c r="O446" i="2"/>
  <c r="G445" i="2"/>
  <c r="K443" i="2"/>
  <c r="E442" i="2"/>
  <c r="I440" i="2"/>
  <c r="O438" i="2"/>
  <c r="G437" i="2"/>
  <c r="K435" i="2"/>
  <c r="E434" i="2"/>
  <c r="I432" i="2"/>
  <c r="O430" i="2"/>
  <c r="G429" i="2"/>
  <c r="K427" i="2"/>
  <c r="E426" i="2"/>
  <c r="I424" i="2"/>
  <c r="O422" i="2"/>
  <c r="G421" i="2"/>
  <c r="K419" i="2"/>
  <c r="E418" i="2"/>
  <c r="I416" i="2"/>
  <c r="O414" i="2"/>
  <c r="G413" i="2"/>
  <c r="M411" i="2"/>
  <c r="G410" i="2"/>
  <c r="O408" i="2"/>
  <c r="H407" i="2"/>
  <c r="P405" i="2"/>
  <c r="I404" i="2"/>
  <c r="B403" i="2"/>
  <c r="J401" i="2"/>
  <c r="E400" i="2"/>
  <c r="K398" i="2"/>
  <c r="F397" i="2"/>
  <c r="M395" i="2"/>
  <c r="G394" i="2"/>
  <c r="O392" i="2"/>
  <c r="H391" i="2"/>
  <c r="P389" i="2"/>
  <c r="I388" i="2"/>
  <c r="B387" i="2"/>
  <c r="J385" i="2"/>
  <c r="E384" i="2"/>
  <c r="K382" i="2"/>
  <c r="F381" i="2"/>
  <c r="O379" i="2"/>
  <c r="J378" i="2"/>
  <c r="F377" i="2"/>
  <c r="O375" i="2"/>
  <c r="J374" i="2"/>
  <c r="F373" i="2"/>
  <c r="O371" i="2"/>
  <c r="J370" i="2"/>
  <c r="F369" i="2"/>
  <c r="O367" i="2"/>
  <c r="J366" i="2"/>
  <c r="G365" i="2"/>
  <c r="C364" i="2"/>
  <c r="O362" i="2"/>
  <c r="K361" i="2"/>
  <c r="H360" i="2"/>
  <c r="E359" i="2"/>
  <c r="P357" i="2"/>
  <c r="M356" i="2"/>
  <c r="K355" i="2"/>
  <c r="I354" i="2"/>
  <c r="G353" i="2"/>
  <c r="E352" i="2"/>
  <c r="B351" i="2"/>
  <c r="O349" i="2"/>
  <c r="N348" i="2"/>
  <c r="M347" i="2"/>
  <c r="L346" i="2"/>
  <c r="K345" i="2"/>
  <c r="J344" i="2"/>
  <c r="I343" i="2"/>
  <c r="H342" i="2"/>
  <c r="G341" i="2"/>
  <c r="F340" i="2"/>
  <c r="E339" i="2"/>
  <c r="C338" i="2"/>
  <c r="B337" i="2"/>
  <c r="A336" i="2"/>
  <c r="P334" i="2"/>
  <c r="O333" i="2"/>
  <c r="N332" i="2"/>
  <c r="M331" i="2"/>
  <c r="L330" i="2"/>
  <c r="K329" i="2"/>
  <c r="J328" i="2"/>
  <c r="I327" i="2"/>
  <c r="H326" i="2"/>
  <c r="G325" i="2"/>
  <c r="F324" i="2"/>
  <c r="E323" i="2"/>
  <c r="C322" i="2"/>
  <c r="B321" i="2"/>
  <c r="A320" i="2"/>
  <c r="P318" i="2"/>
  <c r="O317" i="2"/>
  <c r="O316" i="2"/>
  <c r="O315" i="2"/>
  <c r="O314" i="2"/>
  <c r="O313" i="2"/>
  <c r="O312" i="2"/>
  <c r="O311" i="2"/>
  <c r="O310" i="2"/>
  <c r="O309" i="2"/>
  <c r="O308" i="2"/>
  <c r="O307" i="2"/>
  <c r="O306" i="2"/>
  <c r="O305" i="2"/>
  <c r="O304" i="2"/>
  <c r="O303" i="2"/>
  <c r="O302" i="2"/>
  <c r="O301" i="2"/>
  <c r="O300" i="2"/>
  <c r="O299" i="2"/>
  <c r="O298" i="2"/>
  <c r="O297" i="2"/>
  <c r="O296" i="2"/>
  <c r="O295" i="2"/>
  <c r="O294" i="2"/>
  <c r="O293" i="2"/>
  <c r="O292" i="2"/>
  <c r="O291" i="2"/>
  <c r="O290" i="2"/>
  <c r="O289" i="2"/>
  <c r="O288" i="2"/>
  <c r="O287" i="2"/>
  <c r="O286" i="2"/>
  <c r="O285" i="2"/>
  <c r="O284" i="2"/>
  <c r="O283" i="2"/>
  <c r="O282" i="2"/>
  <c r="O281" i="2"/>
  <c r="O280" i="2"/>
  <c r="O279" i="2"/>
  <c r="O278" i="2"/>
  <c r="O277" i="2"/>
  <c r="O276" i="2"/>
  <c r="O275" i="2"/>
  <c r="O274" i="2"/>
  <c r="O273" i="2"/>
  <c r="O272" i="2"/>
  <c r="O271" i="2"/>
  <c r="O270" i="2"/>
  <c r="O269" i="2"/>
  <c r="O268" i="2"/>
  <c r="O267" i="2"/>
  <c r="O266" i="2"/>
  <c r="O265" i="2"/>
  <c r="O264" i="2"/>
  <c r="O263" i="2"/>
  <c r="O262" i="2"/>
  <c r="O261" i="2"/>
  <c r="O260" i="2"/>
  <c r="O259" i="2"/>
  <c r="O258" i="2"/>
  <c r="O257" i="2"/>
  <c r="O256" i="2"/>
  <c r="O255" i="2"/>
  <c r="O254" i="2"/>
  <c r="O253" i="2"/>
  <c r="O252" i="2"/>
  <c r="O251" i="2"/>
  <c r="O250" i="2"/>
  <c r="O249" i="2"/>
  <c r="O248" i="2"/>
  <c r="O247" i="2"/>
  <c r="O246" i="2"/>
  <c r="O245" i="2"/>
  <c r="O244" i="2"/>
  <c r="O243" i="2"/>
  <c r="O242" i="2"/>
  <c r="O241" i="2"/>
  <c r="O240" i="2"/>
  <c r="O239" i="2"/>
  <c r="O238" i="2"/>
  <c r="O237" i="2"/>
  <c r="O236" i="2"/>
  <c r="O235" i="2"/>
  <c r="O234" i="2"/>
  <c r="O233" i="2"/>
  <c r="O232" i="2"/>
  <c r="O231" i="2"/>
  <c r="O230" i="2"/>
  <c r="O229" i="2"/>
  <c r="O228" i="2"/>
  <c r="O227" i="2"/>
  <c r="O226" i="2"/>
  <c r="O225" i="2"/>
  <c r="O224" i="2"/>
  <c r="O223" i="2"/>
  <c r="O222" i="2"/>
  <c r="O221" i="2"/>
  <c r="O220" i="2"/>
  <c r="O219" i="2"/>
  <c r="O218" i="2"/>
  <c r="O217" i="2"/>
  <c r="O216" i="2"/>
  <c r="O215" i="2"/>
  <c r="O214" i="2"/>
  <c r="O213" i="2"/>
  <c r="O212" i="2"/>
  <c r="O211" i="2"/>
  <c r="O210" i="2"/>
  <c r="O209" i="2"/>
  <c r="O208" i="2"/>
  <c r="O207" i="2"/>
  <c r="O206" i="2"/>
  <c r="O205" i="2"/>
  <c r="O204" i="2"/>
  <c r="O203" i="2"/>
  <c r="O202" i="2"/>
  <c r="O201" i="2"/>
  <c r="O200" i="2"/>
  <c r="O199" i="2"/>
  <c r="O198" i="2"/>
  <c r="O197" i="2"/>
  <c r="O196" i="2"/>
  <c r="O195" i="2"/>
  <c r="O194" i="2"/>
  <c r="O193" i="2"/>
  <c r="O192" i="2"/>
  <c r="O191" i="2"/>
  <c r="O190" i="2"/>
  <c r="O189" i="2"/>
  <c r="O188" i="2"/>
  <c r="O187" i="2"/>
  <c r="O186" i="2"/>
  <c r="O185" i="2"/>
  <c r="O184" i="2"/>
  <c r="O183" i="2"/>
  <c r="O182" i="2"/>
  <c r="O181" i="2"/>
  <c r="O180" i="2"/>
  <c r="O179" i="2"/>
  <c r="O178" i="2"/>
  <c r="O177" i="2"/>
  <c r="O176" i="2"/>
  <c r="O175" i="2"/>
  <c r="O174" i="2"/>
  <c r="O173" i="2"/>
  <c r="O172" i="2"/>
  <c r="O171" i="2"/>
  <c r="O170" i="2"/>
  <c r="O169" i="2"/>
  <c r="O168" i="2"/>
  <c r="O167" i="2"/>
  <c r="O166" i="2"/>
  <c r="O165" i="2"/>
  <c r="O164" i="2"/>
  <c r="O163" i="2"/>
  <c r="O162" i="2"/>
  <c r="O161" i="2"/>
  <c r="O160" i="2"/>
  <c r="O159" i="2"/>
  <c r="O158" i="2"/>
  <c r="O157" i="2"/>
  <c r="O156" i="2"/>
  <c r="O155" i="2"/>
  <c r="O154" i="2"/>
  <c r="O153" i="2"/>
  <c r="O152" i="2"/>
  <c r="O151" i="2"/>
  <c r="O150" i="2"/>
  <c r="O149" i="2"/>
  <c r="O148" i="2"/>
  <c r="O147" i="2"/>
  <c r="O146" i="2"/>
  <c r="O145" i="2"/>
  <c r="O144" i="2"/>
  <c r="O143" i="2"/>
  <c r="O142" i="2"/>
  <c r="O141" i="2"/>
  <c r="O140" i="2"/>
  <c r="O139" i="2"/>
  <c r="O138" i="2"/>
  <c r="O137" i="2"/>
  <c r="O136" i="2"/>
  <c r="O135" i="2"/>
  <c r="O134" i="2"/>
  <c r="O133" i="2"/>
  <c r="O132" i="2"/>
  <c r="O131" i="2"/>
  <c r="O130" i="2"/>
  <c r="O129" i="2"/>
  <c r="O128" i="2"/>
  <c r="O127" i="2"/>
  <c r="O126" i="2"/>
  <c r="O125" i="2"/>
  <c r="O124" i="2"/>
  <c r="O123" i="2"/>
  <c r="O122" i="2"/>
  <c r="O121" i="2"/>
  <c r="O120" i="2"/>
  <c r="O119" i="2"/>
  <c r="O118" i="2"/>
  <c r="O117" i="2"/>
  <c r="O116" i="2"/>
  <c r="O115" i="2"/>
  <c r="O114" i="2"/>
  <c r="O113" i="2"/>
  <c r="O112" i="2"/>
  <c r="O111" i="2"/>
  <c r="O110" i="2"/>
  <c r="O109" i="2"/>
  <c r="O108" i="2"/>
  <c r="O107" i="2"/>
  <c r="O106" i="2"/>
  <c r="O105" i="2"/>
  <c r="O104" i="2"/>
  <c r="O103" i="2"/>
  <c r="O102" i="2"/>
  <c r="O101" i="2"/>
  <c r="O100" i="2"/>
  <c r="O99" i="2"/>
  <c r="O98" i="2"/>
  <c r="O97" i="2"/>
  <c r="O96" i="2"/>
  <c r="O95" i="2"/>
  <c r="O94" i="2"/>
  <c r="O93" i="2"/>
  <c r="O92" i="2"/>
  <c r="O91" i="2"/>
  <c r="O90" i="2"/>
  <c r="O89" i="2"/>
  <c r="O88" i="2"/>
  <c r="O87" i="2"/>
  <c r="O86" i="2"/>
  <c r="O85" i="2"/>
  <c r="O84" i="2"/>
  <c r="O83" i="2"/>
  <c r="O82" i="2"/>
  <c r="O81" i="2"/>
  <c r="O80" i="2"/>
  <c r="O79" i="2"/>
  <c r="O78" i="2"/>
  <c r="O77" i="2"/>
  <c r="O76" i="2"/>
  <c r="O75" i="2"/>
  <c r="O74" i="2"/>
  <c r="O73" i="2"/>
  <c r="O72" i="2"/>
  <c r="O71" i="2"/>
  <c r="O70" i="2"/>
  <c r="O69" i="2"/>
  <c r="O68" i="2"/>
  <c r="O67" i="2"/>
  <c r="O66" i="2"/>
  <c r="O65" i="2"/>
  <c r="O64" i="2"/>
  <c r="O63" i="2"/>
  <c r="O62" i="2"/>
  <c r="O61" i="2"/>
  <c r="O60" i="2"/>
  <c r="O59" i="2"/>
  <c r="O58" i="2"/>
  <c r="O57" i="2"/>
  <c r="O56" i="2"/>
  <c r="O55" i="2"/>
  <c r="O54" i="2"/>
  <c r="O53" i="2"/>
  <c r="O52" i="2"/>
  <c r="O51" i="2"/>
  <c r="O50" i="2"/>
  <c r="O49" i="2"/>
  <c r="O48" i="2"/>
  <c r="O47" i="2"/>
  <c r="O46" i="2"/>
  <c r="O45" i="2"/>
  <c r="O44" i="2"/>
  <c r="O43" i="2"/>
  <c r="O42" i="2"/>
  <c r="O41" i="2"/>
  <c r="O40" i="2"/>
  <c r="O39" i="2"/>
  <c r="O38" i="2"/>
  <c r="O37" i="2"/>
  <c r="O36" i="2"/>
  <c r="O35" i="2"/>
  <c r="O34" i="2"/>
  <c r="O33" i="2"/>
  <c r="O32" i="2"/>
  <c r="O31" i="2"/>
  <c r="O30" i="2"/>
  <c r="O29" i="2"/>
  <c r="O28" i="2"/>
  <c r="O27" i="2"/>
  <c r="O26" i="2"/>
  <c r="O25" i="2"/>
  <c r="O24" i="2"/>
  <c r="O23" i="2"/>
  <c r="O22" i="2"/>
  <c r="O21" i="2"/>
  <c r="O20" i="2"/>
  <c r="O19" i="2"/>
  <c r="O18" i="2"/>
  <c r="O17" i="2"/>
  <c r="O16" i="2"/>
  <c r="O15" i="2"/>
  <c r="O14" i="2"/>
  <c r="P1188" i="2"/>
  <c r="L1159" i="2"/>
  <c r="O1133" i="2"/>
  <c r="P1108" i="2"/>
  <c r="L1082" i="2"/>
  <c r="G1056" i="2"/>
  <c r="P1042" i="2"/>
  <c r="G1028" i="2"/>
  <c r="E1014" i="2"/>
  <c r="M998" i="2"/>
  <c r="H1188" i="2"/>
  <c r="F1156" i="2"/>
  <c r="P1132" i="2"/>
  <c r="F1107" i="2"/>
  <c r="D1082" i="2"/>
  <c r="F1056" i="2"/>
  <c r="G1040" i="2"/>
  <c r="E1027" i="2"/>
  <c r="E1013" i="2"/>
  <c r="G998" i="2"/>
  <c r="N982" i="2"/>
  <c r="M970" i="2"/>
  <c r="G956" i="2"/>
  <c r="E942" i="2"/>
  <c r="N926" i="2"/>
  <c r="B914" i="2"/>
  <c r="H902" i="2"/>
  <c r="F891" i="2"/>
  <c r="O880" i="2"/>
  <c r="A872" i="2"/>
  <c r="I865" i="2"/>
  <c r="G858" i="2"/>
  <c r="D852" i="2"/>
  <c r="E845" i="2"/>
  <c r="M838" i="2"/>
  <c r="F833" i="2"/>
  <c r="D827" i="2"/>
  <c r="E820" i="2"/>
  <c r="F813" i="2"/>
  <c r="M807" i="2"/>
  <c r="H801" i="2"/>
  <c r="E795" i="2"/>
  <c r="F789" i="2"/>
  <c r="D784" i="2"/>
  <c r="I779" i="2"/>
  <c r="H774" i="2"/>
  <c r="P768" i="2"/>
  <c r="I764" i="2"/>
  <c r="C760" i="2"/>
  <c r="C755" i="2"/>
  <c r="M750" i="2"/>
  <c r="F746" i="2"/>
  <c r="M742" i="2"/>
  <c r="K738" i="2"/>
  <c r="F735" i="2"/>
  <c r="M730" i="2"/>
  <c r="G727" i="2"/>
  <c r="F723" i="2"/>
  <c r="H719" i="2"/>
  <c r="I715" i="2"/>
  <c r="E712" i="2"/>
  <c r="K709" i="2"/>
  <c r="E707" i="2"/>
  <c r="M704" i="2"/>
  <c r="P701" i="2"/>
  <c r="G699" i="2"/>
  <c r="C697" i="2"/>
  <c r="H694" i="2"/>
  <c r="B692" i="2"/>
  <c r="M689" i="2"/>
  <c r="I687" i="2"/>
  <c r="N684" i="2"/>
  <c r="G682" i="2"/>
  <c r="F680" i="2"/>
  <c r="F678" i="2"/>
  <c r="F676" i="2"/>
  <c r="F674" i="2"/>
  <c r="F672" i="2"/>
  <c r="F670" i="2"/>
  <c r="F668" i="2"/>
  <c r="F666" i="2"/>
  <c r="F664" i="2"/>
  <c r="F662" i="2"/>
  <c r="F660" i="2"/>
  <c r="F658" i="2"/>
  <c r="F656" i="2"/>
  <c r="F654" i="2"/>
  <c r="F652" i="2"/>
  <c r="F650" i="2"/>
  <c r="F648" i="2"/>
  <c r="F646" i="2"/>
  <c r="F644" i="2"/>
  <c r="F642" i="2"/>
  <c r="F640" i="2"/>
  <c r="F638" i="2"/>
  <c r="F636" i="2"/>
  <c r="F634" i="2"/>
  <c r="F632" i="2"/>
  <c r="F630" i="2"/>
  <c r="F628" i="2"/>
  <c r="F626" i="2"/>
  <c r="F624" i="2"/>
  <c r="F622" i="2"/>
  <c r="F620" i="2"/>
  <c r="F618" i="2"/>
  <c r="F616" i="2"/>
  <c r="F614" i="2"/>
  <c r="F612" i="2"/>
  <c r="F610" i="2"/>
  <c r="F608" i="2"/>
  <c r="F606" i="2"/>
  <c r="F604" i="2"/>
  <c r="F602" i="2"/>
  <c r="F600" i="2"/>
  <c r="F598" i="2"/>
  <c r="F596" i="2"/>
  <c r="F594" i="2"/>
  <c r="F592" i="2"/>
  <c r="F590" i="2"/>
  <c r="F588" i="2"/>
  <c r="F586" i="2"/>
  <c r="F584" i="2"/>
  <c r="F582" i="2"/>
  <c r="F580" i="2"/>
  <c r="F578" i="2"/>
  <c r="F576" i="2"/>
  <c r="F574" i="2"/>
  <c r="F572" i="2"/>
  <c r="F570" i="2"/>
  <c r="F568" i="2"/>
  <c r="F566" i="2"/>
  <c r="F564" i="2"/>
  <c r="F562" i="2"/>
  <c r="H560" i="2"/>
  <c r="J558" i="2"/>
  <c r="O556" i="2"/>
  <c r="E555" i="2"/>
  <c r="G553" i="2"/>
  <c r="I551" i="2"/>
  <c r="M549" i="2"/>
  <c r="P547" i="2"/>
  <c r="F546" i="2"/>
  <c r="H544" i="2"/>
  <c r="J542" i="2"/>
  <c r="O540" i="2"/>
  <c r="E539" i="2"/>
  <c r="G537" i="2"/>
  <c r="I535" i="2"/>
  <c r="M533" i="2"/>
  <c r="P531" i="2"/>
  <c r="F530" i="2"/>
  <c r="H528" i="2"/>
  <c r="J526" i="2"/>
  <c r="O524" i="2"/>
  <c r="E523" i="2"/>
  <c r="G521" i="2"/>
  <c r="I519" i="2"/>
  <c r="M517" i="2"/>
  <c r="P515" i="2"/>
  <c r="F514" i="2"/>
  <c r="H512" i="2"/>
  <c r="J510" i="2"/>
  <c r="O508" i="2"/>
  <c r="E507" i="2"/>
  <c r="G505" i="2"/>
  <c r="I503" i="2"/>
  <c r="M501" i="2"/>
  <c r="P499" i="2"/>
  <c r="F498" i="2"/>
  <c r="H496" i="2"/>
  <c r="J494" i="2"/>
  <c r="O492" i="2"/>
  <c r="E491" i="2"/>
  <c r="G489" i="2"/>
  <c r="I487" i="2"/>
  <c r="M485" i="2"/>
  <c r="P483" i="2"/>
  <c r="F482" i="2"/>
  <c r="H480" i="2"/>
  <c r="J478" i="2"/>
  <c r="O476" i="2"/>
  <c r="E475" i="2"/>
  <c r="G473" i="2"/>
  <c r="I471" i="2"/>
  <c r="M469" i="2"/>
  <c r="P467" i="2"/>
  <c r="F466" i="2"/>
  <c r="H464" i="2"/>
  <c r="J462" i="2"/>
  <c r="O460" i="2"/>
  <c r="E459" i="2"/>
  <c r="G457" i="2"/>
  <c r="I455" i="2"/>
  <c r="M453" i="2"/>
  <c r="P451" i="2"/>
  <c r="F450" i="2"/>
  <c r="H448" i="2"/>
  <c r="K446" i="2"/>
  <c r="E445" i="2"/>
  <c r="I443" i="2"/>
  <c r="O441" i="2"/>
  <c r="G440" i="2"/>
  <c r="K438" i="2"/>
  <c r="E437" i="2"/>
  <c r="I435" i="2"/>
  <c r="O433" i="2"/>
  <c r="G432" i="2"/>
  <c r="K430" i="2"/>
  <c r="E429" i="2"/>
  <c r="I427" i="2"/>
  <c r="O425" i="2"/>
  <c r="G424" i="2"/>
  <c r="K422" i="2"/>
  <c r="E421" i="2"/>
  <c r="I419" i="2"/>
  <c r="O417" i="2"/>
  <c r="G416" i="2"/>
  <c r="K414" i="2"/>
  <c r="E413" i="2"/>
  <c r="J411" i="2"/>
  <c r="E410" i="2"/>
  <c r="K408" i="2"/>
  <c r="F407" i="2"/>
  <c r="M405" i="2"/>
  <c r="G404" i="2"/>
  <c r="O402" i="2"/>
  <c r="H401" i="2"/>
  <c r="P399" i="2"/>
  <c r="I398" i="2"/>
  <c r="B397" i="2"/>
  <c r="J395" i="2"/>
  <c r="E394" i="2"/>
  <c r="K392" i="2"/>
  <c r="F391" i="2"/>
  <c r="M389" i="2"/>
  <c r="G388" i="2"/>
  <c r="O386" i="2"/>
  <c r="H385" i="2"/>
  <c r="P383" i="2"/>
  <c r="I382" i="2"/>
  <c r="B381" i="2"/>
  <c r="L379" i="2"/>
  <c r="H378" i="2"/>
  <c r="B377" i="2"/>
  <c r="L375" i="2"/>
  <c r="H374" i="2"/>
  <c r="B373" i="2"/>
  <c r="L371" i="2"/>
  <c r="H370" i="2"/>
  <c r="B369" i="2"/>
  <c r="L367" i="2"/>
  <c r="H366" i="2"/>
  <c r="E365" i="2"/>
  <c r="P363" i="2"/>
  <c r="L362" i="2"/>
  <c r="I361" i="2"/>
  <c r="F360" i="2"/>
  <c r="B359" i="2"/>
  <c r="M357" i="2"/>
  <c r="K356" i="2"/>
  <c r="I355" i="2"/>
  <c r="G354" i="2"/>
  <c r="E353" i="2"/>
  <c r="B352" i="2"/>
  <c r="O350" i="2"/>
  <c r="M349" i="2"/>
  <c r="L348" i="2"/>
  <c r="K347" i="2"/>
  <c r="J346" i="2"/>
  <c r="I345" i="2"/>
  <c r="H344" i="2"/>
  <c r="G343" i="2"/>
  <c r="F342" i="2"/>
  <c r="E341" i="2"/>
  <c r="C340" i="2"/>
  <c r="B339" i="2"/>
  <c r="A338" i="2"/>
  <c r="P336" i="2"/>
  <c r="O335" i="2"/>
  <c r="N334" i="2"/>
  <c r="M333" i="2"/>
  <c r="L332" i="2"/>
  <c r="K331" i="2"/>
  <c r="J330" i="2"/>
  <c r="I329" i="2"/>
  <c r="H328" i="2"/>
  <c r="G327" i="2"/>
  <c r="F326" i="2"/>
  <c r="E325" i="2"/>
  <c r="C324" i="2"/>
  <c r="B323" i="2"/>
  <c r="A322" i="2"/>
  <c r="P320" i="2"/>
  <c r="O319" i="2"/>
  <c r="N318" i="2"/>
  <c r="M317" i="2"/>
  <c r="M316" i="2"/>
  <c r="M315" i="2"/>
  <c r="M314" i="2"/>
  <c r="M313" i="2"/>
  <c r="M312" i="2"/>
  <c r="M311" i="2"/>
  <c r="M310" i="2"/>
  <c r="M309" i="2"/>
  <c r="M308" i="2"/>
  <c r="M307" i="2"/>
  <c r="M306" i="2"/>
  <c r="M305" i="2"/>
  <c r="M304" i="2"/>
  <c r="M303" i="2"/>
  <c r="M302" i="2"/>
  <c r="M301" i="2"/>
  <c r="M300" i="2"/>
  <c r="M299" i="2"/>
  <c r="M298" i="2"/>
  <c r="M297" i="2"/>
  <c r="M296" i="2"/>
  <c r="M295" i="2"/>
  <c r="M294" i="2"/>
  <c r="M293" i="2"/>
  <c r="M292" i="2"/>
  <c r="M291" i="2"/>
  <c r="M290" i="2"/>
  <c r="M289" i="2"/>
  <c r="M288" i="2"/>
  <c r="M287" i="2"/>
  <c r="M286" i="2"/>
  <c r="M285" i="2"/>
  <c r="M284" i="2"/>
  <c r="M283" i="2"/>
  <c r="M282" i="2"/>
  <c r="M281" i="2"/>
  <c r="M280" i="2"/>
  <c r="M279" i="2"/>
  <c r="M278" i="2"/>
  <c r="M277" i="2"/>
  <c r="M276" i="2"/>
  <c r="M275" i="2"/>
  <c r="M274" i="2"/>
  <c r="M273" i="2"/>
  <c r="M272" i="2"/>
  <c r="M271" i="2"/>
  <c r="M270" i="2"/>
  <c r="M269" i="2"/>
  <c r="M268" i="2"/>
  <c r="M267" i="2"/>
  <c r="M266" i="2"/>
  <c r="M265" i="2"/>
  <c r="M264" i="2"/>
  <c r="M263" i="2"/>
  <c r="M262" i="2"/>
  <c r="M261" i="2"/>
  <c r="M260" i="2"/>
  <c r="M259" i="2"/>
  <c r="M258" i="2"/>
  <c r="M257" i="2"/>
  <c r="M256" i="2"/>
  <c r="M255" i="2"/>
  <c r="M254" i="2"/>
  <c r="M253" i="2"/>
  <c r="M252" i="2"/>
  <c r="M251" i="2"/>
  <c r="M250" i="2"/>
  <c r="M249" i="2"/>
  <c r="M248" i="2"/>
  <c r="M247" i="2"/>
  <c r="M246" i="2"/>
  <c r="M245" i="2"/>
  <c r="M244" i="2"/>
  <c r="M243" i="2"/>
  <c r="M242" i="2"/>
  <c r="M241" i="2"/>
  <c r="M240" i="2"/>
  <c r="M239" i="2"/>
  <c r="M238" i="2"/>
  <c r="M237" i="2"/>
  <c r="M236" i="2"/>
  <c r="M235" i="2"/>
  <c r="M234" i="2"/>
  <c r="M233" i="2"/>
  <c r="M232" i="2"/>
  <c r="M231" i="2"/>
  <c r="M230" i="2"/>
  <c r="M229" i="2"/>
  <c r="M228" i="2"/>
  <c r="M227" i="2"/>
  <c r="M226" i="2"/>
  <c r="M225" i="2"/>
  <c r="M224" i="2"/>
  <c r="M223" i="2"/>
  <c r="M222" i="2"/>
  <c r="M221" i="2"/>
  <c r="M220" i="2"/>
  <c r="M219" i="2"/>
  <c r="M218" i="2"/>
  <c r="M217" i="2"/>
  <c r="M216" i="2"/>
  <c r="M215" i="2"/>
  <c r="M214" i="2"/>
  <c r="M213" i="2"/>
  <c r="M212" i="2"/>
  <c r="M211" i="2"/>
  <c r="M210" i="2"/>
  <c r="M209" i="2"/>
  <c r="M208" i="2"/>
  <c r="M207" i="2"/>
  <c r="M206" i="2"/>
  <c r="M205" i="2"/>
  <c r="M204" i="2"/>
  <c r="M203" i="2"/>
  <c r="M202" i="2"/>
  <c r="M201" i="2"/>
  <c r="M200" i="2"/>
  <c r="M199" i="2"/>
  <c r="M198" i="2"/>
  <c r="M197" i="2"/>
  <c r="M196" i="2"/>
  <c r="M195" i="2"/>
  <c r="M194" i="2"/>
  <c r="M193" i="2"/>
  <c r="M192" i="2"/>
  <c r="M191" i="2"/>
  <c r="M190" i="2"/>
  <c r="M189" i="2"/>
  <c r="M188" i="2"/>
  <c r="M187" i="2"/>
  <c r="M186" i="2"/>
  <c r="M185" i="2"/>
  <c r="M184" i="2"/>
  <c r="M183" i="2"/>
  <c r="M182" i="2"/>
  <c r="M181" i="2"/>
  <c r="M180" i="2"/>
  <c r="M179" i="2"/>
  <c r="M178" i="2"/>
  <c r="M177" i="2"/>
  <c r="M176" i="2"/>
  <c r="M175" i="2"/>
  <c r="M174" i="2"/>
  <c r="M173" i="2"/>
  <c r="M172" i="2"/>
  <c r="M171" i="2"/>
  <c r="M170" i="2"/>
  <c r="M169" i="2"/>
  <c r="M168" i="2"/>
  <c r="M167" i="2"/>
  <c r="M166" i="2"/>
  <c r="M165" i="2"/>
  <c r="M164" i="2"/>
  <c r="M163" i="2"/>
  <c r="M162" i="2"/>
  <c r="M161" i="2"/>
  <c r="M160" i="2"/>
  <c r="M159" i="2"/>
  <c r="M158" i="2"/>
  <c r="M157" i="2"/>
  <c r="M156" i="2"/>
  <c r="M155" i="2"/>
  <c r="M154" i="2"/>
  <c r="M153" i="2"/>
  <c r="M152" i="2"/>
  <c r="M151" i="2"/>
  <c r="M150" i="2"/>
  <c r="M149" i="2"/>
  <c r="M148" i="2"/>
  <c r="M147" i="2"/>
  <c r="M146" i="2"/>
  <c r="M145" i="2"/>
  <c r="M144" i="2"/>
  <c r="M143" i="2"/>
  <c r="M142" i="2"/>
  <c r="M141" i="2"/>
  <c r="M140" i="2"/>
  <c r="M139" i="2"/>
  <c r="M138" i="2"/>
  <c r="M137" i="2"/>
  <c r="M136" i="2"/>
  <c r="M135" i="2"/>
  <c r="M134" i="2"/>
  <c r="M133" i="2"/>
  <c r="M132" i="2"/>
  <c r="M131" i="2"/>
  <c r="M130" i="2"/>
  <c r="M129" i="2"/>
  <c r="M128" i="2"/>
  <c r="M127" i="2"/>
  <c r="M126" i="2"/>
  <c r="M125" i="2"/>
  <c r="M124" i="2"/>
  <c r="M123" i="2"/>
  <c r="M122" i="2"/>
  <c r="M121" i="2"/>
  <c r="M120" i="2"/>
  <c r="M119" i="2"/>
  <c r="M118" i="2"/>
  <c r="M117" i="2"/>
  <c r="M116" i="2"/>
  <c r="M115" i="2"/>
  <c r="M114" i="2"/>
  <c r="M113" i="2"/>
  <c r="M112" i="2"/>
  <c r="M111" i="2"/>
  <c r="M110" i="2"/>
  <c r="M109" i="2"/>
  <c r="M108" i="2"/>
  <c r="M107" i="2"/>
  <c r="M106" i="2"/>
  <c r="M105" i="2"/>
  <c r="M104" i="2"/>
  <c r="M103" i="2"/>
  <c r="M102" i="2"/>
  <c r="M101" i="2"/>
  <c r="M100" i="2"/>
  <c r="M99" i="2"/>
  <c r="M98" i="2"/>
  <c r="M97" i="2"/>
  <c r="M96" i="2"/>
  <c r="M95" i="2"/>
  <c r="M94" i="2"/>
  <c r="M93" i="2"/>
  <c r="M92" i="2"/>
  <c r="M91" i="2"/>
  <c r="M90" i="2"/>
  <c r="M89" i="2"/>
  <c r="M88" i="2"/>
  <c r="M87" i="2"/>
  <c r="M86" i="2"/>
  <c r="M85" i="2"/>
  <c r="M84" i="2"/>
  <c r="M83" i="2"/>
  <c r="M82" i="2"/>
  <c r="M81" i="2"/>
  <c r="M80" i="2"/>
  <c r="M79" i="2"/>
  <c r="M78" i="2"/>
  <c r="M77" i="2"/>
  <c r="M76" i="2"/>
  <c r="M75" i="2"/>
  <c r="M74" i="2"/>
  <c r="M73" i="2"/>
  <c r="M72" i="2"/>
  <c r="M71" i="2"/>
  <c r="M70" i="2"/>
  <c r="M69" i="2"/>
  <c r="M68" i="2"/>
  <c r="M67" i="2"/>
  <c r="M66" i="2"/>
  <c r="M65" i="2"/>
  <c r="M64" i="2"/>
  <c r="M63" i="2"/>
  <c r="M62" i="2"/>
  <c r="M61" i="2"/>
  <c r="M60" i="2"/>
  <c r="M59" i="2"/>
  <c r="M58" i="2"/>
  <c r="M57" i="2"/>
  <c r="M56" i="2"/>
  <c r="M55" i="2"/>
  <c r="M54" i="2"/>
  <c r="M53" i="2"/>
  <c r="M52" i="2"/>
  <c r="M51" i="2"/>
  <c r="M50" i="2"/>
  <c r="M49" i="2"/>
  <c r="M48" i="2"/>
  <c r="M47" i="2"/>
  <c r="M46" i="2"/>
  <c r="M45" i="2"/>
  <c r="M44" i="2"/>
  <c r="M43" i="2"/>
  <c r="M42" i="2"/>
  <c r="M41" i="2"/>
  <c r="M40" i="2"/>
  <c r="M39" i="2"/>
  <c r="M38" i="2"/>
  <c r="M37" i="2"/>
  <c r="M36" i="2"/>
  <c r="M35" i="2"/>
  <c r="M34" i="2"/>
  <c r="M33" i="2"/>
  <c r="M32" i="2"/>
  <c r="M31" i="2"/>
  <c r="M30" i="2"/>
  <c r="M29" i="2"/>
  <c r="M28" i="2"/>
  <c r="M27" i="2"/>
  <c r="M26" i="2"/>
  <c r="M25" i="2"/>
  <c r="M24" i="2"/>
  <c r="M23" i="2"/>
  <c r="M22" i="2"/>
  <c r="M21" i="2"/>
  <c r="M20" i="2"/>
  <c r="M19" i="2"/>
  <c r="M18" i="2"/>
  <c r="M17" i="2"/>
  <c r="M16" i="2"/>
  <c r="M15" i="2"/>
  <c r="M14" i="2"/>
  <c r="N1187" i="2"/>
  <c r="D1156" i="2"/>
  <c r="N1128" i="2"/>
  <c r="F1105" i="2"/>
  <c r="L1080" i="2"/>
  <c r="N1055" i="2"/>
  <c r="N1038" i="2"/>
  <c r="M1026" i="2"/>
  <c r="G1012" i="2"/>
  <c r="E998" i="2"/>
  <c r="M982" i="2"/>
  <c r="G968" i="2"/>
  <c r="E955" i="2"/>
  <c r="E941" i="2"/>
  <c r="M926" i="2"/>
  <c r="M912" i="2"/>
  <c r="P901" i="2"/>
  <c r="M890" i="2"/>
  <c r="N880" i="2"/>
  <c r="P871" i="2"/>
  <c r="G864" i="2"/>
  <c r="E858" i="2"/>
  <c r="J1185" i="2"/>
  <c r="L1155" i="2"/>
  <c r="P1125" i="2"/>
  <c r="L1104" i="2"/>
  <c r="P1078" i="2"/>
  <c r="L1055" i="2"/>
  <c r="M1038" i="2"/>
  <c r="G1024" i="2"/>
  <c r="E1011" i="2"/>
  <c r="E997" i="2"/>
  <c r="G982" i="2"/>
  <c r="N966" i="2"/>
  <c r="M954" i="2"/>
  <c r="G940" i="2"/>
  <c r="H926" i="2"/>
  <c r="H912" i="2"/>
  <c r="E900" i="2"/>
  <c r="N889" i="2"/>
  <c r="D880" i="2"/>
  <c r="O871" i="2"/>
  <c r="H863" i="2"/>
  <c r="I857" i="2"/>
  <c r="F851" i="2"/>
  <c r="C845" i="2"/>
  <c r="D838" i="2"/>
  <c r="K831" i="2"/>
  <c r="E826" i="2"/>
  <c r="C820" i="2"/>
  <c r="D813" i="2"/>
  <c r="E806" i="2"/>
  <c r="K800" i="2"/>
  <c r="G794" i="2"/>
  <c r="D789" i="2"/>
  <c r="H783" i="2"/>
  <c r="F778" i="2"/>
  <c r="L773" i="2"/>
  <c r="L768" i="2"/>
  <c r="L763" i="2"/>
  <c r="G759" i="2"/>
  <c r="G754" i="2"/>
  <c r="E750" i="2"/>
  <c r="D746" i="2"/>
  <c r="E742" i="2"/>
  <c r="E738" i="2"/>
  <c r="K734" i="2"/>
  <c r="F730" i="2"/>
  <c r="M726" i="2"/>
  <c r="K722" i="2"/>
  <c r="F719" i="2"/>
  <c r="F715" i="2"/>
  <c r="P711" i="2"/>
  <c r="I709" i="2"/>
  <c r="C707" i="2"/>
  <c r="E704" i="2"/>
  <c r="I701" i="2"/>
  <c r="E699" i="2"/>
  <c r="J696" i="2"/>
  <c r="D694" i="2"/>
  <c r="P691" i="2"/>
  <c r="K689" i="2"/>
  <c r="A687" i="2"/>
  <c r="H684" i="2"/>
  <c r="E682" i="2"/>
  <c r="O679" i="2"/>
  <c r="O677" i="2"/>
  <c r="O675" i="2"/>
  <c r="O673" i="2"/>
  <c r="O671" i="2"/>
  <c r="O669" i="2"/>
  <c r="O667" i="2"/>
  <c r="O665" i="2"/>
  <c r="O663" i="2"/>
  <c r="O661" i="2"/>
  <c r="O659" i="2"/>
  <c r="O657" i="2"/>
  <c r="O655" i="2"/>
  <c r="O653" i="2"/>
  <c r="O651" i="2"/>
  <c r="O649" i="2"/>
  <c r="O647" i="2"/>
  <c r="O645" i="2"/>
  <c r="O643" i="2"/>
  <c r="O641" i="2"/>
  <c r="O639" i="2"/>
  <c r="O637" i="2"/>
  <c r="O635" i="2"/>
  <c r="O633" i="2"/>
  <c r="O631" i="2"/>
  <c r="O629" i="2"/>
  <c r="O627" i="2"/>
  <c r="O625" i="2"/>
  <c r="O623" i="2"/>
  <c r="O621" i="2"/>
  <c r="O619" i="2"/>
  <c r="O617" i="2"/>
  <c r="O615" i="2"/>
  <c r="O613" i="2"/>
  <c r="O611" i="2"/>
  <c r="O609" i="2"/>
  <c r="O607" i="2"/>
  <c r="O605" i="2"/>
  <c r="O603" i="2"/>
  <c r="O601" i="2"/>
  <c r="O599" i="2"/>
  <c r="O597" i="2"/>
  <c r="O595" i="2"/>
  <c r="O593" i="2"/>
  <c r="O591" i="2"/>
  <c r="O589" i="2"/>
  <c r="O587" i="2"/>
  <c r="O585" i="2"/>
  <c r="O583" i="2"/>
  <c r="O581" i="2"/>
  <c r="O579" i="2"/>
  <c r="O577" i="2"/>
  <c r="O575" i="2"/>
  <c r="O573" i="2"/>
  <c r="O571" i="2"/>
  <c r="O569" i="2"/>
  <c r="O567" i="2"/>
  <c r="O565" i="2"/>
  <c r="O563" i="2"/>
  <c r="P561" i="2"/>
  <c r="F560" i="2"/>
  <c r="H558" i="2"/>
  <c r="J556" i="2"/>
  <c r="O554" i="2"/>
  <c r="E553" i="2"/>
  <c r="G551" i="2"/>
  <c r="I549" i="2"/>
  <c r="M547" i="2"/>
  <c r="P545" i="2"/>
  <c r="F544" i="2"/>
  <c r="H542" i="2"/>
  <c r="J540" i="2"/>
  <c r="O538" i="2"/>
  <c r="E537" i="2"/>
  <c r="G535" i="2"/>
  <c r="I533" i="2"/>
  <c r="M531" i="2"/>
  <c r="P529" i="2"/>
  <c r="F528" i="2"/>
  <c r="H526" i="2"/>
  <c r="J524" i="2"/>
  <c r="O522" i="2"/>
  <c r="E521" i="2"/>
  <c r="G519" i="2"/>
  <c r="I517" i="2"/>
  <c r="M515" i="2"/>
  <c r="P513" i="2"/>
  <c r="F512" i="2"/>
  <c r="H510" i="2"/>
  <c r="J508" i="2"/>
  <c r="O506" i="2"/>
  <c r="E505" i="2"/>
  <c r="G503" i="2"/>
  <c r="I501" i="2"/>
  <c r="M499" i="2"/>
  <c r="P497" i="2"/>
  <c r="F496" i="2"/>
  <c r="H494" i="2"/>
  <c r="J492" i="2"/>
  <c r="O490" i="2"/>
  <c r="E489" i="2"/>
  <c r="G487" i="2"/>
  <c r="I485" i="2"/>
  <c r="M483" i="2"/>
  <c r="P481" i="2"/>
  <c r="F480" i="2"/>
  <c r="H478" i="2"/>
  <c r="J476" i="2"/>
  <c r="O474" i="2"/>
  <c r="E473" i="2"/>
  <c r="G471" i="2"/>
  <c r="I469" i="2"/>
  <c r="M467" i="2"/>
  <c r="P465" i="2"/>
  <c r="F464" i="2"/>
  <c r="H462" i="2"/>
  <c r="J460" i="2"/>
  <c r="O458" i="2"/>
  <c r="E457" i="2"/>
  <c r="G455" i="2"/>
  <c r="I453" i="2"/>
  <c r="M451" i="2"/>
  <c r="P449" i="2"/>
  <c r="F448" i="2"/>
  <c r="I446" i="2"/>
  <c r="O444" i="2"/>
  <c r="G443" i="2"/>
  <c r="K441" i="2"/>
  <c r="E440" i="2"/>
  <c r="I438" i="2"/>
  <c r="O436" i="2"/>
  <c r="G435" i="2"/>
  <c r="K433" i="2"/>
  <c r="E432" i="2"/>
  <c r="I430" i="2"/>
  <c r="O428" i="2"/>
  <c r="G427" i="2"/>
  <c r="K425" i="2"/>
  <c r="E424" i="2"/>
  <c r="I422" i="2"/>
  <c r="O420" i="2"/>
  <c r="G419" i="2"/>
  <c r="K417" i="2"/>
  <c r="E416" i="2"/>
  <c r="I414" i="2"/>
  <c r="O412" i="2"/>
  <c r="H411" i="2"/>
  <c r="P409" i="2"/>
  <c r="I408" i="2"/>
  <c r="B407" i="2"/>
  <c r="J405" i="2"/>
  <c r="E404" i="2"/>
  <c r="K402" i="2"/>
  <c r="F401" i="2"/>
  <c r="M399" i="2"/>
  <c r="G398" i="2"/>
  <c r="O396" i="2"/>
  <c r="H395" i="2"/>
  <c r="P393" i="2"/>
  <c r="I392" i="2"/>
  <c r="B391" i="2"/>
  <c r="J389" i="2"/>
  <c r="E388" i="2"/>
  <c r="K386" i="2"/>
  <c r="F385" i="2"/>
  <c r="M383" i="2"/>
  <c r="G382" i="2"/>
  <c r="O380" i="2"/>
  <c r="J379" i="2"/>
  <c r="F378" i="2"/>
  <c r="O376" i="2"/>
  <c r="J375" i="2"/>
  <c r="F374" i="2"/>
  <c r="O372" i="2"/>
  <c r="J371" i="2"/>
  <c r="F370" i="2"/>
  <c r="O368" i="2"/>
  <c r="J367" i="2"/>
  <c r="F366" i="2"/>
  <c r="B365" i="2"/>
  <c r="M363" i="2"/>
  <c r="J362" i="2"/>
  <c r="G361" i="2"/>
  <c r="C360" i="2"/>
  <c r="O358" i="2"/>
  <c r="K357" i="2"/>
  <c r="I356" i="2"/>
  <c r="G355" i="2"/>
  <c r="E354" i="2"/>
  <c r="B353" i="2"/>
  <c r="O351" i="2"/>
  <c r="M350" i="2"/>
  <c r="K349" i="2"/>
  <c r="J348" i="2"/>
  <c r="I347" i="2"/>
  <c r="H346" i="2"/>
  <c r="G345" i="2"/>
  <c r="F344" i="2"/>
  <c r="E343" i="2"/>
  <c r="C342" i="2"/>
  <c r="B341" i="2"/>
  <c r="A340" i="2"/>
  <c r="P338" i="2"/>
  <c r="O337" i="2"/>
  <c r="N336" i="2"/>
  <c r="M335" i="2"/>
  <c r="L334" i="2"/>
  <c r="K333" i="2"/>
  <c r="J332" i="2"/>
  <c r="I331" i="2"/>
  <c r="H330" i="2"/>
  <c r="G329" i="2"/>
  <c r="F328" i="2"/>
  <c r="E327" i="2"/>
  <c r="C326" i="2"/>
  <c r="B325" i="2"/>
  <c r="A324" i="2"/>
  <c r="P322" i="2"/>
  <c r="O321" i="2"/>
  <c r="N320" i="2"/>
  <c r="M319" i="2"/>
  <c r="L318" i="2"/>
  <c r="K317" i="2"/>
  <c r="K316" i="2"/>
  <c r="K315" i="2"/>
  <c r="K314" i="2"/>
  <c r="K313" i="2"/>
  <c r="K312" i="2"/>
  <c r="K311" i="2"/>
  <c r="K310" i="2"/>
  <c r="K309" i="2"/>
  <c r="K308" i="2"/>
  <c r="K307" i="2"/>
  <c r="K306" i="2"/>
  <c r="K305" i="2"/>
  <c r="K304" i="2"/>
  <c r="K303" i="2"/>
  <c r="K302" i="2"/>
  <c r="K301" i="2"/>
  <c r="K300" i="2"/>
  <c r="K299" i="2"/>
  <c r="K298" i="2"/>
  <c r="K297" i="2"/>
  <c r="K296" i="2"/>
  <c r="K295" i="2"/>
  <c r="K294" i="2"/>
  <c r="K293" i="2"/>
  <c r="K292" i="2"/>
  <c r="K291" i="2"/>
  <c r="K290" i="2"/>
  <c r="K289" i="2"/>
  <c r="K288" i="2"/>
  <c r="K287" i="2"/>
  <c r="K286" i="2"/>
  <c r="K285" i="2"/>
  <c r="K284" i="2"/>
  <c r="K283" i="2"/>
  <c r="K282" i="2"/>
  <c r="K281" i="2"/>
  <c r="K280" i="2"/>
  <c r="K279" i="2"/>
  <c r="K278" i="2"/>
  <c r="K277" i="2"/>
  <c r="K276" i="2"/>
  <c r="K275" i="2"/>
  <c r="K274" i="2"/>
  <c r="K273" i="2"/>
  <c r="K272" i="2"/>
  <c r="K271" i="2"/>
  <c r="K270" i="2"/>
  <c r="K269" i="2"/>
  <c r="K268" i="2"/>
  <c r="K267" i="2"/>
  <c r="K266" i="2"/>
  <c r="K265" i="2"/>
  <c r="K264" i="2"/>
  <c r="K263" i="2"/>
  <c r="K262" i="2"/>
  <c r="K261" i="2"/>
  <c r="K260" i="2"/>
  <c r="K259" i="2"/>
  <c r="K258" i="2"/>
  <c r="K257" i="2"/>
  <c r="K256" i="2"/>
  <c r="K255" i="2"/>
  <c r="K254" i="2"/>
  <c r="K253" i="2"/>
  <c r="K252" i="2"/>
  <c r="K251" i="2"/>
  <c r="K250" i="2"/>
  <c r="K249" i="2"/>
  <c r="K248" i="2"/>
  <c r="K247" i="2"/>
  <c r="K246" i="2"/>
  <c r="K245" i="2"/>
  <c r="K244" i="2"/>
  <c r="K243" i="2"/>
  <c r="K242" i="2"/>
  <c r="K241" i="2"/>
  <c r="K240" i="2"/>
  <c r="K239" i="2"/>
  <c r="K238" i="2"/>
  <c r="K237" i="2"/>
  <c r="K236" i="2"/>
  <c r="K235" i="2"/>
  <c r="K234" i="2"/>
  <c r="K233" i="2"/>
  <c r="K232" i="2"/>
  <c r="K231" i="2"/>
  <c r="K230" i="2"/>
  <c r="K229" i="2"/>
  <c r="K228" i="2"/>
  <c r="K227" i="2"/>
  <c r="K226" i="2"/>
  <c r="K225" i="2"/>
  <c r="K224" i="2"/>
  <c r="K223" i="2"/>
  <c r="K222" i="2"/>
  <c r="K221" i="2"/>
  <c r="K220" i="2"/>
  <c r="K219" i="2"/>
  <c r="K218" i="2"/>
  <c r="K217" i="2"/>
  <c r="K216" i="2"/>
  <c r="K215" i="2"/>
  <c r="K214" i="2"/>
  <c r="K213" i="2"/>
  <c r="K212" i="2"/>
  <c r="K211" i="2"/>
  <c r="K210" i="2"/>
  <c r="K209" i="2"/>
  <c r="K208" i="2"/>
  <c r="K207" i="2"/>
  <c r="K206" i="2"/>
  <c r="K205" i="2"/>
  <c r="K204" i="2"/>
  <c r="K203" i="2"/>
  <c r="K202" i="2"/>
  <c r="K201" i="2"/>
  <c r="K200" i="2"/>
  <c r="K199" i="2"/>
  <c r="K198" i="2"/>
  <c r="K197" i="2"/>
  <c r="K196" i="2"/>
  <c r="K195" i="2"/>
  <c r="K194" i="2"/>
  <c r="K193" i="2"/>
  <c r="K192" i="2"/>
  <c r="K191" i="2"/>
  <c r="K190" i="2"/>
  <c r="K189" i="2"/>
  <c r="K188" i="2"/>
  <c r="K187" i="2"/>
  <c r="K186" i="2"/>
  <c r="K185" i="2"/>
  <c r="K184" i="2"/>
  <c r="K183" i="2"/>
  <c r="K182" i="2"/>
  <c r="K181" i="2"/>
  <c r="K180" i="2"/>
  <c r="K179" i="2"/>
  <c r="K178" i="2"/>
  <c r="K177" i="2"/>
  <c r="K176" i="2"/>
  <c r="K175" i="2"/>
  <c r="K174" i="2"/>
  <c r="K173" i="2"/>
  <c r="K172" i="2"/>
  <c r="K171" i="2"/>
  <c r="K170" i="2"/>
  <c r="K169" i="2"/>
  <c r="K168" i="2"/>
  <c r="K167" i="2"/>
  <c r="K166" i="2"/>
  <c r="K165" i="2"/>
  <c r="K164" i="2"/>
  <c r="K163" i="2"/>
  <c r="K162" i="2"/>
  <c r="K161" i="2"/>
  <c r="K160" i="2"/>
  <c r="K159" i="2"/>
  <c r="K158" i="2"/>
  <c r="K157" i="2"/>
  <c r="K156" i="2"/>
  <c r="K155" i="2"/>
  <c r="K154" i="2"/>
  <c r="K153" i="2"/>
  <c r="K152" i="2"/>
  <c r="K151" i="2"/>
  <c r="K150" i="2"/>
  <c r="K149" i="2"/>
  <c r="K148" i="2"/>
  <c r="K147" i="2"/>
  <c r="K146" i="2"/>
  <c r="K145" i="2"/>
  <c r="K144" i="2"/>
  <c r="K143" i="2"/>
  <c r="K142" i="2"/>
  <c r="K141" i="2"/>
  <c r="K140" i="2"/>
  <c r="K139" i="2"/>
  <c r="K138" i="2"/>
  <c r="K137" i="2"/>
  <c r="K136" i="2"/>
  <c r="K135" i="2"/>
  <c r="K134" i="2"/>
  <c r="K133" i="2"/>
  <c r="K132" i="2"/>
  <c r="K131" i="2"/>
  <c r="K130" i="2"/>
  <c r="K129" i="2"/>
  <c r="K128" i="2"/>
  <c r="K127" i="2"/>
  <c r="K126" i="2"/>
  <c r="K125" i="2"/>
  <c r="K124" i="2"/>
  <c r="K123" i="2"/>
  <c r="K122" i="2"/>
  <c r="K121" i="2"/>
  <c r="K120" i="2"/>
  <c r="K119" i="2"/>
  <c r="K118" i="2"/>
  <c r="K117" i="2"/>
  <c r="K116" i="2"/>
  <c r="K115" i="2"/>
  <c r="K114" i="2"/>
  <c r="K113" i="2"/>
  <c r="K112" i="2"/>
  <c r="K111" i="2"/>
  <c r="K110" i="2"/>
  <c r="K109" i="2"/>
  <c r="K108" i="2"/>
  <c r="K107" i="2"/>
  <c r="K106" i="2"/>
  <c r="K105" i="2"/>
  <c r="K104" i="2"/>
  <c r="K103" i="2"/>
  <c r="K102" i="2"/>
  <c r="K101" i="2"/>
  <c r="K100" i="2"/>
  <c r="K99" i="2"/>
  <c r="K98" i="2"/>
  <c r="K97" i="2"/>
  <c r="K96" i="2"/>
  <c r="K95" i="2"/>
  <c r="K94" i="2"/>
  <c r="K93" i="2"/>
  <c r="K92" i="2"/>
  <c r="K91" i="2"/>
  <c r="K90" i="2"/>
  <c r="K89" i="2"/>
  <c r="K88" i="2"/>
  <c r="K87" i="2"/>
  <c r="K86" i="2"/>
  <c r="K85" i="2"/>
  <c r="K84" i="2"/>
  <c r="K83" i="2"/>
  <c r="K82" i="2"/>
  <c r="K81" i="2"/>
  <c r="K80" i="2"/>
  <c r="K79" i="2"/>
  <c r="K78" i="2"/>
  <c r="K77" i="2"/>
  <c r="K76" i="2"/>
  <c r="K75" i="2"/>
  <c r="K74" i="2"/>
  <c r="K73" i="2"/>
  <c r="K72" i="2"/>
  <c r="K71" i="2"/>
  <c r="K70" i="2"/>
  <c r="K69" i="2"/>
  <c r="K68" i="2"/>
  <c r="K67" i="2"/>
  <c r="K66" i="2"/>
  <c r="K65" i="2"/>
  <c r="K64" i="2"/>
  <c r="K63" i="2"/>
  <c r="K62" i="2"/>
  <c r="K61" i="2"/>
  <c r="K60" i="2"/>
  <c r="K59" i="2"/>
  <c r="K58" i="2"/>
  <c r="K57" i="2"/>
  <c r="K56" i="2"/>
  <c r="K55" i="2"/>
  <c r="K54" i="2"/>
  <c r="K53" i="2"/>
  <c r="K52" i="2"/>
  <c r="K51" i="2"/>
  <c r="K50" i="2"/>
  <c r="K49" i="2"/>
  <c r="K48" i="2"/>
  <c r="K47" i="2"/>
  <c r="K46" i="2"/>
  <c r="K45" i="2"/>
  <c r="K44" i="2"/>
  <c r="K43" i="2"/>
  <c r="K42" i="2"/>
  <c r="K41" i="2"/>
  <c r="K40" i="2"/>
  <c r="K39" i="2"/>
  <c r="K38" i="2"/>
  <c r="K37" i="2"/>
  <c r="K36" i="2"/>
  <c r="K35" i="2"/>
  <c r="K34" i="2"/>
  <c r="K33" i="2"/>
  <c r="K32" i="2"/>
  <c r="K31" i="2"/>
  <c r="K30" i="2"/>
  <c r="K29" i="2"/>
  <c r="K28" i="2"/>
  <c r="K27" i="2"/>
  <c r="K26" i="2"/>
  <c r="K25" i="2"/>
  <c r="K24" i="2"/>
  <c r="K23" i="2"/>
  <c r="K22" i="2"/>
  <c r="K21" i="2"/>
  <c r="K20" i="2"/>
  <c r="K19" i="2"/>
  <c r="K18" i="2"/>
  <c r="K17" i="2"/>
  <c r="K16" i="2"/>
  <c r="K15" i="2"/>
  <c r="K14" i="2"/>
  <c r="N1183" i="2"/>
  <c r="D1155" i="2"/>
  <c r="O1125" i="2"/>
  <c r="D1100" i="2"/>
  <c r="P1076" i="2"/>
  <c r="C1054" i="2"/>
  <c r="G1038" i="2"/>
  <c r="N1022" i="2"/>
  <c r="M1010" i="2"/>
  <c r="G996" i="2"/>
  <c r="E982" i="2"/>
  <c r="M966" i="2"/>
  <c r="G952" i="2"/>
  <c r="E939" i="2"/>
  <c r="M925" i="2"/>
  <c r="G912" i="2"/>
  <c r="O898" i="2"/>
  <c r="B889" i="2"/>
  <c r="M879" i="2"/>
  <c r="N871" i="2"/>
  <c r="G863" i="2"/>
  <c r="I856" i="2"/>
  <c r="D851" i="2"/>
  <c r="M844" i="2"/>
  <c r="C838" i="2"/>
  <c r="D831" i="2"/>
  <c r="I825" i="2"/>
  <c r="F819" i="2"/>
  <c r="C813" i="2"/>
  <c r="D806" i="2"/>
  <c r="K799" i="2"/>
  <c r="E794" i="2"/>
  <c r="C789" i="2"/>
  <c r="G783" i="2"/>
  <c r="L777" i="2"/>
  <c r="F773" i="2"/>
  <c r="K768" i="2"/>
  <c r="E763" i="2"/>
  <c r="E759" i="2"/>
  <c r="F754" i="2"/>
  <c r="P749" i="2"/>
  <c r="C746" i="2"/>
  <c r="P741" i="2"/>
  <c r="D738" i="2"/>
  <c r="E734" i="2"/>
  <c r="E730" i="2"/>
  <c r="K726" i="2"/>
  <c r="F722" i="2"/>
  <c r="M718" i="2"/>
  <c r="M714" i="2"/>
  <c r="N711" i="2"/>
  <c r="H709" i="2"/>
  <c r="K706" i="2"/>
  <c r="N703" i="2"/>
  <c r="H701" i="2"/>
  <c r="N698" i="2"/>
  <c r="G696" i="2"/>
  <c r="C694" i="2"/>
  <c r="N691" i="2"/>
  <c r="E689" i="2"/>
  <c r="K686" i="2"/>
  <c r="G684" i="2"/>
  <c r="O681" i="2"/>
  <c r="M679" i="2"/>
  <c r="M677" i="2"/>
  <c r="M675" i="2"/>
  <c r="M673" i="2"/>
  <c r="M671" i="2"/>
  <c r="M669" i="2"/>
  <c r="M667" i="2"/>
  <c r="M665" i="2"/>
  <c r="M663" i="2"/>
  <c r="M661" i="2"/>
  <c r="M659" i="2"/>
  <c r="M657" i="2"/>
  <c r="M655" i="2"/>
  <c r="M653" i="2"/>
  <c r="M651" i="2"/>
  <c r="M649" i="2"/>
  <c r="M647" i="2"/>
  <c r="M645" i="2"/>
  <c r="M643" i="2"/>
  <c r="M641" i="2"/>
  <c r="M639" i="2"/>
  <c r="M637" i="2"/>
  <c r="M635" i="2"/>
  <c r="M633" i="2"/>
  <c r="M631" i="2"/>
  <c r="M629" i="2"/>
  <c r="M627" i="2"/>
  <c r="M625" i="2"/>
  <c r="M623" i="2"/>
  <c r="M621" i="2"/>
  <c r="M619" i="2"/>
  <c r="M617" i="2"/>
  <c r="M615" i="2"/>
  <c r="M613" i="2"/>
  <c r="M611" i="2"/>
  <c r="M609" i="2"/>
  <c r="M607" i="2"/>
  <c r="M605" i="2"/>
  <c r="M603" i="2"/>
  <c r="M601" i="2"/>
  <c r="M599" i="2"/>
  <c r="M597" i="2"/>
  <c r="M595" i="2"/>
  <c r="M593" i="2"/>
  <c r="M591" i="2"/>
  <c r="M589" i="2"/>
  <c r="M587" i="2"/>
  <c r="M585" i="2"/>
  <c r="M583" i="2"/>
  <c r="M581" i="2"/>
  <c r="M579" i="2"/>
  <c r="M577" i="2"/>
  <c r="M575" i="2"/>
  <c r="M573" i="2"/>
  <c r="M571" i="2"/>
  <c r="M569" i="2"/>
  <c r="M567" i="2"/>
  <c r="M565" i="2"/>
  <c r="M563" i="2"/>
  <c r="O561" i="2"/>
  <c r="E560" i="2"/>
  <c r="G558" i="2"/>
  <c r="I556" i="2"/>
  <c r="M554" i="2"/>
  <c r="P552" i="2"/>
  <c r="F551" i="2"/>
  <c r="H549" i="2"/>
  <c r="J547" i="2"/>
  <c r="O545" i="2"/>
  <c r="E544" i="2"/>
  <c r="G542" i="2"/>
  <c r="I540" i="2"/>
  <c r="M538" i="2"/>
  <c r="P536" i="2"/>
  <c r="F535" i="2"/>
  <c r="H533" i="2"/>
  <c r="J531" i="2"/>
  <c r="O529" i="2"/>
  <c r="E528" i="2"/>
  <c r="G526" i="2"/>
  <c r="I524" i="2"/>
  <c r="M522" i="2"/>
  <c r="P520" i="2"/>
  <c r="F519" i="2"/>
  <c r="H517" i="2"/>
  <c r="J515" i="2"/>
  <c r="O513" i="2"/>
  <c r="E512" i="2"/>
  <c r="G510" i="2"/>
  <c r="I508" i="2"/>
  <c r="M506" i="2"/>
  <c r="P504" i="2"/>
  <c r="F503" i="2"/>
  <c r="H501" i="2"/>
  <c r="J499" i="2"/>
  <c r="O497" i="2"/>
  <c r="E496" i="2"/>
  <c r="G494" i="2"/>
  <c r="I492" i="2"/>
  <c r="M490" i="2"/>
  <c r="P488" i="2"/>
  <c r="F487" i="2"/>
  <c r="H485" i="2"/>
  <c r="J483" i="2"/>
  <c r="O481" i="2"/>
  <c r="E480" i="2"/>
  <c r="G478" i="2"/>
  <c r="I476" i="2"/>
  <c r="M474" i="2"/>
  <c r="P472" i="2"/>
  <c r="F471" i="2"/>
  <c r="H469" i="2"/>
  <c r="J467" i="2"/>
  <c r="O465" i="2"/>
  <c r="E464" i="2"/>
  <c r="G462" i="2"/>
  <c r="I460" i="2"/>
  <c r="M458" i="2"/>
  <c r="P456" i="2"/>
  <c r="F455" i="2"/>
  <c r="H453" i="2"/>
  <c r="J451" i="2"/>
  <c r="O449" i="2"/>
  <c r="E448" i="2"/>
  <c r="H446" i="2"/>
  <c r="M444" i="2"/>
  <c r="F443" i="2"/>
  <c r="J441" i="2"/>
  <c r="P439" i="2"/>
  <c r="H438" i="2"/>
  <c r="M436" i="2"/>
  <c r="F435" i="2"/>
  <c r="J433" i="2"/>
  <c r="P431" i="2"/>
  <c r="H430" i="2"/>
  <c r="M428" i="2"/>
  <c r="F427" i="2"/>
  <c r="J425" i="2"/>
  <c r="P423" i="2"/>
  <c r="H422" i="2"/>
  <c r="M420" i="2"/>
  <c r="F419" i="2"/>
  <c r="J417" i="2"/>
  <c r="P415" i="2"/>
  <c r="H414" i="2"/>
  <c r="M412" i="2"/>
  <c r="G411" i="2"/>
  <c r="O409" i="2"/>
  <c r="H408" i="2"/>
  <c r="P406" i="2"/>
  <c r="I405" i="2"/>
  <c r="B404" i="2"/>
  <c r="J402" i="2"/>
  <c r="E401" i="2"/>
  <c r="K399" i="2"/>
  <c r="F398" i="2"/>
  <c r="M396" i="2"/>
  <c r="G395" i="2"/>
  <c r="O393" i="2"/>
  <c r="H392" i="2"/>
  <c r="P390" i="2"/>
  <c r="I389" i="2"/>
  <c r="B388" i="2"/>
  <c r="J386" i="2"/>
  <c r="E385" i="2"/>
  <c r="K383" i="2"/>
  <c r="F382" i="2"/>
  <c r="M380" i="2"/>
  <c r="I379" i="2"/>
  <c r="E378" i="2"/>
  <c r="M376" i="2"/>
  <c r="I375" i="2"/>
  <c r="E374" i="2"/>
  <c r="M372" i="2"/>
  <c r="I371" i="2"/>
  <c r="E370" i="2"/>
  <c r="M368" i="2"/>
  <c r="I367" i="2"/>
  <c r="E366" i="2"/>
  <c r="P364" i="2"/>
  <c r="L363" i="2"/>
  <c r="I362" i="2"/>
  <c r="F361" i="2"/>
  <c r="B360" i="2"/>
  <c r="M358" i="2"/>
  <c r="J357" i="2"/>
  <c r="H356" i="2"/>
  <c r="F355" i="2"/>
  <c r="C354" i="2"/>
  <c r="P352" i="2"/>
  <c r="N351" i="2"/>
  <c r="L350" i="2"/>
  <c r="J349" i="2"/>
  <c r="I348" i="2"/>
  <c r="H347" i="2"/>
  <c r="G346" i="2"/>
  <c r="F345" i="2"/>
  <c r="E344" i="2"/>
  <c r="C343" i="2"/>
  <c r="B342" i="2"/>
  <c r="A341" i="2"/>
  <c r="P339" i="2"/>
  <c r="O338" i="2"/>
  <c r="N337" i="2"/>
  <c r="M336" i="2"/>
  <c r="L335" i="2"/>
  <c r="K334" i="2"/>
  <c r="J333" i="2"/>
  <c r="I332" i="2"/>
  <c r="H331" i="2"/>
  <c r="G330" i="2"/>
  <c r="F329" i="2"/>
  <c r="E328" i="2"/>
  <c r="C327" i="2"/>
  <c r="B326" i="2"/>
  <c r="A325" i="2"/>
  <c r="P323" i="2"/>
  <c r="O322" i="2"/>
  <c r="N321" i="2"/>
  <c r="M320" i="2"/>
  <c r="L319" i="2"/>
  <c r="K318" i="2"/>
  <c r="J317" i="2"/>
  <c r="J316" i="2"/>
  <c r="J315" i="2"/>
  <c r="J314" i="2"/>
  <c r="J313" i="2"/>
  <c r="J312" i="2"/>
  <c r="J311" i="2"/>
  <c r="J310" i="2"/>
  <c r="J309" i="2"/>
  <c r="J308" i="2"/>
  <c r="J307" i="2"/>
  <c r="J306" i="2"/>
  <c r="J305" i="2"/>
  <c r="J304" i="2"/>
  <c r="J303" i="2"/>
  <c r="J302" i="2"/>
  <c r="J301" i="2"/>
  <c r="J300" i="2"/>
  <c r="J299" i="2"/>
  <c r="J298" i="2"/>
  <c r="J297" i="2"/>
  <c r="J296" i="2"/>
  <c r="J295" i="2"/>
  <c r="J294" i="2"/>
  <c r="J293" i="2"/>
  <c r="J292" i="2"/>
  <c r="J291" i="2"/>
  <c r="J290" i="2"/>
  <c r="J289" i="2"/>
  <c r="J288" i="2"/>
  <c r="J287" i="2"/>
  <c r="J286" i="2"/>
  <c r="J285" i="2"/>
  <c r="J284" i="2"/>
  <c r="J283" i="2"/>
  <c r="J282" i="2"/>
  <c r="J281" i="2"/>
  <c r="J280" i="2"/>
  <c r="J279" i="2"/>
  <c r="J278" i="2"/>
  <c r="J277" i="2"/>
  <c r="J276" i="2"/>
  <c r="J275" i="2"/>
  <c r="J274" i="2"/>
  <c r="J273" i="2"/>
  <c r="J272" i="2"/>
  <c r="J271" i="2"/>
  <c r="J270" i="2"/>
  <c r="J269" i="2"/>
  <c r="J268" i="2"/>
  <c r="J267" i="2"/>
  <c r="J266" i="2"/>
  <c r="J265" i="2"/>
  <c r="J264" i="2"/>
  <c r="J263" i="2"/>
  <c r="J262" i="2"/>
  <c r="J261" i="2"/>
  <c r="J260" i="2"/>
  <c r="J259" i="2"/>
  <c r="J258" i="2"/>
  <c r="J257" i="2"/>
  <c r="J256" i="2"/>
  <c r="J255" i="2"/>
  <c r="J254" i="2"/>
  <c r="J253" i="2"/>
  <c r="J252" i="2"/>
  <c r="J251" i="2"/>
  <c r="J250" i="2"/>
  <c r="J249" i="2"/>
  <c r="J248" i="2"/>
  <c r="J247" i="2"/>
  <c r="J246" i="2"/>
  <c r="J245" i="2"/>
  <c r="J244" i="2"/>
  <c r="J243" i="2"/>
  <c r="J242" i="2"/>
  <c r="J241" i="2"/>
  <c r="J240" i="2"/>
  <c r="J239" i="2"/>
  <c r="J238" i="2"/>
  <c r="J237" i="2"/>
  <c r="J236" i="2"/>
  <c r="J235" i="2"/>
  <c r="J234" i="2"/>
  <c r="J233" i="2"/>
  <c r="J232" i="2"/>
  <c r="J231" i="2"/>
  <c r="J230" i="2"/>
  <c r="J229" i="2"/>
  <c r="J228" i="2"/>
  <c r="J227" i="2"/>
  <c r="J226" i="2"/>
  <c r="J225" i="2"/>
  <c r="J224" i="2"/>
  <c r="J223" i="2"/>
  <c r="J222" i="2"/>
  <c r="J221" i="2"/>
  <c r="J220" i="2"/>
  <c r="J219" i="2"/>
  <c r="J218" i="2"/>
  <c r="J217" i="2"/>
  <c r="J216" i="2"/>
  <c r="J215" i="2"/>
  <c r="J214" i="2"/>
  <c r="J213" i="2"/>
  <c r="J212" i="2"/>
  <c r="J211" i="2"/>
  <c r="J210" i="2"/>
  <c r="J209" i="2"/>
  <c r="J208" i="2"/>
  <c r="J207" i="2"/>
  <c r="J206" i="2"/>
  <c r="J205" i="2"/>
  <c r="J204" i="2"/>
  <c r="J203" i="2"/>
  <c r="J202" i="2"/>
  <c r="J201" i="2"/>
  <c r="J200" i="2"/>
  <c r="J199" i="2"/>
  <c r="J198" i="2"/>
  <c r="J197" i="2"/>
  <c r="J196" i="2"/>
  <c r="J195" i="2"/>
  <c r="J194" i="2"/>
  <c r="J193" i="2"/>
  <c r="J192" i="2"/>
  <c r="J191" i="2"/>
  <c r="J190" i="2"/>
  <c r="J189" i="2"/>
  <c r="J188" i="2"/>
  <c r="J187" i="2"/>
  <c r="J186" i="2"/>
  <c r="J185" i="2"/>
  <c r="J184" i="2"/>
  <c r="J183" i="2"/>
  <c r="J182" i="2"/>
  <c r="J181" i="2"/>
  <c r="J180" i="2"/>
  <c r="J179" i="2"/>
  <c r="J178" i="2"/>
  <c r="J177" i="2"/>
  <c r="J176" i="2"/>
  <c r="J175" i="2"/>
  <c r="J174" i="2"/>
  <c r="J173" i="2"/>
  <c r="J172" i="2"/>
  <c r="J171" i="2"/>
  <c r="J170" i="2"/>
  <c r="J169" i="2"/>
  <c r="J168" i="2"/>
  <c r="J167" i="2"/>
  <c r="J166" i="2"/>
  <c r="J165" i="2"/>
  <c r="J164" i="2"/>
  <c r="J163" i="2"/>
  <c r="J162" i="2"/>
  <c r="J161" i="2"/>
  <c r="J160" i="2"/>
  <c r="J159" i="2"/>
  <c r="J158" i="2"/>
  <c r="J157" i="2"/>
  <c r="J156" i="2"/>
  <c r="J155" i="2"/>
  <c r="J154" i="2"/>
  <c r="J153" i="2"/>
  <c r="J152" i="2"/>
  <c r="J151" i="2"/>
  <c r="J150" i="2"/>
  <c r="J149" i="2"/>
  <c r="J148" i="2"/>
  <c r="J147" i="2"/>
  <c r="J146" i="2"/>
  <c r="J145" i="2"/>
  <c r="J144" i="2"/>
  <c r="J143" i="2"/>
  <c r="J142" i="2"/>
  <c r="J141" i="2"/>
  <c r="J140" i="2"/>
  <c r="J139" i="2"/>
  <c r="J138" i="2"/>
  <c r="J137" i="2"/>
  <c r="J136" i="2"/>
  <c r="J135" i="2"/>
  <c r="J134" i="2"/>
  <c r="J133" i="2"/>
  <c r="J132" i="2"/>
  <c r="J131" i="2"/>
  <c r="J130" i="2"/>
  <c r="J129" i="2"/>
  <c r="J128" i="2"/>
  <c r="J127" i="2"/>
  <c r="J126" i="2"/>
  <c r="J125" i="2"/>
  <c r="J124" i="2"/>
  <c r="J123" i="2"/>
  <c r="J122" i="2"/>
  <c r="J121" i="2"/>
  <c r="J120" i="2"/>
  <c r="J119" i="2"/>
  <c r="J118" i="2"/>
  <c r="J117" i="2"/>
  <c r="J116" i="2"/>
  <c r="J115" i="2"/>
  <c r="J114" i="2"/>
  <c r="J113" i="2"/>
  <c r="J112" i="2"/>
  <c r="J111" i="2"/>
  <c r="J110" i="2"/>
  <c r="J109" i="2"/>
  <c r="J108" i="2"/>
  <c r="J107" i="2"/>
  <c r="J106" i="2"/>
  <c r="J105" i="2"/>
  <c r="J104" i="2"/>
  <c r="J103" i="2"/>
  <c r="J102" i="2"/>
  <c r="J101" i="2"/>
  <c r="J100" i="2"/>
  <c r="J99" i="2"/>
  <c r="J98" i="2"/>
  <c r="J97" i="2"/>
  <c r="J96" i="2"/>
  <c r="J95" i="2"/>
  <c r="J94" i="2"/>
  <c r="J93" i="2"/>
  <c r="J92" i="2"/>
  <c r="J91" i="2"/>
  <c r="J90" i="2"/>
  <c r="J89" i="2"/>
  <c r="J88" i="2"/>
  <c r="J87" i="2"/>
  <c r="J86" i="2"/>
  <c r="J85" i="2"/>
  <c r="J84" i="2"/>
  <c r="J83" i="2"/>
  <c r="J82" i="2"/>
  <c r="J81" i="2"/>
  <c r="J80" i="2"/>
  <c r="J79" i="2"/>
  <c r="J78" i="2"/>
  <c r="J77" i="2"/>
  <c r="J76" i="2"/>
  <c r="J75" i="2"/>
  <c r="J74" i="2"/>
  <c r="J73" i="2"/>
  <c r="J72" i="2"/>
  <c r="J71" i="2"/>
  <c r="J70" i="2"/>
  <c r="J69" i="2"/>
  <c r="J68" i="2"/>
  <c r="J67" i="2"/>
  <c r="J66" i="2"/>
  <c r="J65" i="2"/>
  <c r="J64" i="2"/>
  <c r="J63" i="2"/>
  <c r="J62" i="2"/>
  <c r="J61" i="2"/>
  <c r="J60" i="2"/>
  <c r="J59" i="2"/>
  <c r="J58" i="2"/>
  <c r="J57" i="2"/>
  <c r="J56" i="2"/>
  <c r="J55" i="2"/>
  <c r="J54" i="2"/>
  <c r="J53" i="2"/>
  <c r="J52" i="2"/>
  <c r="J51" i="2"/>
  <c r="J50" i="2"/>
  <c r="J49" i="2"/>
  <c r="J48" i="2"/>
  <c r="J47" i="2"/>
  <c r="J46" i="2"/>
  <c r="J45" i="2"/>
  <c r="J44" i="2"/>
  <c r="J43" i="2"/>
  <c r="J42" i="2"/>
  <c r="J41" i="2"/>
  <c r="J40" i="2"/>
  <c r="J39" i="2"/>
  <c r="J38" i="2"/>
  <c r="J37" i="2"/>
  <c r="J36" i="2"/>
  <c r="J35" i="2"/>
  <c r="J34" i="2"/>
  <c r="J33" i="2"/>
  <c r="J32" i="2"/>
  <c r="J31" i="2"/>
  <c r="J30" i="2"/>
  <c r="J29" i="2"/>
  <c r="J28" i="2"/>
  <c r="J27" i="2"/>
  <c r="J26" i="2"/>
  <c r="J25" i="2"/>
  <c r="J24" i="2"/>
  <c r="J23" i="2"/>
  <c r="J22" i="2"/>
  <c r="J21" i="2"/>
  <c r="J20" i="2"/>
  <c r="J19" i="2"/>
  <c r="J18" i="2"/>
  <c r="J17" i="2"/>
  <c r="J16" i="2"/>
  <c r="J15" i="2"/>
  <c r="J14" i="2"/>
  <c r="D1206" i="2"/>
  <c r="B1123" i="2"/>
  <c r="D1053" i="2"/>
  <c r="G1020" i="2"/>
  <c r="G980" i="2"/>
  <c r="E950" i="2"/>
  <c r="M919" i="2"/>
  <c r="G887" i="2"/>
  <c r="D870" i="2"/>
  <c r="H855" i="2"/>
  <c r="K841" i="2"/>
  <c r="C830" i="2"/>
  <c r="K816" i="2"/>
  <c r="M804" i="2"/>
  <c r="D792" i="2"/>
  <c r="C782" i="2"/>
  <c r="K771" i="2"/>
  <c r="F762" i="2"/>
  <c r="P752" i="2"/>
  <c r="K744" i="2"/>
  <c r="N736" i="2"/>
  <c r="F729" i="2"/>
  <c r="H721" i="2"/>
  <c r="D714" i="2"/>
  <c r="G708" i="2"/>
  <c r="C703" i="2"/>
  <c r="F698" i="2"/>
  <c r="G693" i="2"/>
  <c r="J688" i="2"/>
  <c r="I683" i="2"/>
  <c r="F679" i="2"/>
  <c r="F675" i="2"/>
  <c r="F671" i="2"/>
  <c r="F667" i="2"/>
  <c r="F663" i="2"/>
  <c r="F659" i="2"/>
  <c r="F655" i="2"/>
  <c r="F651" i="2"/>
  <c r="F647" i="2"/>
  <c r="F643" i="2"/>
  <c r="F639" i="2"/>
  <c r="F635" i="2"/>
  <c r="F631" i="2"/>
  <c r="F627" i="2"/>
  <c r="F623" i="2"/>
  <c r="F619" i="2"/>
  <c r="F615" i="2"/>
  <c r="F611" i="2"/>
  <c r="F607" i="2"/>
  <c r="F603" i="2"/>
  <c r="F599" i="2"/>
  <c r="F595" i="2"/>
  <c r="F591" i="2"/>
  <c r="F587" i="2"/>
  <c r="F583" i="2"/>
  <c r="F579" i="2"/>
  <c r="F575" i="2"/>
  <c r="F571" i="2"/>
  <c r="F567" i="2"/>
  <c r="F563" i="2"/>
  <c r="I559" i="2"/>
  <c r="P555" i="2"/>
  <c r="H552" i="2"/>
  <c r="O548" i="2"/>
  <c r="G545" i="2"/>
  <c r="M541" i="2"/>
  <c r="F538" i="2"/>
  <c r="J534" i="2"/>
  <c r="F531" i="2"/>
  <c r="J527" i="2"/>
  <c r="E524" i="2"/>
  <c r="I520" i="2"/>
  <c r="P516" i="2"/>
  <c r="H513" i="2"/>
  <c r="O509" i="2"/>
  <c r="G506" i="2"/>
  <c r="M502" i="2"/>
  <c r="F499" i="2"/>
  <c r="J495" i="2"/>
  <c r="E492" i="2"/>
  <c r="I488" i="2"/>
  <c r="P484" i="2"/>
  <c r="H481" i="2"/>
  <c r="O477" i="2"/>
  <c r="G474" i="2"/>
  <c r="M470" i="2"/>
  <c r="F467" i="2"/>
  <c r="J463" i="2"/>
  <c r="E460" i="2"/>
  <c r="I456" i="2"/>
  <c r="P452" i="2"/>
  <c r="H449" i="2"/>
  <c r="P445" i="2"/>
  <c r="M442" i="2"/>
  <c r="J439" i="2"/>
  <c r="H436" i="2"/>
  <c r="F433" i="2"/>
  <c r="P429" i="2"/>
  <c r="M426" i="2"/>
  <c r="J423" i="2"/>
  <c r="H420" i="2"/>
  <c r="F417" i="2"/>
  <c r="P413" i="2"/>
  <c r="P410" i="2"/>
  <c r="B408" i="2"/>
  <c r="E405" i="2"/>
  <c r="F402" i="2"/>
  <c r="G399" i="2"/>
  <c r="H396" i="2"/>
  <c r="I393" i="2"/>
  <c r="J390" i="2"/>
  <c r="K387" i="2"/>
  <c r="M384" i="2"/>
  <c r="O381" i="2"/>
  <c r="E379" i="2"/>
  <c r="I376" i="2"/>
  <c r="M373" i="2"/>
  <c r="E371" i="2"/>
  <c r="I368" i="2"/>
  <c r="O365" i="2"/>
  <c r="H363" i="2"/>
  <c r="P360" i="2"/>
  <c r="I358" i="2"/>
  <c r="C356" i="2"/>
  <c r="N353" i="2"/>
  <c r="J351" i="2"/>
  <c r="F349" i="2"/>
  <c r="C347" i="2"/>
  <c r="A345" i="2"/>
  <c r="O342" i="2"/>
  <c r="M340" i="2"/>
  <c r="K338" i="2"/>
  <c r="I336" i="2"/>
  <c r="G334" i="2"/>
  <c r="E332" i="2"/>
  <c r="B330" i="2"/>
  <c r="P327" i="2"/>
  <c r="N325" i="2"/>
  <c r="L323" i="2"/>
  <c r="J321" i="2"/>
  <c r="H319" i="2"/>
  <c r="F317" i="2"/>
  <c r="F315" i="2"/>
  <c r="F313" i="2"/>
  <c r="F311" i="2"/>
  <c r="F309" i="2"/>
  <c r="F307" i="2"/>
  <c r="F305" i="2"/>
  <c r="F303" i="2"/>
  <c r="F301" i="2"/>
  <c r="F299" i="2"/>
  <c r="F297" i="2"/>
  <c r="G295" i="2"/>
  <c r="I293" i="2"/>
  <c r="N291" i="2"/>
  <c r="D290" i="2"/>
  <c r="F288" i="2"/>
  <c r="H286" i="2"/>
  <c r="L284" i="2"/>
  <c r="A283" i="2"/>
  <c r="E281" i="2"/>
  <c r="G279" i="2"/>
  <c r="I277" i="2"/>
  <c r="N275" i="2"/>
  <c r="D274" i="2"/>
  <c r="F272" i="2"/>
  <c r="H270" i="2"/>
  <c r="L268" i="2"/>
  <c r="A267" i="2"/>
  <c r="E265" i="2"/>
  <c r="G263" i="2"/>
  <c r="I261" i="2"/>
  <c r="N259" i="2"/>
  <c r="D258" i="2"/>
  <c r="F256" i="2"/>
  <c r="H254" i="2"/>
  <c r="L252" i="2"/>
  <c r="A251" i="2"/>
  <c r="E249" i="2"/>
  <c r="G247" i="2"/>
  <c r="I245" i="2"/>
  <c r="N243" i="2"/>
  <c r="D242" i="2"/>
  <c r="F240" i="2"/>
  <c r="H238" i="2"/>
  <c r="L236" i="2"/>
  <c r="A235" i="2"/>
  <c r="E233" i="2"/>
  <c r="G231" i="2"/>
  <c r="I229" i="2"/>
  <c r="N227" i="2"/>
  <c r="D226" i="2"/>
  <c r="F224" i="2"/>
  <c r="H222" i="2"/>
  <c r="N1203" i="2"/>
  <c r="M1121" i="2"/>
  <c r="A1052" i="2"/>
  <c r="E1019" i="2"/>
  <c r="E979" i="2"/>
  <c r="E949" i="2"/>
  <c r="A916" i="2"/>
  <c r="B886" i="2"/>
  <c r="N869" i="2"/>
  <c r="M854" i="2"/>
  <c r="I841" i="2"/>
  <c r="K829" i="2"/>
  <c r="I816" i="2"/>
  <c r="F804" i="2"/>
  <c r="C792" i="2"/>
  <c r="E781" i="2"/>
  <c r="I771" i="2"/>
  <c r="D762" i="2"/>
  <c r="K752" i="2"/>
  <c r="D744" i="2"/>
  <c r="K736" i="2"/>
  <c r="N728" i="2"/>
  <c r="F721" i="2"/>
  <c r="C714" i="2"/>
  <c r="F708" i="2"/>
  <c r="N702" i="2"/>
  <c r="E698" i="2"/>
  <c r="B693" i="2"/>
  <c r="D688" i="2"/>
  <c r="H683" i="2"/>
  <c r="E679" i="2"/>
  <c r="E675" i="2"/>
  <c r="E671" i="2"/>
  <c r="E667" i="2"/>
  <c r="E663" i="2"/>
  <c r="E659" i="2"/>
  <c r="E655" i="2"/>
  <c r="E651" i="2"/>
  <c r="E647" i="2"/>
  <c r="E643" i="2"/>
  <c r="E639" i="2"/>
  <c r="E635" i="2"/>
  <c r="E631" i="2"/>
  <c r="E627" i="2"/>
  <c r="E623" i="2"/>
  <c r="E619" i="2"/>
  <c r="E615" i="2"/>
  <c r="E611" i="2"/>
  <c r="E607" i="2"/>
  <c r="E603" i="2"/>
  <c r="E599" i="2"/>
  <c r="E595" i="2"/>
  <c r="E591" i="2"/>
  <c r="E587" i="2"/>
  <c r="E583" i="2"/>
  <c r="E579" i="2"/>
  <c r="E575" i="2"/>
  <c r="E571" i="2"/>
  <c r="E567" i="2"/>
  <c r="E563" i="2"/>
  <c r="H559" i="2"/>
  <c r="O555" i="2"/>
  <c r="G552" i="2"/>
  <c r="M548" i="2"/>
  <c r="F545" i="2"/>
  <c r="J541" i="2"/>
  <c r="E538" i="2"/>
  <c r="I534" i="2"/>
  <c r="E531" i="2"/>
  <c r="I527" i="2"/>
  <c r="P523" i="2"/>
  <c r="H520" i="2"/>
  <c r="O516" i="2"/>
  <c r="G513" i="2"/>
  <c r="M509" i="2"/>
  <c r="F506" i="2"/>
  <c r="J502" i="2"/>
  <c r="E499" i="2"/>
  <c r="I495" i="2"/>
  <c r="P491" i="2"/>
  <c r="H488" i="2"/>
  <c r="O484" i="2"/>
  <c r="G481" i="2"/>
  <c r="M477" i="2"/>
  <c r="F474" i="2"/>
  <c r="J470" i="2"/>
  <c r="E467" i="2"/>
  <c r="I463" i="2"/>
  <c r="P459" i="2"/>
  <c r="H456" i="2"/>
  <c r="O452" i="2"/>
  <c r="G449" i="2"/>
  <c r="O445" i="2"/>
  <c r="K442" i="2"/>
  <c r="I439" i="2"/>
  <c r="G436" i="2"/>
  <c r="E433" i="2"/>
  <c r="O429" i="2"/>
  <c r="K426" i="2"/>
  <c r="I423" i="2"/>
  <c r="G420" i="2"/>
  <c r="E417" i="2"/>
  <c r="O413" i="2"/>
  <c r="O410" i="2"/>
  <c r="P407" i="2"/>
  <c r="B405" i="2"/>
  <c r="E402" i="2"/>
  <c r="F399" i="2"/>
  <c r="G396" i="2"/>
  <c r="H393" i="2"/>
  <c r="I390" i="2"/>
  <c r="J387" i="2"/>
  <c r="K384" i="2"/>
  <c r="M381" i="2"/>
  <c r="B379" i="2"/>
  <c r="H376" i="2"/>
  <c r="L373" i="2"/>
  <c r="B371" i="2"/>
  <c r="H368" i="2"/>
  <c r="M365" i="2"/>
  <c r="G363" i="2"/>
  <c r="O360" i="2"/>
  <c r="H358" i="2"/>
  <c r="B356" i="2"/>
  <c r="M353" i="2"/>
  <c r="I351" i="2"/>
  <c r="E349" i="2"/>
  <c r="B347" i="2"/>
  <c r="P344" i="2"/>
  <c r="N342" i="2"/>
  <c r="L340" i="2"/>
  <c r="J338" i="2"/>
  <c r="H336" i="2"/>
  <c r="F334" i="2"/>
  <c r="C332" i="2"/>
  <c r="A330" i="2"/>
  <c r="O327" i="2"/>
  <c r="M325" i="2"/>
  <c r="K323" i="2"/>
  <c r="I321" i="2"/>
  <c r="G319" i="2"/>
  <c r="E317" i="2"/>
  <c r="E315" i="2"/>
  <c r="E313" i="2"/>
  <c r="E311" i="2"/>
  <c r="E309" i="2"/>
  <c r="E307" i="2"/>
  <c r="E305" i="2"/>
  <c r="E303" i="2"/>
  <c r="E301" i="2"/>
  <c r="E299" i="2"/>
  <c r="E297" i="2"/>
  <c r="F295" i="2"/>
  <c r="H293" i="2"/>
  <c r="L291" i="2"/>
  <c r="A290" i="2"/>
  <c r="E288" i="2"/>
  <c r="G286" i="2"/>
  <c r="I284" i="2"/>
  <c r="N282" i="2"/>
  <c r="D281" i="2"/>
  <c r="F279" i="2"/>
  <c r="H277" i="2"/>
  <c r="L275" i="2"/>
  <c r="A274" i="2"/>
  <c r="E272" i="2"/>
  <c r="G270" i="2"/>
  <c r="I268" i="2"/>
  <c r="N266" i="2"/>
  <c r="D265" i="2"/>
  <c r="F263" i="2"/>
  <c r="H261" i="2"/>
  <c r="L259" i="2"/>
  <c r="A258" i="2"/>
  <c r="E256" i="2"/>
  <c r="G254" i="2"/>
  <c r="D1181" i="2"/>
  <c r="M1119" i="2"/>
  <c r="I1051" i="2"/>
  <c r="G1008" i="2"/>
  <c r="M978" i="2"/>
  <c r="G948" i="2"/>
  <c r="E912" i="2"/>
  <c r="A886" i="2"/>
  <c r="L868" i="2"/>
  <c r="E852" i="2"/>
  <c r="M839" i="2"/>
  <c r="E827" i="2"/>
  <c r="C814" i="2"/>
  <c r="E802" i="2"/>
  <c r="G789" i="2"/>
  <c r="L779" i="2"/>
  <c r="C769" i="2"/>
  <c r="D760" i="2"/>
  <c r="F751" i="2"/>
  <c r="F743" i="2"/>
  <c r="G735" i="2"/>
  <c r="H727" i="2"/>
  <c r="I719" i="2"/>
  <c r="G712" i="2"/>
  <c r="F707" i="2"/>
  <c r="C702" i="2"/>
  <c r="D697" i="2"/>
  <c r="C692" i="2"/>
  <c r="J687" i="2"/>
  <c r="H682" i="2"/>
  <c r="G678" i="2"/>
  <c r="G674" i="2"/>
  <c r="G670" i="2"/>
  <c r="G666" i="2"/>
  <c r="G662" i="2"/>
  <c r="G658" i="2"/>
  <c r="G654" i="2"/>
  <c r="G650" i="2"/>
  <c r="G646" i="2"/>
  <c r="G642" i="2"/>
  <c r="G638" i="2"/>
  <c r="G634" i="2"/>
  <c r="G630" i="2"/>
  <c r="G626" i="2"/>
  <c r="G622" i="2"/>
  <c r="G618" i="2"/>
  <c r="G614" i="2"/>
  <c r="G610" i="2"/>
  <c r="G606" i="2"/>
  <c r="G602" i="2"/>
  <c r="G598" i="2"/>
  <c r="G594" i="2"/>
  <c r="G590" i="2"/>
  <c r="G586" i="2"/>
  <c r="G582" i="2"/>
  <c r="G578" i="2"/>
  <c r="G574" i="2"/>
  <c r="G570" i="2"/>
  <c r="G566" i="2"/>
  <c r="G562" i="2"/>
  <c r="M558" i="2"/>
  <c r="F555" i="2"/>
  <c r="J551" i="2"/>
  <c r="E548" i="2"/>
  <c r="I544" i="2"/>
  <c r="P540" i="2"/>
  <c r="H537" i="2"/>
  <c r="O533" i="2"/>
  <c r="P530" i="2"/>
  <c r="H527" i="2"/>
  <c r="O523" i="2"/>
  <c r="G520" i="2"/>
  <c r="M516" i="2"/>
  <c r="F513" i="2"/>
  <c r="J509" i="2"/>
  <c r="E506" i="2"/>
  <c r="I502" i="2"/>
  <c r="P498" i="2"/>
  <c r="H495" i="2"/>
  <c r="O491" i="2"/>
  <c r="G488" i="2"/>
  <c r="M484" i="2"/>
  <c r="F481" i="2"/>
  <c r="J477" i="2"/>
  <c r="E474" i="2"/>
  <c r="I470" i="2"/>
  <c r="P466" i="2"/>
  <c r="H463" i="2"/>
  <c r="O459" i="2"/>
  <c r="G456" i="2"/>
  <c r="M452" i="2"/>
  <c r="F449" i="2"/>
  <c r="M445" i="2"/>
  <c r="J442" i="2"/>
  <c r="H439" i="2"/>
  <c r="F436" i="2"/>
  <c r="P432" i="2"/>
  <c r="M429" i="2"/>
  <c r="J426" i="2"/>
  <c r="H423" i="2"/>
  <c r="F420" i="2"/>
  <c r="P416" i="2"/>
  <c r="M413" i="2"/>
  <c r="M410" i="2"/>
  <c r="O407" i="2"/>
  <c r="P404" i="2"/>
  <c r="B402" i="2"/>
  <c r="E399" i="2"/>
  <c r="F396" i="2"/>
  <c r="G393" i="2"/>
  <c r="H390" i="2"/>
  <c r="I387" i="2"/>
  <c r="J384" i="2"/>
  <c r="K381" i="2"/>
  <c r="P378" i="2"/>
  <c r="G376" i="2"/>
  <c r="K373" i="2"/>
  <c r="P370" i="2"/>
  <c r="G368" i="2"/>
  <c r="L365" i="2"/>
  <c r="F363" i="2"/>
  <c r="M360" i="2"/>
  <c r="G358" i="2"/>
  <c r="P355" i="2"/>
  <c r="L353" i="2"/>
  <c r="H351" i="2"/>
  <c r="C349" i="2"/>
  <c r="A347" i="2"/>
  <c r="O344" i="2"/>
  <c r="M342" i="2"/>
  <c r="K340" i="2"/>
  <c r="I338" i="2"/>
  <c r="G336" i="2"/>
  <c r="E334" i="2"/>
  <c r="B332" i="2"/>
  <c r="P329" i="2"/>
  <c r="D1180" i="2"/>
  <c r="N1118" i="2"/>
  <c r="P1048" i="2"/>
  <c r="N1006" i="2"/>
  <c r="G976" i="2"/>
  <c r="G942" i="2"/>
  <c r="G911" i="2"/>
  <c r="P885" i="2"/>
  <c r="M867" i="2"/>
  <c r="C852" i="2"/>
  <c r="E838" i="2"/>
  <c r="G826" i="2"/>
  <c r="E813" i="2"/>
  <c r="F801" i="2"/>
  <c r="E789" i="2"/>
  <c r="D779" i="2"/>
  <c r="M768" i="2"/>
  <c r="P759" i="2"/>
  <c r="K750" i="2"/>
  <c r="K742" i="2"/>
  <c r="M734" i="2"/>
  <c r="F727" i="2"/>
  <c r="G719" i="2"/>
  <c r="B712" i="2"/>
  <c r="D707" i="2"/>
  <c r="J701" i="2"/>
  <c r="L696" i="2"/>
  <c r="A692" i="2"/>
  <c r="C687" i="2"/>
  <c r="F682" i="2"/>
  <c r="E678" i="2"/>
  <c r="E674" i="2"/>
  <c r="E670" i="2"/>
  <c r="E666" i="2"/>
  <c r="E662" i="2"/>
  <c r="E658" i="2"/>
  <c r="E654" i="2"/>
  <c r="E650" i="2"/>
  <c r="E646" i="2"/>
  <c r="E642" i="2"/>
  <c r="E638" i="2"/>
  <c r="E634" i="2"/>
  <c r="E630" i="2"/>
  <c r="E626" i="2"/>
  <c r="E622" i="2"/>
  <c r="E618" i="2"/>
  <c r="E614" i="2"/>
  <c r="E610" i="2"/>
  <c r="E606" i="2"/>
  <c r="E602" i="2"/>
  <c r="E598" i="2"/>
  <c r="E594" i="2"/>
  <c r="E590" i="2"/>
  <c r="E586" i="2"/>
  <c r="E582" i="2"/>
  <c r="E578" i="2"/>
  <c r="E574" i="2"/>
  <c r="E570" i="2"/>
  <c r="E566" i="2"/>
  <c r="E562" i="2"/>
  <c r="I558" i="2"/>
  <c r="P554" i="2"/>
  <c r="H551" i="2"/>
  <c r="O547" i="2"/>
  <c r="G544" i="2"/>
  <c r="M540" i="2"/>
  <c r="F537" i="2"/>
  <c r="J533" i="2"/>
  <c r="G530" i="2"/>
  <c r="M526" i="2"/>
  <c r="F523" i="2"/>
  <c r="J519" i="2"/>
  <c r="E516" i="2"/>
  <c r="I512" i="2"/>
  <c r="P508" i="2"/>
  <c r="H505" i="2"/>
  <c r="O501" i="2"/>
  <c r="G498" i="2"/>
  <c r="M494" i="2"/>
  <c r="F491" i="2"/>
  <c r="J487" i="2"/>
  <c r="E484" i="2"/>
  <c r="I480" i="2"/>
  <c r="P476" i="2"/>
  <c r="H473" i="2"/>
  <c r="O469" i="2"/>
  <c r="G466" i="2"/>
  <c r="M462" i="2"/>
  <c r="F459" i="2"/>
  <c r="J455" i="2"/>
  <c r="E452" i="2"/>
  <c r="I448" i="2"/>
  <c r="F445" i="2"/>
  <c r="P441" i="2"/>
  <c r="M438" i="2"/>
  <c r="J435" i="2"/>
  <c r="H432" i="2"/>
  <c r="F429" i="2"/>
  <c r="P425" i="2"/>
  <c r="M422" i="2"/>
  <c r="J419" i="2"/>
  <c r="H416" i="2"/>
  <c r="F413" i="2"/>
  <c r="F410" i="2"/>
  <c r="G407" i="2"/>
  <c r="H404" i="2"/>
  <c r="I401" i="2"/>
  <c r="J398" i="2"/>
  <c r="K395" i="2"/>
  <c r="M392" i="2"/>
  <c r="O389" i="2"/>
  <c r="P386" i="2"/>
  <c r="B384" i="2"/>
  <c r="E381" i="2"/>
  <c r="I378" i="2"/>
  <c r="M375" i="2"/>
  <c r="E373" i="2"/>
  <c r="I370" i="2"/>
  <c r="M367" i="2"/>
  <c r="F365" i="2"/>
  <c r="M362" i="2"/>
  <c r="D1172" i="2"/>
  <c r="N1096" i="2"/>
  <c r="E1038" i="2"/>
  <c r="E1006" i="2"/>
  <c r="G966" i="2"/>
  <c r="N934" i="2"/>
  <c r="P908" i="2"/>
  <c r="P880" i="2"/>
  <c r="E863" i="2"/>
  <c r="M848" i="2"/>
  <c r="D837" i="2"/>
  <c r="M823" i="2"/>
  <c r="C812" i="2"/>
  <c r="M798" i="2"/>
  <c r="M787" i="2"/>
  <c r="H777" i="2"/>
  <c r="H767" i="2"/>
  <c r="P757" i="2"/>
  <c r="N748" i="2"/>
  <c r="P740" i="2"/>
  <c r="F733" i="2"/>
  <c r="H725" i="2"/>
  <c r="P717" i="2"/>
  <c r="K711" i="2"/>
  <c r="C706" i="2"/>
  <c r="N700" i="2"/>
  <c r="D696" i="2"/>
  <c r="E691" i="2"/>
  <c r="H686" i="2"/>
  <c r="I681" i="2"/>
  <c r="H677" i="2"/>
  <c r="H673" i="2"/>
  <c r="H669" i="2"/>
  <c r="H665" i="2"/>
  <c r="H661" i="2"/>
  <c r="H657" i="2"/>
  <c r="H653" i="2"/>
  <c r="H649" i="2"/>
  <c r="H645" i="2"/>
  <c r="H641" i="2"/>
  <c r="H637" i="2"/>
  <c r="H633" i="2"/>
  <c r="H629" i="2"/>
  <c r="H625" i="2"/>
  <c r="H621" i="2"/>
  <c r="H617" i="2"/>
  <c r="H613" i="2"/>
  <c r="H609" i="2"/>
  <c r="H605" i="2"/>
  <c r="H601" i="2"/>
  <c r="H597" i="2"/>
  <c r="H593" i="2"/>
  <c r="H589" i="2"/>
  <c r="H585" i="2"/>
  <c r="H581" i="2"/>
  <c r="H577" i="2"/>
  <c r="H573" i="2"/>
  <c r="H569" i="2"/>
  <c r="H565" i="2"/>
  <c r="I561" i="2"/>
  <c r="P557" i="2"/>
  <c r="H554" i="2"/>
  <c r="O550" i="2"/>
  <c r="G547" i="2"/>
  <c r="M543" i="2"/>
  <c r="F540" i="2"/>
  <c r="J536" i="2"/>
  <c r="E533" i="2"/>
  <c r="J529" i="2"/>
  <c r="E526" i="2"/>
  <c r="I522" i="2"/>
  <c r="P518" i="2"/>
  <c r="H515" i="2"/>
  <c r="O511" i="2"/>
  <c r="G508" i="2"/>
  <c r="M504" i="2"/>
  <c r="F501" i="2"/>
  <c r="J497" i="2"/>
  <c r="E494" i="2"/>
  <c r="I490" i="2"/>
  <c r="P486" i="2"/>
  <c r="H483" i="2"/>
  <c r="O479" i="2"/>
  <c r="G476" i="2"/>
  <c r="M472" i="2"/>
  <c r="F469" i="2"/>
  <c r="J465" i="2"/>
  <c r="E462" i="2"/>
  <c r="I458" i="2"/>
  <c r="P454" i="2"/>
  <c r="H451" i="2"/>
  <c r="O447" i="2"/>
  <c r="J444" i="2"/>
  <c r="H441" i="2"/>
  <c r="F438" i="2"/>
  <c r="P434" i="2"/>
  <c r="M431" i="2"/>
  <c r="J428" i="2"/>
  <c r="H425" i="2"/>
  <c r="F422" i="2"/>
  <c r="P418" i="2"/>
  <c r="M415" i="2"/>
  <c r="J412" i="2"/>
  <c r="K409" i="2"/>
  <c r="M406" i="2"/>
  <c r="O403" i="2"/>
  <c r="P400" i="2"/>
  <c r="B398" i="2"/>
  <c r="E395" i="2"/>
  <c r="F392" i="2"/>
  <c r="G389" i="2"/>
  <c r="H386" i="2"/>
  <c r="I383" i="2"/>
  <c r="K380" i="2"/>
  <c r="P377" i="2"/>
  <c r="G375" i="2"/>
  <c r="K372" i="2"/>
  <c r="P369" i="2"/>
  <c r="G367" i="2"/>
  <c r="M364" i="2"/>
  <c r="G362" i="2"/>
  <c r="O359" i="2"/>
  <c r="H357" i="2"/>
  <c r="C355" i="2"/>
  <c r="N352" i="2"/>
  <c r="J350" i="2"/>
  <c r="G348" i="2"/>
  <c r="E346" i="2"/>
  <c r="B344" i="2"/>
  <c r="P341" i="2"/>
  <c r="N339" i="2"/>
  <c r="L337" i="2"/>
  <c r="J335" i="2"/>
  <c r="H333" i="2"/>
  <c r="F331" i="2"/>
  <c r="C329" i="2"/>
  <c r="A327" i="2"/>
  <c r="O324" i="2"/>
  <c r="M322" i="2"/>
  <c r="K320" i="2"/>
  <c r="I318" i="2"/>
  <c r="H316" i="2"/>
  <c r="H314" i="2"/>
  <c r="H312" i="2"/>
  <c r="H310" i="2"/>
  <c r="H308" i="2"/>
  <c r="H306" i="2"/>
  <c r="H304" i="2"/>
  <c r="H302" i="2"/>
  <c r="H300" i="2"/>
  <c r="H298" i="2"/>
  <c r="H296" i="2"/>
  <c r="L294" i="2"/>
  <c r="A293" i="2"/>
  <c r="E291" i="2"/>
  <c r="G289" i="2"/>
  <c r="I287" i="2"/>
  <c r="N285" i="2"/>
  <c r="D284" i="2"/>
  <c r="F282" i="2"/>
  <c r="H280" i="2"/>
  <c r="L278" i="2"/>
  <c r="A277" i="2"/>
  <c r="E275" i="2"/>
  <c r="G273" i="2"/>
  <c r="I271" i="2"/>
  <c r="N269" i="2"/>
  <c r="D268" i="2"/>
  <c r="F266" i="2"/>
  <c r="L1171" i="2"/>
  <c r="L1096" i="2"/>
  <c r="E1037" i="2"/>
  <c r="E1005" i="2"/>
  <c r="E966" i="2"/>
  <c r="M934" i="2"/>
  <c r="A907" i="2"/>
  <c r="B879" i="2"/>
  <c r="M862" i="2"/>
  <c r="K848" i="2"/>
  <c r="M836" i="2"/>
  <c r="K823" i="2"/>
  <c r="G811" i="2"/>
  <c r="K798" i="2"/>
  <c r="C787" i="2"/>
  <c r="G777" i="2"/>
  <c r="E767" i="2"/>
  <c r="G757" i="2"/>
  <c r="M748" i="2"/>
  <c r="N740" i="2"/>
  <c r="P732" i="2"/>
  <c r="F725" i="2"/>
  <c r="H717" i="2"/>
  <c r="E711" i="2"/>
  <c r="B706" i="2"/>
  <c r="K700" i="2"/>
  <c r="C696" i="2"/>
  <c r="P690" i="2"/>
  <c r="B686" i="2"/>
  <c r="H681" i="2"/>
  <c r="G677" i="2"/>
  <c r="G673" i="2"/>
  <c r="G669" i="2"/>
  <c r="G665" i="2"/>
  <c r="G661" i="2"/>
  <c r="G657" i="2"/>
  <c r="G653" i="2"/>
  <c r="G649" i="2"/>
  <c r="G645" i="2"/>
  <c r="G641" i="2"/>
  <c r="G637" i="2"/>
  <c r="G633" i="2"/>
  <c r="G629" i="2"/>
  <c r="G625" i="2"/>
  <c r="G621" i="2"/>
  <c r="G617" i="2"/>
  <c r="G613" i="2"/>
  <c r="G609" i="2"/>
  <c r="G605" i="2"/>
  <c r="G601" i="2"/>
  <c r="G597" i="2"/>
  <c r="G593" i="2"/>
  <c r="G589" i="2"/>
  <c r="G585" i="2"/>
  <c r="G581" i="2"/>
  <c r="G577" i="2"/>
  <c r="G573" i="2"/>
  <c r="G569" i="2"/>
  <c r="G565" i="2"/>
  <c r="H561" i="2"/>
  <c r="O557" i="2"/>
  <c r="G554" i="2"/>
  <c r="M550" i="2"/>
  <c r="F547" i="2"/>
  <c r="J543" i="2"/>
  <c r="E540" i="2"/>
  <c r="I536" i="2"/>
  <c r="P532" i="2"/>
  <c r="I529" i="2"/>
  <c r="P525" i="2"/>
  <c r="H522" i="2"/>
  <c r="O518" i="2"/>
  <c r="G515" i="2"/>
  <c r="M511" i="2"/>
  <c r="F508" i="2"/>
  <c r="J504" i="2"/>
  <c r="E501" i="2"/>
  <c r="I497" i="2"/>
  <c r="P493" i="2"/>
  <c r="H490" i="2"/>
  <c r="O486" i="2"/>
  <c r="G483" i="2"/>
  <c r="M479" i="2"/>
  <c r="F476" i="2"/>
  <c r="J472" i="2"/>
  <c r="E469" i="2"/>
  <c r="I465" i="2"/>
  <c r="P461" i="2"/>
  <c r="H458" i="2"/>
  <c r="O454" i="2"/>
  <c r="G451" i="2"/>
  <c r="M447" i="2"/>
  <c r="I444" i="2"/>
  <c r="G441" i="2"/>
  <c r="E438" i="2"/>
  <c r="O434" i="2"/>
  <c r="K431" i="2"/>
  <c r="I428" i="2"/>
  <c r="G425" i="2"/>
  <c r="E422" i="2"/>
  <c r="O418" i="2"/>
  <c r="K415" i="2"/>
  <c r="I412" i="2"/>
  <c r="J409" i="2"/>
  <c r="K406" i="2"/>
  <c r="M403" i="2"/>
  <c r="O400" i="2"/>
  <c r="P397" i="2"/>
  <c r="B395" i="2"/>
  <c r="E392" i="2"/>
  <c r="F389" i="2"/>
  <c r="G386" i="2"/>
  <c r="H383" i="2"/>
  <c r="J380" i="2"/>
  <c r="O377" i="2"/>
  <c r="F375" i="2"/>
  <c r="J372" i="2"/>
  <c r="O369" i="2"/>
  <c r="F367" i="2"/>
  <c r="L364" i="2"/>
  <c r="F362" i="2"/>
  <c r="M359" i="2"/>
  <c r="G357" i="2"/>
  <c r="B355" i="2"/>
  <c r="M352" i="2"/>
  <c r="I350" i="2"/>
  <c r="F348" i="2"/>
  <c r="C346" i="2"/>
  <c r="A344" i="2"/>
  <c r="O341" i="2"/>
  <c r="M339" i="2"/>
  <c r="K337" i="2"/>
  <c r="I335" i="2"/>
  <c r="G333" i="2"/>
  <c r="E331" i="2"/>
  <c r="B329" i="2"/>
  <c r="P326" i="2"/>
  <c r="N324" i="2"/>
  <c r="L322" i="2"/>
  <c r="J320" i="2"/>
  <c r="H318" i="2"/>
  <c r="G316" i="2"/>
  <c r="G314" i="2"/>
  <c r="G312" i="2"/>
  <c r="G310" i="2"/>
  <c r="G308" i="2"/>
  <c r="G306" i="2"/>
  <c r="G304" i="2"/>
  <c r="G302" i="2"/>
  <c r="G300" i="2"/>
  <c r="G298" i="2"/>
  <c r="G296" i="2"/>
  <c r="I294" i="2"/>
  <c r="N292" i="2"/>
  <c r="D291" i="2"/>
  <c r="F289" i="2"/>
  <c r="H287" i="2"/>
  <c r="L285" i="2"/>
  <c r="A284" i="2"/>
  <c r="E282" i="2"/>
  <c r="G280" i="2"/>
  <c r="I278" i="2"/>
  <c r="N276" i="2"/>
  <c r="D275" i="2"/>
  <c r="F273" i="2"/>
  <c r="H271" i="2"/>
  <c r="L269" i="2"/>
  <c r="A268" i="2"/>
  <c r="D1153" i="2"/>
  <c r="N1094" i="2"/>
  <c r="G1036" i="2"/>
  <c r="E995" i="2"/>
  <c r="E965" i="2"/>
  <c r="G934" i="2"/>
  <c r="H903" i="2"/>
  <c r="L878" i="2"/>
  <c r="E862" i="2"/>
  <c r="I848" i="2"/>
  <c r="F836" i="2"/>
  <c r="I823" i="2"/>
  <c r="G810" i="2"/>
  <c r="I798" i="2"/>
  <c r="H786" i="2"/>
  <c r="M776" i="2"/>
  <c r="K766" i="2"/>
  <c r="F757" i="2"/>
  <c r="L748" i="2"/>
  <c r="M740" i="2"/>
  <c r="N732" i="2"/>
  <c r="P724" i="2"/>
  <c r="F717" i="2"/>
  <c r="C711" i="2"/>
  <c r="P705" i="2"/>
  <c r="J700" i="2"/>
  <c r="B696" i="2"/>
  <c r="N690" i="2"/>
  <c r="P685" i="2"/>
  <c r="G681" i="2"/>
  <c r="F677" i="2"/>
  <c r="F673" i="2"/>
  <c r="F669" i="2"/>
  <c r="F665" i="2"/>
  <c r="F661" i="2"/>
  <c r="F657" i="2"/>
  <c r="F653" i="2"/>
  <c r="F649" i="2"/>
  <c r="F645" i="2"/>
  <c r="F641" i="2"/>
  <c r="F637" i="2"/>
  <c r="F633" i="2"/>
  <c r="F629" i="2"/>
  <c r="F625" i="2"/>
  <c r="F621" i="2"/>
  <c r="F617" i="2"/>
  <c r="F613" i="2"/>
  <c r="F609" i="2"/>
  <c r="F605" i="2"/>
  <c r="F601" i="2"/>
  <c r="F597" i="2"/>
  <c r="F593" i="2"/>
  <c r="F589" i="2"/>
  <c r="F585" i="2"/>
  <c r="F581" i="2"/>
  <c r="F577" i="2"/>
  <c r="F573" i="2"/>
  <c r="F569" i="2"/>
  <c r="F565" i="2"/>
  <c r="G561" i="2"/>
  <c r="M557" i="2"/>
  <c r="F554" i="2"/>
  <c r="J550" i="2"/>
  <c r="E547" i="2"/>
  <c r="I543" i="2"/>
  <c r="P539" i="2"/>
  <c r="H536" i="2"/>
  <c r="O532" i="2"/>
  <c r="H529" i="2"/>
  <c r="O525" i="2"/>
  <c r="G522" i="2"/>
  <c r="M518" i="2"/>
  <c r="F515" i="2"/>
  <c r="J511" i="2"/>
  <c r="E508" i="2"/>
  <c r="I504" i="2"/>
  <c r="P500" i="2"/>
  <c r="H497" i="2"/>
  <c r="O493" i="2"/>
  <c r="G490" i="2"/>
  <c r="M486" i="2"/>
  <c r="F483" i="2"/>
  <c r="J479" i="2"/>
  <c r="E476" i="2"/>
  <c r="I472" i="2"/>
  <c r="P468" i="2"/>
  <c r="H465" i="2"/>
  <c r="O461" i="2"/>
  <c r="G458" i="2"/>
  <c r="M454" i="2"/>
  <c r="F451" i="2"/>
  <c r="J447" i="2"/>
  <c r="H444" i="2"/>
  <c r="F441" i="2"/>
  <c r="P437" i="2"/>
  <c r="M434" i="2"/>
  <c r="J431" i="2"/>
  <c r="H428" i="2"/>
  <c r="F425" i="2"/>
  <c r="P421" i="2"/>
  <c r="M418" i="2"/>
  <c r="J415" i="2"/>
  <c r="H412" i="2"/>
  <c r="I409" i="2"/>
  <c r="J406" i="2"/>
  <c r="K403" i="2"/>
  <c r="M400" i="2"/>
  <c r="O397" i="2"/>
  <c r="P394" i="2"/>
  <c r="B392" i="2"/>
  <c r="E389" i="2"/>
  <c r="F386" i="2"/>
  <c r="G383" i="2"/>
  <c r="I380" i="2"/>
  <c r="M377" i="2"/>
  <c r="E375" i="2"/>
  <c r="I372" i="2"/>
  <c r="M369" i="2"/>
  <c r="E367" i="2"/>
  <c r="K364" i="2"/>
  <c r="E362" i="2"/>
  <c r="L359" i="2"/>
  <c r="F357" i="2"/>
  <c r="P354" i="2"/>
  <c r="L352" i="2"/>
  <c r="H350" i="2"/>
  <c r="E348" i="2"/>
  <c r="B346" i="2"/>
  <c r="P343" i="2"/>
  <c r="N341" i="2"/>
  <c r="L339" i="2"/>
  <c r="J337" i="2"/>
  <c r="H335" i="2"/>
  <c r="F333" i="2"/>
  <c r="C331" i="2"/>
  <c r="A329" i="2"/>
  <c r="O326" i="2"/>
  <c r="M324" i="2"/>
  <c r="K322" i="2"/>
  <c r="I320" i="2"/>
  <c r="G318" i="2"/>
  <c r="F316" i="2"/>
  <c r="F314" i="2"/>
  <c r="F312" i="2"/>
  <c r="F310" i="2"/>
  <c r="F308" i="2"/>
  <c r="F306" i="2"/>
  <c r="F304" i="2"/>
  <c r="F302" i="2"/>
  <c r="F300" i="2"/>
  <c r="F298" i="2"/>
  <c r="F296" i="2"/>
  <c r="H294" i="2"/>
  <c r="L292" i="2"/>
  <c r="A291" i="2"/>
  <c r="E289" i="2"/>
  <c r="G287" i="2"/>
  <c r="I285" i="2"/>
  <c r="N283" i="2"/>
  <c r="D282" i="2"/>
  <c r="F280" i="2"/>
  <c r="H278" i="2"/>
  <c r="L276" i="2"/>
  <c r="A275" i="2"/>
  <c r="E273" i="2"/>
  <c r="G271" i="2"/>
  <c r="I269" i="2"/>
  <c r="N267" i="2"/>
  <c r="D266" i="2"/>
  <c r="F264" i="2"/>
  <c r="H262" i="2"/>
  <c r="L260" i="2"/>
  <c r="A259" i="2"/>
  <c r="E257" i="2"/>
  <c r="G255" i="2"/>
  <c r="N1206" i="2"/>
  <c r="P1068" i="2"/>
  <c r="N990" i="2"/>
  <c r="E934" i="2"/>
  <c r="O885" i="2"/>
  <c r="K855" i="2"/>
  <c r="C831" i="2"/>
  <c r="G808" i="2"/>
  <c r="F788" i="2"/>
  <c r="L771" i="2"/>
  <c r="D754" i="2"/>
  <c r="F738" i="2"/>
  <c r="N724" i="2"/>
  <c r="M711" i="2"/>
  <c r="K703" i="2"/>
  <c r="B694" i="2"/>
  <c r="A685" i="2"/>
  <c r="I677" i="2"/>
  <c r="G671" i="2"/>
  <c r="I663" i="2"/>
  <c r="E656" i="2"/>
  <c r="E649" i="2"/>
  <c r="J641" i="2"/>
  <c r="H635" i="2"/>
  <c r="J627" i="2"/>
  <c r="G620" i="2"/>
  <c r="I613" i="2"/>
  <c r="G607" i="2"/>
  <c r="I599" i="2"/>
  <c r="E592" i="2"/>
  <c r="E585" i="2"/>
  <c r="J577" i="2"/>
  <c r="H571" i="2"/>
  <c r="J563" i="2"/>
  <c r="P556" i="2"/>
  <c r="P550" i="2"/>
  <c r="H545" i="2"/>
  <c r="I538" i="2"/>
  <c r="E532" i="2"/>
  <c r="M525" i="2"/>
  <c r="H519" i="2"/>
  <c r="J513" i="2"/>
  <c r="P506" i="2"/>
  <c r="M500" i="2"/>
  <c r="F494" i="2"/>
  <c r="J488" i="2"/>
  <c r="M481" i="2"/>
  <c r="F475" i="2"/>
  <c r="O468" i="2"/>
  <c r="I462" i="2"/>
  <c r="M456" i="2"/>
  <c r="E450" i="2"/>
  <c r="F444" i="2"/>
  <c r="G438" i="2"/>
  <c r="G433" i="2"/>
  <c r="E427" i="2"/>
  <c r="F421" i="2"/>
  <c r="I415" i="2"/>
  <c r="B410" i="2"/>
  <c r="G405" i="2"/>
  <c r="O399" i="2"/>
  <c r="M394" i="2"/>
  <c r="H389" i="2"/>
  <c r="O384" i="2"/>
  <c r="H379" i="2"/>
  <c r="I374" i="2"/>
  <c r="L369" i="2"/>
  <c r="C365" i="2"/>
  <c r="C361" i="2"/>
  <c r="C357" i="2"/>
  <c r="F353" i="2"/>
  <c r="L349" i="2"/>
  <c r="F346" i="2"/>
  <c r="A343" i="2"/>
  <c r="J339" i="2"/>
  <c r="P335" i="2"/>
  <c r="K332" i="2"/>
  <c r="E329" i="2"/>
  <c r="A326" i="2"/>
  <c r="A323" i="2"/>
  <c r="N319" i="2"/>
  <c r="N316" i="2"/>
  <c r="N313" i="2"/>
  <c r="D311" i="2"/>
  <c r="D308" i="2"/>
  <c r="G305" i="2"/>
  <c r="E302" i="2"/>
  <c r="H299" i="2"/>
  <c r="I296" i="2"/>
  <c r="A294" i="2"/>
  <c r="G291" i="2"/>
  <c r="L288" i="2"/>
  <c r="E286" i="2"/>
  <c r="H283" i="2"/>
  <c r="A281" i="2"/>
  <c r="F278" i="2"/>
  <c r="A276" i="2"/>
  <c r="D273" i="2"/>
  <c r="L270" i="2"/>
  <c r="E268" i="2"/>
  <c r="I265" i="2"/>
  <c r="H263" i="2"/>
  <c r="E261" i="2"/>
  <c r="D259" i="2"/>
  <c r="N256" i="2"/>
  <c r="L254" i="2"/>
  <c r="I252" i="2"/>
  <c r="L250" i="2"/>
  <c r="N248" i="2"/>
  <c r="A247" i="2"/>
  <c r="D245" i="2"/>
  <c r="E243" i="2"/>
  <c r="F241" i="2"/>
  <c r="G239" i="2"/>
  <c r="H237" i="2"/>
  <c r="I235" i="2"/>
  <c r="L233" i="2"/>
  <c r="N231" i="2"/>
  <c r="A230" i="2"/>
  <c r="D228" i="2"/>
  <c r="E226" i="2"/>
  <c r="E224" i="2"/>
  <c r="F222" i="2"/>
  <c r="H220" i="2"/>
  <c r="L218" i="2"/>
  <c r="A217" i="2"/>
  <c r="E215" i="2"/>
  <c r="G213" i="2"/>
  <c r="I211" i="2"/>
  <c r="N209" i="2"/>
  <c r="D208" i="2"/>
  <c r="F206" i="2"/>
  <c r="H204" i="2"/>
  <c r="L202" i="2"/>
  <c r="A201" i="2"/>
  <c r="E199" i="2"/>
  <c r="G197" i="2"/>
  <c r="I195" i="2"/>
  <c r="N193" i="2"/>
  <c r="D192" i="2"/>
  <c r="F190" i="2"/>
  <c r="H188" i="2"/>
  <c r="L186" i="2"/>
  <c r="A185" i="2"/>
  <c r="E183" i="2"/>
  <c r="G181" i="2"/>
  <c r="I179" i="2"/>
  <c r="N177" i="2"/>
  <c r="D176" i="2"/>
  <c r="F174" i="2"/>
  <c r="H172" i="2"/>
  <c r="L170" i="2"/>
  <c r="A169" i="2"/>
  <c r="E167" i="2"/>
  <c r="G165" i="2"/>
  <c r="I163" i="2"/>
  <c r="N161" i="2"/>
  <c r="D160" i="2"/>
  <c r="F158" i="2"/>
  <c r="H156" i="2"/>
  <c r="L154" i="2"/>
  <c r="A153" i="2"/>
  <c r="E151" i="2"/>
  <c r="G149" i="2"/>
  <c r="I147" i="2"/>
  <c r="N145" i="2"/>
  <c r="D144" i="2"/>
  <c r="F142" i="2"/>
  <c r="H140" i="2"/>
  <c r="L138" i="2"/>
  <c r="A137" i="2"/>
  <c r="E135" i="2"/>
  <c r="G133" i="2"/>
  <c r="I131" i="2"/>
  <c r="N129" i="2"/>
  <c r="D128" i="2"/>
  <c r="F126" i="2"/>
  <c r="H124" i="2"/>
  <c r="L122" i="2"/>
  <c r="A121" i="2"/>
  <c r="E119" i="2"/>
  <c r="G117" i="2"/>
  <c r="I115" i="2"/>
  <c r="N113" i="2"/>
  <c r="D112" i="2"/>
  <c r="F110" i="2"/>
  <c r="H108" i="2"/>
  <c r="L106" i="2"/>
  <c r="A105" i="2"/>
  <c r="E103" i="2"/>
  <c r="G101" i="2"/>
  <c r="I99" i="2"/>
  <c r="N97" i="2"/>
  <c r="D96" i="2"/>
  <c r="F94" i="2"/>
  <c r="H92" i="2"/>
  <c r="L90" i="2"/>
  <c r="A89" i="2"/>
  <c r="E87" i="2"/>
  <c r="G85" i="2"/>
  <c r="I83" i="2"/>
  <c r="N81" i="2"/>
  <c r="D80" i="2"/>
  <c r="F78" i="2"/>
  <c r="H76" i="2"/>
  <c r="L74" i="2"/>
  <c r="A73" i="2"/>
  <c r="E71" i="2"/>
  <c r="G69" i="2"/>
  <c r="I67" i="2"/>
  <c r="N65" i="2"/>
  <c r="D64" i="2"/>
  <c r="F62" i="2"/>
  <c r="H60" i="2"/>
  <c r="L58" i="2"/>
  <c r="A57" i="2"/>
  <c r="E55" i="2"/>
  <c r="G53" i="2"/>
  <c r="I51" i="2"/>
  <c r="N49" i="2"/>
  <c r="D48" i="2"/>
  <c r="F46" i="2"/>
  <c r="H44" i="2"/>
  <c r="L42" i="2"/>
  <c r="A41" i="2"/>
  <c r="E39" i="2"/>
  <c r="G37" i="2"/>
  <c r="I35" i="2"/>
  <c r="N33" i="2"/>
  <c r="D32" i="2"/>
  <c r="F30" i="2"/>
  <c r="H28" i="2"/>
  <c r="L26" i="2"/>
  <c r="A25" i="2"/>
  <c r="E23" i="2"/>
  <c r="G21" i="2"/>
  <c r="I19" i="2"/>
  <c r="N17" i="2"/>
  <c r="D16" i="2"/>
  <c r="F14" i="2"/>
  <c r="E14" i="2"/>
  <c r="D62" i="2"/>
  <c r="A55" i="2"/>
  <c r="I49" i="2"/>
  <c r="F44" i="2"/>
  <c r="A39" i="2"/>
  <c r="I33" i="2"/>
  <c r="F28" i="2"/>
  <c r="A23" i="2"/>
  <c r="G19" i="2"/>
  <c r="D14" i="2"/>
  <c r="L1151" i="2"/>
  <c r="G984" i="2"/>
  <c r="H849" i="2"/>
  <c r="M805" i="2"/>
  <c r="D766" i="2"/>
  <c r="H737" i="2"/>
  <c r="L709" i="2"/>
  <c r="I693" i="2"/>
  <c r="E676" i="2"/>
  <c r="J661" i="2"/>
  <c r="J647" i="2"/>
  <c r="I633" i="2"/>
  <c r="I619" i="2"/>
  <c r="E605" i="2"/>
  <c r="H591" i="2"/>
  <c r="G576" i="2"/>
  <c r="G563" i="2"/>
  <c r="O536" i="2"/>
  <c r="M524" i="2"/>
  <c r="P511" i="2"/>
  <c r="I499" i="2"/>
  <c r="J486" i="2"/>
  <c r="I474" i="2"/>
  <c r="J461" i="2"/>
  <c r="I449" i="2"/>
  <c r="I431" i="2"/>
  <c r="J414" i="2"/>
  <c r="P403" i="2"/>
  <c r="M393" i="2"/>
  <c r="G378" i="2"/>
  <c r="P368" i="2"/>
  <c r="E360" i="2"/>
  <c r="J345" i="2"/>
  <c r="N338" i="2"/>
  <c r="F332" i="2"/>
  <c r="I322" i="2"/>
  <c r="H313" i="2"/>
  <c r="L304" i="2"/>
  <c r="A296" i="2"/>
  <c r="H285" i="2"/>
  <c r="A278" i="2"/>
  <c r="H267" i="2"/>
  <c r="I258" i="2"/>
  <c r="F252" i="2"/>
  <c r="L244" i="2"/>
  <c r="E237" i="2"/>
  <c r="H229" i="2"/>
  <c r="A222" i="2"/>
  <c r="N214" i="2"/>
  <c r="L207" i="2"/>
  <c r="I200" i="2"/>
  <c r="H193" i="2"/>
  <c r="G186" i="2"/>
  <c r="F179" i="2"/>
  <c r="E172" i="2"/>
  <c r="D165" i="2"/>
  <c r="A158" i="2"/>
  <c r="N150" i="2"/>
  <c r="L143" i="2"/>
  <c r="I136" i="2"/>
  <c r="F131" i="2"/>
  <c r="E124" i="2"/>
  <c r="D117" i="2"/>
  <c r="A110" i="2"/>
  <c r="N102" i="2"/>
  <c r="L95" i="2"/>
  <c r="G90" i="2"/>
  <c r="F83" i="2"/>
  <c r="G74" i="2"/>
  <c r="H65" i="2"/>
  <c r="G58" i="2"/>
  <c r="F51" i="2"/>
  <c r="E44" i="2"/>
  <c r="N38" i="2"/>
  <c r="L31" i="2"/>
  <c r="I24" i="2"/>
  <c r="H17" i="2"/>
  <c r="B923" i="2"/>
  <c r="P748" i="2"/>
  <c r="M691" i="2"/>
  <c r="I661" i="2"/>
  <c r="J625" i="2"/>
  <c r="G591" i="2"/>
  <c r="M561" i="2"/>
  <c r="M536" i="2"/>
  <c r="I511" i="2"/>
  <c r="I486" i="2"/>
  <c r="I467" i="2"/>
  <c r="P442" i="2"/>
  <c r="I425" i="2"/>
  <c r="M408" i="2"/>
  <c r="F388" i="2"/>
  <c r="O373" i="2"/>
  <c r="P359" i="2"/>
  <c r="H345" i="2"/>
  <c r="F335" i="2"/>
  <c r="F325" i="2"/>
  <c r="D316" i="2"/>
  <c r="I304" i="2"/>
  <c r="I301" i="2"/>
  <c r="I290" i="2"/>
  <c r="D283" i="2"/>
  <c r="I272" i="2"/>
  <c r="N262" i="2"/>
  <c r="G256" i="2"/>
  <c r="G248" i="2"/>
  <c r="L242" i="2"/>
  <c r="E235" i="2"/>
  <c r="H227" i="2"/>
  <c r="D220" i="2"/>
  <c r="A213" i="2"/>
  <c r="N205" i="2"/>
  <c r="L198" i="2"/>
  <c r="G193" i="2"/>
  <c r="D188" i="2"/>
  <c r="L182" i="2"/>
  <c r="G177" i="2"/>
  <c r="D172" i="2"/>
  <c r="L166" i="2"/>
  <c r="G161" i="2"/>
  <c r="D156" i="2"/>
  <c r="H152" i="2"/>
  <c r="G145" i="2"/>
  <c r="D140" i="2"/>
  <c r="L134" i="2"/>
  <c r="A133" i="2"/>
  <c r="N125" i="2"/>
  <c r="H120" i="2"/>
  <c r="E115" i="2"/>
  <c r="N109" i="2"/>
  <c r="L102" i="2"/>
  <c r="G97" i="2"/>
  <c r="F90" i="2"/>
  <c r="G81" i="2"/>
  <c r="H72" i="2"/>
  <c r="G65" i="2"/>
  <c r="F58" i="2"/>
  <c r="E51" i="2"/>
  <c r="D44" i="2"/>
  <c r="A37" i="2"/>
  <c r="N29" i="2"/>
  <c r="L22" i="2"/>
  <c r="I15" i="2"/>
  <c r="L1175" i="2"/>
  <c r="D1068" i="2"/>
  <c r="M990" i="2"/>
  <c r="O926" i="2"/>
  <c r="D885" i="2"/>
  <c r="I855" i="2"/>
  <c r="M830" i="2"/>
  <c r="M806" i="2"/>
  <c r="G786" i="2"/>
  <c r="D768" i="2"/>
  <c r="I753" i="2"/>
  <c r="C738" i="2"/>
  <c r="I723" i="2"/>
  <c r="L711" i="2"/>
  <c r="E703" i="2"/>
  <c r="A694" i="2"/>
  <c r="I684" i="2"/>
  <c r="E677" i="2"/>
  <c r="J669" i="2"/>
  <c r="H663" i="2"/>
  <c r="J655" i="2"/>
  <c r="G648" i="2"/>
  <c r="I641" i="2"/>
  <c r="G635" i="2"/>
  <c r="I627" i="2"/>
  <c r="E620" i="2"/>
  <c r="E613" i="2"/>
  <c r="J605" i="2"/>
  <c r="H599" i="2"/>
  <c r="J591" i="2"/>
  <c r="G584" i="2"/>
  <c r="I577" i="2"/>
  <c r="G571" i="2"/>
  <c r="I563" i="2"/>
  <c r="M556" i="2"/>
  <c r="I550" i="2"/>
  <c r="P543" i="2"/>
  <c r="H538" i="2"/>
  <c r="O531" i="2"/>
  <c r="J525" i="2"/>
  <c r="E519" i="2"/>
  <c r="I513" i="2"/>
  <c r="J506" i="2"/>
  <c r="E500" i="2"/>
  <c r="M493" i="2"/>
  <c r="H487" i="2"/>
  <c r="J481" i="2"/>
  <c r="P474" i="2"/>
  <c r="M468" i="2"/>
  <c r="F462" i="2"/>
  <c r="J456" i="2"/>
  <c r="M449" i="2"/>
  <c r="J443" i="2"/>
  <c r="O437" i="2"/>
  <c r="F432" i="2"/>
  <c r="P426" i="2"/>
  <c r="P420" i="2"/>
  <c r="H415" i="2"/>
  <c r="M409" i="2"/>
  <c r="F405" i="2"/>
  <c r="J399" i="2"/>
  <c r="F394" i="2"/>
  <c r="B389" i="2"/>
  <c r="O383" i="2"/>
  <c r="G379" i="2"/>
  <c r="G374" i="2"/>
  <c r="K369" i="2"/>
  <c r="O364" i="2"/>
  <c r="B361" i="2"/>
  <c r="L356" i="2"/>
  <c r="C353" i="2"/>
  <c r="I349" i="2"/>
  <c r="A346" i="2"/>
  <c r="P342" i="2"/>
  <c r="C339" i="2"/>
  <c r="N335" i="2"/>
  <c r="H332" i="2"/>
  <c r="P328" i="2"/>
  <c r="P325" i="2"/>
  <c r="N322" i="2"/>
  <c r="K319" i="2"/>
  <c r="L316" i="2"/>
  <c r="L313" i="2"/>
  <c r="N310" i="2"/>
  <c r="N307" i="2"/>
  <c r="D305" i="2"/>
  <c r="D302" i="2"/>
  <c r="G299" i="2"/>
  <c r="E296" i="2"/>
  <c r="N293" i="2"/>
  <c r="F291" i="2"/>
  <c r="I288" i="2"/>
  <c r="D286" i="2"/>
  <c r="G283" i="2"/>
  <c r="N280" i="2"/>
  <c r="E278" i="2"/>
  <c r="I275" i="2"/>
  <c r="A273" i="2"/>
  <c r="I270" i="2"/>
  <c r="L267" i="2"/>
  <c r="H265" i="2"/>
  <c r="E263" i="2"/>
  <c r="D261" i="2"/>
  <c r="N258" i="2"/>
  <c r="L256" i="2"/>
  <c r="I254" i="2"/>
  <c r="H252" i="2"/>
  <c r="I250" i="2"/>
  <c r="L248" i="2"/>
  <c r="N246" i="2"/>
  <c r="A245" i="2"/>
  <c r="D243" i="2"/>
  <c r="E241" i="2"/>
  <c r="F239" i="2"/>
  <c r="G237" i="2"/>
  <c r="H235" i="2"/>
  <c r="I233" i="2"/>
  <c r="L231" i="2"/>
  <c r="N229" i="2"/>
  <c r="A228" i="2"/>
  <c r="A226" i="2"/>
  <c r="D224" i="2"/>
  <c r="E222" i="2"/>
  <c r="G220" i="2"/>
  <c r="I218" i="2"/>
  <c r="N216" i="2"/>
  <c r="D215" i="2"/>
  <c r="F213" i="2"/>
  <c r="H211" i="2"/>
  <c r="L209" i="2"/>
  <c r="A208" i="2"/>
  <c r="E206" i="2"/>
  <c r="G204" i="2"/>
  <c r="I202" i="2"/>
  <c r="N200" i="2"/>
  <c r="D199" i="2"/>
  <c r="F197" i="2"/>
  <c r="H195" i="2"/>
  <c r="L193" i="2"/>
  <c r="A192" i="2"/>
  <c r="E190" i="2"/>
  <c r="G188" i="2"/>
  <c r="I186" i="2"/>
  <c r="N184" i="2"/>
  <c r="D183" i="2"/>
  <c r="F181" i="2"/>
  <c r="H179" i="2"/>
  <c r="L177" i="2"/>
  <c r="A176" i="2"/>
  <c r="E174" i="2"/>
  <c r="G172" i="2"/>
  <c r="I170" i="2"/>
  <c r="N168" i="2"/>
  <c r="D167" i="2"/>
  <c r="F165" i="2"/>
  <c r="H163" i="2"/>
  <c r="L161" i="2"/>
  <c r="A160" i="2"/>
  <c r="E158" i="2"/>
  <c r="G156" i="2"/>
  <c r="I154" i="2"/>
  <c r="N152" i="2"/>
  <c r="D151" i="2"/>
  <c r="F149" i="2"/>
  <c r="H147" i="2"/>
  <c r="L145" i="2"/>
  <c r="A144" i="2"/>
  <c r="E142" i="2"/>
  <c r="G140" i="2"/>
  <c r="I138" i="2"/>
  <c r="N136" i="2"/>
  <c r="D135" i="2"/>
  <c r="F133" i="2"/>
  <c r="H131" i="2"/>
  <c r="L129" i="2"/>
  <c r="A128" i="2"/>
  <c r="E126" i="2"/>
  <c r="G124" i="2"/>
  <c r="I122" i="2"/>
  <c r="N120" i="2"/>
  <c r="D119" i="2"/>
  <c r="F117" i="2"/>
  <c r="H115" i="2"/>
  <c r="L113" i="2"/>
  <c r="A112" i="2"/>
  <c r="E110" i="2"/>
  <c r="G108" i="2"/>
  <c r="I106" i="2"/>
  <c r="N104" i="2"/>
  <c r="D103" i="2"/>
  <c r="F101" i="2"/>
  <c r="H99" i="2"/>
  <c r="L97" i="2"/>
  <c r="A96" i="2"/>
  <c r="E94" i="2"/>
  <c r="G92" i="2"/>
  <c r="I90" i="2"/>
  <c r="N88" i="2"/>
  <c r="D87" i="2"/>
  <c r="F85" i="2"/>
  <c r="H83" i="2"/>
  <c r="L81" i="2"/>
  <c r="A80" i="2"/>
  <c r="E78" i="2"/>
  <c r="G76" i="2"/>
  <c r="I74" i="2"/>
  <c r="N72" i="2"/>
  <c r="D71" i="2"/>
  <c r="F69" i="2"/>
  <c r="H67" i="2"/>
  <c r="L65" i="2"/>
  <c r="A64" i="2"/>
  <c r="E62" i="2"/>
  <c r="G60" i="2"/>
  <c r="I58" i="2"/>
  <c r="N56" i="2"/>
  <c r="D55" i="2"/>
  <c r="F53" i="2"/>
  <c r="H51" i="2"/>
  <c r="L49" i="2"/>
  <c r="A48" i="2"/>
  <c r="E46" i="2"/>
  <c r="G44" i="2"/>
  <c r="I42" i="2"/>
  <c r="N40" i="2"/>
  <c r="D39" i="2"/>
  <c r="F37" i="2"/>
  <c r="H35" i="2"/>
  <c r="L33" i="2"/>
  <c r="A32" i="2"/>
  <c r="E30" i="2"/>
  <c r="G28" i="2"/>
  <c r="I26" i="2"/>
  <c r="N24" i="2"/>
  <c r="D23" i="2"/>
  <c r="F21" i="2"/>
  <c r="H19" i="2"/>
  <c r="L17" i="2"/>
  <c r="A16" i="2"/>
  <c r="I65" i="2"/>
  <c r="H58" i="2"/>
  <c r="E53" i="2"/>
  <c r="N47" i="2"/>
  <c r="H42" i="2"/>
  <c r="E37" i="2"/>
  <c r="N31" i="2"/>
  <c r="H26" i="2"/>
  <c r="E21" i="2"/>
  <c r="N15" i="2"/>
  <c r="E1047" i="2"/>
  <c r="I830" i="2"/>
  <c r="I783" i="2"/>
  <c r="H749" i="2"/>
  <c r="E722" i="2"/>
  <c r="A701" i="2"/>
  <c r="P683" i="2"/>
  <c r="E669" i="2"/>
  <c r="H655" i="2"/>
  <c r="G640" i="2"/>
  <c r="G627" i="2"/>
  <c r="E612" i="2"/>
  <c r="J597" i="2"/>
  <c r="J583" i="2"/>
  <c r="I569" i="2"/>
  <c r="H543" i="2"/>
  <c r="H531" i="2"/>
  <c r="I518" i="2"/>
  <c r="H506" i="2"/>
  <c r="P492" i="2"/>
  <c r="G480" i="2"/>
  <c r="O467" i="2"/>
  <c r="E455" i="2"/>
  <c r="F437" i="2"/>
  <c r="J420" i="2"/>
  <c r="G409" i="2"/>
  <c r="H399" i="2"/>
  <c r="H388" i="2"/>
  <c r="P373" i="2"/>
  <c r="I364" i="2"/>
  <c r="K352" i="2"/>
  <c r="E342" i="2"/>
  <c r="G335" i="2"/>
  <c r="L325" i="2"/>
  <c r="E316" i="2"/>
  <c r="I307" i="2"/>
  <c r="N298" i="2"/>
  <c r="G288" i="2"/>
  <c r="I280" i="2"/>
  <c r="E270" i="2"/>
  <c r="A263" i="2"/>
  <c r="E254" i="2"/>
  <c r="I246" i="2"/>
  <c r="D239" i="2"/>
  <c r="H231" i="2"/>
  <c r="N223" i="2"/>
  <c r="I216" i="2"/>
  <c r="H209" i="2"/>
  <c r="G202" i="2"/>
  <c r="F195" i="2"/>
  <c r="E188" i="2"/>
  <c r="D181" i="2"/>
  <c r="A174" i="2"/>
  <c r="N166" i="2"/>
  <c r="L159" i="2"/>
  <c r="I152" i="2"/>
  <c r="H145" i="2"/>
  <c r="G138" i="2"/>
  <c r="L127" i="2"/>
  <c r="I120" i="2"/>
  <c r="H113" i="2"/>
  <c r="G106" i="2"/>
  <c r="F99" i="2"/>
  <c r="E92" i="2"/>
  <c r="D85" i="2"/>
  <c r="H81" i="2"/>
  <c r="E76" i="2"/>
  <c r="D69" i="2"/>
  <c r="E60" i="2"/>
  <c r="D53" i="2"/>
  <c r="A46" i="2"/>
  <c r="F35" i="2"/>
  <c r="E28" i="2"/>
  <c r="D21" i="2"/>
  <c r="A14" i="2"/>
  <c r="D1047" i="2"/>
  <c r="F783" i="2"/>
  <c r="J709" i="2"/>
  <c r="G668" i="2"/>
  <c r="E633" i="2"/>
  <c r="I597" i="2"/>
  <c r="E569" i="2"/>
  <c r="M542" i="2"/>
  <c r="O517" i="2"/>
  <c r="M492" i="2"/>
  <c r="H474" i="2"/>
  <c r="J454" i="2"/>
  <c r="P436" i="2"/>
  <c r="G414" i="2"/>
  <c r="H398" i="2"/>
  <c r="E383" i="2"/>
  <c r="B364" i="2"/>
  <c r="M348" i="2"/>
  <c r="A342" i="2"/>
  <c r="G328" i="2"/>
  <c r="F319" i="2"/>
  <c r="H307" i="2"/>
  <c r="F293" i="2"/>
  <c r="G285" i="2"/>
  <c r="N277" i="2"/>
  <c r="D270" i="2"/>
  <c r="I260" i="2"/>
  <c r="D254" i="2"/>
  <c r="H246" i="2"/>
  <c r="D237" i="2"/>
  <c r="G229" i="2"/>
  <c r="N221" i="2"/>
  <c r="L214" i="2"/>
  <c r="I207" i="2"/>
  <c r="H200" i="2"/>
  <c r="I191" i="2"/>
  <c r="H184" i="2"/>
  <c r="A181" i="2"/>
  <c r="I175" i="2"/>
  <c r="F170" i="2"/>
  <c r="A165" i="2"/>
  <c r="I159" i="2"/>
  <c r="F154" i="2"/>
  <c r="L150" i="2"/>
  <c r="E147" i="2"/>
  <c r="N141" i="2"/>
  <c r="H136" i="2"/>
  <c r="I127" i="2"/>
  <c r="F122" i="2"/>
  <c r="L118" i="2"/>
  <c r="G113" i="2"/>
  <c r="F106" i="2"/>
  <c r="A101" i="2"/>
  <c r="N93" i="2"/>
  <c r="L86" i="2"/>
  <c r="I79" i="2"/>
  <c r="F74" i="2"/>
  <c r="E67" i="2"/>
  <c r="D60" i="2"/>
  <c r="A53" i="2"/>
  <c r="I47" i="2"/>
  <c r="H40" i="2"/>
  <c r="I31" i="2"/>
  <c r="H24" i="2"/>
  <c r="G17" i="2"/>
  <c r="F1172" i="2"/>
  <c r="A1068" i="2"/>
  <c r="G990" i="2"/>
  <c r="O924" i="2"/>
  <c r="G877" i="2"/>
  <c r="H850" i="2"/>
  <c r="K830" i="2"/>
  <c r="C806" i="2"/>
  <c r="P784" i="2"/>
  <c r="P767" i="2"/>
  <c r="G753" i="2"/>
  <c r="P737" i="2"/>
  <c r="M722" i="2"/>
  <c r="L710" i="2"/>
  <c r="G701" i="2"/>
  <c r="P693" i="2"/>
  <c r="F684" i="2"/>
  <c r="G676" i="2"/>
  <c r="I669" i="2"/>
  <c r="G663" i="2"/>
  <c r="I655" i="2"/>
  <c r="E648" i="2"/>
  <c r="E641" i="2"/>
  <c r="J633" i="2"/>
  <c r="H627" i="2"/>
  <c r="J619" i="2"/>
  <c r="G612" i="2"/>
  <c r="I605" i="2"/>
  <c r="G599" i="2"/>
  <c r="I591" i="2"/>
  <c r="E584" i="2"/>
  <c r="E577" i="2"/>
  <c r="J569" i="2"/>
  <c r="H563" i="2"/>
  <c r="H556" i="2"/>
  <c r="O549" i="2"/>
  <c r="O543" i="2"/>
  <c r="G538" i="2"/>
  <c r="I531" i="2"/>
  <c r="P524" i="2"/>
  <c r="J518" i="2"/>
  <c r="G512" i="2"/>
  <c r="I506" i="2"/>
  <c r="O499" i="2"/>
  <c r="J493" i="2"/>
  <c r="E487" i="2"/>
  <c r="I481" i="2"/>
  <c r="J474" i="2"/>
  <c r="E468" i="2"/>
  <c r="M461" i="2"/>
  <c r="H455" i="2"/>
  <c r="J449" i="2"/>
  <c r="H443" i="2"/>
  <c r="M437" i="2"/>
  <c r="O431" i="2"/>
  <c r="O426" i="2"/>
  <c r="K420" i="2"/>
  <c r="M414" i="2"/>
  <c r="H409" i="2"/>
  <c r="F404" i="2"/>
  <c r="I399" i="2"/>
  <c r="B394" i="2"/>
  <c r="P388" i="2"/>
  <c r="J383" i="2"/>
  <c r="F379" i="2"/>
  <c r="B374" i="2"/>
  <c r="E369" i="2"/>
  <c r="J364" i="2"/>
  <c r="G360" i="2"/>
  <c r="J356" i="2"/>
  <c r="O352" i="2"/>
  <c r="H349" i="2"/>
  <c r="P345" i="2"/>
  <c r="G342" i="2"/>
  <c r="A339" i="2"/>
  <c r="K335" i="2"/>
  <c r="G332" i="2"/>
  <c r="O328" i="2"/>
  <c r="O325" i="2"/>
  <c r="J322" i="2"/>
  <c r="J319" i="2"/>
  <c r="I316" i="2"/>
  <c r="I313" i="2"/>
  <c r="L310" i="2"/>
  <c r="L307" i="2"/>
  <c r="N304" i="2"/>
  <c r="N301" i="2"/>
  <c r="D299" i="2"/>
  <c r="D296" i="2"/>
  <c r="L293" i="2"/>
  <c r="N290" i="2"/>
  <c r="H288" i="2"/>
  <c r="A286" i="2"/>
  <c r="F283" i="2"/>
  <c r="L280" i="2"/>
  <c r="D278" i="2"/>
  <c r="H275" i="2"/>
  <c r="N272" i="2"/>
  <c r="F270" i="2"/>
  <c r="I267" i="2"/>
  <c r="G265" i="2"/>
  <c r="D263" i="2"/>
  <c r="A261" i="2"/>
  <c r="L258" i="2"/>
  <c r="I256" i="2"/>
  <c r="F254" i="2"/>
  <c r="G252" i="2"/>
  <c r="H250" i="2"/>
  <c r="I248" i="2"/>
  <c r="L246" i="2"/>
  <c r="N244" i="2"/>
  <c r="A243" i="2"/>
  <c r="D241" i="2"/>
  <c r="E239" i="2"/>
  <c r="F237" i="2"/>
  <c r="G235" i="2"/>
  <c r="H233" i="2"/>
  <c r="I231" i="2"/>
  <c r="L229" i="2"/>
  <c r="L227" i="2"/>
  <c r="N225" i="2"/>
  <c r="A224" i="2"/>
  <c r="D222" i="2"/>
  <c r="F220" i="2"/>
  <c r="H218" i="2"/>
  <c r="L216" i="2"/>
  <c r="A215" i="2"/>
  <c r="E213" i="2"/>
  <c r="G211" i="2"/>
  <c r="I209" i="2"/>
  <c r="N207" i="2"/>
  <c r="D206" i="2"/>
  <c r="F204" i="2"/>
  <c r="H202" i="2"/>
  <c r="L200" i="2"/>
  <c r="A199" i="2"/>
  <c r="E197" i="2"/>
  <c r="G195" i="2"/>
  <c r="I193" i="2"/>
  <c r="N191" i="2"/>
  <c r="D190" i="2"/>
  <c r="F188" i="2"/>
  <c r="H186" i="2"/>
  <c r="L184" i="2"/>
  <c r="A183" i="2"/>
  <c r="E181" i="2"/>
  <c r="G179" i="2"/>
  <c r="I177" i="2"/>
  <c r="N175" i="2"/>
  <c r="D174" i="2"/>
  <c r="F172" i="2"/>
  <c r="H170" i="2"/>
  <c r="L168" i="2"/>
  <c r="A167" i="2"/>
  <c r="E165" i="2"/>
  <c r="G163" i="2"/>
  <c r="I161" i="2"/>
  <c r="N159" i="2"/>
  <c r="D158" i="2"/>
  <c r="F156" i="2"/>
  <c r="H154" i="2"/>
  <c r="L152" i="2"/>
  <c r="A151" i="2"/>
  <c r="E149" i="2"/>
  <c r="G147" i="2"/>
  <c r="I145" i="2"/>
  <c r="N143" i="2"/>
  <c r="D142" i="2"/>
  <c r="F140" i="2"/>
  <c r="H138" i="2"/>
  <c r="L136" i="2"/>
  <c r="A135" i="2"/>
  <c r="E133" i="2"/>
  <c r="G131" i="2"/>
  <c r="I129" i="2"/>
  <c r="N127" i="2"/>
  <c r="D126" i="2"/>
  <c r="F124" i="2"/>
  <c r="H122" i="2"/>
  <c r="L120" i="2"/>
  <c r="A119" i="2"/>
  <c r="E117" i="2"/>
  <c r="G115" i="2"/>
  <c r="I113" i="2"/>
  <c r="N111" i="2"/>
  <c r="D110" i="2"/>
  <c r="F108" i="2"/>
  <c r="H106" i="2"/>
  <c r="L104" i="2"/>
  <c r="A103" i="2"/>
  <c r="E101" i="2"/>
  <c r="G99" i="2"/>
  <c r="I97" i="2"/>
  <c r="N95" i="2"/>
  <c r="D94" i="2"/>
  <c r="F92" i="2"/>
  <c r="H90" i="2"/>
  <c r="L88" i="2"/>
  <c r="A87" i="2"/>
  <c r="E85" i="2"/>
  <c r="G83" i="2"/>
  <c r="I81" i="2"/>
  <c r="N79" i="2"/>
  <c r="D78" i="2"/>
  <c r="F76" i="2"/>
  <c r="H74" i="2"/>
  <c r="L72" i="2"/>
  <c r="A71" i="2"/>
  <c r="E69" i="2"/>
  <c r="G67" i="2"/>
  <c r="N63" i="2"/>
  <c r="F60" i="2"/>
  <c r="L56" i="2"/>
  <c r="G51" i="2"/>
  <c r="D46" i="2"/>
  <c r="L40" i="2"/>
  <c r="G35" i="2"/>
  <c r="D30" i="2"/>
  <c r="L24" i="2"/>
  <c r="I17" i="2"/>
  <c r="O923" i="2"/>
  <c r="G556" i="2"/>
  <c r="M425" i="2"/>
  <c r="G356" i="2"/>
  <c r="I319" i="2"/>
  <c r="G293" i="2"/>
  <c r="L272" i="2"/>
  <c r="N260" i="2"/>
  <c r="G250" i="2"/>
  <c r="N242" i="2"/>
  <c r="F235" i="2"/>
  <c r="I227" i="2"/>
  <c r="E220" i="2"/>
  <c r="D213" i="2"/>
  <c r="A206" i="2"/>
  <c r="N198" i="2"/>
  <c r="L191" i="2"/>
  <c r="I184" i="2"/>
  <c r="H177" i="2"/>
  <c r="I168" i="2"/>
  <c r="H161" i="2"/>
  <c r="G154" i="2"/>
  <c r="F147" i="2"/>
  <c r="E140" i="2"/>
  <c r="D133" i="2"/>
  <c r="A126" i="2"/>
  <c r="N118" i="2"/>
  <c r="L111" i="2"/>
  <c r="I104" i="2"/>
  <c r="H97" i="2"/>
  <c r="I88" i="2"/>
  <c r="A78" i="2"/>
  <c r="N70" i="2"/>
  <c r="L63" i="2"/>
  <c r="I56" i="2"/>
  <c r="H49" i="2"/>
  <c r="G42" i="2"/>
  <c r="D37" i="2"/>
  <c r="A30" i="2"/>
  <c r="N22" i="2"/>
  <c r="L15" i="2"/>
  <c r="D1149" i="2"/>
  <c r="H848" i="2"/>
  <c r="C765" i="2"/>
  <c r="D722" i="2"/>
  <c r="M683" i="2"/>
  <c r="G655" i="2"/>
  <c r="E640" i="2"/>
  <c r="J611" i="2"/>
  <c r="I583" i="2"/>
  <c r="F556" i="2"/>
  <c r="G531" i="2"/>
  <c r="H499" i="2"/>
  <c r="P460" i="2"/>
  <c r="H431" i="2"/>
  <c r="J403" i="2"/>
  <c r="B378" i="2"/>
  <c r="F356" i="2"/>
  <c r="L331" i="2"/>
  <c r="G313" i="2"/>
  <c r="N295" i="2"/>
  <c r="E280" i="2"/>
  <c r="A265" i="2"/>
  <c r="E252" i="2"/>
  <c r="N240" i="2"/>
  <c r="F233" i="2"/>
  <c r="I225" i="2"/>
  <c r="F218" i="2"/>
  <c r="E211" i="2"/>
  <c r="F202" i="2"/>
  <c r="E195" i="2"/>
  <c r="F186" i="2"/>
  <c r="E179" i="2"/>
  <c r="N173" i="2"/>
  <c r="H168" i="2"/>
  <c r="E163" i="2"/>
  <c r="N157" i="2"/>
  <c r="A149" i="2"/>
  <c r="I143" i="2"/>
  <c r="F138" i="2"/>
  <c r="E131" i="2"/>
  <c r="D124" i="2"/>
  <c r="A117" i="2"/>
  <c r="D108" i="2"/>
  <c r="E99" i="2"/>
  <c r="D92" i="2"/>
  <c r="A85" i="2"/>
  <c r="N77" i="2"/>
  <c r="L70" i="2"/>
  <c r="N61" i="2"/>
  <c r="L54" i="2"/>
  <c r="N45" i="2"/>
  <c r="L38" i="2"/>
  <c r="E35" i="2"/>
  <c r="D28" i="2"/>
  <c r="A21" i="2"/>
  <c r="G876" i="2"/>
  <c r="J549" i="2"/>
  <c r="E443" i="2"/>
  <c r="F383" i="2"/>
  <c r="G349" i="2"/>
  <c r="I328" i="2"/>
  <c r="I310" i="2"/>
  <c r="L301" i="2"/>
  <c r="L290" i="2"/>
  <c r="E283" i="2"/>
  <c r="G275" i="2"/>
  <c r="F265" i="2"/>
  <c r="H256" i="2"/>
  <c r="H248" i="2"/>
  <c r="A241" i="2"/>
  <c r="G233" i="2"/>
  <c r="L225" i="2"/>
  <c r="G218" i="2"/>
  <c r="F211" i="2"/>
  <c r="E204" i="2"/>
  <c r="D197" i="2"/>
  <c r="A190" i="2"/>
  <c r="N182" i="2"/>
  <c r="L175" i="2"/>
  <c r="G170" i="2"/>
  <c r="F163" i="2"/>
  <c r="E156" i="2"/>
  <c r="D149" i="2"/>
  <c r="A142" i="2"/>
  <c r="N134" i="2"/>
  <c r="H129" i="2"/>
  <c r="G122" i="2"/>
  <c r="F115" i="2"/>
  <c r="E108" i="2"/>
  <c r="D101" i="2"/>
  <c r="A94" i="2"/>
  <c r="N86" i="2"/>
  <c r="L79" i="2"/>
  <c r="I72" i="2"/>
  <c r="F67" i="2"/>
  <c r="A62" i="2"/>
  <c r="N54" i="2"/>
  <c r="L47" i="2"/>
  <c r="I40" i="2"/>
  <c r="H33" i="2"/>
  <c r="G26" i="2"/>
  <c r="F19" i="2"/>
  <c r="E981" i="2"/>
  <c r="F876" i="2"/>
  <c r="I824" i="2"/>
  <c r="K805" i="2"/>
  <c r="F737" i="2"/>
  <c r="I700" i="2"/>
  <c r="J675" i="2"/>
  <c r="I647" i="2"/>
  <c r="H619" i="2"/>
  <c r="G604" i="2"/>
  <c r="E576" i="2"/>
  <c r="G549" i="2"/>
  <c r="H524" i="2"/>
  <c r="F505" i="2"/>
  <c r="P479" i="2"/>
  <c r="G448" i="2"/>
  <c r="I420" i="2"/>
  <c r="K393" i="2"/>
  <c r="L368" i="2"/>
  <c r="J352" i="2"/>
  <c r="M338" i="2"/>
  <c r="B322" i="2"/>
  <c r="E310" i="2"/>
  <c r="L298" i="2"/>
  <c r="D288" i="2"/>
  <c r="F275" i="2"/>
  <c r="G267" i="2"/>
  <c r="H258" i="2"/>
  <c r="F250" i="2"/>
  <c r="I244" i="2"/>
  <c r="A239" i="2"/>
  <c r="F231" i="2"/>
  <c r="L223" i="2"/>
  <c r="H216" i="2"/>
  <c r="G209" i="2"/>
  <c r="D204" i="2"/>
  <c r="A197" i="2"/>
  <c r="N189" i="2"/>
  <c r="G129" i="2"/>
  <c r="I111" i="2"/>
  <c r="H104" i="2"/>
  <c r="I95" i="2"/>
  <c r="H88" i="2"/>
  <c r="E83" i="2"/>
  <c r="D76" i="2"/>
  <c r="A69" i="2"/>
  <c r="I63" i="2"/>
  <c r="H56" i="2"/>
  <c r="G49" i="2"/>
  <c r="F42" i="2"/>
  <c r="G33" i="2"/>
  <c r="F26" i="2"/>
  <c r="E19" i="2"/>
  <c r="L1143" i="2"/>
  <c r="M1034" i="2"/>
  <c r="E971" i="2"/>
  <c r="N919" i="2"/>
  <c r="P872" i="2"/>
  <c r="D845" i="2"/>
  <c r="H823" i="2"/>
  <c r="D799" i="2"/>
  <c r="K782" i="2"/>
  <c r="D763" i="2"/>
  <c r="K746" i="2"/>
  <c r="H733" i="2"/>
  <c r="P721" i="2"/>
  <c r="P708" i="2"/>
  <c r="F699" i="2"/>
  <c r="M690" i="2"/>
  <c r="M681" i="2"/>
  <c r="H675" i="2"/>
  <c r="J667" i="2"/>
  <c r="G660" i="2"/>
  <c r="I653" i="2"/>
  <c r="G647" i="2"/>
  <c r="I639" i="2"/>
  <c r="E632" i="2"/>
  <c r="E625" i="2"/>
  <c r="J617" i="2"/>
  <c r="H611" i="2"/>
  <c r="J603" i="2"/>
  <c r="G596" i="2"/>
  <c r="I589" i="2"/>
  <c r="G583" i="2"/>
  <c r="I575" i="2"/>
  <c r="E568" i="2"/>
  <c r="F561" i="2"/>
  <c r="J554" i="2"/>
  <c r="E549" i="2"/>
  <c r="F542" i="2"/>
  <c r="J535" i="2"/>
  <c r="M529" i="2"/>
  <c r="F524" i="2"/>
  <c r="G517" i="2"/>
  <c r="M510" i="2"/>
  <c r="H504" i="2"/>
  <c r="E498" i="2"/>
  <c r="G492" i="2"/>
  <c r="J485" i="2"/>
  <c r="H479" i="2"/>
  <c r="O472" i="2"/>
  <c r="G467" i="2"/>
  <c r="H460" i="2"/>
  <c r="O453" i="2"/>
  <c r="I447" i="2"/>
  <c r="M441" i="2"/>
  <c r="J436" i="2"/>
  <c r="J430" i="2"/>
  <c r="P424" i="2"/>
  <c r="E419" i="2"/>
  <c r="E414" i="2"/>
  <c r="G408" i="2"/>
  <c r="P402" i="2"/>
  <c r="M397" i="2"/>
  <c r="J392" i="2"/>
  <c r="O387" i="2"/>
  <c r="H382" i="2"/>
  <c r="K377" i="2"/>
  <c r="L372" i="2"/>
  <c r="J368" i="2"/>
  <c r="K363" i="2"/>
  <c r="J359" i="2"/>
  <c r="J355" i="2"/>
  <c r="P351" i="2"/>
  <c r="H348" i="2"/>
  <c r="C345" i="2"/>
  <c r="L341" i="2"/>
  <c r="B338" i="2"/>
  <c r="M334" i="2"/>
  <c r="G331" i="2"/>
  <c r="B328" i="2"/>
  <c r="P324" i="2"/>
  <c r="M321" i="2"/>
  <c r="M318" i="2"/>
  <c r="L315" i="2"/>
  <c r="N312" i="2"/>
  <c r="N309" i="2"/>
  <c r="D307" i="2"/>
  <c r="D304" i="2"/>
  <c r="G301" i="2"/>
  <c r="E298" i="2"/>
  <c r="I295" i="2"/>
  <c r="D293" i="2"/>
  <c r="G290" i="2"/>
  <c r="N287" i="2"/>
  <c r="E285" i="2"/>
  <c r="I282" i="2"/>
  <c r="A280" i="2"/>
  <c r="G277" i="2"/>
  <c r="L274" i="2"/>
  <c r="G272" i="2"/>
  <c r="H269" i="2"/>
  <c r="E267" i="2"/>
  <c r="L264" i="2"/>
  <c r="I262" i="2"/>
  <c r="G260" i="2"/>
  <c r="F258" i="2"/>
  <c r="A256" i="2"/>
  <c r="N253" i="2"/>
  <c r="A252" i="2"/>
  <c r="D250" i="2"/>
  <c r="E248" i="2"/>
  <c r="F246" i="2"/>
  <c r="G244" i="2"/>
  <c r="H242" i="2"/>
  <c r="I240" i="2"/>
  <c r="L238" i="2"/>
  <c r="N236" i="2"/>
  <c r="N234" i="2"/>
  <c r="A233" i="2"/>
  <c r="D231" i="2"/>
  <c r="E229" i="2"/>
  <c r="F227" i="2"/>
  <c r="G225" i="2"/>
  <c r="H223" i="2"/>
  <c r="I221" i="2"/>
  <c r="N219" i="2"/>
  <c r="D218" i="2"/>
  <c r="F216" i="2"/>
  <c r="H214" i="2"/>
  <c r="L212" i="2"/>
  <c r="A211" i="2"/>
  <c r="E209" i="2"/>
  <c r="G207" i="2"/>
  <c r="I205" i="2"/>
  <c r="N203" i="2"/>
  <c r="D202" i="2"/>
  <c r="F200" i="2"/>
  <c r="H198" i="2"/>
  <c r="L196" i="2"/>
  <c r="A195" i="2"/>
  <c r="E193" i="2"/>
  <c r="G191" i="2"/>
  <c r="I189" i="2"/>
  <c r="N187" i="2"/>
  <c r="D186" i="2"/>
  <c r="F184" i="2"/>
  <c r="H182" i="2"/>
  <c r="L180" i="2"/>
  <c r="A179" i="2"/>
  <c r="E177" i="2"/>
  <c r="G175" i="2"/>
  <c r="I173" i="2"/>
  <c r="N171" i="2"/>
  <c r="D170" i="2"/>
  <c r="F168" i="2"/>
  <c r="H166" i="2"/>
  <c r="L164" i="2"/>
  <c r="A163" i="2"/>
  <c r="E161" i="2"/>
  <c r="G159" i="2"/>
  <c r="I157" i="2"/>
  <c r="N155" i="2"/>
  <c r="D154" i="2"/>
  <c r="F152" i="2"/>
  <c r="H150" i="2"/>
  <c r="L148" i="2"/>
  <c r="A147" i="2"/>
  <c r="E145" i="2"/>
  <c r="G143" i="2"/>
  <c r="I141" i="2"/>
  <c r="N139" i="2"/>
  <c r="D138" i="2"/>
  <c r="F136" i="2"/>
  <c r="H134" i="2"/>
  <c r="L132" i="2"/>
  <c r="A131" i="2"/>
  <c r="E129" i="2"/>
  <c r="G127" i="2"/>
  <c r="I125" i="2"/>
  <c r="N123" i="2"/>
  <c r="D122" i="2"/>
  <c r="F120" i="2"/>
  <c r="H118" i="2"/>
  <c r="L116" i="2"/>
  <c r="A115" i="2"/>
  <c r="E113" i="2"/>
  <c r="G111" i="2"/>
  <c r="I109" i="2"/>
  <c r="N107" i="2"/>
  <c r="D106" i="2"/>
  <c r="F104" i="2"/>
  <c r="H102" i="2"/>
  <c r="L100" i="2"/>
  <c r="A99" i="2"/>
  <c r="E97" i="2"/>
  <c r="G95" i="2"/>
  <c r="I93" i="2"/>
  <c r="N91" i="2"/>
  <c r="D90" i="2"/>
  <c r="F88" i="2"/>
  <c r="H86" i="2"/>
  <c r="L84" i="2"/>
  <c r="A83" i="2"/>
  <c r="E81" i="2"/>
  <c r="G79" i="2"/>
  <c r="I77" i="2"/>
  <c r="N75" i="2"/>
  <c r="D74" i="2"/>
  <c r="F72" i="2"/>
  <c r="H70" i="2"/>
  <c r="L68" i="2"/>
  <c r="A67" i="2"/>
  <c r="E65" i="2"/>
  <c r="G63" i="2"/>
  <c r="I61" i="2"/>
  <c r="N59" i="2"/>
  <c r="D58" i="2"/>
  <c r="F56" i="2"/>
  <c r="H54" i="2"/>
  <c r="L52" i="2"/>
  <c r="A51" i="2"/>
  <c r="E49" i="2"/>
  <c r="G47" i="2"/>
  <c r="I45" i="2"/>
  <c r="N43" i="2"/>
  <c r="D42" i="2"/>
  <c r="F40" i="2"/>
  <c r="H38" i="2"/>
  <c r="L36" i="2"/>
  <c r="A35" i="2"/>
  <c r="E33" i="2"/>
  <c r="G31" i="2"/>
  <c r="I29" i="2"/>
  <c r="N27" i="2"/>
  <c r="D26" i="2"/>
  <c r="F24" i="2"/>
  <c r="H22" i="2"/>
  <c r="L20" i="2"/>
  <c r="A19" i="2"/>
  <c r="E17" i="2"/>
  <c r="G15" i="2"/>
  <c r="I59" i="2"/>
  <c r="L50" i="2"/>
  <c r="G45" i="2"/>
  <c r="N41" i="2"/>
  <c r="H36" i="2"/>
  <c r="A33" i="2"/>
  <c r="G29" i="2"/>
  <c r="D24" i="2"/>
  <c r="H20" i="2"/>
  <c r="E15" i="2"/>
  <c r="G1022" i="2"/>
  <c r="M962" i="2"/>
  <c r="N898" i="2"/>
  <c r="G843" i="2"/>
  <c r="F795" i="2"/>
  <c r="M762" i="2"/>
  <c r="K730" i="2"/>
  <c r="I706" i="2"/>
  <c r="G680" i="2"/>
  <c r="G667" i="2"/>
  <c r="E652" i="2"/>
  <c r="J637" i="2"/>
  <c r="G616" i="2"/>
  <c r="G603" i="2"/>
  <c r="E588" i="2"/>
  <c r="P559" i="2"/>
  <c r="H547" i="2"/>
  <c r="I528" i="2"/>
  <c r="E510" i="2"/>
  <c r="J490" i="2"/>
  <c r="J471" i="2"/>
  <c r="P458" i="2"/>
  <c r="J446" i="2"/>
  <c r="E430" i="2"/>
  <c r="P417" i="2"/>
  <c r="H402" i="2"/>
  <c r="I386" i="2"/>
  <c r="M371" i="2"/>
  <c r="K362" i="2"/>
  <c r="O354" i="2"/>
  <c r="G344" i="2"/>
  <c r="I337" i="2"/>
  <c r="H327" i="2"/>
  <c r="H321" i="2"/>
  <c r="E312" i="2"/>
  <c r="I303" i="2"/>
  <c r="L297" i="2"/>
  <c r="N289" i="2"/>
  <c r="A282" i="2"/>
  <c r="G274" i="2"/>
  <c r="I266" i="2"/>
  <c r="D260" i="2"/>
  <c r="I255" i="2"/>
  <c r="L249" i="2"/>
  <c r="D244" i="2"/>
  <c r="F238" i="2"/>
  <c r="I232" i="2"/>
  <c r="A227" i="2"/>
  <c r="F221" i="2"/>
  <c r="A216" i="2"/>
  <c r="I210" i="2"/>
  <c r="H203" i="2"/>
  <c r="E198" i="2"/>
  <c r="D191" i="2"/>
  <c r="L185" i="2"/>
  <c r="G180" i="2"/>
  <c r="D175" i="2"/>
  <c r="H171" i="2"/>
  <c r="E166" i="2"/>
  <c r="N160" i="2"/>
  <c r="H155" i="2"/>
  <c r="E150" i="2"/>
  <c r="N144" i="2"/>
  <c r="H139" i="2"/>
  <c r="E134" i="2"/>
  <c r="N128" i="2"/>
  <c r="L121" i="2"/>
  <c r="G116" i="2"/>
  <c r="D111" i="2"/>
  <c r="L105" i="2"/>
  <c r="G100" i="2"/>
  <c r="N96" i="2"/>
  <c r="H91" i="2"/>
  <c r="E86" i="2"/>
  <c r="N80" i="2"/>
  <c r="H75" i="2"/>
  <c r="E70" i="2"/>
  <c r="N64" i="2"/>
  <c r="H59" i="2"/>
  <c r="E54" i="2"/>
  <c r="N48" i="2"/>
  <c r="F45" i="2"/>
  <c r="E38" i="2"/>
  <c r="N32" i="2"/>
  <c r="H27" i="2"/>
  <c r="A24" i="2"/>
  <c r="I18" i="2"/>
  <c r="E1022" i="2"/>
  <c r="E957" i="2"/>
  <c r="M898" i="2"/>
  <c r="F863" i="2"/>
  <c r="H818" i="2"/>
  <c r="D795" i="2"/>
  <c r="K776" i="2"/>
  <c r="F745" i="2"/>
  <c r="D730" i="2"/>
  <c r="D706" i="2"/>
  <c r="M688" i="2"/>
  <c r="E680" i="2"/>
  <c r="J665" i="2"/>
  <c r="J651" i="2"/>
  <c r="I637" i="2"/>
  <c r="I623" i="2"/>
  <c r="E609" i="2"/>
  <c r="H595" i="2"/>
  <c r="J587" i="2"/>
  <c r="I573" i="2"/>
  <c r="G567" i="2"/>
  <c r="F553" i="2"/>
  <c r="H540" i="2"/>
  <c r="O534" i="2"/>
  <c r="E522" i="2"/>
  <c r="I515" i="2"/>
  <c r="E503" i="2"/>
  <c r="F490" i="2"/>
  <c r="E478" i="2"/>
  <c r="F465" i="2"/>
  <c r="E453" i="2"/>
  <c r="H440" i="2"/>
  <c r="K434" i="2"/>
  <c r="M423" i="2"/>
  <c r="F412" i="2"/>
  <c r="O406" i="2"/>
  <c r="K396" i="2"/>
  <c r="E386" i="2"/>
  <c r="K376" i="2"/>
  <c r="P366" i="2"/>
  <c r="H362" i="2"/>
  <c r="N354" i="2"/>
  <c r="J347" i="2"/>
  <c r="C344" i="2"/>
  <c r="H337" i="2"/>
  <c r="I330" i="2"/>
  <c r="B324" i="2"/>
  <c r="N317" i="2"/>
  <c r="D315" i="2"/>
  <c r="G309" i="2"/>
  <c r="H303" i="2"/>
  <c r="I297" i="2"/>
  <c r="F292" i="2"/>
  <c r="D287" i="2"/>
  <c r="N281" i="2"/>
  <c r="I276" i="2"/>
  <c r="L271" i="2"/>
  <c r="H266" i="2"/>
  <c r="D262" i="2"/>
  <c r="I257" i="2"/>
  <c r="G253" i="2"/>
  <c r="I249" i="2"/>
  <c r="L247" i="2"/>
  <c r="A242" i="2"/>
  <c r="E238" i="2"/>
  <c r="F236" i="2"/>
  <c r="H232" i="2"/>
  <c r="L228" i="2"/>
  <c r="F1140" i="2"/>
  <c r="G1032" i="2"/>
  <c r="G964" i="2"/>
  <c r="M910" i="2"/>
  <c r="E871" i="2"/>
  <c r="E844" i="2"/>
  <c r="F820" i="2"/>
  <c r="C799" i="2"/>
  <c r="H782" i="2"/>
  <c r="C763" i="2"/>
  <c r="E746" i="2"/>
  <c r="M732" i="2"/>
  <c r="K718" i="2"/>
  <c r="M708" i="2"/>
  <c r="L698" i="2"/>
  <c r="N689" i="2"/>
  <c r="J681" i="2"/>
  <c r="G675" i="2"/>
  <c r="I667" i="2"/>
  <c r="E660" i="2"/>
  <c r="E653" i="2"/>
  <c r="J645" i="2"/>
  <c r="H639" i="2"/>
  <c r="J631" i="2"/>
  <c r="G624" i="2"/>
  <c r="I617" i="2"/>
  <c r="G611" i="2"/>
  <c r="I603" i="2"/>
  <c r="E596" i="2"/>
  <c r="E589" i="2"/>
  <c r="J581" i="2"/>
  <c r="H575" i="2"/>
  <c r="J567" i="2"/>
  <c r="I560" i="2"/>
  <c r="I554" i="2"/>
  <c r="P548" i="2"/>
  <c r="E542" i="2"/>
  <c r="H535" i="2"/>
  <c r="G529" i="2"/>
  <c r="P522" i="2"/>
  <c r="F517" i="2"/>
  <c r="I510" i="2"/>
  <c r="G504" i="2"/>
  <c r="M497" i="2"/>
  <c r="F492" i="2"/>
  <c r="G485" i="2"/>
  <c r="M478" i="2"/>
  <c r="H472" i="2"/>
  <c r="E466" i="2"/>
  <c r="G460" i="2"/>
  <c r="J453" i="2"/>
  <c r="H447" i="2"/>
  <c r="I441" i="2"/>
  <c r="I436" i="2"/>
  <c r="G430" i="2"/>
  <c r="H424" i="2"/>
  <c r="K418" i="2"/>
  <c r="P412" i="2"/>
  <c r="F408" i="2"/>
  <c r="M402" i="2"/>
  <c r="K397" i="2"/>
  <c r="G392" i="2"/>
  <c r="M387" i="2"/>
  <c r="E382" i="2"/>
  <c r="E377" i="2"/>
  <c r="H372" i="2"/>
  <c r="K367" i="2"/>
  <c r="J363" i="2"/>
  <c r="C359" i="2"/>
  <c r="H355" i="2"/>
  <c r="M351" i="2"/>
  <c r="C348" i="2"/>
  <c r="B345" i="2"/>
  <c r="F341" i="2"/>
  <c r="P337" i="2"/>
  <c r="J334" i="2"/>
  <c r="B331" i="2"/>
  <c r="A328" i="2"/>
  <c r="L324" i="2"/>
  <c r="L321" i="2"/>
  <c r="J318" i="2"/>
  <c r="I315" i="2"/>
  <c r="L312" i="2"/>
  <c r="L309" i="2"/>
  <c r="N306" i="2"/>
  <c r="N303" i="2"/>
  <c r="D301" i="2"/>
  <c r="D298" i="2"/>
  <c r="H295" i="2"/>
  <c r="I292" i="2"/>
  <c r="F290" i="2"/>
  <c r="L287" i="2"/>
  <c r="D285" i="2"/>
  <c r="H282" i="2"/>
  <c r="N279" i="2"/>
  <c r="F277" i="2"/>
  <c r="I274" i="2"/>
  <c r="D272" i="2"/>
  <c r="G269" i="2"/>
  <c r="D267" i="2"/>
  <c r="I264" i="2"/>
  <c r="G262" i="2"/>
  <c r="F260" i="2"/>
  <c r="E258" i="2"/>
  <c r="N255" i="2"/>
  <c r="L253" i="2"/>
  <c r="N251" i="2"/>
  <c r="A250" i="2"/>
  <c r="D248" i="2"/>
  <c r="E246" i="2"/>
  <c r="F244" i="2"/>
  <c r="G242" i="2"/>
  <c r="H240" i="2"/>
  <c r="I238" i="2"/>
  <c r="I236" i="2"/>
  <c r="L234" i="2"/>
  <c r="N232" i="2"/>
  <c r="A231" i="2"/>
  <c r="D229" i="2"/>
  <c r="E227" i="2"/>
  <c r="F225" i="2"/>
  <c r="G223" i="2"/>
  <c r="H221" i="2"/>
  <c r="L219" i="2"/>
  <c r="A218" i="2"/>
  <c r="E216" i="2"/>
  <c r="G214" i="2"/>
  <c r="I212" i="2"/>
  <c r="N210" i="2"/>
  <c r="D209" i="2"/>
  <c r="F207" i="2"/>
  <c r="H205" i="2"/>
  <c r="L203" i="2"/>
  <c r="A202" i="2"/>
  <c r="E200" i="2"/>
  <c r="G198" i="2"/>
  <c r="I196" i="2"/>
  <c r="N194" i="2"/>
  <c r="D193" i="2"/>
  <c r="F191" i="2"/>
  <c r="H189" i="2"/>
  <c r="L187" i="2"/>
  <c r="A186" i="2"/>
  <c r="E184" i="2"/>
  <c r="G182" i="2"/>
  <c r="I180" i="2"/>
  <c r="N178" i="2"/>
  <c r="D177" i="2"/>
  <c r="F175" i="2"/>
  <c r="H173" i="2"/>
  <c r="L171" i="2"/>
  <c r="A170" i="2"/>
  <c r="E168" i="2"/>
  <c r="G166" i="2"/>
  <c r="I164" i="2"/>
  <c r="N162" i="2"/>
  <c r="D161" i="2"/>
  <c r="F159" i="2"/>
  <c r="H157" i="2"/>
  <c r="L155" i="2"/>
  <c r="A154" i="2"/>
  <c r="E152" i="2"/>
  <c r="G150" i="2"/>
  <c r="I148" i="2"/>
  <c r="N146" i="2"/>
  <c r="D145" i="2"/>
  <c r="F143" i="2"/>
  <c r="H141" i="2"/>
  <c r="L139" i="2"/>
  <c r="A138" i="2"/>
  <c r="E136" i="2"/>
  <c r="G134" i="2"/>
  <c r="I132" i="2"/>
  <c r="N130" i="2"/>
  <c r="D129" i="2"/>
  <c r="F127" i="2"/>
  <c r="H125" i="2"/>
  <c r="L123" i="2"/>
  <c r="A122" i="2"/>
  <c r="E120" i="2"/>
  <c r="G118" i="2"/>
  <c r="I116" i="2"/>
  <c r="N114" i="2"/>
  <c r="D113" i="2"/>
  <c r="F111" i="2"/>
  <c r="H109" i="2"/>
  <c r="L107" i="2"/>
  <c r="A106" i="2"/>
  <c r="E104" i="2"/>
  <c r="G102" i="2"/>
  <c r="I100" i="2"/>
  <c r="N98" i="2"/>
  <c r="D97" i="2"/>
  <c r="F95" i="2"/>
  <c r="H93" i="2"/>
  <c r="L91" i="2"/>
  <c r="A90" i="2"/>
  <c r="E88" i="2"/>
  <c r="G86" i="2"/>
  <c r="I84" i="2"/>
  <c r="N82" i="2"/>
  <c r="D81" i="2"/>
  <c r="F79" i="2"/>
  <c r="H77" i="2"/>
  <c r="L75" i="2"/>
  <c r="A74" i="2"/>
  <c r="E72" i="2"/>
  <c r="G70" i="2"/>
  <c r="I68" i="2"/>
  <c r="N66" i="2"/>
  <c r="D65" i="2"/>
  <c r="F63" i="2"/>
  <c r="H61" i="2"/>
  <c r="L59" i="2"/>
  <c r="A58" i="2"/>
  <c r="E56" i="2"/>
  <c r="G54" i="2"/>
  <c r="I52" i="2"/>
  <c r="N50" i="2"/>
  <c r="D49" i="2"/>
  <c r="F47" i="2"/>
  <c r="H45" i="2"/>
  <c r="L43" i="2"/>
  <c r="A42" i="2"/>
  <c r="E40" i="2"/>
  <c r="G38" i="2"/>
  <c r="I36" i="2"/>
  <c r="N34" i="2"/>
  <c r="D33" i="2"/>
  <c r="F31" i="2"/>
  <c r="H29" i="2"/>
  <c r="L27" i="2"/>
  <c r="A26" i="2"/>
  <c r="E24" i="2"/>
  <c r="G22" i="2"/>
  <c r="I20" i="2"/>
  <c r="N18" i="2"/>
  <c r="D17" i="2"/>
  <c r="F15" i="2"/>
  <c r="A65" i="2"/>
  <c r="D56" i="2"/>
  <c r="H52" i="2"/>
  <c r="E47" i="2"/>
  <c r="D40" i="2"/>
  <c r="L34" i="2"/>
  <c r="I27" i="2"/>
  <c r="F22" i="2"/>
  <c r="A17" i="2"/>
  <c r="P1124" i="2"/>
  <c r="P865" i="2"/>
  <c r="I777" i="2"/>
  <c r="H745" i="2"/>
  <c r="P716" i="2"/>
  <c r="H698" i="2"/>
  <c r="I673" i="2"/>
  <c r="I659" i="2"/>
  <c r="E645" i="2"/>
  <c r="J623" i="2"/>
  <c r="I609" i="2"/>
  <c r="I595" i="2"/>
  <c r="E581" i="2"/>
  <c r="H567" i="2"/>
  <c r="H553" i="2"/>
  <c r="P534" i="2"/>
  <c r="F522" i="2"/>
  <c r="H503" i="2"/>
  <c r="F497" i="2"/>
  <c r="E485" i="2"/>
  <c r="G465" i="2"/>
  <c r="F453" i="2"/>
  <c r="E435" i="2"/>
  <c r="O423" i="2"/>
  <c r="G412" i="2"/>
  <c r="P396" i="2"/>
  <c r="O391" i="2"/>
  <c r="P381" i="2"/>
  <c r="B367" i="2"/>
  <c r="L358" i="2"/>
  <c r="L347" i="2"/>
  <c r="P340" i="2"/>
  <c r="K330" i="2"/>
  <c r="E324" i="2"/>
  <c r="G315" i="2"/>
  <c r="H309" i="2"/>
  <c r="L300" i="2"/>
  <c r="G292" i="2"/>
  <c r="N284" i="2"/>
  <c r="D277" i="2"/>
  <c r="N271" i="2"/>
  <c r="G264" i="2"/>
  <c r="L257" i="2"/>
  <c r="I251" i="2"/>
  <c r="A246" i="2"/>
  <c r="E240" i="2"/>
  <c r="H234" i="2"/>
  <c r="N228" i="2"/>
  <c r="E223" i="2"/>
  <c r="L217" i="2"/>
  <c r="E214" i="2"/>
  <c r="N208" i="2"/>
  <c r="F205" i="2"/>
  <c r="A200" i="2"/>
  <c r="I194" i="2"/>
  <c r="F189" i="2"/>
  <c r="A184" i="2"/>
  <c r="I178" i="2"/>
  <c r="F173" i="2"/>
  <c r="A168" i="2"/>
  <c r="G164" i="2"/>
  <c r="D159" i="2"/>
  <c r="L153" i="2"/>
  <c r="G148" i="2"/>
  <c r="D143" i="2"/>
  <c r="L137" i="2"/>
  <c r="G132" i="2"/>
  <c r="D127" i="2"/>
  <c r="H123" i="2"/>
  <c r="E118" i="2"/>
  <c r="N112" i="2"/>
  <c r="H107" i="2"/>
  <c r="A104" i="2"/>
  <c r="I98" i="2"/>
  <c r="F93" i="2"/>
  <c r="L89" i="2"/>
  <c r="G84" i="2"/>
  <c r="D79" i="2"/>
  <c r="L73" i="2"/>
  <c r="G68" i="2"/>
  <c r="D63" i="2"/>
  <c r="L57" i="2"/>
  <c r="G52" i="2"/>
  <c r="D47" i="2"/>
  <c r="H43" i="2"/>
  <c r="A40" i="2"/>
  <c r="I34" i="2"/>
  <c r="D31" i="2"/>
  <c r="L25" i="2"/>
  <c r="G20" i="2"/>
  <c r="D15" i="2"/>
  <c r="P380" i="2"/>
  <c r="B1125" i="2"/>
  <c r="M1022" i="2"/>
  <c r="E963" i="2"/>
  <c r="M909" i="2"/>
  <c r="N870" i="2"/>
  <c r="C844" i="2"/>
  <c r="D820" i="2"/>
  <c r="C798" i="2"/>
  <c r="K777" i="2"/>
  <c r="P762" i="2"/>
  <c r="P745" i="2"/>
  <c r="F731" i="2"/>
  <c r="E718" i="2"/>
  <c r="H708" i="2"/>
  <c r="I698" i="2"/>
  <c r="L689" i="2"/>
  <c r="F681" i="2"/>
  <c r="J673" i="2"/>
  <c r="H667" i="2"/>
  <c r="J659" i="2"/>
  <c r="G652" i="2"/>
  <c r="I645" i="2"/>
  <c r="G639" i="2"/>
  <c r="I631" i="2"/>
  <c r="E624" i="2"/>
  <c r="E617" i="2"/>
  <c r="J609" i="2"/>
  <c r="H603" i="2"/>
  <c r="J595" i="2"/>
  <c r="G588" i="2"/>
  <c r="I581" i="2"/>
  <c r="G575" i="2"/>
  <c r="I567" i="2"/>
  <c r="G560" i="2"/>
  <c r="E554" i="2"/>
  <c r="I547" i="2"/>
  <c r="P541" i="2"/>
  <c r="E535" i="2"/>
  <c r="F529" i="2"/>
  <c r="J522" i="2"/>
  <c r="E517" i="2"/>
  <c r="F510" i="2"/>
  <c r="J503" i="2"/>
  <c r="G497" i="2"/>
  <c r="P490" i="2"/>
  <c r="F485" i="2"/>
  <c r="I478" i="2"/>
  <c r="G472" i="2"/>
  <c r="M465" i="2"/>
  <c r="F460" i="2"/>
  <c r="G453" i="2"/>
  <c r="M446" i="2"/>
  <c r="E441" i="2"/>
  <c r="H435" i="2"/>
  <c r="F430" i="2"/>
  <c r="F424" i="2"/>
  <c r="J418" i="2"/>
  <c r="K412" i="2"/>
  <c r="E408" i="2"/>
  <c r="I402" i="2"/>
  <c r="E397" i="2"/>
  <c r="P391" i="2"/>
  <c r="M386" i="2"/>
  <c r="B382" i="2"/>
  <c r="P376" i="2"/>
  <c r="G372" i="2"/>
  <c r="H367" i="2"/>
  <c r="I363" i="2"/>
  <c r="P358" i="2"/>
  <c r="E355" i="2"/>
  <c r="L351" i="2"/>
  <c r="B348" i="2"/>
  <c r="I344" i="2"/>
  <c r="C341" i="2"/>
  <c r="M337" i="2"/>
  <c r="I334" i="2"/>
  <c r="A331" i="2"/>
  <c r="N327" i="2"/>
  <c r="K324" i="2"/>
  <c r="K321" i="2"/>
  <c r="F318" i="2"/>
  <c r="H315" i="2"/>
  <c r="I312" i="2"/>
  <c r="I309" i="2"/>
  <c r="L306" i="2"/>
  <c r="L303" i="2"/>
  <c r="N300" i="2"/>
  <c r="N297" i="2"/>
  <c r="E295" i="2"/>
  <c r="H292" i="2"/>
  <c r="E290" i="2"/>
  <c r="F287" i="2"/>
  <c r="A285" i="2"/>
  <c r="G282" i="2"/>
  <c r="L279" i="2"/>
  <c r="E277" i="2"/>
  <c r="H274" i="2"/>
  <c r="A272" i="2"/>
  <c r="F269" i="2"/>
  <c r="L266" i="2"/>
  <c r="H264" i="2"/>
  <c r="F262" i="2"/>
  <c r="E260" i="2"/>
  <c r="N257" i="2"/>
  <c r="L255" i="2"/>
  <c r="I253" i="2"/>
  <c r="L251" i="2"/>
  <c r="N249" i="2"/>
  <c r="A248" i="2"/>
  <c r="D246" i="2"/>
  <c r="E244" i="2"/>
  <c r="F242" i="2"/>
  <c r="G240" i="2"/>
  <c r="G238" i="2"/>
  <c r="H236" i="2"/>
  <c r="I234" i="2"/>
  <c r="L232" i="2"/>
  <c r="N230" i="2"/>
  <c r="A229" i="2"/>
  <c r="D227" i="2"/>
  <c r="E225" i="2"/>
  <c r="F223" i="2"/>
  <c r="G221" i="2"/>
  <c r="I219" i="2"/>
  <c r="N217" i="2"/>
  <c r="D216" i="2"/>
  <c r="F214" i="2"/>
  <c r="H212" i="2"/>
  <c r="L210" i="2"/>
  <c r="A209" i="2"/>
  <c r="E207" i="2"/>
  <c r="G205" i="2"/>
  <c r="I203" i="2"/>
  <c r="N201" i="2"/>
  <c r="D200" i="2"/>
  <c r="F198" i="2"/>
  <c r="H196" i="2"/>
  <c r="L194" i="2"/>
  <c r="A193" i="2"/>
  <c r="E191" i="2"/>
  <c r="G189" i="2"/>
  <c r="I187" i="2"/>
  <c r="N185" i="2"/>
  <c r="D184" i="2"/>
  <c r="F182" i="2"/>
  <c r="H180" i="2"/>
  <c r="L178" i="2"/>
  <c r="A177" i="2"/>
  <c r="E175" i="2"/>
  <c r="G173" i="2"/>
  <c r="I171" i="2"/>
  <c r="N169" i="2"/>
  <c r="D168" i="2"/>
  <c r="F166" i="2"/>
  <c r="H164" i="2"/>
  <c r="L162" i="2"/>
  <c r="A161" i="2"/>
  <c r="E159" i="2"/>
  <c r="G157" i="2"/>
  <c r="I155" i="2"/>
  <c r="N153" i="2"/>
  <c r="D152" i="2"/>
  <c r="F150" i="2"/>
  <c r="H148" i="2"/>
  <c r="L146" i="2"/>
  <c r="A145" i="2"/>
  <c r="E143" i="2"/>
  <c r="G141" i="2"/>
  <c r="I139" i="2"/>
  <c r="N137" i="2"/>
  <c r="D136" i="2"/>
  <c r="F134" i="2"/>
  <c r="H132" i="2"/>
  <c r="L130" i="2"/>
  <c r="A129" i="2"/>
  <c r="E127" i="2"/>
  <c r="G125" i="2"/>
  <c r="I123" i="2"/>
  <c r="N121" i="2"/>
  <c r="D120" i="2"/>
  <c r="F118" i="2"/>
  <c r="H116" i="2"/>
  <c r="L114" i="2"/>
  <c r="A113" i="2"/>
  <c r="E111" i="2"/>
  <c r="G109" i="2"/>
  <c r="I107" i="2"/>
  <c r="N105" i="2"/>
  <c r="D104" i="2"/>
  <c r="F102" i="2"/>
  <c r="H100" i="2"/>
  <c r="L98" i="2"/>
  <c r="A97" i="2"/>
  <c r="E95" i="2"/>
  <c r="G93" i="2"/>
  <c r="I91" i="2"/>
  <c r="N89" i="2"/>
  <c r="D88" i="2"/>
  <c r="F86" i="2"/>
  <c r="H84" i="2"/>
  <c r="L82" i="2"/>
  <c r="A81" i="2"/>
  <c r="E79" i="2"/>
  <c r="G77" i="2"/>
  <c r="I75" i="2"/>
  <c r="N73" i="2"/>
  <c r="D72" i="2"/>
  <c r="F70" i="2"/>
  <c r="H68" i="2"/>
  <c r="L66" i="2"/>
  <c r="E63" i="2"/>
  <c r="G61" i="2"/>
  <c r="N57" i="2"/>
  <c r="F54" i="2"/>
  <c r="A49" i="2"/>
  <c r="I43" i="2"/>
  <c r="F38" i="2"/>
  <c r="E31" i="2"/>
  <c r="N25" i="2"/>
  <c r="L18" i="2"/>
  <c r="D819" i="2"/>
  <c r="C689" i="2"/>
  <c r="H631" i="2"/>
  <c r="J573" i="2"/>
  <c r="O541" i="2"/>
  <c r="O515" i="2"/>
  <c r="F478" i="2"/>
  <c r="P440" i="2"/>
  <c r="E407" i="2"/>
  <c r="L376" i="2"/>
  <c r="K351" i="2"/>
  <c r="H334" i="2"/>
  <c r="E318" i="2"/>
  <c r="I306" i="2"/>
  <c r="D295" i="2"/>
  <c r="E287" i="2"/>
  <c r="I279" i="2"/>
  <c r="E269" i="2"/>
  <c r="E262" i="2"/>
  <c r="H253" i="2"/>
  <c r="N247" i="2"/>
  <c r="E242" i="2"/>
  <c r="G236" i="2"/>
  <c r="L230" i="2"/>
  <c r="D225" i="2"/>
  <c r="H219" i="2"/>
  <c r="G212" i="2"/>
  <c r="D207" i="2"/>
  <c r="L201" i="2"/>
  <c r="G196" i="2"/>
  <c r="N192" i="2"/>
  <c r="H187" i="2"/>
  <c r="E182" i="2"/>
  <c r="N176" i="2"/>
  <c r="L169" i="2"/>
  <c r="I162" i="2"/>
  <c r="F157" i="2"/>
  <c r="A152" i="2"/>
  <c r="I146" i="2"/>
  <c r="F141" i="2"/>
  <c r="A136" i="2"/>
  <c r="I130" i="2"/>
  <c r="F125" i="2"/>
  <c r="A120" i="2"/>
  <c r="I114" i="2"/>
  <c r="F109" i="2"/>
  <c r="E102" i="2"/>
  <c r="D95" i="2"/>
  <c r="A88" i="2"/>
  <c r="I82" i="2"/>
  <c r="F77" i="2"/>
  <c r="A72" i="2"/>
  <c r="I66" i="2"/>
  <c r="F61" i="2"/>
  <c r="A56" i="2"/>
  <c r="I50" i="2"/>
  <c r="L41" i="2"/>
  <c r="G36" i="2"/>
  <c r="F29" i="2"/>
  <c r="E22" i="2"/>
  <c r="N16" i="2"/>
  <c r="L1097" i="2"/>
  <c r="G842" i="2"/>
  <c r="L758" i="2"/>
  <c r="P715" i="2"/>
  <c r="G698" i="2"/>
  <c r="E673" i="2"/>
  <c r="H659" i="2"/>
  <c r="G644" i="2"/>
  <c r="G631" i="2"/>
  <c r="E616" i="2"/>
  <c r="J601" i="2"/>
  <c r="G580" i="2"/>
  <c r="O559" i="2"/>
  <c r="P546" i="2"/>
  <c r="G528" i="2"/>
  <c r="P509" i="2"/>
  <c r="I496" i="2"/>
  <c r="O483" i="2"/>
  <c r="H471" i="2"/>
  <c r="J458" i="2"/>
  <c r="G446" i="2"/>
  <c r="P428" i="2"/>
  <c r="M417" i="2"/>
  <c r="G402" i="2"/>
  <c r="G391" i="2"/>
  <c r="K371" i="2"/>
  <c r="K358" i="2"/>
  <c r="P350" i="2"/>
  <c r="O340" i="2"/>
  <c r="N333" i="2"/>
  <c r="F327" i="2"/>
  <c r="A321" i="2"/>
  <c r="D312" i="2"/>
  <c r="E306" i="2"/>
  <c r="I300" i="2"/>
  <c r="A295" i="2"/>
  <c r="L289" i="2"/>
  <c r="H284" i="2"/>
  <c r="H279" i="2"/>
  <c r="F274" i="2"/>
  <c r="D269" i="2"/>
  <c r="E264" i="2"/>
  <c r="A260" i="2"/>
  <c r="H255" i="2"/>
  <c r="H251" i="2"/>
  <c r="N245" i="2"/>
  <c r="D240" i="2"/>
  <c r="G234" i="2"/>
  <c r="I230" i="2"/>
  <c r="N950" i="2"/>
  <c r="M855" i="2"/>
  <c r="F792" i="2"/>
  <c r="N744" i="2"/>
  <c r="E714" i="2"/>
  <c r="J686" i="2"/>
  <c r="I665" i="2"/>
  <c r="I649" i="2"/>
  <c r="E629" i="2"/>
  <c r="G608" i="2"/>
  <c r="G592" i="2"/>
  <c r="E572" i="2"/>
  <c r="O552" i="2"/>
  <c r="J538" i="2"/>
  <c r="O520" i="2"/>
  <c r="P502" i="2"/>
  <c r="M488" i="2"/>
  <c r="O470" i="2"/>
  <c r="O451" i="2"/>
  <c r="J438" i="2"/>
  <c r="G422" i="2"/>
  <c r="I406" i="2"/>
  <c r="O394" i="2"/>
  <c r="G380" i="2"/>
  <c r="I366" i="2"/>
  <c r="E357" i="2"/>
  <c r="E347" i="2"/>
  <c r="A337" i="2"/>
  <c r="H329" i="2"/>
  <c r="H320" i="2"/>
  <c r="N311" i="2"/>
  <c r="H305" i="2"/>
  <c r="D297" i="2"/>
  <c r="I289" i="2"/>
  <c r="I283" i="2"/>
  <c r="F276" i="2"/>
  <c r="A269" i="2"/>
  <c r="I263" i="2"/>
  <c r="F257" i="2"/>
  <c r="G251" i="2"/>
  <c r="D247" i="2"/>
  <c r="L241" i="2"/>
  <c r="A237" i="2"/>
  <c r="D232" i="2"/>
  <c r="L226" i="2"/>
  <c r="L222" i="2"/>
  <c r="N218" i="2"/>
  <c r="D214" i="2"/>
  <c r="F210" i="2"/>
  <c r="H206" i="2"/>
  <c r="E202" i="2"/>
  <c r="A198" i="2"/>
  <c r="E194" i="2"/>
  <c r="G190" i="2"/>
  <c r="I185" i="2"/>
  <c r="N181" i="2"/>
  <c r="D178" i="2"/>
  <c r="L173" i="2"/>
  <c r="H169" i="2"/>
  <c r="L165" i="2"/>
  <c r="A162" i="2"/>
  <c r="E157" i="2"/>
  <c r="G153" i="2"/>
  <c r="I149" i="2"/>
  <c r="F145" i="2"/>
  <c r="D141" i="2"/>
  <c r="F137" i="2"/>
  <c r="H133" i="2"/>
  <c r="L128" i="2"/>
  <c r="A125" i="2"/>
  <c r="E121" i="2"/>
  <c r="N116" i="2"/>
  <c r="I112" i="2"/>
  <c r="N108" i="2"/>
  <c r="D105" i="2"/>
  <c r="F100" i="2"/>
  <c r="H96" i="2"/>
  <c r="L92" i="2"/>
  <c r="G88" i="2"/>
  <c r="E84" i="2"/>
  <c r="G80" i="2"/>
  <c r="I76" i="2"/>
  <c r="N71" i="2"/>
  <c r="D68" i="2"/>
  <c r="F64" i="2"/>
  <c r="A60" i="2"/>
  <c r="L55" i="2"/>
  <c r="A52" i="2"/>
  <c r="E48" i="2"/>
  <c r="G43" i="2"/>
  <c r="I39" i="2"/>
  <c r="N35" i="2"/>
  <c r="H31" i="2"/>
  <c r="F27" i="2"/>
  <c r="H23" i="2"/>
  <c r="L19" i="2"/>
  <c r="A15" i="2"/>
  <c r="A84" i="2"/>
  <c r="N67" i="2"/>
  <c r="F59" i="2"/>
  <c r="E43" i="2"/>
  <c r="D35" i="2"/>
  <c r="F23" i="2"/>
  <c r="L14" i="2"/>
  <c r="L103" i="2"/>
  <c r="H79" i="2"/>
  <c r="A63" i="2"/>
  <c r="D51" i="2"/>
  <c r="F39" i="2"/>
  <c r="I22" i="2"/>
  <c r="N42" i="2"/>
  <c r="G14" i="2"/>
  <c r="N21" i="2"/>
  <c r="C824" i="2"/>
  <c r="E514" i="2"/>
  <c r="B362" i="2"/>
  <c r="N308" i="2"/>
  <c r="H260" i="2"/>
  <c r="L239" i="2"/>
  <c r="F212" i="2"/>
  <c r="I188" i="2"/>
  <c r="L167" i="2"/>
  <c r="N147" i="2"/>
  <c r="E123" i="2"/>
  <c r="H98" i="2"/>
  <c r="I78" i="2"/>
  <c r="A54" i="2"/>
  <c r="H25" i="2"/>
  <c r="H729" i="2"/>
  <c r="G600" i="2"/>
  <c r="M513" i="2"/>
  <c r="O415" i="2"/>
  <c r="E333" i="2"/>
  <c r="D294" i="2"/>
  <c r="F249" i="2"/>
  <c r="G216" i="2"/>
  <c r="L183" i="2"/>
  <c r="N163" i="2"/>
  <c r="G135" i="2"/>
  <c r="I102" i="2"/>
  <c r="A70" i="2"/>
  <c r="H41" i="2"/>
  <c r="E1035" i="2"/>
  <c r="G619" i="2"/>
  <c r="K444" i="2"/>
  <c r="M341" i="2"/>
  <c r="D279" i="2"/>
  <c r="D234" i="2"/>
  <c r="A204" i="2"/>
  <c r="F171" i="2"/>
  <c r="D139" i="2"/>
  <c r="I110" i="2"/>
  <c r="E82" i="2"/>
  <c r="A50" i="2"/>
  <c r="E1021" i="2"/>
  <c r="E636" i="2"/>
  <c r="H476" i="2"/>
  <c r="H371" i="2"/>
  <c r="E308" i="2"/>
  <c r="G259" i="2"/>
  <c r="A220" i="2"/>
  <c r="H191" i="2"/>
  <c r="N158" i="2"/>
  <c r="G130" i="2"/>
  <c r="E106" i="2"/>
  <c r="H73" i="2"/>
  <c r="F41" i="2"/>
  <c r="H508" i="2"/>
  <c r="N211" i="2"/>
  <c r="I150" i="2"/>
  <c r="A118" i="2"/>
  <c r="H89" i="2"/>
  <c r="F57" i="2"/>
  <c r="N28" i="2"/>
  <c r="K809" i="2"/>
  <c r="H457" i="2"/>
  <c r="N349" i="2"/>
  <c r="A292" i="2"/>
  <c r="E259" i="2"/>
  <c r="I223" i="2"/>
  <c r="D195" i="2"/>
  <c r="I166" i="2"/>
  <c r="A134" i="2"/>
  <c r="L101" i="2"/>
  <c r="H69" i="2"/>
  <c r="D41" i="2"/>
  <c r="G691" i="2"/>
  <c r="O507" i="2"/>
  <c r="K348" i="2"/>
  <c r="A264" i="2"/>
  <c r="E219" i="2"/>
  <c r="A187" i="2"/>
  <c r="A150" i="2"/>
  <c r="A114" i="2"/>
  <c r="A77" i="2"/>
  <c r="L44" i="2"/>
  <c r="H291" i="2"/>
  <c r="E170" i="2"/>
  <c r="E89" i="2"/>
  <c r="E16" i="2"/>
  <c r="F521" i="2"/>
  <c r="I357" i="2"/>
  <c r="G297" i="2"/>
  <c r="E247" i="2"/>
  <c r="I206" i="2"/>
  <c r="G174" i="2"/>
  <c r="A146" i="2"/>
  <c r="L112" i="2"/>
  <c r="H80" i="2"/>
  <c r="A44" i="2"/>
  <c r="H15" i="2"/>
  <c r="K1207" i="2"/>
  <c r="M950" i="2"/>
  <c r="F845" i="2"/>
  <c r="E792" i="2"/>
  <c r="H741" i="2"/>
  <c r="G709" i="2"/>
  <c r="I686" i="2"/>
  <c r="E665" i="2"/>
  <c r="H647" i="2"/>
  <c r="G628" i="2"/>
  <c r="E608" i="2"/>
  <c r="J589" i="2"/>
  <c r="J571" i="2"/>
  <c r="M552" i="2"/>
  <c r="G536" i="2"/>
  <c r="M520" i="2"/>
  <c r="O502" i="2"/>
  <c r="O485" i="2"/>
  <c r="J469" i="2"/>
  <c r="I451" i="2"/>
  <c r="K436" i="2"/>
  <c r="O421" i="2"/>
  <c r="H406" i="2"/>
  <c r="J393" i="2"/>
  <c r="M379" i="2"/>
  <c r="G366" i="2"/>
  <c r="E356" i="2"/>
  <c r="K346" i="2"/>
  <c r="O336" i="2"/>
  <c r="C328" i="2"/>
  <c r="G320" i="2"/>
  <c r="L311" i="2"/>
  <c r="E304" i="2"/>
  <c r="N296" i="2"/>
  <c r="H289" i="2"/>
  <c r="L282" i="2"/>
  <c r="E276" i="2"/>
  <c r="N268" i="2"/>
  <c r="L262" i="2"/>
  <c r="D257" i="2"/>
  <c r="F251" i="2"/>
  <c r="G246" i="2"/>
  <c r="I241" i="2"/>
  <c r="E236" i="2"/>
  <c r="A232" i="2"/>
  <c r="I226" i="2"/>
  <c r="I222" i="2"/>
  <c r="E218" i="2"/>
  <c r="A214" i="2"/>
  <c r="E210" i="2"/>
  <c r="G206" i="2"/>
  <c r="I201" i="2"/>
  <c r="N197" i="2"/>
  <c r="D194" i="2"/>
  <c r="L189" i="2"/>
  <c r="H185" i="2"/>
  <c r="L181" i="2"/>
  <c r="A178" i="2"/>
  <c r="E173" i="2"/>
  <c r="G169" i="2"/>
  <c r="I165" i="2"/>
  <c r="F161" i="2"/>
  <c r="D157" i="2"/>
  <c r="F153" i="2"/>
  <c r="H149" i="2"/>
  <c r="L144" i="2"/>
  <c r="A141" i="2"/>
  <c r="E137" i="2"/>
  <c r="N132" i="2"/>
  <c r="I128" i="2"/>
  <c r="N124" i="2"/>
  <c r="D121" i="2"/>
  <c r="F116" i="2"/>
  <c r="H112" i="2"/>
  <c r="L108" i="2"/>
  <c r="G104" i="2"/>
  <c r="E100" i="2"/>
  <c r="G96" i="2"/>
  <c r="I92" i="2"/>
  <c r="N87" i="2"/>
  <c r="D84" i="2"/>
  <c r="F80" i="2"/>
  <c r="A76" i="2"/>
  <c r="L71" i="2"/>
  <c r="A68" i="2"/>
  <c r="E64" i="2"/>
  <c r="G59" i="2"/>
  <c r="I55" i="2"/>
  <c r="N51" i="2"/>
  <c r="H47" i="2"/>
  <c r="F43" i="2"/>
  <c r="H39" i="2"/>
  <c r="L35" i="2"/>
  <c r="A31" i="2"/>
  <c r="E27" i="2"/>
  <c r="G23" i="2"/>
  <c r="D19" i="2"/>
  <c r="N14" i="2"/>
  <c r="L87" i="2"/>
  <c r="G75" i="2"/>
  <c r="H63" i="2"/>
  <c r="H55" i="2"/>
  <c r="A47" i="2"/>
  <c r="G39" i="2"/>
  <c r="N30" i="2"/>
  <c r="H18" i="2"/>
  <c r="A100" i="2"/>
  <c r="N83" i="2"/>
  <c r="H71" i="2"/>
  <c r="E59" i="2"/>
  <c r="N46" i="2"/>
  <c r="L30" i="2"/>
  <c r="G18" i="2"/>
  <c r="D38" i="2"/>
  <c r="E18" i="2"/>
  <c r="I25" i="2"/>
  <c r="I621" i="2"/>
  <c r="E446" i="2"/>
  <c r="F343" i="2"/>
  <c r="E294" i="2"/>
  <c r="A255" i="2"/>
  <c r="F234" i="2"/>
  <c r="H208" i="2"/>
  <c r="N183" i="2"/>
  <c r="A164" i="2"/>
  <c r="H143" i="2"/>
  <c r="G119" i="2"/>
  <c r="L94" i="2"/>
  <c r="D70" i="2"/>
  <c r="E50" i="2"/>
  <c r="L21" i="2"/>
  <c r="E621" i="2"/>
  <c r="P477" i="2"/>
  <c r="B386" i="2"/>
  <c r="D317" i="2"/>
  <c r="H273" i="2"/>
  <c r="F229" i="2"/>
  <c r="N199" i="2"/>
  <c r="E176" i="2"/>
  <c r="E139" i="2"/>
  <c r="A107" i="2"/>
  <c r="H78" i="2"/>
  <c r="D50" i="2"/>
  <c r="I21" i="2"/>
  <c r="E726" i="2"/>
  <c r="E600" i="2"/>
  <c r="M476" i="2"/>
  <c r="P372" i="2"/>
  <c r="D300" i="2"/>
  <c r="D249" i="2"/>
  <c r="N215" i="2"/>
  <c r="I183" i="2"/>
  <c r="G151" i="2"/>
  <c r="A123" i="2"/>
  <c r="E90" i="2"/>
  <c r="H57" i="2"/>
  <c r="F25" i="2"/>
  <c r="P725" i="2"/>
  <c r="J599" i="2"/>
  <c r="F458" i="2"/>
  <c r="E361" i="2"/>
  <c r="E292" i="2"/>
  <c r="I243" i="2"/>
  <c r="E208" i="2"/>
  <c r="L179" i="2"/>
  <c r="F151" i="2"/>
  <c r="N122" i="2"/>
  <c r="G94" i="2"/>
  <c r="A66" i="2"/>
  <c r="H37" i="2"/>
  <c r="E812" i="2"/>
  <c r="E672" i="2"/>
  <c r="I615" i="2"/>
  <c r="I542" i="2"/>
  <c r="P475" i="2"/>
  <c r="I411" i="2"/>
  <c r="E340" i="2"/>
  <c r="L299" i="2"/>
  <c r="F248" i="2"/>
  <c r="I215" i="2"/>
  <c r="E187" i="2"/>
  <c r="A155" i="2"/>
  <c r="E122" i="2"/>
  <c r="L93" i="2"/>
  <c r="F65" i="2"/>
  <c r="N36" i="2"/>
  <c r="G1006" i="2"/>
  <c r="E694" i="2"/>
  <c r="I635" i="2"/>
  <c r="G579" i="2"/>
  <c r="F526" i="2"/>
  <c r="F411" i="2"/>
  <c r="J358" i="2"/>
  <c r="I314" i="2"/>
  <c r="D264" i="2"/>
  <c r="F228" i="2"/>
  <c r="G199" i="2"/>
  <c r="A171" i="2"/>
  <c r="E138" i="2"/>
  <c r="H105" i="2"/>
  <c r="F81" i="2"/>
  <c r="I48" i="2"/>
  <c r="E20" i="2"/>
  <c r="H754" i="2"/>
  <c r="F457" i="2"/>
  <c r="E314" i="2"/>
  <c r="A253" i="2"/>
  <c r="G215" i="2"/>
  <c r="G178" i="2"/>
  <c r="N133" i="2"/>
  <c r="F97" i="2"/>
  <c r="I64" i="2"/>
  <c r="E36" i="2"/>
  <c r="K793" i="2"/>
  <c r="H297" i="2"/>
  <c r="H174" i="2"/>
  <c r="A93" i="2"/>
  <c r="L23" i="2"/>
  <c r="K748" i="2"/>
  <c r="P538" i="2"/>
  <c r="H380" i="2"/>
  <c r="I305" i="2"/>
  <c r="G257" i="2"/>
  <c r="I214" i="2"/>
  <c r="A182" i="2"/>
  <c r="L149" i="2"/>
  <c r="H117" i="2"/>
  <c r="F84" i="2"/>
  <c r="I60" i="2"/>
  <c r="G27" i="2"/>
  <c r="I1207" i="2"/>
  <c r="G950" i="2"/>
  <c r="M837" i="2"/>
  <c r="H788" i="2"/>
  <c r="F741" i="2"/>
  <c r="I705" i="2"/>
  <c r="L685" i="2"/>
  <c r="G664" i="2"/>
  <c r="E644" i="2"/>
  <c r="E628" i="2"/>
  <c r="J607" i="2"/>
  <c r="I587" i="2"/>
  <c r="I571" i="2"/>
  <c r="J552" i="2"/>
  <c r="M534" i="2"/>
  <c r="J520" i="2"/>
  <c r="J501" i="2"/>
  <c r="I483" i="2"/>
  <c r="G469" i="2"/>
  <c r="E451" i="2"/>
  <c r="J434" i="2"/>
  <c r="M421" i="2"/>
  <c r="O405" i="2"/>
  <c r="E391" i="2"/>
  <c r="K379" i="2"/>
  <c r="C366" i="2"/>
  <c r="H354" i="2"/>
  <c r="I346" i="2"/>
  <c r="L336" i="2"/>
  <c r="B327" i="2"/>
  <c r="P319" i="2"/>
  <c r="I311" i="2"/>
  <c r="G303" i="2"/>
  <c r="L296" i="2"/>
  <c r="D289" i="2"/>
  <c r="L281" i="2"/>
  <c r="D276" i="2"/>
  <c r="H268" i="2"/>
  <c r="A262" i="2"/>
  <c r="A257" i="2"/>
  <c r="E251" i="2"/>
  <c r="L245" i="2"/>
  <c r="H241" i="2"/>
  <c r="D236" i="2"/>
  <c r="E231" i="2"/>
  <c r="H226" i="2"/>
  <c r="G222" i="2"/>
  <c r="I217" i="2"/>
  <c r="N213" i="2"/>
  <c r="D210" i="2"/>
  <c r="L205" i="2"/>
  <c r="H201" i="2"/>
  <c r="L197" i="2"/>
  <c r="A194" i="2"/>
  <c r="E189" i="2"/>
  <c r="G185" i="2"/>
  <c r="I181" i="2"/>
  <c r="F177" i="2"/>
  <c r="D173" i="2"/>
  <c r="F169" i="2"/>
  <c r="H165" i="2"/>
  <c r="L160" i="2"/>
  <c r="A157" i="2"/>
  <c r="E153" i="2"/>
  <c r="N148" i="2"/>
  <c r="I144" i="2"/>
  <c r="N140" i="2"/>
  <c r="D137" i="2"/>
  <c r="F132" i="2"/>
  <c r="H128" i="2"/>
  <c r="L124" i="2"/>
  <c r="G120" i="2"/>
  <c r="E116" i="2"/>
  <c r="G112" i="2"/>
  <c r="I108" i="2"/>
  <c r="N103" i="2"/>
  <c r="D100" i="2"/>
  <c r="F96" i="2"/>
  <c r="A92" i="2"/>
  <c r="E80" i="2"/>
  <c r="I71" i="2"/>
  <c r="L51" i="2"/>
  <c r="D27" i="2"/>
  <c r="G91" i="2"/>
  <c r="F75" i="2"/>
  <c r="G55" i="2"/>
  <c r="D43" i="2"/>
  <c r="A27" i="2"/>
  <c r="I14" i="2"/>
  <c r="H30" i="2"/>
  <c r="A38" i="2"/>
  <c r="D18" i="2"/>
  <c r="N897" i="2"/>
  <c r="G679" i="2"/>
  <c r="E601" i="2"/>
  <c r="E546" i="2"/>
  <c r="I479" i="2"/>
  <c r="B401" i="2"/>
  <c r="C352" i="2"/>
  <c r="G317" i="2"/>
  <c r="D280" i="2"/>
  <c r="G249" i="2"/>
  <c r="N224" i="2"/>
  <c r="L204" i="2"/>
  <c r="D180" i="2"/>
  <c r="G155" i="2"/>
  <c r="H135" i="2"/>
  <c r="N110" i="2"/>
  <c r="I86" i="2"/>
  <c r="H62" i="2"/>
  <c r="L29" i="2"/>
  <c r="E637" i="2"/>
  <c r="M463" i="2"/>
  <c r="N350" i="2"/>
  <c r="E300" i="2"/>
  <c r="N254" i="2"/>
  <c r="L220" i="2"/>
  <c r="F192" i="2"/>
  <c r="H151" i="2"/>
  <c r="D123" i="2"/>
  <c r="G98" i="2"/>
  <c r="E66" i="2"/>
  <c r="A34" i="2"/>
  <c r="F764" i="2"/>
  <c r="J561" i="2"/>
  <c r="J400" i="2"/>
  <c r="N315" i="2"/>
  <c r="H259" i="2"/>
  <c r="I220" i="2"/>
  <c r="G187" i="2"/>
  <c r="D147" i="2"/>
  <c r="N106" i="2"/>
  <c r="N69" i="2"/>
  <c r="D29" i="2"/>
  <c r="H758" i="2"/>
  <c r="M559" i="2"/>
  <c r="F428" i="2"/>
  <c r="N314" i="2"/>
  <c r="F253" i="2"/>
  <c r="A212" i="2"/>
  <c r="A175" i="2"/>
  <c r="L142" i="2"/>
  <c r="H110" i="2"/>
  <c r="L77" i="2"/>
  <c r="D45" i="2"/>
  <c r="I16" i="2"/>
  <c r="J635" i="2"/>
  <c r="K359" i="2"/>
  <c r="E271" i="2"/>
  <c r="G228" i="2"/>
  <c r="A191" i="2"/>
  <c r="F167" i="2"/>
  <c r="F130" i="2"/>
  <c r="D98" i="2"/>
  <c r="G73" i="2"/>
  <c r="A45" i="2"/>
  <c r="G540" i="2"/>
  <c r="I299" i="2"/>
  <c r="G243" i="2"/>
  <c r="E203" i="2"/>
  <c r="L174" i="2"/>
  <c r="H142" i="2"/>
  <c r="L109" i="2"/>
  <c r="F73" i="2"/>
  <c r="F36" i="2"/>
  <c r="D805" i="2"/>
  <c r="G615" i="2"/>
  <c r="G524" i="2"/>
  <c r="O439" i="2"/>
  <c r="O357" i="2"/>
  <c r="N305" i="2"/>
  <c r="G258" i="2"/>
  <c r="G232" i="2"/>
  <c r="F199" i="2"/>
  <c r="D166" i="2"/>
  <c r="G142" i="2"/>
  <c r="H121" i="2"/>
  <c r="F89" i="2"/>
  <c r="D57" i="2"/>
  <c r="N23" i="2"/>
  <c r="I395" i="2"/>
  <c r="F215" i="2"/>
  <c r="D146" i="2"/>
  <c r="H101" i="2"/>
  <c r="H64" i="2"/>
  <c r="F32" i="2"/>
  <c r="K688" i="2"/>
  <c r="I237" i="2"/>
  <c r="E178" i="2"/>
  <c r="I133" i="2"/>
  <c r="N100" i="2"/>
  <c r="E68" i="2"/>
  <c r="A36" i="2"/>
  <c r="D1148" i="2"/>
  <c r="M938" i="2"/>
  <c r="K837" i="2"/>
  <c r="E783" i="2"/>
  <c r="L740" i="2"/>
  <c r="N704" i="2"/>
  <c r="J683" i="2"/>
  <c r="E664" i="2"/>
  <c r="J643" i="2"/>
  <c r="I625" i="2"/>
  <c r="I607" i="2"/>
  <c r="H587" i="2"/>
  <c r="G568" i="2"/>
  <c r="I552" i="2"/>
  <c r="G533" i="2"/>
  <c r="J517" i="2"/>
  <c r="G501" i="2"/>
  <c r="E483" i="2"/>
  <c r="H467" i="2"/>
  <c r="P450" i="2"/>
  <c r="P433" i="2"/>
  <c r="H419" i="2"/>
  <c r="K405" i="2"/>
  <c r="O390" i="2"/>
  <c r="L377" i="2"/>
  <c r="B366" i="2"/>
  <c r="F354" i="2"/>
  <c r="E345" i="2"/>
  <c r="K336" i="2"/>
  <c r="N326" i="2"/>
  <c r="O318" i="2"/>
  <c r="H311" i="2"/>
  <c r="D303" i="2"/>
  <c r="L295" i="2"/>
  <c r="A289" i="2"/>
  <c r="I281" i="2"/>
  <c r="N274" i="2"/>
  <c r="G268" i="2"/>
  <c r="N261" i="2"/>
  <c r="D256" i="2"/>
  <c r="D251" i="2"/>
  <c r="H245" i="2"/>
  <c r="G241" i="2"/>
  <c r="A236" i="2"/>
  <c r="H230" i="2"/>
  <c r="G226" i="2"/>
  <c r="L221" i="2"/>
  <c r="H217" i="2"/>
  <c r="L213" i="2"/>
  <c r="A210" i="2"/>
  <c r="E205" i="2"/>
  <c r="G201" i="2"/>
  <c r="I197" i="2"/>
  <c r="F193" i="2"/>
  <c r="D189" i="2"/>
  <c r="F185" i="2"/>
  <c r="H181" i="2"/>
  <c r="L176" i="2"/>
  <c r="A173" i="2"/>
  <c r="E169" i="2"/>
  <c r="N164" i="2"/>
  <c r="I160" i="2"/>
  <c r="N156" i="2"/>
  <c r="D153" i="2"/>
  <c r="F148" i="2"/>
  <c r="H144" i="2"/>
  <c r="L140" i="2"/>
  <c r="G136" i="2"/>
  <c r="E132" i="2"/>
  <c r="G128" i="2"/>
  <c r="I124" i="2"/>
  <c r="N119" i="2"/>
  <c r="D116" i="2"/>
  <c r="F112" i="2"/>
  <c r="A108" i="2"/>
  <c r="E96" i="2"/>
  <c r="I87" i="2"/>
  <c r="L67" i="2"/>
  <c r="H34" i="2"/>
  <c r="P771" i="2"/>
  <c r="O463" i="2"/>
  <c r="N286" i="2"/>
  <c r="G192" i="2"/>
  <c r="D115" i="2"/>
  <c r="N37" i="2"/>
  <c r="A1069" i="2"/>
  <c r="E234" i="2"/>
  <c r="F155" i="2"/>
  <c r="L110" i="2"/>
  <c r="E74" i="2"/>
  <c r="L37" i="2"/>
  <c r="I675" i="2"/>
  <c r="J545" i="2"/>
  <c r="G428" i="2"/>
  <c r="K350" i="2"/>
  <c r="I286" i="2"/>
  <c r="H239" i="2"/>
  <c r="F208" i="2"/>
  <c r="N179" i="2"/>
  <c r="E155" i="2"/>
  <c r="L126" i="2"/>
  <c r="H94" i="2"/>
  <c r="L61" i="2"/>
  <c r="F33" i="2"/>
  <c r="M812" i="2"/>
  <c r="J615" i="2"/>
  <c r="I494" i="2"/>
  <c r="B400" i="2"/>
  <c r="M332" i="2"/>
  <c r="A279" i="2"/>
  <c r="A234" i="2"/>
  <c r="I199" i="2"/>
  <c r="G167" i="2"/>
  <c r="I134" i="2"/>
  <c r="A102" i="2"/>
  <c r="L69" i="2"/>
  <c r="L32" i="2"/>
  <c r="M1006" i="2"/>
  <c r="C722" i="2"/>
  <c r="J653" i="2"/>
  <c r="H579" i="2"/>
  <c r="I526" i="2"/>
  <c r="E458" i="2"/>
  <c r="J427" i="2"/>
  <c r="G371" i="2"/>
  <c r="J331" i="2"/>
  <c r="L314" i="2"/>
  <c r="F285" i="2"/>
  <c r="F259" i="2"/>
  <c r="D238" i="2"/>
  <c r="G219" i="2"/>
  <c r="H199" i="2"/>
  <c r="D179" i="2"/>
  <c r="L158" i="2"/>
  <c r="N138" i="2"/>
  <c r="E114" i="2"/>
  <c r="L85" i="2"/>
  <c r="D61" i="2"/>
  <c r="E41" i="2"/>
  <c r="H16" i="2"/>
  <c r="F440" i="2"/>
  <c r="A207" i="2"/>
  <c r="I158" i="2"/>
  <c r="I121" i="2"/>
  <c r="G89" i="2"/>
  <c r="E57" i="2"/>
  <c r="G24" i="2"/>
  <c r="H651" i="2"/>
  <c r="O539" i="2"/>
  <c r="E425" i="2"/>
  <c r="O339" i="2"/>
  <c r="I298" i="2"/>
  <c r="H247" i="2"/>
  <c r="D211" i="2"/>
  <c r="I182" i="2"/>
  <c r="F162" i="2"/>
  <c r="D130" i="2"/>
  <c r="I101" i="2"/>
  <c r="E73" i="2"/>
  <c r="H48" i="2"/>
  <c r="F16" i="2"/>
  <c r="G992" i="2"/>
  <c r="L688" i="2"/>
  <c r="G651" i="2"/>
  <c r="I593" i="2"/>
  <c r="F539" i="2"/>
  <c r="F489" i="2"/>
  <c r="M439" i="2"/>
  <c r="L380" i="2"/>
  <c r="K339" i="2"/>
  <c r="E284" i="2"/>
  <c r="N252" i="2"/>
  <c r="F232" i="2"/>
  <c r="A203" i="2"/>
  <c r="N186" i="2"/>
  <c r="G158" i="2"/>
  <c r="H137" i="2"/>
  <c r="I117" i="2"/>
  <c r="L96" i="2"/>
  <c r="F68" i="2"/>
  <c r="G48" i="2"/>
  <c r="A20" i="2"/>
  <c r="N974" i="2"/>
  <c r="J649" i="2"/>
  <c r="I629" i="2"/>
  <c r="E556" i="2"/>
  <c r="P470" i="2"/>
  <c r="J408" i="2"/>
  <c r="J329" i="2"/>
  <c r="A270" i="2"/>
  <c r="N226" i="2"/>
  <c r="F194" i="2"/>
  <c r="H153" i="2"/>
  <c r="F121" i="2"/>
  <c r="D89" i="2"/>
  <c r="D52" i="2"/>
  <c r="F1097" i="2"/>
  <c r="G936" i="2"/>
  <c r="F835" i="2"/>
  <c r="I774" i="2"/>
  <c r="M738" i="2"/>
  <c r="G704" i="2"/>
  <c r="J679" i="2"/>
  <c r="J663" i="2"/>
  <c r="I643" i="2"/>
  <c r="H623" i="2"/>
  <c r="H607" i="2"/>
  <c r="G587" i="2"/>
  <c r="J565" i="2"/>
  <c r="E551" i="2"/>
  <c r="F533" i="2"/>
  <c r="E515" i="2"/>
  <c r="O500" i="2"/>
  <c r="P482" i="2"/>
  <c r="I464" i="2"/>
  <c r="G450" i="2"/>
  <c r="M433" i="2"/>
  <c r="I417" i="2"/>
  <c r="H405" i="2"/>
  <c r="M390" i="2"/>
  <c r="J376" i="2"/>
  <c r="P365" i="2"/>
  <c r="B354" i="2"/>
  <c r="O343" i="2"/>
  <c r="J336" i="2"/>
  <c r="M326" i="2"/>
  <c r="L317" i="2"/>
  <c r="G311" i="2"/>
  <c r="N302" i="2"/>
  <c r="N294" i="2"/>
  <c r="N288" i="2"/>
  <c r="H281" i="2"/>
  <c r="E274" i="2"/>
  <c r="F268" i="2"/>
  <c r="L261" i="2"/>
  <c r="F255" i="2"/>
  <c r="N250" i="2"/>
  <c r="G245" i="2"/>
  <c r="L240" i="2"/>
  <c r="N235" i="2"/>
  <c r="G230" i="2"/>
  <c r="F226" i="2"/>
  <c r="E221" i="2"/>
  <c r="G217" i="2"/>
  <c r="I213" i="2"/>
  <c r="F209" i="2"/>
  <c r="D205" i="2"/>
  <c r="F201" i="2"/>
  <c r="H197" i="2"/>
  <c r="L192" i="2"/>
  <c r="A189" i="2"/>
  <c r="E185" i="2"/>
  <c r="N180" i="2"/>
  <c r="I176" i="2"/>
  <c r="N172" i="2"/>
  <c r="D169" i="2"/>
  <c r="F164" i="2"/>
  <c r="H160" i="2"/>
  <c r="L156" i="2"/>
  <c r="G152" i="2"/>
  <c r="E148" i="2"/>
  <c r="G144" i="2"/>
  <c r="I140" i="2"/>
  <c r="N135" i="2"/>
  <c r="D132" i="2"/>
  <c r="F128" i="2"/>
  <c r="A124" i="2"/>
  <c r="L119" i="2"/>
  <c r="A116" i="2"/>
  <c r="E112" i="2"/>
  <c r="G107" i="2"/>
  <c r="I103" i="2"/>
  <c r="N99" i="2"/>
  <c r="H95" i="2"/>
  <c r="F91" i="2"/>
  <c r="H87" i="2"/>
  <c r="L83" i="2"/>
  <c r="A79" i="2"/>
  <c r="E75" i="2"/>
  <c r="G71" i="2"/>
  <c r="D67" i="2"/>
  <c r="N62" i="2"/>
  <c r="D59" i="2"/>
  <c r="F55" i="2"/>
  <c r="H50" i="2"/>
  <c r="L46" i="2"/>
  <c r="A43" i="2"/>
  <c r="I38" i="2"/>
  <c r="G34" i="2"/>
  <c r="I30" i="2"/>
  <c r="N26" i="2"/>
  <c r="D22" i="2"/>
  <c r="F18" i="2"/>
  <c r="H14" i="2"/>
  <c r="H66" i="2"/>
  <c r="I54" i="2"/>
  <c r="I46" i="2"/>
  <c r="F34" i="2"/>
  <c r="A22" i="2"/>
  <c r="E34" i="2"/>
  <c r="H699" i="2"/>
  <c r="J639" i="2"/>
  <c r="G564" i="2"/>
  <c r="E530" i="2"/>
  <c r="M430" i="2"/>
  <c r="B375" i="2"/>
  <c r="I333" i="2"/>
  <c r="H301" i="2"/>
  <c r="I273" i="2"/>
  <c r="H244" i="2"/>
  <c r="N220" i="2"/>
  <c r="G200" i="2"/>
  <c r="F176" i="2"/>
  <c r="I151" i="2"/>
  <c r="L131" i="2"/>
  <c r="D107" i="2"/>
  <c r="G82" i="2"/>
  <c r="E58" i="2"/>
  <c r="D34" i="2"/>
  <c r="F696" i="2"/>
  <c r="P527" i="2"/>
  <c r="K428" i="2"/>
  <c r="B343" i="2"/>
  <c r="L286" i="2"/>
  <c r="I239" i="2"/>
  <c r="G208" i="2"/>
  <c r="A180" i="2"/>
  <c r="L147" i="2"/>
  <c r="H114" i="2"/>
  <c r="F82" i="2"/>
  <c r="L45" i="2"/>
  <c r="H511" i="2"/>
  <c r="C333" i="2"/>
  <c r="N265" i="2"/>
  <c r="I224" i="2"/>
  <c r="E192" i="2"/>
  <c r="A159" i="2"/>
  <c r="I118" i="2"/>
  <c r="G78" i="2"/>
  <c r="G41" i="2"/>
  <c r="K695" i="2"/>
  <c r="I579" i="2"/>
  <c r="G444" i="2"/>
  <c r="M323" i="2"/>
  <c r="L265" i="2"/>
  <c r="H224" i="2"/>
  <c r="F187" i="2"/>
  <c r="D155" i="2"/>
  <c r="D118" i="2"/>
  <c r="N85" i="2"/>
  <c r="I53" i="2"/>
  <c r="E25" i="2"/>
  <c r="E757" i="2"/>
  <c r="E398" i="2"/>
  <c r="N278" i="2"/>
  <c r="N233" i="2"/>
  <c r="L195" i="2"/>
  <c r="D171" i="2"/>
  <c r="D134" i="2"/>
  <c r="N101" i="2"/>
  <c r="E77" i="2"/>
  <c r="L48" i="2"/>
  <c r="F20" i="2"/>
  <c r="I651" i="2"/>
  <c r="P507" i="2"/>
  <c r="F371" i="2"/>
  <c r="D306" i="2"/>
  <c r="D253" i="2"/>
  <c r="H215" i="2"/>
  <c r="H178" i="2"/>
  <c r="F146" i="2"/>
  <c r="N117" i="2"/>
  <c r="I85" i="2"/>
  <c r="N52" i="2"/>
  <c r="G16" i="2"/>
  <c r="M994" i="2"/>
  <c r="G632" i="2"/>
  <c r="E558" i="2"/>
  <c r="F473" i="2"/>
  <c r="I396" i="2"/>
  <c r="P321" i="2"/>
  <c r="A271" i="2"/>
  <c r="N237" i="2"/>
  <c r="D203" i="2"/>
  <c r="I174" i="2"/>
  <c r="E146" i="2"/>
  <c r="L125" i="2"/>
  <c r="D93" i="2"/>
  <c r="N60" i="2"/>
  <c r="I28" i="2"/>
  <c r="G714" i="2"/>
  <c r="H257" i="2"/>
  <c r="F178" i="2"/>
  <c r="G121" i="2"/>
  <c r="D73" i="2"/>
  <c r="I44" i="2"/>
  <c r="M792" i="2"/>
  <c r="I611" i="2"/>
  <c r="O488" i="2"/>
  <c r="J422" i="2"/>
  <c r="L338" i="2"/>
  <c r="H290" i="2"/>
  <c r="D252" i="2"/>
  <c r="N222" i="2"/>
  <c r="H190" i="2"/>
  <c r="L157" i="2"/>
  <c r="F129" i="2"/>
  <c r="I96" i="2"/>
  <c r="G64" i="2"/>
  <c r="E32" i="2"/>
  <c r="B1093" i="2"/>
  <c r="E921" i="2"/>
  <c r="H833" i="2"/>
  <c r="P773" i="2"/>
  <c r="P733" i="2"/>
  <c r="M703" i="2"/>
  <c r="I679" i="2"/>
  <c r="E661" i="2"/>
  <c r="H643" i="2"/>
  <c r="G623" i="2"/>
  <c r="E604" i="2"/>
  <c r="J585" i="2"/>
  <c r="I565" i="2"/>
  <c r="F549" i="2"/>
  <c r="M532" i="2"/>
  <c r="P514" i="2"/>
  <c r="G499" i="2"/>
  <c r="G482" i="2"/>
  <c r="G464" i="2"/>
  <c r="P447" i="2"/>
  <c r="I433" i="2"/>
  <c r="H417" i="2"/>
  <c r="I403" i="2"/>
  <c r="K390" i="2"/>
  <c r="K375" i="2"/>
  <c r="O363" i="2"/>
  <c r="P353" i="2"/>
  <c r="N343" i="2"/>
  <c r="O334" i="2"/>
  <c r="G326" i="2"/>
  <c r="I317" i="2"/>
  <c r="D310" i="2"/>
  <c r="L302" i="2"/>
  <c r="G294" i="2"/>
  <c r="A288" i="2"/>
  <c r="G281" i="2"/>
  <c r="N273" i="2"/>
  <c r="F267" i="2"/>
  <c r="G261" i="2"/>
  <c r="E255" i="2"/>
  <c r="E250" i="2"/>
  <c r="F245" i="2"/>
  <c r="A240" i="2"/>
  <c r="L235" i="2"/>
  <c r="F230" i="2"/>
  <c r="H225" i="2"/>
  <c r="D221" i="2"/>
  <c r="F217" i="2"/>
  <c r="H213" i="2"/>
  <c r="L208" i="2"/>
  <c r="A205" i="2"/>
  <c r="E201" i="2"/>
  <c r="N196" i="2"/>
  <c r="I192" i="2"/>
  <c r="N188" i="2"/>
  <c r="D185" i="2"/>
  <c r="F180" i="2"/>
  <c r="H176" i="2"/>
  <c r="L172" i="2"/>
  <c r="G168" i="2"/>
  <c r="E164" i="2"/>
  <c r="G160" i="2"/>
  <c r="I156" i="2"/>
  <c r="N151" i="2"/>
  <c r="D148" i="2"/>
  <c r="F144" i="2"/>
  <c r="A140" i="2"/>
  <c r="L135" i="2"/>
  <c r="A132" i="2"/>
  <c r="E128" i="2"/>
  <c r="G123" i="2"/>
  <c r="I119" i="2"/>
  <c r="N115" i="2"/>
  <c r="H111" i="2"/>
  <c r="F107" i="2"/>
  <c r="H103" i="2"/>
  <c r="L99" i="2"/>
  <c r="A95" i="2"/>
  <c r="E91" i="2"/>
  <c r="G87" i="2"/>
  <c r="D83" i="2"/>
  <c r="N78" i="2"/>
  <c r="D75" i="2"/>
  <c r="F71" i="2"/>
  <c r="L62" i="2"/>
  <c r="A59" i="2"/>
  <c r="G50" i="2"/>
  <c r="E26" i="2"/>
  <c r="F416" i="2"/>
  <c r="D217" i="2"/>
  <c r="A172" i="2"/>
  <c r="F139" i="2"/>
  <c r="F103" i="2"/>
  <c r="N74" i="2"/>
  <c r="G46" i="2"/>
  <c r="A18" i="2"/>
  <c r="I657" i="2"/>
  <c r="E564" i="2"/>
  <c r="O495" i="2"/>
  <c r="K400" i="2"/>
  <c r="O323" i="2"/>
  <c r="E279" i="2"/>
  <c r="A244" i="2"/>
  <c r="E212" i="2"/>
  <c r="A188" i="2"/>
  <c r="G171" i="2"/>
  <c r="A143" i="2"/>
  <c r="F119" i="2"/>
  <c r="D86" i="2"/>
  <c r="I57" i="2"/>
  <c r="G25" i="2"/>
  <c r="E696" i="2"/>
  <c r="J579" i="2"/>
  <c r="M460" i="2"/>
  <c r="H361" i="2"/>
  <c r="E293" i="2"/>
  <c r="L243" i="2"/>
  <c r="L199" i="2"/>
  <c r="L163" i="2"/>
  <c r="H130" i="2"/>
  <c r="F98" i="2"/>
  <c r="D66" i="2"/>
  <c r="I37" i="2"/>
  <c r="G672" i="2"/>
  <c r="M527" i="2"/>
  <c r="G385" i="2"/>
  <c r="N299" i="2"/>
  <c r="A249" i="2"/>
  <c r="L215" i="2"/>
  <c r="H183" i="2"/>
  <c r="H146" i="2"/>
  <c r="F114" i="2"/>
  <c r="D82" i="2"/>
  <c r="F49" i="2"/>
  <c r="J559" i="2"/>
  <c r="E253" i="2"/>
  <c r="N174" i="2"/>
  <c r="H126" i="2"/>
  <c r="I755" i="2"/>
  <c r="G595" i="2"/>
  <c r="O475" i="2"/>
  <c r="J396" i="2"/>
  <c r="F330" i="2"/>
  <c r="G278" i="2"/>
  <c r="I247" i="2"/>
  <c r="F219" i="2"/>
  <c r="D187" i="2"/>
  <c r="G162" i="2"/>
  <c r="E130" i="2"/>
  <c r="A98" i="2"/>
  <c r="L64" i="2"/>
  <c r="H32" i="2"/>
  <c r="K714" i="2"/>
  <c r="J382" i="2"/>
  <c r="I291" i="2"/>
  <c r="E228" i="2"/>
  <c r="H194" i="2"/>
  <c r="H158" i="2"/>
  <c r="L117" i="2"/>
  <c r="L80" i="2"/>
  <c r="G40" i="2"/>
  <c r="E754" i="2"/>
  <c r="J629" i="2"/>
  <c r="J557" i="2"/>
  <c r="F507" i="2"/>
  <c r="O456" i="2"/>
  <c r="B411" i="2"/>
  <c r="L357" i="2"/>
  <c r="O320" i="2"/>
  <c r="L305" i="2"/>
  <c r="N270" i="2"/>
  <c r="I242" i="2"/>
  <c r="G227" i="2"/>
  <c r="H210" i="2"/>
  <c r="G194" i="2"/>
  <c r="E162" i="2"/>
  <c r="L141" i="2"/>
  <c r="E125" i="2"/>
  <c r="F105" i="2"/>
  <c r="N76" i="2"/>
  <c r="E52" i="2"/>
  <c r="A28" i="2"/>
  <c r="E668" i="2"/>
  <c r="G572" i="2"/>
  <c r="O504" i="2"/>
  <c r="K439" i="2"/>
  <c r="K368" i="2"/>
  <c r="L320" i="2"/>
  <c r="L283" i="2"/>
  <c r="N241" i="2"/>
  <c r="A219" i="2"/>
  <c r="D198" i="2"/>
  <c r="I169" i="2"/>
  <c r="E141" i="2"/>
  <c r="A109" i="2"/>
  <c r="L76" i="2"/>
  <c r="F48" i="2"/>
  <c r="I23" i="2"/>
  <c r="A1076" i="2"/>
  <c r="H898" i="2"/>
  <c r="K832" i="2"/>
  <c r="H772" i="2"/>
  <c r="C730" i="2"/>
  <c r="L703" i="2"/>
  <c r="H679" i="2"/>
  <c r="G659" i="2"/>
  <c r="G643" i="2"/>
  <c r="J621" i="2"/>
  <c r="I601" i="2"/>
  <c r="I585" i="2"/>
  <c r="E565" i="2"/>
  <c r="G546" i="2"/>
  <c r="H532" i="2"/>
  <c r="G514" i="2"/>
  <c r="G496" i="2"/>
  <c r="E482" i="2"/>
  <c r="P463" i="2"/>
  <c r="F446" i="2"/>
  <c r="H433" i="2"/>
  <c r="G417" i="2"/>
  <c r="G401" i="2"/>
  <c r="K389" i="2"/>
  <c r="H375" i="2"/>
  <c r="C362" i="2"/>
  <c r="O353" i="2"/>
  <c r="H343" i="2"/>
  <c r="L333" i="2"/>
  <c r="E326" i="2"/>
  <c r="H317" i="2"/>
  <c r="D309" i="2"/>
  <c r="I302" i="2"/>
  <c r="F294" i="2"/>
  <c r="A287" i="2"/>
  <c r="F281" i="2"/>
  <c r="L273" i="2"/>
  <c r="G266" i="2"/>
  <c r="F261" i="2"/>
  <c r="D255" i="2"/>
  <c r="H249" i="2"/>
  <c r="E245" i="2"/>
  <c r="N239" i="2"/>
  <c r="D235" i="2"/>
  <c r="E230" i="2"/>
  <c r="A225" i="2"/>
  <c r="A221" i="2"/>
  <c r="E217" i="2"/>
  <c r="N212" i="2"/>
  <c r="I208" i="2"/>
  <c r="N204" i="2"/>
  <c r="D201" i="2"/>
  <c r="F196" i="2"/>
  <c r="H192" i="2"/>
  <c r="L188" i="2"/>
  <c r="G184" i="2"/>
  <c r="E180" i="2"/>
  <c r="G176" i="2"/>
  <c r="I172" i="2"/>
  <c r="N167" i="2"/>
  <c r="D164" i="2"/>
  <c r="F160" i="2"/>
  <c r="A156" i="2"/>
  <c r="L151" i="2"/>
  <c r="A148" i="2"/>
  <c r="E144" i="2"/>
  <c r="G139" i="2"/>
  <c r="I135" i="2"/>
  <c r="N131" i="2"/>
  <c r="H127" i="2"/>
  <c r="F123" i="2"/>
  <c r="H119" i="2"/>
  <c r="L115" i="2"/>
  <c r="A111" i="2"/>
  <c r="E107" i="2"/>
  <c r="G103" i="2"/>
  <c r="D99" i="2"/>
  <c r="N94" i="2"/>
  <c r="D91" i="2"/>
  <c r="F87" i="2"/>
  <c r="H82" i="2"/>
  <c r="L78" i="2"/>
  <c r="A75" i="2"/>
  <c r="I70" i="2"/>
  <c r="G66" i="2"/>
  <c r="I62" i="2"/>
  <c r="N58" i="2"/>
  <c r="D54" i="2"/>
  <c r="F50" i="2"/>
  <c r="H46" i="2"/>
  <c r="E42" i="2"/>
  <c r="G30" i="2"/>
  <c r="O1071" i="2"/>
  <c r="P729" i="2"/>
  <c r="J657" i="2"/>
  <c r="H583" i="2"/>
  <c r="P495" i="2"/>
  <c r="P387" i="2"/>
  <c r="C325" i="2"/>
  <c r="E266" i="2"/>
  <c r="D230" i="2"/>
  <c r="E196" i="2"/>
  <c r="E160" i="2"/>
  <c r="A127" i="2"/>
  <c r="A91" i="2"/>
  <c r="F66" i="2"/>
  <c r="I41" i="2"/>
  <c r="M771" i="2"/>
  <c r="E580" i="2"/>
  <c r="P444" i="2"/>
  <c r="J361" i="2"/>
  <c r="L308" i="2"/>
  <c r="A266" i="2"/>
  <c r="L224" i="2"/>
  <c r="D196" i="2"/>
  <c r="H159" i="2"/>
  <c r="N126" i="2"/>
  <c r="I94" i="2"/>
  <c r="G62" i="2"/>
  <c r="E29" i="2"/>
  <c r="B896" i="2"/>
  <c r="G636" i="2"/>
  <c r="M495" i="2"/>
  <c r="I385" i="2"/>
  <c r="I308" i="2"/>
  <c r="A254" i="2"/>
  <c r="D212" i="2"/>
  <c r="H175" i="2"/>
  <c r="N142" i="2"/>
  <c r="G114" i="2"/>
  <c r="A86" i="2"/>
  <c r="L53" i="2"/>
  <c r="H21" i="2"/>
  <c r="I545" i="2"/>
  <c r="G350" i="2"/>
  <c r="F271" i="2"/>
  <c r="H228" i="2"/>
  <c r="N195" i="2"/>
  <c r="D163" i="2"/>
  <c r="I126" i="2"/>
  <c r="I89" i="2"/>
  <c r="G57" i="2"/>
  <c r="N20" i="2"/>
  <c r="J694" i="2"/>
  <c r="G307" i="2"/>
  <c r="F203" i="2"/>
  <c r="G146" i="2"/>
  <c r="I105" i="2"/>
  <c r="I69" i="2"/>
  <c r="D25" i="2"/>
  <c r="H715" i="2"/>
  <c r="E490" i="2"/>
  <c r="P384" i="2"/>
  <c r="C323" i="2"/>
  <c r="D271" i="2"/>
  <c r="A238" i="2"/>
  <c r="L211" i="2"/>
  <c r="F183" i="2"/>
  <c r="N154" i="2"/>
  <c r="G126" i="2"/>
  <c r="E93" i="2"/>
  <c r="A61" i="2"/>
  <c r="L28" i="2"/>
  <c r="J575" i="2"/>
  <c r="G370" i="2"/>
  <c r="F284" i="2"/>
  <c r="D223" i="2"/>
  <c r="L190" i="2"/>
  <c r="E154" i="2"/>
  <c r="E109" i="2"/>
  <c r="N68" i="2"/>
  <c r="G32" i="2"/>
  <c r="D859" i="2"/>
  <c r="H671" i="2"/>
  <c r="E573" i="2"/>
  <c r="H521" i="2"/>
  <c r="E471" i="2"/>
  <c r="K423" i="2"/>
  <c r="B370" i="2"/>
  <c r="C330" i="2"/>
  <c r="D314" i="2"/>
  <c r="N263" i="2"/>
  <c r="L237" i="2"/>
  <c r="D219" i="2"/>
  <c r="L206" i="2"/>
  <c r="I190" i="2"/>
  <c r="A166" i="2"/>
  <c r="N149" i="2"/>
  <c r="A130" i="2"/>
  <c r="D109" i="2"/>
  <c r="I80" i="2"/>
  <c r="G56" i="2"/>
  <c r="D36" i="2"/>
  <c r="C856" i="2"/>
  <c r="E593" i="2"/>
  <c r="I454" i="2"/>
  <c r="F395" i="2"/>
  <c r="F347" i="2"/>
  <c r="D313" i="2"/>
  <c r="L263" i="2"/>
  <c r="E232" i="2"/>
  <c r="G210" i="2"/>
  <c r="E186" i="2"/>
  <c r="N165" i="2"/>
  <c r="G137" i="2"/>
  <c r="E105" i="2"/>
  <c r="G72" i="2"/>
  <c r="L39" i="2"/>
  <c r="A897" i="2"/>
  <c r="H817" i="2"/>
  <c r="J677" i="2"/>
  <c r="M545" i="2"/>
  <c r="P374" i="2"/>
  <c r="I259" i="2"/>
  <c r="I204" i="2"/>
  <c r="I167" i="2"/>
  <c r="D131" i="2"/>
  <c r="N90" i="2"/>
  <c r="N53" i="2"/>
  <c r="F17" i="2"/>
  <c r="M816" i="2"/>
  <c r="E657" i="2"/>
  <c r="O527" i="2"/>
  <c r="F414" i="2"/>
  <c r="N323" i="2"/>
  <c r="H272" i="2"/>
  <c r="I228" i="2"/>
  <c r="A196" i="2"/>
  <c r="H167" i="2"/>
  <c r="F135" i="2"/>
  <c r="D102" i="2"/>
  <c r="I73" i="2"/>
  <c r="E45" i="2"/>
  <c r="L16" i="2"/>
  <c r="B892" i="2"/>
  <c r="G656" i="2"/>
  <c r="M508" i="2"/>
  <c r="K411" i="2"/>
  <c r="N340" i="2"/>
  <c r="F286" i="2"/>
  <c r="N238" i="2"/>
  <c r="G203" i="2"/>
  <c r="E171" i="2"/>
  <c r="A139" i="2"/>
  <c r="E98" i="2"/>
  <c r="E61" i="2"/>
  <c r="A29" i="2"/>
  <c r="E876" i="2"/>
  <c r="E597" i="2"/>
  <c r="H492" i="2"/>
  <c r="O442" i="2"/>
  <c r="B385" i="2"/>
  <c r="F350" i="2"/>
  <c r="J323" i="2"/>
  <c r="D292" i="2"/>
  <c r="N264" i="2"/>
  <c r="H243" i="2"/>
  <c r="G224" i="2"/>
  <c r="H207" i="2"/>
  <c r="G183" i="2"/>
  <c r="H162" i="2"/>
  <c r="I142" i="2"/>
  <c r="G110" i="2"/>
  <c r="A82" i="2"/>
  <c r="H53" i="2"/>
  <c r="I32" i="2"/>
  <c r="L861" i="2"/>
  <c r="J671" i="2"/>
  <c r="H615" i="2"/>
  <c r="F558" i="2"/>
  <c r="H427" i="2"/>
  <c r="B340" i="2"/>
  <c r="G284" i="2"/>
  <c r="D233" i="2"/>
  <c r="N190" i="2"/>
  <c r="D150" i="2"/>
  <c r="D114" i="2"/>
  <c r="D77" i="2"/>
  <c r="N44" i="2"/>
  <c r="E861" i="2"/>
  <c r="I671" i="2"/>
  <c r="J593" i="2"/>
  <c r="H489" i="2"/>
  <c r="E411" i="2"/>
  <c r="E330" i="2"/>
  <c r="L277" i="2"/>
  <c r="F243" i="2"/>
  <c r="N206" i="2"/>
  <c r="N170" i="2"/>
  <c r="I137" i="2"/>
  <c r="G105" i="2"/>
  <c r="H85" i="2"/>
  <c r="F52" i="2"/>
  <c r="D20" i="2"/>
  <c r="J613" i="2"/>
  <c r="G347" i="2"/>
  <c r="H276" i="2"/>
  <c r="F247" i="2"/>
  <c r="A223" i="2"/>
  <c r="I198" i="2"/>
  <c r="D182" i="2"/>
  <c r="I153" i="2"/>
  <c r="L133" i="2"/>
  <c r="F113" i="2"/>
  <c r="N84" i="2"/>
  <c r="L60" i="2"/>
  <c r="N39" i="2"/>
  <c r="F714" i="2"/>
  <c r="G276" i="2"/>
  <c r="N202" i="2"/>
  <c r="D162" i="2"/>
  <c r="D125" i="2"/>
  <c r="N92" i="2"/>
  <c r="N55" i="2"/>
  <c r="N19" i="2"/>
  <c r="F1207" i="3"/>
  <c r="D1207" i="3"/>
  <c r="D1206" i="3"/>
  <c r="D1205" i="3"/>
  <c r="D1204" i="3"/>
  <c r="D1203" i="3"/>
  <c r="D1202" i="3"/>
  <c r="D1201" i="3"/>
  <c r="D1200" i="3"/>
  <c r="D1199" i="3"/>
  <c r="D1198" i="3"/>
  <c r="D1197" i="3"/>
  <c r="D1196" i="3"/>
  <c r="D1195" i="3"/>
  <c r="D1194" i="3"/>
  <c r="D1193" i="3"/>
  <c r="D1192" i="3"/>
  <c r="D1191" i="3"/>
  <c r="B1207" i="3"/>
  <c r="B1206" i="3"/>
  <c r="B1205" i="3"/>
  <c r="B1204" i="3"/>
  <c r="B1203" i="3"/>
  <c r="B1202" i="3"/>
  <c r="B1201" i="3"/>
  <c r="B1200" i="3"/>
  <c r="B1199" i="3"/>
  <c r="B1198" i="3"/>
  <c r="B1197" i="3"/>
  <c r="B1196" i="3"/>
  <c r="B1195" i="3"/>
  <c r="B1194" i="3"/>
  <c r="B1193" i="3"/>
  <c r="B1192" i="3"/>
  <c r="B1191" i="3"/>
  <c r="A1207" i="3"/>
  <c r="A1206" i="3"/>
  <c r="A1205" i="3"/>
  <c r="A1204" i="3"/>
  <c r="A1203" i="3"/>
  <c r="A1202" i="3"/>
  <c r="A1201" i="3"/>
  <c r="A1200" i="3"/>
  <c r="A1199" i="3"/>
  <c r="A1198" i="3"/>
  <c r="A1197" i="3"/>
  <c r="A1196" i="3"/>
  <c r="A1195" i="3"/>
  <c r="A1194" i="3"/>
  <c r="A1193" i="3"/>
  <c r="A1192" i="3"/>
  <c r="P1207" i="3"/>
  <c r="L1206" i="3"/>
  <c r="I1205" i="3"/>
  <c r="F1204" i="3"/>
  <c r="P1202" i="3"/>
  <c r="M1201" i="3"/>
  <c r="J1200" i="3"/>
  <c r="G1199" i="3"/>
  <c r="C1198" i="3"/>
  <c r="N1196" i="3"/>
  <c r="K1195" i="3"/>
  <c r="H1194" i="3"/>
  <c r="E1193" i="3"/>
  <c r="O1191" i="3"/>
  <c r="M1190" i="3"/>
  <c r="M1189" i="3"/>
  <c r="M1188" i="3"/>
  <c r="M1187" i="3"/>
  <c r="M1186" i="3"/>
  <c r="M1185" i="3"/>
  <c r="M1184" i="3"/>
  <c r="M1183" i="3"/>
  <c r="O1207" i="3"/>
  <c r="K1206" i="3"/>
  <c r="H1205" i="3"/>
  <c r="E1204" i="3"/>
  <c r="O1202" i="3"/>
  <c r="L1201" i="3"/>
  <c r="I1200" i="3"/>
  <c r="F1199" i="3"/>
  <c r="P1197" i="3"/>
  <c r="M1196" i="3"/>
  <c r="J1195" i="3"/>
  <c r="G1194" i="3"/>
  <c r="C1193" i="3"/>
  <c r="N1191" i="3"/>
  <c r="L1190" i="3"/>
  <c r="L1189" i="3"/>
  <c r="L1188" i="3"/>
  <c r="L1187" i="3"/>
  <c r="L1186" i="3"/>
  <c r="L1185" i="3"/>
  <c r="L1184" i="3"/>
  <c r="L1183" i="3"/>
  <c r="L1182" i="3"/>
  <c r="L1181" i="3"/>
  <c r="L1180" i="3"/>
  <c r="L1179" i="3"/>
  <c r="L1178" i="3"/>
  <c r="L1177" i="3"/>
  <c r="L1176" i="3"/>
  <c r="L1175" i="3"/>
  <c r="L1174" i="3"/>
  <c r="L1173" i="3"/>
  <c r="L1172" i="3"/>
  <c r="L1171" i="3"/>
  <c r="L1170" i="3"/>
  <c r="L1169" i="3"/>
  <c r="L1168" i="3"/>
  <c r="L1167" i="3"/>
  <c r="L1166" i="3"/>
  <c r="L1165" i="3"/>
  <c r="L1164" i="3"/>
  <c r="L1163" i="3"/>
  <c r="L1162" i="3"/>
  <c r="L1161" i="3"/>
  <c r="L1160" i="3"/>
  <c r="L1159" i="3"/>
  <c r="L1158" i="3"/>
  <c r="L1157" i="3"/>
  <c r="L1156" i="3"/>
  <c r="L1155" i="3"/>
  <c r="L1154" i="3"/>
  <c r="L1153" i="3"/>
  <c r="L1152" i="3"/>
  <c r="L1151" i="3"/>
  <c r="L1150" i="3"/>
  <c r="L1149" i="3"/>
  <c r="L1148" i="3"/>
  <c r="L1147" i="3"/>
  <c r="L1146" i="3"/>
  <c r="L1145" i="3"/>
  <c r="L1144" i="3"/>
  <c r="L1143" i="3"/>
  <c r="L1142" i="3"/>
  <c r="L1141" i="3"/>
  <c r="L1140" i="3"/>
  <c r="L1139" i="3"/>
  <c r="L1138" i="3"/>
  <c r="L1137" i="3"/>
  <c r="L1136" i="3"/>
  <c r="L1135" i="3"/>
  <c r="L1134" i="3"/>
  <c r="L1133" i="3"/>
  <c r="L1132" i="3"/>
  <c r="L1131" i="3"/>
  <c r="L1130" i="3"/>
  <c r="L1129" i="3"/>
  <c r="L1128" i="3"/>
  <c r="L1127" i="3"/>
  <c r="L1126" i="3"/>
  <c r="L1125" i="3"/>
  <c r="L1124" i="3"/>
  <c r="L1123" i="3"/>
  <c r="L1122" i="3"/>
  <c r="L1121" i="3"/>
  <c r="L1120" i="3"/>
  <c r="L1119" i="3"/>
  <c r="L1118" i="3"/>
  <c r="L1117" i="3"/>
  <c r="L1116" i="3"/>
  <c r="L1115" i="3"/>
  <c r="L1114" i="3"/>
  <c r="L1113" i="3"/>
  <c r="L1112" i="3"/>
  <c r="L1111" i="3"/>
  <c r="L1110" i="3"/>
  <c r="L1109" i="3"/>
  <c r="L1108" i="3"/>
  <c r="L1107" i="3"/>
  <c r="L1106" i="3"/>
  <c r="L1105" i="3"/>
  <c r="L1104" i="3"/>
  <c r="L1103" i="3"/>
  <c r="L1102" i="3"/>
  <c r="L1101" i="3"/>
  <c r="L1100" i="3"/>
  <c r="L1099" i="3"/>
  <c r="L1098" i="3"/>
  <c r="L1097" i="3"/>
  <c r="L1096" i="3"/>
  <c r="L1095" i="3"/>
  <c r="L1094" i="3"/>
  <c r="L1093" i="3"/>
  <c r="L1092" i="3"/>
  <c r="L1091" i="3"/>
  <c r="L1090" i="3"/>
  <c r="L1089" i="3"/>
  <c r="L1088" i="3"/>
  <c r="L1087" i="3"/>
  <c r="L1086" i="3"/>
  <c r="L1085" i="3"/>
  <c r="N1207" i="3"/>
  <c r="J1206" i="3"/>
  <c r="G1205" i="3"/>
  <c r="C1204" i="3"/>
  <c r="N1202" i="3"/>
  <c r="K1201" i="3"/>
  <c r="H1200" i="3"/>
  <c r="E1199" i="3"/>
  <c r="O1197" i="3"/>
  <c r="L1196" i="3"/>
  <c r="I1195" i="3"/>
  <c r="F1194" i="3"/>
  <c r="P1192" i="3"/>
  <c r="M1191" i="3"/>
  <c r="K1190" i="3"/>
  <c r="K1189" i="3"/>
  <c r="K1188" i="3"/>
  <c r="K1187" i="3"/>
  <c r="K1186" i="3"/>
  <c r="K1185" i="3"/>
  <c r="K1184" i="3"/>
  <c r="K1183" i="3"/>
  <c r="K1182" i="3"/>
  <c r="K1181" i="3"/>
  <c r="K1180" i="3"/>
  <c r="K1179" i="3"/>
  <c r="K1178" i="3"/>
  <c r="K1177" i="3"/>
  <c r="K1176" i="3"/>
  <c r="K1175" i="3"/>
  <c r="K1174" i="3"/>
  <c r="K1173" i="3"/>
  <c r="K1172" i="3"/>
  <c r="K1171" i="3"/>
  <c r="K1170" i="3"/>
  <c r="K1169" i="3"/>
  <c r="K1168" i="3"/>
  <c r="K1167" i="3"/>
  <c r="K1166" i="3"/>
  <c r="K1165" i="3"/>
  <c r="K1164" i="3"/>
  <c r="K1163" i="3"/>
  <c r="K1162" i="3"/>
  <c r="K1161" i="3"/>
  <c r="K1160" i="3"/>
  <c r="K1159" i="3"/>
  <c r="K1158" i="3"/>
  <c r="K1157" i="3"/>
  <c r="K1156" i="3"/>
  <c r="K1155" i="3"/>
  <c r="K1154" i="3"/>
  <c r="K1153" i="3"/>
  <c r="K1152" i="3"/>
  <c r="M1207" i="3"/>
  <c r="I1206" i="3"/>
  <c r="F1205" i="3"/>
  <c r="P1203" i="3"/>
  <c r="M1202" i="3"/>
  <c r="J1201" i="3"/>
  <c r="G1200" i="3"/>
  <c r="C1199" i="3"/>
  <c r="N1197" i="3"/>
  <c r="K1196" i="3"/>
  <c r="H1195" i="3"/>
  <c r="E1194" i="3"/>
  <c r="O1192" i="3"/>
  <c r="L1191" i="3"/>
  <c r="J1190" i="3"/>
  <c r="J1189" i="3"/>
  <c r="J1188" i="3"/>
  <c r="J1187" i="3"/>
  <c r="J1186" i="3"/>
  <c r="J1185" i="3"/>
  <c r="J1184" i="3"/>
  <c r="J1183" i="3"/>
  <c r="J1182" i="3"/>
  <c r="J1181" i="3"/>
  <c r="J1180" i="3"/>
  <c r="J1179" i="3"/>
  <c r="J1178" i="3"/>
  <c r="J1177" i="3"/>
  <c r="J1176" i="3"/>
  <c r="J1175" i="3"/>
  <c r="J1174" i="3"/>
  <c r="J1173" i="3"/>
  <c r="J1172" i="3"/>
  <c r="J1171" i="3"/>
  <c r="J1170" i="3"/>
  <c r="J1169" i="3"/>
  <c r="J1168" i="3"/>
  <c r="J1167" i="3"/>
  <c r="J1166" i="3"/>
  <c r="J1165" i="3"/>
  <c r="J1164" i="3"/>
  <c r="J1163" i="3"/>
  <c r="J1162" i="3"/>
  <c r="J1161" i="3"/>
  <c r="J1160" i="3"/>
  <c r="J1159" i="3"/>
  <c r="J1158" i="3"/>
  <c r="J1157" i="3"/>
  <c r="J1156" i="3"/>
  <c r="J1155" i="3"/>
  <c r="J1154" i="3"/>
  <c r="J1153" i="3"/>
  <c r="J1152" i="3"/>
  <c r="J1151" i="3"/>
  <c r="J1150" i="3"/>
  <c r="J1149" i="3"/>
  <c r="J1148" i="3"/>
  <c r="J1147" i="3"/>
  <c r="J1146" i="3"/>
  <c r="J1145" i="3"/>
  <c r="J1144" i="3"/>
  <c r="J1143" i="3"/>
  <c r="J1142" i="3"/>
  <c r="J1141" i="3"/>
  <c r="J1140" i="3"/>
  <c r="J1139" i="3"/>
  <c r="J1138" i="3"/>
  <c r="J1137" i="3"/>
  <c r="J1136" i="3"/>
  <c r="J1135" i="3"/>
  <c r="J1134" i="3"/>
  <c r="J1133" i="3"/>
  <c r="J1132" i="3"/>
  <c r="J1131" i="3"/>
  <c r="J1130" i="3"/>
  <c r="J1129" i="3"/>
  <c r="J1128" i="3"/>
  <c r="J1127" i="3"/>
  <c r="J1126" i="3"/>
  <c r="J1125" i="3"/>
  <c r="J1124" i="3"/>
  <c r="J1123" i="3"/>
  <c r="J1122" i="3"/>
  <c r="J1121" i="3"/>
  <c r="J1120" i="3"/>
  <c r="J1119" i="3"/>
  <c r="H1207" i="3"/>
  <c r="C1206" i="3"/>
  <c r="N1204" i="3"/>
  <c r="K1203" i="3"/>
  <c r="H1202" i="3"/>
  <c r="E1201" i="3"/>
  <c r="O1199" i="3"/>
  <c r="L1198" i="3"/>
  <c r="I1197" i="3"/>
  <c r="F1196" i="3"/>
  <c r="P1194" i="3"/>
  <c r="M1193" i="3"/>
  <c r="J1192" i="3"/>
  <c r="G1191" i="3"/>
  <c r="E1190" i="3"/>
  <c r="E1189" i="3"/>
  <c r="E1188" i="3"/>
  <c r="E1187" i="3"/>
  <c r="E1186" i="3"/>
  <c r="E1185" i="3"/>
  <c r="E1184" i="3"/>
  <c r="E1183" i="3"/>
  <c r="E1182" i="3"/>
  <c r="E1181" i="3"/>
  <c r="E1180" i="3"/>
  <c r="E1179" i="3"/>
  <c r="E1178" i="3"/>
  <c r="E1177" i="3"/>
  <c r="E1176" i="3"/>
  <c r="E1175" i="3"/>
  <c r="E1174" i="3"/>
  <c r="E1173" i="3"/>
  <c r="E1172" i="3"/>
  <c r="E1171" i="3"/>
  <c r="E1170" i="3"/>
  <c r="E1169" i="3"/>
  <c r="E1168" i="3"/>
  <c r="E1167" i="3"/>
  <c r="E1166" i="3"/>
  <c r="E1165" i="3"/>
  <c r="E1164" i="3"/>
  <c r="E1163" i="3"/>
  <c r="E1162" i="3"/>
  <c r="E1161" i="3"/>
  <c r="E1160" i="3"/>
  <c r="E1159" i="3"/>
  <c r="E1158" i="3"/>
  <c r="E1157" i="3"/>
  <c r="E1156" i="3"/>
  <c r="E1155" i="3"/>
  <c r="E1154" i="3"/>
  <c r="E1153" i="3"/>
  <c r="E1152" i="3"/>
  <c r="E1151" i="3"/>
  <c r="E1150" i="3"/>
  <c r="E1149" i="3"/>
  <c r="E1148" i="3"/>
  <c r="E1147" i="3"/>
  <c r="E1146" i="3"/>
  <c r="E1145" i="3"/>
  <c r="E1144" i="3"/>
  <c r="E1143" i="3"/>
  <c r="E1142" i="3"/>
  <c r="E1141" i="3"/>
  <c r="E1140" i="3"/>
  <c r="E1139" i="3"/>
  <c r="E1138" i="3"/>
  <c r="E1137" i="3"/>
  <c r="E1136" i="3"/>
  <c r="E1135" i="3"/>
  <c r="E1134" i="3"/>
  <c r="E1133" i="3"/>
  <c r="E1132" i="3"/>
  <c r="E1131" i="3"/>
  <c r="E1130" i="3"/>
  <c r="E1129" i="3"/>
  <c r="E1128" i="3"/>
  <c r="E1127" i="3"/>
  <c r="E1126" i="3"/>
  <c r="E1125" i="3"/>
  <c r="E1124" i="3"/>
  <c r="E1123" i="3"/>
  <c r="E1122" i="3"/>
  <c r="E1121" i="3"/>
  <c r="E1120" i="3"/>
  <c r="E1119" i="3"/>
  <c r="E1118" i="3"/>
  <c r="E1117" i="3"/>
  <c r="E1116" i="3"/>
  <c r="E1115" i="3"/>
  <c r="E1114" i="3"/>
  <c r="E1113" i="3"/>
  <c r="E1112" i="3"/>
  <c r="E1111" i="3"/>
  <c r="E1110" i="3"/>
  <c r="E1109" i="3"/>
  <c r="E1108" i="3"/>
  <c r="E1107" i="3"/>
  <c r="E1106" i="3"/>
  <c r="E1105" i="3"/>
  <c r="E1104" i="3"/>
  <c r="E1103" i="3"/>
  <c r="E1102" i="3"/>
  <c r="E1101" i="3"/>
  <c r="E1100" i="3"/>
  <c r="E1099" i="3"/>
  <c r="E1098" i="3"/>
  <c r="E1097" i="3"/>
  <c r="E1096" i="3"/>
  <c r="E1095" i="3"/>
  <c r="E1094" i="3"/>
  <c r="E1093" i="3"/>
  <c r="E1092" i="3"/>
  <c r="E1091" i="3"/>
  <c r="E1090" i="3"/>
  <c r="E1089" i="3"/>
  <c r="F1206" i="3"/>
  <c r="J1204" i="3"/>
  <c r="K1202" i="3"/>
  <c r="O1200" i="3"/>
  <c r="P1198" i="3"/>
  <c r="G1197" i="3"/>
  <c r="L1195" i="3"/>
  <c r="L1193" i="3"/>
  <c r="C1192" i="3"/>
  <c r="F1190" i="3"/>
  <c r="P1188" i="3"/>
  <c r="G1187" i="3"/>
  <c r="A1186" i="3"/>
  <c r="H1184" i="3"/>
  <c r="B1183" i="3"/>
  <c r="N1181" i="3"/>
  <c r="G1180" i="3"/>
  <c r="B1179" i="3"/>
  <c r="N1177" i="3"/>
  <c r="G1176" i="3"/>
  <c r="B1175" i="3"/>
  <c r="N1173" i="3"/>
  <c r="G1172" i="3"/>
  <c r="B1171" i="3"/>
  <c r="N1169" i="3"/>
  <c r="G1168" i="3"/>
  <c r="B1167" i="3"/>
  <c r="N1165" i="3"/>
  <c r="G1164" i="3"/>
  <c r="B1163" i="3"/>
  <c r="N1161" i="3"/>
  <c r="G1160" i="3"/>
  <c r="B1159" i="3"/>
  <c r="N1157" i="3"/>
  <c r="G1156" i="3"/>
  <c r="B1155" i="3"/>
  <c r="N1153" i="3"/>
  <c r="G1152" i="3"/>
  <c r="C1151" i="3"/>
  <c r="P1149" i="3"/>
  <c r="M1148" i="3"/>
  <c r="H1147" i="3"/>
  <c r="D1146" i="3"/>
  <c r="A1145" i="3"/>
  <c r="N1143" i="3"/>
  <c r="I1142" i="3"/>
  <c r="F1141" i="3"/>
  <c r="B1140" i="3"/>
  <c r="O1138" i="3"/>
  <c r="K1137" i="3"/>
  <c r="G1136" i="3"/>
  <c r="C1135" i="3"/>
  <c r="P1133" i="3"/>
  <c r="M1132" i="3"/>
  <c r="H1131" i="3"/>
  <c r="D1130" i="3"/>
  <c r="A1129" i="3"/>
  <c r="N1127" i="3"/>
  <c r="I1126" i="3"/>
  <c r="F1125" i="3"/>
  <c r="B1124" i="3"/>
  <c r="O1122" i="3"/>
  <c r="K1121" i="3"/>
  <c r="G1120" i="3"/>
  <c r="C1119" i="3"/>
  <c r="A1118" i="3"/>
  <c r="O1116" i="3"/>
  <c r="M1115" i="3"/>
  <c r="J1114" i="3"/>
  <c r="H1113" i="3"/>
  <c r="F1112" i="3"/>
  <c r="C1111" i="3"/>
  <c r="A1110" i="3"/>
  <c r="O1108" i="3"/>
  <c r="M1107" i="3"/>
  <c r="J1106" i="3"/>
  <c r="H1105" i="3"/>
  <c r="F1104" i="3"/>
  <c r="C1103" i="3"/>
  <c r="A1102" i="3"/>
  <c r="O1100" i="3"/>
  <c r="M1099" i="3"/>
  <c r="J1098" i="3"/>
  <c r="H1097" i="3"/>
  <c r="F1096" i="3"/>
  <c r="C1095" i="3"/>
  <c r="A1094" i="3"/>
  <c r="O1092" i="3"/>
  <c r="M1091" i="3"/>
  <c r="J1090" i="3"/>
  <c r="H1089" i="3"/>
  <c r="F1088" i="3"/>
  <c r="E1087" i="3"/>
  <c r="D1086" i="3"/>
  <c r="C1085" i="3"/>
  <c r="C1084" i="3"/>
  <c r="C1083" i="3"/>
  <c r="C1082" i="3"/>
  <c r="C1081" i="3"/>
  <c r="C1080" i="3"/>
  <c r="C1079" i="3"/>
  <c r="C1078" i="3"/>
  <c r="C1077" i="3"/>
  <c r="C1076" i="3"/>
  <c r="C1075" i="3"/>
  <c r="C1074" i="3"/>
  <c r="C1073" i="3"/>
  <c r="C1072" i="3"/>
  <c r="C1071" i="3"/>
  <c r="C1070" i="3"/>
  <c r="C1069" i="3"/>
  <c r="C1068" i="3"/>
  <c r="C1067" i="3"/>
  <c r="C1066" i="3"/>
  <c r="C1065" i="3"/>
  <c r="C1064" i="3"/>
  <c r="C1063" i="3"/>
  <c r="C1062" i="3"/>
  <c r="C1061" i="3"/>
  <c r="C1060" i="3"/>
  <c r="C1059" i="3"/>
  <c r="C1058" i="3"/>
  <c r="C1057" i="3"/>
  <c r="C1056" i="3"/>
  <c r="C1055" i="3"/>
  <c r="C1054" i="3"/>
  <c r="C1053" i="3"/>
  <c r="C1052" i="3"/>
  <c r="C1051" i="3"/>
  <c r="C1050" i="3"/>
  <c r="C1049" i="3"/>
  <c r="C1048" i="3"/>
  <c r="C1047" i="3"/>
  <c r="C1046" i="3"/>
  <c r="C1045" i="3"/>
  <c r="C1044" i="3"/>
  <c r="C1043" i="3"/>
  <c r="C1042" i="3"/>
  <c r="C1041" i="3"/>
  <c r="C1040" i="3"/>
  <c r="C1039" i="3"/>
  <c r="C1038" i="3"/>
  <c r="E1206" i="3"/>
  <c r="I1204" i="3"/>
  <c r="J1202" i="3"/>
  <c r="N1200" i="3"/>
  <c r="O1198" i="3"/>
  <c r="F1197" i="3"/>
  <c r="G1195" i="3"/>
  <c r="K1193" i="3"/>
  <c r="P1191" i="3"/>
  <c r="D1190" i="3"/>
  <c r="O1188" i="3"/>
  <c r="F1187" i="3"/>
  <c r="P1185" i="3"/>
  <c r="G1184" i="3"/>
  <c r="A1183" i="3"/>
  <c r="M1181" i="3"/>
  <c r="F1180" i="3"/>
  <c r="A1179" i="3"/>
  <c r="M1177" i="3"/>
  <c r="F1176" i="3"/>
  <c r="A1175" i="3"/>
  <c r="M1173" i="3"/>
  <c r="F1172" i="3"/>
  <c r="A1171" i="3"/>
  <c r="M1169" i="3"/>
  <c r="F1168" i="3"/>
  <c r="A1167" i="3"/>
  <c r="M1165" i="3"/>
  <c r="F1164" i="3"/>
  <c r="A1163" i="3"/>
  <c r="M1161" i="3"/>
  <c r="F1160" i="3"/>
  <c r="A1159" i="3"/>
  <c r="M1157" i="3"/>
  <c r="F1156" i="3"/>
  <c r="A1155" i="3"/>
  <c r="M1153" i="3"/>
  <c r="F1152" i="3"/>
  <c r="B1151" i="3"/>
  <c r="O1149" i="3"/>
  <c r="K1148" i="3"/>
  <c r="G1147" i="3"/>
  <c r="C1146" i="3"/>
  <c r="P1144" i="3"/>
  <c r="M1143" i="3"/>
  <c r="H1142" i="3"/>
  <c r="D1141" i="3"/>
  <c r="A1140" i="3"/>
  <c r="N1138" i="3"/>
  <c r="I1137" i="3"/>
  <c r="F1136" i="3"/>
  <c r="B1135" i="3"/>
  <c r="O1133" i="3"/>
  <c r="K1132" i="3"/>
  <c r="G1131" i="3"/>
  <c r="C1130" i="3"/>
  <c r="P1128" i="3"/>
  <c r="M1127" i="3"/>
  <c r="H1126" i="3"/>
  <c r="D1125" i="3"/>
  <c r="A1124" i="3"/>
  <c r="N1122" i="3"/>
  <c r="I1121" i="3"/>
  <c r="F1120" i="3"/>
  <c r="B1119" i="3"/>
  <c r="P1117" i="3"/>
  <c r="N1116" i="3"/>
  <c r="K1115" i="3"/>
  <c r="I1114" i="3"/>
  <c r="G1113" i="3"/>
  <c r="D1112" i="3"/>
  <c r="B1111" i="3"/>
  <c r="P1109" i="3"/>
  <c r="N1108" i="3"/>
  <c r="K1107" i="3"/>
  <c r="I1106" i="3"/>
  <c r="G1105" i="3"/>
  <c r="D1104" i="3"/>
  <c r="B1103" i="3"/>
  <c r="P1101" i="3"/>
  <c r="N1100" i="3"/>
  <c r="K1099" i="3"/>
  <c r="I1098" i="3"/>
  <c r="G1097" i="3"/>
  <c r="D1096" i="3"/>
  <c r="B1095" i="3"/>
  <c r="P1093" i="3"/>
  <c r="N1092" i="3"/>
  <c r="K1091" i="3"/>
  <c r="I1090" i="3"/>
  <c r="G1089" i="3"/>
  <c r="E1088" i="3"/>
  <c r="D1087" i="3"/>
  <c r="C1086" i="3"/>
  <c r="B1085" i="3"/>
  <c r="B1084" i="3"/>
  <c r="B1083" i="3"/>
  <c r="B1082" i="3"/>
  <c r="B1081" i="3"/>
  <c r="B1080" i="3"/>
  <c r="B1079" i="3"/>
  <c r="B1078" i="3"/>
  <c r="B1077" i="3"/>
  <c r="B1076" i="3"/>
  <c r="B1075" i="3"/>
  <c r="B1074" i="3"/>
  <c r="B1073" i="3"/>
  <c r="B1072" i="3"/>
  <c r="B1071" i="3"/>
  <c r="B1070" i="3"/>
  <c r="B1069" i="3"/>
  <c r="B1068" i="3"/>
  <c r="B1067" i="3"/>
  <c r="B1066" i="3"/>
  <c r="B1065" i="3"/>
  <c r="B1064" i="3"/>
  <c r="B1063" i="3"/>
  <c r="B1062" i="3"/>
  <c r="B1061" i="3"/>
  <c r="B1060" i="3"/>
  <c r="B1059" i="3"/>
  <c r="B1058" i="3"/>
  <c r="B1057" i="3"/>
  <c r="B1056" i="3"/>
  <c r="B1055" i="3"/>
  <c r="B1054" i="3"/>
  <c r="B1053" i="3"/>
  <c r="B1052" i="3"/>
  <c r="B1051" i="3"/>
  <c r="B1050" i="3"/>
  <c r="B1049" i="3"/>
  <c r="B1048" i="3"/>
  <c r="B1047" i="3"/>
  <c r="B1046" i="3"/>
  <c r="B1045" i="3"/>
  <c r="B1044" i="3"/>
  <c r="B1043" i="3"/>
  <c r="B1042" i="3"/>
  <c r="B1041" i="3"/>
  <c r="B1040" i="3"/>
  <c r="B1039" i="3"/>
  <c r="B1038" i="3"/>
  <c r="B1037" i="3"/>
  <c r="B1036" i="3"/>
  <c r="B1035" i="3"/>
  <c r="B1034" i="3"/>
  <c r="B1033" i="3"/>
  <c r="B1032" i="3"/>
  <c r="B1031" i="3"/>
  <c r="B1030" i="3"/>
  <c r="B1029" i="3"/>
  <c r="B1028" i="3"/>
  <c r="B1027" i="3"/>
  <c r="B1026" i="3"/>
  <c r="B1025" i="3"/>
  <c r="B1024" i="3"/>
  <c r="B1023" i="3"/>
  <c r="B1022" i="3"/>
  <c r="B1021" i="3"/>
  <c r="P1205" i="3"/>
  <c r="H1204" i="3"/>
  <c r="I1202" i="3"/>
  <c r="M1200" i="3"/>
  <c r="N1198" i="3"/>
  <c r="E1197" i="3"/>
  <c r="F1195" i="3"/>
  <c r="J1193" i="3"/>
  <c r="K1191" i="3"/>
  <c r="C1190" i="3"/>
  <c r="N1188" i="3"/>
  <c r="D1187" i="3"/>
  <c r="O1185" i="3"/>
  <c r="F1184" i="3"/>
  <c r="P1182" i="3"/>
  <c r="I1181" i="3"/>
  <c r="D1180" i="3"/>
  <c r="P1178" i="3"/>
  <c r="I1177" i="3"/>
  <c r="D1176" i="3"/>
  <c r="P1174" i="3"/>
  <c r="I1173" i="3"/>
  <c r="D1172" i="3"/>
  <c r="P1170" i="3"/>
  <c r="I1169" i="3"/>
  <c r="D1168" i="3"/>
  <c r="P1166" i="3"/>
  <c r="I1165" i="3"/>
  <c r="D1164" i="3"/>
  <c r="P1162" i="3"/>
  <c r="I1161" i="3"/>
  <c r="D1160" i="3"/>
  <c r="P1158" i="3"/>
  <c r="I1157" i="3"/>
  <c r="D1156" i="3"/>
  <c r="P1154" i="3"/>
  <c r="I1153" i="3"/>
  <c r="D1152" i="3"/>
  <c r="A1151" i="3"/>
  <c r="N1149" i="3"/>
  <c r="I1148" i="3"/>
  <c r="F1147" i="3"/>
  <c r="B1146" i="3"/>
  <c r="O1144" i="3"/>
  <c r="K1143" i="3"/>
  <c r="G1142" i="3"/>
  <c r="C1141" i="3"/>
  <c r="P1139" i="3"/>
  <c r="M1138" i="3"/>
  <c r="H1137" i="3"/>
  <c r="D1136" i="3"/>
  <c r="A1135" i="3"/>
  <c r="N1133" i="3"/>
  <c r="I1132" i="3"/>
  <c r="F1131" i="3"/>
  <c r="B1130" i="3"/>
  <c r="O1128" i="3"/>
  <c r="K1127" i="3"/>
  <c r="G1126" i="3"/>
  <c r="C1125" i="3"/>
  <c r="P1123" i="3"/>
  <c r="M1122" i="3"/>
  <c r="L1207" i="3"/>
  <c r="O1205" i="3"/>
  <c r="G1204" i="3"/>
  <c r="G1202" i="3"/>
  <c r="L1200" i="3"/>
  <c r="M1198" i="3"/>
  <c r="C1197" i="3"/>
  <c r="E1195" i="3"/>
  <c r="I1193" i="3"/>
  <c r="J1191" i="3"/>
  <c r="B1190" i="3"/>
  <c r="I1188" i="3"/>
  <c r="C1187" i="3"/>
  <c r="N1185" i="3"/>
  <c r="D1184" i="3"/>
  <c r="O1182" i="3"/>
  <c r="H1181" i="3"/>
  <c r="C1180" i="3"/>
  <c r="O1178" i="3"/>
  <c r="H1177" i="3"/>
  <c r="C1176" i="3"/>
  <c r="O1174" i="3"/>
  <c r="H1173" i="3"/>
  <c r="C1172" i="3"/>
  <c r="O1170" i="3"/>
  <c r="H1169" i="3"/>
  <c r="C1168" i="3"/>
  <c r="O1166" i="3"/>
  <c r="H1165" i="3"/>
  <c r="C1164" i="3"/>
  <c r="O1162" i="3"/>
  <c r="H1161" i="3"/>
  <c r="C1160" i="3"/>
  <c r="O1158" i="3"/>
  <c r="H1157" i="3"/>
  <c r="C1156" i="3"/>
  <c r="O1154" i="3"/>
  <c r="H1153" i="3"/>
  <c r="C1152" i="3"/>
  <c r="P1150" i="3"/>
  <c r="M1149" i="3"/>
  <c r="H1148" i="3"/>
  <c r="D1147" i="3"/>
  <c r="A1146" i="3"/>
  <c r="N1144" i="3"/>
  <c r="I1143" i="3"/>
  <c r="F1142" i="3"/>
  <c r="B1141" i="3"/>
  <c r="O1139" i="3"/>
  <c r="K1138" i="3"/>
  <c r="G1137" i="3"/>
  <c r="C1136" i="3"/>
  <c r="P1134" i="3"/>
  <c r="M1133" i="3"/>
  <c r="H1132" i="3"/>
  <c r="D1131" i="3"/>
  <c r="A1130" i="3"/>
  <c r="N1128" i="3"/>
  <c r="I1127" i="3"/>
  <c r="F1126" i="3"/>
  <c r="B1125" i="3"/>
  <c r="O1123" i="3"/>
  <c r="K1122" i="3"/>
  <c r="G1121" i="3"/>
  <c r="C1120" i="3"/>
  <c r="P1118" i="3"/>
  <c r="N1117" i="3"/>
  <c r="K1116" i="3"/>
  <c r="I1115" i="3"/>
  <c r="G1114" i="3"/>
  <c r="D1113" i="3"/>
  <c r="B1112" i="3"/>
  <c r="P1110" i="3"/>
  <c r="N1109" i="3"/>
  <c r="K1108" i="3"/>
  <c r="I1107" i="3"/>
  <c r="G1106" i="3"/>
  <c r="D1105" i="3"/>
  <c r="B1104" i="3"/>
  <c r="P1102" i="3"/>
  <c r="N1101" i="3"/>
  <c r="K1100" i="3"/>
  <c r="I1099" i="3"/>
  <c r="G1098" i="3"/>
  <c r="D1097" i="3"/>
  <c r="B1096" i="3"/>
  <c r="P1094" i="3"/>
  <c r="N1093" i="3"/>
  <c r="K1092" i="3"/>
  <c r="I1091" i="3"/>
  <c r="G1090" i="3"/>
  <c r="D1089" i="3"/>
  <c r="C1088" i="3"/>
  <c r="B1087" i="3"/>
  <c r="A1086" i="3"/>
  <c r="P1084" i="3"/>
  <c r="P1083" i="3"/>
  <c r="P1082" i="3"/>
  <c r="P1081" i="3"/>
  <c r="P1080" i="3"/>
  <c r="P1079" i="3"/>
  <c r="P1078" i="3"/>
  <c r="P1077" i="3"/>
  <c r="P1076" i="3"/>
  <c r="P1075" i="3"/>
  <c r="P1074" i="3"/>
  <c r="P1073" i="3"/>
  <c r="P1072" i="3"/>
  <c r="P1071" i="3"/>
  <c r="P1070" i="3"/>
  <c r="P1069" i="3"/>
  <c r="P1068" i="3"/>
  <c r="P1067" i="3"/>
  <c r="P1066" i="3"/>
  <c r="P1065" i="3"/>
  <c r="P1064" i="3"/>
  <c r="P1063" i="3"/>
  <c r="P1062" i="3"/>
  <c r="P1061" i="3"/>
  <c r="P1060" i="3"/>
  <c r="P1059" i="3"/>
  <c r="P1058" i="3"/>
  <c r="P1057" i="3"/>
  <c r="P1056" i="3"/>
  <c r="P1055" i="3"/>
  <c r="P1054" i="3"/>
  <c r="P1053" i="3"/>
  <c r="P1052" i="3"/>
  <c r="P1051" i="3"/>
  <c r="P1050" i="3"/>
  <c r="P1049" i="3"/>
  <c r="P1048" i="3"/>
  <c r="P1047" i="3"/>
  <c r="P1046" i="3"/>
  <c r="P1045" i="3"/>
  <c r="P1044" i="3"/>
  <c r="P1043" i="3"/>
  <c r="P1042" i="3"/>
  <c r="P1041" i="3"/>
  <c r="P1040" i="3"/>
  <c r="P1039" i="3"/>
  <c r="P1038" i="3"/>
  <c r="P1037" i="3"/>
  <c r="P1036" i="3"/>
  <c r="K1207" i="3"/>
  <c r="N1205" i="3"/>
  <c r="O1203" i="3"/>
  <c r="F1202" i="3"/>
  <c r="K1200" i="3"/>
  <c r="K1198" i="3"/>
  <c r="P1196" i="3"/>
  <c r="C1195" i="3"/>
  <c r="H1193" i="3"/>
  <c r="I1191" i="3"/>
  <c r="A1190" i="3"/>
  <c r="H1188" i="3"/>
  <c r="B1187" i="3"/>
  <c r="I1185" i="3"/>
  <c r="C1184" i="3"/>
  <c r="N1182" i="3"/>
  <c r="G1181" i="3"/>
  <c r="B1180" i="3"/>
  <c r="N1178" i="3"/>
  <c r="G1177" i="3"/>
  <c r="B1176" i="3"/>
  <c r="N1174" i="3"/>
  <c r="G1173" i="3"/>
  <c r="B1172" i="3"/>
  <c r="N1170" i="3"/>
  <c r="G1169" i="3"/>
  <c r="B1168" i="3"/>
  <c r="N1166" i="3"/>
  <c r="G1165" i="3"/>
  <c r="B1164" i="3"/>
  <c r="N1162" i="3"/>
  <c r="G1161" i="3"/>
  <c r="B1160" i="3"/>
  <c r="N1158" i="3"/>
  <c r="G1157" i="3"/>
  <c r="B1156" i="3"/>
  <c r="N1154" i="3"/>
  <c r="G1153" i="3"/>
  <c r="B1152" i="3"/>
  <c r="O1150" i="3"/>
  <c r="K1149" i="3"/>
  <c r="G1148" i="3"/>
  <c r="C1147" i="3"/>
  <c r="P1145" i="3"/>
  <c r="M1144" i="3"/>
  <c r="H1143" i="3"/>
  <c r="D1142" i="3"/>
  <c r="A1141" i="3"/>
  <c r="N1139" i="3"/>
  <c r="I1138" i="3"/>
  <c r="F1137" i="3"/>
  <c r="B1136" i="3"/>
  <c r="O1134" i="3"/>
  <c r="K1133" i="3"/>
  <c r="G1132" i="3"/>
  <c r="C1131" i="3"/>
  <c r="P1129" i="3"/>
  <c r="M1128" i="3"/>
  <c r="H1127" i="3"/>
  <c r="D1126" i="3"/>
  <c r="A1125" i="3"/>
  <c r="N1123" i="3"/>
  <c r="I1122" i="3"/>
  <c r="F1121" i="3"/>
  <c r="B1120" i="3"/>
  <c r="O1118" i="3"/>
  <c r="M1117" i="3"/>
  <c r="J1116" i="3"/>
  <c r="H1115" i="3"/>
  <c r="F1114" i="3"/>
  <c r="C1113" i="3"/>
  <c r="A1112" i="3"/>
  <c r="O1110" i="3"/>
  <c r="M1109" i="3"/>
  <c r="J1108" i="3"/>
  <c r="H1107" i="3"/>
  <c r="F1106" i="3"/>
  <c r="C1105" i="3"/>
  <c r="A1104" i="3"/>
  <c r="O1102" i="3"/>
  <c r="M1101" i="3"/>
  <c r="J1100" i="3"/>
  <c r="H1099" i="3"/>
  <c r="J1207" i="3"/>
  <c r="M1205" i="3"/>
  <c r="N1203" i="3"/>
  <c r="E1202" i="3"/>
  <c r="F1200" i="3"/>
  <c r="J1198" i="3"/>
  <c r="O1196" i="3"/>
  <c r="O1194" i="3"/>
  <c r="G1193" i="3"/>
  <c r="H1191" i="3"/>
  <c r="P1189" i="3"/>
  <c r="G1188" i="3"/>
  <c r="A1187" i="3"/>
  <c r="H1185" i="3"/>
  <c r="B1184" i="3"/>
  <c r="M1182" i="3"/>
  <c r="F1181" i="3"/>
  <c r="A1180" i="3"/>
  <c r="M1178" i="3"/>
  <c r="F1177" i="3"/>
  <c r="A1176" i="3"/>
  <c r="M1174" i="3"/>
  <c r="F1173" i="3"/>
  <c r="A1172" i="3"/>
  <c r="M1170" i="3"/>
  <c r="F1169" i="3"/>
  <c r="A1168" i="3"/>
  <c r="M1166" i="3"/>
  <c r="F1165" i="3"/>
  <c r="A1164" i="3"/>
  <c r="M1162" i="3"/>
  <c r="F1161" i="3"/>
  <c r="A1160" i="3"/>
  <c r="M1158" i="3"/>
  <c r="F1157" i="3"/>
  <c r="A1156" i="3"/>
  <c r="M1154" i="3"/>
  <c r="F1153" i="3"/>
  <c r="A1152" i="3"/>
  <c r="N1150" i="3"/>
  <c r="I1149" i="3"/>
  <c r="F1148" i="3"/>
  <c r="B1147" i="3"/>
  <c r="O1145" i="3"/>
  <c r="K1144" i="3"/>
  <c r="G1143" i="3"/>
  <c r="C1142" i="3"/>
  <c r="P1140" i="3"/>
  <c r="M1139" i="3"/>
  <c r="H1138" i="3"/>
  <c r="D1137" i="3"/>
  <c r="A1136" i="3"/>
  <c r="N1134" i="3"/>
  <c r="I1133" i="3"/>
  <c r="F1132" i="3"/>
  <c r="B1131" i="3"/>
  <c r="O1129" i="3"/>
  <c r="K1128" i="3"/>
  <c r="G1127" i="3"/>
  <c r="C1126" i="3"/>
  <c r="P1124" i="3"/>
  <c r="M1123" i="3"/>
  <c r="H1122" i="3"/>
  <c r="D1121" i="3"/>
  <c r="A1120" i="3"/>
  <c r="N1118" i="3"/>
  <c r="K1117" i="3"/>
  <c r="I1116" i="3"/>
  <c r="G1115" i="3"/>
  <c r="D1114" i="3"/>
  <c r="B1113" i="3"/>
  <c r="P1111" i="3"/>
  <c r="N1110" i="3"/>
  <c r="K1109" i="3"/>
  <c r="I1108" i="3"/>
  <c r="G1107" i="3"/>
  <c r="D1106" i="3"/>
  <c r="B1105" i="3"/>
  <c r="P1103" i="3"/>
  <c r="N1102" i="3"/>
  <c r="K1101" i="3"/>
  <c r="I1100" i="3"/>
  <c r="G1099" i="3"/>
  <c r="P1204" i="3"/>
  <c r="P1201" i="3"/>
  <c r="J1199" i="3"/>
  <c r="G1196" i="3"/>
  <c r="N1193" i="3"/>
  <c r="O1190" i="3"/>
  <c r="D1188" i="3"/>
  <c r="D1186" i="3"/>
  <c r="N1183" i="3"/>
  <c r="O1181" i="3"/>
  <c r="H1179" i="3"/>
  <c r="C1177" i="3"/>
  <c r="F1175" i="3"/>
  <c r="A1173" i="3"/>
  <c r="C1171" i="3"/>
  <c r="O1168" i="3"/>
  <c r="H1166" i="3"/>
  <c r="M1164" i="3"/>
  <c r="F1162" i="3"/>
  <c r="H1160" i="3"/>
  <c r="C1158" i="3"/>
  <c r="O1155" i="3"/>
  <c r="A1154" i="3"/>
  <c r="M1151" i="3"/>
  <c r="A1150" i="3"/>
  <c r="O1147" i="3"/>
  <c r="M1145" i="3"/>
  <c r="A1144" i="3"/>
  <c r="O1141" i="3"/>
  <c r="C1140" i="3"/>
  <c r="A1138" i="3"/>
  <c r="O1135" i="3"/>
  <c r="C1134" i="3"/>
  <c r="A1132" i="3"/>
  <c r="F1130" i="3"/>
  <c r="C1128" i="3"/>
  <c r="A1126" i="3"/>
  <c r="F1124" i="3"/>
  <c r="C1122" i="3"/>
  <c r="I1120" i="3"/>
  <c r="J1118" i="3"/>
  <c r="B1117" i="3"/>
  <c r="D1115" i="3"/>
  <c r="M1113" i="3"/>
  <c r="O1111" i="3"/>
  <c r="G1110" i="3"/>
  <c r="M1108" i="3"/>
  <c r="A1107" i="3"/>
  <c r="I1105" i="3"/>
  <c r="K1103" i="3"/>
  <c r="C1102" i="3"/>
  <c r="F1100" i="3"/>
  <c r="N1098" i="3"/>
  <c r="F1097" i="3"/>
  <c r="O1095" i="3"/>
  <c r="I1094" i="3"/>
  <c r="C1093" i="3"/>
  <c r="N1091" i="3"/>
  <c r="D1090" i="3"/>
  <c r="O1088" i="3"/>
  <c r="J1087" i="3"/>
  <c r="F1086" i="3"/>
  <c r="O1084" i="3"/>
  <c r="L1083" i="3"/>
  <c r="I1082" i="3"/>
  <c r="F1081" i="3"/>
  <c r="A1080" i="3"/>
  <c r="M1078" i="3"/>
  <c r="J1077" i="3"/>
  <c r="G1076" i="3"/>
  <c r="D1075" i="3"/>
  <c r="N1073" i="3"/>
  <c r="K1072" i="3"/>
  <c r="H1071" i="3"/>
  <c r="E1070" i="3"/>
  <c r="O1068" i="3"/>
  <c r="L1067" i="3"/>
  <c r="I1066" i="3"/>
  <c r="F1065" i="3"/>
  <c r="A1064" i="3"/>
  <c r="M1062" i="3"/>
  <c r="J1061" i="3"/>
  <c r="G1060" i="3"/>
  <c r="D1059" i="3"/>
  <c r="N1057" i="3"/>
  <c r="K1056" i="3"/>
  <c r="H1055" i="3"/>
  <c r="E1054" i="3"/>
  <c r="O1052" i="3"/>
  <c r="L1051" i="3"/>
  <c r="I1050" i="3"/>
  <c r="F1049" i="3"/>
  <c r="A1048" i="3"/>
  <c r="M1046" i="3"/>
  <c r="J1045" i="3"/>
  <c r="G1044" i="3"/>
  <c r="D1043" i="3"/>
  <c r="N1041" i="3"/>
  <c r="K1040" i="3"/>
  <c r="H1039" i="3"/>
  <c r="E1038" i="3"/>
  <c r="A1037" i="3"/>
  <c r="O1035" i="3"/>
  <c r="N1034" i="3"/>
  <c r="M1033" i="3"/>
  <c r="L1032" i="3"/>
  <c r="K1031" i="3"/>
  <c r="J1030" i="3"/>
  <c r="I1029" i="3"/>
  <c r="H1028" i="3"/>
  <c r="G1027" i="3"/>
  <c r="F1026" i="3"/>
  <c r="E1025" i="3"/>
  <c r="D1024" i="3"/>
  <c r="C1023" i="3"/>
  <c r="A1022" i="3"/>
  <c r="P1020" i="3"/>
  <c r="I1207" i="3"/>
  <c r="O1204" i="3"/>
  <c r="O1201" i="3"/>
  <c r="I1199" i="3"/>
  <c r="E1196" i="3"/>
  <c r="F1193" i="3"/>
  <c r="N1190" i="3"/>
  <c r="C1188" i="3"/>
  <c r="C1186" i="3"/>
  <c r="I1183" i="3"/>
  <c r="D1181" i="3"/>
  <c r="G1179" i="3"/>
  <c r="B1177" i="3"/>
  <c r="D1175" i="3"/>
  <c r="P1172" i="3"/>
  <c r="I1170" i="3"/>
  <c r="N1168" i="3"/>
  <c r="G1166" i="3"/>
  <c r="I1164" i="3"/>
  <c r="D1162" i="3"/>
  <c r="P1159" i="3"/>
  <c r="B1158" i="3"/>
  <c r="N1155" i="3"/>
  <c r="P1153" i="3"/>
  <c r="K1151" i="3"/>
  <c r="H1149" i="3"/>
  <c r="N1147" i="3"/>
  <c r="K1145" i="3"/>
  <c r="P1143" i="3"/>
  <c r="N1141" i="3"/>
  <c r="K1139" i="3"/>
  <c r="P1137" i="3"/>
  <c r="N1135" i="3"/>
  <c r="B1134" i="3"/>
  <c r="P1131" i="3"/>
  <c r="N1129" i="3"/>
  <c r="B1128" i="3"/>
  <c r="P1125" i="3"/>
  <c r="D1124" i="3"/>
  <c r="B1122" i="3"/>
  <c r="H1120" i="3"/>
  <c r="I1118" i="3"/>
  <c r="A1117" i="3"/>
  <c r="C1115" i="3"/>
  <c r="K1113" i="3"/>
  <c r="N1111" i="3"/>
  <c r="F1110" i="3"/>
  <c r="H1108" i="3"/>
  <c r="P1106" i="3"/>
  <c r="F1105" i="3"/>
  <c r="J1103" i="3"/>
  <c r="B1102" i="3"/>
  <c r="D1100" i="3"/>
  <c r="M1098" i="3"/>
  <c r="C1097" i="3"/>
  <c r="N1095" i="3"/>
  <c r="H1094" i="3"/>
  <c r="B1093" i="3"/>
  <c r="J1091" i="3"/>
  <c r="C1090" i="3"/>
  <c r="N1088" i="3"/>
  <c r="I1087" i="3"/>
  <c r="E1086" i="3"/>
  <c r="N1084" i="3"/>
  <c r="K1083" i="3"/>
  <c r="H1082" i="3"/>
  <c r="E1081" i="3"/>
  <c r="O1079" i="3"/>
  <c r="L1078" i="3"/>
  <c r="I1077" i="3"/>
  <c r="F1076" i="3"/>
  <c r="A1075" i="3"/>
  <c r="M1073" i="3"/>
  <c r="J1072" i="3"/>
  <c r="G1071" i="3"/>
  <c r="D1070" i="3"/>
  <c r="N1068" i="3"/>
  <c r="K1067" i="3"/>
  <c r="H1066" i="3"/>
  <c r="E1065" i="3"/>
  <c r="O1063" i="3"/>
  <c r="L1062" i="3"/>
  <c r="I1061" i="3"/>
  <c r="F1060" i="3"/>
  <c r="A1059" i="3"/>
  <c r="M1057" i="3"/>
  <c r="J1056" i="3"/>
  <c r="G1055" i="3"/>
  <c r="D1054" i="3"/>
  <c r="N1052" i="3"/>
  <c r="K1051" i="3"/>
  <c r="H1050" i="3"/>
  <c r="E1049" i="3"/>
  <c r="O1047" i="3"/>
  <c r="L1046" i="3"/>
  <c r="I1045" i="3"/>
  <c r="F1044" i="3"/>
  <c r="A1043" i="3"/>
  <c r="M1041" i="3"/>
  <c r="J1040" i="3"/>
  <c r="G1039" i="3"/>
  <c r="D1038" i="3"/>
  <c r="O1036" i="3"/>
  <c r="N1035" i="3"/>
  <c r="M1034" i="3"/>
  <c r="L1033" i="3"/>
  <c r="K1032" i="3"/>
  <c r="J1031" i="3"/>
  <c r="I1030" i="3"/>
  <c r="H1029" i="3"/>
  <c r="G1028" i="3"/>
  <c r="F1027" i="3"/>
  <c r="E1026" i="3"/>
  <c r="D1025" i="3"/>
  <c r="C1024" i="3"/>
  <c r="A1023" i="3"/>
  <c r="P1021" i="3"/>
  <c r="O1020" i="3"/>
  <c r="O1019" i="3"/>
  <c r="O1018" i="3"/>
  <c r="O1017" i="3"/>
  <c r="O1016" i="3"/>
  <c r="O1015" i="3"/>
  <c r="O1014" i="3"/>
  <c r="O1013" i="3"/>
  <c r="O1012" i="3"/>
  <c r="O1011" i="3"/>
  <c r="O1010" i="3"/>
  <c r="O1009" i="3"/>
  <c r="O1008" i="3"/>
  <c r="O1007" i="3"/>
  <c r="O1006" i="3"/>
  <c r="O1005" i="3"/>
  <c r="O1004" i="3"/>
  <c r="O1003" i="3"/>
  <c r="O1002" i="3"/>
  <c r="O1001" i="3"/>
  <c r="O1000" i="3"/>
  <c r="O999" i="3"/>
  <c r="O998" i="3"/>
  <c r="O997" i="3"/>
  <c r="O996" i="3"/>
  <c r="O995" i="3"/>
  <c r="O994" i="3"/>
  <c r="O993" i="3"/>
  <c r="O992" i="3"/>
  <c r="O991" i="3"/>
  <c r="O990" i="3"/>
  <c r="O989" i="3"/>
  <c r="O988" i="3"/>
  <c r="O987" i="3"/>
  <c r="O986" i="3"/>
  <c r="O985" i="3"/>
  <c r="O984" i="3"/>
  <c r="O983" i="3"/>
  <c r="O982" i="3"/>
  <c r="O981" i="3"/>
  <c r="O980" i="3"/>
  <c r="O979" i="3"/>
  <c r="O978" i="3"/>
  <c r="O977" i="3"/>
  <c r="O976" i="3"/>
  <c r="O975" i="3"/>
  <c r="O974" i="3"/>
  <c r="O973" i="3"/>
  <c r="O972" i="3"/>
  <c r="O971" i="3"/>
  <c r="O970" i="3"/>
  <c r="O969" i="3"/>
  <c r="O968" i="3"/>
  <c r="O967" i="3"/>
  <c r="O966" i="3"/>
  <c r="O965" i="3"/>
  <c r="O964" i="3"/>
  <c r="O963" i="3"/>
  <c r="O962" i="3"/>
  <c r="O961" i="3"/>
  <c r="O960" i="3"/>
  <c r="O959" i="3"/>
  <c r="O958" i="3"/>
  <c r="O957" i="3"/>
  <c r="O956" i="3"/>
  <c r="O955" i="3"/>
  <c r="O954" i="3"/>
  <c r="O953" i="3"/>
  <c r="O952" i="3"/>
  <c r="O951" i="3"/>
  <c r="O950" i="3"/>
  <c r="O949" i="3"/>
  <c r="O948" i="3"/>
  <c r="G1207" i="3"/>
  <c r="M1204" i="3"/>
  <c r="N1201" i="3"/>
  <c r="H1199" i="3"/>
  <c r="C1196" i="3"/>
  <c r="N1192" i="3"/>
  <c r="I1190" i="3"/>
  <c r="B1188" i="3"/>
  <c r="B1186" i="3"/>
  <c r="H1183" i="3"/>
  <c r="C1181" i="3"/>
  <c r="F1179" i="3"/>
  <c r="A1177" i="3"/>
  <c r="C1175" i="3"/>
  <c r="O1172" i="3"/>
  <c r="H1170" i="3"/>
  <c r="M1168" i="3"/>
  <c r="F1166" i="3"/>
  <c r="H1164" i="3"/>
  <c r="C1162" i="3"/>
  <c r="O1159" i="3"/>
  <c r="A1158" i="3"/>
  <c r="M1155" i="3"/>
  <c r="O1153" i="3"/>
  <c r="I1151" i="3"/>
  <c r="G1149" i="3"/>
  <c r="M1147" i="3"/>
  <c r="I1145" i="3"/>
  <c r="O1143" i="3"/>
  <c r="M1141" i="3"/>
  <c r="I1139" i="3"/>
  <c r="O1137" i="3"/>
  <c r="M1135" i="3"/>
  <c r="A1134" i="3"/>
  <c r="O1131" i="3"/>
  <c r="M1129" i="3"/>
  <c r="A1128" i="3"/>
  <c r="O1125" i="3"/>
  <c r="C1124" i="3"/>
  <c r="A1122" i="3"/>
  <c r="D1120" i="3"/>
  <c r="H1118" i="3"/>
  <c r="P1116" i="3"/>
  <c r="B1115" i="3"/>
  <c r="J1113" i="3"/>
  <c r="M1111" i="3"/>
  <c r="D1110" i="3"/>
  <c r="G1108" i="3"/>
  <c r="O1106" i="3"/>
  <c r="A1105" i="3"/>
  <c r="I1103" i="3"/>
  <c r="O1101" i="3"/>
  <c r="C1100" i="3"/>
  <c r="K1098" i="3"/>
  <c r="B1097" i="3"/>
  <c r="M1095" i="3"/>
  <c r="G1094" i="3"/>
  <c r="A1093" i="3"/>
  <c r="H1091" i="3"/>
  <c r="B1090" i="3"/>
  <c r="M1088" i="3"/>
  <c r="H1087" i="3"/>
  <c r="B1086" i="3"/>
  <c r="M1084" i="3"/>
  <c r="J1083" i="3"/>
  <c r="G1082" i="3"/>
  <c r="D1081" i="3"/>
  <c r="N1079" i="3"/>
  <c r="K1078" i="3"/>
  <c r="H1077" i="3"/>
  <c r="E1076" i="3"/>
  <c r="O1074" i="3"/>
  <c r="L1073" i="3"/>
  <c r="I1072" i="3"/>
  <c r="F1071" i="3"/>
  <c r="A1070" i="3"/>
  <c r="M1068" i="3"/>
  <c r="J1067" i="3"/>
  <c r="G1066" i="3"/>
  <c r="D1065" i="3"/>
  <c r="N1063" i="3"/>
  <c r="K1062" i="3"/>
  <c r="H1061" i="3"/>
  <c r="E1060" i="3"/>
  <c r="O1058" i="3"/>
  <c r="L1057" i="3"/>
  <c r="I1056" i="3"/>
  <c r="F1055" i="3"/>
  <c r="A1054" i="3"/>
  <c r="M1052" i="3"/>
  <c r="J1051" i="3"/>
  <c r="G1050" i="3"/>
  <c r="D1049" i="3"/>
  <c r="N1047" i="3"/>
  <c r="K1046" i="3"/>
  <c r="H1045" i="3"/>
  <c r="E1044" i="3"/>
  <c r="O1042" i="3"/>
  <c r="L1041" i="3"/>
  <c r="I1040" i="3"/>
  <c r="F1039" i="3"/>
  <c r="A1038" i="3"/>
  <c r="N1036" i="3"/>
  <c r="M1035" i="3"/>
  <c r="C1207" i="3"/>
  <c r="K1204" i="3"/>
  <c r="H1201" i="3"/>
  <c r="H1198" i="3"/>
  <c r="O1195" i="3"/>
  <c r="L1192" i="3"/>
  <c r="G1190" i="3"/>
  <c r="P1187" i="3"/>
  <c r="F1185" i="3"/>
  <c r="F1183" i="3"/>
  <c r="A1181" i="3"/>
  <c r="C1179" i="3"/>
  <c r="O1176" i="3"/>
  <c r="H1174" i="3"/>
  <c r="M1172" i="3"/>
  <c r="F1170" i="3"/>
  <c r="H1168" i="3"/>
  <c r="C1166" i="3"/>
  <c r="O1163" i="3"/>
  <c r="A1162" i="3"/>
  <c r="M1159" i="3"/>
  <c r="O1157" i="3"/>
  <c r="H1155" i="3"/>
  <c r="C1153" i="3"/>
  <c r="G1151" i="3"/>
  <c r="D1149" i="3"/>
  <c r="I1147" i="3"/>
  <c r="G1145" i="3"/>
  <c r="D1143" i="3"/>
  <c r="I1141" i="3"/>
  <c r="G1139" i="3"/>
  <c r="M1137" i="3"/>
  <c r="I1135" i="3"/>
  <c r="G1133" i="3"/>
  <c r="M1131" i="3"/>
  <c r="I1129" i="3"/>
  <c r="O1127" i="3"/>
  <c r="M1125" i="3"/>
  <c r="I1123" i="3"/>
  <c r="O1121" i="3"/>
  <c r="O1119" i="3"/>
  <c r="F1118" i="3"/>
  <c r="H1116" i="3"/>
  <c r="P1114" i="3"/>
  <c r="F1113" i="3"/>
  <c r="J1111" i="3"/>
  <c r="B1110" i="3"/>
  <c r="D1108" i="3"/>
  <c r="M1106" i="3"/>
  <c r="O1104" i="3"/>
  <c r="G1103" i="3"/>
  <c r="I1101" i="3"/>
  <c r="A1100" i="3"/>
  <c r="F1098" i="3"/>
  <c r="P1096" i="3"/>
  <c r="J1095" i="3"/>
  <c r="D1094" i="3"/>
  <c r="M1092" i="3"/>
  <c r="F1091" i="3"/>
  <c r="P1089" i="3"/>
  <c r="J1088" i="3"/>
  <c r="F1087" i="3"/>
  <c r="O1085" i="3"/>
  <c r="K1084" i="3"/>
  <c r="H1083" i="3"/>
  <c r="E1082" i="3"/>
  <c r="O1080" i="3"/>
  <c r="L1079" i="3"/>
  <c r="I1078" i="3"/>
  <c r="F1077" i="3"/>
  <c r="A1076" i="3"/>
  <c r="M1074" i="3"/>
  <c r="J1073" i="3"/>
  <c r="G1072" i="3"/>
  <c r="D1071" i="3"/>
  <c r="N1069" i="3"/>
  <c r="K1068" i="3"/>
  <c r="H1067" i="3"/>
  <c r="E1066" i="3"/>
  <c r="O1064" i="3"/>
  <c r="L1063" i="3"/>
  <c r="I1062" i="3"/>
  <c r="F1061" i="3"/>
  <c r="A1060" i="3"/>
  <c r="M1058" i="3"/>
  <c r="J1057" i="3"/>
  <c r="G1056" i="3"/>
  <c r="D1055" i="3"/>
  <c r="N1053" i="3"/>
  <c r="K1052" i="3"/>
  <c r="H1051" i="3"/>
  <c r="E1050" i="3"/>
  <c r="O1048" i="3"/>
  <c r="L1047" i="3"/>
  <c r="M1206" i="3"/>
  <c r="I1203" i="3"/>
  <c r="P1200" i="3"/>
  <c r="M1197" i="3"/>
  <c r="M1194" i="3"/>
  <c r="G1192" i="3"/>
  <c r="H1189" i="3"/>
  <c r="H1187" i="3"/>
  <c r="A1185" i="3"/>
  <c r="H1182" i="3"/>
  <c r="M1180" i="3"/>
  <c r="F1178" i="3"/>
  <c r="H1176" i="3"/>
  <c r="C1174" i="3"/>
  <c r="O1171" i="3"/>
  <c r="A1170" i="3"/>
  <c r="M1167" i="3"/>
  <c r="O1165" i="3"/>
  <c r="H1163" i="3"/>
  <c r="C1161" i="3"/>
  <c r="F1159" i="3"/>
  <c r="A1157" i="3"/>
  <c r="C1155" i="3"/>
  <c r="H1206" i="3"/>
  <c r="H1203" i="3"/>
  <c r="E1200" i="3"/>
  <c r="L1197" i="3"/>
  <c r="L1194" i="3"/>
  <c r="F1192" i="3"/>
  <c r="G1189" i="3"/>
  <c r="P1186" i="3"/>
  <c r="P1184" i="3"/>
  <c r="G1182" i="3"/>
  <c r="I1180" i="3"/>
  <c r="D1178" i="3"/>
  <c r="P1175" i="3"/>
  <c r="B1174" i="3"/>
  <c r="N1171" i="3"/>
  <c r="P1169" i="3"/>
  <c r="I1167" i="3"/>
  <c r="D1165" i="3"/>
  <c r="G1163" i="3"/>
  <c r="B1161" i="3"/>
  <c r="D1159" i="3"/>
  <c r="P1156" i="3"/>
  <c r="I1154" i="3"/>
  <c r="N1152" i="3"/>
  <c r="I1150" i="3"/>
  <c r="O1148" i="3"/>
  <c r="M1146" i="3"/>
  <c r="I1144" i="3"/>
  <c r="O1142" i="3"/>
  <c r="M1140" i="3"/>
  <c r="A1139" i="3"/>
  <c r="O1136" i="3"/>
  <c r="M1134" i="3"/>
  <c r="A1133" i="3"/>
  <c r="O1130" i="3"/>
  <c r="C1129" i="3"/>
  <c r="A1127" i="3"/>
  <c r="O1124" i="3"/>
  <c r="C1123" i="3"/>
  <c r="B1121" i="3"/>
  <c r="H1119" i="3"/>
  <c r="J1117" i="3"/>
  <c r="B1116" i="3"/>
  <c r="H1114" i="3"/>
  <c r="M1112" i="3"/>
  <c r="D1111" i="3"/>
  <c r="G1109" i="3"/>
  <c r="O1107" i="3"/>
  <c r="A1106" i="3"/>
  <c r="I1104" i="3"/>
  <c r="K1102" i="3"/>
  <c r="C1101" i="3"/>
  <c r="F1099" i="3"/>
  <c r="P1097" i="3"/>
  <c r="J1096" i="3"/>
  <c r="D1095" i="3"/>
  <c r="K1093" i="3"/>
  <c r="F1092" i="3"/>
  <c r="P1090" i="3"/>
  <c r="J1089" i="3"/>
  <c r="B1088" i="3"/>
  <c r="N1086" i="3"/>
  <c r="I1085" i="3"/>
  <c r="F1084" i="3"/>
  <c r="A1083" i="3"/>
  <c r="M1081" i="3"/>
  <c r="J1080" i="3"/>
  <c r="G1079" i="3"/>
  <c r="D1078" i="3"/>
  <c r="N1076" i="3"/>
  <c r="K1075" i="3"/>
  <c r="H1074" i="3"/>
  <c r="E1073" i="3"/>
  <c r="O1071" i="3"/>
  <c r="L1070" i="3"/>
  <c r="I1069" i="3"/>
  <c r="F1068" i="3"/>
  <c r="A1067" i="3"/>
  <c r="M1065" i="3"/>
  <c r="J1064" i="3"/>
  <c r="G1063" i="3"/>
  <c r="D1062" i="3"/>
  <c r="N1060" i="3"/>
  <c r="K1059" i="3"/>
  <c r="H1058" i="3"/>
  <c r="E1057" i="3"/>
  <c r="O1055" i="3"/>
  <c r="L1054" i="3"/>
  <c r="I1053" i="3"/>
  <c r="F1052" i="3"/>
  <c r="A1051" i="3"/>
  <c r="M1049" i="3"/>
  <c r="J1048" i="3"/>
  <c r="G1047" i="3"/>
  <c r="D1046" i="3"/>
  <c r="N1044" i="3"/>
  <c r="K1043" i="3"/>
  <c r="H1042" i="3"/>
  <c r="E1041" i="3"/>
  <c r="O1039" i="3"/>
  <c r="L1038" i="3"/>
  <c r="I1037" i="3"/>
  <c r="G1036" i="3"/>
  <c r="F1035" i="3"/>
  <c r="E1034" i="3"/>
  <c r="D1033" i="3"/>
  <c r="C1032" i="3"/>
  <c r="A1031" i="3"/>
  <c r="P1029" i="3"/>
  <c r="O1028" i="3"/>
  <c r="N1027" i="3"/>
  <c r="M1026" i="3"/>
  <c r="L1025" i="3"/>
  <c r="K1024" i="3"/>
  <c r="J1023" i="3"/>
  <c r="I1022" i="3"/>
  <c r="H1021" i="3"/>
  <c r="G1020" i="3"/>
  <c r="G1019" i="3"/>
  <c r="G1018" i="3"/>
  <c r="G1017" i="3"/>
  <c r="G1016" i="3"/>
  <c r="G1015" i="3"/>
  <c r="G1014" i="3"/>
  <c r="G1013" i="3"/>
  <c r="G1012" i="3"/>
  <c r="G1011" i="3"/>
  <c r="G1010" i="3"/>
  <c r="G1009" i="3"/>
  <c r="G1008" i="3"/>
  <c r="G1007" i="3"/>
  <c r="G1006" i="3"/>
  <c r="G1005" i="3"/>
  <c r="G1004" i="3"/>
  <c r="G1003" i="3"/>
  <c r="G1002" i="3"/>
  <c r="G1001" i="3"/>
  <c r="G1000" i="3"/>
  <c r="G999" i="3"/>
  <c r="G998" i="3"/>
  <c r="G997" i="3"/>
  <c r="G996" i="3"/>
  <c r="G995" i="3"/>
  <c r="G994" i="3"/>
  <c r="G993" i="3"/>
  <c r="G992" i="3"/>
  <c r="G991" i="3"/>
  <c r="G990" i="3"/>
  <c r="G989" i="3"/>
  <c r="G988" i="3"/>
  <c r="G987" i="3"/>
  <c r="G986" i="3"/>
  <c r="G985" i="3"/>
  <c r="E1207" i="3"/>
  <c r="E1203" i="3"/>
  <c r="F1198" i="3"/>
  <c r="P1193" i="3"/>
  <c r="F1189" i="3"/>
  <c r="G1185" i="3"/>
  <c r="C1182" i="3"/>
  <c r="H1178" i="3"/>
  <c r="H1175" i="3"/>
  <c r="M1171" i="3"/>
  <c r="I1168" i="3"/>
  <c r="A1165" i="3"/>
  <c r="O1161" i="3"/>
  <c r="F1158" i="3"/>
  <c r="H1154" i="3"/>
  <c r="N1151" i="3"/>
  <c r="P1148" i="3"/>
  <c r="F1146" i="3"/>
  <c r="P1206" i="3"/>
  <c r="C1203" i="3"/>
  <c r="E1198" i="3"/>
  <c r="O1193" i="3"/>
  <c r="D1189" i="3"/>
  <c r="D1185" i="3"/>
  <c r="B1182" i="3"/>
  <c r="G1178" i="3"/>
  <c r="G1175" i="3"/>
  <c r="I1171" i="3"/>
  <c r="P1167" i="3"/>
  <c r="P1164" i="3"/>
  <c r="D1161" i="3"/>
  <c r="D1158" i="3"/>
  <c r="G1154" i="3"/>
  <c r="H1151" i="3"/>
  <c r="N1148" i="3"/>
  <c r="N1145" i="3"/>
  <c r="P1142" i="3"/>
  <c r="F1140" i="3"/>
  <c r="A1137" i="3"/>
  <c r="G1134" i="3"/>
  <c r="I1131" i="3"/>
  <c r="H1128" i="3"/>
  <c r="K1125" i="3"/>
  <c r="A1123" i="3"/>
  <c r="P1119" i="3"/>
  <c r="I1117" i="3"/>
  <c r="F1115" i="3"/>
  <c r="N1112" i="3"/>
  <c r="I1110" i="3"/>
  <c r="A1108" i="3"/>
  <c r="M1105" i="3"/>
  <c r="D1103" i="3"/>
  <c r="P1100" i="3"/>
  <c r="D1098" i="3"/>
  <c r="H1096" i="3"/>
  <c r="F1094" i="3"/>
  <c r="D1092" i="3"/>
  <c r="F1090" i="3"/>
  <c r="D1088" i="3"/>
  <c r="H1086" i="3"/>
  <c r="H1084" i="3"/>
  <c r="L1082" i="3"/>
  <c r="M1080" i="3"/>
  <c r="D1079" i="3"/>
  <c r="E1077" i="3"/>
  <c r="I1075" i="3"/>
  <c r="K1073" i="3"/>
  <c r="N1071" i="3"/>
  <c r="F1070" i="3"/>
  <c r="G1068" i="3"/>
  <c r="K1066" i="3"/>
  <c r="L1064" i="3"/>
  <c r="A1063" i="3"/>
  <c r="D1061" i="3"/>
  <c r="H1059" i="3"/>
  <c r="I1057" i="3"/>
  <c r="M1055" i="3"/>
  <c r="O1053" i="3"/>
  <c r="E1052" i="3"/>
  <c r="J1050" i="3"/>
  <c r="K1048" i="3"/>
  <c r="O1046" i="3"/>
  <c r="E1045" i="3"/>
  <c r="J1043" i="3"/>
  <c r="A1042" i="3"/>
  <c r="F1040" i="3"/>
  <c r="K1038" i="3"/>
  <c r="D1037" i="3"/>
  <c r="J1035" i="3"/>
  <c r="F1034" i="3"/>
  <c r="P1032" i="3"/>
  <c r="L1031" i="3"/>
  <c r="F1030" i="3"/>
  <c r="A1029" i="3"/>
  <c r="L1027" i="3"/>
  <c r="H1026" i="3"/>
  <c r="A1025" i="3"/>
  <c r="M1023" i="3"/>
  <c r="H1022" i="3"/>
  <c r="D1021" i="3"/>
  <c r="P1019" i="3"/>
  <c r="M1018" i="3"/>
  <c r="K1017" i="3"/>
  <c r="I1016" i="3"/>
  <c r="F1015" i="3"/>
  <c r="D1014" i="3"/>
  <c r="B1013" i="3"/>
  <c r="P1011" i="3"/>
  <c r="M1010" i="3"/>
  <c r="K1009" i="3"/>
  <c r="I1008" i="3"/>
  <c r="F1007" i="3"/>
  <c r="D1006" i="3"/>
  <c r="B1005" i="3"/>
  <c r="P1003" i="3"/>
  <c r="M1002" i="3"/>
  <c r="K1001" i="3"/>
  <c r="I1000" i="3"/>
  <c r="F999" i="3"/>
  <c r="D998" i="3"/>
  <c r="B997" i="3"/>
  <c r="P995" i="3"/>
  <c r="M994" i="3"/>
  <c r="K993" i="3"/>
  <c r="I992" i="3"/>
  <c r="F991" i="3"/>
  <c r="D990" i="3"/>
  <c r="B989" i="3"/>
  <c r="P987" i="3"/>
  <c r="M986" i="3"/>
  <c r="K985" i="3"/>
  <c r="I984" i="3"/>
  <c r="H983" i="3"/>
  <c r="G982" i="3"/>
  <c r="F981" i="3"/>
  <c r="E980" i="3"/>
  <c r="D979" i="3"/>
  <c r="C978" i="3"/>
  <c r="B977" i="3"/>
  <c r="A976" i="3"/>
  <c r="P974" i="3"/>
  <c r="N973" i="3"/>
  <c r="M972" i="3"/>
  <c r="L971" i="3"/>
  <c r="K970" i="3"/>
  <c r="J969" i="3"/>
  <c r="I968" i="3"/>
  <c r="H967" i="3"/>
  <c r="G966" i="3"/>
  <c r="O1206" i="3"/>
  <c r="L1202" i="3"/>
  <c r="K1197" i="3"/>
  <c r="M1192" i="3"/>
  <c r="C1189" i="3"/>
  <c r="C1185" i="3"/>
  <c r="A1182" i="3"/>
  <c r="C1178" i="3"/>
  <c r="I1174" i="3"/>
  <c r="H1171" i="3"/>
  <c r="O1167" i="3"/>
  <c r="O1164" i="3"/>
  <c r="A1161" i="3"/>
  <c r="P1157" i="3"/>
  <c r="F1154" i="3"/>
  <c r="F1151" i="3"/>
  <c r="D1148" i="3"/>
  <c r="H1145" i="3"/>
  <c r="N1142" i="3"/>
  <c r="D1140" i="3"/>
  <c r="P1136" i="3"/>
  <c r="F1134" i="3"/>
  <c r="A1131" i="3"/>
  <c r="G1128" i="3"/>
  <c r="I1125" i="3"/>
  <c r="P1122" i="3"/>
  <c r="N1119" i="3"/>
  <c r="H1117" i="3"/>
  <c r="A1115" i="3"/>
  <c r="K1112" i="3"/>
  <c r="H1110" i="3"/>
  <c r="P1107" i="3"/>
  <c r="K1105" i="3"/>
  <c r="A1103" i="3"/>
  <c r="M1100" i="3"/>
  <c r="C1098" i="3"/>
  <c r="G1096" i="3"/>
  <c r="C1094" i="3"/>
  <c r="C1092" i="3"/>
  <c r="A1090" i="3"/>
  <c r="A1088" i="3"/>
  <c r="G1086" i="3"/>
  <c r="G1084" i="3"/>
  <c r="K1082" i="3"/>
  <c r="L1080" i="3"/>
  <c r="A1079" i="3"/>
  <c r="D1077" i="3"/>
  <c r="H1075" i="3"/>
  <c r="I1073" i="3"/>
  <c r="M1071" i="3"/>
  <c r="O1069" i="3"/>
  <c r="E1068" i="3"/>
  <c r="J1066" i="3"/>
  <c r="K1064" i="3"/>
  <c r="O1062" i="3"/>
  <c r="A1061" i="3"/>
  <c r="G1059" i="3"/>
  <c r="H1057" i="3"/>
  <c r="L1055" i="3"/>
  <c r="M1053" i="3"/>
  <c r="D1052" i="3"/>
  <c r="F1050" i="3"/>
  <c r="I1048" i="3"/>
  <c r="N1046" i="3"/>
  <c r="D1045" i="3"/>
  <c r="I1043" i="3"/>
  <c r="O1041" i="3"/>
  <c r="E1040" i="3"/>
  <c r="J1038" i="3"/>
  <c r="C1037" i="3"/>
  <c r="I1035" i="3"/>
  <c r="D1034" i="3"/>
  <c r="O1032" i="3"/>
  <c r="I1031" i="3"/>
  <c r="E1030" i="3"/>
  <c r="P1028" i="3"/>
  <c r="K1027" i="3"/>
  <c r="G1026" i="3"/>
  <c r="P1024" i="3"/>
  <c r="L1023" i="3"/>
  <c r="G1022" i="3"/>
  <c r="C1021" i="3"/>
  <c r="N1019" i="3"/>
  <c r="L1018" i="3"/>
  <c r="J1017" i="3"/>
  <c r="H1016" i="3"/>
  <c r="E1015" i="3"/>
  <c r="C1014" i="3"/>
  <c r="A1013" i="3"/>
  <c r="N1011" i="3"/>
  <c r="L1010" i="3"/>
  <c r="J1009" i="3"/>
  <c r="H1008" i="3"/>
  <c r="E1007" i="3"/>
  <c r="C1006" i="3"/>
  <c r="A1005" i="3"/>
  <c r="N1003" i="3"/>
  <c r="L1002" i="3"/>
  <c r="J1001" i="3"/>
  <c r="H1000" i="3"/>
  <c r="E999" i="3"/>
  <c r="C998" i="3"/>
  <c r="A997" i="3"/>
  <c r="N995" i="3"/>
  <c r="L994" i="3"/>
  <c r="J993" i="3"/>
  <c r="H992" i="3"/>
  <c r="E991" i="3"/>
  <c r="C990" i="3"/>
  <c r="A989" i="3"/>
  <c r="N987" i="3"/>
  <c r="L986" i="3"/>
  <c r="J985" i="3"/>
  <c r="H984" i="3"/>
  <c r="G983" i="3"/>
  <c r="F982" i="3"/>
  <c r="E981" i="3"/>
  <c r="D980" i="3"/>
  <c r="C979" i="3"/>
  <c r="B978" i="3"/>
  <c r="A977" i="3"/>
  <c r="P975" i="3"/>
  <c r="N974" i="3"/>
  <c r="M973" i="3"/>
  <c r="L972" i="3"/>
  <c r="K971" i="3"/>
  <c r="J970" i="3"/>
  <c r="I969" i="3"/>
  <c r="H968" i="3"/>
  <c r="G967" i="3"/>
  <c r="F966" i="3"/>
  <c r="E965" i="3"/>
  <c r="D964" i="3"/>
  <c r="C963" i="3"/>
  <c r="B962" i="3"/>
  <c r="A961" i="3"/>
  <c r="P959" i="3"/>
  <c r="N958" i="3"/>
  <c r="M957" i="3"/>
  <c r="L956" i="3"/>
  <c r="K955" i="3"/>
  <c r="J954" i="3"/>
  <c r="I953" i="3"/>
  <c r="H952" i="3"/>
  <c r="G951" i="3"/>
  <c r="F950" i="3"/>
  <c r="E949" i="3"/>
  <c r="D948" i="3"/>
  <c r="D947" i="3"/>
  <c r="D946" i="3"/>
  <c r="D945" i="3"/>
  <c r="D944" i="3"/>
  <c r="D943" i="3"/>
  <c r="D942" i="3"/>
  <c r="D941" i="3"/>
  <c r="D940" i="3"/>
  <c r="D939" i="3"/>
  <c r="D938" i="3"/>
  <c r="D937" i="3"/>
  <c r="N1206" i="3"/>
  <c r="C1202" i="3"/>
  <c r="J1197" i="3"/>
  <c r="K1192" i="3"/>
  <c r="B1189" i="3"/>
  <c r="B1185" i="3"/>
  <c r="P1181" i="3"/>
  <c r="B1178" i="3"/>
  <c r="G1174" i="3"/>
  <c r="G1171" i="3"/>
  <c r="N1167" i="3"/>
  <c r="N1164" i="3"/>
  <c r="P1160" i="3"/>
  <c r="D1157" i="3"/>
  <c r="D1154" i="3"/>
  <c r="D1151" i="3"/>
  <c r="C1148" i="3"/>
  <c r="F1145" i="3"/>
  <c r="M1142" i="3"/>
  <c r="H1139" i="3"/>
  <c r="N1136" i="3"/>
  <c r="D1134" i="3"/>
  <c r="P1130" i="3"/>
  <c r="F1128" i="3"/>
  <c r="H1125" i="3"/>
  <c r="G1122" i="3"/>
  <c r="M1119" i="3"/>
  <c r="G1117" i="3"/>
  <c r="O1114" i="3"/>
  <c r="J1112" i="3"/>
  <c r="C1110" i="3"/>
  <c r="N1107" i="3"/>
  <c r="J1105" i="3"/>
  <c r="M1102" i="3"/>
  <c r="H1100" i="3"/>
  <c r="B1098" i="3"/>
  <c r="C1096" i="3"/>
  <c r="B1094" i="3"/>
  <c r="B1092" i="3"/>
  <c r="O1089" i="3"/>
  <c r="P1087" i="3"/>
  <c r="P1085" i="3"/>
  <c r="E1084" i="3"/>
  <c r="J1082" i="3"/>
  <c r="K1080" i="3"/>
  <c r="O1078" i="3"/>
  <c r="A1077" i="3"/>
  <c r="G1075" i="3"/>
  <c r="H1073" i="3"/>
  <c r="L1071" i="3"/>
  <c r="M1069" i="3"/>
  <c r="D1068" i="3"/>
  <c r="F1066" i="3"/>
  <c r="I1064" i="3"/>
  <c r="N1062" i="3"/>
  <c r="O1060" i="3"/>
  <c r="F1059" i="3"/>
  <c r="G1057" i="3"/>
  <c r="K1055" i="3"/>
  <c r="L1053" i="3"/>
  <c r="A1052" i="3"/>
  <c r="D1050" i="3"/>
  <c r="H1048" i="3"/>
  <c r="J1046" i="3"/>
  <c r="A1045" i="3"/>
  <c r="H1043" i="3"/>
  <c r="K1041" i="3"/>
  <c r="D1040" i="3"/>
  <c r="I1038" i="3"/>
  <c r="M1036" i="3"/>
  <c r="H1035" i="3"/>
  <c r="C1034" i="3"/>
  <c r="N1032" i="3"/>
  <c r="H1031" i="3"/>
  <c r="D1030" i="3"/>
  <c r="N1028" i="3"/>
  <c r="J1027" i="3"/>
  <c r="D1026" i="3"/>
  <c r="O1024" i="3"/>
  <c r="K1023" i="3"/>
  <c r="F1022" i="3"/>
  <c r="A1021" i="3"/>
  <c r="M1019" i="3"/>
  <c r="K1018" i="3"/>
  <c r="I1017" i="3"/>
  <c r="F1016" i="3"/>
  <c r="D1015" i="3"/>
  <c r="B1014" i="3"/>
  <c r="P1012" i="3"/>
  <c r="M1011" i="3"/>
  <c r="K1010" i="3"/>
  <c r="I1009" i="3"/>
  <c r="F1008" i="3"/>
  <c r="D1007" i="3"/>
  <c r="B1006" i="3"/>
  <c r="P1004" i="3"/>
  <c r="M1003" i="3"/>
  <c r="K1002" i="3"/>
  <c r="I1001" i="3"/>
  <c r="F1000" i="3"/>
  <c r="D999" i="3"/>
  <c r="B998" i="3"/>
  <c r="P996" i="3"/>
  <c r="M995" i="3"/>
  <c r="K994" i="3"/>
  <c r="I993" i="3"/>
  <c r="F992" i="3"/>
  <c r="D991" i="3"/>
  <c r="B990" i="3"/>
  <c r="P988" i="3"/>
  <c r="M987" i="3"/>
  <c r="K986" i="3"/>
  <c r="I985" i="3"/>
  <c r="G984" i="3"/>
  <c r="F983" i="3"/>
  <c r="E982" i="3"/>
  <c r="D981" i="3"/>
  <c r="C980" i="3"/>
  <c r="B979" i="3"/>
  <c r="A978" i="3"/>
  <c r="P976" i="3"/>
  <c r="N975" i="3"/>
  <c r="M974" i="3"/>
  <c r="L973" i="3"/>
  <c r="K972" i="3"/>
  <c r="J971" i="3"/>
  <c r="I970" i="3"/>
  <c r="H969" i="3"/>
  <c r="G968" i="3"/>
  <c r="F967" i="3"/>
  <c r="E966" i="3"/>
  <c r="D965" i="3"/>
  <c r="C964" i="3"/>
  <c r="B963" i="3"/>
  <c r="A962" i="3"/>
  <c r="P960" i="3"/>
  <c r="N959" i="3"/>
  <c r="M958" i="3"/>
  <c r="G1206" i="3"/>
  <c r="I1201" i="3"/>
  <c r="H1197" i="3"/>
  <c r="I1192" i="3"/>
  <c r="A1189" i="3"/>
  <c r="O1184" i="3"/>
  <c r="B1181" i="3"/>
  <c r="A1178" i="3"/>
  <c r="F1174" i="3"/>
  <c r="F1171" i="3"/>
  <c r="H1167" i="3"/>
  <c r="P1163" i="3"/>
  <c r="O1160" i="3"/>
  <c r="C1157" i="3"/>
  <c r="C1154" i="3"/>
  <c r="M1150" i="3"/>
  <c r="B1148" i="3"/>
  <c r="D1145" i="3"/>
  <c r="K1142" i="3"/>
  <c r="F1139" i="3"/>
  <c r="M1136" i="3"/>
  <c r="H1133" i="3"/>
  <c r="N1130" i="3"/>
  <c r="D1128" i="3"/>
  <c r="G1125" i="3"/>
  <c r="F1122" i="3"/>
  <c r="K1119" i="3"/>
  <c r="F1117" i="3"/>
  <c r="N1114" i="3"/>
  <c r="I1112" i="3"/>
  <c r="O1109" i="3"/>
  <c r="J1107" i="3"/>
  <c r="P1104" i="3"/>
  <c r="J1102" i="3"/>
  <c r="G1100" i="3"/>
  <c r="A1098" i="3"/>
  <c r="A1096" i="3"/>
  <c r="O1093" i="3"/>
  <c r="A1092" i="3"/>
  <c r="N1089" i="3"/>
  <c r="O1087" i="3"/>
  <c r="N1085" i="3"/>
  <c r="D1084" i="3"/>
  <c r="F1082" i="3"/>
  <c r="I1080" i="3"/>
  <c r="N1078" i="3"/>
  <c r="O1076" i="3"/>
  <c r="F1075" i="3"/>
  <c r="G1073" i="3"/>
  <c r="K1071" i="3"/>
  <c r="L1069" i="3"/>
  <c r="A1068" i="3"/>
  <c r="D1066" i="3"/>
  <c r="H1064" i="3"/>
  <c r="J1062" i="3"/>
  <c r="M1060" i="3"/>
  <c r="E1059" i="3"/>
  <c r="F1057" i="3"/>
  <c r="J1055" i="3"/>
  <c r="K1053" i="3"/>
  <c r="O1051" i="3"/>
  <c r="A1050" i="3"/>
  <c r="G1048" i="3"/>
  <c r="I1046" i="3"/>
  <c r="O1044" i="3"/>
  <c r="G1043" i="3"/>
  <c r="J1041" i="3"/>
  <c r="A1040" i="3"/>
  <c r="H1038" i="3"/>
  <c r="L1036" i="3"/>
  <c r="G1035" i="3"/>
  <c r="A1034" i="3"/>
  <c r="M1032" i="3"/>
  <c r="G1031" i="3"/>
  <c r="C1030" i="3"/>
  <c r="M1028" i="3"/>
  <c r="I1027" i="3"/>
  <c r="C1026" i="3"/>
  <c r="N1024" i="3"/>
  <c r="I1023" i="3"/>
  <c r="E1022" i="3"/>
  <c r="N1020" i="3"/>
  <c r="L1019" i="3"/>
  <c r="J1018" i="3"/>
  <c r="H1017" i="3"/>
  <c r="E1016" i="3"/>
  <c r="C1015" i="3"/>
  <c r="A1014" i="3"/>
  <c r="N1012" i="3"/>
  <c r="L1011" i="3"/>
  <c r="J1010" i="3"/>
  <c r="H1009" i="3"/>
  <c r="E1008" i="3"/>
  <c r="C1007" i="3"/>
  <c r="A1006" i="3"/>
  <c r="N1004" i="3"/>
  <c r="L1003" i="3"/>
  <c r="J1002" i="3"/>
  <c r="H1001" i="3"/>
  <c r="E1000" i="3"/>
  <c r="C999" i="3"/>
  <c r="A998" i="3"/>
  <c r="N996" i="3"/>
  <c r="L995" i="3"/>
  <c r="J994" i="3"/>
  <c r="H993" i="3"/>
  <c r="E992" i="3"/>
  <c r="C991" i="3"/>
  <c r="A990" i="3"/>
  <c r="N988" i="3"/>
  <c r="L987" i="3"/>
  <c r="J986" i="3"/>
  <c r="H985" i="3"/>
  <c r="F984" i="3"/>
  <c r="E983" i="3"/>
  <c r="D982" i="3"/>
  <c r="C981" i="3"/>
  <c r="B980" i="3"/>
  <c r="L1205" i="3"/>
  <c r="G1201" i="3"/>
  <c r="J1196" i="3"/>
  <c r="H1192" i="3"/>
  <c r="F1188" i="3"/>
  <c r="N1184" i="3"/>
  <c r="P1180" i="3"/>
  <c r="P1177" i="3"/>
  <c r="D1174" i="3"/>
  <c r="D1171" i="3"/>
  <c r="G1167" i="3"/>
  <c r="N1163" i="3"/>
  <c r="N1160" i="3"/>
  <c r="B1157" i="3"/>
  <c r="B1154" i="3"/>
  <c r="K1150" i="3"/>
  <c r="A1148" i="3"/>
  <c r="C1145" i="3"/>
  <c r="B1142" i="3"/>
  <c r="D1139" i="3"/>
  <c r="K1136" i="3"/>
  <c r="F1133" i="3"/>
  <c r="M1130" i="3"/>
  <c r="P1127" i="3"/>
  <c r="N1124" i="3"/>
  <c r="D1122" i="3"/>
  <c r="I1119" i="3"/>
  <c r="D1117" i="3"/>
  <c r="M1114" i="3"/>
  <c r="H1112" i="3"/>
  <c r="J1109" i="3"/>
  <c r="F1107" i="3"/>
  <c r="N1104" i="3"/>
  <c r="I1102" i="3"/>
  <c r="B1100" i="3"/>
  <c r="O1097" i="3"/>
  <c r="P1095" i="3"/>
  <c r="M1093" i="3"/>
  <c r="P1091" i="3"/>
  <c r="M1089" i="3"/>
  <c r="N1087" i="3"/>
  <c r="M1085" i="3"/>
  <c r="A1084" i="3"/>
  <c r="D1082" i="3"/>
  <c r="H1080" i="3"/>
  <c r="J1078" i="3"/>
  <c r="M1076" i="3"/>
  <c r="E1075" i="3"/>
  <c r="F1073" i="3"/>
  <c r="J1071" i="3"/>
  <c r="K1069" i="3"/>
  <c r="O1067" i="3"/>
  <c r="A1066" i="3"/>
  <c r="G1064" i="3"/>
  <c r="H1062" i="3"/>
  <c r="L1060" i="3"/>
  <c r="N1058" i="3"/>
  <c r="D1057" i="3"/>
  <c r="I1055" i="3"/>
  <c r="J1053" i="3"/>
  <c r="N1051" i="3"/>
  <c r="O1049" i="3"/>
  <c r="E1205" i="3"/>
  <c r="C1200" i="3"/>
  <c r="P1195" i="3"/>
  <c r="E1191" i="3"/>
  <c r="N1187" i="3"/>
  <c r="P1183" i="3"/>
  <c r="H1180" i="3"/>
  <c r="P1176" i="3"/>
  <c r="O1173" i="3"/>
  <c r="C1170" i="3"/>
  <c r="C1167" i="3"/>
  <c r="F1163" i="3"/>
  <c r="N1159" i="3"/>
  <c r="M1156" i="3"/>
  <c r="A1153" i="3"/>
  <c r="F1150" i="3"/>
  <c r="A1147" i="3"/>
  <c r="G1144" i="3"/>
  <c r="K1141" i="3"/>
  <c r="P1138" i="3"/>
  <c r="P1135" i="3"/>
  <c r="B1133" i="3"/>
  <c r="H1130" i="3"/>
  <c r="C1127" i="3"/>
  <c r="I1124" i="3"/>
  <c r="M1121" i="3"/>
  <c r="D1119" i="3"/>
  <c r="G1116" i="3"/>
  <c r="B1114" i="3"/>
  <c r="K1111" i="3"/>
  <c r="F1109" i="3"/>
  <c r="B1107" i="3"/>
  <c r="J1104" i="3"/>
  <c r="F1102" i="3"/>
  <c r="N1099" i="3"/>
  <c r="K1097" i="3"/>
  <c r="H1095" i="3"/>
  <c r="H1093" i="3"/>
  <c r="D1091" i="3"/>
  <c r="F1089" i="3"/>
  <c r="G1087" i="3"/>
  <c r="H1085" i="3"/>
  <c r="M1083" i="3"/>
  <c r="N1081" i="3"/>
  <c r="E1080" i="3"/>
  <c r="F1078" i="3"/>
  <c r="J1076" i="3"/>
  <c r="K1199" i="3"/>
  <c r="P1190" i="3"/>
  <c r="O1183" i="3"/>
  <c r="O1177" i="3"/>
  <c r="H1172" i="3"/>
  <c r="A1166" i="3"/>
  <c r="H1159" i="3"/>
  <c r="B1153" i="3"/>
  <c r="A1149" i="3"/>
  <c r="F1143" i="3"/>
  <c r="G1138" i="3"/>
  <c r="I1134" i="3"/>
  <c r="H1129" i="3"/>
  <c r="M1124" i="3"/>
  <c r="O1120" i="3"/>
  <c r="F1116" i="3"/>
  <c r="P1112" i="3"/>
  <c r="B1109" i="3"/>
  <c r="M1104" i="3"/>
  <c r="F1101" i="3"/>
  <c r="J1097" i="3"/>
  <c r="K1094" i="3"/>
  <c r="A1091" i="3"/>
  <c r="M1087" i="3"/>
  <c r="A1085" i="3"/>
  <c r="L1081" i="3"/>
  <c r="F1079" i="3"/>
  <c r="D1076" i="3"/>
  <c r="O1073" i="3"/>
  <c r="N1070" i="3"/>
  <c r="I1068" i="3"/>
  <c r="K1065" i="3"/>
  <c r="F1063" i="3"/>
  <c r="I1060" i="3"/>
  <c r="D1058" i="3"/>
  <c r="A1055" i="3"/>
  <c r="L1052" i="3"/>
  <c r="N1049" i="3"/>
  <c r="J1047" i="3"/>
  <c r="K1045" i="3"/>
  <c r="E1043" i="3"/>
  <c r="A1041" i="3"/>
  <c r="O1038" i="3"/>
  <c r="J1036" i="3"/>
  <c r="O1034" i="3"/>
  <c r="E1033" i="3"/>
  <c r="E1031" i="3"/>
  <c r="K1029" i="3"/>
  <c r="P1027" i="3"/>
  <c r="P1025" i="3"/>
  <c r="G1024" i="3"/>
  <c r="L1022" i="3"/>
  <c r="L1020" i="3"/>
  <c r="E1019" i="3"/>
  <c r="N1017" i="3"/>
  <c r="C1016" i="3"/>
  <c r="L1014" i="3"/>
  <c r="E1013" i="3"/>
  <c r="J1011" i="3"/>
  <c r="C1010" i="3"/>
  <c r="L1008" i="3"/>
  <c r="A1007" i="3"/>
  <c r="J1005" i="3"/>
  <c r="C1004" i="3"/>
  <c r="H1002" i="3"/>
  <c r="A1001" i="3"/>
  <c r="J999" i="3"/>
  <c r="N997" i="3"/>
  <c r="H996" i="3"/>
  <c r="A995" i="3"/>
  <c r="E993" i="3"/>
  <c r="N991" i="3"/>
  <c r="H990" i="3"/>
  <c r="L988" i="3"/>
  <c r="E987" i="3"/>
  <c r="N985" i="3"/>
  <c r="D984" i="3"/>
  <c r="N982" i="3"/>
  <c r="I981" i="3"/>
  <c r="P979" i="3"/>
  <c r="K978" i="3"/>
  <c r="G977" i="3"/>
  <c r="C976" i="3"/>
  <c r="K974" i="3"/>
  <c r="G973" i="3"/>
  <c r="C972" i="3"/>
  <c r="N970" i="3"/>
  <c r="G969" i="3"/>
  <c r="C968" i="3"/>
  <c r="N966" i="3"/>
  <c r="J965" i="3"/>
  <c r="G964" i="3"/>
  <c r="D963" i="3"/>
  <c r="N961" i="3"/>
  <c r="K960" i="3"/>
  <c r="H959" i="3"/>
  <c r="E958" i="3"/>
  <c r="C957" i="3"/>
  <c r="A956" i="3"/>
  <c r="N954" i="3"/>
  <c r="L953" i="3"/>
  <c r="J952" i="3"/>
  <c r="H951" i="3"/>
  <c r="E950" i="3"/>
  <c r="C949" i="3"/>
  <c r="A948" i="3"/>
  <c r="P946" i="3"/>
  <c r="O945" i="3"/>
  <c r="N944" i="3"/>
  <c r="M943" i="3"/>
  <c r="L942" i="3"/>
  <c r="K941" i="3"/>
  <c r="J940" i="3"/>
  <c r="I939" i="3"/>
  <c r="H938" i="3"/>
  <c r="G937" i="3"/>
  <c r="F936" i="3"/>
  <c r="F935" i="3"/>
  <c r="F934" i="3"/>
  <c r="F933" i="3"/>
  <c r="F932" i="3"/>
  <c r="F931" i="3"/>
  <c r="F930" i="3"/>
  <c r="F929" i="3"/>
  <c r="F928" i="3"/>
  <c r="F927" i="3"/>
  <c r="F926" i="3"/>
  <c r="F925" i="3"/>
  <c r="F924" i="3"/>
  <c r="F923" i="3"/>
  <c r="F922" i="3"/>
  <c r="F921" i="3"/>
  <c r="F920" i="3"/>
  <c r="F919" i="3"/>
  <c r="F918" i="3"/>
  <c r="F917" i="3"/>
  <c r="F916" i="3"/>
  <c r="F915" i="3"/>
  <c r="F914" i="3"/>
  <c r="F913" i="3"/>
  <c r="F912" i="3"/>
  <c r="F911" i="3"/>
  <c r="F910" i="3"/>
  <c r="F909" i="3"/>
  <c r="F908" i="3"/>
  <c r="F907" i="3"/>
  <c r="F906" i="3"/>
  <c r="F905" i="3"/>
  <c r="F904" i="3"/>
  <c r="K1205" i="3"/>
  <c r="I1198" i="3"/>
  <c r="H1190" i="3"/>
  <c r="G1183" i="3"/>
  <c r="D1177" i="3"/>
  <c r="P1171" i="3"/>
  <c r="P1165" i="3"/>
  <c r="G1159" i="3"/>
  <c r="P1152" i="3"/>
  <c r="P1147" i="3"/>
  <c r="C1143" i="3"/>
  <c r="F1138" i="3"/>
  <c r="H1134" i="3"/>
  <c r="G1129" i="3"/>
  <c r="K1124" i="3"/>
  <c r="J1205" i="3"/>
  <c r="G1198" i="3"/>
  <c r="O1189" i="3"/>
  <c r="D1183" i="3"/>
  <c r="N1176" i="3"/>
  <c r="G1170" i="3"/>
  <c r="C1165" i="3"/>
  <c r="C1159" i="3"/>
  <c r="O1152" i="3"/>
  <c r="K1147" i="3"/>
  <c r="B1143" i="3"/>
  <c r="D1138" i="3"/>
  <c r="D1133" i="3"/>
  <c r="F1129" i="3"/>
  <c r="H1124" i="3"/>
  <c r="M1120" i="3"/>
  <c r="C1116" i="3"/>
  <c r="G1112" i="3"/>
  <c r="P1108" i="3"/>
  <c r="H1104" i="3"/>
  <c r="B1101" i="3"/>
  <c r="A1097" i="3"/>
  <c r="J1093" i="3"/>
  <c r="N1090" i="3"/>
  <c r="C1087" i="3"/>
  <c r="J1084" i="3"/>
  <c r="J1081" i="3"/>
  <c r="H1078" i="3"/>
  <c r="N1075" i="3"/>
  <c r="A1073" i="3"/>
  <c r="K1070" i="3"/>
  <c r="N1067" i="3"/>
  <c r="I1065" i="3"/>
  <c r="D1063" i="3"/>
  <c r="D1060" i="3"/>
  <c r="O1057" i="3"/>
  <c r="N1054" i="3"/>
  <c r="I1052" i="3"/>
  <c r="K1049" i="3"/>
  <c r="H1047" i="3"/>
  <c r="F1045" i="3"/>
  <c r="M1042" i="3"/>
  <c r="N1040" i="3"/>
  <c r="M1038" i="3"/>
  <c r="H1036" i="3"/>
  <c r="K1034" i="3"/>
  <c r="A1033" i="3"/>
  <c r="C1031" i="3"/>
  <c r="G1029" i="3"/>
  <c r="M1027" i="3"/>
  <c r="N1025" i="3"/>
  <c r="E1024" i="3"/>
  <c r="J1022" i="3"/>
  <c r="J1020" i="3"/>
  <c r="C1019" i="3"/>
  <c r="L1017" i="3"/>
  <c r="A1016" i="3"/>
  <c r="J1014" i="3"/>
  <c r="C1013" i="3"/>
  <c r="H1011" i="3"/>
  <c r="A1010" i="3"/>
  <c r="J1008" i="3"/>
  <c r="N1006" i="3"/>
  <c r="H1005" i="3"/>
  <c r="A1004" i="3"/>
  <c r="E1002" i="3"/>
  <c r="N1000" i="3"/>
  <c r="H999" i="3"/>
  <c r="L997" i="3"/>
  <c r="E996" i="3"/>
  <c r="N994" i="3"/>
  <c r="C993" i="3"/>
  <c r="L991" i="3"/>
  <c r="E990" i="3"/>
  <c r="J988" i="3"/>
  <c r="C987" i="3"/>
  <c r="L985" i="3"/>
  <c r="B984" i="3"/>
  <c r="L982" i="3"/>
  <c r="G981" i="3"/>
  <c r="M979" i="3"/>
  <c r="I978" i="3"/>
  <c r="E977" i="3"/>
  <c r="M975" i="3"/>
  <c r="I974" i="3"/>
  <c r="E973" i="3"/>
  <c r="A972" i="3"/>
  <c r="L970" i="3"/>
  <c r="E969" i="3"/>
  <c r="A968" i="3"/>
  <c r="L966" i="3"/>
  <c r="H965" i="3"/>
  <c r="E964" i="3"/>
  <c r="C1205" i="3"/>
  <c r="I1196" i="3"/>
  <c r="N1189" i="3"/>
  <c r="C1183" i="3"/>
  <c r="M1176" i="3"/>
  <c r="D1170" i="3"/>
  <c r="B1165" i="3"/>
  <c r="I1158" i="3"/>
  <c r="M1152" i="3"/>
  <c r="P1146" i="3"/>
  <c r="A1143" i="3"/>
  <c r="C1138" i="3"/>
  <c r="C1133" i="3"/>
  <c r="D1129" i="3"/>
  <c r="G1124" i="3"/>
  <c r="K1120" i="3"/>
  <c r="A1116" i="3"/>
  <c r="C1112" i="3"/>
  <c r="F1108" i="3"/>
  <c r="G1104" i="3"/>
  <c r="A1101" i="3"/>
  <c r="O1096" i="3"/>
  <c r="I1093" i="3"/>
  <c r="M1090" i="3"/>
  <c r="A1087" i="3"/>
  <c r="I1084" i="3"/>
  <c r="I1081" i="3"/>
  <c r="G1078" i="3"/>
  <c r="M1075" i="3"/>
  <c r="O1072" i="3"/>
  <c r="J1070" i="3"/>
  <c r="M1067" i="3"/>
  <c r="H1065" i="3"/>
  <c r="G1062" i="3"/>
  <c r="O1059" i="3"/>
  <c r="K1057" i="3"/>
  <c r="M1054" i="3"/>
  <c r="H1052" i="3"/>
  <c r="J1049" i="3"/>
  <c r="F1047" i="3"/>
  <c r="M1044" i="3"/>
  <c r="L1042" i="3"/>
  <c r="M1040" i="3"/>
  <c r="G1038" i="3"/>
  <c r="F1036" i="3"/>
  <c r="J1034" i="3"/>
  <c r="J1032" i="3"/>
  <c r="P1030" i="3"/>
  <c r="F1029" i="3"/>
  <c r="H1027" i="3"/>
  <c r="M1025" i="3"/>
  <c r="A1024" i="3"/>
  <c r="D1022" i="3"/>
  <c r="I1020" i="3"/>
  <c r="B1019" i="3"/>
  <c r="F1017" i="3"/>
  <c r="P1015" i="3"/>
  <c r="I1014" i="3"/>
  <c r="M1012" i="3"/>
  <c r="F1011" i="3"/>
  <c r="P1009" i="3"/>
  <c r="D1008" i="3"/>
  <c r="M1006" i="3"/>
  <c r="F1005" i="3"/>
  <c r="K1003" i="3"/>
  <c r="D1002" i="3"/>
  <c r="M1000" i="3"/>
  <c r="B999" i="3"/>
  <c r="K997" i="3"/>
  <c r="D996" i="3"/>
  <c r="I994" i="3"/>
  <c r="B993" i="3"/>
  <c r="K991" i="3"/>
  <c r="P989" i="3"/>
  <c r="I988" i="3"/>
  <c r="B987" i="3"/>
  <c r="F985" i="3"/>
  <c r="A984" i="3"/>
  <c r="K982" i="3"/>
  <c r="B981" i="3"/>
  <c r="L979" i="3"/>
  <c r="H978" i="3"/>
  <c r="D977" i="3"/>
  <c r="L975" i="3"/>
  <c r="H974" i="3"/>
  <c r="D973" i="3"/>
  <c r="P971" i="3"/>
  <c r="H970" i="3"/>
  <c r="D969" i="3"/>
  <c r="P967" i="3"/>
  <c r="K966" i="3"/>
  <c r="G965" i="3"/>
  <c r="B964" i="3"/>
  <c r="N962" i="3"/>
  <c r="K961" i="3"/>
  <c r="H960" i="3"/>
  <c r="E959" i="3"/>
  <c r="B958" i="3"/>
  <c r="P956" i="3"/>
  <c r="M955" i="3"/>
  <c r="K954" i="3"/>
  <c r="H953" i="3"/>
  <c r="F952" i="3"/>
  <c r="D951" i="3"/>
  <c r="B950" i="3"/>
  <c r="P948" i="3"/>
  <c r="N947" i="3"/>
  <c r="M946" i="3"/>
  <c r="L945" i="3"/>
  <c r="K944" i="3"/>
  <c r="J943" i="3"/>
  <c r="I942" i="3"/>
  <c r="H941" i="3"/>
  <c r="G940" i="3"/>
  <c r="F939" i="3"/>
  <c r="E938" i="3"/>
  <c r="C937" i="3"/>
  <c r="C936" i="3"/>
  <c r="C935" i="3"/>
  <c r="C934" i="3"/>
  <c r="C933" i="3"/>
  <c r="C932" i="3"/>
  <c r="C931" i="3"/>
  <c r="C930" i="3"/>
  <c r="C929" i="3"/>
  <c r="C928" i="3"/>
  <c r="C927" i="3"/>
  <c r="C926" i="3"/>
  <c r="C925" i="3"/>
  <c r="C924" i="3"/>
  <c r="C923" i="3"/>
  <c r="C922" i="3"/>
  <c r="C921" i="3"/>
  <c r="C920" i="3"/>
  <c r="C919" i="3"/>
  <c r="C918" i="3"/>
  <c r="C917" i="3"/>
  <c r="C916" i="3"/>
  <c r="C915" i="3"/>
  <c r="C914" i="3"/>
  <c r="C913" i="3"/>
  <c r="C912" i="3"/>
  <c r="C911" i="3"/>
  <c r="C910" i="3"/>
  <c r="C909" i="3"/>
  <c r="C908" i="3"/>
  <c r="C907" i="3"/>
  <c r="C906" i="3"/>
  <c r="C905" i="3"/>
  <c r="C904" i="3"/>
  <c r="C903" i="3"/>
  <c r="C902" i="3"/>
  <c r="C901" i="3"/>
  <c r="C900" i="3"/>
  <c r="C899" i="3"/>
  <c r="C898" i="3"/>
  <c r="C897" i="3"/>
  <c r="C896" i="3"/>
  <c r="C895" i="3"/>
  <c r="C894" i="3"/>
  <c r="C893" i="3"/>
  <c r="L1204" i="3"/>
  <c r="H1196" i="3"/>
  <c r="I1189" i="3"/>
  <c r="I1182" i="3"/>
  <c r="I1176" i="3"/>
  <c r="B1170" i="3"/>
  <c r="M1163" i="3"/>
  <c r="H1158" i="3"/>
  <c r="I1152" i="3"/>
  <c r="O1146" i="3"/>
  <c r="A1142" i="3"/>
  <c r="B1138" i="3"/>
  <c r="P1132" i="3"/>
  <c r="B1129" i="3"/>
  <c r="K1123" i="3"/>
  <c r="G1119" i="3"/>
  <c r="P1115" i="3"/>
  <c r="I1111" i="3"/>
  <c r="C1108" i="3"/>
  <c r="C1104" i="3"/>
  <c r="P1099" i="3"/>
  <c r="N1096" i="3"/>
  <c r="G1093" i="3"/>
  <c r="K1090" i="3"/>
  <c r="P1086" i="3"/>
  <c r="O1083" i="3"/>
  <c r="H1081" i="3"/>
  <c r="E1078" i="3"/>
  <c r="L1075" i="3"/>
  <c r="N1072" i="3"/>
  <c r="I1070" i="3"/>
  <c r="I1067" i="3"/>
  <c r="G1065" i="3"/>
  <c r="F1062" i="3"/>
  <c r="N1059" i="3"/>
  <c r="A1057" i="3"/>
  <c r="K1054" i="3"/>
  <c r="G1052" i="3"/>
  <c r="I1049" i="3"/>
  <c r="E1047" i="3"/>
  <c r="L1044" i="3"/>
  <c r="K1042" i="3"/>
  <c r="L1040" i="3"/>
  <c r="F1038" i="3"/>
  <c r="E1036" i="3"/>
  <c r="I1034" i="3"/>
  <c r="I1032" i="3"/>
  <c r="O1030" i="3"/>
  <c r="E1029" i="3"/>
  <c r="E1027" i="3"/>
  <c r="K1025" i="3"/>
  <c r="P1023" i="3"/>
  <c r="C1022" i="3"/>
  <c r="H1020" i="3"/>
  <c r="A1019" i="3"/>
  <c r="E1017" i="3"/>
  <c r="N1015" i="3"/>
  <c r="H1014" i="3"/>
  <c r="L1012" i="3"/>
  <c r="E1011" i="3"/>
  <c r="N1009" i="3"/>
  <c r="C1008" i="3"/>
  <c r="L1006" i="3"/>
  <c r="E1005" i="3"/>
  <c r="J1003" i="3"/>
  <c r="C1002" i="3"/>
  <c r="L1000" i="3"/>
  <c r="A999" i="3"/>
  <c r="J997" i="3"/>
  <c r="C996" i="3"/>
  <c r="H994" i="3"/>
  <c r="M1203" i="3"/>
  <c r="N1195" i="3"/>
  <c r="A1188" i="3"/>
  <c r="F1182" i="3"/>
  <c r="O1175" i="3"/>
  <c r="O1169" i="3"/>
  <c r="I1163" i="3"/>
  <c r="G1158" i="3"/>
  <c r="H1152" i="3"/>
  <c r="N1146" i="3"/>
  <c r="P1141" i="3"/>
  <c r="N1137" i="3"/>
  <c r="O1132" i="3"/>
  <c r="I1128" i="3"/>
  <c r="H1123" i="3"/>
  <c r="F1119" i="3"/>
  <c r="O1115" i="3"/>
  <c r="H1111" i="3"/>
  <c r="B1108" i="3"/>
  <c r="O1103" i="3"/>
  <c r="O1099" i="3"/>
  <c r="M1096" i="3"/>
  <c r="F1093" i="3"/>
  <c r="H1090" i="3"/>
  <c r="O1086" i="3"/>
  <c r="N1083" i="3"/>
  <c r="G1081" i="3"/>
  <c r="A1078" i="3"/>
  <c r="J1075" i="3"/>
  <c r="M1072" i="3"/>
  <c r="H1070" i="3"/>
  <c r="G1067" i="3"/>
  <c r="A1065" i="3"/>
  <c r="E1062" i="3"/>
  <c r="M1059" i="3"/>
  <c r="O1056" i="3"/>
  <c r="J1054" i="3"/>
  <c r="M1051" i="3"/>
  <c r="H1049" i="3"/>
  <c r="D1047" i="3"/>
  <c r="K1044" i="3"/>
  <c r="J1042" i="3"/>
  <c r="H1040" i="3"/>
  <c r="O1037" i="3"/>
  <c r="D1036" i="3"/>
  <c r="H1034" i="3"/>
  <c r="H1032" i="3"/>
  <c r="N1030" i="3"/>
  <c r="D1029" i="3"/>
  <c r="D1027" i="3"/>
  <c r="J1025" i="3"/>
  <c r="O1023" i="3"/>
  <c r="O1021" i="3"/>
  <c r="F1020" i="3"/>
  <c r="P1018" i="3"/>
  <c r="D1017" i="3"/>
  <c r="M1015" i="3"/>
  <c r="F1014" i="3"/>
  <c r="K1012" i="3"/>
  <c r="D1011" i="3"/>
  <c r="M1009" i="3"/>
  <c r="B1008" i="3"/>
  <c r="K1006" i="3"/>
  <c r="D1005" i="3"/>
  <c r="I1003" i="3"/>
  <c r="B1002" i="3"/>
  <c r="K1000" i="3"/>
  <c r="P998" i="3"/>
  <c r="I997" i="3"/>
  <c r="B996" i="3"/>
  <c r="F994" i="3"/>
  <c r="P992" i="3"/>
  <c r="I991" i="3"/>
  <c r="M989" i="3"/>
  <c r="F988" i="3"/>
  <c r="P986" i="3"/>
  <c r="D985" i="3"/>
  <c r="N983" i="3"/>
  <c r="I982" i="3"/>
  <c r="P980" i="3"/>
  <c r="J979" i="3"/>
  <c r="F978" i="3"/>
  <c r="N976" i="3"/>
  <c r="J975" i="3"/>
  <c r="F974" i="3"/>
  <c r="B973" i="3"/>
  <c r="M971" i="3"/>
  <c r="F970" i="3"/>
  <c r="B969" i="3"/>
  <c r="M967" i="3"/>
  <c r="I966" i="3"/>
  <c r="C965" i="3"/>
  <c r="P963" i="3"/>
  <c r="L962" i="3"/>
  <c r="I961" i="3"/>
  <c r="F960" i="3"/>
  <c r="C959" i="3"/>
  <c r="P957" i="3"/>
  <c r="M956" i="3"/>
  <c r="J955" i="3"/>
  <c r="H954" i="3"/>
  <c r="F953" i="3"/>
  <c r="D952" i="3"/>
  <c r="B951" i="3"/>
  <c r="P949" i="3"/>
  <c r="M948" i="3"/>
  <c r="L947" i="3"/>
  <c r="K946" i="3"/>
  <c r="J945" i="3"/>
  <c r="I944" i="3"/>
  <c r="H943" i="3"/>
  <c r="G942" i="3"/>
  <c r="F941" i="3"/>
  <c r="E940" i="3"/>
  <c r="C939" i="3"/>
  <c r="B938" i="3"/>
  <c r="A937" i="3"/>
  <c r="A936" i="3"/>
  <c r="A935" i="3"/>
  <c r="A934" i="3"/>
  <c r="A933" i="3"/>
  <c r="A932" i="3"/>
  <c r="A931" i="3"/>
  <c r="A930" i="3"/>
  <c r="A929" i="3"/>
  <c r="A928" i="3"/>
  <c r="A927" i="3"/>
  <c r="A926" i="3"/>
  <c r="A925" i="3"/>
  <c r="A924" i="3"/>
  <c r="A923" i="3"/>
  <c r="A922" i="3"/>
  <c r="A921" i="3"/>
  <c r="A920" i="3"/>
  <c r="A919" i="3"/>
  <c r="A918" i="3"/>
  <c r="A917" i="3"/>
  <c r="A916" i="3"/>
  <c r="A915" i="3"/>
  <c r="A914" i="3"/>
  <c r="A913" i="3"/>
  <c r="A912" i="3"/>
  <c r="A911" i="3"/>
  <c r="A910" i="3"/>
  <c r="A909" i="3"/>
  <c r="A908" i="3"/>
  <c r="A907" i="3"/>
  <c r="G1203" i="3"/>
  <c r="K1194" i="3"/>
  <c r="O1186" i="3"/>
  <c r="N1180" i="3"/>
  <c r="I1175" i="3"/>
  <c r="B1169" i="3"/>
  <c r="I1162" i="3"/>
  <c r="I1156" i="3"/>
  <c r="H1150" i="3"/>
  <c r="H1146" i="3"/>
  <c r="O1140" i="3"/>
  <c r="I1136" i="3"/>
  <c r="C1132" i="3"/>
  <c r="B1127" i="3"/>
  <c r="D1123" i="3"/>
  <c r="K1118" i="3"/>
  <c r="K1114" i="3"/>
  <c r="A1111" i="3"/>
  <c r="N1106" i="3"/>
  <c r="H1103" i="3"/>
  <c r="C1099" i="3"/>
  <c r="K1095" i="3"/>
  <c r="J1092" i="3"/>
  <c r="C1089" i="3"/>
  <c r="J1086" i="3"/>
  <c r="F1083" i="3"/>
  <c r="G1080" i="3"/>
  <c r="M1077" i="3"/>
  <c r="K1074" i="3"/>
  <c r="F1072" i="3"/>
  <c r="H1069" i="3"/>
  <c r="D1067" i="3"/>
  <c r="F1064" i="3"/>
  <c r="N1061" i="3"/>
  <c r="I1059" i="3"/>
  <c r="L1056" i="3"/>
  <c r="G1054" i="3"/>
  <c r="F1051" i="3"/>
  <c r="N1048" i="3"/>
  <c r="G1046" i="3"/>
  <c r="H1044" i="3"/>
  <c r="F1042" i="3"/>
  <c r="M1039" i="3"/>
  <c r="L1037" i="3"/>
  <c r="P1035" i="3"/>
  <c r="O1033" i="3"/>
  <c r="E1032" i="3"/>
  <c r="K1030" i="3"/>
  <c r="K1028" i="3"/>
  <c r="P1026" i="3"/>
  <c r="G1025" i="3"/>
  <c r="G1023" i="3"/>
  <c r="L1021" i="3"/>
  <c r="C1020" i="3"/>
  <c r="H1018" i="3"/>
  <c r="A1017" i="3"/>
  <c r="J1015" i="3"/>
  <c r="N1013" i="3"/>
  <c r="H1012" i="3"/>
  <c r="A1011" i="3"/>
  <c r="E1009" i="3"/>
  <c r="N1007" i="3"/>
  <c r="H1006" i="3"/>
  <c r="L1004" i="3"/>
  <c r="E1003" i="3"/>
  <c r="N1001" i="3"/>
  <c r="C1000" i="3"/>
  <c r="L998" i="3"/>
  <c r="E997" i="3"/>
  <c r="J995" i="3"/>
  <c r="C994" i="3"/>
  <c r="L992" i="3"/>
  <c r="A991" i="3"/>
  <c r="J989" i="3"/>
  <c r="C988" i="3"/>
  <c r="H986" i="3"/>
  <c r="A985" i="3"/>
  <c r="K983" i="3"/>
  <c r="B982" i="3"/>
  <c r="L980" i="3"/>
  <c r="G979" i="3"/>
  <c r="P977" i="3"/>
  <c r="K976" i="3"/>
  <c r="G975" i="3"/>
  <c r="C974" i="3"/>
  <c r="N972" i="3"/>
  <c r="G971" i="3"/>
  <c r="C970" i="3"/>
  <c r="N968" i="3"/>
  <c r="J967" i="3"/>
  <c r="C966" i="3"/>
  <c r="P964" i="3"/>
  <c r="L963" i="3"/>
  <c r="I962" i="3"/>
  <c r="F961" i="3"/>
  <c r="C960" i="3"/>
  <c r="P958" i="3"/>
  <c r="K957" i="3"/>
  <c r="I956" i="3"/>
  <c r="G955" i="3"/>
  <c r="E954" i="3"/>
  <c r="C953" i="3"/>
  <c r="A952" i="3"/>
  <c r="N950" i="3"/>
  <c r="L949" i="3"/>
  <c r="J948" i="3"/>
  <c r="I947" i="3"/>
  <c r="H946" i="3"/>
  <c r="G945" i="3"/>
  <c r="F944" i="3"/>
  <c r="E943" i="3"/>
  <c r="C942" i="3"/>
  <c r="B941" i="3"/>
  <c r="A940" i="3"/>
  <c r="P938" i="3"/>
  <c r="O937" i="3"/>
  <c r="N936" i="3"/>
  <c r="N935" i="3"/>
  <c r="N934" i="3"/>
  <c r="N933" i="3"/>
  <c r="N932" i="3"/>
  <c r="N931" i="3"/>
  <c r="N930" i="3"/>
  <c r="N929" i="3"/>
  <c r="N928" i="3"/>
  <c r="N927" i="3"/>
  <c r="N926" i="3"/>
  <c r="N925" i="3"/>
  <c r="N924" i="3"/>
  <c r="N923" i="3"/>
  <c r="N922" i="3"/>
  <c r="N921" i="3"/>
  <c r="N920" i="3"/>
  <c r="N919" i="3"/>
  <c r="N918" i="3"/>
  <c r="N917" i="3"/>
  <c r="N916" i="3"/>
  <c r="N915" i="3"/>
  <c r="N914" i="3"/>
  <c r="N913" i="3"/>
  <c r="N912" i="3"/>
  <c r="N911" i="3"/>
  <c r="N910" i="3"/>
  <c r="N909" i="3"/>
  <c r="N908" i="3"/>
  <c r="N907" i="3"/>
  <c r="N906" i="3"/>
  <c r="N905" i="3"/>
  <c r="N904" i="3"/>
  <c r="N903" i="3"/>
  <c r="N902" i="3"/>
  <c r="N901" i="3"/>
  <c r="N900" i="3"/>
  <c r="N899" i="3"/>
  <c r="N898" i="3"/>
  <c r="N897" i="3"/>
  <c r="N896" i="3"/>
  <c r="N895" i="3"/>
  <c r="N894" i="3"/>
  <c r="N893" i="3"/>
  <c r="N892" i="3"/>
  <c r="F1201" i="3"/>
  <c r="I1187" i="3"/>
  <c r="I1178" i="3"/>
  <c r="I1166" i="3"/>
  <c r="I1155" i="3"/>
  <c r="G1146" i="3"/>
  <c r="C1137" i="3"/>
  <c r="G1130" i="3"/>
  <c r="H1121" i="3"/>
  <c r="J1115" i="3"/>
  <c r="D1109" i="3"/>
  <c r="H1102" i="3"/>
  <c r="I1097" i="3"/>
  <c r="O1091" i="3"/>
  <c r="K1086" i="3"/>
  <c r="A1082" i="3"/>
  <c r="K1077" i="3"/>
  <c r="D1073" i="3"/>
  <c r="D1069" i="3"/>
  <c r="M1064" i="3"/>
  <c r="K1060" i="3"/>
  <c r="F1056" i="3"/>
  <c r="J1052" i="3"/>
  <c r="E1048" i="3"/>
  <c r="I1044" i="3"/>
  <c r="F1041" i="3"/>
  <c r="J1037" i="3"/>
  <c r="L1034" i="3"/>
  <c r="O1031" i="3"/>
  <c r="L1028" i="3"/>
  <c r="I1026" i="3"/>
  <c r="E1023" i="3"/>
  <c r="K1020" i="3"/>
  <c r="C1018" i="3"/>
  <c r="K1015" i="3"/>
  <c r="H1013" i="3"/>
  <c r="N1010" i="3"/>
  <c r="K1008" i="3"/>
  <c r="N1005" i="3"/>
  <c r="F1003" i="3"/>
  <c r="C1001" i="3"/>
  <c r="J998" i="3"/>
  <c r="F996" i="3"/>
  <c r="N993" i="3"/>
  <c r="J991" i="3"/>
  <c r="F989" i="3"/>
  <c r="D987" i="3"/>
  <c r="N984" i="3"/>
  <c r="P982" i="3"/>
  <c r="K980" i="3"/>
  <c r="M978" i="3"/>
  <c r="L976" i="3"/>
  <c r="B975" i="3"/>
  <c r="A973" i="3"/>
  <c r="C971" i="3"/>
  <c r="C969" i="3"/>
  <c r="D967" i="3"/>
  <c r="I965" i="3"/>
  <c r="J963" i="3"/>
  <c r="C962" i="3"/>
  <c r="G960" i="3"/>
  <c r="K958" i="3"/>
  <c r="E957" i="3"/>
  <c r="L955" i="3"/>
  <c r="C954" i="3"/>
  <c r="L952" i="3"/>
  <c r="C951" i="3"/>
  <c r="J949" i="3"/>
  <c r="C948" i="3"/>
  <c r="L946" i="3"/>
  <c r="E945" i="3"/>
  <c r="O943" i="3"/>
  <c r="H942" i="3"/>
  <c r="P940" i="3"/>
  <c r="K939" i="3"/>
  <c r="C938" i="3"/>
  <c r="L936" i="3"/>
  <c r="H935" i="3"/>
  <c r="B934" i="3"/>
  <c r="L932" i="3"/>
  <c r="H931" i="3"/>
  <c r="B930" i="3"/>
  <c r="L928" i="3"/>
  <c r="H927" i="3"/>
  <c r="B926" i="3"/>
  <c r="L924" i="3"/>
  <c r="H923" i="3"/>
  <c r="B922" i="3"/>
  <c r="L920" i="3"/>
  <c r="H919" i="3"/>
  <c r="B918" i="3"/>
  <c r="L916" i="3"/>
  <c r="H915" i="3"/>
  <c r="B914" i="3"/>
  <c r="L912" i="3"/>
  <c r="H911" i="3"/>
  <c r="B910" i="3"/>
  <c r="L908" i="3"/>
  <c r="H907" i="3"/>
  <c r="B906" i="3"/>
  <c r="O904" i="3"/>
  <c r="K903" i="3"/>
  <c r="I902" i="3"/>
  <c r="G901" i="3"/>
  <c r="E900" i="3"/>
  <c r="B899" i="3"/>
  <c r="P897" i="3"/>
  <c r="M896" i="3"/>
  <c r="K895" i="3"/>
  <c r="I894" i="3"/>
  <c r="G893" i="3"/>
  <c r="E892" i="3"/>
  <c r="E891" i="3"/>
  <c r="E890" i="3"/>
  <c r="E889" i="3"/>
  <c r="E888" i="3"/>
  <c r="C1201" i="3"/>
  <c r="N1186" i="3"/>
  <c r="N1175" i="3"/>
  <c r="D1166" i="3"/>
  <c r="G1155" i="3"/>
  <c r="B1145" i="3"/>
  <c r="B1137" i="3"/>
  <c r="K1129" i="3"/>
  <c r="C1121" i="3"/>
  <c r="C1114" i="3"/>
  <c r="C1109" i="3"/>
  <c r="G1102" i="3"/>
  <c r="K1096" i="3"/>
  <c r="G1091" i="3"/>
  <c r="I1086" i="3"/>
  <c r="O1081" i="3"/>
  <c r="G1077" i="3"/>
  <c r="L1072" i="3"/>
  <c r="A1069" i="3"/>
  <c r="E1064" i="3"/>
  <c r="J1060" i="3"/>
  <c r="E1056" i="3"/>
  <c r="I1051" i="3"/>
  <c r="D1048" i="3"/>
  <c r="D1044" i="3"/>
  <c r="D1041" i="3"/>
  <c r="H1037" i="3"/>
  <c r="G1034" i="3"/>
  <c r="N1031" i="3"/>
  <c r="J1028" i="3"/>
  <c r="A1026" i="3"/>
  <c r="D1023" i="3"/>
  <c r="E1020" i="3"/>
  <c r="B1018" i="3"/>
  <c r="I1015" i="3"/>
  <c r="F1013" i="3"/>
  <c r="I1010" i="3"/>
  <c r="A1008" i="3"/>
  <c r="M1005" i="3"/>
  <c r="D1003" i="3"/>
  <c r="B1001" i="3"/>
  <c r="I998" i="3"/>
  <c r="A996" i="3"/>
  <c r="M993" i="3"/>
  <c r="H991" i="3"/>
  <c r="E989" i="3"/>
  <c r="A987" i="3"/>
  <c r="M984" i="3"/>
  <c r="M982" i="3"/>
  <c r="J980" i="3"/>
  <c r="L978" i="3"/>
  <c r="J976" i="3"/>
  <c r="A975" i="3"/>
  <c r="P972" i="3"/>
  <c r="B971" i="3"/>
  <c r="A969" i="3"/>
  <c r="C967" i="3"/>
  <c r="F965" i="3"/>
  <c r="I963" i="3"/>
  <c r="P961" i="3"/>
  <c r="E960" i="3"/>
  <c r="J958" i="3"/>
  <c r="D957" i="3"/>
  <c r="I955" i="3"/>
  <c r="B954" i="3"/>
  <c r="K952" i="3"/>
  <c r="A951" i="3"/>
  <c r="I949" i="3"/>
  <c r="B948" i="3"/>
  <c r="J946" i="3"/>
  <c r="C945" i="3"/>
  <c r="N943" i="3"/>
  <c r="F942" i="3"/>
  <c r="O940" i="3"/>
  <c r="J939" i="3"/>
  <c r="A938" i="3"/>
  <c r="K936" i="3"/>
  <c r="G935" i="3"/>
  <c r="P933" i="3"/>
  <c r="K932" i="3"/>
  <c r="G931" i="3"/>
  <c r="P929" i="3"/>
  <c r="K928" i="3"/>
  <c r="G927" i="3"/>
  <c r="P925" i="3"/>
  <c r="K924" i="3"/>
  <c r="G923" i="3"/>
  <c r="P921" i="3"/>
  <c r="K920" i="3"/>
  <c r="G919" i="3"/>
  <c r="P917" i="3"/>
  <c r="K916" i="3"/>
  <c r="G915" i="3"/>
  <c r="P913" i="3"/>
  <c r="K912" i="3"/>
  <c r="G911" i="3"/>
  <c r="P909" i="3"/>
  <c r="K908" i="3"/>
  <c r="G907" i="3"/>
  <c r="A906" i="3"/>
  <c r="M904" i="3"/>
  <c r="J903" i="3"/>
  <c r="H902" i="3"/>
  <c r="F901" i="3"/>
  <c r="D900" i="3"/>
  <c r="A899" i="3"/>
  <c r="O897" i="3"/>
  <c r="L896" i="3"/>
  <c r="J895" i="3"/>
  <c r="H894" i="3"/>
  <c r="F893" i="3"/>
  <c r="D892" i="3"/>
  <c r="D891" i="3"/>
  <c r="D890" i="3"/>
  <c r="D889" i="3"/>
  <c r="D888" i="3"/>
  <c r="D887" i="3"/>
  <c r="D886" i="3"/>
  <c r="D885" i="3"/>
  <c r="D884" i="3"/>
  <c r="D883" i="3"/>
  <c r="D882" i="3"/>
  <c r="D881" i="3"/>
  <c r="D880" i="3"/>
  <c r="D879" i="3"/>
  <c r="D878" i="3"/>
  <c r="D877" i="3"/>
  <c r="D876" i="3"/>
  <c r="D875" i="3"/>
  <c r="D874" i="3"/>
  <c r="D873" i="3"/>
  <c r="D872" i="3"/>
  <c r="D871" i="3"/>
  <c r="D870" i="3"/>
  <c r="D869" i="3"/>
  <c r="D868" i="3"/>
  <c r="D867" i="3"/>
  <c r="D866" i="3"/>
  <c r="D865" i="3"/>
  <c r="D864" i="3"/>
  <c r="D863" i="3"/>
  <c r="D862" i="3"/>
  <c r="D861" i="3"/>
  <c r="D860" i="3"/>
  <c r="D859" i="3"/>
  <c r="D858" i="3"/>
  <c r="D857" i="3"/>
  <c r="D856" i="3"/>
  <c r="D855" i="3"/>
  <c r="D854" i="3"/>
  <c r="D853" i="3"/>
  <c r="D852" i="3"/>
  <c r="D851" i="3"/>
  <c r="D850" i="3"/>
  <c r="D849" i="3"/>
  <c r="D848" i="3"/>
  <c r="D847" i="3"/>
  <c r="D846" i="3"/>
  <c r="D845" i="3"/>
  <c r="D844" i="3"/>
  <c r="D843" i="3"/>
  <c r="D842" i="3"/>
  <c r="D841" i="3"/>
  <c r="D840" i="3"/>
  <c r="D839" i="3"/>
  <c r="D838" i="3"/>
  <c r="D837" i="3"/>
  <c r="D836" i="3"/>
  <c r="D835" i="3"/>
  <c r="D834" i="3"/>
  <c r="D833" i="3"/>
  <c r="D832" i="3"/>
  <c r="D831" i="3"/>
  <c r="D830" i="3"/>
  <c r="D829" i="3"/>
  <c r="D828" i="3"/>
  <c r="D827" i="3"/>
  <c r="D826" i="3"/>
  <c r="D825" i="3"/>
  <c r="D824" i="3"/>
  <c r="D823" i="3"/>
  <c r="D822" i="3"/>
  <c r="D821" i="3"/>
  <c r="D820" i="3"/>
  <c r="D819" i="3"/>
  <c r="D818" i="3"/>
  <c r="D817" i="3"/>
  <c r="D816" i="3"/>
  <c r="D815" i="3"/>
  <c r="D814" i="3"/>
  <c r="D813" i="3"/>
  <c r="D812" i="3"/>
  <c r="D811" i="3"/>
  <c r="D810" i="3"/>
  <c r="N1199" i="3"/>
  <c r="H1186" i="3"/>
  <c r="A1174" i="3"/>
  <c r="D1163" i="3"/>
  <c r="D1155" i="3"/>
  <c r="F1144" i="3"/>
  <c r="K1135" i="3"/>
  <c r="D1127" i="3"/>
  <c r="P1120" i="3"/>
  <c r="P1113" i="3"/>
  <c r="D1107" i="3"/>
  <c r="J1101" i="3"/>
  <c r="I1095" i="3"/>
  <c r="B1091" i="3"/>
  <c r="J1085" i="3"/>
  <c r="A1081" i="3"/>
  <c r="K1076" i="3"/>
  <c r="E1072" i="3"/>
  <c r="J1068" i="3"/>
  <c r="M1063" i="3"/>
  <c r="L1059" i="3"/>
  <c r="A1056" i="3"/>
  <c r="E1051" i="3"/>
  <c r="K1047" i="3"/>
  <c r="O1043" i="3"/>
  <c r="G1040" i="3"/>
  <c r="F1037" i="3"/>
  <c r="N1033" i="3"/>
  <c r="F1031" i="3"/>
  <c r="F1028" i="3"/>
  <c r="I1025" i="3"/>
  <c r="O1022" i="3"/>
  <c r="B1020" i="3"/>
  <c r="P1017" i="3"/>
  <c r="B1015" i="3"/>
  <c r="J1012" i="3"/>
  <c r="F1010" i="3"/>
  <c r="M1007" i="3"/>
  <c r="K1005" i="3"/>
  <c r="B1003" i="3"/>
  <c r="J1000" i="3"/>
  <c r="F998" i="3"/>
  <c r="I995" i="3"/>
  <c r="F993" i="3"/>
  <c r="P990" i="3"/>
  <c r="C989" i="3"/>
  <c r="I986" i="3"/>
  <c r="K984" i="3"/>
  <c r="H982" i="3"/>
  <c r="H980" i="3"/>
  <c r="G978" i="3"/>
  <c r="H976" i="3"/>
  <c r="J974" i="3"/>
  <c r="I972" i="3"/>
  <c r="P970" i="3"/>
  <c r="M968" i="3"/>
  <c r="A967" i="3"/>
  <c r="A965" i="3"/>
  <c r="G963" i="3"/>
  <c r="L961" i="3"/>
  <c r="B960" i="3"/>
  <c r="H958" i="3"/>
  <c r="A957" i="3"/>
  <c r="F955" i="3"/>
  <c r="P953" i="3"/>
  <c r="G952" i="3"/>
  <c r="M950" i="3"/>
  <c r="G949" i="3"/>
  <c r="O947" i="3"/>
  <c r="G946" i="3"/>
  <c r="A945" i="3"/>
  <c r="K943" i="3"/>
  <c r="B942" i="3"/>
  <c r="M940" i="3"/>
  <c r="G939" i="3"/>
  <c r="N937" i="3"/>
  <c r="I936" i="3"/>
  <c r="D935" i="3"/>
  <c r="M933" i="3"/>
  <c r="I932" i="3"/>
  <c r="D931" i="3"/>
  <c r="M929" i="3"/>
  <c r="I928" i="3"/>
  <c r="D927" i="3"/>
  <c r="M925" i="3"/>
  <c r="I924" i="3"/>
  <c r="D923" i="3"/>
  <c r="M921" i="3"/>
  <c r="I920" i="3"/>
  <c r="D919" i="3"/>
  <c r="M917" i="3"/>
  <c r="I916" i="3"/>
  <c r="D915" i="3"/>
  <c r="M913" i="3"/>
  <c r="I912" i="3"/>
  <c r="D911" i="3"/>
  <c r="M909" i="3"/>
  <c r="I908" i="3"/>
  <c r="D907" i="3"/>
  <c r="O905" i="3"/>
  <c r="K904" i="3"/>
  <c r="H903" i="3"/>
  <c r="F902" i="3"/>
  <c r="D901" i="3"/>
  <c r="A900" i="3"/>
  <c r="O898" i="3"/>
  <c r="L897" i="3"/>
  <c r="J896" i="3"/>
  <c r="H895" i="3"/>
  <c r="F894" i="3"/>
  <c r="D893" i="3"/>
  <c r="B892" i="3"/>
  <c r="B891" i="3"/>
  <c r="B890" i="3"/>
  <c r="B889" i="3"/>
  <c r="B888" i="3"/>
  <c r="B887" i="3"/>
  <c r="B886" i="3"/>
  <c r="B885" i="3"/>
  <c r="B884" i="3"/>
  <c r="B883" i="3"/>
  <c r="B882" i="3"/>
  <c r="B881" i="3"/>
  <c r="B880" i="3"/>
  <c r="B879" i="3"/>
  <c r="B878" i="3"/>
  <c r="B877" i="3"/>
  <c r="B876" i="3"/>
  <c r="B875" i="3"/>
  <c r="B874" i="3"/>
  <c r="B873" i="3"/>
  <c r="B872" i="3"/>
  <c r="B871" i="3"/>
  <c r="B870" i="3"/>
  <c r="B869" i="3"/>
  <c r="B868" i="3"/>
  <c r="B867" i="3"/>
  <c r="B866" i="3"/>
  <c r="B865" i="3"/>
  <c r="B864" i="3"/>
  <c r="M1199" i="3"/>
  <c r="G1186" i="3"/>
  <c r="P1173" i="3"/>
  <c r="C1163" i="3"/>
  <c r="D1153" i="3"/>
  <c r="D1144" i="3"/>
  <c r="H1135" i="3"/>
  <c r="P1126" i="3"/>
  <c r="N1120" i="3"/>
  <c r="O1113" i="3"/>
  <c r="C1107" i="3"/>
  <c r="H1101" i="3"/>
  <c r="G1095" i="3"/>
  <c r="O1090" i="3"/>
  <c r="G1085" i="3"/>
  <c r="N1080" i="3"/>
  <c r="I1076" i="3"/>
  <c r="D1072" i="3"/>
  <c r="H1068" i="3"/>
  <c r="K1063" i="3"/>
  <c r="J1059" i="3"/>
  <c r="N1055" i="3"/>
  <c r="D1051" i="3"/>
  <c r="I1047" i="3"/>
  <c r="N1043" i="3"/>
  <c r="N1039" i="3"/>
  <c r="E1037" i="3"/>
  <c r="K1033" i="3"/>
  <c r="D1031" i="3"/>
  <c r="E1028" i="3"/>
  <c r="H1025" i="3"/>
  <c r="N1022" i="3"/>
  <c r="A1020" i="3"/>
  <c r="M1017" i="3"/>
  <c r="A1015" i="3"/>
  <c r="I1012" i="3"/>
  <c r="E1010" i="3"/>
  <c r="L1007" i="3"/>
  <c r="I1005" i="3"/>
  <c r="A1003" i="3"/>
  <c r="D1000" i="3"/>
  <c r="E998" i="3"/>
  <c r="H995" i="3"/>
  <c r="D993" i="3"/>
  <c r="N990" i="3"/>
  <c r="M988" i="3"/>
  <c r="F986" i="3"/>
  <c r="J984" i="3"/>
  <c r="C982" i="3"/>
  <c r="G980" i="3"/>
  <c r="E978" i="3"/>
  <c r="G976" i="3"/>
  <c r="G974" i="3"/>
  <c r="H972" i="3"/>
  <c r="M970" i="3"/>
  <c r="L968" i="3"/>
  <c r="P966" i="3"/>
  <c r="N964" i="3"/>
  <c r="F963" i="3"/>
  <c r="J961" i="3"/>
  <c r="A960" i="3"/>
  <c r="G958" i="3"/>
  <c r="N956" i="3"/>
  <c r="E955" i="3"/>
  <c r="N953" i="3"/>
  <c r="E952" i="3"/>
  <c r="L950" i="3"/>
  <c r="F949" i="3"/>
  <c r="M947" i="3"/>
  <c r="F946" i="3"/>
  <c r="P944" i="3"/>
  <c r="I943" i="3"/>
  <c r="A942" i="3"/>
  <c r="L940" i="3"/>
  <c r="E939" i="3"/>
  <c r="M937" i="3"/>
  <c r="H936" i="3"/>
  <c r="B935" i="3"/>
  <c r="L933" i="3"/>
  <c r="H932" i="3"/>
  <c r="B931" i="3"/>
  <c r="L929" i="3"/>
  <c r="H928" i="3"/>
  <c r="B927" i="3"/>
  <c r="L925" i="3"/>
  <c r="H924" i="3"/>
  <c r="B923" i="3"/>
  <c r="L921" i="3"/>
  <c r="H920" i="3"/>
  <c r="B919" i="3"/>
  <c r="L917" i="3"/>
  <c r="H916" i="3"/>
  <c r="B915" i="3"/>
  <c r="L913" i="3"/>
  <c r="H912" i="3"/>
  <c r="B911" i="3"/>
  <c r="L909" i="3"/>
  <c r="H908" i="3"/>
  <c r="B907" i="3"/>
  <c r="M905" i="3"/>
  <c r="J904" i="3"/>
  <c r="G903" i="3"/>
  <c r="E902" i="3"/>
  <c r="B901" i="3"/>
  <c r="P899" i="3"/>
  <c r="M898" i="3"/>
  <c r="K897" i="3"/>
  <c r="I896" i="3"/>
  <c r="G895" i="3"/>
  <c r="E894" i="3"/>
  <c r="B893" i="3"/>
  <c r="A892" i="3"/>
  <c r="A891" i="3"/>
  <c r="A890" i="3"/>
  <c r="A889" i="3"/>
  <c r="A888" i="3"/>
  <c r="A887" i="3"/>
  <c r="A886" i="3"/>
  <c r="A885" i="3"/>
  <c r="A884" i="3"/>
  <c r="A883" i="3"/>
  <c r="A882" i="3"/>
  <c r="A881" i="3"/>
  <c r="A880" i="3"/>
  <c r="A879" i="3"/>
  <c r="A878" i="3"/>
  <c r="A877" i="3"/>
  <c r="A876" i="3"/>
  <c r="A875" i="3"/>
  <c r="A874" i="3"/>
  <c r="A873" i="3"/>
  <c r="A872" i="3"/>
  <c r="A871" i="3"/>
  <c r="A870" i="3"/>
  <c r="A869" i="3"/>
  <c r="A868" i="3"/>
  <c r="A867" i="3"/>
  <c r="A866" i="3"/>
  <c r="A865" i="3"/>
  <c r="A864" i="3"/>
  <c r="A863" i="3"/>
  <c r="A862" i="3"/>
  <c r="A861" i="3"/>
  <c r="A860" i="3"/>
  <c r="A859" i="3"/>
  <c r="A858" i="3"/>
  <c r="A857" i="3"/>
  <c r="A856" i="3"/>
  <c r="A855" i="3"/>
  <c r="A854" i="3"/>
  <c r="A853" i="3"/>
  <c r="A852" i="3"/>
  <c r="A851" i="3"/>
  <c r="A850" i="3"/>
  <c r="A849" i="3"/>
  <c r="A848" i="3"/>
  <c r="A847" i="3"/>
  <c r="A846" i="3"/>
  <c r="A845" i="3"/>
  <c r="A844" i="3"/>
  <c r="A843" i="3"/>
  <c r="A842" i="3"/>
  <c r="A841" i="3"/>
  <c r="L1199" i="3"/>
  <c r="F1186" i="3"/>
  <c r="D1173" i="3"/>
  <c r="H1162" i="3"/>
  <c r="P1151" i="3"/>
  <c r="C1144" i="3"/>
  <c r="G1135" i="3"/>
  <c r="O1126" i="3"/>
  <c r="A1119" i="3"/>
  <c r="N1113" i="3"/>
  <c r="K1106" i="3"/>
  <c r="G1101" i="3"/>
  <c r="F1095" i="3"/>
  <c r="K1089" i="3"/>
  <c r="F1085" i="3"/>
  <c r="F1080" i="3"/>
  <c r="H1076" i="3"/>
  <c r="A1072" i="3"/>
  <c r="F1067" i="3"/>
  <c r="J1063" i="3"/>
  <c r="L1058" i="3"/>
  <c r="E1055" i="3"/>
  <c r="O1050" i="3"/>
  <c r="A1047" i="3"/>
  <c r="M1043" i="3"/>
  <c r="L1039" i="3"/>
  <c r="K1036" i="3"/>
  <c r="J1033" i="3"/>
  <c r="M1030" i="3"/>
  <c r="D1028" i="3"/>
  <c r="F1025" i="3"/>
  <c r="M1022" i="3"/>
  <c r="K1019" i="3"/>
  <c r="C1017" i="3"/>
  <c r="P1014" i="3"/>
  <c r="F1012" i="3"/>
  <c r="D1010" i="3"/>
  <c r="K1007" i="3"/>
  <c r="C1005" i="3"/>
  <c r="P1002" i="3"/>
  <c r="B1000" i="3"/>
  <c r="P997" i="3"/>
  <c r="F995" i="3"/>
  <c r="A993" i="3"/>
  <c r="M990" i="3"/>
  <c r="K988" i="3"/>
  <c r="E986" i="3"/>
  <c r="E984" i="3"/>
  <c r="J1194" i="3"/>
  <c r="D1182" i="3"/>
  <c r="N1172" i="3"/>
  <c r="P1161" i="3"/>
  <c r="D1150" i="3"/>
  <c r="G1141" i="3"/>
  <c r="K1134" i="3"/>
  <c r="K1126" i="3"/>
  <c r="D1118" i="3"/>
  <c r="O1112" i="3"/>
  <c r="B1106" i="3"/>
  <c r="D1099" i="3"/>
  <c r="N1094" i="3"/>
  <c r="A1089" i="3"/>
  <c r="L1084" i="3"/>
  <c r="K1079" i="3"/>
  <c r="L1074" i="3"/>
  <c r="A1071" i="3"/>
  <c r="N1066" i="3"/>
  <c r="E1063" i="3"/>
  <c r="I1058" i="3"/>
  <c r="H1054" i="3"/>
  <c r="L1050" i="3"/>
  <c r="E1046" i="3"/>
  <c r="N1042" i="3"/>
  <c r="I1039" i="3"/>
  <c r="I1194" i="3"/>
  <c r="D1179" i="3"/>
  <c r="I1159" i="3"/>
  <c r="B1144" i="3"/>
  <c r="K1131" i="3"/>
  <c r="C1118" i="3"/>
  <c r="H1109" i="3"/>
  <c r="P1098" i="3"/>
  <c r="I1089" i="3"/>
  <c r="O1082" i="3"/>
  <c r="J1074" i="3"/>
  <c r="E1069" i="3"/>
  <c r="M1061" i="3"/>
  <c r="O1054" i="3"/>
  <c r="M1048" i="3"/>
  <c r="I1042" i="3"/>
  <c r="K1037" i="3"/>
  <c r="F1033" i="3"/>
  <c r="J1029" i="3"/>
  <c r="L1024" i="3"/>
  <c r="F1021" i="3"/>
  <c r="P1016" i="3"/>
  <c r="L1013" i="3"/>
  <c r="B1010" i="3"/>
  <c r="J1006" i="3"/>
  <c r="C1003" i="3"/>
  <c r="L999" i="3"/>
  <c r="I996" i="3"/>
  <c r="J992" i="3"/>
  <c r="I989" i="3"/>
  <c r="B986" i="3"/>
  <c r="C983" i="3"/>
  <c r="F980" i="3"/>
  <c r="K977" i="3"/>
  <c r="E975" i="3"/>
  <c r="G972" i="3"/>
  <c r="A970" i="3"/>
  <c r="K967" i="3"/>
  <c r="M964" i="3"/>
  <c r="K962" i="3"/>
  <c r="L960" i="3"/>
  <c r="F958" i="3"/>
  <c r="F956" i="3"/>
  <c r="G954" i="3"/>
  <c r="C952" i="3"/>
  <c r="G950" i="3"/>
  <c r="G948" i="3"/>
  <c r="E946" i="3"/>
  <c r="H944" i="3"/>
  <c r="M942" i="3"/>
  <c r="K940" i="3"/>
  <c r="M938" i="3"/>
  <c r="P936" i="3"/>
  <c r="P934" i="3"/>
  <c r="G933" i="3"/>
  <c r="K931" i="3"/>
  <c r="K929" i="3"/>
  <c r="P927" i="3"/>
  <c r="G926" i="3"/>
  <c r="G924" i="3"/>
  <c r="K922" i="3"/>
  <c r="P920" i="3"/>
  <c r="P918" i="3"/>
  <c r="G917" i="3"/>
  <c r="K915" i="3"/>
  <c r="K913" i="3"/>
  <c r="P911" i="3"/>
  <c r="G910" i="3"/>
  <c r="G908" i="3"/>
  <c r="K906" i="3"/>
  <c r="B905" i="3"/>
  <c r="F903" i="3"/>
  <c r="O901" i="3"/>
  <c r="H900" i="3"/>
  <c r="L898" i="3"/>
  <c r="F897" i="3"/>
  <c r="O895" i="3"/>
  <c r="D894" i="3"/>
  <c r="L892" i="3"/>
  <c r="H891" i="3"/>
  <c r="P889" i="3"/>
  <c r="L888" i="3"/>
  <c r="H887" i="3"/>
  <c r="E886" i="3"/>
  <c r="O884" i="3"/>
  <c r="L883" i="3"/>
  <c r="I882" i="3"/>
  <c r="F881" i="3"/>
  <c r="P879" i="3"/>
  <c r="M878" i="3"/>
  <c r="J877" i="3"/>
  <c r="G876" i="3"/>
  <c r="C875" i="3"/>
  <c r="N873" i="3"/>
  <c r="K872" i="3"/>
  <c r="H871" i="3"/>
  <c r="E870" i="3"/>
  <c r="O868" i="3"/>
  <c r="L867" i="3"/>
  <c r="I866" i="3"/>
  <c r="F865" i="3"/>
  <c r="P863" i="3"/>
  <c r="N862" i="3"/>
  <c r="L861" i="3"/>
  <c r="J860" i="3"/>
  <c r="H859" i="3"/>
  <c r="F858" i="3"/>
  <c r="C857" i="3"/>
  <c r="P855" i="3"/>
  <c r="N854" i="3"/>
  <c r="L853" i="3"/>
  <c r="J852" i="3"/>
  <c r="H851" i="3"/>
  <c r="F850" i="3"/>
  <c r="C849" i="3"/>
  <c r="P847" i="3"/>
  <c r="N846" i="3"/>
  <c r="L845" i="3"/>
  <c r="J844" i="3"/>
  <c r="H843" i="3"/>
  <c r="F842" i="3"/>
  <c r="C841" i="3"/>
  <c r="A840" i="3"/>
  <c r="P838" i="3"/>
  <c r="O837" i="3"/>
  <c r="N836" i="3"/>
  <c r="M835" i="3"/>
  <c r="L834" i="3"/>
  <c r="K833" i="3"/>
  <c r="J832" i="3"/>
  <c r="I831" i="3"/>
  <c r="H830" i="3"/>
  <c r="G829" i="3"/>
  <c r="F828" i="3"/>
  <c r="E827" i="3"/>
  <c r="C826" i="3"/>
  <c r="B825" i="3"/>
  <c r="A824" i="3"/>
  <c r="P822" i="3"/>
  <c r="O821" i="3"/>
  <c r="N820" i="3"/>
  <c r="M819" i="3"/>
  <c r="L818" i="3"/>
  <c r="K817" i="3"/>
  <c r="J816" i="3"/>
  <c r="I815" i="3"/>
  <c r="H814" i="3"/>
  <c r="G813" i="3"/>
  <c r="F812" i="3"/>
  <c r="E811" i="3"/>
  <c r="C810" i="3"/>
  <c r="C809" i="3"/>
  <c r="C808" i="3"/>
  <c r="C807" i="3"/>
  <c r="C806" i="3"/>
  <c r="C805" i="3"/>
  <c r="C804" i="3"/>
  <c r="C803" i="3"/>
  <c r="C802" i="3"/>
  <c r="C801" i="3"/>
  <c r="C800" i="3"/>
  <c r="C799" i="3"/>
  <c r="C798" i="3"/>
  <c r="C797" i="3"/>
  <c r="C796" i="3"/>
  <c r="C1194" i="3"/>
  <c r="M1175" i="3"/>
  <c r="O1156" i="3"/>
  <c r="H1141" i="3"/>
  <c r="K1130" i="3"/>
  <c r="B1118" i="3"/>
  <c r="A1109" i="3"/>
  <c r="O1098" i="3"/>
  <c r="B1089" i="3"/>
  <c r="N1082" i="3"/>
  <c r="I1074" i="3"/>
  <c r="L1068" i="3"/>
  <c r="L1061" i="3"/>
  <c r="I1054" i="3"/>
  <c r="L1048" i="3"/>
  <c r="G1042" i="3"/>
  <c r="G1037" i="3"/>
  <c r="C1033" i="3"/>
  <c r="C1029" i="3"/>
  <c r="J1024" i="3"/>
  <c r="E1021" i="3"/>
  <c r="N1016" i="3"/>
  <c r="K1013" i="3"/>
  <c r="L1009" i="3"/>
  <c r="I1006" i="3"/>
  <c r="N1002" i="3"/>
  <c r="K999" i="3"/>
  <c r="K995" i="3"/>
  <c r="D992" i="3"/>
  <c r="H989" i="3"/>
  <c r="A986" i="3"/>
  <c r="B983" i="3"/>
  <c r="A980" i="3"/>
  <c r="J977" i="3"/>
  <c r="D975" i="3"/>
  <c r="F972" i="3"/>
  <c r="P969" i="3"/>
  <c r="I967" i="3"/>
  <c r="L964" i="3"/>
  <c r="J962" i="3"/>
  <c r="J960" i="3"/>
  <c r="D958" i="3"/>
  <c r="E956" i="3"/>
  <c r="F954" i="3"/>
  <c r="B952" i="3"/>
  <c r="D950" i="3"/>
  <c r="F948" i="3"/>
  <c r="C946" i="3"/>
  <c r="G944" i="3"/>
  <c r="K942" i="3"/>
  <c r="I940" i="3"/>
  <c r="L938" i="3"/>
  <c r="O936" i="3"/>
  <c r="O934" i="3"/>
  <c r="E933" i="3"/>
  <c r="J931" i="3"/>
  <c r="J929" i="3"/>
  <c r="O927" i="3"/>
  <c r="E926" i="3"/>
  <c r="E924" i="3"/>
  <c r="J922" i="3"/>
  <c r="O920" i="3"/>
  <c r="O918" i="3"/>
  <c r="E917" i="3"/>
  <c r="J915" i="3"/>
  <c r="J913" i="3"/>
  <c r="O911" i="3"/>
  <c r="E910" i="3"/>
  <c r="E908" i="3"/>
  <c r="J906" i="3"/>
  <c r="A905" i="3"/>
  <c r="E903" i="3"/>
  <c r="M901" i="3"/>
  <c r="G900" i="3"/>
  <c r="K898" i="3"/>
  <c r="E897" i="3"/>
  <c r="M895" i="3"/>
  <c r="B894" i="3"/>
  <c r="K892" i="3"/>
  <c r="G891" i="3"/>
  <c r="O889" i="3"/>
  <c r="K888" i="3"/>
  <c r="G887" i="3"/>
  <c r="C886" i="3"/>
  <c r="N884" i="3"/>
  <c r="K883" i="3"/>
  <c r="H882" i="3"/>
  <c r="E881" i="3"/>
  <c r="O879" i="3"/>
  <c r="L878" i="3"/>
  <c r="I877" i="3"/>
  <c r="F876" i="3"/>
  <c r="P874" i="3"/>
  <c r="M873" i="3"/>
  <c r="J872" i="3"/>
  <c r="G871" i="3"/>
  <c r="C870" i="3"/>
  <c r="N868" i="3"/>
  <c r="K867" i="3"/>
  <c r="H866" i="3"/>
  <c r="E865" i="3"/>
  <c r="O863" i="3"/>
  <c r="M862" i="3"/>
  <c r="K861" i="3"/>
  <c r="I860" i="3"/>
  <c r="G859" i="3"/>
  <c r="E858" i="3"/>
  <c r="B857" i="3"/>
  <c r="O855" i="3"/>
  <c r="M854" i="3"/>
  <c r="K853" i="3"/>
  <c r="I852" i="3"/>
  <c r="G851" i="3"/>
  <c r="E850" i="3"/>
  <c r="B849" i="3"/>
  <c r="O847" i="3"/>
  <c r="M846" i="3"/>
  <c r="K845" i="3"/>
  <c r="I844" i="3"/>
  <c r="G843" i="3"/>
  <c r="E842" i="3"/>
  <c r="B841" i="3"/>
  <c r="P839" i="3"/>
  <c r="O838" i="3"/>
  <c r="N837" i="3"/>
  <c r="M836" i="3"/>
  <c r="L835" i="3"/>
  <c r="K834" i="3"/>
  <c r="J833" i="3"/>
  <c r="I832" i="3"/>
  <c r="H831" i="3"/>
  <c r="G830" i="3"/>
  <c r="F829" i="3"/>
  <c r="E828" i="3"/>
  <c r="C827" i="3"/>
  <c r="B826" i="3"/>
  <c r="A825" i="3"/>
  <c r="P823" i="3"/>
  <c r="O822" i="3"/>
  <c r="N821" i="3"/>
  <c r="M820" i="3"/>
  <c r="L819" i="3"/>
  <c r="K818" i="3"/>
  <c r="J817" i="3"/>
  <c r="I816" i="3"/>
  <c r="H815" i="3"/>
  <c r="G814" i="3"/>
  <c r="F813" i="3"/>
  <c r="E812" i="3"/>
  <c r="C811" i="3"/>
  <c r="B810" i="3"/>
  <c r="B809" i="3"/>
  <c r="B808" i="3"/>
  <c r="B807" i="3"/>
  <c r="B806" i="3"/>
  <c r="B805" i="3"/>
  <c r="B804" i="3"/>
  <c r="B803" i="3"/>
  <c r="B802" i="3"/>
  <c r="B801" i="3"/>
  <c r="B800" i="3"/>
  <c r="B799" i="3"/>
  <c r="B798" i="3"/>
  <c r="B797" i="3"/>
  <c r="E1192" i="3"/>
  <c r="C1173" i="3"/>
  <c r="N1156" i="3"/>
  <c r="N1140" i="3"/>
  <c r="I1130" i="3"/>
  <c r="O1117" i="3"/>
  <c r="H1106" i="3"/>
  <c r="H1098" i="3"/>
  <c r="P1088" i="3"/>
  <c r="M1082" i="3"/>
  <c r="G1074" i="3"/>
  <c r="E1067" i="3"/>
  <c r="K1061" i="3"/>
  <c r="F1054" i="3"/>
  <c r="F1048" i="3"/>
  <c r="E1042" i="3"/>
  <c r="I1036" i="3"/>
  <c r="G1032" i="3"/>
  <c r="I1028" i="3"/>
  <c r="I1024" i="3"/>
  <c r="M1020" i="3"/>
  <c r="M1016" i="3"/>
  <c r="J1013" i="3"/>
  <c r="F1009" i="3"/>
  <c r="F1006" i="3"/>
  <c r="I1002" i="3"/>
  <c r="I999" i="3"/>
  <c r="E995" i="3"/>
  <c r="C992" i="3"/>
  <c r="D989" i="3"/>
  <c r="P985" i="3"/>
  <c r="A983" i="3"/>
  <c r="N979" i="3"/>
  <c r="I977" i="3"/>
  <c r="C975" i="3"/>
  <c r="E972" i="3"/>
  <c r="N969" i="3"/>
  <c r="E967" i="3"/>
  <c r="K964" i="3"/>
  <c r="H962" i="3"/>
  <c r="I960" i="3"/>
  <c r="C958" i="3"/>
  <c r="D956" i="3"/>
  <c r="D954" i="3"/>
  <c r="P951" i="3"/>
  <c r="C950" i="3"/>
  <c r="E948" i="3"/>
  <c r="B946" i="3"/>
  <c r="E944" i="3"/>
  <c r="J942" i="3"/>
  <c r="H940" i="3"/>
  <c r="K938" i="3"/>
  <c r="M936" i="3"/>
  <c r="M934" i="3"/>
  <c r="D933" i="3"/>
  <c r="I931" i="3"/>
  <c r="I929" i="3"/>
  <c r="M927" i="3"/>
  <c r="D926" i="3"/>
  <c r="D924" i="3"/>
  <c r="I922" i="3"/>
  <c r="M920" i="3"/>
  <c r="M918" i="3"/>
  <c r="D917" i="3"/>
  <c r="I915" i="3"/>
  <c r="I913" i="3"/>
  <c r="M911" i="3"/>
  <c r="D910" i="3"/>
  <c r="D908" i="3"/>
  <c r="I906" i="3"/>
  <c r="P904" i="3"/>
  <c r="D903" i="3"/>
  <c r="L901" i="3"/>
  <c r="F900" i="3"/>
  <c r="J898" i="3"/>
  <c r="D897" i="3"/>
  <c r="L895" i="3"/>
  <c r="A894" i="3"/>
  <c r="J892" i="3"/>
  <c r="F891" i="3"/>
  <c r="N889" i="3"/>
  <c r="J888" i="3"/>
  <c r="F887" i="3"/>
  <c r="P885" i="3"/>
  <c r="M884" i="3"/>
  <c r="J883" i="3"/>
  <c r="G882" i="3"/>
  <c r="C881" i="3"/>
  <c r="N879" i="3"/>
  <c r="K878" i="3"/>
  <c r="H877" i="3"/>
  <c r="E876" i="3"/>
  <c r="O874" i="3"/>
  <c r="L873" i="3"/>
  <c r="I872" i="3"/>
  <c r="F871" i="3"/>
  <c r="P869" i="3"/>
  <c r="M868" i="3"/>
  <c r="J867" i="3"/>
  <c r="G866" i="3"/>
  <c r="C865" i="3"/>
  <c r="N863" i="3"/>
  <c r="L862" i="3"/>
  <c r="J861" i="3"/>
  <c r="H860" i="3"/>
  <c r="F859" i="3"/>
  <c r="C858" i="3"/>
  <c r="P856" i="3"/>
  <c r="N855" i="3"/>
  <c r="L854" i="3"/>
  <c r="J853" i="3"/>
  <c r="H852" i="3"/>
  <c r="F851" i="3"/>
  <c r="C850" i="3"/>
  <c r="P848" i="3"/>
  <c r="N847" i="3"/>
  <c r="L846" i="3"/>
  <c r="J845" i="3"/>
  <c r="H844" i="3"/>
  <c r="F843" i="3"/>
  <c r="C842" i="3"/>
  <c r="P840" i="3"/>
  <c r="O839" i="3"/>
  <c r="N838" i="3"/>
  <c r="M837" i="3"/>
  <c r="L836" i="3"/>
  <c r="K835" i="3"/>
  <c r="J834" i="3"/>
  <c r="I833" i="3"/>
  <c r="H832" i="3"/>
  <c r="G831" i="3"/>
  <c r="F830" i="3"/>
  <c r="E829" i="3"/>
  <c r="C828" i="3"/>
  <c r="B827" i="3"/>
  <c r="A826" i="3"/>
  <c r="P824" i="3"/>
  <c r="O823" i="3"/>
  <c r="N822" i="3"/>
  <c r="M821" i="3"/>
  <c r="L820" i="3"/>
  <c r="K819" i="3"/>
  <c r="J818" i="3"/>
  <c r="I817" i="3"/>
  <c r="H816" i="3"/>
  <c r="G815" i="3"/>
  <c r="F814" i="3"/>
  <c r="E813" i="3"/>
  <c r="C812" i="3"/>
  <c r="B811" i="3"/>
  <c r="A810" i="3"/>
  <c r="A809" i="3"/>
  <c r="A808" i="3"/>
  <c r="A807" i="3"/>
  <c r="A806" i="3"/>
  <c r="A805" i="3"/>
  <c r="A804" i="3"/>
  <c r="A803" i="3"/>
  <c r="A802" i="3"/>
  <c r="A801" i="3"/>
  <c r="A800" i="3"/>
  <c r="A799" i="3"/>
  <c r="A798" i="3"/>
  <c r="A797" i="3"/>
  <c r="A796" i="3"/>
  <c r="A795" i="3"/>
  <c r="A794" i="3"/>
  <c r="A793" i="3"/>
  <c r="A792" i="3"/>
  <c r="A791" i="3"/>
  <c r="A790" i="3"/>
  <c r="A789" i="3"/>
  <c r="A788" i="3"/>
  <c r="A787" i="3"/>
  <c r="A786" i="3"/>
  <c r="A785" i="3"/>
  <c r="A784" i="3"/>
  <c r="A783" i="3"/>
  <c r="A782" i="3"/>
  <c r="A781" i="3"/>
  <c r="A780" i="3"/>
  <c r="F1191" i="3"/>
  <c r="B1173" i="3"/>
  <c r="H1156" i="3"/>
  <c r="K1140" i="3"/>
  <c r="F1127" i="3"/>
  <c r="C1117" i="3"/>
  <c r="C1106" i="3"/>
  <c r="N1097" i="3"/>
  <c r="K1088" i="3"/>
  <c r="K1081" i="3"/>
  <c r="F1074" i="3"/>
  <c r="O1066" i="3"/>
  <c r="G1061" i="3"/>
  <c r="H1053" i="3"/>
  <c r="M1047" i="3"/>
  <c r="D1042" i="3"/>
  <c r="C1036" i="3"/>
  <c r="F1032" i="3"/>
  <c r="C1028" i="3"/>
  <c r="H1024" i="3"/>
  <c r="D1020" i="3"/>
  <c r="L1016" i="3"/>
  <c r="I1013" i="3"/>
  <c r="D1009" i="3"/>
  <c r="E1006" i="3"/>
  <c r="F1002" i="3"/>
  <c r="N998" i="3"/>
  <c r="D995" i="3"/>
  <c r="B992" i="3"/>
  <c r="H988" i="3"/>
  <c r="M985" i="3"/>
  <c r="J982" i="3"/>
  <c r="K979" i="3"/>
  <c r="H977" i="3"/>
  <c r="L974" i="3"/>
  <c r="D972" i="3"/>
  <c r="M969" i="3"/>
  <c r="B967" i="3"/>
  <c r="J964" i="3"/>
  <c r="G962" i="3"/>
  <c r="D960" i="3"/>
  <c r="A958" i="3"/>
  <c r="C956" i="3"/>
  <c r="A954" i="3"/>
  <c r="N951" i="3"/>
  <c r="A950" i="3"/>
  <c r="P947" i="3"/>
  <c r="A946" i="3"/>
  <c r="C944" i="3"/>
  <c r="E942" i="3"/>
  <c r="F940" i="3"/>
  <c r="J938" i="3"/>
  <c r="J936" i="3"/>
  <c r="L934" i="3"/>
  <c r="B933" i="3"/>
  <c r="E931" i="3"/>
  <c r="H929" i="3"/>
  <c r="L927" i="3"/>
  <c r="O925" i="3"/>
  <c r="B924" i="3"/>
  <c r="H922" i="3"/>
  <c r="J920" i="3"/>
  <c r="L918" i="3"/>
  <c r="B917" i="3"/>
  <c r="E915" i="3"/>
  <c r="H913" i="3"/>
  <c r="L911" i="3"/>
  <c r="O909" i="3"/>
  <c r="B908" i="3"/>
  <c r="H906" i="3"/>
  <c r="L904" i="3"/>
  <c r="B903" i="3"/>
  <c r="K901" i="3"/>
  <c r="B900" i="3"/>
  <c r="I898" i="3"/>
  <c r="B897" i="3"/>
  <c r="I895" i="3"/>
  <c r="P893" i="3"/>
  <c r="I892" i="3"/>
  <c r="C891" i="3"/>
  <c r="M889" i="3"/>
  <c r="I888" i="3"/>
  <c r="E887" i="3"/>
  <c r="O885" i="3"/>
  <c r="L884" i="3"/>
  <c r="I883" i="3"/>
  <c r="F882" i="3"/>
  <c r="P880" i="3"/>
  <c r="M879" i="3"/>
  <c r="J878" i="3"/>
  <c r="G877" i="3"/>
  <c r="C876" i="3"/>
  <c r="N874" i="3"/>
  <c r="K873" i="3"/>
  <c r="H872" i="3"/>
  <c r="E871" i="3"/>
  <c r="O869" i="3"/>
  <c r="L868" i="3"/>
  <c r="I867" i="3"/>
  <c r="F866" i="3"/>
  <c r="P864" i="3"/>
  <c r="M863" i="3"/>
  <c r="K862" i="3"/>
  <c r="I861" i="3"/>
  <c r="G860" i="3"/>
  <c r="E859" i="3"/>
  <c r="B858" i="3"/>
  <c r="O856" i="3"/>
  <c r="M855" i="3"/>
  <c r="K854" i="3"/>
  <c r="I853" i="3"/>
  <c r="G852" i="3"/>
  <c r="E851" i="3"/>
  <c r="B850" i="3"/>
  <c r="O848" i="3"/>
  <c r="M847" i="3"/>
  <c r="K846" i="3"/>
  <c r="I845" i="3"/>
  <c r="G844" i="3"/>
  <c r="E843" i="3"/>
  <c r="B842" i="3"/>
  <c r="O840" i="3"/>
  <c r="N839" i="3"/>
  <c r="M838" i="3"/>
  <c r="L837" i="3"/>
  <c r="K836" i="3"/>
  <c r="J835" i="3"/>
  <c r="I834" i="3"/>
  <c r="H833" i="3"/>
  <c r="G832" i="3"/>
  <c r="F831" i="3"/>
  <c r="E830" i="3"/>
  <c r="C829" i="3"/>
  <c r="B828" i="3"/>
  <c r="A827" i="3"/>
  <c r="P825" i="3"/>
  <c r="O824" i="3"/>
  <c r="N823" i="3"/>
  <c r="M822" i="3"/>
  <c r="L821" i="3"/>
  <c r="K820" i="3"/>
  <c r="J819" i="3"/>
  <c r="I818" i="3"/>
  <c r="H817" i="3"/>
  <c r="G816" i="3"/>
  <c r="F815" i="3"/>
  <c r="E814" i="3"/>
  <c r="C813" i="3"/>
  <c r="B812" i="3"/>
  <c r="A811" i="3"/>
  <c r="P809" i="3"/>
  <c r="P808" i="3"/>
  <c r="P807" i="3"/>
  <c r="P806" i="3"/>
  <c r="P805" i="3"/>
  <c r="P804" i="3"/>
  <c r="P803" i="3"/>
  <c r="P802" i="3"/>
  <c r="P801" i="3"/>
  <c r="P800" i="3"/>
  <c r="P799" i="3"/>
  <c r="P798" i="3"/>
  <c r="P797" i="3"/>
  <c r="P796" i="3"/>
  <c r="P795" i="3"/>
  <c r="P794" i="3"/>
  <c r="P793" i="3"/>
  <c r="P792" i="3"/>
  <c r="P791" i="3"/>
  <c r="P790" i="3"/>
  <c r="P789" i="3"/>
  <c r="P788" i="3"/>
  <c r="P787" i="3"/>
  <c r="P786" i="3"/>
  <c r="P785" i="3"/>
  <c r="P784" i="3"/>
  <c r="P783" i="3"/>
  <c r="P782" i="3"/>
  <c r="P781" i="3"/>
  <c r="P780" i="3"/>
  <c r="P779" i="3"/>
  <c r="P778" i="3"/>
  <c r="C1191" i="3"/>
  <c r="I1172" i="3"/>
  <c r="P1155" i="3"/>
  <c r="I1140" i="3"/>
  <c r="N1126" i="3"/>
  <c r="M1116" i="3"/>
  <c r="P1105" i="3"/>
  <c r="M1097" i="3"/>
  <c r="I1088" i="3"/>
  <c r="D1080" i="3"/>
  <c r="E1074" i="3"/>
  <c r="M1066" i="3"/>
  <c r="E1061" i="3"/>
  <c r="G1053" i="3"/>
  <c r="H1046" i="3"/>
  <c r="I1041" i="3"/>
  <c r="A1036" i="3"/>
  <c r="D1032" i="3"/>
  <c r="A1028" i="3"/>
  <c r="F1024" i="3"/>
  <c r="J1019" i="3"/>
  <c r="K1016" i="3"/>
  <c r="D1013" i="3"/>
  <c r="C1009" i="3"/>
  <c r="P1005" i="3"/>
  <c r="A1002" i="3"/>
  <c r="M998" i="3"/>
  <c r="C995" i="3"/>
  <c r="A992" i="3"/>
  <c r="E988" i="3"/>
  <c r="E985" i="3"/>
  <c r="A982" i="3"/>
  <c r="I979" i="3"/>
  <c r="F977" i="3"/>
  <c r="E974" i="3"/>
  <c r="B972" i="3"/>
  <c r="L969" i="3"/>
  <c r="M966" i="3"/>
  <c r="I964" i="3"/>
  <c r="F962" i="3"/>
  <c r="M959" i="3"/>
  <c r="N957" i="3"/>
  <c r="B956" i="3"/>
  <c r="M953" i="3"/>
  <c r="M951" i="3"/>
  <c r="N949" i="3"/>
  <c r="K947" i="3"/>
  <c r="P945" i="3"/>
  <c r="B944" i="3"/>
  <c r="P941" i="3"/>
  <c r="C940" i="3"/>
  <c r="I938" i="3"/>
  <c r="G936" i="3"/>
  <c r="K934" i="3"/>
  <c r="P932" i="3"/>
  <c r="P930" i="3"/>
  <c r="G929" i="3"/>
  <c r="K927" i="3"/>
  <c r="K925" i="3"/>
  <c r="P923" i="3"/>
  <c r="G922" i="3"/>
  <c r="G920" i="3"/>
  <c r="K918" i="3"/>
  <c r="P916" i="3"/>
  <c r="P914" i="3"/>
  <c r="G913" i="3"/>
  <c r="K911" i="3"/>
  <c r="K909" i="3"/>
  <c r="P907" i="3"/>
  <c r="G906" i="3"/>
  <c r="I904" i="3"/>
  <c r="A903" i="3"/>
  <c r="J901" i="3"/>
  <c r="O899" i="3"/>
  <c r="H898" i="3"/>
  <c r="A897" i="3"/>
  <c r="F895" i="3"/>
  <c r="O893" i="3"/>
  <c r="H892" i="3"/>
  <c r="P890" i="3"/>
  <c r="L889" i="3"/>
  <c r="H888" i="3"/>
  <c r="C887" i="3"/>
  <c r="N885" i="3"/>
  <c r="K884" i="3"/>
  <c r="H883" i="3"/>
  <c r="E882" i="3"/>
  <c r="O880" i="3"/>
  <c r="L879" i="3"/>
  <c r="I878" i="3"/>
  <c r="F877" i="3"/>
  <c r="P875" i="3"/>
  <c r="M874" i="3"/>
  <c r="J873" i="3"/>
  <c r="G872" i="3"/>
  <c r="C871" i="3"/>
  <c r="N869" i="3"/>
  <c r="K868" i="3"/>
  <c r="H867" i="3"/>
  <c r="E866" i="3"/>
  <c r="O864" i="3"/>
  <c r="L863" i="3"/>
  <c r="J862" i="3"/>
  <c r="H861" i="3"/>
  <c r="F860" i="3"/>
  <c r="C859" i="3"/>
  <c r="P857" i="3"/>
  <c r="N856" i="3"/>
  <c r="L855" i="3"/>
  <c r="J854" i="3"/>
  <c r="H853" i="3"/>
  <c r="F852" i="3"/>
  <c r="C851" i="3"/>
  <c r="P849" i="3"/>
  <c r="N848" i="3"/>
  <c r="L847" i="3"/>
  <c r="J846" i="3"/>
  <c r="H845" i="3"/>
  <c r="F844" i="3"/>
  <c r="C843" i="3"/>
  <c r="P841" i="3"/>
  <c r="N840" i="3"/>
  <c r="M839" i="3"/>
  <c r="L838" i="3"/>
  <c r="K837" i="3"/>
  <c r="J836" i="3"/>
  <c r="I835" i="3"/>
  <c r="H834" i="3"/>
  <c r="G833" i="3"/>
  <c r="F832" i="3"/>
  <c r="E831" i="3"/>
  <c r="C830" i="3"/>
  <c r="B829" i="3"/>
  <c r="A828" i="3"/>
  <c r="P826" i="3"/>
  <c r="O825" i="3"/>
  <c r="N824" i="3"/>
  <c r="M823" i="3"/>
  <c r="L822" i="3"/>
  <c r="K821" i="3"/>
  <c r="J820" i="3"/>
  <c r="I819" i="3"/>
  <c r="H818" i="3"/>
  <c r="G817" i="3"/>
  <c r="F816" i="3"/>
  <c r="E815" i="3"/>
  <c r="C814" i="3"/>
  <c r="B813" i="3"/>
  <c r="A812" i="3"/>
  <c r="P810" i="3"/>
  <c r="O809" i="3"/>
  <c r="O808" i="3"/>
  <c r="O807" i="3"/>
  <c r="O806" i="3"/>
  <c r="O805" i="3"/>
  <c r="O804" i="3"/>
  <c r="O803" i="3"/>
  <c r="O802" i="3"/>
  <c r="O801" i="3"/>
  <c r="O800" i="3"/>
  <c r="O799" i="3"/>
  <c r="O798" i="3"/>
  <c r="O797" i="3"/>
  <c r="O796" i="3"/>
  <c r="O795" i="3"/>
  <c r="O794" i="3"/>
  <c r="O793" i="3"/>
  <c r="O792" i="3"/>
  <c r="O791" i="3"/>
  <c r="O790" i="3"/>
  <c r="O789" i="3"/>
  <c r="O788" i="3"/>
  <c r="O787" i="3"/>
  <c r="O786" i="3"/>
  <c r="O785" i="3"/>
  <c r="O784" i="3"/>
  <c r="O783" i="3"/>
  <c r="O782" i="3"/>
  <c r="O781" i="3"/>
  <c r="O780" i="3"/>
  <c r="O779" i="3"/>
  <c r="A1191" i="3"/>
  <c r="D1169" i="3"/>
  <c r="F1155" i="3"/>
  <c r="H1140" i="3"/>
  <c r="M1126" i="3"/>
  <c r="D1116" i="3"/>
  <c r="O1105" i="3"/>
  <c r="I1096" i="3"/>
  <c r="H1088" i="3"/>
  <c r="M1079" i="3"/>
  <c r="D1074" i="3"/>
  <c r="L1066" i="3"/>
  <c r="H1060" i="3"/>
  <c r="F1053" i="3"/>
  <c r="F1046" i="3"/>
  <c r="H1041" i="3"/>
  <c r="L1035" i="3"/>
  <c r="A1032" i="3"/>
  <c r="O1027" i="3"/>
  <c r="N1023" i="3"/>
  <c r="I1019" i="3"/>
  <c r="J1016" i="3"/>
  <c r="E1012" i="3"/>
  <c r="B1009" i="3"/>
  <c r="L1005" i="3"/>
  <c r="P1001" i="3"/>
  <c r="K998" i="3"/>
  <c r="B995" i="3"/>
  <c r="P991" i="3"/>
  <c r="D988" i="3"/>
  <c r="C985" i="3"/>
  <c r="P981" i="3"/>
  <c r="H979" i="3"/>
  <c r="C977" i="3"/>
  <c r="D974" i="3"/>
  <c r="N971" i="3"/>
  <c r="K969" i="3"/>
  <c r="J966" i="3"/>
  <c r="H964" i="3"/>
  <c r="E962" i="3"/>
  <c r="L959" i="3"/>
  <c r="L957" i="3"/>
  <c r="P955" i="3"/>
  <c r="K953" i="3"/>
  <c r="L951" i="3"/>
  <c r="M949" i="3"/>
  <c r="J947" i="3"/>
  <c r="N945" i="3"/>
  <c r="A944" i="3"/>
  <c r="O941" i="3"/>
  <c r="B940" i="3"/>
  <c r="G938" i="3"/>
  <c r="E936" i="3"/>
  <c r="J934" i="3"/>
  <c r="O932" i="3"/>
  <c r="O930" i="3"/>
  <c r="E929" i="3"/>
  <c r="J927" i="3"/>
  <c r="J925" i="3"/>
  <c r="O923" i="3"/>
  <c r="E922" i="3"/>
  <c r="E920" i="3"/>
  <c r="J918" i="3"/>
  <c r="O916" i="3"/>
  <c r="O914" i="3"/>
  <c r="E913" i="3"/>
  <c r="J911" i="3"/>
  <c r="J909" i="3"/>
  <c r="O907" i="3"/>
  <c r="E906" i="3"/>
  <c r="H904" i="3"/>
  <c r="P902" i="3"/>
  <c r="I901" i="3"/>
  <c r="M899" i="3"/>
  <c r="G898" i="3"/>
  <c r="P896" i="3"/>
  <c r="E895" i="3"/>
  <c r="M893" i="3"/>
  <c r="G892" i="3"/>
  <c r="O890" i="3"/>
  <c r="K889" i="3"/>
  <c r="G888" i="3"/>
  <c r="P886" i="3"/>
  <c r="M885" i="3"/>
  <c r="J884" i="3"/>
  <c r="G883" i="3"/>
  <c r="C882" i="3"/>
  <c r="N880" i="3"/>
  <c r="K879" i="3"/>
  <c r="H878" i="3"/>
  <c r="E877" i="3"/>
  <c r="O875" i="3"/>
  <c r="L874" i="3"/>
  <c r="I873" i="3"/>
  <c r="F872" i="3"/>
  <c r="P870" i="3"/>
  <c r="M869" i="3"/>
  <c r="J868" i="3"/>
  <c r="G867" i="3"/>
  <c r="C866" i="3"/>
  <c r="N864" i="3"/>
  <c r="K863" i="3"/>
  <c r="I862" i="3"/>
  <c r="G861" i="3"/>
  <c r="E860" i="3"/>
  <c r="B859" i="3"/>
  <c r="O857" i="3"/>
  <c r="M856" i="3"/>
  <c r="K855" i="3"/>
  <c r="I854" i="3"/>
  <c r="G853" i="3"/>
  <c r="E852" i="3"/>
  <c r="B851" i="3"/>
  <c r="O849" i="3"/>
  <c r="M848" i="3"/>
  <c r="K847" i="3"/>
  <c r="I846" i="3"/>
  <c r="G845" i="3"/>
  <c r="E844" i="3"/>
  <c r="B843" i="3"/>
  <c r="O841" i="3"/>
  <c r="M840" i="3"/>
  <c r="L839" i="3"/>
  <c r="K838" i="3"/>
  <c r="J837" i="3"/>
  <c r="I836" i="3"/>
  <c r="H835" i="3"/>
  <c r="G834" i="3"/>
  <c r="F833" i="3"/>
  <c r="E832" i="3"/>
  <c r="C831" i="3"/>
  <c r="B830" i="3"/>
  <c r="A829" i="3"/>
  <c r="P827" i="3"/>
  <c r="O826" i="3"/>
  <c r="N825" i="3"/>
  <c r="M824" i="3"/>
  <c r="L823" i="3"/>
  <c r="K822" i="3"/>
  <c r="J821" i="3"/>
  <c r="I820" i="3"/>
  <c r="H819" i="3"/>
  <c r="G818" i="3"/>
  <c r="F817" i="3"/>
  <c r="E816" i="3"/>
  <c r="C815" i="3"/>
  <c r="B814" i="3"/>
  <c r="A813" i="3"/>
  <c r="P811" i="3"/>
  <c r="O810" i="3"/>
  <c r="N809" i="3"/>
  <c r="N808" i="3"/>
  <c r="N807" i="3"/>
  <c r="N806" i="3"/>
  <c r="N805" i="3"/>
  <c r="N804" i="3"/>
  <c r="N803" i="3"/>
  <c r="N802" i="3"/>
  <c r="N801" i="3"/>
  <c r="N800" i="3"/>
  <c r="N799" i="3"/>
  <c r="N798" i="3"/>
  <c r="N797" i="3"/>
  <c r="N796" i="3"/>
  <c r="N795" i="3"/>
  <c r="N794" i="3"/>
  <c r="N793" i="3"/>
  <c r="N792" i="3"/>
  <c r="I1184" i="3"/>
  <c r="P1168" i="3"/>
  <c r="C1150" i="3"/>
  <c r="B1139" i="3"/>
  <c r="G1123" i="3"/>
  <c r="I1113" i="3"/>
  <c r="N1103" i="3"/>
  <c r="M1094" i="3"/>
  <c r="M1086" i="3"/>
  <c r="H1079" i="3"/>
  <c r="I1071" i="3"/>
  <c r="L1065" i="3"/>
  <c r="G1058" i="3"/>
  <c r="A1053" i="3"/>
  <c r="N1045" i="3"/>
  <c r="K1039" i="3"/>
  <c r="D1035" i="3"/>
  <c r="L1030" i="3"/>
  <c r="O1026" i="3"/>
  <c r="P1022" i="3"/>
  <c r="D1019" i="3"/>
  <c r="L1015" i="3"/>
  <c r="B1012" i="3"/>
  <c r="N1008" i="3"/>
  <c r="J1004" i="3"/>
  <c r="F1001" i="3"/>
  <c r="H997" i="3"/>
  <c r="D994" i="3"/>
  <c r="L990" i="3"/>
  <c r="K987" i="3"/>
  <c r="L984" i="3"/>
  <c r="L981" i="3"/>
  <c r="A979" i="3"/>
  <c r="F976" i="3"/>
  <c r="P973" i="3"/>
  <c r="F971" i="3"/>
  <c r="K968" i="3"/>
  <c r="B966" i="3"/>
  <c r="N963" i="3"/>
  <c r="H961" i="3"/>
  <c r="I959" i="3"/>
  <c r="H957" i="3"/>
  <c r="D955" i="3"/>
  <c r="E953" i="3"/>
  <c r="I951" i="3"/>
  <c r="D949" i="3"/>
  <c r="F947" i="3"/>
  <c r="I945" i="3"/>
  <c r="G943" i="3"/>
  <c r="L941" i="3"/>
  <c r="N939" i="3"/>
  <c r="L937" i="3"/>
  <c r="P935" i="3"/>
  <c r="G934" i="3"/>
  <c r="G932" i="3"/>
  <c r="K930" i="3"/>
  <c r="P928" i="3"/>
  <c r="P926" i="3"/>
  <c r="G925" i="3"/>
  <c r="K923" i="3"/>
  <c r="K921" i="3"/>
  <c r="P919" i="3"/>
  <c r="G918" i="3"/>
  <c r="G916" i="3"/>
  <c r="K914" i="3"/>
  <c r="P912" i="3"/>
  <c r="P910" i="3"/>
  <c r="G909" i="3"/>
  <c r="K907" i="3"/>
  <c r="L905" i="3"/>
  <c r="D904" i="3"/>
  <c r="L902" i="3"/>
  <c r="A901" i="3"/>
  <c r="J899" i="3"/>
  <c r="D898" i="3"/>
  <c r="H896" i="3"/>
  <c r="A895" i="3"/>
  <c r="J893" i="3"/>
  <c r="P891" i="3"/>
  <c r="L890" i="3"/>
  <c r="H889" i="3"/>
  <c r="P887" i="3"/>
  <c r="M886" i="3"/>
  <c r="J885" i="3"/>
  <c r="G884" i="3"/>
  <c r="C883" i="3"/>
  <c r="N881" i="3"/>
  <c r="K880" i="3"/>
  <c r="H879" i="3"/>
  <c r="E878" i="3"/>
  <c r="O876" i="3"/>
  <c r="L875" i="3"/>
  <c r="I874" i="3"/>
  <c r="F873" i="3"/>
  <c r="P871" i="3"/>
  <c r="M870" i="3"/>
  <c r="J869" i="3"/>
  <c r="G868" i="3"/>
  <c r="C867" i="3"/>
  <c r="N865" i="3"/>
  <c r="K864" i="3"/>
  <c r="H863" i="3"/>
  <c r="F862" i="3"/>
  <c r="C861" i="3"/>
  <c r="P859" i="3"/>
  <c r="N858" i="3"/>
  <c r="L857" i="3"/>
  <c r="J856" i="3"/>
  <c r="H855" i="3"/>
  <c r="F854" i="3"/>
  <c r="C853" i="3"/>
  <c r="P851" i="3"/>
  <c r="N850" i="3"/>
  <c r="L849" i="3"/>
  <c r="J848" i="3"/>
  <c r="H847" i="3"/>
  <c r="F846" i="3"/>
  <c r="C845" i="3"/>
  <c r="P843" i="3"/>
  <c r="N842" i="3"/>
  <c r="L841" i="3"/>
  <c r="J840" i="3"/>
  <c r="I839" i="3"/>
  <c r="H838" i="3"/>
  <c r="G837" i="3"/>
  <c r="F836" i="3"/>
  <c r="E835" i="3"/>
  <c r="C834" i="3"/>
  <c r="B833" i="3"/>
  <c r="A832" i="3"/>
  <c r="P830" i="3"/>
  <c r="O829" i="3"/>
  <c r="N828" i="3"/>
  <c r="M827" i="3"/>
  <c r="L826" i="3"/>
  <c r="K825" i="3"/>
  <c r="J824" i="3"/>
  <c r="I823" i="3"/>
  <c r="H822" i="3"/>
  <c r="G821" i="3"/>
  <c r="F820" i="3"/>
  <c r="E819" i="3"/>
  <c r="C818" i="3"/>
  <c r="B817" i="3"/>
  <c r="A816" i="3"/>
  <c r="P814" i="3"/>
  <c r="O813" i="3"/>
  <c r="N812" i="3"/>
  <c r="M811" i="3"/>
  <c r="L810" i="3"/>
  <c r="K809" i="3"/>
  <c r="K808" i="3"/>
  <c r="K807" i="3"/>
  <c r="K806" i="3"/>
  <c r="K805" i="3"/>
  <c r="K804" i="3"/>
  <c r="K803" i="3"/>
  <c r="K802" i="3"/>
  <c r="K801" i="3"/>
  <c r="K800" i="3"/>
  <c r="K799" i="3"/>
  <c r="K798" i="3"/>
  <c r="K797" i="3"/>
  <c r="K796" i="3"/>
  <c r="K795" i="3"/>
  <c r="K794" i="3"/>
  <c r="K793" i="3"/>
  <c r="K792" i="3"/>
  <c r="I1179" i="3"/>
  <c r="K1146" i="3"/>
  <c r="P1121" i="3"/>
  <c r="M1103" i="3"/>
  <c r="G1088" i="3"/>
  <c r="O1075" i="3"/>
  <c r="I1063" i="3"/>
  <c r="N1050" i="3"/>
  <c r="O1040" i="3"/>
  <c r="G1033" i="3"/>
  <c r="O1025" i="3"/>
  <c r="F1018" i="3"/>
  <c r="A1012" i="3"/>
  <c r="M1004" i="3"/>
  <c r="N999" i="3"/>
  <c r="L993" i="3"/>
  <c r="I987" i="3"/>
  <c r="M981" i="3"/>
  <c r="L977" i="3"/>
  <c r="F973" i="3"/>
  <c r="E968" i="3"/>
  <c r="M963" i="3"/>
  <c r="K959" i="3"/>
  <c r="H956" i="3"/>
  <c r="P952" i="3"/>
  <c r="A949" i="3"/>
  <c r="K945" i="3"/>
  <c r="N942" i="3"/>
  <c r="A939" i="3"/>
  <c r="L935" i="3"/>
  <c r="E932" i="3"/>
  <c r="D929" i="3"/>
  <c r="I926" i="3"/>
  <c r="P922" i="3"/>
  <c r="M919" i="3"/>
  <c r="J916" i="3"/>
  <c r="O913" i="3"/>
  <c r="J910" i="3"/>
  <c r="E907" i="3"/>
  <c r="B904" i="3"/>
  <c r="H901" i="3"/>
  <c r="D899" i="3"/>
  <c r="D896" i="3"/>
  <c r="H893" i="3"/>
  <c r="M890" i="3"/>
  <c r="M888" i="3"/>
  <c r="H886" i="3"/>
  <c r="C884" i="3"/>
  <c r="M881" i="3"/>
  <c r="J879" i="3"/>
  <c r="L877" i="3"/>
  <c r="H875" i="3"/>
  <c r="C873" i="3"/>
  <c r="N870" i="3"/>
  <c r="P868" i="3"/>
  <c r="L866" i="3"/>
  <c r="H864" i="3"/>
  <c r="E862" i="3"/>
  <c r="C860" i="3"/>
  <c r="H858" i="3"/>
  <c r="F856" i="3"/>
  <c r="C854" i="3"/>
  <c r="B852" i="3"/>
  <c r="G850" i="3"/>
  <c r="E848" i="3"/>
  <c r="B846" i="3"/>
  <c r="O843" i="3"/>
  <c r="N841" i="3"/>
  <c r="C840" i="3"/>
  <c r="C838" i="3"/>
  <c r="C836" i="3"/>
  <c r="E834" i="3"/>
  <c r="K832" i="3"/>
  <c r="K830" i="3"/>
  <c r="K828" i="3"/>
  <c r="K826" i="3"/>
  <c r="L824" i="3"/>
  <c r="B823" i="3"/>
  <c r="B821" i="3"/>
  <c r="B819" i="3"/>
  <c r="C817" i="3"/>
  <c r="J815" i="3"/>
  <c r="J813" i="3"/>
  <c r="J811" i="3"/>
  <c r="J809" i="3"/>
  <c r="M807" i="3"/>
  <c r="E806" i="3"/>
  <c r="G804" i="3"/>
  <c r="I802" i="3"/>
  <c r="L800" i="3"/>
  <c r="D799" i="3"/>
  <c r="F797" i="3"/>
  <c r="I795" i="3"/>
  <c r="D794" i="3"/>
  <c r="J792" i="3"/>
  <c r="G791" i="3"/>
  <c r="D790" i="3"/>
  <c r="N788" i="3"/>
  <c r="K787" i="3"/>
  <c r="H786" i="3"/>
  <c r="E785" i="3"/>
  <c r="B784" i="3"/>
  <c r="L782" i="3"/>
  <c r="I781" i="3"/>
  <c r="F780" i="3"/>
  <c r="C779" i="3"/>
  <c r="B778" i="3"/>
  <c r="B777" i="3"/>
  <c r="B776" i="3"/>
  <c r="B775" i="3"/>
  <c r="B774" i="3"/>
  <c r="B773" i="3"/>
  <c r="B772" i="3"/>
  <c r="B771" i="3"/>
  <c r="B770" i="3"/>
  <c r="B769" i="3"/>
  <c r="B768" i="3"/>
  <c r="B767" i="3"/>
  <c r="B766" i="3"/>
  <c r="B765" i="3"/>
  <c r="B764" i="3"/>
  <c r="B763" i="3"/>
  <c r="B762" i="3"/>
  <c r="B761" i="3"/>
  <c r="B760" i="3"/>
  <c r="B759" i="3"/>
  <c r="B758" i="3"/>
  <c r="B757" i="3"/>
  <c r="B756" i="3"/>
  <c r="B755" i="3"/>
  <c r="B754" i="3"/>
  <c r="B753" i="3"/>
  <c r="B752" i="3"/>
  <c r="B751" i="3"/>
  <c r="B750" i="3"/>
  <c r="B749" i="3"/>
  <c r="B748" i="3"/>
  <c r="B747" i="3"/>
  <c r="B746" i="3"/>
  <c r="B745" i="3"/>
  <c r="B744" i="3"/>
  <c r="B743" i="3"/>
  <c r="B742" i="3"/>
  <c r="B741" i="3"/>
  <c r="B740" i="3"/>
  <c r="B739" i="3"/>
  <c r="B738" i="3"/>
  <c r="B737" i="3"/>
  <c r="B736" i="3"/>
  <c r="B735" i="3"/>
  <c r="B734" i="3"/>
  <c r="B733" i="3"/>
  <c r="B732" i="3"/>
  <c r="B731" i="3"/>
  <c r="B730" i="3"/>
  <c r="B729" i="3"/>
  <c r="B728" i="3"/>
  <c r="B727" i="3"/>
  <c r="B726" i="3"/>
  <c r="B725" i="3"/>
  <c r="B724" i="3"/>
  <c r="B723" i="3"/>
  <c r="B722" i="3"/>
  <c r="B721" i="3"/>
  <c r="B720" i="3"/>
  <c r="B719" i="3"/>
  <c r="B718" i="3"/>
  <c r="B717" i="3"/>
  <c r="B716" i="3"/>
  <c r="B715" i="3"/>
  <c r="B714" i="3"/>
  <c r="B713" i="3"/>
  <c r="B712" i="3"/>
  <c r="B711" i="3"/>
  <c r="B710" i="3"/>
  <c r="B709" i="3"/>
  <c r="B708" i="3"/>
  <c r="B707" i="3"/>
  <c r="B706" i="3"/>
  <c r="B705" i="3"/>
  <c r="B704" i="3"/>
  <c r="B703" i="3"/>
  <c r="B702" i="3"/>
  <c r="B701" i="3"/>
  <c r="B700" i="3"/>
  <c r="B699" i="3"/>
  <c r="B698" i="3"/>
  <c r="B697" i="3"/>
  <c r="B696" i="3"/>
  <c r="B695" i="3"/>
  <c r="B694" i="3"/>
  <c r="B693" i="3"/>
  <c r="B692" i="3"/>
  <c r="B691" i="3"/>
  <c r="B690" i="3"/>
  <c r="B689" i="3"/>
  <c r="B688" i="3"/>
  <c r="B687" i="3"/>
  <c r="B686" i="3"/>
  <c r="B685" i="3"/>
  <c r="B684" i="3"/>
  <c r="B683" i="3"/>
  <c r="B682" i="3"/>
  <c r="B681" i="3"/>
  <c r="B680" i="3"/>
  <c r="B679" i="3"/>
  <c r="B678" i="3"/>
  <c r="B677" i="3"/>
  <c r="B676" i="3"/>
  <c r="B675" i="3"/>
  <c r="B674" i="3"/>
  <c r="B673" i="3"/>
  <c r="B672" i="3"/>
  <c r="B671" i="3"/>
  <c r="B670" i="3"/>
  <c r="B669" i="3"/>
  <c r="B668" i="3"/>
  <c r="B667" i="3"/>
  <c r="B666" i="3"/>
  <c r="B665" i="3"/>
  <c r="B664" i="3"/>
  <c r="B663" i="3"/>
  <c r="B662" i="3"/>
  <c r="B661" i="3"/>
  <c r="B660" i="3"/>
  <c r="B659" i="3"/>
  <c r="B658" i="3"/>
  <c r="B657" i="3"/>
  <c r="B656" i="3"/>
  <c r="B655" i="3"/>
  <c r="B654" i="3"/>
  <c r="B653" i="3"/>
  <c r="B652" i="3"/>
  <c r="B651" i="3"/>
  <c r="B650" i="3"/>
  <c r="B649" i="3"/>
  <c r="B648" i="3"/>
  <c r="B647" i="3"/>
  <c r="B646" i="3"/>
  <c r="B645" i="3"/>
  <c r="B644" i="3"/>
  <c r="B643" i="3"/>
  <c r="B642" i="3"/>
  <c r="B641" i="3"/>
  <c r="B640" i="3"/>
  <c r="B639" i="3"/>
  <c r="B638" i="3"/>
  <c r="B637" i="3"/>
  <c r="B636" i="3"/>
  <c r="B635" i="3"/>
  <c r="B634" i="3"/>
  <c r="B633" i="3"/>
  <c r="B632" i="3"/>
  <c r="B631" i="3"/>
  <c r="B630" i="3"/>
  <c r="B629" i="3"/>
  <c r="B628" i="3"/>
  <c r="B627" i="3"/>
  <c r="B626" i="3"/>
  <c r="B625" i="3"/>
  <c r="B624" i="3"/>
  <c r="B623" i="3"/>
  <c r="B622" i="3"/>
  <c r="B621" i="3"/>
  <c r="B620" i="3"/>
  <c r="B619" i="3"/>
  <c r="B618" i="3"/>
  <c r="B617" i="3"/>
  <c r="B616" i="3"/>
  <c r="B615" i="3"/>
  <c r="B614" i="3"/>
  <c r="B613" i="3"/>
  <c r="B612" i="3"/>
  <c r="B611" i="3"/>
  <c r="B610" i="3"/>
  <c r="B609" i="3"/>
  <c r="B608" i="3"/>
  <c r="B607" i="3"/>
  <c r="B606" i="3"/>
  <c r="B605" i="3"/>
  <c r="B604" i="3"/>
  <c r="B603" i="3"/>
  <c r="B602" i="3"/>
  <c r="B601" i="3"/>
  <c r="B600" i="3"/>
  <c r="B599" i="3"/>
  <c r="B598" i="3"/>
  <c r="B597" i="3"/>
  <c r="B596" i="3"/>
  <c r="B595" i="3"/>
  <c r="B594" i="3"/>
  <c r="B593" i="3"/>
  <c r="B592" i="3"/>
  <c r="B591" i="3"/>
  <c r="B590" i="3"/>
  <c r="B589" i="3"/>
  <c r="B588" i="3"/>
  <c r="B587" i="3"/>
  <c r="B586" i="3"/>
  <c r="B585" i="3"/>
  <c r="B584" i="3"/>
  <c r="B583" i="3"/>
  <c r="B582" i="3"/>
  <c r="B581" i="3"/>
  <c r="B580" i="3"/>
  <c r="B579" i="3"/>
  <c r="B578" i="3"/>
  <c r="B577" i="3"/>
  <c r="B576" i="3"/>
  <c r="B575" i="3"/>
  <c r="B574" i="3"/>
  <c r="B573" i="3"/>
  <c r="B572" i="3"/>
  <c r="B571" i="3"/>
  <c r="B570" i="3"/>
  <c r="B569" i="3"/>
  <c r="B568" i="3"/>
  <c r="B567" i="3"/>
  <c r="B566" i="3"/>
  <c r="B565" i="3"/>
  <c r="B564" i="3"/>
  <c r="B563" i="3"/>
  <c r="B562" i="3"/>
  <c r="B561" i="3"/>
  <c r="B560" i="3"/>
  <c r="B559" i="3"/>
  <c r="B558" i="3"/>
  <c r="B557" i="3"/>
  <c r="B556" i="3"/>
  <c r="B555" i="3"/>
  <c r="B554" i="3"/>
  <c r="B553" i="3"/>
  <c r="B552" i="3"/>
  <c r="B551" i="3"/>
  <c r="B550" i="3"/>
  <c r="B549" i="3"/>
  <c r="B548" i="3"/>
  <c r="B547" i="3"/>
  <c r="B546" i="3"/>
  <c r="B545" i="3"/>
  <c r="C1169" i="3"/>
  <c r="I1146" i="3"/>
  <c r="N1121" i="3"/>
  <c r="F1103" i="3"/>
  <c r="K1087" i="3"/>
  <c r="N1074" i="3"/>
  <c r="H1063" i="3"/>
  <c r="M1050" i="3"/>
  <c r="J1039" i="3"/>
  <c r="P1031" i="3"/>
  <c r="C1025" i="3"/>
  <c r="E1018" i="3"/>
  <c r="K1011" i="3"/>
  <c r="K1004" i="3"/>
  <c r="M999" i="3"/>
  <c r="N992" i="3"/>
  <c r="H987" i="3"/>
  <c r="K981" i="3"/>
  <c r="M976" i="3"/>
  <c r="C973" i="3"/>
  <c r="D968" i="3"/>
  <c r="K963" i="3"/>
  <c r="J959" i="3"/>
  <c r="G956" i="3"/>
  <c r="N952" i="3"/>
  <c r="N948" i="3"/>
  <c r="H945" i="3"/>
  <c r="N941" i="3"/>
  <c r="O938" i="3"/>
  <c r="K935" i="3"/>
  <c r="D932" i="3"/>
  <c r="B929" i="3"/>
  <c r="H926" i="3"/>
  <c r="O922" i="3"/>
  <c r="L919" i="3"/>
  <c r="E916" i="3"/>
  <c r="D913" i="3"/>
  <c r="I910" i="3"/>
  <c r="P906" i="3"/>
  <c r="A904" i="3"/>
  <c r="E901" i="3"/>
  <c r="P898" i="3"/>
  <c r="B896" i="3"/>
  <c r="E893" i="3"/>
  <c r="K890" i="3"/>
  <c r="F888" i="3"/>
  <c r="G886" i="3"/>
  <c r="P883" i="3"/>
  <c r="L881" i="3"/>
  <c r="I879" i="3"/>
  <c r="K877" i="3"/>
  <c r="G875" i="3"/>
  <c r="P872" i="3"/>
  <c r="L870" i="3"/>
  <c r="I868" i="3"/>
  <c r="K866" i="3"/>
  <c r="G864" i="3"/>
  <c r="C862" i="3"/>
  <c r="B860" i="3"/>
  <c r="G858" i="3"/>
  <c r="E856" i="3"/>
  <c r="B854" i="3"/>
  <c r="O851" i="3"/>
  <c r="N849" i="3"/>
  <c r="C848" i="3"/>
  <c r="P845" i="3"/>
  <c r="N843" i="3"/>
  <c r="M841" i="3"/>
  <c r="B840" i="3"/>
  <c r="B838" i="3"/>
  <c r="B836" i="3"/>
  <c r="B834" i="3"/>
  <c r="C832" i="3"/>
  <c r="J830" i="3"/>
  <c r="J828" i="3"/>
  <c r="J826" i="3"/>
  <c r="K824" i="3"/>
  <c r="A823" i="3"/>
  <c r="A821" i="3"/>
  <c r="A819" i="3"/>
  <c r="A817" i="3"/>
  <c r="B815" i="3"/>
  <c r="I813" i="3"/>
  <c r="I811" i="3"/>
  <c r="I809" i="3"/>
  <c r="L807" i="3"/>
  <c r="D806" i="3"/>
  <c r="F804" i="3"/>
  <c r="H802" i="3"/>
  <c r="J800" i="3"/>
  <c r="M798" i="3"/>
  <c r="E797" i="3"/>
  <c r="H795" i="3"/>
  <c r="C794" i="3"/>
  <c r="I792" i="3"/>
  <c r="F791" i="3"/>
  <c r="C790" i="3"/>
  <c r="M788" i="3"/>
  <c r="J787" i="3"/>
  <c r="G786" i="3"/>
  <c r="D785" i="3"/>
  <c r="N783" i="3"/>
  <c r="K782" i="3"/>
  <c r="H781" i="3"/>
  <c r="E780" i="3"/>
  <c r="B779" i="3"/>
  <c r="A778" i="3"/>
  <c r="A777" i="3"/>
  <c r="A776" i="3"/>
  <c r="A775" i="3"/>
  <c r="A774" i="3"/>
  <c r="A773" i="3"/>
  <c r="A772" i="3"/>
  <c r="A771" i="3"/>
  <c r="A770" i="3"/>
  <c r="A769" i="3"/>
  <c r="A768" i="3"/>
  <c r="A767" i="3"/>
  <c r="A766" i="3"/>
  <c r="A765" i="3"/>
  <c r="A764" i="3"/>
  <c r="A763" i="3"/>
  <c r="A762" i="3"/>
  <c r="A761" i="3"/>
  <c r="A760" i="3"/>
  <c r="A759" i="3"/>
  <c r="A758" i="3"/>
  <c r="A757" i="3"/>
  <c r="A756" i="3"/>
  <c r="A755" i="3"/>
  <c r="A754" i="3"/>
  <c r="A753" i="3"/>
  <c r="A752" i="3"/>
  <c r="A751" i="3"/>
  <c r="A750" i="3"/>
  <c r="A749" i="3"/>
  <c r="A748" i="3"/>
  <c r="A747" i="3"/>
  <c r="A746" i="3"/>
  <c r="A745" i="3"/>
  <c r="A744" i="3"/>
  <c r="A743" i="3"/>
  <c r="A742" i="3"/>
  <c r="A741" i="3"/>
  <c r="A740" i="3"/>
  <c r="A739" i="3"/>
  <c r="A738" i="3"/>
  <c r="A737" i="3"/>
  <c r="A736" i="3"/>
  <c r="A735" i="3"/>
  <c r="A734" i="3"/>
  <c r="A733" i="3"/>
  <c r="A732" i="3"/>
  <c r="A731" i="3"/>
  <c r="A730" i="3"/>
  <c r="A729" i="3"/>
  <c r="A728" i="3"/>
  <c r="A727" i="3"/>
  <c r="A726" i="3"/>
  <c r="A725" i="3"/>
  <c r="A724" i="3"/>
  <c r="A723" i="3"/>
  <c r="A722" i="3"/>
  <c r="A721" i="3"/>
  <c r="A720" i="3"/>
  <c r="A719" i="3"/>
  <c r="A718" i="3"/>
  <c r="A717" i="3"/>
  <c r="A716" i="3"/>
  <c r="A715" i="3"/>
  <c r="A714" i="3"/>
  <c r="A713" i="3"/>
  <c r="A712" i="3"/>
  <c r="A711" i="3"/>
  <c r="A710" i="3"/>
  <c r="A709" i="3"/>
  <c r="A708" i="3"/>
  <c r="A707" i="3"/>
  <c r="A706" i="3"/>
  <c r="A705" i="3"/>
  <c r="A704" i="3"/>
  <c r="A703" i="3"/>
  <c r="A702" i="3"/>
  <c r="A701" i="3"/>
  <c r="A700" i="3"/>
  <c r="A699" i="3"/>
  <c r="A698" i="3"/>
  <c r="A697" i="3"/>
  <c r="A696" i="3"/>
  <c r="A695" i="3"/>
  <c r="A694" i="3"/>
  <c r="A693" i="3"/>
  <c r="A692" i="3"/>
  <c r="A691" i="3"/>
  <c r="A690" i="3"/>
  <c r="A689" i="3"/>
  <c r="A688" i="3"/>
  <c r="A687" i="3"/>
  <c r="A686" i="3"/>
  <c r="A685" i="3"/>
  <c r="A684" i="3"/>
  <c r="A683" i="3"/>
  <c r="A682" i="3"/>
  <c r="A681" i="3"/>
  <c r="A680" i="3"/>
  <c r="A679" i="3"/>
  <c r="A678" i="3"/>
  <c r="A677" i="3"/>
  <c r="A676" i="3"/>
  <c r="A675" i="3"/>
  <c r="A674" i="3"/>
  <c r="A673" i="3"/>
  <c r="A672" i="3"/>
  <c r="A671" i="3"/>
  <c r="A670" i="3"/>
  <c r="A669" i="3"/>
  <c r="A668" i="3"/>
  <c r="A667" i="3"/>
  <c r="A666" i="3"/>
  <c r="A665" i="3"/>
  <c r="A664" i="3"/>
  <c r="A663" i="3"/>
  <c r="A662" i="3"/>
  <c r="A661" i="3"/>
  <c r="A660" i="3"/>
  <c r="A659" i="3"/>
  <c r="A658" i="3"/>
  <c r="A657" i="3"/>
  <c r="A656" i="3"/>
  <c r="A655" i="3"/>
  <c r="A654" i="3"/>
  <c r="A653" i="3"/>
  <c r="A652" i="3"/>
  <c r="A651" i="3"/>
  <c r="A650" i="3"/>
  <c r="A649" i="3"/>
  <c r="A648" i="3"/>
  <c r="A647" i="3"/>
  <c r="A646" i="3"/>
  <c r="A645" i="3"/>
  <c r="A644" i="3"/>
  <c r="A643" i="3"/>
  <c r="A642" i="3"/>
  <c r="A641" i="3"/>
  <c r="A640" i="3"/>
  <c r="A639" i="3"/>
  <c r="A638" i="3"/>
  <c r="A637" i="3"/>
  <c r="A636" i="3"/>
  <c r="A635" i="3"/>
  <c r="A634" i="3"/>
  <c r="A633" i="3"/>
  <c r="A632" i="3"/>
  <c r="A631" i="3"/>
  <c r="A630" i="3"/>
  <c r="A629" i="3"/>
  <c r="A628" i="3"/>
  <c r="A627" i="3"/>
  <c r="A626" i="3"/>
  <c r="A625" i="3"/>
  <c r="A624" i="3"/>
  <c r="A623" i="3"/>
  <c r="A622" i="3"/>
  <c r="A621" i="3"/>
  <c r="A620" i="3"/>
  <c r="A619" i="3"/>
  <c r="A618" i="3"/>
  <c r="A617" i="3"/>
  <c r="A616" i="3"/>
  <c r="A615" i="3"/>
  <c r="A614" i="3"/>
  <c r="A613" i="3"/>
  <c r="A612" i="3"/>
  <c r="A611" i="3"/>
  <c r="A610" i="3"/>
  <c r="A609" i="3"/>
  <c r="A608" i="3"/>
  <c r="A607" i="3"/>
  <c r="A606" i="3"/>
  <c r="A605" i="3"/>
  <c r="A604" i="3"/>
  <c r="L1203" i="3"/>
  <c r="A1169" i="3"/>
  <c r="H1144" i="3"/>
  <c r="A1121" i="3"/>
  <c r="D1102" i="3"/>
  <c r="K1085" i="3"/>
  <c r="A1074" i="3"/>
  <c r="A1062" i="3"/>
  <c r="K1050" i="3"/>
  <c r="E1039" i="3"/>
  <c r="M1031" i="3"/>
  <c r="M1024" i="3"/>
  <c r="D1018" i="3"/>
  <c r="I1011" i="3"/>
  <c r="I1004" i="3"/>
  <c r="H998" i="3"/>
  <c r="M992" i="3"/>
  <c r="F987" i="3"/>
  <c r="J981" i="3"/>
  <c r="I976" i="3"/>
  <c r="J972" i="3"/>
  <c r="B968" i="3"/>
  <c r="H963" i="3"/>
  <c r="G959" i="3"/>
  <c r="N955" i="3"/>
  <c r="M952" i="3"/>
  <c r="L948" i="3"/>
  <c r="F945" i="3"/>
  <c r="M941" i="3"/>
  <c r="N938" i="3"/>
  <c r="J935" i="3"/>
  <c r="B932" i="3"/>
  <c r="O928" i="3"/>
  <c r="I925" i="3"/>
  <c r="M922" i="3"/>
  <c r="K919" i="3"/>
  <c r="D916" i="3"/>
  <c r="B913" i="3"/>
  <c r="H910" i="3"/>
  <c r="O906" i="3"/>
  <c r="P903" i="3"/>
  <c r="P900" i="3"/>
  <c r="F898" i="3"/>
  <c r="A896" i="3"/>
  <c r="A893" i="3"/>
  <c r="J890" i="3"/>
  <c r="C888" i="3"/>
  <c r="F886" i="3"/>
  <c r="O883" i="3"/>
  <c r="K881" i="3"/>
  <c r="G879" i="3"/>
  <c r="C877" i="3"/>
  <c r="F875" i="3"/>
  <c r="O872" i="3"/>
  <c r="K870" i="3"/>
  <c r="H868" i="3"/>
  <c r="J866" i="3"/>
  <c r="F864" i="3"/>
  <c r="B862" i="3"/>
  <c r="O859" i="3"/>
  <c r="N857" i="3"/>
  <c r="C856" i="3"/>
  <c r="P853" i="3"/>
  <c r="N851" i="3"/>
  <c r="M849" i="3"/>
  <c r="B848" i="3"/>
  <c r="O845" i="3"/>
  <c r="M843" i="3"/>
  <c r="K841" i="3"/>
  <c r="K839" i="3"/>
  <c r="A838" i="3"/>
  <c r="A836" i="3"/>
  <c r="A834" i="3"/>
  <c r="B832" i="3"/>
  <c r="I830" i="3"/>
  <c r="I828" i="3"/>
  <c r="I826" i="3"/>
  <c r="I824" i="3"/>
  <c r="J822" i="3"/>
  <c r="P820" i="3"/>
  <c r="P818" i="3"/>
  <c r="P816" i="3"/>
  <c r="A815" i="3"/>
  <c r="H813" i="3"/>
  <c r="H811" i="3"/>
  <c r="H809" i="3"/>
  <c r="J807" i="3"/>
  <c r="M805" i="3"/>
  <c r="E804" i="3"/>
  <c r="G802" i="3"/>
  <c r="I800" i="3"/>
  <c r="L798" i="3"/>
  <c r="D797" i="3"/>
  <c r="G795" i="3"/>
  <c r="B794" i="3"/>
  <c r="H792" i="3"/>
  <c r="E791" i="3"/>
  <c r="B790" i="3"/>
  <c r="L788" i="3"/>
  <c r="I787" i="3"/>
  <c r="F786" i="3"/>
  <c r="C785" i="3"/>
  <c r="M783" i="3"/>
  <c r="J782" i="3"/>
  <c r="G781" i="3"/>
  <c r="D780" i="3"/>
  <c r="A779" i="3"/>
  <c r="P777" i="3"/>
  <c r="P776" i="3"/>
  <c r="P775" i="3"/>
  <c r="P774" i="3"/>
  <c r="P773" i="3"/>
  <c r="P772" i="3"/>
  <c r="P771" i="3"/>
  <c r="P770" i="3"/>
  <c r="P769" i="3"/>
  <c r="P768" i="3"/>
  <c r="P767" i="3"/>
  <c r="P766" i="3"/>
  <c r="P765" i="3"/>
  <c r="P764" i="3"/>
  <c r="P763" i="3"/>
  <c r="P762" i="3"/>
  <c r="P761" i="3"/>
  <c r="P760" i="3"/>
  <c r="P759" i="3"/>
  <c r="P758" i="3"/>
  <c r="P757" i="3"/>
  <c r="P756" i="3"/>
  <c r="P755" i="3"/>
  <c r="P754" i="3"/>
  <c r="J1203" i="3"/>
  <c r="F1167" i="3"/>
  <c r="G1140" i="3"/>
  <c r="M1118" i="3"/>
  <c r="D1101" i="3"/>
  <c r="E1085" i="3"/>
  <c r="H1072" i="3"/>
  <c r="O1061" i="3"/>
  <c r="L1049" i="3"/>
  <c r="D1039" i="3"/>
  <c r="H1030" i="3"/>
  <c r="H1023" i="3"/>
  <c r="A1018" i="3"/>
  <c r="C1011" i="3"/>
  <c r="H1004" i="3"/>
  <c r="M997" i="3"/>
  <c r="K992" i="3"/>
  <c r="N986" i="3"/>
  <c r="H981" i="3"/>
  <c r="E976" i="3"/>
  <c r="I971" i="3"/>
  <c r="N967" i="3"/>
  <c r="E963" i="3"/>
  <c r="F959" i="3"/>
  <c r="H955" i="3"/>
  <c r="I952" i="3"/>
  <c r="K948" i="3"/>
  <c r="B945" i="3"/>
  <c r="J941" i="3"/>
  <c r="F938" i="3"/>
  <c r="I935" i="3"/>
  <c r="P931" i="3"/>
  <c r="M928" i="3"/>
  <c r="H925" i="3"/>
  <c r="L922" i="3"/>
  <c r="J919" i="3"/>
  <c r="B916" i="3"/>
  <c r="O912" i="3"/>
  <c r="I909" i="3"/>
  <c r="M906" i="3"/>
  <c r="O903" i="3"/>
  <c r="O900" i="3"/>
  <c r="E898" i="3"/>
  <c r="P895" i="3"/>
  <c r="P892" i="3"/>
  <c r="I890" i="3"/>
  <c r="O887" i="3"/>
  <c r="L885" i="3"/>
  <c r="N883" i="3"/>
  <c r="J881" i="3"/>
  <c r="F879" i="3"/>
  <c r="P876" i="3"/>
  <c r="E875" i="3"/>
  <c r="N872" i="3"/>
  <c r="J870" i="3"/>
  <c r="F868" i="3"/>
  <c r="P865" i="3"/>
  <c r="E864" i="3"/>
  <c r="P861" i="3"/>
  <c r="N859" i="3"/>
  <c r="M857" i="3"/>
  <c r="B856" i="3"/>
  <c r="O853" i="3"/>
  <c r="M851" i="3"/>
  <c r="K849" i="3"/>
  <c r="J847" i="3"/>
  <c r="N845" i="3"/>
  <c r="L843" i="3"/>
  <c r="J841" i="3"/>
  <c r="J839" i="3"/>
  <c r="P837" i="3"/>
  <c r="P835" i="3"/>
  <c r="P833" i="3"/>
  <c r="P831" i="3"/>
  <c r="A830" i="3"/>
  <c r="H828" i="3"/>
  <c r="H826" i="3"/>
  <c r="H824" i="3"/>
  <c r="I822" i="3"/>
  <c r="O820" i="3"/>
  <c r="O818" i="3"/>
  <c r="O816" i="3"/>
  <c r="O814" i="3"/>
  <c r="P812" i="3"/>
  <c r="G811" i="3"/>
  <c r="G809" i="3"/>
  <c r="I807" i="3"/>
  <c r="L805" i="3"/>
  <c r="D804" i="3"/>
  <c r="F802" i="3"/>
  <c r="H800" i="3"/>
  <c r="J798" i="3"/>
  <c r="M796" i="3"/>
  <c r="F795" i="3"/>
  <c r="M793" i="3"/>
  <c r="G792" i="3"/>
  <c r="D791" i="3"/>
  <c r="N789" i="3"/>
  <c r="K788" i="3"/>
  <c r="H787" i="3"/>
  <c r="E786" i="3"/>
  <c r="B785" i="3"/>
  <c r="L783" i="3"/>
  <c r="I782" i="3"/>
  <c r="F1203" i="3"/>
  <c r="D1167" i="3"/>
  <c r="C1139" i="3"/>
  <c r="G1118" i="3"/>
  <c r="J1099" i="3"/>
  <c r="D1085" i="3"/>
  <c r="E1071" i="3"/>
  <c r="K1058" i="3"/>
  <c r="G1049" i="3"/>
  <c r="A1039" i="3"/>
  <c r="G1030" i="3"/>
  <c r="F1023" i="3"/>
  <c r="B1017" i="3"/>
  <c r="B1011" i="3"/>
  <c r="F1004" i="3"/>
  <c r="F997" i="3"/>
  <c r="M991" i="3"/>
  <c r="D986" i="3"/>
  <c r="A981" i="3"/>
  <c r="D976" i="3"/>
  <c r="H971" i="3"/>
  <c r="L967" i="3"/>
  <c r="A963" i="3"/>
  <c r="D959" i="3"/>
  <c r="C955" i="3"/>
  <c r="K951" i="3"/>
  <c r="I948" i="3"/>
  <c r="O944" i="3"/>
  <c r="I941" i="3"/>
  <c r="P937" i="3"/>
  <c r="E935" i="3"/>
  <c r="O931" i="3"/>
  <c r="J928" i="3"/>
  <c r="E925" i="3"/>
  <c r="D922" i="3"/>
  <c r="I919" i="3"/>
  <c r="P915" i="3"/>
  <c r="M912" i="3"/>
  <c r="H909" i="3"/>
  <c r="L906" i="3"/>
  <c r="M903" i="3"/>
  <c r="M900" i="3"/>
  <c r="B898" i="3"/>
  <c r="D895" i="3"/>
  <c r="O892" i="3"/>
  <c r="H890" i="3"/>
  <c r="N887" i="3"/>
  <c r="K885" i="3"/>
  <c r="M883" i="3"/>
  <c r="I881" i="3"/>
  <c r="E879" i="3"/>
  <c r="N876" i="3"/>
  <c r="K874" i="3"/>
  <c r="M872" i="3"/>
  <c r="I870" i="3"/>
  <c r="E868" i="3"/>
  <c r="O865" i="3"/>
  <c r="C864" i="3"/>
  <c r="O861" i="3"/>
  <c r="M859" i="3"/>
  <c r="K857" i="3"/>
  <c r="J855" i="3"/>
  <c r="N853" i="3"/>
  <c r="L851" i="3"/>
  <c r="J849" i="3"/>
  <c r="I847" i="3"/>
  <c r="M845" i="3"/>
  <c r="K843" i="3"/>
  <c r="I841" i="3"/>
  <c r="H839" i="3"/>
  <c r="I837" i="3"/>
  <c r="O835" i="3"/>
  <c r="O833" i="3"/>
  <c r="O831" i="3"/>
  <c r="P829" i="3"/>
  <c r="G828" i="3"/>
  <c r="G826" i="3"/>
  <c r="G824" i="3"/>
  <c r="G822" i="3"/>
  <c r="H820" i="3"/>
  <c r="N818" i="3"/>
  <c r="N816" i="3"/>
  <c r="P1199" i="3"/>
  <c r="B1166" i="3"/>
  <c r="H1136" i="3"/>
  <c r="N1115" i="3"/>
  <c r="B1099" i="3"/>
  <c r="I1083" i="3"/>
  <c r="O1070" i="3"/>
  <c r="J1058" i="3"/>
  <c r="A1049" i="3"/>
  <c r="N1038" i="3"/>
  <c r="A1030" i="3"/>
  <c r="K1022" i="3"/>
  <c r="D1016" i="3"/>
  <c r="P1010" i="3"/>
  <c r="E1004" i="3"/>
  <c r="D997" i="3"/>
  <c r="B991" i="3"/>
  <c r="C986" i="3"/>
  <c r="N980" i="3"/>
  <c r="B976" i="3"/>
  <c r="E971" i="3"/>
  <c r="H966" i="3"/>
  <c r="P962" i="3"/>
  <c r="B959" i="3"/>
  <c r="B955" i="3"/>
  <c r="J951" i="3"/>
  <c r="H948" i="3"/>
  <c r="M944" i="3"/>
  <c r="G941" i="3"/>
  <c r="K937" i="3"/>
  <c r="I934" i="3"/>
  <c r="M931" i="3"/>
  <c r="G928" i="3"/>
  <c r="D925" i="3"/>
  <c r="O921" i="3"/>
  <c r="E919" i="3"/>
  <c r="O915" i="3"/>
  <c r="J912" i="3"/>
  <c r="E909" i="3"/>
  <c r="D906" i="3"/>
  <c r="L903" i="3"/>
  <c r="L900" i="3"/>
  <c r="A898" i="3"/>
  <c r="B895" i="3"/>
  <c r="M892" i="3"/>
  <c r="G890" i="3"/>
  <c r="M887" i="3"/>
  <c r="I885" i="3"/>
  <c r="F883" i="3"/>
  <c r="H881" i="3"/>
  <c r="C879" i="3"/>
  <c r="M876" i="3"/>
  <c r="J874" i="3"/>
  <c r="L872" i="3"/>
  <c r="H870" i="3"/>
  <c r="C868" i="3"/>
  <c r="M865" i="3"/>
  <c r="J863" i="3"/>
  <c r="N861" i="3"/>
  <c r="L859" i="3"/>
  <c r="J857" i="3"/>
  <c r="I855" i="3"/>
  <c r="M853" i="3"/>
  <c r="K851" i="3"/>
  <c r="I849" i="3"/>
  <c r="G847" i="3"/>
  <c r="F845" i="3"/>
  <c r="J843" i="3"/>
  <c r="H841" i="3"/>
  <c r="G839" i="3"/>
  <c r="H837" i="3"/>
  <c r="N835" i="3"/>
  <c r="N833" i="3"/>
  <c r="N831" i="3"/>
  <c r="N829" i="3"/>
  <c r="O827" i="3"/>
  <c r="F826" i="3"/>
  <c r="F824" i="3"/>
  <c r="F822" i="3"/>
  <c r="G820" i="3"/>
  <c r="M818" i="3"/>
  <c r="M816" i="3"/>
  <c r="M814" i="3"/>
  <c r="M812" i="3"/>
  <c r="N810" i="3"/>
  <c r="E809" i="3"/>
  <c r="G807" i="3"/>
  <c r="I805" i="3"/>
  <c r="L803" i="3"/>
  <c r="D802" i="3"/>
  <c r="F800" i="3"/>
  <c r="M1195" i="3"/>
  <c r="G1162" i="3"/>
  <c r="F1135" i="3"/>
  <c r="A1114" i="3"/>
  <c r="A1099" i="3"/>
  <c r="G1083" i="3"/>
  <c r="M1070" i="3"/>
  <c r="F1058" i="3"/>
  <c r="A1046" i="3"/>
  <c r="N1037" i="3"/>
  <c r="O1029" i="3"/>
  <c r="N1021" i="3"/>
  <c r="B1016" i="3"/>
  <c r="H1010" i="3"/>
  <c r="D1004" i="3"/>
  <c r="C997" i="3"/>
  <c r="K990" i="3"/>
  <c r="B985" i="3"/>
  <c r="M980" i="3"/>
  <c r="K975" i="3"/>
  <c r="D971" i="3"/>
  <c r="D966" i="3"/>
  <c r="M962" i="3"/>
  <c r="A959" i="3"/>
  <c r="A955" i="3"/>
  <c r="F951" i="3"/>
  <c r="H947" i="3"/>
  <c r="L944" i="3"/>
  <c r="E941" i="3"/>
  <c r="J937" i="3"/>
  <c r="H934" i="3"/>
  <c r="L931" i="3"/>
  <c r="E928" i="3"/>
  <c r="B925" i="3"/>
  <c r="J921" i="3"/>
  <c r="I918" i="3"/>
  <c r="M915" i="3"/>
  <c r="G912" i="3"/>
  <c r="D909" i="3"/>
  <c r="P905" i="3"/>
  <c r="I903" i="3"/>
  <c r="K900" i="3"/>
  <c r="M897" i="3"/>
  <c r="P894" i="3"/>
  <c r="F892" i="3"/>
  <c r="F890" i="3"/>
  <c r="L887" i="3"/>
  <c r="H885" i="3"/>
  <c r="E883" i="3"/>
  <c r="G881" i="3"/>
  <c r="P878" i="3"/>
  <c r="L876" i="3"/>
  <c r="H874" i="3"/>
  <c r="P1179" i="3"/>
  <c r="B1132" i="3"/>
  <c r="O1094" i="3"/>
  <c r="L1076" i="3"/>
  <c r="E1053" i="3"/>
  <c r="A1035" i="3"/>
  <c r="J1021" i="3"/>
  <c r="A1009" i="3"/>
  <c r="A1000" i="3"/>
  <c r="K989" i="3"/>
  <c r="P978" i="3"/>
  <c r="G970" i="3"/>
  <c r="A964" i="3"/>
  <c r="B957" i="3"/>
  <c r="I950" i="3"/>
  <c r="L943" i="3"/>
  <c r="I937" i="3"/>
  <c r="M932" i="3"/>
  <c r="M926" i="3"/>
  <c r="E921" i="3"/>
  <c r="M914" i="3"/>
  <c r="K910" i="3"/>
  <c r="D905" i="3"/>
  <c r="I899" i="3"/>
  <c r="L894" i="3"/>
  <c r="C890" i="3"/>
  <c r="J886" i="3"/>
  <c r="K882" i="3"/>
  <c r="F878" i="3"/>
  <c r="F874" i="3"/>
  <c r="I871" i="3"/>
  <c r="F867" i="3"/>
  <c r="I863" i="3"/>
  <c r="N860" i="3"/>
  <c r="G857" i="3"/>
  <c r="G854" i="3"/>
  <c r="M850" i="3"/>
  <c r="F847" i="3"/>
  <c r="L844" i="3"/>
  <c r="E841" i="3"/>
  <c r="F838" i="3"/>
  <c r="A835" i="3"/>
  <c r="M831" i="3"/>
  <c r="P828" i="3"/>
  <c r="L825" i="3"/>
  <c r="E823" i="3"/>
  <c r="P819" i="3"/>
  <c r="L816" i="3"/>
  <c r="P813" i="3"/>
  <c r="F811" i="3"/>
  <c r="I808" i="3"/>
  <c r="F806" i="3"/>
  <c r="G803" i="3"/>
  <c r="D801" i="3"/>
  <c r="F798" i="3"/>
  <c r="D796" i="3"/>
  <c r="E794" i="3"/>
  <c r="C792" i="3"/>
  <c r="I790" i="3"/>
  <c r="B789" i="3"/>
  <c r="D787" i="3"/>
  <c r="J785" i="3"/>
  <c r="C784" i="3"/>
  <c r="E782" i="3"/>
  <c r="L780" i="3"/>
  <c r="F779" i="3"/>
  <c r="O777" i="3"/>
  <c r="L776" i="3"/>
  <c r="I775" i="3"/>
  <c r="F774" i="3"/>
  <c r="C773" i="3"/>
  <c r="M771" i="3"/>
  <c r="J770" i="3"/>
  <c r="G769" i="3"/>
  <c r="D768" i="3"/>
  <c r="N766" i="3"/>
  <c r="K765" i="3"/>
  <c r="H764" i="3"/>
  <c r="E763" i="3"/>
  <c r="O761" i="3"/>
  <c r="L760" i="3"/>
  <c r="I759" i="3"/>
  <c r="F758" i="3"/>
  <c r="C757" i="3"/>
  <c r="M755" i="3"/>
  <c r="J754" i="3"/>
  <c r="H753" i="3"/>
  <c r="F752" i="3"/>
  <c r="D751" i="3"/>
  <c r="P749" i="3"/>
  <c r="N748" i="3"/>
  <c r="L747" i="3"/>
  <c r="J746" i="3"/>
  <c r="H745" i="3"/>
  <c r="F744" i="3"/>
  <c r="D743" i="3"/>
  <c r="P741" i="3"/>
  <c r="N740" i="3"/>
  <c r="L739" i="3"/>
  <c r="J738" i="3"/>
  <c r="H737" i="3"/>
  <c r="F736" i="3"/>
  <c r="D735" i="3"/>
  <c r="P733" i="3"/>
  <c r="N732" i="3"/>
  <c r="L731" i="3"/>
  <c r="J730" i="3"/>
  <c r="H729" i="3"/>
  <c r="F728" i="3"/>
  <c r="D727" i="3"/>
  <c r="P725" i="3"/>
  <c r="N724" i="3"/>
  <c r="L723" i="3"/>
  <c r="J722" i="3"/>
  <c r="H721" i="3"/>
  <c r="F720" i="3"/>
  <c r="D719" i="3"/>
  <c r="P717" i="3"/>
  <c r="N716" i="3"/>
  <c r="L715" i="3"/>
  <c r="J714" i="3"/>
  <c r="H713" i="3"/>
  <c r="F712" i="3"/>
  <c r="D711" i="3"/>
  <c r="P709" i="3"/>
  <c r="N708" i="3"/>
  <c r="L707" i="3"/>
  <c r="J706" i="3"/>
  <c r="H705" i="3"/>
  <c r="F704" i="3"/>
  <c r="D703" i="3"/>
  <c r="P701" i="3"/>
  <c r="N700" i="3"/>
  <c r="L699" i="3"/>
  <c r="J698" i="3"/>
  <c r="H697" i="3"/>
  <c r="F696" i="3"/>
  <c r="D695" i="3"/>
  <c r="P693" i="3"/>
  <c r="N692" i="3"/>
  <c r="L691" i="3"/>
  <c r="J690" i="3"/>
  <c r="H689" i="3"/>
  <c r="F688" i="3"/>
  <c r="D687" i="3"/>
  <c r="P685" i="3"/>
  <c r="N684" i="3"/>
  <c r="L683" i="3"/>
  <c r="J682" i="3"/>
  <c r="H681" i="3"/>
  <c r="F680" i="3"/>
  <c r="D679" i="3"/>
  <c r="P677" i="3"/>
  <c r="N676" i="3"/>
  <c r="L675" i="3"/>
  <c r="J674" i="3"/>
  <c r="H673" i="3"/>
  <c r="F672" i="3"/>
  <c r="D671" i="3"/>
  <c r="P669" i="3"/>
  <c r="N668" i="3"/>
  <c r="L667" i="3"/>
  <c r="J666" i="3"/>
  <c r="H665" i="3"/>
  <c r="F664" i="3"/>
  <c r="D663" i="3"/>
  <c r="P661" i="3"/>
  <c r="N660" i="3"/>
  <c r="L659" i="3"/>
  <c r="J658" i="3"/>
  <c r="H657" i="3"/>
  <c r="F656" i="3"/>
  <c r="D655" i="3"/>
  <c r="P653" i="3"/>
  <c r="N652" i="3"/>
  <c r="L651" i="3"/>
  <c r="J650" i="3"/>
  <c r="H649" i="3"/>
  <c r="F648" i="3"/>
  <c r="D647" i="3"/>
  <c r="P645" i="3"/>
  <c r="N644" i="3"/>
  <c r="L643" i="3"/>
  <c r="J642" i="3"/>
  <c r="H641" i="3"/>
  <c r="F640" i="3"/>
  <c r="D639" i="3"/>
  <c r="P637" i="3"/>
  <c r="N636" i="3"/>
  <c r="L635" i="3"/>
  <c r="J634" i="3"/>
  <c r="H633" i="3"/>
  <c r="F632" i="3"/>
  <c r="D631" i="3"/>
  <c r="P629" i="3"/>
  <c r="N628" i="3"/>
  <c r="L627" i="3"/>
  <c r="O1179" i="3"/>
  <c r="N1131" i="3"/>
  <c r="J1094" i="3"/>
  <c r="G1070" i="3"/>
  <c r="D1053" i="3"/>
  <c r="P1034" i="3"/>
  <c r="I1021" i="3"/>
  <c r="P1008" i="3"/>
  <c r="P999" i="3"/>
  <c r="B988" i="3"/>
  <c r="N978" i="3"/>
  <c r="E970" i="3"/>
  <c r="D962" i="3"/>
  <c r="K956" i="3"/>
  <c r="H950" i="3"/>
  <c r="F943" i="3"/>
  <c r="H937" i="3"/>
  <c r="J932" i="3"/>
  <c r="L926" i="3"/>
  <c r="D921" i="3"/>
  <c r="L914" i="3"/>
  <c r="B909" i="3"/>
  <c r="G904" i="3"/>
  <c r="H899" i="3"/>
  <c r="K894" i="3"/>
  <c r="J889" i="3"/>
  <c r="I886" i="3"/>
  <c r="J882" i="3"/>
  <c r="C878" i="3"/>
  <c r="E874" i="3"/>
  <c r="O870" i="3"/>
  <c r="E867" i="3"/>
  <c r="G863" i="3"/>
  <c r="M860" i="3"/>
  <c r="F857" i="3"/>
  <c r="E854" i="3"/>
  <c r="L850" i="3"/>
  <c r="E847" i="3"/>
  <c r="K844" i="3"/>
  <c r="L840" i="3"/>
  <c r="E838" i="3"/>
  <c r="P834" i="3"/>
  <c r="L831" i="3"/>
  <c r="O828" i="3"/>
  <c r="J825" i="3"/>
  <c r="C823" i="3"/>
  <c r="O819" i="3"/>
  <c r="K816" i="3"/>
  <c r="N813" i="3"/>
  <c r="M810" i="3"/>
  <c r="H808" i="3"/>
  <c r="J805" i="3"/>
  <c r="F803" i="3"/>
  <c r="M800" i="3"/>
  <c r="E798" i="3"/>
  <c r="B796" i="3"/>
  <c r="L793" i="3"/>
  <c r="B792" i="3"/>
  <c r="H790" i="3"/>
  <c r="J788" i="3"/>
  <c r="C787" i="3"/>
  <c r="I785" i="3"/>
  <c r="K783" i="3"/>
  <c r="D782" i="3"/>
  <c r="K780" i="3"/>
  <c r="E779" i="3"/>
  <c r="N777" i="3"/>
  <c r="K776" i="3"/>
  <c r="H775" i="3"/>
  <c r="E774" i="3"/>
  <c r="O772" i="3"/>
  <c r="L771" i="3"/>
  <c r="I770" i="3"/>
  <c r="F769" i="3"/>
  <c r="C768" i="3"/>
  <c r="M766" i="3"/>
  <c r="J765" i="3"/>
  <c r="G764" i="3"/>
  <c r="D763" i="3"/>
  <c r="N761" i="3"/>
  <c r="K760" i="3"/>
  <c r="H759" i="3"/>
  <c r="E758" i="3"/>
  <c r="O756" i="3"/>
  <c r="L755" i="3"/>
  <c r="I754" i="3"/>
  <c r="G753" i="3"/>
  <c r="E752" i="3"/>
  <c r="C751" i="3"/>
  <c r="O749" i="3"/>
  <c r="M748" i="3"/>
  <c r="K747" i="3"/>
  <c r="I746" i="3"/>
  <c r="G745" i="3"/>
  <c r="E744" i="3"/>
  <c r="C743" i="3"/>
  <c r="O741" i="3"/>
  <c r="M740" i="3"/>
  <c r="K739" i="3"/>
  <c r="I738" i="3"/>
  <c r="G737" i="3"/>
  <c r="E736" i="3"/>
  <c r="C735" i="3"/>
  <c r="O733" i="3"/>
  <c r="M732" i="3"/>
  <c r="K731" i="3"/>
  <c r="I730" i="3"/>
  <c r="G729" i="3"/>
  <c r="E728" i="3"/>
  <c r="C727" i="3"/>
  <c r="O725" i="3"/>
  <c r="M724" i="3"/>
  <c r="K723" i="3"/>
  <c r="I722" i="3"/>
  <c r="G721" i="3"/>
  <c r="E720" i="3"/>
  <c r="C719" i="3"/>
  <c r="O717" i="3"/>
  <c r="M716" i="3"/>
  <c r="K715" i="3"/>
  <c r="I714" i="3"/>
  <c r="G713" i="3"/>
  <c r="E712" i="3"/>
  <c r="C711" i="3"/>
  <c r="O709" i="3"/>
  <c r="M708" i="3"/>
  <c r="K707" i="3"/>
  <c r="I706" i="3"/>
  <c r="G705" i="3"/>
  <c r="E704" i="3"/>
  <c r="C703" i="3"/>
  <c r="O701" i="3"/>
  <c r="M700" i="3"/>
  <c r="K699" i="3"/>
  <c r="I698" i="3"/>
  <c r="G697" i="3"/>
  <c r="E696" i="3"/>
  <c r="C695" i="3"/>
  <c r="O693" i="3"/>
  <c r="M692" i="3"/>
  <c r="K691" i="3"/>
  <c r="I690" i="3"/>
  <c r="G689" i="3"/>
  <c r="E688" i="3"/>
  <c r="C687" i="3"/>
  <c r="O685" i="3"/>
  <c r="M684" i="3"/>
  <c r="K683" i="3"/>
  <c r="I682" i="3"/>
  <c r="G681" i="3"/>
  <c r="E680" i="3"/>
  <c r="C679" i="3"/>
  <c r="O677" i="3"/>
  <c r="M676" i="3"/>
  <c r="K675" i="3"/>
  <c r="I674" i="3"/>
  <c r="G673" i="3"/>
  <c r="E672" i="3"/>
  <c r="C671" i="3"/>
  <c r="O669" i="3"/>
  <c r="M668" i="3"/>
  <c r="K667" i="3"/>
  <c r="I666" i="3"/>
  <c r="G665" i="3"/>
  <c r="E664" i="3"/>
  <c r="C663" i="3"/>
  <c r="O661" i="3"/>
  <c r="M660" i="3"/>
  <c r="K659" i="3"/>
  <c r="I658" i="3"/>
  <c r="G657" i="3"/>
  <c r="E656" i="3"/>
  <c r="C655" i="3"/>
  <c r="O653" i="3"/>
  <c r="M652" i="3"/>
  <c r="K651" i="3"/>
  <c r="I650" i="3"/>
  <c r="G649" i="3"/>
  <c r="E648" i="3"/>
  <c r="C647" i="3"/>
  <c r="O645" i="3"/>
  <c r="M644" i="3"/>
  <c r="K643" i="3"/>
  <c r="I642" i="3"/>
  <c r="G641" i="3"/>
  <c r="E640" i="3"/>
  <c r="C639" i="3"/>
  <c r="O637" i="3"/>
  <c r="M636" i="3"/>
  <c r="K635" i="3"/>
  <c r="I634" i="3"/>
  <c r="G633" i="3"/>
  <c r="E632" i="3"/>
  <c r="C631" i="3"/>
  <c r="O629" i="3"/>
  <c r="M628" i="3"/>
  <c r="K627" i="3"/>
  <c r="I626" i="3"/>
  <c r="G625" i="3"/>
  <c r="E624" i="3"/>
  <c r="C623" i="3"/>
  <c r="O621" i="3"/>
  <c r="M620" i="3"/>
  <c r="K619" i="3"/>
  <c r="I618" i="3"/>
  <c r="N1179" i="3"/>
  <c r="B1126" i="3"/>
  <c r="D1093" i="3"/>
  <c r="J1069" i="3"/>
  <c r="G1051" i="3"/>
  <c r="P1033" i="3"/>
  <c r="G1021" i="3"/>
  <c r="M1008" i="3"/>
  <c r="M996" i="3"/>
  <c r="A988" i="3"/>
  <c r="J978" i="3"/>
  <c r="D970" i="3"/>
  <c r="M961" i="3"/>
  <c r="J956" i="3"/>
  <c r="K949" i="3"/>
  <c r="C943" i="3"/>
  <c r="F937" i="3"/>
  <c r="M930" i="3"/>
  <c r="K926" i="3"/>
  <c r="B921" i="3"/>
  <c r="J914" i="3"/>
  <c r="P908" i="3"/>
  <c r="E904" i="3"/>
  <c r="G899" i="3"/>
  <c r="J894" i="3"/>
  <c r="I889" i="3"/>
  <c r="G885" i="3"/>
  <c r="P881" i="3"/>
  <c r="P877" i="3"/>
  <c r="C874" i="3"/>
  <c r="G870" i="3"/>
  <c r="P866" i="3"/>
  <c r="F863" i="3"/>
  <c r="L860" i="3"/>
  <c r="E857" i="3"/>
  <c r="F853" i="3"/>
  <c r="K850" i="3"/>
  <c r="C847" i="3"/>
  <c r="C844" i="3"/>
  <c r="K840" i="3"/>
  <c r="F837" i="3"/>
  <c r="O834" i="3"/>
  <c r="K831" i="3"/>
  <c r="M828" i="3"/>
  <c r="I825" i="3"/>
  <c r="E822" i="3"/>
  <c r="N819" i="3"/>
  <c r="C816" i="3"/>
  <c r="M813" i="3"/>
  <c r="K810" i="3"/>
  <c r="G808" i="3"/>
  <c r="H805" i="3"/>
  <c r="E803" i="3"/>
  <c r="G800" i="3"/>
  <c r="D798" i="3"/>
  <c r="M795" i="3"/>
  <c r="J793" i="3"/>
  <c r="N791" i="3"/>
  <c r="G790" i="3"/>
  <c r="I788" i="3"/>
  <c r="B787" i="3"/>
  <c r="H785" i="3"/>
  <c r="J783" i="3"/>
  <c r="C782" i="3"/>
  <c r="J780" i="3"/>
  <c r="D779" i="3"/>
  <c r="M777" i="3"/>
  <c r="J776" i="3"/>
  <c r="G775" i="3"/>
  <c r="D774" i="3"/>
  <c r="N772" i="3"/>
  <c r="K771" i="3"/>
  <c r="H770" i="3"/>
  <c r="E769" i="3"/>
  <c r="O767" i="3"/>
  <c r="L766" i="3"/>
  <c r="I765" i="3"/>
  <c r="F764" i="3"/>
  <c r="C763" i="3"/>
  <c r="M761" i="3"/>
  <c r="J760" i="3"/>
  <c r="G759" i="3"/>
  <c r="D758" i="3"/>
  <c r="N756" i="3"/>
  <c r="K755" i="3"/>
  <c r="H754" i="3"/>
  <c r="F753" i="3"/>
  <c r="D752" i="3"/>
  <c r="P750" i="3"/>
  <c r="N749" i="3"/>
  <c r="L748" i="3"/>
  <c r="J747" i="3"/>
  <c r="H746" i="3"/>
  <c r="F745" i="3"/>
  <c r="D744" i="3"/>
  <c r="P742" i="3"/>
  <c r="N741" i="3"/>
  <c r="L740" i="3"/>
  <c r="J739" i="3"/>
  <c r="H738" i="3"/>
  <c r="F737" i="3"/>
  <c r="D736" i="3"/>
  <c r="P734" i="3"/>
  <c r="N733" i="3"/>
  <c r="L732" i="3"/>
  <c r="J731" i="3"/>
  <c r="H730" i="3"/>
  <c r="F729" i="3"/>
  <c r="D728" i="3"/>
  <c r="P726" i="3"/>
  <c r="N725" i="3"/>
  <c r="L724" i="3"/>
  <c r="J723" i="3"/>
  <c r="H722" i="3"/>
  <c r="F721" i="3"/>
  <c r="D720" i="3"/>
  <c r="P718" i="3"/>
  <c r="N717" i="3"/>
  <c r="L716" i="3"/>
  <c r="J715" i="3"/>
  <c r="H714" i="3"/>
  <c r="F713" i="3"/>
  <c r="D712" i="3"/>
  <c r="P710" i="3"/>
  <c r="N709" i="3"/>
  <c r="L708" i="3"/>
  <c r="J707" i="3"/>
  <c r="H706" i="3"/>
  <c r="F705" i="3"/>
  <c r="D704" i="3"/>
  <c r="P702" i="3"/>
  <c r="N701" i="3"/>
  <c r="L700" i="3"/>
  <c r="J699" i="3"/>
  <c r="H698" i="3"/>
  <c r="F697" i="3"/>
  <c r="D696" i="3"/>
  <c r="P694" i="3"/>
  <c r="N693" i="3"/>
  <c r="L692" i="3"/>
  <c r="J691" i="3"/>
  <c r="H690" i="3"/>
  <c r="F689" i="3"/>
  <c r="D688" i="3"/>
  <c r="P686" i="3"/>
  <c r="N685" i="3"/>
  <c r="L684" i="3"/>
  <c r="J683" i="3"/>
  <c r="H682" i="3"/>
  <c r="F681" i="3"/>
  <c r="D680" i="3"/>
  <c r="P678" i="3"/>
  <c r="N677" i="3"/>
  <c r="L676" i="3"/>
  <c r="J675" i="3"/>
  <c r="H674" i="3"/>
  <c r="F673" i="3"/>
  <c r="D672" i="3"/>
  <c r="P670" i="3"/>
  <c r="N669" i="3"/>
  <c r="L668" i="3"/>
  <c r="J667" i="3"/>
  <c r="H666" i="3"/>
  <c r="F665" i="3"/>
  <c r="D664" i="3"/>
  <c r="P662" i="3"/>
  <c r="N661" i="3"/>
  <c r="L660" i="3"/>
  <c r="J659" i="3"/>
  <c r="H658" i="3"/>
  <c r="F657" i="3"/>
  <c r="D656" i="3"/>
  <c r="P654" i="3"/>
  <c r="N653" i="3"/>
  <c r="L652" i="3"/>
  <c r="J651" i="3"/>
  <c r="H650" i="3"/>
  <c r="F649" i="3"/>
  <c r="D648" i="3"/>
  <c r="P646" i="3"/>
  <c r="N645" i="3"/>
  <c r="L644" i="3"/>
  <c r="J643" i="3"/>
  <c r="H642" i="3"/>
  <c r="F641" i="3"/>
  <c r="D640" i="3"/>
  <c r="P638" i="3"/>
  <c r="N637" i="3"/>
  <c r="L636" i="3"/>
  <c r="J635" i="3"/>
  <c r="H634" i="3"/>
  <c r="M1179" i="3"/>
  <c r="N1125" i="3"/>
  <c r="P1092" i="3"/>
  <c r="G1069" i="3"/>
  <c r="O1045" i="3"/>
  <c r="I1033" i="3"/>
  <c r="H1019" i="3"/>
  <c r="P1007" i="3"/>
  <c r="L996" i="3"/>
  <c r="J987" i="3"/>
  <c r="D978" i="3"/>
  <c r="B970" i="3"/>
  <c r="G961" i="3"/>
  <c r="P954" i="3"/>
  <c r="H949" i="3"/>
  <c r="B943" i="3"/>
  <c r="E937" i="3"/>
  <c r="L930" i="3"/>
  <c r="J926" i="3"/>
  <c r="D920" i="3"/>
  <c r="I914" i="3"/>
  <c r="O908" i="3"/>
  <c r="O902" i="3"/>
  <c r="F899" i="3"/>
  <c r="G894" i="3"/>
  <c r="G889" i="3"/>
  <c r="F885" i="3"/>
  <c r="O881" i="3"/>
  <c r="O877" i="3"/>
  <c r="P873" i="3"/>
  <c r="F870" i="3"/>
  <c r="O866" i="3"/>
  <c r="E863" i="3"/>
  <c r="K860" i="3"/>
  <c r="L856" i="3"/>
  <c r="E853" i="3"/>
  <c r="J850" i="3"/>
  <c r="B847" i="3"/>
  <c r="B844" i="3"/>
  <c r="I840" i="3"/>
  <c r="E837" i="3"/>
  <c r="N834" i="3"/>
  <c r="J831" i="3"/>
  <c r="L828" i="3"/>
  <c r="H825" i="3"/>
  <c r="C822" i="3"/>
  <c r="G819" i="3"/>
  <c r="B816" i="3"/>
  <c r="L813" i="3"/>
  <c r="J810" i="3"/>
  <c r="F808" i="3"/>
  <c r="G805" i="3"/>
  <c r="D803" i="3"/>
  <c r="E800" i="3"/>
  <c r="M797" i="3"/>
  <c r="L795" i="3"/>
  <c r="I793" i="3"/>
  <c r="M791" i="3"/>
  <c r="F790" i="3"/>
  <c r="H788" i="3"/>
  <c r="N786" i="3"/>
  <c r="G785" i="3"/>
  <c r="I783" i="3"/>
  <c r="B782" i="3"/>
  <c r="I780" i="3"/>
  <c r="O778" i="3"/>
  <c r="L777" i="3"/>
  <c r="I776" i="3"/>
  <c r="F775" i="3"/>
  <c r="C774" i="3"/>
  <c r="M772" i="3"/>
  <c r="J771" i="3"/>
  <c r="G770" i="3"/>
  <c r="D769" i="3"/>
  <c r="N767" i="3"/>
  <c r="K766" i="3"/>
  <c r="H765" i="3"/>
  <c r="E764" i="3"/>
  <c r="O762" i="3"/>
  <c r="L761" i="3"/>
  <c r="I760" i="3"/>
  <c r="F759" i="3"/>
  <c r="C758" i="3"/>
  <c r="M756" i="3"/>
  <c r="J755" i="3"/>
  <c r="G754" i="3"/>
  <c r="E753" i="3"/>
  <c r="C752" i="3"/>
  <c r="O750" i="3"/>
  <c r="M749" i="3"/>
  <c r="K748" i="3"/>
  <c r="I747" i="3"/>
  <c r="G746" i="3"/>
  <c r="E745" i="3"/>
  <c r="C744" i="3"/>
  <c r="O742" i="3"/>
  <c r="M741" i="3"/>
  <c r="K740" i="3"/>
  <c r="I739" i="3"/>
  <c r="G738" i="3"/>
  <c r="E737" i="3"/>
  <c r="C736" i="3"/>
  <c r="O734" i="3"/>
  <c r="M733" i="3"/>
  <c r="K732" i="3"/>
  <c r="I731" i="3"/>
  <c r="G730" i="3"/>
  <c r="E729" i="3"/>
  <c r="C728" i="3"/>
  <c r="O726" i="3"/>
  <c r="M725" i="3"/>
  <c r="K724" i="3"/>
  <c r="I723" i="3"/>
  <c r="G722" i="3"/>
  <c r="E721" i="3"/>
  <c r="C720" i="3"/>
  <c r="O718" i="3"/>
  <c r="M717" i="3"/>
  <c r="K716" i="3"/>
  <c r="I715" i="3"/>
  <c r="G714" i="3"/>
  <c r="E713" i="3"/>
  <c r="C712" i="3"/>
  <c r="O710" i="3"/>
  <c r="M709" i="3"/>
  <c r="K708" i="3"/>
  <c r="I707" i="3"/>
  <c r="G706" i="3"/>
  <c r="E705" i="3"/>
  <c r="C704" i="3"/>
  <c r="O702" i="3"/>
  <c r="M701" i="3"/>
  <c r="K700" i="3"/>
  <c r="I699" i="3"/>
  <c r="G698" i="3"/>
  <c r="E697" i="3"/>
  <c r="C696" i="3"/>
  <c r="O694" i="3"/>
  <c r="M693" i="3"/>
  <c r="K692" i="3"/>
  <c r="I691" i="3"/>
  <c r="G690" i="3"/>
  <c r="E689" i="3"/>
  <c r="C688" i="3"/>
  <c r="O686" i="3"/>
  <c r="M685" i="3"/>
  <c r="K684" i="3"/>
  <c r="I683" i="3"/>
  <c r="G682" i="3"/>
  <c r="E681" i="3"/>
  <c r="C680" i="3"/>
  <c r="O678" i="3"/>
  <c r="M677" i="3"/>
  <c r="K676" i="3"/>
  <c r="I675" i="3"/>
  <c r="G674" i="3"/>
  <c r="E673" i="3"/>
  <c r="C672" i="3"/>
  <c r="O670" i="3"/>
  <c r="M669" i="3"/>
  <c r="K668" i="3"/>
  <c r="I667" i="3"/>
  <c r="G666" i="3"/>
  <c r="E665" i="3"/>
  <c r="C664" i="3"/>
  <c r="O662" i="3"/>
  <c r="M661" i="3"/>
  <c r="K660" i="3"/>
  <c r="I659" i="3"/>
  <c r="G658" i="3"/>
  <c r="E657" i="3"/>
  <c r="C656" i="3"/>
  <c r="O654" i="3"/>
  <c r="M653" i="3"/>
  <c r="K652" i="3"/>
  <c r="I651" i="3"/>
  <c r="G650" i="3"/>
  <c r="E649" i="3"/>
  <c r="C648" i="3"/>
  <c r="O646" i="3"/>
  <c r="M645" i="3"/>
  <c r="K644" i="3"/>
  <c r="I643" i="3"/>
  <c r="G642" i="3"/>
  <c r="E641" i="3"/>
  <c r="C640" i="3"/>
  <c r="O638" i="3"/>
  <c r="M637" i="3"/>
  <c r="K636" i="3"/>
  <c r="I635" i="3"/>
  <c r="B1162" i="3"/>
  <c r="F1123" i="3"/>
  <c r="I1092" i="3"/>
  <c r="F1069" i="3"/>
  <c r="M1045" i="3"/>
  <c r="H1033" i="3"/>
  <c r="F1019" i="3"/>
  <c r="J1007" i="3"/>
  <c r="K996" i="3"/>
  <c r="P984" i="3"/>
  <c r="N977" i="3"/>
  <c r="F969" i="3"/>
  <c r="E961" i="3"/>
  <c r="M954" i="3"/>
  <c r="B949" i="3"/>
  <c r="A943" i="3"/>
  <c r="B937" i="3"/>
  <c r="J930" i="3"/>
  <c r="P924" i="3"/>
  <c r="B920" i="3"/>
  <c r="H914" i="3"/>
  <c r="M908" i="3"/>
  <c r="M902" i="3"/>
  <c r="E899" i="3"/>
  <c r="L893" i="3"/>
  <c r="F889" i="3"/>
  <c r="E885" i="3"/>
  <c r="M880" i="3"/>
  <c r="N877" i="3"/>
  <c r="O873" i="3"/>
  <c r="L869" i="3"/>
  <c r="N866" i="3"/>
  <c r="C863" i="3"/>
  <c r="K859" i="3"/>
  <c r="K856" i="3"/>
  <c r="B853" i="3"/>
  <c r="I850" i="3"/>
  <c r="P846" i="3"/>
  <c r="I843" i="3"/>
  <c r="H840" i="3"/>
  <c r="C837" i="3"/>
  <c r="M834" i="3"/>
  <c r="B831" i="3"/>
  <c r="N827" i="3"/>
  <c r="G825" i="3"/>
  <c r="B822" i="3"/>
  <c r="F819" i="3"/>
  <c r="P815" i="3"/>
  <c r="K813" i="3"/>
  <c r="I810" i="3"/>
  <c r="E808" i="3"/>
  <c r="F805" i="3"/>
  <c r="M802" i="3"/>
  <c r="D800" i="3"/>
  <c r="L797" i="3"/>
  <c r="J795" i="3"/>
  <c r="H793" i="3"/>
  <c r="L791" i="3"/>
  <c r="E790" i="3"/>
  <c r="G788" i="3"/>
  <c r="M786" i="3"/>
  <c r="F785" i="3"/>
  <c r="H783" i="3"/>
  <c r="N781" i="3"/>
  <c r="H780" i="3"/>
  <c r="N778" i="3"/>
  <c r="K777" i="3"/>
  <c r="H776" i="3"/>
  <c r="E775" i="3"/>
  <c r="O773" i="3"/>
  <c r="L772" i="3"/>
  <c r="I771" i="3"/>
  <c r="F770" i="3"/>
  <c r="C769" i="3"/>
  <c r="M767" i="3"/>
  <c r="J766" i="3"/>
  <c r="G765" i="3"/>
  <c r="D764" i="3"/>
  <c r="N762" i="3"/>
  <c r="K761" i="3"/>
  <c r="H760" i="3"/>
  <c r="E759" i="3"/>
  <c r="O757" i="3"/>
  <c r="L756" i="3"/>
  <c r="I755" i="3"/>
  <c r="F754" i="3"/>
  <c r="D753" i="3"/>
  <c r="P751" i="3"/>
  <c r="N750" i="3"/>
  <c r="L749" i="3"/>
  <c r="J748" i="3"/>
  <c r="H747" i="3"/>
  <c r="F746" i="3"/>
  <c r="D745" i="3"/>
  <c r="P743" i="3"/>
  <c r="N742" i="3"/>
  <c r="L741" i="3"/>
  <c r="J740" i="3"/>
  <c r="H739" i="3"/>
  <c r="F738" i="3"/>
  <c r="D737" i="3"/>
  <c r="P735" i="3"/>
  <c r="N734" i="3"/>
  <c r="L733" i="3"/>
  <c r="J732" i="3"/>
  <c r="H731" i="3"/>
  <c r="F730" i="3"/>
  <c r="D729" i="3"/>
  <c r="P727" i="3"/>
  <c r="N726" i="3"/>
  <c r="L725" i="3"/>
  <c r="J724" i="3"/>
  <c r="H723" i="3"/>
  <c r="F722" i="3"/>
  <c r="D721" i="3"/>
  <c r="P719" i="3"/>
  <c r="N718" i="3"/>
  <c r="L717" i="3"/>
  <c r="J716" i="3"/>
  <c r="H715" i="3"/>
  <c r="F714" i="3"/>
  <c r="D713" i="3"/>
  <c r="P711" i="3"/>
  <c r="N710" i="3"/>
  <c r="L709" i="3"/>
  <c r="J708" i="3"/>
  <c r="H707" i="3"/>
  <c r="F706" i="3"/>
  <c r="D705" i="3"/>
  <c r="P703" i="3"/>
  <c r="N702" i="3"/>
  <c r="L701" i="3"/>
  <c r="J700" i="3"/>
  <c r="H699" i="3"/>
  <c r="F698" i="3"/>
  <c r="D697" i="3"/>
  <c r="P695" i="3"/>
  <c r="N694" i="3"/>
  <c r="L693" i="3"/>
  <c r="J692" i="3"/>
  <c r="H691" i="3"/>
  <c r="F690" i="3"/>
  <c r="D689" i="3"/>
  <c r="P687" i="3"/>
  <c r="N686" i="3"/>
  <c r="L685" i="3"/>
  <c r="J684" i="3"/>
  <c r="H683" i="3"/>
  <c r="F682" i="3"/>
  <c r="D681" i="3"/>
  <c r="P679" i="3"/>
  <c r="N678" i="3"/>
  <c r="L677" i="3"/>
  <c r="J676" i="3"/>
  <c r="H675" i="3"/>
  <c r="F674" i="3"/>
  <c r="D673" i="3"/>
  <c r="P671" i="3"/>
  <c r="N670" i="3"/>
  <c r="L669" i="3"/>
  <c r="J668" i="3"/>
  <c r="H667" i="3"/>
  <c r="F666" i="3"/>
  <c r="D665" i="3"/>
  <c r="P663" i="3"/>
  <c r="N662" i="3"/>
  <c r="L661" i="3"/>
  <c r="J660" i="3"/>
  <c r="H659" i="3"/>
  <c r="F658" i="3"/>
  <c r="D657" i="3"/>
  <c r="P655" i="3"/>
  <c r="N654" i="3"/>
  <c r="L653" i="3"/>
  <c r="J652" i="3"/>
  <c r="H651" i="3"/>
  <c r="F650" i="3"/>
  <c r="D649" i="3"/>
  <c r="P647" i="3"/>
  <c r="N646" i="3"/>
  <c r="L645" i="3"/>
  <c r="J644" i="3"/>
  <c r="H643" i="3"/>
  <c r="F642" i="3"/>
  <c r="D641" i="3"/>
  <c r="P639" i="3"/>
  <c r="N638" i="3"/>
  <c r="L637" i="3"/>
  <c r="J636" i="3"/>
  <c r="H635" i="3"/>
  <c r="F634" i="3"/>
  <c r="D633" i="3"/>
  <c r="P631" i="3"/>
  <c r="N630" i="3"/>
  <c r="L629" i="3"/>
  <c r="J628" i="3"/>
  <c r="H627" i="3"/>
  <c r="F626" i="3"/>
  <c r="D625" i="3"/>
  <c r="P623" i="3"/>
  <c r="N622" i="3"/>
  <c r="L621" i="3"/>
  <c r="J620" i="3"/>
  <c r="M1160" i="3"/>
  <c r="B1123" i="3"/>
  <c r="H1092" i="3"/>
  <c r="O1065" i="3"/>
  <c r="L1045" i="3"/>
  <c r="N1029" i="3"/>
  <c r="N1018" i="3"/>
  <c r="I1007" i="3"/>
  <c r="J996" i="3"/>
  <c r="C984" i="3"/>
  <c r="M977" i="3"/>
  <c r="P968" i="3"/>
  <c r="D961" i="3"/>
  <c r="L954" i="3"/>
  <c r="G947" i="3"/>
  <c r="P942" i="3"/>
  <c r="D936" i="3"/>
  <c r="I930" i="3"/>
  <c r="O924" i="3"/>
  <c r="O919" i="3"/>
  <c r="G914" i="3"/>
  <c r="J908" i="3"/>
  <c r="K902" i="3"/>
  <c r="J897" i="3"/>
  <c r="K893" i="3"/>
  <c r="C889" i="3"/>
  <c r="C885" i="3"/>
  <c r="L880" i="3"/>
  <c r="M877" i="3"/>
  <c r="H873" i="3"/>
  <c r="K869" i="3"/>
  <c r="M866" i="3"/>
  <c r="B863" i="3"/>
  <c r="J859" i="3"/>
  <c r="I856" i="3"/>
  <c r="P852" i="3"/>
  <c r="H850" i="3"/>
  <c r="O846" i="3"/>
  <c r="P842" i="3"/>
  <c r="G840" i="3"/>
  <c r="B837" i="3"/>
  <c r="F834" i="3"/>
  <c r="A831" i="3"/>
  <c r="L827" i="3"/>
  <c r="F825" i="3"/>
  <c r="A822" i="3"/>
  <c r="C819" i="3"/>
  <c r="O815" i="3"/>
  <c r="O812" i="3"/>
  <c r="H810" i="3"/>
  <c r="D808" i="3"/>
  <c r="E805" i="3"/>
  <c r="L802" i="3"/>
  <c r="M799" i="3"/>
  <c r="J797" i="3"/>
  <c r="E795" i="3"/>
  <c r="G793" i="3"/>
  <c r="K791" i="3"/>
  <c r="M789" i="3"/>
  <c r="F788" i="3"/>
  <c r="L786" i="3"/>
  <c r="N784" i="3"/>
  <c r="G783" i="3"/>
  <c r="M781" i="3"/>
  <c r="G780" i="3"/>
  <c r="M778" i="3"/>
  <c r="J777" i="3"/>
  <c r="G776" i="3"/>
  <c r="D775" i="3"/>
  <c r="N773" i="3"/>
  <c r="K772" i="3"/>
  <c r="H771" i="3"/>
  <c r="E770" i="3"/>
  <c r="O768" i="3"/>
  <c r="L767" i="3"/>
  <c r="I766" i="3"/>
  <c r="F765" i="3"/>
  <c r="C764" i="3"/>
  <c r="M762" i="3"/>
  <c r="J761" i="3"/>
  <c r="G760" i="3"/>
  <c r="D759" i="3"/>
  <c r="N757" i="3"/>
  <c r="K756" i="3"/>
  <c r="H755" i="3"/>
  <c r="E754" i="3"/>
  <c r="C753" i="3"/>
  <c r="O751" i="3"/>
  <c r="M750" i="3"/>
  <c r="K749" i="3"/>
  <c r="I748" i="3"/>
  <c r="G747" i="3"/>
  <c r="E746" i="3"/>
  <c r="C745" i="3"/>
  <c r="O743" i="3"/>
  <c r="M742" i="3"/>
  <c r="K741" i="3"/>
  <c r="I740" i="3"/>
  <c r="G739" i="3"/>
  <c r="E738" i="3"/>
  <c r="C737" i="3"/>
  <c r="O735" i="3"/>
  <c r="M734" i="3"/>
  <c r="K733" i="3"/>
  <c r="I732" i="3"/>
  <c r="G731" i="3"/>
  <c r="E730" i="3"/>
  <c r="C729" i="3"/>
  <c r="O727" i="3"/>
  <c r="M726" i="3"/>
  <c r="K725" i="3"/>
  <c r="I724" i="3"/>
  <c r="G723" i="3"/>
  <c r="E722" i="3"/>
  <c r="C721" i="3"/>
  <c r="O719" i="3"/>
  <c r="M718" i="3"/>
  <c r="K717" i="3"/>
  <c r="I716" i="3"/>
  <c r="G715" i="3"/>
  <c r="E714" i="3"/>
  <c r="C713" i="3"/>
  <c r="O711" i="3"/>
  <c r="M710" i="3"/>
  <c r="K709" i="3"/>
  <c r="I708" i="3"/>
  <c r="G707" i="3"/>
  <c r="E706" i="3"/>
  <c r="C705" i="3"/>
  <c r="O703" i="3"/>
  <c r="M702" i="3"/>
  <c r="K701" i="3"/>
  <c r="I700" i="3"/>
  <c r="G699" i="3"/>
  <c r="E698" i="3"/>
  <c r="C697" i="3"/>
  <c r="O695" i="3"/>
  <c r="M694" i="3"/>
  <c r="K693" i="3"/>
  <c r="I692" i="3"/>
  <c r="G691" i="3"/>
  <c r="E690" i="3"/>
  <c r="C689" i="3"/>
  <c r="O687" i="3"/>
  <c r="M686" i="3"/>
  <c r="K685" i="3"/>
  <c r="I684" i="3"/>
  <c r="G683" i="3"/>
  <c r="E682" i="3"/>
  <c r="C681" i="3"/>
  <c r="O679" i="3"/>
  <c r="M678" i="3"/>
  <c r="K677" i="3"/>
  <c r="I676" i="3"/>
  <c r="G675" i="3"/>
  <c r="E674" i="3"/>
  <c r="C673" i="3"/>
  <c r="O671" i="3"/>
  <c r="M670" i="3"/>
  <c r="K669" i="3"/>
  <c r="I668" i="3"/>
  <c r="G667" i="3"/>
  <c r="E666" i="3"/>
  <c r="C665" i="3"/>
  <c r="O663" i="3"/>
  <c r="M662" i="3"/>
  <c r="K661" i="3"/>
  <c r="I660" i="3"/>
  <c r="G659" i="3"/>
  <c r="E658" i="3"/>
  <c r="C657" i="3"/>
  <c r="O655" i="3"/>
  <c r="M654" i="3"/>
  <c r="K653" i="3"/>
  <c r="G1150" i="3"/>
  <c r="F1111" i="3"/>
  <c r="E1083" i="3"/>
  <c r="N1064" i="3"/>
  <c r="A1044" i="3"/>
  <c r="C1027" i="3"/>
  <c r="N1014" i="3"/>
  <c r="P1006" i="3"/>
  <c r="B994" i="3"/>
  <c r="L983" i="3"/>
  <c r="F975" i="3"/>
  <c r="A966" i="3"/>
  <c r="N960" i="3"/>
  <c r="G953" i="3"/>
  <c r="B947" i="3"/>
  <c r="A941" i="3"/>
  <c r="M935" i="3"/>
  <c r="E930" i="3"/>
  <c r="M923" i="3"/>
  <c r="D918" i="3"/>
  <c r="E912" i="3"/>
  <c r="J907" i="3"/>
  <c r="D902" i="3"/>
  <c r="G897" i="3"/>
  <c r="O891" i="3"/>
  <c r="N888" i="3"/>
  <c r="H884" i="3"/>
  <c r="H880" i="3"/>
  <c r="I876" i="3"/>
  <c r="E872" i="3"/>
  <c r="G869" i="3"/>
  <c r="J865" i="3"/>
  <c r="H862" i="3"/>
  <c r="O858" i="3"/>
  <c r="G855" i="3"/>
  <c r="M852" i="3"/>
  <c r="F849" i="3"/>
  <c r="E846" i="3"/>
  <c r="L842" i="3"/>
  <c r="F839" i="3"/>
  <c r="O836" i="3"/>
  <c r="E833" i="3"/>
  <c r="M830" i="3"/>
  <c r="I827" i="3"/>
  <c r="E824" i="3"/>
  <c r="H821" i="3"/>
  <c r="B818" i="3"/>
  <c r="L815" i="3"/>
  <c r="J812" i="3"/>
  <c r="E810" i="3"/>
  <c r="E807" i="3"/>
  <c r="L804" i="3"/>
  <c r="M801" i="3"/>
  <c r="I799" i="3"/>
  <c r="G797" i="3"/>
  <c r="B795" i="3"/>
  <c r="D793" i="3"/>
  <c r="H791" i="3"/>
  <c r="J789" i="3"/>
  <c r="C788" i="3"/>
  <c r="I786" i="3"/>
  <c r="K784" i="3"/>
  <c r="D783" i="3"/>
  <c r="J781" i="3"/>
  <c r="N779" i="3"/>
  <c r="J778" i="3"/>
  <c r="G777" i="3"/>
  <c r="D776" i="3"/>
  <c r="N774" i="3"/>
  <c r="K773" i="3"/>
  <c r="H772" i="3"/>
  <c r="E771" i="3"/>
  <c r="O769" i="3"/>
  <c r="L768" i="3"/>
  <c r="I767" i="3"/>
  <c r="F766" i="3"/>
  <c r="C765" i="3"/>
  <c r="M763" i="3"/>
  <c r="J762" i="3"/>
  <c r="G761" i="3"/>
  <c r="D760" i="3"/>
  <c r="N758" i="3"/>
  <c r="K757" i="3"/>
  <c r="H756" i="3"/>
  <c r="E755" i="3"/>
  <c r="P753" i="3"/>
  <c r="N752" i="3"/>
  <c r="L751" i="3"/>
  <c r="J750" i="3"/>
  <c r="H749" i="3"/>
  <c r="F748" i="3"/>
  <c r="D747" i="3"/>
  <c r="P745" i="3"/>
  <c r="N744" i="3"/>
  <c r="L743" i="3"/>
  <c r="J742" i="3"/>
  <c r="H741" i="3"/>
  <c r="F740" i="3"/>
  <c r="D739" i="3"/>
  <c r="P737" i="3"/>
  <c r="N736" i="3"/>
  <c r="L735" i="3"/>
  <c r="J734" i="3"/>
  <c r="H733" i="3"/>
  <c r="F732" i="3"/>
  <c r="D731" i="3"/>
  <c r="P729" i="3"/>
  <c r="N728" i="3"/>
  <c r="L727" i="3"/>
  <c r="J726" i="3"/>
  <c r="H725" i="3"/>
  <c r="F724" i="3"/>
  <c r="D723" i="3"/>
  <c r="P721" i="3"/>
  <c r="N720" i="3"/>
  <c r="L719" i="3"/>
  <c r="J718" i="3"/>
  <c r="H717" i="3"/>
  <c r="F716" i="3"/>
  <c r="D715" i="3"/>
  <c r="P713" i="3"/>
  <c r="N712" i="3"/>
  <c r="L711" i="3"/>
  <c r="J710" i="3"/>
  <c r="H709" i="3"/>
  <c r="F708" i="3"/>
  <c r="D707" i="3"/>
  <c r="P705" i="3"/>
  <c r="N704" i="3"/>
  <c r="L703" i="3"/>
  <c r="J702" i="3"/>
  <c r="H701" i="3"/>
  <c r="F700" i="3"/>
  <c r="D699" i="3"/>
  <c r="P697" i="3"/>
  <c r="N696" i="3"/>
  <c r="L695" i="3"/>
  <c r="J694" i="3"/>
  <c r="H693" i="3"/>
  <c r="F692" i="3"/>
  <c r="D691" i="3"/>
  <c r="P689" i="3"/>
  <c r="N688" i="3"/>
  <c r="L687" i="3"/>
  <c r="J686" i="3"/>
  <c r="H685" i="3"/>
  <c r="F684" i="3"/>
  <c r="D683" i="3"/>
  <c r="P681" i="3"/>
  <c r="N680" i="3"/>
  <c r="L679" i="3"/>
  <c r="J678" i="3"/>
  <c r="H677" i="3"/>
  <c r="F676" i="3"/>
  <c r="D675" i="3"/>
  <c r="P673" i="3"/>
  <c r="N672" i="3"/>
  <c r="L671" i="3"/>
  <c r="J670" i="3"/>
  <c r="H669" i="3"/>
  <c r="F668" i="3"/>
  <c r="D667" i="3"/>
  <c r="P665" i="3"/>
  <c r="N664" i="3"/>
  <c r="L663" i="3"/>
  <c r="J662" i="3"/>
  <c r="H661" i="3"/>
  <c r="F660" i="3"/>
  <c r="B1150" i="3"/>
  <c r="M1110" i="3"/>
  <c r="D1083" i="3"/>
  <c r="D1064" i="3"/>
  <c r="L1043" i="3"/>
  <c r="A1027" i="3"/>
  <c r="M1014" i="3"/>
  <c r="B1004" i="3"/>
  <c r="A994" i="3"/>
  <c r="J983" i="3"/>
  <c r="B974" i="3"/>
  <c r="P965" i="3"/>
  <c r="M960" i="3"/>
  <c r="D953" i="3"/>
  <c r="A947" i="3"/>
  <c r="N940" i="3"/>
  <c r="E934" i="3"/>
  <c r="D930" i="3"/>
  <c r="L923" i="3"/>
  <c r="O917" i="3"/>
  <c r="D912" i="3"/>
  <c r="I907" i="3"/>
  <c r="B902" i="3"/>
  <c r="O896" i="3"/>
  <c r="N891" i="3"/>
  <c r="K887" i="3"/>
  <c r="F884" i="3"/>
  <c r="G880" i="3"/>
  <c r="H876" i="3"/>
  <c r="C872" i="3"/>
  <c r="F869" i="3"/>
  <c r="I865" i="3"/>
  <c r="G862" i="3"/>
  <c r="M858" i="3"/>
  <c r="F855" i="3"/>
  <c r="L852" i="3"/>
  <c r="E849" i="3"/>
  <c r="C846" i="3"/>
  <c r="K842" i="3"/>
  <c r="E839" i="3"/>
  <c r="H836" i="3"/>
  <c r="C833" i="3"/>
  <c r="L830" i="3"/>
  <c r="H827" i="3"/>
  <c r="C824" i="3"/>
  <c r="F821" i="3"/>
  <c r="A818" i="3"/>
  <c r="K815" i="3"/>
  <c r="I812" i="3"/>
  <c r="M809" i="3"/>
  <c r="D807" i="3"/>
  <c r="J804" i="3"/>
  <c r="L801" i="3"/>
  <c r="H799" i="3"/>
  <c r="L796" i="3"/>
  <c r="M794" i="3"/>
  <c r="C793" i="3"/>
  <c r="C791" i="3"/>
  <c r="I789" i="3"/>
  <c r="B788" i="3"/>
  <c r="D786" i="3"/>
  <c r="J784" i="3"/>
  <c r="C783" i="3"/>
  <c r="F781" i="3"/>
  <c r="M779" i="3"/>
  <c r="I778" i="3"/>
  <c r="F777" i="3"/>
  <c r="C776" i="3"/>
  <c r="M774" i="3"/>
  <c r="J773" i="3"/>
  <c r="G772" i="3"/>
  <c r="D771" i="3"/>
  <c r="N769" i="3"/>
  <c r="K768" i="3"/>
  <c r="H767" i="3"/>
  <c r="E766" i="3"/>
  <c r="O764" i="3"/>
  <c r="L763" i="3"/>
  <c r="I762" i="3"/>
  <c r="F761" i="3"/>
  <c r="C760" i="3"/>
  <c r="M758" i="3"/>
  <c r="J757" i="3"/>
  <c r="G756" i="3"/>
  <c r="D755" i="3"/>
  <c r="O753" i="3"/>
  <c r="M752" i="3"/>
  <c r="K751" i="3"/>
  <c r="I750" i="3"/>
  <c r="G749" i="3"/>
  <c r="E748" i="3"/>
  <c r="C747" i="3"/>
  <c r="O745" i="3"/>
  <c r="M744" i="3"/>
  <c r="K743" i="3"/>
  <c r="I742" i="3"/>
  <c r="G741" i="3"/>
  <c r="E740" i="3"/>
  <c r="C739" i="3"/>
  <c r="O737" i="3"/>
  <c r="M736" i="3"/>
  <c r="K735" i="3"/>
  <c r="I734" i="3"/>
  <c r="G733" i="3"/>
  <c r="E732" i="3"/>
  <c r="C731" i="3"/>
  <c r="O729" i="3"/>
  <c r="M728" i="3"/>
  <c r="K727" i="3"/>
  <c r="I726" i="3"/>
  <c r="G725" i="3"/>
  <c r="E724" i="3"/>
  <c r="C723" i="3"/>
  <c r="O721" i="3"/>
  <c r="M720" i="3"/>
  <c r="F1149" i="3"/>
  <c r="J1079" i="3"/>
  <c r="F1043" i="3"/>
  <c r="K1014" i="3"/>
  <c r="P993" i="3"/>
  <c r="A974" i="3"/>
  <c r="L958" i="3"/>
  <c r="O946" i="3"/>
  <c r="D934" i="3"/>
  <c r="J923" i="3"/>
  <c r="B912" i="3"/>
  <c r="A902" i="3"/>
  <c r="M891" i="3"/>
  <c r="E884" i="3"/>
  <c r="N875" i="3"/>
  <c r="E869" i="3"/>
  <c r="M861" i="3"/>
  <c r="E855" i="3"/>
  <c r="L848" i="3"/>
  <c r="J842" i="3"/>
  <c r="G836" i="3"/>
  <c r="M829" i="3"/>
  <c r="B824" i="3"/>
  <c r="P817" i="3"/>
  <c r="H812" i="3"/>
  <c r="M806" i="3"/>
  <c r="J801" i="3"/>
  <c r="J796" i="3"/>
  <c r="B793" i="3"/>
  <c r="H789" i="3"/>
  <c r="C786" i="3"/>
  <c r="B783" i="3"/>
  <c r="L779" i="3"/>
  <c r="E777" i="3"/>
  <c r="L774" i="3"/>
  <c r="F772" i="3"/>
  <c r="M769" i="3"/>
  <c r="G767" i="3"/>
  <c r="N764" i="3"/>
  <c r="H762" i="3"/>
  <c r="O759" i="3"/>
  <c r="I757" i="3"/>
  <c r="C755" i="3"/>
  <c r="L752" i="3"/>
  <c r="H750" i="3"/>
  <c r="D748" i="3"/>
  <c r="N745" i="3"/>
  <c r="J743" i="3"/>
  <c r="F741" i="3"/>
  <c r="P738" i="3"/>
  <c r="L736" i="3"/>
  <c r="H734" i="3"/>
  <c r="D732" i="3"/>
  <c r="N729" i="3"/>
  <c r="J727" i="3"/>
  <c r="F725" i="3"/>
  <c r="P722" i="3"/>
  <c r="L720" i="3"/>
  <c r="K718" i="3"/>
  <c r="O716" i="3"/>
  <c r="M714" i="3"/>
  <c r="K712" i="3"/>
  <c r="I710" i="3"/>
  <c r="H708" i="3"/>
  <c r="L706" i="3"/>
  <c r="J704" i="3"/>
  <c r="H702" i="3"/>
  <c r="G700" i="3"/>
  <c r="K698" i="3"/>
  <c r="I696" i="3"/>
  <c r="G694" i="3"/>
  <c r="E692" i="3"/>
  <c r="D690" i="3"/>
  <c r="H688" i="3"/>
  <c r="F686" i="3"/>
  <c r="D684" i="3"/>
  <c r="C682" i="3"/>
  <c r="G680" i="3"/>
  <c r="E678" i="3"/>
  <c r="C676" i="3"/>
  <c r="O673" i="3"/>
  <c r="N671" i="3"/>
  <c r="D670" i="3"/>
  <c r="P667" i="3"/>
  <c r="N665" i="3"/>
  <c r="M663" i="3"/>
  <c r="C662" i="3"/>
  <c r="O659" i="3"/>
  <c r="O657" i="3"/>
  <c r="G656" i="3"/>
  <c r="G654" i="3"/>
  <c r="H652" i="3"/>
  <c r="O650" i="3"/>
  <c r="C649" i="3"/>
  <c r="J647" i="3"/>
  <c r="C646" i="3"/>
  <c r="E644" i="3"/>
  <c r="L642" i="3"/>
  <c r="N640" i="3"/>
  <c r="G639" i="3"/>
  <c r="I637" i="3"/>
  <c r="P635" i="3"/>
  <c r="E634" i="3"/>
  <c r="N632" i="3"/>
  <c r="I631" i="3"/>
  <c r="D630" i="3"/>
  <c r="K628" i="3"/>
  <c r="E627" i="3"/>
  <c r="O625" i="3"/>
  <c r="K624" i="3"/>
  <c r="G623" i="3"/>
  <c r="C622" i="3"/>
  <c r="L620" i="3"/>
  <c r="H619" i="3"/>
  <c r="E618" i="3"/>
  <c r="C617" i="3"/>
  <c r="O615" i="3"/>
  <c r="M614" i="3"/>
  <c r="K613" i="3"/>
  <c r="I612" i="3"/>
  <c r="G611" i="3"/>
  <c r="E610" i="3"/>
  <c r="C609" i="3"/>
  <c r="O607" i="3"/>
  <c r="M606" i="3"/>
  <c r="K605" i="3"/>
  <c r="I604" i="3"/>
  <c r="G603" i="3"/>
  <c r="F602" i="3"/>
  <c r="E601" i="3"/>
  <c r="D600" i="3"/>
  <c r="C599" i="3"/>
  <c r="A598" i="3"/>
  <c r="P596" i="3"/>
  <c r="O595" i="3"/>
  <c r="N594" i="3"/>
  <c r="M593" i="3"/>
  <c r="L592" i="3"/>
  <c r="K591" i="3"/>
  <c r="J590" i="3"/>
  <c r="I589" i="3"/>
  <c r="H588" i="3"/>
  <c r="G587" i="3"/>
  <c r="F586" i="3"/>
  <c r="E585" i="3"/>
  <c r="D584" i="3"/>
  <c r="C583" i="3"/>
  <c r="A582" i="3"/>
  <c r="P580" i="3"/>
  <c r="O579" i="3"/>
  <c r="N578" i="3"/>
  <c r="M577" i="3"/>
  <c r="L576" i="3"/>
  <c r="K575" i="3"/>
  <c r="J574" i="3"/>
  <c r="I573" i="3"/>
  <c r="H572" i="3"/>
  <c r="G571" i="3"/>
  <c r="F570" i="3"/>
  <c r="E569" i="3"/>
  <c r="D568" i="3"/>
  <c r="C567" i="3"/>
  <c r="A566" i="3"/>
  <c r="P564" i="3"/>
  <c r="O563" i="3"/>
  <c r="N562" i="3"/>
  <c r="M561" i="3"/>
  <c r="L560" i="3"/>
  <c r="K559" i="3"/>
  <c r="J558" i="3"/>
  <c r="I557" i="3"/>
  <c r="H556" i="3"/>
  <c r="G555" i="3"/>
  <c r="F554" i="3"/>
  <c r="E553" i="3"/>
  <c r="D552" i="3"/>
  <c r="C551" i="3"/>
  <c r="A550" i="3"/>
  <c r="P548" i="3"/>
  <c r="O547" i="3"/>
  <c r="N546" i="3"/>
  <c r="M545" i="3"/>
  <c r="L544" i="3"/>
  <c r="L543" i="3"/>
  <c r="L542" i="3"/>
  <c r="L541" i="3"/>
  <c r="L540" i="3"/>
  <c r="L539" i="3"/>
  <c r="L538" i="3"/>
  <c r="L537" i="3"/>
  <c r="L536" i="3"/>
  <c r="L535" i="3"/>
  <c r="L534" i="3"/>
  <c r="L533" i="3"/>
  <c r="L532" i="3"/>
  <c r="L531" i="3"/>
  <c r="L530" i="3"/>
  <c r="L529" i="3"/>
  <c r="L528" i="3"/>
  <c r="L527" i="3"/>
  <c r="L526" i="3"/>
  <c r="L525" i="3"/>
  <c r="L524" i="3"/>
  <c r="L523" i="3"/>
  <c r="L522" i="3"/>
  <c r="L521" i="3"/>
  <c r="L520" i="3"/>
  <c r="L519" i="3"/>
  <c r="L518" i="3"/>
  <c r="L517" i="3"/>
  <c r="L516" i="3"/>
  <c r="L515" i="3"/>
  <c r="L514" i="3"/>
  <c r="L513" i="3"/>
  <c r="L512" i="3"/>
  <c r="L511" i="3"/>
  <c r="L510" i="3"/>
  <c r="L509" i="3"/>
  <c r="L508" i="3"/>
  <c r="L507" i="3"/>
  <c r="L506" i="3"/>
  <c r="L505" i="3"/>
  <c r="L504" i="3"/>
  <c r="C1149" i="3"/>
  <c r="I1079" i="3"/>
  <c r="G1041" i="3"/>
  <c r="E1014" i="3"/>
  <c r="J990" i="3"/>
  <c r="K973" i="3"/>
  <c r="I958" i="3"/>
  <c r="N946" i="3"/>
  <c r="O933" i="3"/>
  <c r="I923" i="3"/>
  <c r="I911" i="3"/>
  <c r="P901" i="3"/>
  <c r="L891" i="3"/>
  <c r="P882" i="3"/>
  <c r="M875" i="3"/>
  <c r="C869" i="3"/>
  <c r="F861" i="3"/>
  <c r="C855" i="3"/>
  <c r="K848" i="3"/>
  <c r="I842" i="3"/>
  <c r="E836" i="3"/>
  <c r="L829" i="3"/>
  <c r="K823" i="3"/>
  <c r="O817" i="3"/>
  <c r="G812" i="3"/>
  <c r="L806" i="3"/>
  <c r="I801" i="3"/>
  <c r="I796" i="3"/>
  <c r="M792" i="3"/>
  <c r="G789" i="3"/>
  <c r="B786" i="3"/>
  <c r="N782" i="3"/>
  <c r="K779" i="3"/>
  <c r="D777" i="3"/>
  <c r="K774" i="3"/>
  <c r="E772" i="3"/>
  <c r="L769" i="3"/>
  <c r="F767" i="3"/>
  <c r="M764" i="3"/>
  <c r="G762" i="3"/>
  <c r="N759" i="3"/>
  <c r="H757" i="3"/>
  <c r="O754" i="3"/>
  <c r="K752" i="3"/>
  <c r="G750" i="3"/>
  <c r="C748" i="3"/>
  <c r="M745" i="3"/>
  <c r="I743" i="3"/>
  <c r="E741" i="3"/>
  <c r="O738" i="3"/>
  <c r="K736" i="3"/>
  <c r="G734" i="3"/>
  <c r="C732" i="3"/>
  <c r="M729" i="3"/>
  <c r="I727" i="3"/>
  <c r="E725" i="3"/>
  <c r="O722" i="3"/>
  <c r="K720" i="3"/>
  <c r="I718" i="3"/>
  <c r="H716" i="3"/>
  <c r="L714" i="3"/>
  <c r="J712" i="3"/>
  <c r="H710" i="3"/>
  <c r="G708" i="3"/>
  <c r="K706" i="3"/>
  <c r="I704" i="3"/>
  <c r="G702" i="3"/>
  <c r="E700" i="3"/>
  <c r="D698" i="3"/>
  <c r="H696" i="3"/>
  <c r="F694" i="3"/>
  <c r="D692" i="3"/>
  <c r="C690" i="3"/>
  <c r="G688" i="3"/>
  <c r="E686" i="3"/>
  <c r="C684" i="3"/>
  <c r="O681" i="3"/>
  <c r="N679" i="3"/>
  <c r="D678" i="3"/>
  <c r="P675" i="3"/>
  <c r="N673" i="3"/>
  <c r="M671" i="3"/>
  <c r="C670" i="3"/>
  <c r="O667" i="3"/>
  <c r="M665" i="3"/>
  <c r="K663" i="3"/>
  <c r="J661" i="3"/>
  <c r="N659" i="3"/>
  <c r="N657" i="3"/>
  <c r="N655" i="3"/>
  <c r="F654" i="3"/>
  <c r="G652" i="3"/>
  <c r="N650" i="3"/>
  <c r="P648" i="3"/>
  <c r="I647" i="3"/>
  <c r="K645" i="3"/>
  <c r="D644" i="3"/>
  <c r="K642" i="3"/>
  <c r="M640" i="3"/>
  <c r="F639" i="3"/>
  <c r="H637" i="3"/>
  <c r="O635" i="3"/>
  <c r="D634" i="3"/>
  <c r="M632" i="3"/>
  <c r="H631" i="3"/>
  <c r="C630" i="3"/>
  <c r="I628" i="3"/>
  <c r="D627" i="3"/>
  <c r="N625" i="3"/>
  <c r="J624" i="3"/>
  <c r="F623" i="3"/>
  <c r="P621" i="3"/>
  <c r="K620" i="3"/>
  <c r="G619" i="3"/>
  <c r="D618" i="3"/>
  <c r="P616" i="3"/>
  <c r="N615" i="3"/>
  <c r="L614" i="3"/>
  <c r="J613" i="3"/>
  <c r="H612" i="3"/>
  <c r="F611" i="3"/>
  <c r="D610" i="3"/>
  <c r="P608" i="3"/>
  <c r="N607" i="3"/>
  <c r="L606" i="3"/>
  <c r="J605" i="3"/>
  <c r="H604" i="3"/>
  <c r="F603" i="3"/>
  <c r="E602" i="3"/>
  <c r="D601" i="3"/>
  <c r="C600" i="3"/>
  <c r="A599" i="3"/>
  <c r="P597" i="3"/>
  <c r="O596" i="3"/>
  <c r="N595" i="3"/>
  <c r="M594" i="3"/>
  <c r="L593" i="3"/>
  <c r="K592" i="3"/>
  <c r="J591" i="3"/>
  <c r="I590" i="3"/>
  <c r="H589" i="3"/>
  <c r="G588" i="3"/>
  <c r="F587" i="3"/>
  <c r="E586" i="3"/>
  <c r="D585" i="3"/>
  <c r="C584" i="3"/>
  <c r="A583" i="3"/>
  <c r="P581" i="3"/>
  <c r="O580" i="3"/>
  <c r="N579" i="3"/>
  <c r="M578" i="3"/>
  <c r="L577" i="3"/>
  <c r="K576" i="3"/>
  <c r="J575" i="3"/>
  <c r="I574" i="3"/>
  <c r="H573" i="3"/>
  <c r="G572" i="3"/>
  <c r="F571" i="3"/>
  <c r="E570" i="3"/>
  <c r="D569" i="3"/>
  <c r="C568" i="3"/>
  <c r="A567" i="3"/>
  <c r="P565" i="3"/>
  <c r="O564" i="3"/>
  <c r="N563" i="3"/>
  <c r="M562" i="3"/>
  <c r="L561" i="3"/>
  <c r="K560" i="3"/>
  <c r="J559" i="3"/>
  <c r="I558" i="3"/>
  <c r="H557" i="3"/>
  <c r="G556" i="3"/>
  <c r="F555" i="3"/>
  <c r="E554" i="3"/>
  <c r="D553" i="3"/>
  <c r="C552" i="3"/>
  <c r="A551" i="3"/>
  <c r="P549" i="3"/>
  <c r="O548" i="3"/>
  <c r="N547" i="3"/>
  <c r="M546" i="3"/>
  <c r="L545" i="3"/>
  <c r="K544" i="3"/>
  <c r="K543" i="3"/>
  <c r="K542" i="3"/>
  <c r="K541" i="3"/>
  <c r="K540" i="3"/>
  <c r="K539" i="3"/>
  <c r="K538" i="3"/>
  <c r="K537" i="3"/>
  <c r="K536" i="3"/>
  <c r="K535" i="3"/>
  <c r="B1149" i="3"/>
  <c r="E1079" i="3"/>
  <c r="M1037" i="3"/>
  <c r="P1013" i="3"/>
  <c r="I990" i="3"/>
  <c r="J973" i="3"/>
  <c r="J957" i="3"/>
  <c r="I946" i="3"/>
  <c r="K933" i="3"/>
  <c r="E923" i="3"/>
  <c r="E911" i="3"/>
  <c r="J900" i="3"/>
  <c r="K891" i="3"/>
  <c r="O882" i="3"/>
  <c r="K875" i="3"/>
  <c r="P867" i="3"/>
  <c r="E861" i="3"/>
  <c r="B855" i="3"/>
  <c r="I848" i="3"/>
  <c r="H842" i="3"/>
  <c r="G835" i="3"/>
  <c r="K829" i="3"/>
  <c r="J823" i="3"/>
  <c r="N817" i="3"/>
  <c r="O811" i="3"/>
  <c r="J806" i="3"/>
  <c r="H801" i="3"/>
  <c r="H796" i="3"/>
  <c r="L792" i="3"/>
  <c r="F789" i="3"/>
  <c r="N785" i="3"/>
  <c r="M782" i="3"/>
  <c r="J779" i="3"/>
  <c r="C777" i="3"/>
  <c r="J774" i="3"/>
  <c r="D772" i="3"/>
  <c r="K769" i="3"/>
  <c r="E767" i="3"/>
  <c r="L764" i="3"/>
  <c r="F762" i="3"/>
  <c r="M759" i="3"/>
  <c r="G757" i="3"/>
  <c r="N754" i="3"/>
  <c r="J752" i="3"/>
  <c r="F750" i="3"/>
  <c r="P747" i="3"/>
  <c r="L745" i="3"/>
  <c r="H743" i="3"/>
  <c r="D741" i="3"/>
  <c r="N738" i="3"/>
  <c r="J736" i="3"/>
  <c r="F734" i="3"/>
  <c r="P731" i="3"/>
  <c r="L729" i="3"/>
  <c r="H727" i="3"/>
  <c r="D725" i="3"/>
  <c r="N722" i="3"/>
  <c r="J720" i="3"/>
  <c r="H718" i="3"/>
  <c r="G716" i="3"/>
  <c r="K714" i="3"/>
  <c r="I712" i="3"/>
  <c r="G710" i="3"/>
  <c r="E708" i="3"/>
  <c r="D706" i="3"/>
  <c r="H704" i="3"/>
  <c r="F702" i="3"/>
  <c r="D700" i="3"/>
  <c r="C698" i="3"/>
  <c r="G696" i="3"/>
  <c r="E694" i="3"/>
  <c r="C692" i="3"/>
  <c r="O689" i="3"/>
  <c r="N687" i="3"/>
  <c r="D686" i="3"/>
  <c r="P683" i="3"/>
  <c r="N681" i="3"/>
  <c r="M679" i="3"/>
  <c r="C678" i="3"/>
  <c r="O675" i="3"/>
  <c r="M673" i="3"/>
  <c r="K671" i="3"/>
  <c r="J669" i="3"/>
  <c r="N667" i="3"/>
  <c r="L665" i="3"/>
  <c r="J663" i="3"/>
  <c r="I661" i="3"/>
  <c r="M659" i="3"/>
  <c r="M657" i="3"/>
  <c r="M655" i="3"/>
  <c r="E654" i="3"/>
  <c r="F652" i="3"/>
  <c r="M650" i="3"/>
  <c r="O648" i="3"/>
  <c r="H647" i="3"/>
  <c r="J645" i="3"/>
  <c r="C644" i="3"/>
  <c r="E642" i="3"/>
  <c r="L640" i="3"/>
  <c r="E639" i="3"/>
  <c r="G637" i="3"/>
  <c r="N635" i="3"/>
  <c r="C634" i="3"/>
  <c r="L632" i="3"/>
  <c r="G631" i="3"/>
  <c r="N629" i="3"/>
  <c r="H628" i="3"/>
  <c r="C627" i="3"/>
  <c r="M625" i="3"/>
  <c r="I624" i="3"/>
  <c r="E623" i="3"/>
  <c r="N621" i="3"/>
  <c r="I620" i="3"/>
  <c r="F619" i="3"/>
  <c r="C618" i="3"/>
  <c r="O616" i="3"/>
  <c r="M615" i="3"/>
  <c r="K614" i="3"/>
  <c r="I613" i="3"/>
  <c r="G612" i="3"/>
  <c r="E611" i="3"/>
  <c r="C610" i="3"/>
  <c r="O608" i="3"/>
  <c r="M607" i="3"/>
  <c r="K606" i="3"/>
  <c r="I605" i="3"/>
  <c r="G604" i="3"/>
  <c r="E603" i="3"/>
  <c r="D602" i="3"/>
  <c r="C601" i="3"/>
  <c r="A600" i="3"/>
  <c r="P598" i="3"/>
  <c r="O597" i="3"/>
  <c r="N596" i="3"/>
  <c r="M595" i="3"/>
  <c r="L594" i="3"/>
  <c r="K593" i="3"/>
  <c r="J592" i="3"/>
  <c r="I591" i="3"/>
  <c r="H590" i="3"/>
  <c r="G589" i="3"/>
  <c r="F588" i="3"/>
  <c r="E587" i="3"/>
  <c r="D586" i="3"/>
  <c r="C585" i="3"/>
  <c r="A584" i="3"/>
  <c r="P582" i="3"/>
  <c r="O581" i="3"/>
  <c r="N580" i="3"/>
  <c r="M579" i="3"/>
  <c r="L578" i="3"/>
  <c r="K577" i="3"/>
  <c r="J576" i="3"/>
  <c r="I575" i="3"/>
  <c r="H574" i="3"/>
  <c r="G573" i="3"/>
  <c r="F572" i="3"/>
  <c r="E571" i="3"/>
  <c r="D570" i="3"/>
  <c r="C569" i="3"/>
  <c r="A568" i="3"/>
  <c r="P566" i="3"/>
  <c r="O565" i="3"/>
  <c r="N564" i="3"/>
  <c r="M563" i="3"/>
  <c r="L562" i="3"/>
  <c r="K561" i="3"/>
  <c r="J560" i="3"/>
  <c r="I559" i="3"/>
  <c r="H558" i="3"/>
  <c r="G557" i="3"/>
  <c r="F556" i="3"/>
  <c r="E555" i="3"/>
  <c r="D554" i="3"/>
  <c r="C553" i="3"/>
  <c r="A552" i="3"/>
  <c r="P550" i="3"/>
  <c r="O549" i="3"/>
  <c r="N548" i="3"/>
  <c r="M547" i="3"/>
  <c r="L546" i="3"/>
  <c r="K545" i="3"/>
  <c r="J544" i="3"/>
  <c r="J543" i="3"/>
  <c r="J542" i="3"/>
  <c r="J541" i="3"/>
  <c r="J540" i="3"/>
  <c r="J539" i="3"/>
  <c r="J538" i="3"/>
  <c r="J537" i="3"/>
  <c r="J536" i="3"/>
  <c r="J535" i="3"/>
  <c r="J534" i="3"/>
  <c r="J533" i="3"/>
  <c r="J532" i="3"/>
  <c r="J531" i="3"/>
  <c r="J530" i="3"/>
  <c r="J529" i="3"/>
  <c r="J528" i="3"/>
  <c r="J527" i="3"/>
  <c r="J526" i="3"/>
  <c r="J525" i="3"/>
  <c r="J524" i="3"/>
  <c r="J523" i="3"/>
  <c r="J522" i="3"/>
  <c r="J521" i="3"/>
  <c r="J520" i="3"/>
  <c r="J519" i="3"/>
  <c r="J518" i="3"/>
  <c r="J517" i="3"/>
  <c r="J516" i="3"/>
  <c r="J515" i="3"/>
  <c r="J514" i="3"/>
  <c r="J513" i="3"/>
  <c r="J512" i="3"/>
  <c r="J511" i="3"/>
  <c r="J510" i="3"/>
  <c r="J509" i="3"/>
  <c r="J508" i="3"/>
  <c r="J507" i="3"/>
  <c r="D1135" i="3"/>
  <c r="O1077" i="3"/>
  <c r="K1035" i="3"/>
  <c r="M1013" i="3"/>
  <c r="F990" i="3"/>
  <c r="I973" i="3"/>
  <c r="I957" i="3"/>
  <c r="M945" i="3"/>
  <c r="J933" i="3"/>
  <c r="I921" i="3"/>
  <c r="O910" i="3"/>
  <c r="I900" i="3"/>
  <c r="J891" i="3"/>
  <c r="N882" i="3"/>
  <c r="J875" i="3"/>
  <c r="O867" i="3"/>
  <c r="B861" i="3"/>
  <c r="P854" i="3"/>
  <c r="H848" i="3"/>
  <c r="G842" i="3"/>
  <c r="F835" i="3"/>
  <c r="J829" i="3"/>
  <c r="H823" i="3"/>
  <c r="M817" i="3"/>
  <c r="N811" i="3"/>
  <c r="I806" i="3"/>
  <c r="G801" i="3"/>
  <c r="G796" i="3"/>
  <c r="F792" i="3"/>
  <c r="E789" i="3"/>
  <c r="M785" i="3"/>
  <c r="H782" i="3"/>
  <c r="I779" i="3"/>
  <c r="O776" i="3"/>
  <c r="I774" i="3"/>
  <c r="C772" i="3"/>
  <c r="J769" i="3"/>
  <c r="D767" i="3"/>
  <c r="K764" i="3"/>
  <c r="E762" i="3"/>
  <c r="L759" i="3"/>
  <c r="F757" i="3"/>
  <c r="M754" i="3"/>
  <c r="I752" i="3"/>
  <c r="E750" i="3"/>
  <c r="O747" i="3"/>
  <c r="K745" i="3"/>
  <c r="G743" i="3"/>
  <c r="C741" i="3"/>
  <c r="M738" i="3"/>
  <c r="I736" i="3"/>
  <c r="E734" i="3"/>
  <c r="O731" i="3"/>
  <c r="K729" i="3"/>
  <c r="G727" i="3"/>
  <c r="C725" i="3"/>
  <c r="M722" i="3"/>
  <c r="I720" i="3"/>
  <c r="G718" i="3"/>
  <c r="E716" i="3"/>
  <c r="D714" i="3"/>
  <c r="H712" i="3"/>
  <c r="F710" i="3"/>
  <c r="D708" i="3"/>
  <c r="C706" i="3"/>
  <c r="G704" i="3"/>
  <c r="E702" i="3"/>
  <c r="C700" i="3"/>
  <c r="O697" i="3"/>
  <c r="N695" i="3"/>
  <c r="D694" i="3"/>
  <c r="P691" i="3"/>
  <c r="N689" i="3"/>
  <c r="M687" i="3"/>
  <c r="C686" i="3"/>
  <c r="O683" i="3"/>
  <c r="M681" i="3"/>
  <c r="K679" i="3"/>
  <c r="J677" i="3"/>
  <c r="N675" i="3"/>
  <c r="L673" i="3"/>
  <c r="J671" i="3"/>
  <c r="I669" i="3"/>
  <c r="M667" i="3"/>
  <c r="K665" i="3"/>
  <c r="I663" i="3"/>
  <c r="G661" i="3"/>
  <c r="F659" i="3"/>
  <c r="L657" i="3"/>
  <c r="L655" i="3"/>
  <c r="D654" i="3"/>
  <c r="E652" i="3"/>
  <c r="L650" i="3"/>
  <c r="N648" i="3"/>
  <c r="G647" i="3"/>
  <c r="I645" i="3"/>
  <c r="P643" i="3"/>
  <c r="D642" i="3"/>
  <c r="K640" i="3"/>
  <c r="M638" i="3"/>
  <c r="F637" i="3"/>
  <c r="M635" i="3"/>
  <c r="P633" i="3"/>
  <c r="K632" i="3"/>
  <c r="F631" i="3"/>
  <c r="M629" i="3"/>
  <c r="G628" i="3"/>
  <c r="P626" i="3"/>
  <c r="L625" i="3"/>
  <c r="H624" i="3"/>
  <c r="D623" i="3"/>
  <c r="M621" i="3"/>
  <c r="H620" i="3"/>
  <c r="E619" i="3"/>
  <c r="P617" i="3"/>
  <c r="N616" i="3"/>
  <c r="L615" i="3"/>
  <c r="J614" i="3"/>
  <c r="H613" i="3"/>
  <c r="F612" i="3"/>
  <c r="D611" i="3"/>
  <c r="P609" i="3"/>
  <c r="N608" i="3"/>
  <c r="L607" i="3"/>
  <c r="J606" i="3"/>
  <c r="H605" i="3"/>
  <c r="F604" i="3"/>
  <c r="D603" i="3"/>
  <c r="C602" i="3"/>
  <c r="A601" i="3"/>
  <c r="P599" i="3"/>
  <c r="O598" i="3"/>
  <c r="N597" i="3"/>
  <c r="M596" i="3"/>
  <c r="L595" i="3"/>
  <c r="K594" i="3"/>
  <c r="J593" i="3"/>
  <c r="I592" i="3"/>
  <c r="H591" i="3"/>
  <c r="G590" i="3"/>
  <c r="F589" i="3"/>
  <c r="E588" i="3"/>
  <c r="D587" i="3"/>
  <c r="C586" i="3"/>
  <c r="A585" i="3"/>
  <c r="P583" i="3"/>
  <c r="O582" i="3"/>
  <c r="N581" i="3"/>
  <c r="M580" i="3"/>
  <c r="L579" i="3"/>
  <c r="K578" i="3"/>
  <c r="J577" i="3"/>
  <c r="I576" i="3"/>
  <c r="H575" i="3"/>
  <c r="G574" i="3"/>
  <c r="F573" i="3"/>
  <c r="E572" i="3"/>
  <c r="D571" i="3"/>
  <c r="C570" i="3"/>
  <c r="A569" i="3"/>
  <c r="P567" i="3"/>
  <c r="O566" i="3"/>
  <c r="N565" i="3"/>
  <c r="M564" i="3"/>
  <c r="L563" i="3"/>
  <c r="K562" i="3"/>
  <c r="J561" i="3"/>
  <c r="I560" i="3"/>
  <c r="H559" i="3"/>
  <c r="G558" i="3"/>
  <c r="F557" i="3"/>
  <c r="E556" i="3"/>
  <c r="D555" i="3"/>
  <c r="C554" i="3"/>
  <c r="A553" i="3"/>
  <c r="P551" i="3"/>
  <c r="O550" i="3"/>
  <c r="N549" i="3"/>
  <c r="M548" i="3"/>
  <c r="L547" i="3"/>
  <c r="K546" i="3"/>
  <c r="J545" i="3"/>
  <c r="I544" i="3"/>
  <c r="I543" i="3"/>
  <c r="I542" i="3"/>
  <c r="I541" i="3"/>
  <c r="I540" i="3"/>
  <c r="I539" i="3"/>
  <c r="I538" i="3"/>
  <c r="I537" i="3"/>
  <c r="I536" i="3"/>
  <c r="I535" i="3"/>
  <c r="I534" i="3"/>
  <c r="I533" i="3"/>
  <c r="I532" i="3"/>
  <c r="I531" i="3"/>
  <c r="I530" i="3"/>
  <c r="I529" i="3"/>
  <c r="N1132" i="3"/>
  <c r="N1077" i="3"/>
  <c r="E1035" i="3"/>
  <c r="D1012" i="3"/>
  <c r="N989" i="3"/>
  <c r="H973" i="3"/>
  <c r="G957" i="3"/>
  <c r="J944" i="3"/>
  <c r="I933" i="3"/>
  <c r="H921" i="3"/>
  <c r="M910" i="3"/>
  <c r="L899" i="3"/>
  <c r="I891" i="3"/>
  <c r="M882" i="3"/>
  <c r="I875" i="3"/>
  <c r="N867" i="3"/>
  <c r="P860" i="3"/>
  <c r="O854" i="3"/>
  <c r="G848" i="3"/>
  <c r="G841" i="3"/>
  <c r="C835" i="3"/>
  <c r="I829" i="3"/>
  <c r="G823" i="3"/>
  <c r="L817" i="3"/>
  <c r="L811" i="3"/>
  <c r="H806" i="3"/>
  <c r="F801" i="3"/>
  <c r="F796" i="3"/>
  <c r="E792" i="3"/>
  <c r="D789" i="3"/>
  <c r="L785" i="3"/>
  <c r="G782" i="3"/>
  <c r="H779" i="3"/>
  <c r="N776" i="3"/>
  <c r="H774" i="3"/>
  <c r="O771" i="3"/>
  <c r="I769" i="3"/>
  <c r="C767" i="3"/>
  <c r="J764" i="3"/>
  <c r="D762" i="3"/>
  <c r="K759" i="3"/>
  <c r="E757" i="3"/>
  <c r="L754" i="3"/>
  <c r="H752" i="3"/>
  <c r="D750" i="3"/>
  <c r="N747" i="3"/>
  <c r="J745" i="3"/>
  <c r="F743" i="3"/>
  <c r="P740" i="3"/>
  <c r="L738" i="3"/>
  <c r="H736" i="3"/>
  <c r="D734" i="3"/>
  <c r="N731" i="3"/>
  <c r="J729" i="3"/>
  <c r="F727" i="3"/>
  <c r="P724" i="3"/>
  <c r="L722" i="3"/>
  <c r="H720" i="3"/>
  <c r="F718" i="3"/>
  <c r="D716" i="3"/>
  <c r="C714" i="3"/>
  <c r="G712" i="3"/>
  <c r="E710" i="3"/>
  <c r="C708" i="3"/>
  <c r="O705" i="3"/>
  <c r="N703" i="3"/>
  <c r="D702" i="3"/>
  <c r="P699" i="3"/>
  <c r="N697" i="3"/>
  <c r="M695" i="3"/>
  <c r="C694" i="3"/>
  <c r="O691" i="3"/>
  <c r="M689" i="3"/>
  <c r="K687" i="3"/>
  <c r="J685" i="3"/>
  <c r="N683" i="3"/>
  <c r="L681" i="3"/>
  <c r="J679" i="3"/>
  <c r="I677" i="3"/>
  <c r="M675" i="3"/>
  <c r="K673" i="3"/>
  <c r="I671" i="3"/>
  <c r="G669" i="3"/>
  <c r="F667" i="3"/>
  <c r="J665" i="3"/>
  <c r="H663" i="3"/>
  <c r="F661" i="3"/>
  <c r="E659" i="3"/>
  <c r="K657" i="3"/>
  <c r="K655" i="3"/>
  <c r="C654" i="3"/>
  <c r="D652" i="3"/>
  <c r="K650" i="3"/>
  <c r="M648" i="3"/>
  <c r="F647" i="3"/>
  <c r="H645" i="3"/>
  <c r="O643" i="3"/>
  <c r="C642" i="3"/>
  <c r="J640" i="3"/>
  <c r="L638" i="3"/>
  <c r="E637" i="3"/>
  <c r="G635" i="3"/>
  <c r="O633" i="3"/>
  <c r="J632" i="3"/>
  <c r="E631" i="3"/>
  <c r="K629" i="3"/>
  <c r="F628" i="3"/>
  <c r="O626" i="3"/>
  <c r="K625" i="3"/>
  <c r="G624" i="3"/>
  <c r="P622" i="3"/>
  <c r="K621" i="3"/>
  <c r="G620" i="3"/>
  <c r="D619" i="3"/>
  <c r="O617" i="3"/>
  <c r="M616" i="3"/>
  <c r="K615" i="3"/>
  <c r="I614" i="3"/>
  <c r="G613" i="3"/>
  <c r="E612" i="3"/>
  <c r="C611" i="3"/>
  <c r="O609" i="3"/>
  <c r="M608" i="3"/>
  <c r="K607" i="3"/>
  <c r="I606" i="3"/>
  <c r="G605" i="3"/>
  <c r="E604" i="3"/>
  <c r="C603" i="3"/>
  <c r="A602" i="3"/>
  <c r="P600" i="3"/>
  <c r="O599" i="3"/>
  <c r="N598" i="3"/>
  <c r="M597" i="3"/>
  <c r="L596" i="3"/>
  <c r="K595" i="3"/>
  <c r="J594" i="3"/>
  <c r="I593" i="3"/>
  <c r="H592" i="3"/>
  <c r="G591" i="3"/>
  <c r="F590" i="3"/>
  <c r="E589" i="3"/>
  <c r="D588" i="3"/>
  <c r="C587" i="3"/>
  <c r="A586" i="3"/>
  <c r="P584" i="3"/>
  <c r="O583" i="3"/>
  <c r="N582" i="3"/>
  <c r="M581" i="3"/>
  <c r="L580" i="3"/>
  <c r="K579" i="3"/>
  <c r="J578" i="3"/>
  <c r="I577" i="3"/>
  <c r="H576" i="3"/>
  <c r="G575" i="3"/>
  <c r="F574" i="3"/>
  <c r="E573" i="3"/>
  <c r="D572" i="3"/>
  <c r="C571" i="3"/>
  <c r="A570" i="3"/>
  <c r="P568" i="3"/>
  <c r="O567" i="3"/>
  <c r="N566" i="3"/>
  <c r="M565" i="3"/>
  <c r="L564" i="3"/>
  <c r="K563" i="3"/>
  <c r="J562" i="3"/>
  <c r="I561" i="3"/>
  <c r="H560" i="3"/>
  <c r="G559" i="3"/>
  <c r="F558" i="3"/>
  <c r="E557" i="3"/>
  <c r="D556" i="3"/>
  <c r="C555" i="3"/>
  <c r="A554" i="3"/>
  <c r="P552" i="3"/>
  <c r="O551" i="3"/>
  <c r="N550" i="3"/>
  <c r="M549" i="3"/>
  <c r="L548" i="3"/>
  <c r="K547" i="3"/>
  <c r="J546" i="3"/>
  <c r="I545" i="3"/>
  <c r="H544" i="3"/>
  <c r="H543" i="3"/>
  <c r="H542" i="3"/>
  <c r="H541" i="3"/>
  <c r="H540" i="3"/>
  <c r="H539" i="3"/>
  <c r="H538" i="3"/>
  <c r="H537" i="3"/>
  <c r="H536" i="3"/>
  <c r="H535" i="3"/>
  <c r="H534" i="3"/>
  <c r="H533" i="3"/>
  <c r="H532" i="3"/>
  <c r="H531" i="3"/>
  <c r="H530" i="3"/>
  <c r="H529" i="3"/>
  <c r="H528" i="3"/>
  <c r="H527" i="3"/>
  <c r="H526" i="3"/>
  <c r="H525" i="3"/>
  <c r="H524" i="3"/>
  <c r="H523" i="3"/>
  <c r="H522" i="3"/>
  <c r="H521" i="3"/>
  <c r="H520" i="3"/>
  <c r="H519" i="3"/>
  <c r="H518" i="3"/>
  <c r="H517" i="3"/>
  <c r="H516" i="3"/>
  <c r="H515" i="3"/>
  <c r="H514" i="3"/>
  <c r="H513" i="3"/>
  <c r="H512" i="3"/>
  <c r="H511" i="3"/>
  <c r="H510" i="3"/>
  <c r="H509" i="3"/>
  <c r="H508" i="3"/>
  <c r="H507" i="3"/>
  <c r="D1132" i="3"/>
  <c r="L1077" i="3"/>
  <c r="C1035" i="3"/>
  <c r="C1012" i="3"/>
  <c r="L989" i="3"/>
  <c r="A971" i="3"/>
  <c r="F957" i="3"/>
  <c r="P943" i="3"/>
  <c r="H933" i="3"/>
  <c r="G921" i="3"/>
  <c r="L910" i="3"/>
  <c r="K899" i="3"/>
  <c r="N890" i="3"/>
  <c r="L882" i="3"/>
  <c r="G874" i="3"/>
  <c r="M867" i="3"/>
  <c r="O860" i="3"/>
  <c r="H854" i="3"/>
  <c r="F848" i="3"/>
  <c r="F841" i="3"/>
  <c r="B835" i="3"/>
  <c r="H829" i="3"/>
  <c r="F823" i="3"/>
  <c r="E817" i="3"/>
  <c r="K811" i="3"/>
  <c r="G806" i="3"/>
  <c r="E801" i="3"/>
  <c r="E796" i="3"/>
  <c r="D792" i="3"/>
  <c r="C789" i="3"/>
  <c r="K785" i="3"/>
  <c r="F782" i="3"/>
  <c r="G779" i="3"/>
  <c r="M776" i="3"/>
  <c r="G774" i="3"/>
  <c r="N771" i="3"/>
  <c r="H769" i="3"/>
  <c r="O766" i="3"/>
  <c r="I764" i="3"/>
  <c r="C762" i="3"/>
  <c r="J759" i="3"/>
  <c r="D757" i="3"/>
  <c r="K754" i="3"/>
  <c r="G752" i="3"/>
  <c r="C750" i="3"/>
  <c r="M747" i="3"/>
  <c r="I745" i="3"/>
  <c r="E743" i="3"/>
  <c r="O740" i="3"/>
  <c r="K738" i="3"/>
  <c r="G736" i="3"/>
  <c r="C734" i="3"/>
  <c r="M731" i="3"/>
  <c r="I729" i="3"/>
  <c r="E727" i="3"/>
  <c r="O724" i="3"/>
  <c r="K722" i="3"/>
  <c r="G720" i="3"/>
  <c r="E718" i="3"/>
  <c r="C716" i="3"/>
  <c r="O713" i="3"/>
  <c r="N711" i="3"/>
  <c r="D710" i="3"/>
  <c r="P707" i="3"/>
  <c r="N705" i="3"/>
  <c r="M703" i="3"/>
  <c r="C702" i="3"/>
  <c r="O699" i="3"/>
  <c r="M697" i="3"/>
  <c r="K695" i="3"/>
  <c r="J693" i="3"/>
  <c r="N691" i="3"/>
  <c r="L689" i="3"/>
  <c r="J687" i="3"/>
  <c r="I685" i="3"/>
  <c r="M683" i="3"/>
  <c r="K681" i="3"/>
  <c r="I679" i="3"/>
  <c r="G677" i="3"/>
  <c r="F675" i="3"/>
  <c r="J673" i="3"/>
  <c r="H671" i="3"/>
  <c r="F669" i="3"/>
  <c r="E667" i="3"/>
  <c r="I665" i="3"/>
  <c r="G663" i="3"/>
  <c r="E661" i="3"/>
  <c r="D659" i="3"/>
  <c r="J657" i="3"/>
  <c r="J655" i="3"/>
  <c r="J653" i="3"/>
  <c r="C652" i="3"/>
  <c r="E650" i="3"/>
  <c r="L648" i="3"/>
  <c r="E647" i="3"/>
  <c r="G645" i="3"/>
  <c r="N643" i="3"/>
  <c r="P641" i="3"/>
  <c r="I640" i="3"/>
  <c r="K638" i="3"/>
  <c r="D637" i="3"/>
  <c r="F635" i="3"/>
  <c r="N633" i="3"/>
  <c r="I632" i="3"/>
  <c r="P630" i="3"/>
  <c r="J629" i="3"/>
  <c r="E628" i="3"/>
  <c r="N626" i="3"/>
  <c r="J625" i="3"/>
  <c r="F624" i="3"/>
  <c r="O622" i="3"/>
  <c r="J621" i="3"/>
  <c r="F620" i="3"/>
  <c r="C619" i="3"/>
  <c r="N617" i="3"/>
  <c r="L616" i="3"/>
  <c r="J615" i="3"/>
  <c r="H614" i="3"/>
  <c r="F613" i="3"/>
  <c r="D612" i="3"/>
  <c r="P610" i="3"/>
  <c r="N609" i="3"/>
  <c r="L608" i="3"/>
  <c r="J607" i="3"/>
  <c r="H606" i="3"/>
  <c r="F605" i="3"/>
  <c r="D604" i="3"/>
  <c r="A603" i="3"/>
  <c r="P601" i="3"/>
  <c r="O600" i="3"/>
  <c r="N599" i="3"/>
  <c r="M598" i="3"/>
  <c r="L597" i="3"/>
  <c r="K596" i="3"/>
  <c r="J595" i="3"/>
  <c r="I594" i="3"/>
  <c r="H593" i="3"/>
  <c r="G592" i="3"/>
  <c r="F591" i="3"/>
  <c r="E590" i="3"/>
  <c r="D589" i="3"/>
  <c r="C588" i="3"/>
  <c r="A587" i="3"/>
  <c r="P585" i="3"/>
  <c r="O584" i="3"/>
  <c r="N583" i="3"/>
  <c r="M582" i="3"/>
  <c r="L581" i="3"/>
  <c r="K580" i="3"/>
  <c r="J579" i="3"/>
  <c r="I578" i="3"/>
  <c r="H577" i="3"/>
  <c r="G576" i="3"/>
  <c r="F575" i="3"/>
  <c r="E574" i="3"/>
  <c r="D573" i="3"/>
  <c r="C572" i="3"/>
  <c r="A571" i="3"/>
  <c r="P569" i="3"/>
  <c r="O568" i="3"/>
  <c r="N567" i="3"/>
  <c r="M566" i="3"/>
  <c r="L565" i="3"/>
  <c r="K564" i="3"/>
  <c r="J563" i="3"/>
  <c r="I562" i="3"/>
  <c r="H561" i="3"/>
  <c r="G560" i="3"/>
  <c r="F559" i="3"/>
  <c r="E558" i="3"/>
  <c r="D557" i="3"/>
  <c r="C556" i="3"/>
  <c r="A1113" i="3"/>
  <c r="N1065" i="3"/>
  <c r="M1029" i="3"/>
  <c r="H1007" i="3"/>
  <c r="P983" i="3"/>
  <c r="J968" i="3"/>
  <c r="I954" i="3"/>
  <c r="O942" i="3"/>
  <c r="H930" i="3"/>
  <c r="H918" i="3"/>
  <c r="M907" i="3"/>
  <c r="I897" i="3"/>
  <c r="P888" i="3"/>
  <c r="J880" i="3"/>
  <c r="G873" i="3"/>
  <c r="L865" i="3"/>
  <c r="I859" i="3"/>
  <c r="O852" i="3"/>
  <c r="H846" i="3"/>
  <c r="F840" i="3"/>
  <c r="M833" i="3"/>
  <c r="K827" i="3"/>
  <c r="P821" i="3"/>
  <c r="N815" i="3"/>
  <c r="G810" i="3"/>
  <c r="D805" i="3"/>
  <c r="L799" i="3"/>
  <c r="D795" i="3"/>
  <c r="J791" i="3"/>
  <c r="E788" i="3"/>
  <c r="M784" i="3"/>
  <c r="L781" i="3"/>
  <c r="L778" i="3"/>
  <c r="F776" i="3"/>
  <c r="M773" i="3"/>
  <c r="G771" i="3"/>
  <c r="N768" i="3"/>
  <c r="H766" i="3"/>
  <c r="O763" i="3"/>
  <c r="I761" i="3"/>
  <c r="C759" i="3"/>
  <c r="J756" i="3"/>
  <c r="D754" i="3"/>
  <c r="N751" i="3"/>
  <c r="J749" i="3"/>
  <c r="F747" i="3"/>
  <c r="P744" i="3"/>
  <c r="L742" i="3"/>
  <c r="H740" i="3"/>
  <c r="D738" i="3"/>
  <c r="N735" i="3"/>
  <c r="J733" i="3"/>
  <c r="F731" i="3"/>
  <c r="P728" i="3"/>
  <c r="L726" i="3"/>
  <c r="H724" i="3"/>
  <c r="D722" i="3"/>
  <c r="N719" i="3"/>
  <c r="D718" i="3"/>
  <c r="P715" i="3"/>
  <c r="N713" i="3"/>
  <c r="M711" i="3"/>
  <c r="C710" i="3"/>
  <c r="O707" i="3"/>
  <c r="M705" i="3"/>
  <c r="K703" i="3"/>
  <c r="J701" i="3"/>
  <c r="N699" i="3"/>
  <c r="L697" i="3"/>
  <c r="J695" i="3"/>
  <c r="I693" i="3"/>
  <c r="M691" i="3"/>
  <c r="K689" i="3"/>
  <c r="I687" i="3"/>
  <c r="G685" i="3"/>
  <c r="F683" i="3"/>
  <c r="J681" i="3"/>
  <c r="H679" i="3"/>
  <c r="F677" i="3"/>
  <c r="E675" i="3"/>
  <c r="I673" i="3"/>
  <c r="G671" i="3"/>
  <c r="E669" i="3"/>
  <c r="C667" i="3"/>
  <c r="P664" i="3"/>
  <c r="F663" i="3"/>
  <c r="D661" i="3"/>
  <c r="C659" i="3"/>
  <c r="I657" i="3"/>
  <c r="I655" i="3"/>
  <c r="I653" i="3"/>
  <c r="P651" i="3"/>
  <c r="D650" i="3"/>
  <c r="K648" i="3"/>
  <c r="M646" i="3"/>
  <c r="F645" i="3"/>
  <c r="M643" i="3"/>
  <c r="O641" i="3"/>
  <c r="H640" i="3"/>
  <c r="J638" i="3"/>
  <c r="C637" i="3"/>
  <c r="E635" i="3"/>
  <c r="M633" i="3"/>
  <c r="H632" i="3"/>
  <c r="O630" i="3"/>
  <c r="I629" i="3"/>
  <c r="D628" i="3"/>
  <c r="M626" i="3"/>
  <c r="I625" i="3"/>
  <c r="D624" i="3"/>
  <c r="M622" i="3"/>
  <c r="I621" i="3"/>
  <c r="E620" i="3"/>
  <c r="P618" i="3"/>
  <c r="M617" i="3"/>
  <c r="K616" i="3"/>
  <c r="I615" i="3"/>
  <c r="G614" i="3"/>
  <c r="E613" i="3"/>
  <c r="C612" i="3"/>
  <c r="O610" i="3"/>
  <c r="M609" i="3"/>
  <c r="K608" i="3"/>
  <c r="I607" i="3"/>
  <c r="G606" i="3"/>
  <c r="E605" i="3"/>
  <c r="C604" i="3"/>
  <c r="P602" i="3"/>
  <c r="O601" i="3"/>
  <c r="N600" i="3"/>
  <c r="M599" i="3"/>
  <c r="L598" i="3"/>
  <c r="K597" i="3"/>
  <c r="J596" i="3"/>
  <c r="I595" i="3"/>
  <c r="H594" i="3"/>
  <c r="G593" i="3"/>
  <c r="F592" i="3"/>
  <c r="E591" i="3"/>
  <c r="D590" i="3"/>
  <c r="C589" i="3"/>
  <c r="A588" i="3"/>
  <c r="P586" i="3"/>
  <c r="O585" i="3"/>
  <c r="N584" i="3"/>
  <c r="M583" i="3"/>
  <c r="L582" i="3"/>
  <c r="K581" i="3"/>
  <c r="J580" i="3"/>
  <c r="I579" i="3"/>
  <c r="H578" i="3"/>
  <c r="G577" i="3"/>
  <c r="F576" i="3"/>
  <c r="E575" i="3"/>
  <c r="D574" i="3"/>
  <c r="C573" i="3"/>
  <c r="A572" i="3"/>
  <c r="P570" i="3"/>
  <c r="O569" i="3"/>
  <c r="N568" i="3"/>
  <c r="M567" i="3"/>
  <c r="L566" i="3"/>
  <c r="K565" i="3"/>
  <c r="J564" i="3"/>
  <c r="I563" i="3"/>
  <c r="H562" i="3"/>
  <c r="G561" i="3"/>
  <c r="F560" i="3"/>
  <c r="E559" i="3"/>
  <c r="D558" i="3"/>
  <c r="K1110" i="3"/>
  <c r="E1058" i="3"/>
  <c r="N1026" i="3"/>
  <c r="H1003" i="3"/>
  <c r="I983" i="3"/>
  <c r="N965" i="3"/>
  <c r="B953" i="3"/>
  <c r="P939" i="3"/>
  <c r="O929" i="3"/>
  <c r="K917" i="3"/>
  <c r="K905" i="3"/>
  <c r="K896" i="3"/>
  <c r="J887" i="3"/>
  <c r="F880" i="3"/>
  <c r="O871" i="3"/>
  <c r="H865" i="3"/>
  <c r="L858" i="3"/>
  <c r="K852" i="3"/>
  <c r="E845" i="3"/>
  <c r="C839" i="3"/>
  <c r="A833" i="3"/>
  <c r="G827" i="3"/>
  <c r="E821" i="3"/>
  <c r="N814" i="3"/>
  <c r="L809" i="3"/>
  <c r="I804" i="3"/>
  <c r="G799" i="3"/>
  <c r="L794" i="3"/>
  <c r="B791" i="3"/>
  <c r="N787" i="3"/>
  <c r="I784" i="3"/>
  <c r="E781" i="3"/>
  <c r="H778" i="3"/>
  <c r="O775" i="3"/>
  <c r="I773" i="3"/>
  <c r="C771" i="3"/>
  <c r="J768" i="3"/>
  <c r="D766" i="3"/>
  <c r="K763" i="3"/>
  <c r="E761" i="3"/>
  <c r="L758" i="3"/>
  <c r="F756" i="3"/>
  <c r="N753" i="3"/>
  <c r="J751" i="3"/>
  <c r="F749" i="3"/>
  <c r="P746" i="3"/>
  <c r="L744" i="3"/>
  <c r="H742" i="3"/>
  <c r="D740" i="3"/>
  <c r="N737" i="3"/>
  <c r="J735" i="3"/>
  <c r="F733" i="3"/>
  <c r="P730" i="3"/>
  <c r="L728" i="3"/>
  <c r="H726" i="3"/>
  <c r="D724" i="3"/>
  <c r="N721" i="3"/>
  <c r="K719" i="3"/>
  <c r="J717" i="3"/>
  <c r="N715" i="3"/>
  <c r="L713" i="3"/>
  <c r="J711" i="3"/>
  <c r="I709" i="3"/>
  <c r="M707" i="3"/>
  <c r="K705" i="3"/>
  <c r="I703" i="3"/>
  <c r="G701" i="3"/>
  <c r="F699" i="3"/>
  <c r="J697" i="3"/>
  <c r="H695" i="3"/>
  <c r="F693" i="3"/>
  <c r="E691" i="3"/>
  <c r="I689" i="3"/>
  <c r="G687" i="3"/>
  <c r="E685" i="3"/>
  <c r="C683" i="3"/>
  <c r="P680" i="3"/>
  <c r="F679" i="3"/>
  <c r="D677" i="3"/>
  <c r="P674" i="3"/>
  <c r="O672" i="3"/>
  <c r="E671" i="3"/>
  <c r="C669" i="3"/>
  <c r="O666" i="3"/>
  <c r="M664" i="3"/>
  <c r="L662" i="3"/>
  <c r="P660" i="3"/>
  <c r="O658" i="3"/>
  <c r="O656" i="3"/>
  <c r="G655" i="3"/>
  <c r="G653" i="3"/>
  <c r="N651" i="3"/>
  <c r="P649" i="3"/>
  <c r="I648" i="3"/>
  <c r="K646" i="3"/>
  <c r="D645" i="3"/>
  <c r="F643" i="3"/>
  <c r="M641" i="3"/>
  <c r="O639" i="3"/>
  <c r="H638" i="3"/>
  <c r="O636" i="3"/>
  <c r="C635" i="3"/>
  <c r="K633" i="3"/>
  <c r="D632" i="3"/>
  <c r="L630" i="3"/>
  <c r="G629" i="3"/>
  <c r="P627" i="3"/>
  <c r="K626" i="3"/>
  <c r="F625" i="3"/>
  <c r="O623" i="3"/>
  <c r="K622" i="3"/>
  <c r="G621" i="3"/>
  <c r="C620" i="3"/>
  <c r="N618" i="3"/>
  <c r="K617" i="3"/>
  <c r="I616" i="3"/>
  <c r="G615" i="3"/>
  <c r="E614" i="3"/>
  <c r="C613" i="3"/>
  <c r="O611" i="3"/>
  <c r="M610" i="3"/>
  <c r="K609" i="3"/>
  <c r="I608" i="3"/>
  <c r="G607" i="3"/>
  <c r="E606" i="3"/>
  <c r="C605" i="3"/>
  <c r="O603" i="3"/>
  <c r="N602" i="3"/>
  <c r="M601" i="3"/>
  <c r="L600" i="3"/>
  <c r="J1110" i="3"/>
  <c r="L1026" i="3"/>
  <c r="D983" i="3"/>
  <c r="A953" i="3"/>
  <c r="D928" i="3"/>
  <c r="J905" i="3"/>
  <c r="I887" i="3"/>
  <c r="N871" i="3"/>
  <c r="K858" i="3"/>
  <c r="B845" i="3"/>
  <c r="P832" i="3"/>
  <c r="C821" i="3"/>
  <c r="F809" i="3"/>
  <c r="F799" i="3"/>
  <c r="N790" i="3"/>
  <c r="H784" i="3"/>
  <c r="G778" i="3"/>
  <c r="H773" i="3"/>
  <c r="I768" i="3"/>
  <c r="J763" i="3"/>
  <c r="K758" i="3"/>
  <c r="M753" i="3"/>
  <c r="E749" i="3"/>
  <c r="K744" i="3"/>
  <c r="C740" i="3"/>
  <c r="I735" i="3"/>
  <c r="O730" i="3"/>
  <c r="G726" i="3"/>
  <c r="M721" i="3"/>
  <c r="I717" i="3"/>
  <c r="K713" i="3"/>
  <c r="G709" i="3"/>
  <c r="J705" i="3"/>
  <c r="F701" i="3"/>
  <c r="I697" i="3"/>
  <c r="E693" i="3"/>
  <c r="P688" i="3"/>
  <c r="D685" i="3"/>
  <c r="O680" i="3"/>
  <c r="C677" i="3"/>
  <c r="M672" i="3"/>
  <c r="P668" i="3"/>
  <c r="L664" i="3"/>
  <c r="O660" i="3"/>
  <c r="N656" i="3"/>
  <c r="F653" i="3"/>
  <c r="O649" i="3"/>
  <c r="J646" i="3"/>
  <c r="E643" i="3"/>
  <c r="N639" i="3"/>
  <c r="I636" i="3"/>
  <c r="J633" i="3"/>
  <c r="K630" i="3"/>
  <c r="O627" i="3"/>
  <c r="E625" i="3"/>
  <c r="J622" i="3"/>
  <c r="P619" i="3"/>
  <c r="J617" i="3"/>
  <c r="F615" i="3"/>
  <c r="P612" i="3"/>
  <c r="L610" i="3"/>
  <c r="H608" i="3"/>
  <c r="D606" i="3"/>
  <c r="N603" i="3"/>
  <c r="L601" i="3"/>
  <c r="K599" i="3"/>
  <c r="C598" i="3"/>
  <c r="C596" i="3"/>
  <c r="C594" i="3"/>
  <c r="C592" i="3"/>
  <c r="C590" i="3"/>
  <c r="J588" i="3"/>
  <c r="J586" i="3"/>
  <c r="J584" i="3"/>
  <c r="J582" i="3"/>
  <c r="A581" i="3"/>
  <c r="A579" i="3"/>
  <c r="A577" i="3"/>
  <c r="A575" i="3"/>
  <c r="A573" i="3"/>
  <c r="I571" i="3"/>
  <c r="I569" i="3"/>
  <c r="I567" i="3"/>
  <c r="I565" i="3"/>
  <c r="P563" i="3"/>
  <c r="P561" i="3"/>
  <c r="P559" i="3"/>
  <c r="P557" i="3"/>
  <c r="I556" i="3"/>
  <c r="L554" i="3"/>
  <c r="F553" i="3"/>
  <c r="J551" i="3"/>
  <c r="D550" i="3"/>
  <c r="H548" i="3"/>
  <c r="A547" i="3"/>
  <c r="F545" i="3"/>
  <c r="P543" i="3"/>
  <c r="F542" i="3"/>
  <c r="A541" i="3"/>
  <c r="G539" i="3"/>
  <c r="B538" i="3"/>
  <c r="M536" i="3"/>
  <c r="C535" i="3"/>
  <c r="O533" i="3"/>
  <c r="G532" i="3"/>
  <c r="C531" i="3"/>
  <c r="O529" i="3"/>
  <c r="I528" i="3"/>
  <c r="E527" i="3"/>
  <c r="B526" i="3"/>
  <c r="O524" i="3"/>
  <c r="K523" i="3"/>
  <c r="F522" i="3"/>
  <c r="C521" i="3"/>
  <c r="P519" i="3"/>
  <c r="M518" i="3"/>
  <c r="G517" i="3"/>
  <c r="D516" i="3"/>
  <c r="A515" i="3"/>
  <c r="N513" i="3"/>
  <c r="I512" i="3"/>
  <c r="E511" i="3"/>
  <c r="B510" i="3"/>
  <c r="O508" i="3"/>
  <c r="K507" i="3"/>
  <c r="H506" i="3"/>
  <c r="G505" i="3"/>
  <c r="F504" i="3"/>
  <c r="F503" i="3"/>
  <c r="F502" i="3"/>
  <c r="F501" i="3"/>
  <c r="F500" i="3"/>
  <c r="F499" i="3"/>
  <c r="F498" i="3"/>
  <c r="F497" i="3"/>
  <c r="F496" i="3"/>
  <c r="F495" i="3"/>
  <c r="F494" i="3"/>
  <c r="F493" i="3"/>
  <c r="F492" i="3"/>
  <c r="F491" i="3"/>
  <c r="F490" i="3"/>
  <c r="F489" i="3"/>
  <c r="F488" i="3"/>
  <c r="F487" i="3"/>
  <c r="F486" i="3"/>
  <c r="F485" i="3"/>
  <c r="F484" i="3"/>
  <c r="F483" i="3"/>
  <c r="F482" i="3"/>
  <c r="F481" i="3"/>
  <c r="F480" i="3"/>
  <c r="F479" i="3"/>
  <c r="F478" i="3"/>
  <c r="F477" i="3"/>
  <c r="F476" i="3"/>
  <c r="F475" i="3"/>
  <c r="F474" i="3"/>
  <c r="F473" i="3"/>
  <c r="F472" i="3"/>
  <c r="F471" i="3"/>
  <c r="F470" i="3"/>
  <c r="F469" i="3"/>
  <c r="F468" i="3"/>
  <c r="F467" i="3"/>
  <c r="F466" i="3"/>
  <c r="F465" i="3"/>
  <c r="F464" i="3"/>
  <c r="F463" i="3"/>
  <c r="F462" i="3"/>
  <c r="F461" i="3"/>
  <c r="F460" i="3"/>
  <c r="F459" i="3"/>
  <c r="F458" i="3"/>
  <c r="F457" i="3"/>
  <c r="F456" i="3"/>
  <c r="F455" i="3"/>
  <c r="F454" i="3"/>
  <c r="F453" i="3"/>
  <c r="F452" i="3"/>
  <c r="F451" i="3"/>
  <c r="F450" i="3"/>
  <c r="F449" i="3"/>
  <c r="F448" i="3"/>
  <c r="F447" i="3"/>
  <c r="F446" i="3"/>
  <c r="F445" i="3"/>
  <c r="F444" i="3"/>
  <c r="F443" i="3"/>
  <c r="F442" i="3"/>
  <c r="F441" i="3"/>
  <c r="F440" i="3"/>
  <c r="F439" i="3"/>
  <c r="F438" i="3"/>
  <c r="F437" i="3"/>
  <c r="F436" i="3"/>
  <c r="F435" i="3"/>
  <c r="F434" i="3"/>
  <c r="F433" i="3"/>
  <c r="F432" i="3"/>
  <c r="F431" i="3"/>
  <c r="F430" i="3"/>
  <c r="F429" i="3"/>
  <c r="F428" i="3"/>
  <c r="F427" i="3"/>
  <c r="F426" i="3"/>
  <c r="F425" i="3"/>
  <c r="F424" i="3"/>
  <c r="F423" i="3"/>
  <c r="F422" i="3"/>
  <c r="F421" i="3"/>
  <c r="F420" i="3"/>
  <c r="F419" i="3"/>
  <c r="F418" i="3"/>
  <c r="F417" i="3"/>
  <c r="F416" i="3"/>
  <c r="F415" i="3"/>
  <c r="F414" i="3"/>
  <c r="F413" i="3"/>
  <c r="F412" i="3"/>
  <c r="F411" i="3"/>
  <c r="F410" i="3"/>
  <c r="F409" i="3"/>
  <c r="F408" i="3"/>
  <c r="F407" i="3"/>
  <c r="F406" i="3"/>
  <c r="F405" i="3"/>
  <c r="F404" i="3"/>
  <c r="F403" i="3"/>
  <c r="F402" i="3"/>
  <c r="F401" i="3"/>
  <c r="F400" i="3"/>
  <c r="F399" i="3"/>
  <c r="F398" i="3"/>
  <c r="F397" i="3"/>
  <c r="F396" i="3"/>
  <c r="F395" i="3"/>
  <c r="F394" i="3"/>
  <c r="F393" i="3"/>
  <c r="F392" i="3"/>
  <c r="F391" i="3"/>
  <c r="F390" i="3"/>
  <c r="F389" i="3"/>
  <c r="F388" i="3"/>
  <c r="F387" i="3"/>
  <c r="F386" i="3"/>
  <c r="F385" i="3"/>
  <c r="F384" i="3"/>
  <c r="F383" i="3"/>
  <c r="F382" i="3"/>
  <c r="F381" i="3"/>
  <c r="F380" i="3"/>
  <c r="F379" i="3"/>
  <c r="F378" i="3"/>
  <c r="F377" i="3"/>
  <c r="F376" i="3"/>
  <c r="F375" i="3"/>
  <c r="F374" i="3"/>
  <c r="F373" i="3"/>
  <c r="F372" i="3"/>
  <c r="F371" i="3"/>
  <c r="F370" i="3"/>
  <c r="F369" i="3"/>
  <c r="F368" i="3"/>
  <c r="F367" i="3"/>
  <c r="F366" i="3"/>
  <c r="F365" i="3"/>
  <c r="F364" i="3"/>
  <c r="F363" i="3"/>
  <c r="F362" i="3"/>
  <c r="F361" i="3"/>
  <c r="F360" i="3"/>
  <c r="F359" i="3"/>
  <c r="F358" i="3"/>
  <c r="F357" i="3"/>
  <c r="F356" i="3"/>
  <c r="F355" i="3"/>
  <c r="F354" i="3"/>
  <c r="F353" i="3"/>
  <c r="F352" i="3"/>
  <c r="F351" i="3"/>
  <c r="F350" i="3"/>
  <c r="F349" i="3"/>
  <c r="F348" i="3"/>
  <c r="F347" i="3"/>
  <c r="F346" i="3"/>
  <c r="F345" i="3"/>
  <c r="F344" i="3"/>
  <c r="F343" i="3"/>
  <c r="F342" i="3"/>
  <c r="F341" i="3"/>
  <c r="F340" i="3"/>
  <c r="F339" i="3"/>
  <c r="F338" i="3"/>
  <c r="F337" i="3"/>
  <c r="F336" i="3"/>
  <c r="F335" i="3"/>
  <c r="F334" i="3"/>
  <c r="F333" i="3"/>
  <c r="F332" i="3"/>
  <c r="F331" i="3"/>
  <c r="F330" i="3"/>
  <c r="F329" i="3"/>
  <c r="F328" i="3"/>
  <c r="F327" i="3"/>
  <c r="F326" i="3"/>
  <c r="F325" i="3"/>
  <c r="F324" i="3"/>
  <c r="F323" i="3"/>
  <c r="F322" i="3"/>
  <c r="F321" i="3"/>
  <c r="F320" i="3"/>
  <c r="F319" i="3"/>
  <c r="F318" i="3"/>
  <c r="F317" i="3"/>
  <c r="F316" i="3"/>
  <c r="F315" i="3"/>
  <c r="F314" i="3"/>
  <c r="F313" i="3"/>
  <c r="F312" i="3"/>
  <c r="F311" i="3"/>
  <c r="F310" i="3"/>
  <c r="I1109" i="3"/>
  <c r="K1026" i="3"/>
  <c r="N981" i="3"/>
  <c r="E951" i="3"/>
  <c r="B928" i="3"/>
  <c r="I905" i="3"/>
  <c r="O886" i="3"/>
  <c r="M871" i="3"/>
  <c r="J858" i="3"/>
  <c r="P844" i="3"/>
  <c r="O832" i="3"/>
  <c r="E820" i="3"/>
  <c r="D809" i="3"/>
  <c r="E799" i="3"/>
  <c r="M790" i="3"/>
  <c r="G784" i="3"/>
  <c r="F778" i="3"/>
  <c r="G773" i="3"/>
  <c r="H768" i="3"/>
  <c r="I763" i="3"/>
  <c r="J758" i="3"/>
  <c r="L753" i="3"/>
  <c r="D749" i="3"/>
  <c r="J744" i="3"/>
  <c r="P739" i="3"/>
  <c r="H735" i="3"/>
  <c r="N730" i="3"/>
  <c r="F726" i="3"/>
  <c r="L721" i="3"/>
  <c r="G717" i="3"/>
  <c r="J713" i="3"/>
  <c r="F709" i="3"/>
  <c r="I705" i="3"/>
  <c r="E701" i="3"/>
  <c r="P696" i="3"/>
  <c r="D693" i="3"/>
  <c r="O688" i="3"/>
  <c r="C685" i="3"/>
  <c r="M680" i="3"/>
  <c r="P676" i="3"/>
  <c r="L672" i="3"/>
  <c r="O668" i="3"/>
  <c r="K664" i="3"/>
  <c r="H660" i="3"/>
  <c r="M656" i="3"/>
  <c r="E653" i="3"/>
  <c r="N649" i="3"/>
  <c r="I646" i="3"/>
  <c r="D643" i="3"/>
  <c r="M639" i="3"/>
  <c r="H636" i="3"/>
  <c r="I633" i="3"/>
  <c r="J630" i="3"/>
  <c r="N627" i="3"/>
  <c r="C625" i="3"/>
  <c r="I622" i="3"/>
  <c r="O619" i="3"/>
  <c r="I617" i="3"/>
  <c r="E615" i="3"/>
  <c r="O612" i="3"/>
  <c r="K610" i="3"/>
  <c r="G608" i="3"/>
  <c r="C606" i="3"/>
  <c r="M603" i="3"/>
  <c r="K601" i="3"/>
  <c r="J599" i="3"/>
  <c r="J597" i="3"/>
  <c r="A596" i="3"/>
  <c r="A594" i="3"/>
  <c r="A592" i="3"/>
  <c r="A590" i="3"/>
  <c r="I588" i="3"/>
  <c r="I586" i="3"/>
  <c r="I584" i="3"/>
  <c r="I582" i="3"/>
  <c r="I580" i="3"/>
  <c r="P578" i="3"/>
  <c r="P576" i="3"/>
  <c r="P574" i="3"/>
  <c r="P572" i="3"/>
  <c r="H571" i="3"/>
  <c r="H569" i="3"/>
  <c r="H567" i="3"/>
  <c r="H565" i="3"/>
  <c r="H563" i="3"/>
  <c r="O561" i="3"/>
  <c r="O559" i="3"/>
  <c r="O557" i="3"/>
  <c r="A556" i="3"/>
  <c r="K554" i="3"/>
  <c r="O552" i="3"/>
  <c r="I551" i="3"/>
  <c r="C550" i="3"/>
  <c r="G548" i="3"/>
  <c r="P546" i="3"/>
  <c r="E545" i="3"/>
  <c r="O543" i="3"/>
  <c r="E542" i="3"/>
  <c r="P540" i="3"/>
  <c r="F539" i="3"/>
  <c r="A538" i="3"/>
  <c r="G536" i="3"/>
  <c r="B535" i="3"/>
  <c r="N533" i="3"/>
  <c r="F532" i="3"/>
  <c r="B531" i="3"/>
  <c r="N529" i="3"/>
  <c r="G528" i="3"/>
  <c r="D527" i="3"/>
  <c r="A526" i="3"/>
  <c r="N524" i="3"/>
  <c r="I523" i="3"/>
  <c r="E522" i="3"/>
  <c r="B521" i="3"/>
  <c r="O519" i="3"/>
  <c r="K518" i="3"/>
  <c r="F517" i="3"/>
  <c r="C516" i="3"/>
  <c r="P514" i="3"/>
  <c r="M513" i="3"/>
  <c r="G512" i="3"/>
  <c r="D511" i="3"/>
  <c r="A510" i="3"/>
  <c r="N508" i="3"/>
  <c r="I507" i="3"/>
  <c r="G506" i="3"/>
  <c r="F505" i="3"/>
  <c r="E504" i="3"/>
  <c r="E503" i="3"/>
  <c r="E502" i="3"/>
  <c r="E501" i="3"/>
  <c r="E500" i="3"/>
  <c r="E499" i="3"/>
  <c r="E498" i="3"/>
  <c r="E497" i="3"/>
  <c r="E496" i="3"/>
  <c r="E495" i="3"/>
  <c r="E494" i="3"/>
  <c r="E493" i="3"/>
  <c r="E492" i="3"/>
  <c r="E491" i="3"/>
  <c r="E490" i="3"/>
  <c r="E489" i="3"/>
  <c r="E488" i="3"/>
  <c r="E487" i="3"/>
  <c r="E486" i="3"/>
  <c r="E485" i="3"/>
  <c r="E484" i="3"/>
  <c r="E483" i="3"/>
  <c r="E482" i="3"/>
  <c r="E481" i="3"/>
  <c r="E480" i="3"/>
  <c r="E479" i="3"/>
  <c r="E478" i="3"/>
  <c r="E477" i="3"/>
  <c r="E476" i="3"/>
  <c r="E475" i="3"/>
  <c r="E474" i="3"/>
  <c r="E473" i="3"/>
  <c r="E472" i="3"/>
  <c r="E471" i="3"/>
  <c r="E470" i="3"/>
  <c r="E469" i="3"/>
  <c r="E468" i="3"/>
  <c r="E467" i="3"/>
  <c r="E466" i="3"/>
  <c r="E465" i="3"/>
  <c r="E464" i="3"/>
  <c r="E463" i="3"/>
  <c r="E462" i="3"/>
  <c r="E461" i="3"/>
  <c r="E460" i="3"/>
  <c r="E459" i="3"/>
  <c r="E458" i="3"/>
  <c r="E457" i="3"/>
  <c r="E456" i="3"/>
  <c r="E455" i="3"/>
  <c r="E454" i="3"/>
  <c r="E453" i="3"/>
  <c r="E452" i="3"/>
  <c r="E451" i="3"/>
  <c r="E450" i="3"/>
  <c r="E449" i="3"/>
  <c r="E448" i="3"/>
  <c r="E447" i="3"/>
  <c r="E446" i="3"/>
  <c r="E445" i="3"/>
  <c r="E444" i="3"/>
  <c r="E443" i="3"/>
  <c r="E442" i="3"/>
  <c r="E441" i="3"/>
  <c r="E440" i="3"/>
  <c r="E439" i="3"/>
  <c r="E438" i="3"/>
  <c r="E437" i="3"/>
  <c r="E436" i="3"/>
  <c r="E435" i="3"/>
  <c r="E434" i="3"/>
  <c r="E433" i="3"/>
  <c r="E432" i="3"/>
  <c r="E431" i="3"/>
  <c r="E430" i="3"/>
  <c r="E429" i="3"/>
  <c r="E428" i="3"/>
  <c r="E427" i="3"/>
  <c r="E426" i="3"/>
  <c r="E425" i="3"/>
  <c r="E424" i="3"/>
  <c r="E423" i="3"/>
  <c r="E422" i="3"/>
  <c r="E421" i="3"/>
  <c r="E420" i="3"/>
  <c r="E419" i="3"/>
  <c r="E418" i="3"/>
  <c r="E417" i="3"/>
  <c r="E416" i="3"/>
  <c r="E415" i="3"/>
  <c r="E414" i="3"/>
  <c r="E413" i="3"/>
  <c r="E412" i="3"/>
  <c r="E411" i="3"/>
  <c r="E410" i="3"/>
  <c r="E409" i="3"/>
  <c r="E408" i="3"/>
  <c r="E407" i="3"/>
  <c r="E406" i="3"/>
  <c r="E405" i="3"/>
  <c r="E404" i="3"/>
  <c r="E403" i="3"/>
  <c r="E402" i="3"/>
  <c r="E401" i="3"/>
  <c r="E400" i="3"/>
  <c r="E399" i="3"/>
  <c r="E398" i="3"/>
  <c r="E397" i="3"/>
  <c r="E396" i="3"/>
  <c r="E395" i="3"/>
  <c r="E394" i="3"/>
  <c r="E393" i="3"/>
  <c r="E392" i="3"/>
  <c r="E391" i="3"/>
  <c r="E390" i="3"/>
  <c r="E389" i="3"/>
  <c r="E388" i="3"/>
  <c r="E387" i="3"/>
  <c r="E386" i="3"/>
  <c r="E385" i="3"/>
  <c r="E384" i="3"/>
  <c r="E383" i="3"/>
  <c r="E382" i="3"/>
  <c r="E381" i="3"/>
  <c r="E380" i="3"/>
  <c r="E379" i="3"/>
  <c r="E378" i="3"/>
  <c r="E377" i="3"/>
  <c r="E376" i="3"/>
  <c r="E375" i="3"/>
  <c r="E374" i="3"/>
  <c r="E373" i="3"/>
  <c r="E372" i="3"/>
  <c r="E371" i="3"/>
  <c r="E370" i="3"/>
  <c r="E369" i="3"/>
  <c r="E368" i="3"/>
  <c r="E367" i="3"/>
  <c r="E366" i="3"/>
  <c r="E365" i="3"/>
  <c r="E364" i="3"/>
  <c r="E363" i="3"/>
  <c r="E362" i="3"/>
  <c r="E361" i="3"/>
  <c r="E360" i="3"/>
  <c r="E359" i="3"/>
  <c r="E358" i="3"/>
  <c r="E357" i="3"/>
  <c r="E356" i="3"/>
  <c r="E355" i="3"/>
  <c r="E354" i="3"/>
  <c r="E353" i="3"/>
  <c r="E352" i="3"/>
  <c r="E351" i="3"/>
  <c r="E350" i="3"/>
  <c r="E349" i="3"/>
  <c r="E348" i="3"/>
  <c r="E347" i="3"/>
  <c r="E346" i="3"/>
  <c r="E345" i="3"/>
  <c r="E344" i="3"/>
  <c r="E343" i="3"/>
  <c r="E342" i="3"/>
  <c r="E341" i="3"/>
  <c r="E340" i="3"/>
  <c r="E339" i="3"/>
  <c r="E338" i="3"/>
  <c r="E337" i="3"/>
  <c r="E336" i="3"/>
  <c r="E335" i="3"/>
  <c r="E334" i="3"/>
  <c r="E333" i="3"/>
  <c r="E332" i="3"/>
  <c r="E331" i="3"/>
  <c r="E330" i="3"/>
  <c r="E329" i="3"/>
  <c r="E328" i="3"/>
  <c r="E327" i="3"/>
  <c r="E326" i="3"/>
  <c r="E325" i="3"/>
  <c r="E324" i="3"/>
  <c r="E323" i="3"/>
  <c r="E322" i="3"/>
  <c r="E321" i="3"/>
  <c r="E320" i="3"/>
  <c r="E319" i="3"/>
  <c r="E318" i="3"/>
  <c r="E317" i="3"/>
  <c r="E316" i="3"/>
  <c r="E315" i="3"/>
  <c r="E314" i="3"/>
  <c r="E313" i="3"/>
  <c r="E312" i="3"/>
  <c r="E311" i="3"/>
  <c r="E310" i="3"/>
  <c r="E309" i="3"/>
  <c r="E308" i="3"/>
  <c r="E307" i="3"/>
  <c r="E306" i="3"/>
  <c r="E305" i="3"/>
  <c r="E304" i="3"/>
  <c r="E303" i="3"/>
  <c r="E302" i="3"/>
  <c r="E301" i="3"/>
  <c r="E300" i="3"/>
  <c r="E299" i="3"/>
  <c r="E298" i="3"/>
  <c r="E297" i="3"/>
  <c r="E296" i="3"/>
  <c r="E295" i="3"/>
  <c r="E294" i="3"/>
  <c r="E293" i="3"/>
  <c r="N1105" i="3"/>
  <c r="J1026" i="3"/>
  <c r="I980" i="3"/>
  <c r="P950" i="3"/>
  <c r="I927" i="3"/>
  <c r="H905" i="3"/>
  <c r="N886" i="3"/>
  <c r="L871" i="3"/>
  <c r="I858" i="3"/>
  <c r="O844" i="3"/>
  <c r="N832" i="3"/>
  <c r="C820" i="3"/>
  <c r="M808" i="3"/>
  <c r="I798" i="3"/>
  <c r="L790" i="3"/>
  <c r="F784" i="3"/>
  <c r="E778" i="3"/>
  <c r="F773" i="3"/>
  <c r="G768" i="3"/>
  <c r="H763" i="3"/>
  <c r="I758" i="3"/>
  <c r="K753" i="3"/>
  <c r="C749" i="3"/>
  <c r="I744" i="3"/>
  <c r="O739" i="3"/>
  <c r="G735" i="3"/>
  <c r="M730" i="3"/>
  <c r="E726" i="3"/>
  <c r="K721" i="3"/>
  <c r="F717" i="3"/>
  <c r="I713" i="3"/>
  <c r="E709" i="3"/>
  <c r="P704" i="3"/>
  <c r="D701" i="3"/>
  <c r="O696" i="3"/>
  <c r="C693" i="3"/>
  <c r="M688" i="3"/>
  <c r="P684" i="3"/>
  <c r="L680" i="3"/>
  <c r="O676" i="3"/>
  <c r="K672" i="3"/>
  <c r="H668" i="3"/>
  <c r="J664" i="3"/>
  <c r="G660" i="3"/>
  <c r="L656" i="3"/>
  <c r="D653" i="3"/>
  <c r="M649" i="3"/>
  <c r="H646" i="3"/>
  <c r="C643" i="3"/>
  <c r="L639" i="3"/>
  <c r="G636" i="3"/>
  <c r="F633" i="3"/>
  <c r="I630" i="3"/>
  <c r="M627" i="3"/>
  <c r="P624" i="3"/>
  <c r="H622" i="3"/>
  <c r="N619" i="3"/>
  <c r="H617" i="3"/>
  <c r="D615" i="3"/>
  <c r="N612" i="3"/>
  <c r="J610" i="3"/>
  <c r="F608" i="3"/>
  <c r="P605" i="3"/>
  <c r="L603" i="3"/>
  <c r="J601" i="3"/>
  <c r="I599" i="3"/>
  <c r="I597" i="3"/>
  <c r="P595" i="3"/>
  <c r="P593" i="3"/>
  <c r="P591" i="3"/>
  <c r="P589" i="3"/>
  <c r="P587" i="3"/>
  <c r="H586" i="3"/>
  <c r="H584" i="3"/>
  <c r="H582" i="3"/>
  <c r="H580" i="3"/>
  <c r="O578" i="3"/>
  <c r="O576" i="3"/>
  <c r="O574" i="3"/>
  <c r="O572" i="3"/>
  <c r="O570" i="3"/>
  <c r="G569" i="3"/>
  <c r="G567" i="3"/>
  <c r="G565" i="3"/>
  <c r="G563" i="3"/>
  <c r="N561" i="3"/>
  <c r="N559" i="3"/>
  <c r="N557" i="3"/>
  <c r="P555" i="3"/>
  <c r="J554" i="3"/>
  <c r="N552" i="3"/>
  <c r="H551" i="3"/>
  <c r="L549" i="3"/>
  <c r="F548" i="3"/>
  <c r="O546" i="3"/>
  <c r="D545" i="3"/>
  <c r="N543" i="3"/>
  <c r="D542" i="3"/>
  <c r="O540" i="3"/>
  <c r="E539" i="3"/>
  <c r="P537" i="3"/>
  <c r="F536" i="3"/>
  <c r="A535" i="3"/>
  <c r="M533" i="3"/>
  <c r="E532" i="3"/>
  <c r="A531" i="3"/>
  <c r="M529" i="3"/>
  <c r="F528" i="3"/>
  <c r="C527" i="3"/>
  <c r="P525" i="3"/>
  <c r="M524" i="3"/>
  <c r="G523" i="3"/>
  <c r="D522" i="3"/>
  <c r="A521" i="3"/>
  <c r="N519" i="3"/>
  <c r="I518" i="3"/>
  <c r="E517" i="3"/>
  <c r="B516" i="3"/>
  <c r="O514" i="3"/>
  <c r="K513" i="3"/>
  <c r="F512" i="3"/>
  <c r="C511" i="3"/>
  <c r="P509" i="3"/>
  <c r="M508" i="3"/>
  <c r="G507" i="3"/>
  <c r="F506" i="3"/>
  <c r="E505" i="3"/>
  <c r="D504" i="3"/>
  <c r="D503" i="3"/>
  <c r="D502" i="3"/>
  <c r="D501" i="3"/>
  <c r="D500" i="3"/>
  <c r="D499" i="3"/>
  <c r="D498" i="3"/>
  <c r="D497" i="3"/>
  <c r="D496" i="3"/>
  <c r="D495" i="3"/>
  <c r="D494" i="3"/>
  <c r="D493" i="3"/>
  <c r="D492" i="3"/>
  <c r="D491" i="3"/>
  <c r="D490" i="3"/>
  <c r="D489" i="3"/>
  <c r="D488" i="3"/>
  <c r="D487" i="3"/>
  <c r="D486" i="3"/>
  <c r="D485" i="3"/>
  <c r="D484" i="3"/>
  <c r="D483" i="3"/>
  <c r="D482" i="3"/>
  <c r="D481" i="3"/>
  <c r="D480" i="3"/>
  <c r="D479" i="3"/>
  <c r="D478" i="3"/>
  <c r="D477" i="3"/>
  <c r="D476" i="3"/>
  <c r="D475" i="3"/>
  <c r="D474" i="3"/>
  <c r="D473" i="3"/>
  <c r="D472" i="3"/>
  <c r="D471" i="3"/>
  <c r="D470" i="3"/>
  <c r="D469" i="3"/>
  <c r="D468" i="3"/>
  <c r="D467" i="3"/>
  <c r="D466" i="3"/>
  <c r="D465" i="3"/>
  <c r="D464" i="3"/>
  <c r="D463" i="3"/>
  <c r="D462" i="3"/>
  <c r="D461" i="3"/>
  <c r="D460" i="3"/>
  <c r="D459" i="3"/>
  <c r="D458" i="3"/>
  <c r="D457" i="3"/>
  <c r="D456" i="3"/>
  <c r="D455" i="3"/>
  <c r="D454" i="3"/>
  <c r="D453" i="3"/>
  <c r="D452" i="3"/>
  <c r="D451" i="3"/>
  <c r="D450" i="3"/>
  <c r="D449" i="3"/>
  <c r="D448" i="3"/>
  <c r="D447" i="3"/>
  <c r="D446" i="3"/>
  <c r="D445" i="3"/>
  <c r="D444" i="3"/>
  <c r="D443" i="3"/>
  <c r="D442" i="3"/>
  <c r="D441" i="3"/>
  <c r="D440" i="3"/>
  <c r="D439" i="3"/>
  <c r="D438" i="3"/>
  <c r="D437" i="3"/>
  <c r="D436" i="3"/>
  <c r="D435" i="3"/>
  <c r="D434" i="3"/>
  <c r="D433" i="3"/>
  <c r="D432" i="3"/>
  <c r="D431" i="3"/>
  <c r="D430" i="3"/>
  <c r="D429" i="3"/>
  <c r="D428" i="3"/>
  <c r="D427" i="3"/>
  <c r="D426" i="3"/>
  <c r="D425" i="3"/>
  <c r="D424" i="3"/>
  <c r="D423" i="3"/>
  <c r="D422" i="3"/>
  <c r="D421" i="3"/>
  <c r="D420" i="3"/>
  <c r="D419" i="3"/>
  <c r="D418" i="3"/>
  <c r="D417" i="3"/>
  <c r="D416" i="3"/>
  <c r="D415" i="3"/>
  <c r="D414" i="3"/>
  <c r="D413" i="3"/>
  <c r="D412" i="3"/>
  <c r="D411" i="3"/>
  <c r="D410" i="3"/>
  <c r="D409" i="3"/>
  <c r="D408" i="3"/>
  <c r="D407" i="3"/>
  <c r="D406" i="3"/>
  <c r="D405" i="3"/>
  <c r="D404" i="3"/>
  <c r="D403" i="3"/>
  <c r="D402" i="3"/>
  <c r="D401" i="3"/>
  <c r="D400" i="3"/>
  <c r="D399" i="3"/>
  <c r="D398" i="3"/>
  <c r="D397" i="3"/>
  <c r="D396" i="3"/>
  <c r="D395" i="3"/>
  <c r="D394" i="3"/>
  <c r="D393" i="3"/>
  <c r="D392" i="3"/>
  <c r="D391" i="3"/>
  <c r="D390" i="3"/>
  <c r="D389" i="3"/>
  <c r="D388" i="3"/>
  <c r="D387" i="3"/>
  <c r="D386" i="3"/>
  <c r="D385" i="3"/>
  <c r="D384" i="3"/>
  <c r="D383" i="3"/>
  <c r="D382" i="3"/>
  <c r="D381" i="3"/>
  <c r="D380" i="3"/>
  <c r="D379" i="3"/>
  <c r="D378" i="3"/>
  <c r="D377" i="3"/>
  <c r="D376" i="3"/>
  <c r="D375" i="3"/>
  <c r="D374" i="3"/>
  <c r="D373" i="3"/>
  <c r="D372" i="3"/>
  <c r="D371" i="3"/>
  <c r="D370" i="3"/>
  <c r="D369" i="3"/>
  <c r="D368" i="3"/>
  <c r="D367" i="3"/>
  <c r="D366" i="3"/>
  <c r="D365" i="3"/>
  <c r="D364" i="3"/>
  <c r="D363" i="3"/>
  <c r="D362" i="3"/>
  <c r="D361" i="3"/>
  <c r="D360" i="3"/>
  <c r="D359" i="3"/>
  <c r="D358" i="3"/>
  <c r="D357" i="3"/>
  <c r="D356" i="3"/>
  <c r="D355" i="3"/>
  <c r="D354" i="3"/>
  <c r="D353" i="3"/>
  <c r="D352" i="3"/>
  <c r="D351" i="3"/>
  <c r="D350" i="3"/>
  <c r="D349" i="3"/>
  <c r="D348" i="3"/>
  <c r="D347" i="3"/>
  <c r="D346" i="3"/>
  <c r="D345" i="3"/>
  <c r="D344" i="3"/>
  <c r="D343" i="3"/>
  <c r="D342" i="3"/>
  <c r="D341" i="3"/>
  <c r="D340" i="3"/>
  <c r="D339" i="3"/>
  <c r="D338" i="3"/>
  <c r="D337" i="3"/>
  <c r="D336" i="3"/>
  <c r="D335" i="3"/>
  <c r="D334" i="3"/>
  <c r="D333" i="3"/>
  <c r="D332" i="3"/>
  <c r="D331" i="3"/>
  <c r="D330" i="3"/>
  <c r="D329" i="3"/>
  <c r="D328" i="3"/>
  <c r="D327" i="3"/>
  <c r="D326" i="3"/>
  <c r="D325" i="3"/>
  <c r="D324" i="3"/>
  <c r="D323" i="3"/>
  <c r="D322" i="3"/>
  <c r="D321" i="3"/>
  <c r="D320" i="3"/>
  <c r="D319" i="3"/>
  <c r="D318" i="3"/>
  <c r="D317" i="3"/>
  <c r="D316" i="3"/>
  <c r="D315" i="3"/>
  <c r="D314" i="3"/>
  <c r="D313" i="3"/>
  <c r="D312" i="3"/>
  <c r="D311" i="3"/>
  <c r="D310" i="3"/>
  <c r="D309" i="3"/>
  <c r="D308" i="3"/>
  <c r="D307" i="3"/>
  <c r="D306" i="3"/>
  <c r="D305" i="3"/>
  <c r="D304" i="3"/>
  <c r="D303" i="3"/>
  <c r="D302" i="3"/>
  <c r="D301" i="3"/>
  <c r="D300" i="3"/>
  <c r="D299" i="3"/>
  <c r="D298" i="3"/>
  <c r="D297" i="3"/>
  <c r="D296" i="3"/>
  <c r="D295" i="3"/>
  <c r="D294" i="3"/>
  <c r="D293" i="3"/>
  <c r="D292" i="3"/>
  <c r="D291" i="3"/>
  <c r="K1104" i="3"/>
  <c r="M1021" i="3"/>
  <c r="F979" i="3"/>
  <c r="K950" i="3"/>
  <c r="E927" i="3"/>
  <c r="G905" i="3"/>
  <c r="L886" i="3"/>
  <c r="K871" i="3"/>
  <c r="I857" i="3"/>
  <c r="N844" i="3"/>
  <c r="M832" i="3"/>
  <c r="B820" i="3"/>
  <c r="L808" i="3"/>
  <c r="H798" i="3"/>
  <c r="K790" i="3"/>
  <c r="E784" i="3"/>
  <c r="D778" i="3"/>
  <c r="E773" i="3"/>
  <c r="F768" i="3"/>
  <c r="G763" i="3"/>
  <c r="H758" i="3"/>
  <c r="J753" i="3"/>
  <c r="P748" i="3"/>
  <c r="H744" i="3"/>
  <c r="N739" i="3"/>
  <c r="F735" i="3"/>
  <c r="L730" i="3"/>
  <c r="D726" i="3"/>
  <c r="J721" i="3"/>
  <c r="E717" i="3"/>
  <c r="P712" i="3"/>
  <c r="D709" i="3"/>
  <c r="O704" i="3"/>
  <c r="C701" i="3"/>
  <c r="M696" i="3"/>
  <c r="P692" i="3"/>
  <c r="L688" i="3"/>
  <c r="O684" i="3"/>
  <c r="K680" i="3"/>
  <c r="H676" i="3"/>
  <c r="J672" i="3"/>
  <c r="G668" i="3"/>
  <c r="I664" i="3"/>
  <c r="E660" i="3"/>
  <c r="K656" i="3"/>
  <c r="C653" i="3"/>
  <c r="L649" i="3"/>
  <c r="G646" i="3"/>
  <c r="P642" i="3"/>
  <c r="K639" i="3"/>
  <c r="F636" i="3"/>
  <c r="E633" i="3"/>
  <c r="H630" i="3"/>
  <c r="J627" i="3"/>
  <c r="O624" i="3"/>
  <c r="G622" i="3"/>
  <c r="M619" i="3"/>
  <c r="G617" i="3"/>
  <c r="C615" i="3"/>
  <c r="M612" i="3"/>
  <c r="I610" i="3"/>
  <c r="E608" i="3"/>
  <c r="O605" i="3"/>
  <c r="K603" i="3"/>
  <c r="I601" i="3"/>
  <c r="H599" i="3"/>
  <c r="H597" i="3"/>
  <c r="H595" i="3"/>
  <c r="O593" i="3"/>
  <c r="O591" i="3"/>
  <c r="O589" i="3"/>
  <c r="O587" i="3"/>
  <c r="G586" i="3"/>
  <c r="G584" i="3"/>
  <c r="G582" i="3"/>
  <c r="G580" i="3"/>
  <c r="G578" i="3"/>
  <c r="N576" i="3"/>
  <c r="N574" i="3"/>
  <c r="N572" i="3"/>
  <c r="N570" i="3"/>
  <c r="F569" i="3"/>
  <c r="F567" i="3"/>
  <c r="F565" i="3"/>
  <c r="F563" i="3"/>
  <c r="F561" i="3"/>
  <c r="M559" i="3"/>
  <c r="M557" i="3"/>
  <c r="O555" i="3"/>
  <c r="I554" i="3"/>
  <c r="M552" i="3"/>
  <c r="G551" i="3"/>
  <c r="K549" i="3"/>
  <c r="E548" i="3"/>
  <c r="I546" i="3"/>
  <c r="C545" i="3"/>
  <c r="M543" i="3"/>
  <c r="C542" i="3"/>
  <c r="N540" i="3"/>
  <c r="D539" i="3"/>
  <c r="O537" i="3"/>
  <c r="E536" i="3"/>
  <c r="P534" i="3"/>
  <c r="K533" i="3"/>
  <c r="D532" i="3"/>
  <c r="P530" i="3"/>
  <c r="K529" i="3"/>
  <c r="E528" i="3"/>
  <c r="B527" i="3"/>
  <c r="O525" i="3"/>
  <c r="K524" i="3"/>
  <c r="F523" i="3"/>
  <c r="C522" i="3"/>
  <c r="P520" i="3"/>
  <c r="M519" i="3"/>
  <c r="G518" i="3"/>
  <c r="D517" i="3"/>
  <c r="A516" i="3"/>
  <c r="N514" i="3"/>
  <c r="I513" i="3"/>
  <c r="E512" i="3"/>
  <c r="B511" i="3"/>
  <c r="O509" i="3"/>
  <c r="K508" i="3"/>
  <c r="F507" i="3"/>
  <c r="E506" i="3"/>
  <c r="D505" i="3"/>
  <c r="C504" i="3"/>
  <c r="C503" i="3"/>
  <c r="C502" i="3"/>
  <c r="C501" i="3"/>
  <c r="C500" i="3"/>
  <c r="C499" i="3"/>
  <c r="C498" i="3"/>
  <c r="C497" i="3"/>
  <c r="C496" i="3"/>
  <c r="C495" i="3"/>
  <c r="C494" i="3"/>
  <c r="C493" i="3"/>
  <c r="C492" i="3"/>
  <c r="C491" i="3"/>
  <c r="C490" i="3"/>
  <c r="C489" i="3"/>
  <c r="C488" i="3"/>
  <c r="C487" i="3"/>
  <c r="C486" i="3"/>
  <c r="C485" i="3"/>
  <c r="C484" i="3"/>
  <c r="C483" i="3"/>
  <c r="C482" i="3"/>
  <c r="C481" i="3"/>
  <c r="C480" i="3"/>
  <c r="C479" i="3"/>
  <c r="C478" i="3"/>
  <c r="C477" i="3"/>
  <c r="C476" i="3"/>
  <c r="C475" i="3"/>
  <c r="C474" i="3"/>
  <c r="C473" i="3"/>
  <c r="C472" i="3"/>
  <c r="C471" i="3"/>
  <c r="C470" i="3"/>
  <c r="C469" i="3"/>
  <c r="C468" i="3"/>
  <c r="C467" i="3"/>
  <c r="C466" i="3"/>
  <c r="C465" i="3"/>
  <c r="C464" i="3"/>
  <c r="C463" i="3"/>
  <c r="C462" i="3"/>
  <c r="C461" i="3"/>
  <c r="C460" i="3"/>
  <c r="C459" i="3"/>
  <c r="C458" i="3"/>
  <c r="C457" i="3"/>
  <c r="C456" i="3"/>
  <c r="C455" i="3"/>
  <c r="C454" i="3"/>
  <c r="C453" i="3"/>
  <c r="C452" i="3"/>
  <c r="C451" i="3"/>
  <c r="C450" i="3"/>
  <c r="C449" i="3"/>
  <c r="C448" i="3"/>
  <c r="C447" i="3"/>
  <c r="C446" i="3"/>
  <c r="C445" i="3"/>
  <c r="C444" i="3"/>
  <c r="C443" i="3"/>
  <c r="C442" i="3"/>
  <c r="C441" i="3"/>
  <c r="C440" i="3"/>
  <c r="C439" i="3"/>
  <c r="C438" i="3"/>
  <c r="C437" i="3"/>
  <c r="C436" i="3"/>
  <c r="C435" i="3"/>
  <c r="C434" i="3"/>
  <c r="C433" i="3"/>
  <c r="C432" i="3"/>
  <c r="C431" i="3"/>
  <c r="C430" i="3"/>
  <c r="C429" i="3"/>
  <c r="C428" i="3"/>
  <c r="C427" i="3"/>
  <c r="C426" i="3"/>
  <c r="C425" i="3"/>
  <c r="C424" i="3"/>
  <c r="C423" i="3"/>
  <c r="C422" i="3"/>
  <c r="C421" i="3"/>
  <c r="C420" i="3"/>
  <c r="C419" i="3"/>
  <c r="C418" i="3"/>
  <c r="C417" i="3"/>
  <c r="C416" i="3"/>
  <c r="C415" i="3"/>
  <c r="C414" i="3"/>
  <c r="C413" i="3"/>
  <c r="C412" i="3"/>
  <c r="C411" i="3"/>
  <c r="C410" i="3"/>
  <c r="C409" i="3"/>
  <c r="C408" i="3"/>
  <c r="C407" i="3"/>
  <c r="C406" i="3"/>
  <c r="C405" i="3"/>
  <c r="C404" i="3"/>
  <c r="C403" i="3"/>
  <c r="C402" i="3"/>
  <c r="C401" i="3"/>
  <c r="C400" i="3"/>
  <c r="C399" i="3"/>
  <c r="C398" i="3"/>
  <c r="C397" i="3"/>
  <c r="C396" i="3"/>
  <c r="C395" i="3"/>
  <c r="C394" i="3"/>
  <c r="C393" i="3"/>
  <c r="C392" i="3"/>
  <c r="C391" i="3"/>
  <c r="C390" i="3"/>
  <c r="C389" i="3"/>
  <c r="C388" i="3"/>
  <c r="C387" i="3"/>
  <c r="C386" i="3"/>
  <c r="C385" i="3"/>
  <c r="C384" i="3"/>
  <c r="C383" i="3"/>
  <c r="C382" i="3"/>
  <c r="C381" i="3"/>
  <c r="C380" i="3"/>
  <c r="C379" i="3"/>
  <c r="C378" i="3"/>
  <c r="C377" i="3"/>
  <c r="C376" i="3"/>
  <c r="C375" i="3"/>
  <c r="C374" i="3"/>
  <c r="C373" i="3"/>
  <c r="C372" i="3"/>
  <c r="C371" i="3"/>
  <c r="C370" i="3"/>
  <c r="C369" i="3"/>
  <c r="C368" i="3"/>
  <c r="C367" i="3"/>
  <c r="C366" i="3"/>
  <c r="C365" i="3"/>
  <c r="C364" i="3"/>
  <c r="C363" i="3"/>
  <c r="C362" i="3"/>
  <c r="C361" i="3"/>
  <c r="C360" i="3"/>
  <c r="C359" i="3"/>
  <c r="C358" i="3"/>
  <c r="C357" i="3"/>
  <c r="C356" i="3"/>
  <c r="C355" i="3"/>
  <c r="C354" i="3"/>
  <c r="C353" i="3"/>
  <c r="C352" i="3"/>
  <c r="C351" i="3"/>
  <c r="C350" i="3"/>
  <c r="C349" i="3"/>
  <c r="C348" i="3"/>
  <c r="C347" i="3"/>
  <c r="C346" i="3"/>
  <c r="C345" i="3"/>
  <c r="C344" i="3"/>
  <c r="C343" i="3"/>
  <c r="C342" i="3"/>
  <c r="C341" i="3"/>
  <c r="C340" i="3"/>
  <c r="C339" i="3"/>
  <c r="C338" i="3"/>
  <c r="C337" i="3"/>
  <c r="C336" i="3"/>
  <c r="C335" i="3"/>
  <c r="C334" i="3"/>
  <c r="C333" i="3"/>
  <c r="C332" i="3"/>
  <c r="C331" i="3"/>
  <c r="C330" i="3"/>
  <c r="C329" i="3"/>
  <c r="C328" i="3"/>
  <c r="C327" i="3"/>
  <c r="C326" i="3"/>
  <c r="C325" i="3"/>
  <c r="C324" i="3"/>
  <c r="C323" i="3"/>
  <c r="C322" i="3"/>
  <c r="C321" i="3"/>
  <c r="C320" i="3"/>
  <c r="C319" i="3"/>
  <c r="C318" i="3"/>
  <c r="C317" i="3"/>
  <c r="C316" i="3"/>
  <c r="C315" i="3"/>
  <c r="C314" i="3"/>
  <c r="C313" i="3"/>
  <c r="C312" i="3"/>
  <c r="C311" i="3"/>
  <c r="C310" i="3"/>
  <c r="C309" i="3"/>
  <c r="C308" i="3"/>
  <c r="C307" i="3"/>
  <c r="C306" i="3"/>
  <c r="C305" i="3"/>
  <c r="C304" i="3"/>
  <c r="C303" i="3"/>
  <c r="C302" i="3"/>
  <c r="C301" i="3"/>
  <c r="C300" i="3"/>
  <c r="C299" i="3"/>
  <c r="C298" i="3"/>
  <c r="C297" i="3"/>
  <c r="C296" i="3"/>
  <c r="C295" i="3"/>
  <c r="C294" i="3"/>
  <c r="C293" i="3"/>
  <c r="C292" i="3"/>
  <c r="C291" i="3"/>
  <c r="A1095" i="3"/>
  <c r="K1021" i="3"/>
  <c r="E979" i="3"/>
  <c r="J950" i="3"/>
  <c r="O926" i="3"/>
  <c r="E905" i="3"/>
  <c r="K886" i="3"/>
  <c r="J871" i="3"/>
  <c r="H857" i="3"/>
  <c r="M844" i="3"/>
  <c r="L832" i="3"/>
  <c r="A820" i="3"/>
  <c r="J808" i="3"/>
  <c r="G798" i="3"/>
  <c r="J790" i="3"/>
  <c r="D784" i="3"/>
  <c r="C778" i="3"/>
  <c r="D773" i="3"/>
  <c r="E768" i="3"/>
  <c r="F763" i="3"/>
  <c r="G758" i="3"/>
  <c r="I753" i="3"/>
  <c r="O748" i="3"/>
  <c r="G744" i="3"/>
  <c r="M739" i="3"/>
  <c r="E735" i="3"/>
  <c r="K730" i="3"/>
  <c r="C726" i="3"/>
  <c r="I721" i="3"/>
  <c r="D717" i="3"/>
  <c r="O712" i="3"/>
  <c r="C709" i="3"/>
  <c r="M704" i="3"/>
  <c r="P700" i="3"/>
  <c r="L696" i="3"/>
  <c r="O692" i="3"/>
  <c r="K688" i="3"/>
  <c r="H684" i="3"/>
  <c r="J680" i="3"/>
  <c r="G676" i="3"/>
  <c r="I672" i="3"/>
  <c r="E668" i="3"/>
  <c r="H664" i="3"/>
  <c r="D660" i="3"/>
  <c r="J656" i="3"/>
  <c r="P652" i="3"/>
  <c r="K649" i="3"/>
  <c r="F646" i="3"/>
  <c r="O642" i="3"/>
  <c r="J639" i="3"/>
  <c r="E636" i="3"/>
  <c r="C633" i="3"/>
  <c r="G630" i="3"/>
  <c r="I627" i="3"/>
  <c r="N624" i="3"/>
  <c r="F622" i="3"/>
  <c r="L619" i="3"/>
  <c r="F617" i="3"/>
  <c r="P614" i="3"/>
  <c r="L612" i="3"/>
  <c r="H610" i="3"/>
  <c r="D608" i="3"/>
  <c r="N605" i="3"/>
  <c r="J603" i="3"/>
  <c r="H601" i="3"/>
  <c r="G599" i="3"/>
  <c r="G597" i="3"/>
  <c r="G595" i="3"/>
  <c r="N593" i="3"/>
  <c r="N591" i="3"/>
  <c r="N589" i="3"/>
  <c r="N587" i="3"/>
  <c r="N585" i="3"/>
  <c r="F584" i="3"/>
  <c r="F582" i="3"/>
  <c r="F580" i="3"/>
  <c r="F578" i="3"/>
  <c r="M576" i="3"/>
  <c r="M574" i="3"/>
  <c r="M572" i="3"/>
  <c r="M570" i="3"/>
  <c r="M568" i="3"/>
  <c r="E567" i="3"/>
  <c r="E565" i="3"/>
  <c r="E563" i="3"/>
  <c r="E561" i="3"/>
  <c r="L559" i="3"/>
  <c r="L557" i="3"/>
  <c r="N555" i="3"/>
  <c r="H554" i="3"/>
  <c r="L552" i="3"/>
  <c r="F551" i="3"/>
  <c r="J549" i="3"/>
  <c r="D548" i="3"/>
  <c r="H546" i="3"/>
  <c r="A545" i="3"/>
  <c r="G543" i="3"/>
  <c r="B542" i="3"/>
  <c r="M540" i="3"/>
  <c r="C539" i="3"/>
  <c r="N537" i="3"/>
  <c r="D536" i="3"/>
  <c r="O534" i="3"/>
  <c r="G533" i="3"/>
  <c r="C532" i="3"/>
  <c r="O530" i="3"/>
  <c r="G529" i="3"/>
  <c r="D528" i="3"/>
  <c r="A527" i="3"/>
  <c r="N525" i="3"/>
  <c r="I524" i="3"/>
  <c r="E523" i="3"/>
  <c r="B522" i="3"/>
  <c r="O520" i="3"/>
  <c r="K519" i="3"/>
  <c r="F518" i="3"/>
  <c r="C517" i="3"/>
  <c r="P515" i="3"/>
  <c r="M514" i="3"/>
  <c r="G513" i="3"/>
  <c r="D512" i="3"/>
  <c r="A511" i="3"/>
  <c r="N509" i="3"/>
  <c r="I508" i="3"/>
  <c r="E507" i="3"/>
  <c r="D506" i="3"/>
  <c r="C505" i="3"/>
  <c r="B504" i="3"/>
  <c r="B503" i="3"/>
  <c r="B502" i="3"/>
  <c r="B501" i="3"/>
  <c r="B500" i="3"/>
  <c r="B499" i="3"/>
  <c r="B498" i="3"/>
  <c r="B497" i="3"/>
  <c r="B496" i="3"/>
  <c r="B495" i="3"/>
  <c r="B494" i="3"/>
  <c r="B493" i="3"/>
  <c r="B492" i="3"/>
  <c r="B491" i="3"/>
  <c r="B490" i="3"/>
  <c r="B489" i="3"/>
  <c r="B488" i="3"/>
  <c r="B487" i="3"/>
  <c r="B486" i="3"/>
  <c r="B485" i="3"/>
  <c r="B484" i="3"/>
  <c r="B483" i="3"/>
  <c r="B482" i="3"/>
  <c r="B481" i="3"/>
  <c r="B480" i="3"/>
  <c r="B479" i="3"/>
  <c r="B478" i="3"/>
  <c r="B477" i="3"/>
  <c r="B476" i="3"/>
  <c r="B475" i="3"/>
  <c r="B474" i="3"/>
  <c r="B473" i="3"/>
  <c r="B472" i="3"/>
  <c r="B471" i="3"/>
  <c r="B470" i="3"/>
  <c r="B469" i="3"/>
  <c r="B468" i="3"/>
  <c r="B467" i="3"/>
  <c r="B466" i="3"/>
  <c r="B465" i="3"/>
  <c r="B464" i="3"/>
  <c r="B463" i="3"/>
  <c r="B462" i="3"/>
  <c r="B461" i="3"/>
  <c r="B460" i="3"/>
  <c r="B459" i="3"/>
  <c r="B458" i="3"/>
  <c r="B457" i="3"/>
  <c r="B456" i="3"/>
  <c r="B455" i="3"/>
  <c r="B454" i="3"/>
  <c r="B453" i="3"/>
  <c r="B452" i="3"/>
  <c r="B451" i="3"/>
  <c r="B450" i="3"/>
  <c r="B449" i="3"/>
  <c r="B448" i="3"/>
  <c r="B447" i="3"/>
  <c r="B446" i="3"/>
  <c r="B445" i="3"/>
  <c r="B444" i="3"/>
  <c r="B443" i="3"/>
  <c r="B442" i="3"/>
  <c r="B441" i="3"/>
  <c r="B440" i="3"/>
  <c r="B439" i="3"/>
  <c r="B438" i="3"/>
  <c r="B437" i="3"/>
  <c r="B436" i="3"/>
  <c r="B435" i="3"/>
  <c r="B434" i="3"/>
  <c r="B433" i="3"/>
  <c r="B432" i="3"/>
  <c r="B431" i="3"/>
  <c r="B430" i="3"/>
  <c r="B429" i="3"/>
  <c r="B428" i="3"/>
  <c r="B427" i="3"/>
  <c r="B426" i="3"/>
  <c r="B425" i="3"/>
  <c r="B424" i="3"/>
  <c r="B423" i="3"/>
  <c r="B422" i="3"/>
  <c r="B421" i="3"/>
  <c r="B420" i="3"/>
  <c r="B419" i="3"/>
  <c r="B418" i="3"/>
  <c r="B417" i="3"/>
  <c r="B416" i="3"/>
  <c r="B415" i="3"/>
  <c r="B414" i="3"/>
  <c r="B413" i="3"/>
  <c r="B412" i="3"/>
  <c r="B411" i="3"/>
  <c r="B410" i="3"/>
  <c r="B409" i="3"/>
  <c r="B408" i="3"/>
  <c r="B407" i="3"/>
  <c r="B406" i="3"/>
  <c r="B405" i="3"/>
  <c r="B404" i="3"/>
  <c r="B403" i="3"/>
  <c r="B402" i="3"/>
  <c r="B401" i="3"/>
  <c r="B400" i="3"/>
  <c r="B399" i="3"/>
  <c r="B398" i="3"/>
  <c r="B397" i="3"/>
  <c r="B396" i="3"/>
  <c r="B395" i="3"/>
  <c r="B394" i="3"/>
  <c r="B393" i="3"/>
  <c r="B392" i="3"/>
  <c r="B391" i="3"/>
  <c r="B390" i="3"/>
  <c r="B389" i="3"/>
  <c r="B388" i="3"/>
  <c r="B387" i="3"/>
  <c r="B386" i="3"/>
  <c r="B385" i="3"/>
  <c r="B384" i="3"/>
  <c r="B383" i="3"/>
  <c r="B382" i="3"/>
  <c r="B381" i="3"/>
  <c r="B380" i="3"/>
  <c r="B379" i="3"/>
  <c r="B378" i="3"/>
  <c r="B377" i="3"/>
  <c r="B376" i="3"/>
  <c r="B375" i="3"/>
  <c r="B374" i="3"/>
  <c r="B373" i="3"/>
  <c r="B372" i="3"/>
  <c r="B371" i="3"/>
  <c r="B370" i="3"/>
  <c r="B369" i="3"/>
  <c r="B368" i="3"/>
  <c r="B367" i="3"/>
  <c r="B366" i="3"/>
  <c r="B365" i="3"/>
  <c r="B364" i="3"/>
  <c r="B363" i="3"/>
  <c r="B362" i="3"/>
  <c r="B361" i="3"/>
  <c r="B360" i="3"/>
  <c r="B359" i="3"/>
  <c r="B358" i="3"/>
  <c r="B357" i="3"/>
  <c r="B356" i="3"/>
  <c r="B355" i="3"/>
  <c r="B354" i="3"/>
  <c r="B353" i="3"/>
  <c r="B352" i="3"/>
  <c r="B351" i="3"/>
  <c r="B350" i="3"/>
  <c r="B349" i="3"/>
  <c r="B348" i="3"/>
  <c r="B347" i="3"/>
  <c r="B346" i="3"/>
  <c r="B345" i="3"/>
  <c r="B344" i="3"/>
  <c r="B343" i="3"/>
  <c r="B342" i="3"/>
  <c r="B341" i="3"/>
  <c r="B340" i="3"/>
  <c r="B339" i="3"/>
  <c r="B338" i="3"/>
  <c r="B337" i="3"/>
  <c r="B336" i="3"/>
  <c r="B335" i="3"/>
  <c r="B334" i="3"/>
  <c r="B333" i="3"/>
  <c r="B332" i="3"/>
  <c r="B331" i="3"/>
  <c r="B330" i="3"/>
  <c r="B329" i="3"/>
  <c r="B328" i="3"/>
  <c r="B327" i="3"/>
  <c r="B326" i="3"/>
  <c r="G1092" i="3"/>
  <c r="I1018" i="3"/>
  <c r="I975" i="3"/>
  <c r="E947" i="3"/>
  <c r="M924" i="3"/>
  <c r="J902" i="3"/>
  <c r="P884" i="3"/>
  <c r="I869" i="3"/>
  <c r="H856" i="3"/>
  <c r="O842" i="3"/>
  <c r="O830" i="3"/>
  <c r="F818" i="3"/>
  <c r="H807" i="3"/>
  <c r="I797" i="3"/>
  <c r="L789" i="3"/>
  <c r="F783" i="3"/>
  <c r="I777" i="3"/>
  <c r="J772" i="3"/>
  <c r="K767" i="3"/>
  <c r="L762" i="3"/>
  <c r="M757" i="3"/>
  <c r="P752" i="3"/>
  <c r="H748" i="3"/>
  <c r="N743" i="3"/>
  <c r="F739" i="3"/>
  <c r="L734" i="3"/>
  <c r="D730" i="3"/>
  <c r="J725" i="3"/>
  <c r="P720" i="3"/>
  <c r="C717" i="3"/>
  <c r="M712" i="3"/>
  <c r="P708" i="3"/>
  <c r="L704" i="3"/>
  <c r="O700" i="3"/>
  <c r="K696" i="3"/>
  <c r="H692" i="3"/>
  <c r="J688" i="3"/>
  <c r="G684" i="3"/>
  <c r="I680" i="3"/>
  <c r="E676" i="3"/>
  <c r="H672" i="3"/>
  <c r="D668" i="3"/>
  <c r="G664" i="3"/>
  <c r="C660" i="3"/>
  <c r="I656" i="3"/>
  <c r="O652" i="3"/>
  <c r="J649" i="3"/>
  <c r="E646" i="3"/>
  <c r="N642" i="3"/>
  <c r="I639" i="3"/>
  <c r="D636" i="3"/>
  <c r="P632" i="3"/>
  <c r="F630" i="3"/>
  <c r="G627" i="3"/>
  <c r="M624" i="3"/>
  <c r="E622" i="3"/>
  <c r="J619" i="3"/>
  <c r="E617" i="3"/>
  <c r="O614" i="3"/>
  <c r="K612" i="3"/>
  <c r="G610" i="3"/>
  <c r="C608" i="3"/>
  <c r="M605" i="3"/>
  <c r="I603" i="3"/>
  <c r="G601" i="3"/>
  <c r="F599" i="3"/>
  <c r="F597" i="3"/>
  <c r="F595" i="3"/>
  <c r="F593" i="3"/>
  <c r="M591" i="3"/>
  <c r="M589" i="3"/>
  <c r="M587" i="3"/>
  <c r="M585" i="3"/>
  <c r="E584" i="3"/>
  <c r="E582" i="3"/>
  <c r="E580" i="3"/>
  <c r="E578" i="3"/>
  <c r="E576" i="3"/>
  <c r="L574" i="3"/>
  <c r="L572" i="3"/>
  <c r="L570" i="3"/>
  <c r="L568" i="3"/>
  <c r="D567" i="3"/>
  <c r="D565" i="3"/>
  <c r="D563" i="3"/>
  <c r="D561" i="3"/>
  <c r="D559" i="3"/>
  <c r="K557" i="3"/>
  <c r="M555" i="3"/>
  <c r="G554" i="3"/>
  <c r="K552" i="3"/>
  <c r="E551" i="3"/>
  <c r="I549" i="3"/>
  <c r="C548" i="3"/>
  <c r="G546" i="3"/>
  <c r="P544" i="3"/>
  <c r="F543" i="3"/>
  <c r="A542" i="3"/>
  <c r="G540" i="3"/>
  <c r="B539" i="3"/>
  <c r="M537" i="3"/>
  <c r="C536" i="3"/>
  <c r="N534" i="3"/>
  <c r="F533" i="3"/>
  <c r="B532" i="3"/>
  <c r="N530" i="3"/>
  <c r="F529" i="3"/>
  <c r="C528" i="3"/>
  <c r="P526" i="3"/>
  <c r="M525" i="3"/>
  <c r="G524" i="3"/>
  <c r="D523" i="3"/>
  <c r="A522" i="3"/>
  <c r="N520" i="3"/>
  <c r="I519" i="3"/>
  <c r="E518" i="3"/>
  <c r="B517" i="3"/>
  <c r="O515" i="3"/>
  <c r="K514" i="3"/>
  <c r="F513" i="3"/>
  <c r="C512" i="3"/>
  <c r="P510" i="3"/>
  <c r="M509" i="3"/>
  <c r="G508" i="3"/>
  <c r="D507" i="3"/>
  <c r="C506" i="3"/>
  <c r="B505" i="3"/>
  <c r="A504" i="3"/>
  <c r="A503" i="3"/>
  <c r="A502" i="3"/>
  <c r="A501" i="3"/>
  <c r="A500" i="3"/>
  <c r="A499" i="3"/>
  <c r="A498" i="3"/>
  <c r="A497" i="3"/>
  <c r="A496" i="3"/>
  <c r="A495" i="3"/>
  <c r="A494" i="3"/>
  <c r="A493" i="3"/>
  <c r="A492" i="3"/>
  <c r="A491" i="3"/>
  <c r="A490" i="3"/>
  <c r="A489" i="3"/>
  <c r="A488" i="3"/>
  <c r="A487" i="3"/>
  <c r="A486" i="3"/>
  <c r="A485" i="3"/>
  <c r="A484" i="3"/>
  <c r="A483" i="3"/>
  <c r="A482" i="3"/>
  <c r="A481" i="3"/>
  <c r="A480" i="3"/>
  <c r="A479" i="3"/>
  <c r="A478" i="3"/>
  <c r="A477" i="3"/>
  <c r="A476" i="3"/>
  <c r="A475" i="3"/>
  <c r="A474" i="3"/>
  <c r="A473" i="3"/>
  <c r="A472" i="3"/>
  <c r="A471" i="3"/>
  <c r="A470" i="3"/>
  <c r="A469" i="3"/>
  <c r="A468" i="3"/>
  <c r="A467" i="3"/>
  <c r="A466" i="3"/>
  <c r="A465" i="3"/>
  <c r="A464" i="3"/>
  <c r="A463" i="3"/>
  <c r="A462" i="3"/>
  <c r="A461" i="3"/>
  <c r="A460" i="3"/>
  <c r="A459" i="3"/>
  <c r="A458" i="3"/>
  <c r="A457" i="3"/>
  <c r="A456" i="3"/>
  <c r="A455" i="3"/>
  <c r="A454" i="3"/>
  <c r="A453" i="3"/>
  <c r="A452" i="3"/>
  <c r="A451" i="3"/>
  <c r="A450" i="3"/>
  <c r="A449" i="3"/>
  <c r="A448" i="3"/>
  <c r="A447" i="3"/>
  <c r="A446" i="3"/>
  <c r="A445" i="3"/>
  <c r="A444" i="3"/>
  <c r="A443" i="3"/>
  <c r="A442" i="3"/>
  <c r="A441" i="3"/>
  <c r="A440" i="3"/>
  <c r="A439" i="3"/>
  <c r="A438" i="3"/>
  <c r="A437" i="3"/>
  <c r="A436" i="3"/>
  <c r="A435" i="3"/>
  <c r="A434" i="3"/>
  <c r="A433" i="3"/>
  <c r="A432" i="3"/>
  <c r="A431" i="3"/>
  <c r="A430" i="3"/>
  <c r="A429" i="3"/>
  <c r="A428" i="3"/>
  <c r="A427" i="3"/>
  <c r="A426" i="3"/>
  <c r="A425" i="3"/>
  <c r="A424" i="3"/>
  <c r="A423" i="3"/>
  <c r="A422" i="3"/>
  <c r="A421" i="3"/>
  <c r="A420" i="3"/>
  <c r="A419" i="3"/>
  <c r="A418" i="3"/>
  <c r="A417" i="3"/>
  <c r="A416" i="3"/>
  <c r="A415" i="3"/>
  <c r="A414" i="3"/>
  <c r="A413" i="3"/>
  <c r="A412" i="3"/>
  <c r="A411" i="3"/>
  <c r="A410" i="3"/>
  <c r="A409" i="3"/>
  <c r="A408" i="3"/>
  <c r="A407" i="3"/>
  <c r="A406" i="3"/>
  <c r="A405" i="3"/>
  <c r="A404" i="3"/>
  <c r="A403" i="3"/>
  <c r="A402" i="3"/>
  <c r="A401" i="3"/>
  <c r="A400" i="3"/>
  <c r="A399" i="3"/>
  <c r="A398" i="3"/>
  <c r="A397" i="3"/>
  <c r="A396" i="3"/>
  <c r="A395" i="3"/>
  <c r="A394" i="3"/>
  <c r="A393" i="3"/>
  <c r="A392" i="3"/>
  <c r="A391" i="3"/>
  <c r="A390" i="3"/>
  <c r="A389" i="3"/>
  <c r="A388" i="3"/>
  <c r="A387" i="3"/>
  <c r="A386" i="3"/>
  <c r="A385" i="3"/>
  <c r="A384" i="3"/>
  <c r="A383" i="3"/>
  <c r="A382" i="3"/>
  <c r="A381" i="3"/>
  <c r="A380" i="3"/>
  <c r="A379" i="3"/>
  <c r="A378" i="3"/>
  <c r="A377" i="3"/>
  <c r="A376" i="3"/>
  <c r="A375" i="3"/>
  <c r="A374" i="3"/>
  <c r="A373" i="3"/>
  <c r="A372" i="3"/>
  <c r="A371" i="3"/>
  <c r="A370" i="3"/>
  <c r="A369" i="3"/>
  <c r="A368" i="3"/>
  <c r="A367" i="3"/>
  <c r="A366" i="3"/>
  <c r="A365" i="3"/>
  <c r="A364" i="3"/>
  <c r="A363" i="3"/>
  <c r="A362" i="3"/>
  <c r="A361" i="3"/>
  <c r="A360" i="3"/>
  <c r="A359" i="3"/>
  <c r="A358" i="3"/>
  <c r="A357" i="3"/>
  <c r="A356" i="3"/>
  <c r="A355" i="3"/>
  <c r="A354" i="3"/>
  <c r="A353" i="3"/>
  <c r="A352" i="3"/>
  <c r="A351" i="3"/>
  <c r="A350" i="3"/>
  <c r="A349" i="3"/>
  <c r="A348" i="3"/>
  <c r="A347" i="3"/>
  <c r="A346" i="3"/>
  <c r="A345" i="3"/>
  <c r="A344" i="3"/>
  <c r="A343" i="3"/>
  <c r="A342" i="3"/>
  <c r="A341" i="3"/>
  <c r="A340" i="3"/>
  <c r="A339" i="3"/>
  <c r="A338" i="3"/>
  <c r="A337" i="3"/>
  <c r="A336" i="3"/>
  <c r="A335" i="3"/>
  <c r="A334" i="3"/>
  <c r="A333" i="3"/>
  <c r="A332" i="3"/>
  <c r="A331" i="3"/>
  <c r="A330" i="3"/>
  <c r="A329" i="3"/>
  <c r="A328" i="3"/>
  <c r="A327" i="3"/>
  <c r="A326" i="3"/>
  <c r="A325" i="3"/>
  <c r="N1194" i="3"/>
  <c r="A1058" i="3"/>
  <c r="M1001" i="3"/>
  <c r="M965" i="3"/>
  <c r="O939" i="3"/>
  <c r="J917" i="3"/>
  <c r="G896" i="3"/>
  <c r="E880" i="3"/>
  <c r="G865" i="3"/>
  <c r="C852" i="3"/>
  <c r="B839" i="3"/>
  <c r="F827" i="3"/>
  <c r="L814" i="3"/>
  <c r="H804" i="3"/>
  <c r="J794" i="3"/>
  <c r="M787" i="3"/>
  <c r="D781" i="3"/>
  <c r="N775" i="3"/>
  <c r="O770" i="3"/>
  <c r="C766" i="3"/>
  <c r="D761" i="3"/>
  <c r="E756" i="3"/>
  <c r="I751" i="3"/>
  <c r="O746" i="3"/>
  <c r="G742" i="3"/>
  <c r="M737" i="3"/>
  <c r="E733" i="3"/>
  <c r="K728" i="3"/>
  <c r="C724" i="3"/>
  <c r="J719" i="3"/>
  <c r="M715" i="3"/>
  <c r="I711" i="3"/>
  <c r="F707" i="3"/>
  <c r="H703" i="3"/>
  <c r="E699" i="3"/>
  <c r="G695" i="3"/>
  <c r="C691" i="3"/>
  <c r="F687" i="3"/>
  <c r="P682" i="3"/>
  <c r="E679" i="3"/>
  <c r="O674" i="3"/>
  <c r="L670" i="3"/>
  <c r="N666" i="3"/>
  <c r="K662" i="3"/>
  <c r="N658" i="3"/>
  <c r="F655" i="3"/>
  <c r="M651" i="3"/>
  <c r="H648" i="3"/>
  <c r="C645" i="3"/>
  <c r="L641" i="3"/>
  <c r="G638" i="3"/>
  <c r="P634" i="3"/>
  <c r="C632" i="3"/>
  <c r="F629" i="3"/>
  <c r="J626" i="3"/>
  <c r="N623" i="3"/>
  <c r="F621" i="3"/>
  <c r="M618" i="3"/>
  <c r="H616" i="3"/>
  <c r="D614" i="3"/>
  <c r="N611" i="3"/>
  <c r="J609" i="3"/>
  <c r="F607" i="3"/>
  <c r="P604" i="3"/>
  <c r="M602" i="3"/>
  <c r="K600" i="3"/>
  <c r="K598" i="3"/>
  <c r="C597" i="3"/>
  <c r="C595" i="3"/>
  <c r="C593" i="3"/>
  <c r="C591" i="3"/>
  <c r="J589" i="3"/>
  <c r="J587" i="3"/>
  <c r="J585" i="3"/>
  <c r="J583" i="3"/>
  <c r="J581" i="3"/>
  <c r="A580" i="3"/>
  <c r="A578" i="3"/>
  <c r="A576" i="3"/>
  <c r="A574" i="3"/>
  <c r="I572" i="3"/>
  <c r="I570" i="3"/>
  <c r="I568" i="3"/>
  <c r="I566" i="3"/>
  <c r="I564" i="3"/>
  <c r="P562" i="3"/>
  <c r="P560" i="3"/>
  <c r="P558" i="3"/>
  <c r="A557" i="3"/>
  <c r="J555" i="3"/>
  <c r="N553" i="3"/>
  <c r="H552" i="3"/>
  <c r="L550" i="3"/>
  <c r="F549" i="3"/>
  <c r="J547" i="3"/>
  <c r="D546" i="3"/>
  <c r="M544" i="3"/>
  <c r="C543" i="3"/>
  <c r="N541" i="3"/>
  <c r="D540" i="3"/>
  <c r="O538" i="3"/>
  <c r="E537" i="3"/>
  <c r="P535" i="3"/>
  <c r="G534" i="3"/>
  <c r="C533" i="3"/>
  <c r="O531" i="3"/>
  <c r="G530" i="3"/>
  <c r="C529" i="3"/>
  <c r="P527" i="3"/>
  <c r="M526" i="3"/>
  <c r="G525" i="3"/>
  <c r="D524" i="3"/>
  <c r="A523" i="3"/>
  <c r="N521" i="3"/>
  <c r="I520" i="3"/>
  <c r="E519" i="3"/>
  <c r="B518" i="3"/>
  <c r="O516" i="3"/>
  <c r="K515" i="3"/>
  <c r="F514" i="3"/>
  <c r="C513" i="3"/>
  <c r="P511" i="3"/>
  <c r="M510" i="3"/>
  <c r="G509" i="3"/>
  <c r="D508" i="3"/>
  <c r="A507" i="3"/>
  <c r="P505" i="3"/>
  <c r="O504" i="3"/>
  <c r="N503" i="3"/>
  <c r="N502" i="3"/>
  <c r="N501" i="3"/>
  <c r="N500" i="3"/>
  <c r="N499" i="3"/>
  <c r="N498" i="3"/>
  <c r="N497" i="3"/>
  <c r="N496" i="3"/>
  <c r="N495" i="3"/>
  <c r="N494" i="3"/>
  <c r="N493" i="3"/>
  <c r="N492" i="3"/>
  <c r="N491" i="3"/>
  <c r="N490" i="3"/>
  <c r="N489" i="3"/>
  <c r="N488" i="3"/>
  <c r="N487" i="3"/>
  <c r="N486" i="3"/>
  <c r="N485" i="3"/>
  <c r="N484" i="3"/>
  <c r="N483" i="3"/>
  <c r="N482" i="3"/>
  <c r="N481" i="3"/>
  <c r="N480" i="3"/>
  <c r="N479" i="3"/>
  <c r="N478" i="3"/>
  <c r="N477" i="3"/>
  <c r="N476" i="3"/>
  <c r="N475" i="3"/>
  <c r="N474" i="3"/>
  <c r="N473" i="3"/>
  <c r="N472" i="3"/>
  <c r="N471" i="3"/>
  <c r="N470" i="3"/>
  <c r="N469" i="3"/>
  <c r="N468" i="3"/>
  <c r="N467" i="3"/>
  <c r="N466" i="3"/>
  <c r="N465" i="3"/>
  <c r="N464" i="3"/>
  <c r="N463" i="3"/>
  <c r="N462" i="3"/>
  <c r="N461" i="3"/>
  <c r="N460" i="3"/>
  <c r="N459" i="3"/>
  <c r="N458" i="3"/>
  <c r="N457" i="3"/>
  <c r="N456" i="3"/>
  <c r="N455" i="3"/>
  <c r="N454" i="3"/>
  <c r="N453" i="3"/>
  <c r="N452" i="3"/>
  <c r="N451" i="3"/>
  <c r="N450" i="3"/>
  <c r="N449" i="3"/>
  <c r="N448" i="3"/>
  <c r="N447" i="3"/>
  <c r="N446" i="3"/>
  <c r="N445" i="3"/>
  <c r="N444" i="3"/>
  <c r="N443" i="3"/>
  <c r="N442" i="3"/>
  <c r="N441" i="3"/>
  <c r="N440" i="3"/>
  <c r="N439" i="3"/>
  <c r="N438" i="3"/>
  <c r="N437" i="3"/>
  <c r="N436" i="3"/>
  <c r="N435" i="3"/>
  <c r="N434" i="3"/>
  <c r="N433" i="3"/>
  <c r="N432" i="3"/>
  <c r="N431" i="3"/>
  <c r="N430" i="3"/>
  <c r="N429" i="3"/>
  <c r="N428" i="3"/>
  <c r="N427" i="3"/>
  <c r="N426" i="3"/>
  <c r="N425" i="3"/>
  <c r="N424" i="3"/>
  <c r="N423" i="3"/>
  <c r="N422" i="3"/>
  <c r="N421" i="3"/>
  <c r="N420" i="3"/>
  <c r="N419" i="3"/>
  <c r="N418" i="3"/>
  <c r="N417" i="3"/>
  <c r="N416" i="3"/>
  <c r="N415" i="3"/>
  <c r="N414" i="3"/>
  <c r="N413" i="3"/>
  <c r="N412" i="3"/>
  <c r="N411" i="3"/>
  <c r="N410" i="3"/>
  <c r="N409" i="3"/>
  <c r="N408" i="3"/>
  <c r="N407" i="3"/>
  <c r="N406" i="3"/>
  <c r="N405" i="3"/>
  <c r="N404" i="3"/>
  <c r="N403" i="3"/>
  <c r="N402" i="3"/>
  <c r="N401" i="3"/>
  <c r="N400" i="3"/>
  <c r="N399" i="3"/>
  <c r="N398" i="3"/>
  <c r="N397" i="3"/>
  <c r="N396" i="3"/>
  <c r="N395" i="3"/>
  <c r="N394" i="3"/>
  <c r="N393" i="3"/>
  <c r="N392" i="3"/>
  <c r="N391" i="3"/>
  <c r="N390" i="3"/>
  <c r="N389" i="3"/>
  <c r="N388" i="3"/>
  <c r="N387" i="3"/>
  <c r="N386" i="3"/>
  <c r="N385" i="3"/>
  <c r="N384" i="3"/>
  <c r="N383" i="3"/>
  <c r="N382" i="3"/>
  <c r="N381" i="3"/>
  <c r="N380" i="3"/>
  <c r="N379" i="3"/>
  <c r="N378" i="3"/>
  <c r="N377" i="3"/>
  <c r="N376" i="3"/>
  <c r="N375" i="3"/>
  <c r="N374" i="3"/>
  <c r="N373" i="3"/>
  <c r="N372" i="3"/>
  <c r="N371" i="3"/>
  <c r="N370" i="3"/>
  <c r="N369" i="3"/>
  <c r="N368" i="3"/>
  <c r="N367" i="3"/>
  <c r="N366" i="3"/>
  <c r="N365" i="3"/>
  <c r="N364" i="3"/>
  <c r="N363" i="3"/>
  <c r="N362" i="3"/>
  <c r="N361" i="3"/>
  <c r="N360" i="3"/>
  <c r="N359" i="3"/>
  <c r="N358" i="3"/>
  <c r="N357" i="3"/>
  <c r="N356" i="3"/>
  <c r="N355" i="3"/>
  <c r="N354" i="3"/>
  <c r="N353" i="3"/>
  <c r="N352" i="3"/>
  <c r="N351" i="3"/>
  <c r="N350" i="3"/>
  <c r="N349" i="3"/>
  <c r="N348" i="3"/>
  <c r="N347" i="3"/>
  <c r="N346" i="3"/>
  <c r="N345" i="3"/>
  <c r="N344" i="3"/>
  <c r="N343" i="3"/>
  <c r="N342" i="3"/>
  <c r="N341" i="3"/>
  <c r="N340" i="3"/>
  <c r="N339" i="3"/>
  <c r="N338" i="3"/>
  <c r="N337" i="3"/>
  <c r="N336" i="3"/>
  <c r="N335" i="3"/>
  <c r="N334" i="3"/>
  <c r="N333" i="3"/>
  <c r="N332" i="3"/>
  <c r="N331" i="3"/>
  <c r="N330" i="3"/>
  <c r="N329" i="3"/>
  <c r="N328" i="3"/>
  <c r="N327" i="3"/>
  <c r="N326" i="3"/>
  <c r="N325" i="3"/>
  <c r="N324" i="3"/>
  <c r="N323" i="3"/>
  <c r="O1187" i="3"/>
  <c r="N1056" i="3"/>
  <c r="L1001" i="3"/>
  <c r="L965" i="3"/>
  <c r="M1056" i="3"/>
  <c r="K965" i="3"/>
  <c r="E918" i="3"/>
  <c r="O888" i="3"/>
  <c r="P862" i="3"/>
  <c r="I838" i="3"/>
  <c r="K814" i="3"/>
  <c r="H797" i="3"/>
  <c r="J786" i="3"/>
  <c r="J775" i="3"/>
  <c r="N765" i="3"/>
  <c r="I756" i="3"/>
  <c r="I749" i="3"/>
  <c r="J741" i="3"/>
  <c r="P732" i="3"/>
  <c r="P723" i="3"/>
  <c r="P716" i="3"/>
  <c r="K710" i="3"/>
  <c r="L702" i="3"/>
  <c r="E695" i="3"/>
  <c r="H687" i="3"/>
  <c r="I681" i="3"/>
  <c r="D674" i="3"/>
  <c r="K666" i="3"/>
  <c r="M658" i="3"/>
  <c r="I652" i="3"/>
  <c r="K647" i="3"/>
  <c r="C641" i="3"/>
  <c r="N634" i="3"/>
  <c r="H629" i="3"/>
  <c r="H625" i="3"/>
  <c r="O620" i="3"/>
  <c r="E616" i="3"/>
  <c r="M611" i="3"/>
  <c r="P607" i="3"/>
  <c r="J604" i="3"/>
  <c r="G600" i="3"/>
  <c r="I596" i="3"/>
  <c r="D593" i="3"/>
  <c r="K590" i="3"/>
  <c r="M586" i="3"/>
  <c r="G583" i="3"/>
  <c r="P579" i="3"/>
  <c r="D576" i="3"/>
  <c r="K573" i="3"/>
  <c r="M569" i="3"/>
  <c r="G566" i="3"/>
  <c r="A563" i="3"/>
  <c r="A560" i="3"/>
  <c r="L556" i="3"/>
  <c r="K553" i="3"/>
  <c r="K550" i="3"/>
  <c r="A548" i="3"/>
  <c r="H545" i="3"/>
  <c r="O542" i="3"/>
  <c r="B540" i="3"/>
  <c r="F537" i="3"/>
  <c r="D535" i="3"/>
  <c r="N532" i="3"/>
  <c r="D530" i="3"/>
  <c r="O527" i="3"/>
  <c r="K525" i="3"/>
  <c r="N523" i="3"/>
  <c r="G521" i="3"/>
  <c r="C519" i="3"/>
  <c r="P516" i="3"/>
  <c r="B515" i="3"/>
  <c r="N512" i="3"/>
  <c r="G510" i="3"/>
  <c r="C508" i="3"/>
  <c r="B506" i="3"/>
  <c r="H504" i="3"/>
  <c r="J502" i="3"/>
  <c r="L500" i="3"/>
  <c r="O498" i="3"/>
  <c r="G497" i="3"/>
  <c r="I495" i="3"/>
  <c r="K493" i="3"/>
  <c r="M491" i="3"/>
  <c r="P489" i="3"/>
  <c r="H488" i="3"/>
  <c r="J486" i="3"/>
  <c r="L484" i="3"/>
  <c r="O482" i="3"/>
  <c r="G481" i="3"/>
  <c r="I479" i="3"/>
  <c r="K477" i="3"/>
  <c r="M475" i="3"/>
  <c r="P473" i="3"/>
  <c r="H472" i="3"/>
  <c r="J470" i="3"/>
  <c r="L468" i="3"/>
  <c r="O466" i="3"/>
  <c r="G465" i="3"/>
  <c r="I463" i="3"/>
  <c r="K461" i="3"/>
  <c r="M459" i="3"/>
  <c r="P457" i="3"/>
  <c r="H456" i="3"/>
  <c r="J454" i="3"/>
  <c r="L452" i="3"/>
  <c r="O450" i="3"/>
  <c r="G449" i="3"/>
  <c r="I447" i="3"/>
  <c r="K445" i="3"/>
  <c r="M443" i="3"/>
  <c r="P441" i="3"/>
  <c r="H440" i="3"/>
  <c r="J438" i="3"/>
  <c r="L436" i="3"/>
  <c r="O434" i="3"/>
  <c r="G433" i="3"/>
  <c r="I431" i="3"/>
  <c r="K429" i="3"/>
  <c r="M427" i="3"/>
  <c r="P425" i="3"/>
  <c r="H424" i="3"/>
  <c r="J422" i="3"/>
  <c r="L420" i="3"/>
  <c r="O418" i="3"/>
  <c r="G417" i="3"/>
  <c r="I415" i="3"/>
  <c r="K413" i="3"/>
  <c r="M411" i="3"/>
  <c r="P409" i="3"/>
  <c r="H408" i="3"/>
  <c r="J406" i="3"/>
  <c r="L404" i="3"/>
  <c r="O402" i="3"/>
  <c r="G401" i="3"/>
  <c r="I399" i="3"/>
  <c r="K397" i="3"/>
  <c r="M395" i="3"/>
  <c r="P393" i="3"/>
  <c r="H392" i="3"/>
  <c r="J390" i="3"/>
  <c r="L388" i="3"/>
  <c r="O386" i="3"/>
  <c r="G385" i="3"/>
  <c r="I383" i="3"/>
  <c r="K381" i="3"/>
  <c r="M379" i="3"/>
  <c r="P377" i="3"/>
  <c r="H376" i="3"/>
  <c r="J374" i="3"/>
  <c r="L372" i="3"/>
  <c r="O370" i="3"/>
  <c r="G369" i="3"/>
  <c r="I367" i="3"/>
  <c r="K365" i="3"/>
  <c r="M363" i="3"/>
  <c r="P361" i="3"/>
  <c r="H360" i="3"/>
  <c r="J358" i="3"/>
  <c r="L356" i="3"/>
  <c r="O354" i="3"/>
  <c r="G353" i="3"/>
  <c r="I351" i="3"/>
  <c r="K349" i="3"/>
  <c r="M347" i="3"/>
  <c r="P345" i="3"/>
  <c r="H344" i="3"/>
  <c r="J342" i="3"/>
  <c r="L340" i="3"/>
  <c r="O338" i="3"/>
  <c r="G337" i="3"/>
  <c r="I335" i="3"/>
  <c r="K333" i="3"/>
  <c r="M331" i="3"/>
  <c r="P329" i="3"/>
  <c r="H328" i="3"/>
  <c r="J326" i="3"/>
  <c r="M324" i="3"/>
  <c r="H323" i="3"/>
  <c r="P321" i="3"/>
  <c r="L320" i="3"/>
  <c r="H319" i="3"/>
  <c r="P317" i="3"/>
  <c r="L316" i="3"/>
  <c r="H315" i="3"/>
  <c r="P313" i="3"/>
  <c r="L312" i="3"/>
  <c r="H311" i="3"/>
  <c r="P309" i="3"/>
  <c r="M308" i="3"/>
  <c r="J307" i="3"/>
  <c r="G306" i="3"/>
  <c r="A305" i="3"/>
  <c r="N303" i="3"/>
  <c r="K302" i="3"/>
  <c r="H301" i="3"/>
  <c r="B300" i="3"/>
  <c r="O298" i="3"/>
  <c r="L297" i="3"/>
  <c r="I296" i="3"/>
  <c r="F295" i="3"/>
  <c r="P293" i="3"/>
  <c r="M292" i="3"/>
  <c r="K291" i="3"/>
  <c r="I290" i="3"/>
  <c r="I289" i="3"/>
  <c r="I288" i="3"/>
  <c r="I287" i="3"/>
  <c r="I286" i="3"/>
  <c r="I285" i="3"/>
  <c r="I284" i="3"/>
  <c r="I283" i="3"/>
  <c r="I282" i="3"/>
  <c r="I281" i="3"/>
  <c r="I280" i="3"/>
  <c r="I279" i="3"/>
  <c r="I278" i="3"/>
  <c r="I277" i="3"/>
  <c r="I276" i="3"/>
  <c r="I275" i="3"/>
  <c r="I274" i="3"/>
  <c r="I273" i="3"/>
  <c r="I272" i="3"/>
  <c r="I271" i="3"/>
  <c r="I270" i="3"/>
  <c r="I269" i="3"/>
  <c r="I268" i="3"/>
  <c r="I267" i="3"/>
  <c r="I266" i="3"/>
  <c r="I265" i="3"/>
  <c r="I264" i="3"/>
  <c r="I263" i="3"/>
  <c r="I262" i="3"/>
  <c r="I261" i="3"/>
  <c r="I260" i="3"/>
  <c r="I259" i="3"/>
  <c r="I258" i="3"/>
  <c r="I257" i="3"/>
  <c r="I256" i="3"/>
  <c r="I255" i="3"/>
  <c r="I254" i="3"/>
  <c r="I253" i="3"/>
  <c r="I252" i="3"/>
  <c r="I251" i="3"/>
  <c r="I250" i="3"/>
  <c r="I249" i="3"/>
  <c r="I248" i="3"/>
  <c r="I247" i="3"/>
  <c r="I246" i="3"/>
  <c r="I245" i="3"/>
  <c r="I244" i="3"/>
  <c r="I243" i="3"/>
  <c r="I242" i="3"/>
  <c r="I241" i="3"/>
  <c r="I240" i="3"/>
  <c r="I239" i="3"/>
  <c r="I238" i="3"/>
  <c r="I237" i="3"/>
  <c r="I236" i="3"/>
  <c r="I235" i="3"/>
  <c r="I234" i="3"/>
  <c r="I233" i="3"/>
  <c r="I232" i="3"/>
  <c r="I231" i="3"/>
  <c r="I230" i="3"/>
  <c r="I229" i="3"/>
  <c r="I228" i="3"/>
  <c r="I227" i="3"/>
  <c r="I226" i="3"/>
  <c r="I225" i="3"/>
  <c r="I224" i="3"/>
  <c r="I223" i="3"/>
  <c r="I222" i="3"/>
  <c r="I221" i="3"/>
  <c r="I220" i="3"/>
  <c r="I219" i="3"/>
  <c r="I218" i="3"/>
  <c r="I217" i="3"/>
  <c r="I216" i="3"/>
  <c r="I215" i="3"/>
  <c r="I214" i="3"/>
  <c r="I213" i="3"/>
  <c r="I212" i="3"/>
  <c r="I211" i="3"/>
  <c r="I210" i="3"/>
  <c r="I209" i="3"/>
  <c r="I208" i="3"/>
  <c r="I207" i="3"/>
  <c r="I206" i="3"/>
  <c r="I205" i="3"/>
  <c r="I204" i="3"/>
  <c r="I203" i="3"/>
  <c r="I202" i="3"/>
  <c r="I201" i="3"/>
  <c r="I200" i="3"/>
  <c r="I199" i="3"/>
  <c r="I198" i="3"/>
  <c r="I197" i="3"/>
  <c r="I196" i="3"/>
  <c r="I195" i="3"/>
  <c r="I194" i="3"/>
  <c r="I193" i="3"/>
  <c r="I192" i="3"/>
  <c r="I191" i="3"/>
  <c r="I190" i="3"/>
  <c r="I189" i="3"/>
  <c r="I188" i="3"/>
  <c r="I187" i="3"/>
  <c r="I186" i="3"/>
  <c r="I185" i="3"/>
  <c r="I184" i="3"/>
  <c r="I183" i="3"/>
  <c r="I182" i="3"/>
  <c r="I181" i="3"/>
  <c r="I180" i="3"/>
  <c r="I179" i="3"/>
  <c r="I178" i="3"/>
  <c r="I177" i="3"/>
  <c r="I176" i="3"/>
  <c r="I175" i="3"/>
  <c r="I174" i="3"/>
  <c r="I173" i="3"/>
  <c r="I172" i="3"/>
  <c r="I171" i="3"/>
  <c r="I170" i="3"/>
  <c r="I169" i="3"/>
  <c r="I168" i="3"/>
  <c r="I167" i="3"/>
  <c r="I166" i="3"/>
  <c r="I165" i="3"/>
  <c r="I164" i="3"/>
  <c r="I163" i="3"/>
  <c r="I162" i="3"/>
  <c r="I161" i="3"/>
  <c r="I160" i="3"/>
  <c r="I159" i="3"/>
  <c r="H1056" i="3"/>
  <c r="B965" i="3"/>
  <c r="I917" i="3"/>
  <c r="I884" i="3"/>
  <c r="O862" i="3"/>
  <c r="G838" i="3"/>
  <c r="J814" i="3"/>
  <c r="C795" i="3"/>
  <c r="L784" i="3"/>
  <c r="C775" i="3"/>
  <c r="M765" i="3"/>
  <c r="D756" i="3"/>
  <c r="G748" i="3"/>
  <c r="I741" i="3"/>
  <c r="O732" i="3"/>
  <c r="O723" i="3"/>
  <c r="O715" i="3"/>
  <c r="J709" i="3"/>
  <c r="K702" i="3"/>
  <c r="L694" i="3"/>
  <c r="E687" i="3"/>
  <c r="H680" i="3"/>
  <c r="C674" i="3"/>
  <c r="D666" i="3"/>
  <c r="L658" i="3"/>
  <c r="O651" i="3"/>
  <c r="L646" i="3"/>
  <c r="P640" i="3"/>
  <c r="M634" i="3"/>
  <c r="E629" i="3"/>
  <c r="L624" i="3"/>
  <c r="N620" i="3"/>
  <c r="D616" i="3"/>
  <c r="L611" i="3"/>
  <c r="H607" i="3"/>
  <c r="P603" i="3"/>
  <c r="F600" i="3"/>
  <c r="H596" i="3"/>
  <c r="A593" i="3"/>
  <c r="L589" i="3"/>
  <c r="L586" i="3"/>
  <c r="F583" i="3"/>
  <c r="H579" i="3"/>
  <c r="C576" i="3"/>
  <c r="J573" i="3"/>
  <c r="L569" i="3"/>
  <c r="F566" i="3"/>
  <c r="O562" i="3"/>
  <c r="C559" i="3"/>
  <c r="K556" i="3"/>
  <c r="J553" i="3"/>
  <c r="J550" i="3"/>
  <c r="P547" i="3"/>
  <c r="G545" i="3"/>
  <c r="N542" i="3"/>
  <c r="A540" i="3"/>
  <c r="D537" i="3"/>
  <c r="M534" i="3"/>
  <c r="M532" i="3"/>
  <c r="C530" i="3"/>
  <c r="N527" i="3"/>
  <c r="I525" i="3"/>
  <c r="M523" i="3"/>
  <c r="F521" i="3"/>
  <c r="B519" i="3"/>
  <c r="N516" i="3"/>
  <c r="I514" i="3"/>
  <c r="M512" i="3"/>
  <c r="F510" i="3"/>
  <c r="B508" i="3"/>
  <c r="A506" i="3"/>
  <c r="G504" i="3"/>
  <c r="I502" i="3"/>
  <c r="K500" i="3"/>
  <c r="M498" i="3"/>
  <c r="P496" i="3"/>
  <c r="H495" i="3"/>
  <c r="J493" i="3"/>
  <c r="L491" i="3"/>
  <c r="O489" i="3"/>
  <c r="G488" i="3"/>
  <c r="I486" i="3"/>
  <c r="K484" i="3"/>
  <c r="M482" i="3"/>
  <c r="P480" i="3"/>
  <c r="H479" i="3"/>
  <c r="J477" i="3"/>
  <c r="L475" i="3"/>
  <c r="O473" i="3"/>
  <c r="G472" i="3"/>
  <c r="I470" i="3"/>
  <c r="K468" i="3"/>
  <c r="M466" i="3"/>
  <c r="P464" i="3"/>
  <c r="H463" i="3"/>
  <c r="J461" i="3"/>
  <c r="L459" i="3"/>
  <c r="O457" i="3"/>
  <c r="G456" i="3"/>
  <c r="I454" i="3"/>
  <c r="K452" i="3"/>
  <c r="M450" i="3"/>
  <c r="P448" i="3"/>
  <c r="H447" i="3"/>
  <c r="J445" i="3"/>
  <c r="L443" i="3"/>
  <c r="O441" i="3"/>
  <c r="G440" i="3"/>
  <c r="I438" i="3"/>
  <c r="K436" i="3"/>
  <c r="M434" i="3"/>
  <c r="P432" i="3"/>
  <c r="H431" i="3"/>
  <c r="J429" i="3"/>
  <c r="L427" i="3"/>
  <c r="O425" i="3"/>
  <c r="G424" i="3"/>
  <c r="I422" i="3"/>
  <c r="K420" i="3"/>
  <c r="M418" i="3"/>
  <c r="P416" i="3"/>
  <c r="H415" i="3"/>
  <c r="J413" i="3"/>
  <c r="L411" i="3"/>
  <c r="O409" i="3"/>
  <c r="G408" i="3"/>
  <c r="I406" i="3"/>
  <c r="K404" i="3"/>
  <c r="M402" i="3"/>
  <c r="P400" i="3"/>
  <c r="H399" i="3"/>
  <c r="J397" i="3"/>
  <c r="L395" i="3"/>
  <c r="O393" i="3"/>
  <c r="G392" i="3"/>
  <c r="I390" i="3"/>
  <c r="K388" i="3"/>
  <c r="M386" i="3"/>
  <c r="P384" i="3"/>
  <c r="H383" i="3"/>
  <c r="J381" i="3"/>
  <c r="L379" i="3"/>
  <c r="O377" i="3"/>
  <c r="G376" i="3"/>
  <c r="I374" i="3"/>
  <c r="K372" i="3"/>
  <c r="M370" i="3"/>
  <c r="P368" i="3"/>
  <c r="H367" i="3"/>
  <c r="J365" i="3"/>
  <c r="L363" i="3"/>
  <c r="O361" i="3"/>
  <c r="G360" i="3"/>
  <c r="I358" i="3"/>
  <c r="K356" i="3"/>
  <c r="M354" i="3"/>
  <c r="P352" i="3"/>
  <c r="H351" i="3"/>
  <c r="J349" i="3"/>
  <c r="L347" i="3"/>
  <c r="O345" i="3"/>
  <c r="G344" i="3"/>
  <c r="I342" i="3"/>
  <c r="K340" i="3"/>
  <c r="M338" i="3"/>
  <c r="P336" i="3"/>
  <c r="H335" i="3"/>
  <c r="J333" i="3"/>
  <c r="L331" i="3"/>
  <c r="O329" i="3"/>
  <c r="G328" i="3"/>
  <c r="I326" i="3"/>
  <c r="L324" i="3"/>
  <c r="G323" i="3"/>
  <c r="O321" i="3"/>
  <c r="K320" i="3"/>
  <c r="G319" i="3"/>
  <c r="O317" i="3"/>
  <c r="K316" i="3"/>
  <c r="G315" i="3"/>
  <c r="O313" i="3"/>
  <c r="K312" i="3"/>
  <c r="G311" i="3"/>
  <c r="O309" i="3"/>
  <c r="L308" i="3"/>
  <c r="I307" i="3"/>
  <c r="F306" i="3"/>
  <c r="P304" i="3"/>
  <c r="M303" i="3"/>
  <c r="J302" i="3"/>
  <c r="G301" i="3"/>
  <c r="A300" i="3"/>
  <c r="N298" i="3"/>
  <c r="K297" i="3"/>
  <c r="H296" i="3"/>
  <c r="B295" i="3"/>
  <c r="O293" i="3"/>
  <c r="L292" i="3"/>
  <c r="J291" i="3"/>
  <c r="H290" i="3"/>
  <c r="H289" i="3"/>
  <c r="H288" i="3"/>
  <c r="H287" i="3"/>
  <c r="H286" i="3"/>
  <c r="H285" i="3"/>
  <c r="H284" i="3"/>
  <c r="H283" i="3"/>
  <c r="H282" i="3"/>
  <c r="H281" i="3"/>
  <c r="H280" i="3"/>
  <c r="H279" i="3"/>
  <c r="H278" i="3"/>
  <c r="H277" i="3"/>
  <c r="H276" i="3"/>
  <c r="H275" i="3"/>
  <c r="H274" i="3"/>
  <c r="H273" i="3"/>
  <c r="H272" i="3"/>
  <c r="H271" i="3"/>
  <c r="H270" i="3"/>
  <c r="H269" i="3"/>
  <c r="H268" i="3"/>
  <c r="H267" i="3"/>
  <c r="H266" i="3"/>
  <c r="H265" i="3"/>
  <c r="H264" i="3"/>
  <c r="H263" i="3"/>
  <c r="H262" i="3"/>
  <c r="H261" i="3"/>
  <c r="H260" i="3"/>
  <c r="H259" i="3"/>
  <c r="H258" i="3"/>
  <c r="H257" i="3"/>
  <c r="H256" i="3"/>
  <c r="H255" i="3"/>
  <c r="H254" i="3"/>
  <c r="H253" i="3"/>
  <c r="H252" i="3"/>
  <c r="H251" i="3"/>
  <c r="H250" i="3"/>
  <c r="H249" i="3"/>
  <c r="H248" i="3"/>
  <c r="H247" i="3"/>
  <c r="H246" i="3"/>
  <c r="H245" i="3"/>
  <c r="H244" i="3"/>
  <c r="H243" i="3"/>
  <c r="H242" i="3"/>
  <c r="H241" i="3"/>
  <c r="H240" i="3"/>
  <c r="H239" i="3"/>
  <c r="H238" i="3"/>
  <c r="H237" i="3"/>
  <c r="H236" i="3"/>
  <c r="H235" i="3"/>
  <c r="H234" i="3"/>
  <c r="H233" i="3"/>
  <c r="H232" i="3"/>
  <c r="H231" i="3"/>
  <c r="H230" i="3"/>
  <c r="H229" i="3"/>
  <c r="H228" i="3"/>
  <c r="H227" i="3"/>
  <c r="H226" i="3"/>
  <c r="H225" i="3"/>
  <c r="H224" i="3"/>
  <c r="H223" i="3"/>
  <c r="H222" i="3"/>
  <c r="H221" i="3"/>
  <c r="H220" i="3"/>
  <c r="H219" i="3"/>
  <c r="H218" i="3"/>
  <c r="H217" i="3"/>
  <c r="H216" i="3"/>
  <c r="H215" i="3"/>
  <c r="H214" i="3"/>
  <c r="H213" i="3"/>
  <c r="H212" i="3"/>
  <c r="H211" i="3"/>
  <c r="H210" i="3"/>
  <c r="H209" i="3"/>
  <c r="H208" i="3"/>
  <c r="H207" i="3"/>
  <c r="H206" i="3"/>
  <c r="H205" i="3"/>
  <c r="H204" i="3"/>
  <c r="H203" i="3"/>
  <c r="H202" i="3"/>
  <c r="H201" i="3"/>
  <c r="H200" i="3"/>
  <c r="H199" i="3"/>
  <c r="H198" i="3"/>
  <c r="H197" i="3"/>
  <c r="H196" i="3"/>
  <c r="H195" i="3"/>
  <c r="H194" i="3"/>
  <c r="H193" i="3"/>
  <c r="H192" i="3"/>
  <c r="H191" i="3"/>
  <c r="H190" i="3"/>
  <c r="H189" i="3"/>
  <c r="H188" i="3"/>
  <c r="H187" i="3"/>
  <c r="H186" i="3"/>
  <c r="H185" i="3"/>
  <c r="H184" i="3"/>
  <c r="H183" i="3"/>
  <c r="H182" i="3"/>
  <c r="H181" i="3"/>
  <c r="H180" i="3"/>
  <c r="H179" i="3"/>
  <c r="H178" i="3"/>
  <c r="H177" i="3"/>
  <c r="H176" i="3"/>
  <c r="H175" i="3"/>
  <c r="H174" i="3"/>
  <c r="H173" i="3"/>
  <c r="H172" i="3"/>
  <c r="H171" i="3"/>
  <c r="H170" i="3"/>
  <c r="H169" i="3"/>
  <c r="H168" i="3"/>
  <c r="H167" i="3"/>
  <c r="H166" i="3"/>
  <c r="H165" i="3"/>
  <c r="H164" i="3"/>
  <c r="H163" i="3"/>
  <c r="H162" i="3"/>
  <c r="H161" i="3"/>
  <c r="H160" i="3"/>
  <c r="H159" i="3"/>
  <c r="H158" i="3"/>
  <c r="H157" i="3"/>
  <c r="H156" i="3"/>
  <c r="H155" i="3"/>
  <c r="H154" i="3"/>
  <c r="H153" i="3"/>
  <c r="H152" i="3"/>
  <c r="H151" i="3"/>
  <c r="H150" i="3"/>
  <c r="H149" i="3"/>
  <c r="D1056" i="3"/>
  <c r="F964" i="3"/>
  <c r="H917" i="3"/>
  <c r="I880" i="3"/>
  <c r="P858" i="3"/>
  <c r="A837" i="3"/>
  <c r="I814" i="3"/>
  <c r="I794" i="3"/>
  <c r="E783" i="3"/>
  <c r="O774" i="3"/>
  <c r="L765" i="3"/>
  <c r="C756" i="3"/>
  <c r="E747" i="3"/>
  <c r="G740" i="3"/>
  <c r="H732" i="3"/>
  <c r="N723" i="3"/>
  <c r="F715" i="3"/>
  <c r="O708" i="3"/>
  <c r="I702" i="3"/>
  <c r="K694" i="3"/>
  <c r="L686" i="3"/>
  <c r="G679" i="3"/>
  <c r="P672" i="3"/>
  <c r="C666" i="3"/>
  <c r="K658" i="3"/>
  <c r="G651" i="3"/>
  <c r="D646" i="3"/>
  <c r="O640" i="3"/>
  <c r="L634" i="3"/>
  <c r="D629" i="3"/>
  <c r="C624" i="3"/>
  <c r="D620" i="3"/>
  <c r="C616" i="3"/>
  <c r="K611" i="3"/>
  <c r="E607" i="3"/>
  <c r="H603" i="3"/>
  <c r="E600" i="3"/>
  <c r="G596" i="3"/>
  <c r="P592" i="3"/>
  <c r="K589" i="3"/>
  <c r="K586" i="3"/>
  <c r="E583" i="3"/>
  <c r="G579" i="3"/>
  <c r="P575" i="3"/>
  <c r="K572" i="3"/>
  <c r="K569" i="3"/>
  <c r="E566" i="3"/>
  <c r="G562" i="3"/>
  <c r="A559" i="3"/>
  <c r="J556" i="3"/>
  <c r="I553" i="3"/>
  <c r="I550" i="3"/>
  <c r="I547" i="3"/>
  <c r="O544" i="3"/>
  <c r="M542" i="3"/>
  <c r="P539" i="3"/>
  <c r="C537" i="3"/>
  <c r="K534" i="3"/>
  <c r="K532" i="3"/>
  <c r="B530" i="3"/>
  <c r="M527" i="3"/>
  <c r="F525" i="3"/>
  <c r="C523" i="3"/>
  <c r="E521" i="3"/>
  <c r="A519" i="3"/>
  <c r="M516" i="3"/>
  <c r="G514" i="3"/>
  <c r="K512" i="3"/>
  <c r="E510" i="3"/>
  <c r="A508" i="3"/>
  <c r="O505" i="3"/>
  <c r="P503" i="3"/>
  <c r="H502" i="3"/>
  <c r="J500" i="3"/>
  <c r="L498" i="3"/>
  <c r="O496" i="3"/>
  <c r="G495" i="3"/>
  <c r="I493" i="3"/>
  <c r="K491" i="3"/>
  <c r="M489" i="3"/>
  <c r="P487" i="3"/>
  <c r="H486" i="3"/>
  <c r="J484" i="3"/>
  <c r="L482" i="3"/>
  <c r="O480" i="3"/>
  <c r="G479" i="3"/>
  <c r="I477" i="3"/>
  <c r="K475" i="3"/>
  <c r="M473" i="3"/>
  <c r="P471" i="3"/>
  <c r="H470" i="3"/>
  <c r="J468" i="3"/>
  <c r="L466" i="3"/>
  <c r="O464" i="3"/>
  <c r="G463" i="3"/>
  <c r="I461" i="3"/>
  <c r="K459" i="3"/>
  <c r="M457" i="3"/>
  <c r="P455" i="3"/>
  <c r="H454" i="3"/>
  <c r="J452" i="3"/>
  <c r="L450" i="3"/>
  <c r="O448" i="3"/>
  <c r="G447" i="3"/>
  <c r="I445" i="3"/>
  <c r="K443" i="3"/>
  <c r="M441" i="3"/>
  <c r="P439" i="3"/>
  <c r="H438" i="3"/>
  <c r="J436" i="3"/>
  <c r="L434" i="3"/>
  <c r="O432" i="3"/>
  <c r="G431" i="3"/>
  <c r="I429" i="3"/>
  <c r="K427" i="3"/>
  <c r="M425" i="3"/>
  <c r="P423" i="3"/>
  <c r="H422" i="3"/>
  <c r="J420" i="3"/>
  <c r="L418" i="3"/>
  <c r="O416" i="3"/>
  <c r="G415" i="3"/>
  <c r="I413" i="3"/>
  <c r="K411" i="3"/>
  <c r="M409" i="3"/>
  <c r="P407" i="3"/>
  <c r="H406" i="3"/>
  <c r="J404" i="3"/>
  <c r="L402" i="3"/>
  <c r="O400" i="3"/>
  <c r="G399" i="3"/>
  <c r="I397" i="3"/>
  <c r="K395" i="3"/>
  <c r="M393" i="3"/>
  <c r="P391" i="3"/>
  <c r="H390" i="3"/>
  <c r="J388" i="3"/>
  <c r="L386" i="3"/>
  <c r="O384" i="3"/>
  <c r="G383" i="3"/>
  <c r="I381" i="3"/>
  <c r="K379" i="3"/>
  <c r="M377" i="3"/>
  <c r="P375" i="3"/>
  <c r="H374" i="3"/>
  <c r="J372" i="3"/>
  <c r="L370" i="3"/>
  <c r="O368" i="3"/>
  <c r="G367" i="3"/>
  <c r="I365" i="3"/>
  <c r="K363" i="3"/>
  <c r="M361" i="3"/>
  <c r="P359" i="3"/>
  <c r="H358" i="3"/>
  <c r="J356" i="3"/>
  <c r="L354" i="3"/>
  <c r="O352" i="3"/>
  <c r="G351" i="3"/>
  <c r="I349" i="3"/>
  <c r="K347" i="3"/>
  <c r="M345" i="3"/>
  <c r="P343" i="3"/>
  <c r="H342" i="3"/>
  <c r="J340" i="3"/>
  <c r="L338" i="3"/>
  <c r="O336" i="3"/>
  <c r="G335" i="3"/>
  <c r="I333" i="3"/>
  <c r="K331" i="3"/>
  <c r="M329" i="3"/>
  <c r="P327" i="3"/>
  <c r="H326" i="3"/>
  <c r="K324" i="3"/>
  <c r="B323" i="3"/>
  <c r="N321" i="3"/>
  <c r="J320" i="3"/>
  <c r="B319" i="3"/>
  <c r="N317" i="3"/>
  <c r="J316" i="3"/>
  <c r="B315" i="3"/>
  <c r="N313" i="3"/>
  <c r="J312" i="3"/>
  <c r="B311" i="3"/>
  <c r="N309" i="3"/>
  <c r="K308" i="3"/>
  <c r="H307" i="3"/>
  <c r="B306" i="3"/>
  <c r="O304" i="3"/>
  <c r="L303" i="3"/>
  <c r="I302" i="3"/>
  <c r="F301" i="3"/>
  <c r="P299" i="3"/>
  <c r="M298" i="3"/>
  <c r="J297" i="3"/>
  <c r="G296" i="3"/>
  <c r="A295" i="3"/>
  <c r="N293" i="3"/>
  <c r="K292" i="3"/>
  <c r="I291" i="3"/>
  <c r="G290" i="3"/>
  <c r="G289" i="3"/>
  <c r="G288" i="3"/>
  <c r="G287" i="3"/>
  <c r="G286" i="3"/>
  <c r="G285" i="3"/>
  <c r="G284" i="3"/>
  <c r="G283" i="3"/>
  <c r="G282" i="3"/>
  <c r="G281" i="3"/>
  <c r="G280" i="3"/>
  <c r="G279" i="3"/>
  <c r="G278" i="3"/>
  <c r="G277" i="3"/>
  <c r="G276" i="3"/>
  <c r="G275" i="3"/>
  <c r="G274" i="3"/>
  <c r="G273" i="3"/>
  <c r="G272" i="3"/>
  <c r="G271" i="3"/>
  <c r="G270" i="3"/>
  <c r="G269" i="3"/>
  <c r="G268" i="3"/>
  <c r="G267" i="3"/>
  <c r="G266" i="3"/>
  <c r="G265" i="3"/>
  <c r="G264" i="3"/>
  <c r="G263" i="3"/>
  <c r="G262" i="3"/>
  <c r="G261" i="3"/>
  <c r="G260" i="3"/>
  <c r="G259" i="3"/>
  <c r="G258" i="3"/>
  <c r="G257" i="3"/>
  <c r="G256" i="3"/>
  <c r="G255" i="3"/>
  <c r="G254" i="3"/>
  <c r="G253" i="3"/>
  <c r="G252" i="3"/>
  <c r="G251" i="3"/>
  <c r="G250" i="3"/>
  <c r="G249" i="3"/>
  <c r="G248" i="3"/>
  <c r="G247" i="3"/>
  <c r="G246" i="3"/>
  <c r="G245" i="3"/>
  <c r="G244" i="3"/>
  <c r="G243" i="3"/>
  <c r="G242" i="3"/>
  <c r="G241" i="3"/>
  <c r="G240" i="3"/>
  <c r="G239" i="3"/>
  <c r="G238" i="3"/>
  <c r="G237" i="3"/>
  <c r="G236" i="3"/>
  <c r="G235" i="3"/>
  <c r="G234" i="3"/>
  <c r="G233" i="3"/>
  <c r="G232" i="3"/>
  <c r="G231" i="3"/>
  <c r="G230" i="3"/>
  <c r="G229" i="3"/>
  <c r="G228" i="3"/>
  <c r="G227" i="3"/>
  <c r="G226" i="3"/>
  <c r="G225" i="3"/>
  <c r="G224" i="3"/>
  <c r="G223" i="3"/>
  <c r="G222" i="3"/>
  <c r="G221" i="3"/>
  <c r="G220" i="3"/>
  <c r="G219" i="3"/>
  <c r="G218" i="3"/>
  <c r="G217" i="3"/>
  <c r="G216" i="3"/>
  <c r="G215" i="3"/>
  <c r="G214" i="3"/>
  <c r="G213" i="3"/>
  <c r="G212" i="3"/>
  <c r="G211" i="3"/>
  <c r="G210" i="3"/>
  <c r="G209" i="3"/>
  <c r="G208" i="3"/>
  <c r="G207" i="3"/>
  <c r="G206" i="3"/>
  <c r="G205" i="3"/>
  <c r="G204" i="3"/>
  <c r="G203" i="3"/>
  <c r="G202" i="3"/>
  <c r="G201" i="3"/>
  <c r="G200" i="3"/>
  <c r="G199" i="3"/>
  <c r="G198" i="3"/>
  <c r="G197" i="3"/>
  <c r="G196" i="3"/>
  <c r="G195" i="3"/>
  <c r="G194" i="3"/>
  <c r="G193" i="3"/>
  <c r="G192" i="3"/>
  <c r="G191" i="3"/>
  <c r="G190" i="3"/>
  <c r="G189" i="3"/>
  <c r="G188" i="3"/>
  <c r="G187" i="3"/>
  <c r="G186" i="3"/>
  <c r="G185" i="3"/>
  <c r="G184" i="3"/>
  <c r="G183" i="3"/>
  <c r="G182" i="3"/>
  <c r="G181" i="3"/>
  <c r="G180" i="3"/>
  <c r="G179" i="3"/>
  <c r="G178" i="3"/>
  <c r="G177" i="3"/>
  <c r="G176" i="3"/>
  <c r="G175" i="3"/>
  <c r="G174" i="3"/>
  <c r="G173" i="3"/>
  <c r="G172" i="3"/>
  <c r="G171" i="3"/>
  <c r="G170" i="3"/>
  <c r="G169" i="3"/>
  <c r="G168" i="3"/>
  <c r="G167" i="3"/>
  <c r="G166" i="3"/>
  <c r="G165" i="3"/>
  <c r="G164" i="3"/>
  <c r="G163" i="3"/>
  <c r="G162" i="3"/>
  <c r="G161" i="3"/>
  <c r="G160" i="3"/>
  <c r="G159" i="3"/>
  <c r="G158" i="3"/>
  <c r="G157" i="3"/>
  <c r="G156" i="3"/>
  <c r="G155" i="3"/>
  <c r="G154" i="3"/>
  <c r="G153" i="3"/>
  <c r="G152" i="3"/>
  <c r="G151" i="3"/>
  <c r="G150" i="3"/>
  <c r="G149" i="3"/>
  <c r="G148" i="3"/>
  <c r="G147" i="3"/>
  <c r="G146" i="3"/>
  <c r="G145" i="3"/>
  <c r="G144" i="3"/>
  <c r="G143" i="3"/>
  <c r="G142" i="3"/>
  <c r="G1045" i="3"/>
  <c r="C961" i="3"/>
  <c r="M916" i="3"/>
  <c r="C880" i="3"/>
  <c r="G856" i="3"/>
  <c r="P836" i="3"/>
  <c r="A814" i="3"/>
  <c r="H794" i="3"/>
  <c r="K781" i="3"/>
  <c r="L773" i="3"/>
  <c r="E765" i="3"/>
  <c r="O755" i="3"/>
  <c r="N746" i="3"/>
  <c r="E739" i="3"/>
  <c r="G732" i="3"/>
  <c r="M723" i="3"/>
  <c r="E715" i="3"/>
  <c r="N707" i="3"/>
  <c r="I701" i="3"/>
  <c r="I694" i="3"/>
  <c r="K686" i="3"/>
  <c r="L678" i="3"/>
  <c r="G672" i="3"/>
  <c r="O665" i="3"/>
  <c r="D658" i="3"/>
  <c r="F651" i="3"/>
  <c r="E645" i="3"/>
  <c r="G640" i="3"/>
  <c r="K634" i="3"/>
  <c r="C629" i="3"/>
  <c r="M623" i="3"/>
  <c r="I619" i="3"/>
  <c r="P615" i="3"/>
  <c r="J611" i="3"/>
  <c r="D607" i="3"/>
  <c r="O602" i="3"/>
  <c r="L599" i="3"/>
  <c r="F596" i="3"/>
  <c r="O592" i="3"/>
  <c r="A589" i="3"/>
  <c r="L585" i="3"/>
  <c r="D583" i="3"/>
  <c r="F579" i="3"/>
  <c r="O575" i="3"/>
  <c r="J572" i="3"/>
  <c r="J569" i="3"/>
  <c r="D566" i="3"/>
  <c r="F562" i="3"/>
  <c r="O558" i="3"/>
  <c r="L555" i="3"/>
  <c r="H553" i="3"/>
  <c r="H550" i="3"/>
  <c r="H547" i="3"/>
  <c r="N544" i="3"/>
  <c r="G542" i="3"/>
  <c r="O539" i="3"/>
  <c r="B537" i="3"/>
  <c r="F534" i="3"/>
  <c r="A532" i="3"/>
  <c r="A530" i="3"/>
  <c r="K527" i="3"/>
  <c r="E525" i="3"/>
  <c r="B523" i="3"/>
  <c r="D521" i="3"/>
  <c r="P518" i="3"/>
  <c r="K516" i="3"/>
  <c r="E514" i="3"/>
  <c r="B512" i="3"/>
  <c r="D510" i="3"/>
  <c r="P507" i="3"/>
  <c r="N505" i="3"/>
  <c r="O503" i="3"/>
  <c r="G502" i="3"/>
  <c r="I500" i="3"/>
  <c r="K498" i="3"/>
  <c r="M496" i="3"/>
  <c r="P494" i="3"/>
  <c r="H493" i="3"/>
  <c r="J491" i="3"/>
  <c r="L489" i="3"/>
  <c r="O487" i="3"/>
  <c r="G486" i="3"/>
  <c r="I484" i="3"/>
  <c r="K482" i="3"/>
  <c r="M480" i="3"/>
  <c r="P478" i="3"/>
  <c r="H477" i="3"/>
  <c r="J475" i="3"/>
  <c r="L473" i="3"/>
  <c r="O471" i="3"/>
  <c r="G470" i="3"/>
  <c r="I468" i="3"/>
  <c r="K466" i="3"/>
  <c r="M464" i="3"/>
  <c r="P462" i="3"/>
  <c r="H461" i="3"/>
  <c r="J459" i="3"/>
  <c r="L457" i="3"/>
  <c r="O455" i="3"/>
  <c r="G454" i="3"/>
  <c r="I452" i="3"/>
  <c r="K450" i="3"/>
  <c r="M448" i="3"/>
  <c r="P446" i="3"/>
  <c r="H445" i="3"/>
  <c r="J443" i="3"/>
  <c r="L441" i="3"/>
  <c r="O439" i="3"/>
  <c r="G438" i="3"/>
  <c r="I436" i="3"/>
  <c r="K434" i="3"/>
  <c r="M432" i="3"/>
  <c r="P430" i="3"/>
  <c r="H429" i="3"/>
  <c r="J427" i="3"/>
  <c r="L425" i="3"/>
  <c r="O423" i="3"/>
  <c r="G422" i="3"/>
  <c r="I420" i="3"/>
  <c r="K418" i="3"/>
  <c r="M416" i="3"/>
  <c r="P414" i="3"/>
  <c r="H413" i="3"/>
  <c r="J411" i="3"/>
  <c r="L409" i="3"/>
  <c r="O407" i="3"/>
  <c r="G406" i="3"/>
  <c r="I404" i="3"/>
  <c r="K402" i="3"/>
  <c r="M400" i="3"/>
  <c r="P398" i="3"/>
  <c r="H397" i="3"/>
  <c r="J395" i="3"/>
  <c r="L393" i="3"/>
  <c r="O391" i="3"/>
  <c r="G390" i="3"/>
  <c r="I388" i="3"/>
  <c r="K386" i="3"/>
  <c r="M384" i="3"/>
  <c r="P382" i="3"/>
  <c r="H381" i="3"/>
  <c r="J379" i="3"/>
  <c r="L377" i="3"/>
  <c r="O375" i="3"/>
  <c r="G374" i="3"/>
  <c r="I372" i="3"/>
  <c r="K370" i="3"/>
  <c r="M368" i="3"/>
  <c r="P366" i="3"/>
  <c r="H365" i="3"/>
  <c r="J363" i="3"/>
  <c r="L361" i="3"/>
  <c r="O359" i="3"/>
  <c r="G358" i="3"/>
  <c r="I356" i="3"/>
  <c r="K354" i="3"/>
  <c r="M352" i="3"/>
  <c r="P350" i="3"/>
  <c r="H349" i="3"/>
  <c r="J347" i="3"/>
  <c r="L345" i="3"/>
  <c r="O343" i="3"/>
  <c r="G342" i="3"/>
  <c r="I340" i="3"/>
  <c r="K338" i="3"/>
  <c r="M336" i="3"/>
  <c r="P334" i="3"/>
  <c r="H333" i="3"/>
  <c r="J331" i="3"/>
  <c r="L329" i="3"/>
  <c r="O327" i="3"/>
  <c r="G326" i="3"/>
  <c r="J324" i="3"/>
  <c r="A323" i="3"/>
  <c r="M321" i="3"/>
  <c r="I320" i="3"/>
  <c r="A319" i="3"/>
  <c r="M317" i="3"/>
  <c r="I316" i="3"/>
  <c r="A315" i="3"/>
  <c r="M313" i="3"/>
  <c r="I312" i="3"/>
  <c r="A311" i="3"/>
  <c r="M309" i="3"/>
  <c r="J308" i="3"/>
  <c r="G307" i="3"/>
  <c r="A306" i="3"/>
  <c r="N304" i="3"/>
  <c r="K303" i="3"/>
  <c r="H302" i="3"/>
  <c r="B301" i="3"/>
  <c r="O299" i="3"/>
  <c r="L298" i="3"/>
  <c r="I297" i="3"/>
  <c r="F296" i="3"/>
  <c r="P294" i="3"/>
  <c r="M293" i="3"/>
  <c r="J292" i="3"/>
  <c r="H291" i="3"/>
  <c r="F290" i="3"/>
  <c r="F289" i="3"/>
  <c r="F288" i="3"/>
  <c r="F287" i="3"/>
  <c r="F286" i="3"/>
  <c r="F285" i="3"/>
  <c r="F284" i="3"/>
  <c r="F283" i="3"/>
  <c r="F282" i="3"/>
  <c r="F281" i="3"/>
  <c r="F280" i="3"/>
  <c r="F279" i="3"/>
  <c r="F278" i="3"/>
  <c r="F277" i="3"/>
  <c r="F276" i="3"/>
  <c r="F275" i="3"/>
  <c r="F274" i="3"/>
  <c r="F273" i="3"/>
  <c r="F272" i="3"/>
  <c r="F271" i="3"/>
  <c r="F270" i="3"/>
  <c r="F269" i="3"/>
  <c r="F268" i="3"/>
  <c r="F267" i="3"/>
  <c r="F266" i="3"/>
  <c r="F265" i="3"/>
  <c r="F264" i="3"/>
  <c r="F263" i="3"/>
  <c r="F262" i="3"/>
  <c r="F261" i="3"/>
  <c r="F260" i="3"/>
  <c r="F259" i="3"/>
  <c r="F258" i="3"/>
  <c r="F257" i="3"/>
  <c r="F256" i="3"/>
  <c r="F255" i="3"/>
  <c r="F254" i="3"/>
  <c r="F253" i="3"/>
  <c r="F252" i="3"/>
  <c r="F251" i="3"/>
  <c r="F250" i="3"/>
  <c r="F249" i="3"/>
  <c r="F248" i="3"/>
  <c r="F247" i="3"/>
  <c r="F246" i="3"/>
  <c r="F245" i="3"/>
  <c r="F244" i="3"/>
  <c r="F243" i="3"/>
  <c r="F242" i="3"/>
  <c r="F241" i="3"/>
  <c r="F240" i="3"/>
  <c r="F239" i="3"/>
  <c r="F238" i="3"/>
  <c r="F237" i="3"/>
  <c r="F236" i="3"/>
  <c r="F235" i="3"/>
  <c r="J1044" i="3"/>
  <c r="B961" i="3"/>
  <c r="L915" i="3"/>
  <c r="O878" i="3"/>
  <c r="N852" i="3"/>
  <c r="L833" i="3"/>
  <c r="L812" i="3"/>
  <c r="G794" i="3"/>
  <c r="C781" i="3"/>
  <c r="I772" i="3"/>
  <c r="D765" i="3"/>
  <c r="N755" i="3"/>
  <c r="M746" i="3"/>
  <c r="C738" i="3"/>
  <c r="E731" i="3"/>
  <c r="F723" i="3"/>
  <c r="C715" i="3"/>
  <c r="E707" i="3"/>
  <c r="H700" i="3"/>
  <c r="H694" i="3"/>
  <c r="I686" i="3"/>
  <c r="K678" i="3"/>
  <c r="F671" i="3"/>
  <c r="O664" i="3"/>
  <c r="C658" i="3"/>
  <c r="E651" i="3"/>
  <c r="P644" i="3"/>
  <c r="H639" i="3"/>
  <c r="G634" i="3"/>
  <c r="P628" i="3"/>
  <c r="L623" i="3"/>
  <c r="O618" i="3"/>
  <c r="H615" i="3"/>
  <c r="I611" i="3"/>
  <c r="C607" i="3"/>
  <c r="L602" i="3"/>
  <c r="E599" i="3"/>
  <c r="E596" i="3"/>
  <c r="N592" i="3"/>
  <c r="P588" i="3"/>
  <c r="K585" i="3"/>
  <c r="K582" i="3"/>
  <c r="E579" i="3"/>
  <c r="N575" i="3"/>
  <c r="P571" i="3"/>
  <c r="K568" i="3"/>
  <c r="C566" i="3"/>
  <c r="E562" i="3"/>
  <c r="N558" i="3"/>
  <c r="K555" i="3"/>
  <c r="G553" i="3"/>
  <c r="G550" i="3"/>
  <c r="G547" i="3"/>
  <c r="G544" i="3"/>
  <c r="P541" i="3"/>
  <c r="N539" i="3"/>
  <c r="A537" i="3"/>
  <c r="E534" i="3"/>
  <c r="P531" i="3"/>
  <c r="P529" i="3"/>
  <c r="I527" i="3"/>
  <c r="D525" i="3"/>
  <c r="P522" i="3"/>
  <c r="M520" i="3"/>
  <c r="O518" i="3"/>
  <c r="I516" i="3"/>
  <c r="D514" i="3"/>
  <c r="A512" i="3"/>
  <c r="C510" i="3"/>
  <c r="O507" i="3"/>
  <c r="M505" i="3"/>
  <c r="M503" i="3"/>
  <c r="P501" i="3"/>
  <c r="H500" i="3"/>
  <c r="J498" i="3"/>
  <c r="L496" i="3"/>
  <c r="O494" i="3"/>
  <c r="G493" i="3"/>
  <c r="I491" i="3"/>
  <c r="K489" i="3"/>
  <c r="M487" i="3"/>
  <c r="P485" i="3"/>
  <c r="H484" i="3"/>
  <c r="J482" i="3"/>
  <c r="L480" i="3"/>
  <c r="O478" i="3"/>
  <c r="G477" i="3"/>
  <c r="I475" i="3"/>
  <c r="K473" i="3"/>
  <c r="M471" i="3"/>
  <c r="P469" i="3"/>
  <c r="H468" i="3"/>
  <c r="J466" i="3"/>
  <c r="L464" i="3"/>
  <c r="O462" i="3"/>
  <c r="G461" i="3"/>
  <c r="I459" i="3"/>
  <c r="K457" i="3"/>
  <c r="M455" i="3"/>
  <c r="P453" i="3"/>
  <c r="H452" i="3"/>
  <c r="J450" i="3"/>
  <c r="L448" i="3"/>
  <c r="O446" i="3"/>
  <c r="G445" i="3"/>
  <c r="I443" i="3"/>
  <c r="K441" i="3"/>
  <c r="M439" i="3"/>
  <c r="P437" i="3"/>
  <c r="H436" i="3"/>
  <c r="J434" i="3"/>
  <c r="L432" i="3"/>
  <c r="O430" i="3"/>
  <c r="G429" i="3"/>
  <c r="I427" i="3"/>
  <c r="K425" i="3"/>
  <c r="M423" i="3"/>
  <c r="P421" i="3"/>
  <c r="H420" i="3"/>
  <c r="J418" i="3"/>
  <c r="L416" i="3"/>
  <c r="O414" i="3"/>
  <c r="G413" i="3"/>
  <c r="I411" i="3"/>
  <c r="K409" i="3"/>
  <c r="M407" i="3"/>
  <c r="P405" i="3"/>
  <c r="H404" i="3"/>
  <c r="J402" i="3"/>
  <c r="L400" i="3"/>
  <c r="O398" i="3"/>
  <c r="G397" i="3"/>
  <c r="I395" i="3"/>
  <c r="K393" i="3"/>
  <c r="M391" i="3"/>
  <c r="P389" i="3"/>
  <c r="H388" i="3"/>
  <c r="J386" i="3"/>
  <c r="L384" i="3"/>
  <c r="O382" i="3"/>
  <c r="G381" i="3"/>
  <c r="I379" i="3"/>
  <c r="K377" i="3"/>
  <c r="M375" i="3"/>
  <c r="P373" i="3"/>
  <c r="H372" i="3"/>
  <c r="J370" i="3"/>
  <c r="L368" i="3"/>
  <c r="O366" i="3"/>
  <c r="G365" i="3"/>
  <c r="I363" i="3"/>
  <c r="K361" i="3"/>
  <c r="M359" i="3"/>
  <c r="P357" i="3"/>
  <c r="H356" i="3"/>
  <c r="J354" i="3"/>
  <c r="L352" i="3"/>
  <c r="O350" i="3"/>
  <c r="G349" i="3"/>
  <c r="I347" i="3"/>
  <c r="K345" i="3"/>
  <c r="M343" i="3"/>
  <c r="P341" i="3"/>
  <c r="H340" i="3"/>
  <c r="J338" i="3"/>
  <c r="L336" i="3"/>
  <c r="O334" i="3"/>
  <c r="G333" i="3"/>
  <c r="I331" i="3"/>
  <c r="K329" i="3"/>
  <c r="M327" i="3"/>
  <c r="P325" i="3"/>
  <c r="I324" i="3"/>
  <c r="P322" i="3"/>
  <c r="L321" i="3"/>
  <c r="H320" i="3"/>
  <c r="P318" i="3"/>
  <c r="L317" i="3"/>
  <c r="H316" i="3"/>
  <c r="P314" i="3"/>
  <c r="L313" i="3"/>
  <c r="H312" i="3"/>
  <c r="P310" i="3"/>
  <c r="L309" i="3"/>
  <c r="I308" i="3"/>
  <c r="F307" i="3"/>
  <c r="P305" i="3"/>
  <c r="M304" i="3"/>
  <c r="J303" i="3"/>
  <c r="G302" i="3"/>
  <c r="A301" i="3"/>
  <c r="N299" i="3"/>
  <c r="K298" i="3"/>
  <c r="H297" i="3"/>
  <c r="B296" i="3"/>
  <c r="O294" i="3"/>
  <c r="L293" i="3"/>
  <c r="I292" i="3"/>
  <c r="G291" i="3"/>
  <c r="E290" i="3"/>
  <c r="E289" i="3"/>
  <c r="E288" i="3"/>
  <c r="E287" i="3"/>
  <c r="E286" i="3"/>
  <c r="E285" i="3"/>
  <c r="E284" i="3"/>
  <c r="E283" i="3"/>
  <c r="E282" i="3"/>
  <c r="E281" i="3"/>
  <c r="E280" i="3"/>
  <c r="E279" i="3"/>
  <c r="E278" i="3"/>
  <c r="E277" i="3"/>
  <c r="E276" i="3"/>
  <c r="E275" i="3"/>
  <c r="E274" i="3"/>
  <c r="E273" i="3"/>
  <c r="E272" i="3"/>
  <c r="E271" i="3"/>
  <c r="E270" i="3"/>
  <c r="E269" i="3"/>
  <c r="E268" i="3"/>
  <c r="E267" i="3"/>
  <c r="E266" i="3"/>
  <c r="E265" i="3"/>
  <c r="E264" i="3"/>
  <c r="E263" i="3"/>
  <c r="E262" i="3"/>
  <c r="E261" i="3"/>
  <c r="E260" i="3"/>
  <c r="E259" i="3"/>
  <c r="E258" i="3"/>
  <c r="E257" i="3"/>
  <c r="E256" i="3"/>
  <c r="E255" i="3"/>
  <c r="E254" i="3"/>
  <c r="E253" i="3"/>
  <c r="E252" i="3"/>
  <c r="E251" i="3"/>
  <c r="E250" i="3"/>
  <c r="E249" i="3"/>
  <c r="E248" i="3"/>
  <c r="E247" i="3"/>
  <c r="E246" i="3"/>
  <c r="E245" i="3"/>
  <c r="E244" i="3"/>
  <c r="E243" i="3"/>
  <c r="E242" i="3"/>
  <c r="E241" i="3"/>
  <c r="E240" i="3"/>
  <c r="E239" i="3"/>
  <c r="E238" i="3"/>
  <c r="E237" i="3"/>
  <c r="E236" i="3"/>
  <c r="E235" i="3"/>
  <c r="E234" i="3"/>
  <c r="E233" i="3"/>
  <c r="E232" i="3"/>
  <c r="E231" i="3"/>
  <c r="E230" i="3"/>
  <c r="E229" i="3"/>
  <c r="E228" i="3"/>
  <c r="E227" i="3"/>
  <c r="E226" i="3"/>
  <c r="E225" i="3"/>
  <c r="E224" i="3"/>
  <c r="E223" i="3"/>
  <c r="E222" i="3"/>
  <c r="E221" i="3"/>
  <c r="E220" i="3"/>
  <c r="E219" i="3"/>
  <c r="E218" i="3"/>
  <c r="E217" i="3"/>
  <c r="E216" i="3"/>
  <c r="E215" i="3"/>
  <c r="E214" i="3"/>
  <c r="E213" i="3"/>
  <c r="E212" i="3"/>
  <c r="E211" i="3"/>
  <c r="E210" i="3"/>
  <c r="E209" i="3"/>
  <c r="E208" i="3"/>
  <c r="E207" i="3"/>
  <c r="E206" i="3"/>
  <c r="E205" i="3"/>
  <c r="E204" i="3"/>
  <c r="E203" i="3"/>
  <c r="E202" i="3"/>
  <c r="E201" i="3"/>
  <c r="E200" i="3"/>
  <c r="E199" i="3"/>
  <c r="E198" i="3"/>
  <c r="E197" i="3"/>
  <c r="E196" i="3"/>
  <c r="E195" i="3"/>
  <c r="E194" i="3"/>
  <c r="E193" i="3"/>
  <c r="E192" i="3"/>
  <c r="E191" i="3"/>
  <c r="E190" i="3"/>
  <c r="E189" i="3"/>
  <c r="E188" i="3"/>
  <c r="E187" i="3"/>
  <c r="E186" i="3"/>
  <c r="E185" i="3"/>
  <c r="E184" i="3"/>
  <c r="E183" i="3"/>
  <c r="E182" i="3"/>
  <c r="E181" i="3"/>
  <c r="E180" i="3"/>
  <c r="E179" i="3"/>
  <c r="E178" i="3"/>
  <c r="E177" i="3"/>
  <c r="E176" i="3"/>
  <c r="E175" i="3"/>
  <c r="E174" i="3"/>
  <c r="E173" i="3"/>
  <c r="E172" i="3"/>
  <c r="E171" i="3"/>
  <c r="E170" i="3"/>
  <c r="E169" i="3"/>
  <c r="E168" i="3"/>
  <c r="E167" i="3"/>
  <c r="E166" i="3"/>
  <c r="E165" i="3"/>
  <c r="L1029" i="3"/>
  <c r="J953" i="3"/>
  <c r="E914" i="3"/>
  <c r="N878" i="3"/>
  <c r="J851" i="3"/>
  <c r="N830" i="3"/>
  <c r="K812" i="3"/>
  <c r="F794" i="3"/>
  <c r="B781" i="3"/>
  <c r="F771" i="3"/>
  <c r="N763" i="3"/>
  <c r="G755" i="3"/>
  <c r="L746" i="3"/>
  <c r="L737" i="3"/>
  <c r="C730" i="3"/>
  <c r="E723" i="3"/>
  <c r="P714" i="3"/>
  <c r="C707" i="3"/>
  <c r="M699" i="3"/>
  <c r="G693" i="3"/>
  <c r="H686" i="3"/>
  <c r="I678" i="3"/>
  <c r="K670" i="3"/>
  <c r="N663" i="3"/>
  <c r="P657" i="3"/>
  <c r="D651" i="3"/>
  <c r="O644" i="3"/>
  <c r="I638" i="3"/>
  <c r="L633" i="3"/>
  <c r="O628" i="3"/>
  <c r="K623" i="3"/>
  <c r="L618" i="3"/>
  <c r="N614" i="3"/>
  <c r="H611" i="3"/>
  <c r="P606" i="3"/>
  <c r="K602" i="3"/>
  <c r="D599" i="3"/>
  <c r="D596" i="3"/>
  <c r="M592" i="3"/>
  <c r="O588" i="3"/>
  <c r="I585" i="3"/>
  <c r="D582" i="3"/>
  <c r="D579" i="3"/>
  <c r="M575" i="3"/>
  <c r="O571" i="3"/>
  <c r="J568" i="3"/>
  <c r="J565" i="3"/>
  <c r="D562" i="3"/>
  <c r="M558" i="3"/>
  <c r="I555" i="3"/>
  <c r="J552" i="3"/>
  <c r="F550" i="3"/>
  <c r="F547" i="3"/>
  <c r="F544" i="3"/>
  <c r="O541" i="3"/>
  <c r="M539" i="3"/>
  <c r="P536" i="3"/>
  <c r="D534" i="3"/>
  <c r="N531" i="3"/>
  <c r="E529" i="3"/>
  <c r="G527" i="3"/>
  <c r="C525" i="3"/>
  <c r="O522" i="3"/>
  <c r="K520" i="3"/>
  <c r="N518" i="3"/>
  <c r="G516" i="3"/>
  <c r="C514" i="3"/>
  <c r="O511" i="3"/>
  <c r="K509" i="3"/>
  <c r="N507" i="3"/>
  <c r="K505" i="3"/>
  <c r="L503" i="3"/>
  <c r="O501" i="3"/>
  <c r="G500" i="3"/>
  <c r="I498" i="3"/>
  <c r="K496" i="3"/>
  <c r="M494" i="3"/>
  <c r="P492" i="3"/>
  <c r="H491" i="3"/>
  <c r="J489" i="3"/>
  <c r="L487" i="3"/>
  <c r="O485" i="3"/>
  <c r="G484" i="3"/>
  <c r="I482" i="3"/>
  <c r="K480" i="3"/>
  <c r="M478" i="3"/>
  <c r="P476" i="3"/>
  <c r="H475" i="3"/>
  <c r="J473" i="3"/>
  <c r="L471" i="3"/>
  <c r="O469" i="3"/>
  <c r="G468" i="3"/>
  <c r="I466" i="3"/>
  <c r="K464" i="3"/>
  <c r="M462" i="3"/>
  <c r="P460" i="3"/>
  <c r="H459" i="3"/>
  <c r="J457" i="3"/>
  <c r="L455" i="3"/>
  <c r="O453" i="3"/>
  <c r="G452" i="3"/>
  <c r="I450" i="3"/>
  <c r="K448" i="3"/>
  <c r="M446" i="3"/>
  <c r="P444" i="3"/>
  <c r="H443" i="3"/>
  <c r="J441" i="3"/>
  <c r="L439" i="3"/>
  <c r="O437" i="3"/>
  <c r="G436" i="3"/>
  <c r="I434" i="3"/>
  <c r="K432" i="3"/>
  <c r="M430" i="3"/>
  <c r="P428" i="3"/>
  <c r="H427" i="3"/>
  <c r="J425" i="3"/>
  <c r="L423" i="3"/>
  <c r="O421" i="3"/>
  <c r="G420" i="3"/>
  <c r="I418" i="3"/>
  <c r="K416" i="3"/>
  <c r="M414" i="3"/>
  <c r="P412" i="3"/>
  <c r="H411" i="3"/>
  <c r="J409" i="3"/>
  <c r="L407" i="3"/>
  <c r="O405" i="3"/>
  <c r="G404" i="3"/>
  <c r="I402" i="3"/>
  <c r="K400" i="3"/>
  <c r="M398" i="3"/>
  <c r="P396" i="3"/>
  <c r="H395" i="3"/>
  <c r="J393" i="3"/>
  <c r="L391" i="3"/>
  <c r="O389" i="3"/>
  <c r="G388" i="3"/>
  <c r="I386" i="3"/>
  <c r="K384" i="3"/>
  <c r="M382" i="3"/>
  <c r="P380" i="3"/>
  <c r="H379" i="3"/>
  <c r="J377" i="3"/>
  <c r="L375" i="3"/>
  <c r="O373" i="3"/>
  <c r="G372" i="3"/>
  <c r="I370" i="3"/>
  <c r="K368" i="3"/>
  <c r="M366" i="3"/>
  <c r="P364" i="3"/>
  <c r="H363" i="3"/>
  <c r="J361" i="3"/>
  <c r="L359" i="3"/>
  <c r="O357" i="3"/>
  <c r="G356" i="3"/>
  <c r="I354" i="3"/>
  <c r="K352" i="3"/>
  <c r="M350" i="3"/>
  <c r="P348" i="3"/>
  <c r="H347" i="3"/>
  <c r="J345" i="3"/>
  <c r="L343" i="3"/>
  <c r="O341" i="3"/>
  <c r="G340" i="3"/>
  <c r="I338" i="3"/>
  <c r="K336" i="3"/>
  <c r="M334" i="3"/>
  <c r="P332" i="3"/>
  <c r="H331" i="3"/>
  <c r="J329" i="3"/>
  <c r="L327" i="3"/>
  <c r="O325" i="3"/>
  <c r="H324" i="3"/>
  <c r="O322" i="3"/>
  <c r="K321" i="3"/>
  <c r="G320" i="3"/>
  <c r="O318" i="3"/>
  <c r="K317" i="3"/>
  <c r="G316" i="3"/>
  <c r="O314" i="3"/>
  <c r="K313" i="3"/>
  <c r="G312" i="3"/>
  <c r="O310" i="3"/>
  <c r="K309" i="3"/>
  <c r="H308" i="3"/>
  <c r="B307" i="3"/>
  <c r="O305" i="3"/>
  <c r="L304" i="3"/>
  <c r="I303" i="3"/>
  <c r="F302" i="3"/>
  <c r="P300" i="3"/>
  <c r="M299" i="3"/>
  <c r="J298" i="3"/>
  <c r="G297" i="3"/>
  <c r="A296" i="3"/>
  <c r="N294" i="3"/>
  <c r="K293" i="3"/>
  <c r="H292" i="3"/>
  <c r="F291" i="3"/>
  <c r="D290" i="3"/>
  <c r="D289" i="3"/>
  <c r="D288" i="3"/>
  <c r="D287" i="3"/>
  <c r="D286" i="3"/>
  <c r="D285" i="3"/>
  <c r="D284" i="3"/>
  <c r="D283" i="3"/>
  <c r="D282" i="3"/>
  <c r="D281" i="3"/>
  <c r="D280" i="3"/>
  <c r="D279" i="3"/>
  <c r="D278" i="3"/>
  <c r="D277" i="3"/>
  <c r="D276" i="3"/>
  <c r="D275" i="3"/>
  <c r="D274" i="3"/>
  <c r="D273" i="3"/>
  <c r="D272" i="3"/>
  <c r="D271" i="3"/>
  <c r="D270" i="3"/>
  <c r="D269" i="3"/>
  <c r="D268" i="3"/>
  <c r="D267" i="3"/>
  <c r="D266" i="3"/>
  <c r="D265" i="3"/>
  <c r="D264" i="3"/>
  <c r="D263" i="3"/>
  <c r="D262" i="3"/>
  <c r="D261" i="3"/>
  <c r="D260" i="3"/>
  <c r="D259" i="3"/>
  <c r="D258" i="3"/>
  <c r="D257" i="3"/>
  <c r="D256" i="3"/>
  <c r="D255" i="3"/>
  <c r="D254" i="3"/>
  <c r="D253" i="3"/>
  <c r="D252" i="3"/>
  <c r="D251" i="3"/>
  <c r="D250" i="3"/>
  <c r="D249" i="3"/>
  <c r="D248" i="3"/>
  <c r="D247" i="3"/>
  <c r="D246" i="3"/>
  <c r="D245" i="3"/>
  <c r="D244" i="3"/>
  <c r="D243" i="3"/>
  <c r="D242" i="3"/>
  <c r="D241" i="3"/>
  <c r="D240" i="3"/>
  <c r="D239" i="3"/>
  <c r="D238" i="3"/>
  <c r="D237" i="3"/>
  <c r="D236" i="3"/>
  <c r="D235" i="3"/>
  <c r="D234" i="3"/>
  <c r="D233" i="3"/>
  <c r="D232" i="3"/>
  <c r="D231" i="3"/>
  <c r="D230" i="3"/>
  <c r="D229" i="3"/>
  <c r="D228" i="3"/>
  <c r="D227" i="3"/>
  <c r="D226" i="3"/>
  <c r="D225" i="3"/>
  <c r="D224" i="3"/>
  <c r="D223" i="3"/>
  <c r="D222" i="3"/>
  <c r="D221" i="3"/>
  <c r="D220" i="3"/>
  <c r="D219" i="3"/>
  <c r="D218" i="3"/>
  <c r="D217" i="3"/>
  <c r="D216" i="3"/>
  <c r="D215" i="3"/>
  <c r="D214" i="3"/>
  <c r="D213" i="3"/>
  <c r="D212" i="3"/>
  <c r="D211" i="3"/>
  <c r="D210" i="3"/>
  <c r="D209" i="3"/>
  <c r="D208" i="3"/>
  <c r="D207" i="3"/>
  <c r="D206" i="3"/>
  <c r="D205" i="3"/>
  <c r="D204" i="3"/>
  <c r="D203" i="3"/>
  <c r="D202" i="3"/>
  <c r="D201" i="3"/>
  <c r="D200" i="3"/>
  <c r="D199" i="3"/>
  <c r="D198" i="3"/>
  <c r="D197" i="3"/>
  <c r="D196" i="3"/>
  <c r="D195" i="3"/>
  <c r="D194" i="3"/>
  <c r="D193" i="3"/>
  <c r="D192" i="3"/>
  <c r="D191" i="3"/>
  <c r="D190" i="3"/>
  <c r="D189" i="3"/>
  <c r="D188" i="3"/>
  <c r="D187" i="3"/>
  <c r="D186" i="3"/>
  <c r="D185" i="3"/>
  <c r="D184" i="3"/>
  <c r="D183" i="3"/>
  <c r="D182" i="3"/>
  <c r="D181" i="3"/>
  <c r="D180" i="3"/>
  <c r="D179" i="3"/>
  <c r="D178" i="3"/>
  <c r="D177" i="3"/>
  <c r="D176" i="3"/>
  <c r="D175" i="3"/>
  <c r="D174" i="3"/>
  <c r="D173" i="3"/>
  <c r="D172" i="3"/>
  <c r="D171" i="3"/>
  <c r="D170" i="3"/>
  <c r="D169" i="3"/>
  <c r="D168" i="3"/>
  <c r="D167" i="3"/>
  <c r="D166" i="3"/>
  <c r="D165" i="3"/>
  <c r="D164" i="3"/>
  <c r="H1015" i="3"/>
  <c r="C947" i="3"/>
  <c r="D914" i="3"/>
  <c r="G878" i="3"/>
  <c r="I851" i="3"/>
  <c r="J827" i="3"/>
  <c r="F810" i="3"/>
  <c r="F793" i="3"/>
  <c r="N780" i="3"/>
  <c r="N770" i="3"/>
  <c r="K762" i="3"/>
  <c r="F755" i="3"/>
  <c r="K746" i="3"/>
  <c r="K737" i="3"/>
  <c r="O728" i="3"/>
  <c r="C722" i="3"/>
  <c r="O714" i="3"/>
  <c r="P706" i="3"/>
  <c r="C699" i="3"/>
  <c r="G692" i="3"/>
  <c r="G686" i="3"/>
  <c r="H678" i="3"/>
  <c r="I670" i="3"/>
  <c r="E663" i="3"/>
  <c r="P656" i="3"/>
  <c r="C651" i="3"/>
  <c r="I644" i="3"/>
  <c r="F638" i="3"/>
  <c r="O632" i="3"/>
  <c r="L628" i="3"/>
  <c r="J623" i="3"/>
  <c r="K618" i="3"/>
  <c r="F614" i="3"/>
  <c r="N610" i="3"/>
  <c r="O606" i="3"/>
  <c r="J602" i="3"/>
  <c r="J598" i="3"/>
  <c r="E595" i="3"/>
  <c r="E592" i="3"/>
  <c r="N588" i="3"/>
  <c r="H585" i="3"/>
  <c r="C582" i="3"/>
  <c r="C579" i="3"/>
  <c r="L575" i="3"/>
  <c r="N571" i="3"/>
  <c r="H568" i="3"/>
  <c r="C565" i="3"/>
  <c r="C562" i="3"/>
  <c r="L558" i="3"/>
  <c r="H555" i="3"/>
  <c r="I552" i="3"/>
  <c r="E550" i="3"/>
  <c r="E547" i="3"/>
  <c r="E544" i="3"/>
  <c r="M541" i="3"/>
  <c r="A539" i="3"/>
  <c r="O536" i="3"/>
  <c r="C534" i="3"/>
  <c r="M531" i="3"/>
  <c r="D529" i="3"/>
  <c r="F527" i="3"/>
  <c r="B525" i="3"/>
  <c r="N522" i="3"/>
  <c r="G520" i="3"/>
  <c r="D518" i="3"/>
  <c r="F516" i="3"/>
  <c r="B514" i="3"/>
  <c r="N511" i="3"/>
  <c r="I509" i="3"/>
  <c r="M507" i="3"/>
  <c r="J505" i="3"/>
  <c r="K503" i="3"/>
  <c r="M501" i="3"/>
  <c r="P499" i="3"/>
  <c r="H498" i="3"/>
  <c r="J496" i="3"/>
  <c r="L494" i="3"/>
  <c r="O492" i="3"/>
  <c r="G491" i="3"/>
  <c r="I489" i="3"/>
  <c r="K487" i="3"/>
  <c r="M485" i="3"/>
  <c r="P483" i="3"/>
  <c r="H482" i="3"/>
  <c r="J480" i="3"/>
  <c r="L478" i="3"/>
  <c r="O476" i="3"/>
  <c r="G475" i="3"/>
  <c r="I473" i="3"/>
  <c r="K471" i="3"/>
  <c r="M469" i="3"/>
  <c r="P467" i="3"/>
  <c r="H466" i="3"/>
  <c r="J464" i="3"/>
  <c r="L462" i="3"/>
  <c r="O460" i="3"/>
  <c r="G459" i="3"/>
  <c r="I457" i="3"/>
  <c r="K455" i="3"/>
  <c r="M453" i="3"/>
  <c r="P451" i="3"/>
  <c r="H450" i="3"/>
  <c r="J448" i="3"/>
  <c r="L446" i="3"/>
  <c r="O444" i="3"/>
  <c r="G443" i="3"/>
  <c r="I441" i="3"/>
  <c r="K439" i="3"/>
  <c r="M437" i="3"/>
  <c r="P435" i="3"/>
  <c r="H434" i="3"/>
  <c r="J432" i="3"/>
  <c r="L430" i="3"/>
  <c r="O428" i="3"/>
  <c r="G427" i="3"/>
  <c r="I425" i="3"/>
  <c r="K423" i="3"/>
  <c r="M421" i="3"/>
  <c r="P419" i="3"/>
  <c r="H418" i="3"/>
  <c r="J416" i="3"/>
  <c r="L414" i="3"/>
  <c r="O412" i="3"/>
  <c r="G411" i="3"/>
  <c r="I409" i="3"/>
  <c r="K407" i="3"/>
  <c r="M405" i="3"/>
  <c r="P403" i="3"/>
  <c r="H402" i="3"/>
  <c r="J400" i="3"/>
  <c r="L398" i="3"/>
  <c r="O396" i="3"/>
  <c r="G395" i="3"/>
  <c r="I393" i="3"/>
  <c r="K391" i="3"/>
  <c r="M389" i="3"/>
  <c r="P387" i="3"/>
  <c r="H386" i="3"/>
  <c r="J384" i="3"/>
  <c r="L382" i="3"/>
  <c r="O380" i="3"/>
  <c r="G379" i="3"/>
  <c r="I377" i="3"/>
  <c r="K375" i="3"/>
  <c r="M373" i="3"/>
  <c r="P371" i="3"/>
  <c r="H370" i="3"/>
  <c r="J368" i="3"/>
  <c r="L366" i="3"/>
  <c r="O364" i="3"/>
  <c r="G363" i="3"/>
  <c r="I361" i="3"/>
  <c r="K359" i="3"/>
  <c r="M357" i="3"/>
  <c r="P355" i="3"/>
  <c r="H354" i="3"/>
  <c r="J352" i="3"/>
  <c r="L350" i="3"/>
  <c r="O348" i="3"/>
  <c r="G347" i="3"/>
  <c r="I345" i="3"/>
  <c r="K343" i="3"/>
  <c r="M341" i="3"/>
  <c r="P339" i="3"/>
  <c r="H338" i="3"/>
  <c r="J336" i="3"/>
  <c r="L334" i="3"/>
  <c r="O332" i="3"/>
  <c r="G331" i="3"/>
  <c r="I329" i="3"/>
  <c r="K327" i="3"/>
  <c r="M325" i="3"/>
  <c r="G324" i="3"/>
  <c r="N322" i="3"/>
  <c r="J321" i="3"/>
  <c r="B320" i="3"/>
  <c r="N318" i="3"/>
  <c r="J317" i="3"/>
  <c r="B316" i="3"/>
  <c r="N314" i="3"/>
  <c r="J313" i="3"/>
  <c r="B312" i="3"/>
  <c r="N310" i="3"/>
  <c r="J309" i="3"/>
  <c r="G308" i="3"/>
  <c r="A307" i="3"/>
  <c r="I1186" i="3"/>
  <c r="E1001" i="3"/>
  <c r="M939" i="3"/>
  <c r="G902" i="3"/>
  <c r="J876" i="3"/>
  <c r="O850" i="3"/>
  <c r="M826" i="3"/>
  <c r="M804" i="3"/>
  <c r="I791" i="3"/>
  <c r="C780" i="3"/>
  <c r="L770" i="3"/>
  <c r="C761" i="3"/>
  <c r="O752" i="3"/>
  <c r="C746" i="3"/>
  <c r="I737" i="3"/>
  <c r="I728" i="3"/>
  <c r="M719" i="3"/>
  <c r="M713" i="3"/>
  <c r="N706" i="3"/>
  <c r="O698" i="3"/>
  <c r="P690" i="3"/>
  <c r="E684" i="3"/>
  <c r="F678" i="3"/>
  <c r="G670" i="3"/>
  <c r="H662" i="3"/>
  <c r="H655" i="3"/>
  <c r="C650" i="3"/>
  <c r="G644" i="3"/>
  <c r="D638" i="3"/>
  <c r="O631" i="3"/>
  <c r="F627" i="3"/>
  <c r="H623" i="3"/>
  <c r="H618" i="3"/>
  <c r="P613" i="3"/>
  <c r="L609" i="3"/>
  <c r="F606" i="3"/>
  <c r="H602" i="3"/>
  <c r="H598" i="3"/>
  <c r="A595" i="3"/>
  <c r="L591" i="3"/>
  <c r="L588" i="3"/>
  <c r="F585" i="3"/>
  <c r="H581" i="3"/>
  <c r="C578" i="3"/>
  <c r="C575" i="3"/>
  <c r="L571" i="3"/>
  <c r="F568" i="3"/>
  <c r="H564" i="3"/>
  <c r="C561" i="3"/>
  <c r="C558" i="3"/>
  <c r="P554" i="3"/>
  <c r="F552" i="3"/>
  <c r="G549" i="3"/>
  <c r="C547" i="3"/>
  <c r="C544" i="3"/>
  <c r="F541" i="3"/>
  <c r="N538" i="3"/>
  <c r="B536" i="3"/>
  <c r="A534" i="3"/>
  <c r="G531" i="3"/>
  <c r="A529" i="3"/>
  <c r="N526" i="3"/>
  <c r="P524" i="3"/>
  <c r="K522" i="3"/>
  <c r="E520" i="3"/>
  <c r="A518" i="3"/>
  <c r="N515" i="3"/>
  <c r="P513" i="3"/>
  <c r="K511" i="3"/>
  <c r="E509" i="3"/>
  <c r="B507" i="3"/>
  <c r="H505" i="3"/>
  <c r="I503" i="3"/>
  <c r="K501" i="3"/>
  <c r="M499" i="3"/>
  <c r="P497" i="3"/>
  <c r="H496" i="3"/>
  <c r="J494" i="3"/>
  <c r="L492" i="3"/>
  <c r="O490" i="3"/>
  <c r="G489" i="3"/>
  <c r="I487" i="3"/>
  <c r="K485" i="3"/>
  <c r="M483" i="3"/>
  <c r="P481" i="3"/>
  <c r="H480" i="3"/>
  <c r="J478" i="3"/>
  <c r="L476" i="3"/>
  <c r="O474" i="3"/>
  <c r="G473" i="3"/>
  <c r="I471" i="3"/>
  <c r="K469" i="3"/>
  <c r="M467" i="3"/>
  <c r="P465" i="3"/>
  <c r="H464" i="3"/>
  <c r="J462" i="3"/>
  <c r="L460" i="3"/>
  <c r="O458" i="3"/>
  <c r="G457" i="3"/>
  <c r="I455" i="3"/>
  <c r="K453" i="3"/>
  <c r="M451" i="3"/>
  <c r="P449" i="3"/>
  <c r="H448" i="3"/>
  <c r="J446" i="3"/>
  <c r="L444" i="3"/>
  <c r="O442" i="3"/>
  <c r="G441" i="3"/>
  <c r="I439" i="3"/>
  <c r="K437" i="3"/>
  <c r="M435" i="3"/>
  <c r="P433" i="3"/>
  <c r="H432" i="3"/>
  <c r="J430" i="3"/>
  <c r="L428" i="3"/>
  <c r="O426" i="3"/>
  <c r="G425" i="3"/>
  <c r="I423" i="3"/>
  <c r="K421" i="3"/>
  <c r="M419" i="3"/>
  <c r="P417" i="3"/>
  <c r="H416" i="3"/>
  <c r="J414" i="3"/>
  <c r="L412" i="3"/>
  <c r="O410" i="3"/>
  <c r="G409" i="3"/>
  <c r="I407" i="3"/>
  <c r="K405" i="3"/>
  <c r="M403" i="3"/>
  <c r="P401" i="3"/>
  <c r="H400" i="3"/>
  <c r="J398" i="3"/>
  <c r="L396" i="3"/>
  <c r="O394" i="3"/>
  <c r="G393" i="3"/>
  <c r="I391" i="3"/>
  <c r="K389" i="3"/>
  <c r="M387" i="3"/>
  <c r="P385" i="3"/>
  <c r="H384" i="3"/>
  <c r="J382" i="3"/>
  <c r="L380" i="3"/>
  <c r="O378" i="3"/>
  <c r="G377" i="3"/>
  <c r="I375" i="3"/>
  <c r="K373" i="3"/>
  <c r="M371" i="3"/>
  <c r="P369" i="3"/>
  <c r="H368" i="3"/>
  <c r="J366" i="3"/>
  <c r="L364" i="3"/>
  <c r="O362" i="3"/>
  <c r="G361" i="3"/>
  <c r="I359" i="3"/>
  <c r="K357" i="3"/>
  <c r="M355" i="3"/>
  <c r="P353" i="3"/>
  <c r="H352" i="3"/>
  <c r="J350" i="3"/>
  <c r="L348" i="3"/>
  <c r="O346" i="3"/>
  <c r="G345" i="3"/>
  <c r="I343" i="3"/>
  <c r="K341" i="3"/>
  <c r="M339" i="3"/>
  <c r="P337" i="3"/>
  <c r="H336" i="3"/>
  <c r="J334" i="3"/>
  <c r="L332" i="3"/>
  <c r="O330" i="3"/>
  <c r="G329" i="3"/>
  <c r="I327" i="3"/>
  <c r="K325" i="3"/>
  <c r="A324" i="3"/>
  <c r="L322" i="3"/>
  <c r="H321" i="3"/>
  <c r="P319" i="3"/>
  <c r="L318" i="3"/>
  <c r="H317" i="3"/>
  <c r="P315" i="3"/>
  <c r="L314" i="3"/>
  <c r="H313" i="3"/>
  <c r="P311" i="3"/>
  <c r="L310" i="3"/>
  <c r="H309" i="3"/>
  <c r="B308" i="3"/>
  <c r="O306" i="3"/>
  <c r="L305" i="3"/>
  <c r="I304" i="3"/>
  <c r="F303" i="3"/>
  <c r="P301" i="3"/>
  <c r="M300" i="3"/>
  <c r="J299" i="3"/>
  <c r="G298" i="3"/>
  <c r="A297" i="3"/>
  <c r="N295" i="3"/>
  <c r="K294" i="3"/>
  <c r="H293" i="3"/>
  <c r="E292" i="3"/>
  <c r="A291" i="3"/>
  <c r="A290" i="3"/>
  <c r="A289" i="3"/>
  <c r="A288" i="3"/>
  <c r="A287" i="3"/>
  <c r="A286" i="3"/>
  <c r="A285" i="3"/>
  <c r="A284" i="3"/>
  <c r="A283" i="3"/>
  <c r="A282" i="3"/>
  <c r="A281" i="3"/>
  <c r="A280" i="3"/>
  <c r="A279" i="3"/>
  <c r="A278" i="3"/>
  <c r="A277" i="3"/>
  <c r="A276" i="3"/>
  <c r="A275" i="3"/>
  <c r="A274" i="3"/>
  <c r="A273" i="3"/>
  <c r="A272" i="3"/>
  <c r="A271" i="3"/>
  <c r="A270" i="3"/>
  <c r="A269" i="3"/>
  <c r="A268" i="3"/>
  <c r="A267" i="3"/>
  <c r="A266" i="3"/>
  <c r="A265" i="3"/>
  <c r="A264" i="3"/>
  <c r="A263" i="3"/>
  <c r="D1001" i="3"/>
  <c r="H897" i="3"/>
  <c r="H849" i="3"/>
  <c r="M803" i="3"/>
  <c r="B780" i="3"/>
  <c r="O760" i="3"/>
  <c r="O744" i="3"/>
  <c r="H728" i="3"/>
  <c r="L712" i="3"/>
  <c r="N698" i="3"/>
  <c r="E683" i="3"/>
  <c r="F670" i="3"/>
  <c r="E655" i="3"/>
  <c r="F644" i="3"/>
  <c r="N631" i="3"/>
  <c r="L622" i="3"/>
  <c r="O613" i="3"/>
  <c r="L605" i="3"/>
  <c r="G598" i="3"/>
  <c r="D591" i="3"/>
  <c r="M584" i="3"/>
  <c r="P577" i="3"/>
  <c r="K571" i="3"/>
  <c r="G564" i="3"/>
  <c r="A558" i="3"/>
  <c r="E552" i="3"/>
  <c r="F546" i="3"/>
  <c r="E541" i="3"/>
  <c r="A536" i="3"/>
  <c r="F531" i="3"/>
  <c r="K526" i="3"/>
  <c r="I522" i="3"/>
  <c r="P517" i="3"/>
  <c r="O513" i="3"/>
  <c r="D509" i="3"/>
  <c r="A505" i="3"/>
  <c r="J501" i="3"/>
  <c r="O497" i="3"/>
  <c r="I494" i="3"/>
  <c r="M490" i="3"/>
  <c r="H487" i="3"/>
  <c r="L483" i="3"/>
  <c r="G480" i="3"/>
  <c r="K476" i="3"/>
  <c r="P472" i="3"/>
  <c r="J469" i="3"/>
  <c r="O465" i="3"/>
  <c r="I462" i="3"/>
  <c r="M458" i="3"/>
  <c r="H455" i="3"/>
  <c r="L451" i="3"/>
  <c r="G448" i="3"/>
  <c r="K444" i="3"/>
  <c r="P440" i="3"/>
  <c r="J437" i="3"/>
  <c r="O433" i="3"/>
  <c r="I430" i="3"/>
  <c r="M426" i="3"/>
  <c r="H423" i="3"/>
  <c r="L419" i="3"/>
  <c r="G416" i="3"/>
  <c r="K412" i="3"/>
  <c r="P408" i="3"/>
  <c r="J405" i="3"/>
  <c r="O401" i="3"/>
  <c r="I398" i="3"/>
  <c r="M394" i="3"/>
  <c r="H391" i="3"/>
  <c r="L387" i="3"/>
  <c r="G384" i="3"/>
  <c r="K380" i="3"/>
  <c r="P376" i="3"/>
  <c r="J373" i="3"/>
  <c r="O369" i="3"/>
  <c r="I366" i="3"/>
  <c r="M362" i="3"/>
  <c r="H359" i="3"/>
  <c r="L355" i="3"/>
  <c r="G352" i="3"/>
  <c r="K348" i="3"/>
  <c r="P344" i="3"/>
  <c r="J341" i="3"/>
  <c r="O337" i="3"/>
  <c r="I334" i="3"/>
  <c r="M330" i="3"/>
  <c r="H327" i="3"/>
  <c r="P323" i="3"/>
  <c r="G321" i="3"/>
  <c r="K318" i="3"/>
  <c r="O315" i="3"/>
  <c r="G313" i="3"/>
  <c r="K310" i="3"/>
  <c r="A308" i="3"/>
  <c r="M305" i="3"/>
  <c r="O303" i="3"/>
  <c r="K301" i="3"/>
  <c r="G299" i="3"/>
  <c r="P296" i="3"/>
  <c r="M294" i="3"/>
  <c r="O292" i="3"/>
  <c r="M290" i="3"/>
  <c r="O288" i="3"/>
  <c r="B287" i="3"/>
  <c r="J285" i="3"/>
  <c r="L283" i="3"/>
  <c r="N281" i="3"/>
  <c r="P279" i="3"/>
  <c r="C278" i="3"/>
  <c r="K276" i="3"/>
  <c r="M274" i="3"/>
  <c r="O272" i="3"/>
  <c r="B271" i="3"/>
  <c r="J269" i="3"/>
  <c r="L267" i="3"/>
  <c r="N265" i="3"/>
  <c r="P263" i="3"/>
  <c r="C262" i="3"/>
  <c r="M260" i="3"/>
  <c r="A259" i="3"/>
  <c r="K257" i="3"/>
  <c r="O255" i="3"/>
  <c r="C254" i="3"/>
  <c r="M252" i="3"/>
  <c r="A251" i="3"/>
  <c r="K249" i="3"/>
  <c r="O247" i="3"/>
  <c r="C246" i="3"/>
  <c r="M244" i="3"/>
  <c r="A243" i="3"/>
  <c r="K241" i="3"/>
  <c r="O239" i="3"/>
  <c r="C238" i="3"/>
  <c r="M236" i="3"/>
  <c r="A235" i="3"/>
  <c r="L233" i="3"/>
  <c r="B232" i="3"/>
  <c r="M230" i="3"/>
  <c r="C229" i="3"/>
  <c r="N227" i="3"/>
  <c r="F226" i="3"/>
  <c r="O224" i="3"/>
  <c r="J223" i="3"/>
  <c r="P221" i="3"/>
  <c r="K220" i="3"/>
  <c r="A219" i="3"/>
  <c r="L217" i="3"/>
  <c r="B216" i="3"/>
  <c r="M214" i="3"/>
  <c r="C213" i="3"/>
  <c r="N211" i="3"/>
  <c r="F210" i="3"/>
  <c r="O208" i="3"/>
  <c r="J207" i="3"/>
  <c r="P205" i="3"/>
  <c r="K204" i="3"/>
  <c r="A203" i="3"/>
  <c r="L201" i="3"/>
  <c r="B200" i="3"/>
  <c r="M198" i="3"/>
  <c r="C197" i="3"/>
  <c r="N195" i="3"/>
  <c r="F194" i="3"/>
  <c r="O192" i="3"/>
  <c r="J191" i="3"/>
  <c r="P189" i="3"/>
  <c r="K188" i="3"/>
  <c r="A187" i="3"/>
  <c r="L185" i="3"/>
  <c r="B184" i="3"/>
  <c r="M182" i="3"/>
  <c r="C181" i="3"/>
  <c r="N179" i="3"/>
  <c r="F178" i="3"/>
  <c r="O176" i="3"/>
  <c r="J175" i="3"/>
  <c r="P173" i="3"/>
  <c r="K172" i="3"/>
  <c r="A171" i="3"/>
  <c r="L169" i="3"/>
  <c r="B168" i="3"/>
  <c r="M166" i="3"/>
  <c r="C165" i="3"/>
  <c r="O163" i="3"/>
  <c r="L162" i="3"/>
  <c r="F161" i="3"/>
  <c r="C160" i="3"/>
  <c r="P158" i="3"/>
  <c r="N157" i="3"/>
  <c r="L156" i="3"/>
  <c r="J155" i="3"/>
  <c r="F154" i="3"/>
  <c r="D153" i="3"/>
  <c r="B152" i="3"/>
  <c r="P150" i="3"/>
  <c r="N149" i="3"/>
  <c r="L148" i="3"/>
  <c r="K147" i="3"/>
  <c r="J146" i="3"/>
  <c r="I145" i="3"/>
  <c r="H144" i="3"/>
  <c r="F143" i="3"/>
  <c r="E142" i="3"/>
  <c r="E141" i="3"/>
  <c r="E140" i="3"/>
  <c r="E139" i="3"/>
  <c r="E138" i="3"/>
  <c r="E137" i="3"/>
  <c r="E136" i="3"/>
  <c r="E135" i="3"/>
  <c r="E134" i="3"/>
  <c r="E133" i="3"/>
  <c r="E132" i="3"/>
  <c r="E131" i="3"/>
  <c r="E130" i="3"/>
  <c r="E129" i="3"/>
  <c r="E128" i="3"/>
  <c r="E127" i="3"/>
  <c r="E126" i="3"/>
  <c r="E125" i="3"/>
  <c r="E124" i="3"/>
  <c r="E123" i="3"/>
  <c r="E122" i="3"/>
  <c r="E121" i="3"/>
  <c r="E120" i="3"/>
  <c r="E119" i="3"/>
  <c r="E118" i="3"/>
  <c r="E117" i="3"/>
  <c r="E116" i="3"/>
  <c r="E115" i="3"/>
  <c r="E114" i="3"/>
  <c r="E113" i="3"/>
  <c r="E112" i="3"/>
  <c r="E111" i="3"/>
  <c r="E110" i="3"/>
  <c r="E109" i="3"/>
  <c r="E108" i="3"/>
  <c r="E107" i="3"/>
  <c r="E106" i="3"/>
  <c r="E105" i="3"/>
  <c r="E104" i="3"/>
  <c r="E103" i="3"/>
  <c r="E102" i="3"/>
  <c r="E101" i="3"/>
  <c r="E100" i="3"/>
  <c r="E99" i="3"/>
  <c r="E98" i="3"/>
  <c r="E97" i="3"/>
  <c r="E96" i="3"/>
  <c r="E95" i="3"/>
  <c r="E94" i="3"/>
  <c r="E93" i="3"/>
  <c r="E92" i="3"/>
  <c r="E91" i="3"/>
  <c r="E90" i="3"/>
  <c r="E89" i="3"/>
  <c r="E88" i="3"/>
  <c r="E87" i="3"/>
  <c r="E86" i="3"/>
  <c r="E85" i="3"/>
  <c r="E84" i="3"/>
  <c r="E83" i="3"/>
  <c r="E82" i="3"/>
  <c r="E81" i="3"/>
  <c r="E80" i="3"/>
  <c r="E79" i="3"/>
  <c r="E78" i="3"/>
  <c r="E77" i="3"/>
  <c r="E76" i="3"/>
  <c r="E75" i="3"/>
  <c r="E74" i="3"/>
  <c r="E73" i="3"/>
  <c r="E72" i="3"/>
  <c r="E71" i="3"/>
  <c r="E70" i="3"/>
  <c r="E69" i="3"/>
  <c r="E68" i="3"/>
  <c r="E67" i="3"/>
  <c r="E66" i="3"/>
  <c r="E65" i="3"/>
  <c r="E64" i="3"/>
  <c r="E63" i="3"/>
  <c r="E62" i="3"/>
  <c r="E61" i="3"/>
  <c r="E60" i="3"/>
  <c r="E59" i="3"/>
  <c r="E58" i="3"/>
  <c r="E57" i="3"/>
  <c r="E56" i="3"/>
  <c r="E55" i="3"/>
  <c r="E54" i="3"/>
  <c r="E53" i="3"/>
  <c r="E52" i="3"/>
  <c r="E51" i="3"/>
  <c r="E50" i="3"/>
  <c r="E49" i="3"/>
  <c r="E48" i="3"/>
  <c r="E47" i="3"/>
  <c r="E46" i="3"/>
  <c r="E45" i="3"/>
  <c r="E44" i="3"/>
  <c r="E43" i="3"/>
  <c r="E42" i="3"/>
  <c r="E41" i="3"/>
  <c r="E40" i="3"/>
  <c r="E39" i="3"/>
  <c r="E38" i="3"/>
  <c r="E37" i="3"/>
  <c r="E36" i="3"/>
  <c r="E35" i="3"/>
  <c r="E34" i="3"/>
  <c r="E33" i="3"/>
  <c r="E32" i="3"/>
  <c r="E31" i="3"/>
  <c r="E30" i="3"/>
  <c r="E29" i="3"/>
  <c r="E28" i="3"/>
  <c r="E27" i="3"/>
  <c r="E26" i="3"/>
  <c r="E25" i="3"/>
  <c r="E24" i="3"/>
  <c r="E23" i="3"/>
  <c r="E22" i="3"/>
  <c r="E21" i="3"/>
  <c r="E20" i="3"/>
  <c r="E19" i="3"/>
  <c r="E18" i="3"/>
  <c r="E17" i="3"/>
  <c r="E16" i="3"/>
  <c r="E15" i="3"/>
  <c r="E14" i="3"/>
  <c r="E13" i="3"/>
  <c r="E12" i="3"/>
  <c r="E11" i="3"/>
  <c r="E10" i="3"/>
  <c r="P1000" i="3"/>
  <c r="F896" i="3"/>
  <c r="G849" i="3"/>
  <c r="J803" i="3"/>
  <c r="K778" i="3"/>
  <c r="N760" i="3"/>
  <c r="M743" i="3"/>
  <c r="G728" i="3"/>
  <c r="K711" i="3"/>
  <c r="M698" i="3"/>
  <c r="O682" i="3"/>
  <c r="E670" i="3"/>
  <c r="L654" i="3"/>
  <c r="G643" i="3"/>
  <c r="M631" i="3"/>
  <c r="D622" i="3"/>
  <c r="N613" i="3"/>
  <c r="D605" i="3"/>
  <c r="F598" i="3"/>
  <c r="A591" i="3"/>
  <c r="L584" i="3"/>
  <c r="O577" i="3"/>
  <c r="J571" i="3"/>
  <c r="F564" i="3"/>
  <c r="J557" i="3"/>
  <c r="N551" i="3"/>
  <c r="E546" i="3"/>
  <c r="D541" i="3"/>
  <c r="O535" i="3"/>
  <c r="E531" i="3"/>
  <c r="I526" i="3"/>
  <c r="G522" i="3"/>
  <c r="O517" i="3"/>
  <c r="E513" i="3"/>
  <c r="C509" i="3"/>
  <c r="P504" i="3"/>
  <c r="I501" i="3"/>
  <c r="M497" i="3"/>
  <c r="H494" i="3"/>
  <c r="L490" i="3"/>
  <c r="G487" i="3"/>
  <c r="K483" i="3"/>
  <c r="P479" i="3"/>
  <c r="J476" i="3"/>
  <c r="O472" i="3"/>
  <c r="I469" i="3"/>
  <c r="M465" i="3"/>
  <c r="H462" i="3"/>
  <c r="L458" i="3"/>
  <c r="G455" i="3"/>
  <c r="K451" i="3"/>
  <c r="P447" i="3"/>
  <c r="J444" i="3"/>
  <c r="O440" i="3"/>
  <c r="I437" i="3"/>
  <c r="M433" i="3"/>
  <c r="H430" i="3"/>
  <c r="L426" i="3"/>
  <c r="G423" i="3"/>
  <c r="K419" i="3"/>
  <c r="P415" i="3"/>
  <c r="J412" i="3"/>
  <c r="O408" i="3"/>
  <c r="I405" i="3"/>
  <c r="M401" i="3"/>
  <c r="H398" i="3"/>
  <c r="L394" i="3"/>
  <c r="G391" i="3"/>
  <c r="K387" i="3"/>
  <c r="P383" i="3"/>
  <c r="J380" i="3"/>
  <c r="O376" i="3"/>
  <c r="I373" i="3"/>
  <c r="M369" i="3"/>
  <c r="H366" i="3"/>
  <c r="L362" i="3"/>
  <c r="G359" i="3"/>
  <c r="K355" i="3"/>
  <c r="P351" i="3"/>
  <c r="J348" i="3"/>
  <c r="O344" i="3"/>
  <c r="I341" i="3"/>
  <c r="M337" i="3"/>
  <c r="H334" i="3"/>
  <c r="L330" i="3"/>
  <c r="G327" i="3"/>
  <c r="O323" i="3"/>
  <c r="B321" i="3"/>
  <c r="J318" i="3"/>
  <c r="N315" i="3"/>
  <c r="B313" i="3"/>
  <c r="J310" i="3"/>
  <c r="P307" i="3"/>
  <c r="K305" i="3"/>
  <c r="H303" i="3"/>
  <c r="J301" i="3"/>
  <c r="F299" i="3"/>
  <c r="O296" i="3"/>
  <c r="L294" i="3"/>
  <c r="N292" i="3"/>
  <c r="L290" i="3"/>
  <c r="N288" i="3"/>
  <c r="P286" i="3"/>
  <c r="C285" i="3"/>
  <c r="K283" i="3"/>
  <c r="M281" i="3"/>
  <c r="O279" i="3"/>
  <c r="B278" i="3"/>
  <c r="J276" i="3"/>
  <c r="L274" i="3"/>
  <c r="N272" i="3"/>
  <c r="P270" i="3"/>
  <c r="C269" i="3"/>
  <c r="K267" i="3"/>
  <c r="M265" i="3"/>
  <c r="O263" i="3"/>
  <c r="B262" i="3"/>
  <c r="L260" i="3"/>
  <c r="P258" i="3"/>
  <c r="J257" i="3"/>
  <c r="N255" i="3"/>
  <c r="B254" i="3"/>
  <c r="L252" i="3"/>
  <c r="P250" i="3"/>
  <c r="J249" i="3"/>
  <c r="N247" i="3"/>
  <c r="B246" i="3"/>
  <c r="L244" i="3"/>
  <c r="P242" i="3"/>
  <c r="J241" i="3"/>
  <c r="N239" i="3"/>
  <c r="B238" i="3"/>
  <c r="L236" i="3"/>
  <c r="P234" i="3"/>
  <c r="K233" i="3"/>
  <c r="A232" i="3"/>
  <c r="L230" i="3"/>
  <c r="B229" i="3"/>
  <c r="M227" i="3"/>
  <c r="C226" i="3"/>
  <c r="N224" i="3"/>
  <c r="F223" i="3"/>
  <c r="O221" i="3"/>
  <c r="J220" i="3"/>
  <c r="P218" i="3"/>
  <c r="K217" i="3"/>
  <c r="A216" i="3"/>
  <c r="L214" i="3"/>
  <c r="B213" i="3"/>
  <c r="M211" i="3"/>
  <c r="C210" i="3"/>
  <c r="N208" i="3"/>
  <c r="F207" i="3"/>
  <c r="O205" i="3"/>
  <c r="J204" i="3"/>
  <c r="P202" i="3"/>
  <c r="K201" i="3"/>
  <c r="A200" i="3"/>
  <c r="L198" i="3"/>
  <c r="B197" i="3"/>
  <c r="M195" i="3"/>
  <c r="C194" i="3"/>
  <c r="N192" i="3"/>
  <c r="F191" i="3"/>
  <c r="O189" i="3"/>
  <c r="J188" i="3"/>
  <c r="P186" i="3"/>
  <c r="K185" i="3"/>
  <c r="A184" i="3"/>
  <c r="L182" i="3"/>
  <c r="B181" i="3"/>
  <c r="M179" i="3"/>
  <c r="C178" i="3"/>
  <c r="N176" i="3"/>
  <c r="F175" i="3"/>
  <c r="O173" i="3"/>
  <c r="J172" i="3"/>
  <c r="P170" i="3"/>
  <c r="K169" i="3"/>
  <c r="A168" i="3"/>
  <c r="L166" i="3"/>
  <c r="B165" i="3"/>
  <c r="N163" i="3"/>
  <c r="K162" i="3"/>
  <c r="E161" i="3"/>
  <c r="B160" i="3"/>
  <c r="O158" i="3"/>
  <c r="M157" i="3"/>
  <c r="K156" i="3"/>
  <c r="I155" i="3"/>
  <c r="E154" i="3"/>
  <c r="C153" i="3"/>
  <c r="A152" i="3"/>
  <c r="O150" i="3"/>
  <c r="M149" i="3"/>
  <c r="K148" i="3"/>
  <c r="J147" i="3"/>
  <c r="I146" i="3"/>
  <c r="H145" i="3"/>
  <c r="F144" i="3"/>
  <c r="E143" i="3"/>
  <c r="D142" i="3"/>
  <c r="D141" i="3"/>
  <c r="D140" i="3"/>
  <c r="D139" i="3"/>
  <c r="D138" i="3"/>
  <c r="D137" i="3"/>
  <c r="D136" i="3"/>
  <c r="D135" i="3"/>
  <c r="D134" i="3"/>
  <c r="D133" i="3"/>
  <c r="D132" i="3"/>
  <c r="D131" i="3"/>
  <c r="D130" i="3"/>
  <c r="D129" i="3"/>
  <c r="D128" i="3"/>
  <c r="D127" i="3"/>
  <c r="D126" i="3"/>
  <c r="D125" i="3"/>
  <c r="D124" i="3"/>
  <c r="D123" i="3"/>
  <c r="D122" i="3"/>
  <c r="D121" i="3"/>
  <c r="D120" i="3"/>
  <c r="D119" i="3"/>
  <c r="D118" i="3"/>
  <c r="D117" i="3"/>
  <c r="D116" i="3"/>
  <c r="D115" i="3"/>
  <c r="D114" i="3"/>
  <c r="D113" i="3"/>
  <c r="D112" i="3"/>
  <c r="D111" i="3"/>
  <c r="D110" i="3"/>
  <c r="D109" i="3"/>
  <c r="D108" i="3"/>
  <c r="D107" i="3"/>
  <c r="D106" i="3"/>
  <c r="D105" i="3"/>
  <c r="D104" i="3"/>
  <c r="D103" i="3"/>
  <c r="D102" i="3"/>
  <c r="D101" i="3"/>
  <c r="D100" i="3"/>
  <c r="D99" i="3"/>
  <c r="D98" i="3"/>
  <c r="D97" i="3"/>
  <c r="D96" i="3"/>
  <c r="D95" i="3"/>
  <c r="D94" i="3"/>
  <c r="D93" i="3"/>
  <c r="D92" i="3"/>
  <c r="D91" i="3"/>
  <c r="D90" i="3"/>
  <c r="D89" i="3"/>
  <c r="D88" i="3"/>
  <c r="D87" i="3"/>
  <c r="D86" i="3"/>
  <c r="D85" i="3"/>
  <c r="D84" i="3"/>
  <c r="D83" i="3"/>
  <c r="D82" i="3"/>
  <c r="D81" i="3"/>
  <c r="D80" i="3"/>
  <c r="D79" i="3"/>
  <c r="D78" i="3"/>
  <c r="D77" i="3"/>
  <c r="D76" i="3"/>
  <c r="D75" i="3"/>
  <c r="D74" i="3"/>
  <c r="D73" i="3"/>
  <c r="D72" i="3"/>
  <c r="D71" i="3"/>
  <c r="D70" i="3"/>
  <c r="D69" i="3"/>
  <c r="D68" i="3"/>
  <c r="D67" i="3"/>
  <c r="D66" i="3"/>
  <c r="D65" i="3"/>
  <c r="D64" i="3"/>
  <c r="D63" i="3"/>
  <c r="D62" i="3"/>
  <c r="D61" i="3"/>
  <c r="D60" i="3"/>
  <c r="D59" i="3"/>
  <c r="D58" i="3"/>
  <c r="D57" i="3"/>
  <c r="D56" i="3"/>
  <c r="D55" i="3"/>
  <c r="D54" i="3"/>
  <c r="D53" i="3"/>
  <c r="D52" i="3"/>
  <c r="D51" i="3"/>
  <c r="D50" i="3"/>
  <c r="D49" i="3"/>
  <c r="D48" i="3"/>
  <c r="D47" i="3"/>
  <c r="D46" i="3"/>
  <c r="D45" i="3"/>
  <c r="D44" i="3"/>
  <c r="D43" i="3"/>
  <c r="D42" i="3"/>
  <c r="D41" i="3"/>
  <c r="D40" i="3"/>
  <c r="D39" i="3"/>
  <c r="D38" i="3"/>
  <c r="D37" i="3"/>
  <c r="D36" i="3"/>
  <c r="D35" i="3"/>
  <c r="D34" i="3"/>
  <c r="D33" i="3"/>
  <c r="D32" i="3"/>
  <c r="D31" i="3"/>
  <c r="D30" i="3"/>
  <c r="D29" i="3"/>
  <c r="D28" i="3"/>
  <c r="D27" i="3"/>
  <c r="D26" i="3"/>
  <c r="D25" i="3"/>
  <c r="D24" i="3"/>
  <c r="D23" i="3"/>
  <c r="D22" i="3"/>
  <c r="D21" i="3"/>
  <c r="D20" i="3"/>
  <c r="D19" i="3"/>
  <c r="D18" i="3"/>
  <c r="D17" i="3"/>
  <c r="D16" i="3"/>
  <c r="D15" i="3"/>
  <c r="D14" i="3"/>
  <c r="D13" i="3"/>
  <c r="D12" i="3"/>
  <c r="D11" i="3"/>
  <c r="D10" i="3"/>
  <c r="P994" i="3"/>
  <c r="E896" i="3"/>
  <c r="G846" i="3"/>
  <c r="I803" i="3"/>
  <c r="H777" i="3"/>
  <c r="M760" i="3"/>
  <c r="K742" i="3"/>
  <c r="N727" i="3"/>
  <c r="H711" i="3"/>
  <c r="L698" i="3"/>
  <c r="N682" i="3"/>
  <c r="D669" i="3"/>
  <c r="K654" i="3"/>
  <c r="M642" i="3"/>
  <c r="L631" i="3"/>
  <c r="H621" i="3"/>
  <c r="M613" i="3"/>
  <c r="O604" i="3"/>
  <c r="E598" i="3"/>
  <c r="P590" i="3"/>
  <c r="K584" i="3"/>
  <c r="N577" i="3"/>
  <c r="K570" i="3"/>
  <c r="E564" i="3"/>
  <c r="C557" i="3"/>
  <c r="M551" i="3"/>
  <c r="C546" i="3"/>
  <c r="C541" i="3"/>
  <c r="N535" i="3"/>
  <c r="D531" i="3"/>
  <c r="G526" i="3"/>
  <c r="P521" i="3"/>
  <c r="N517" i="3"/>
  <c r="D513" i="3"/>
  <c r="B509" i="3"/>
  <c r="N504" i="3"/>
  <c r="H501" i="3"/>
  <c r="L497" i="3"/>
  <c r="G494" i="3"/>
  <c r="K490" i="3"/>
  <c r="P486" i="3"/>
  <c r="J483" i="3"/>
  <c r="O479" i="3"/>
  <c r="I476" i="3"/>
  <c r="M472" i="3"/>
  <c r="H469" i="3"/>
  <c r="L465" i="3"/>
  <c r="G462" i="3"/>
  <c r="K458" i="3"/>
  <c r="P454" i="3"/>
  <c r="J451" i="3"/>
  <c r="O447" i="3"/>
  <c r="I444" i="3"/>
  <c r="M440" i="3"/>
  <c r="H437" i="3"/>
  <c r="L433" i="3"/>
  <c r="G430" i="3"/>
  <c r="K426" i="3"/>
  <c r="P422" i="3"/>
  <c r="J419" i="3"/>
  <c r="O415" i="3"/>
  <c r="I412" i="3"/>
  <c r="M408" i="3"/>
  <c r="H405" i="3"/>
  <c r="L401" i="3"/>
  <c r="G398" i="3"/>
  <c r="K394" i="3"/>
  <c r="P390" i="3"/>
  <c r="J387" i="3"/>
  <c r="O383" i="3"/>
  <c r="I380" i="3"/>
  <c r="M376" i="3"/>
  <c r="H373" i="3"/>
  <c r="L369" i="3"/>
  <c r="G366" i="3"/>
  <c r="K362" i="3"/>
  <c r="P358" i="3"/>
  <c r="J355" i="3"/>
  <c r="O351" i="3"/>
  <c r="I348" i="3"/>
  <c r="M344" i="3"/>
  <c r="H341" i="3"/>
  <c r="L337" i="3"/>
  <c r="G334" i="3"/>
  <c r="K330" i="3"/>
  <c r="P326" i="3"/>
  <c r="M323" i="3"/>
  <c r="A321" i="3"/>
  <c r="I318" i="3"/>
  <c r="M315" i="3"/>
  <c r="A313" i="3"/>
  <c r="I310" i="3"/>
  <c r="O307" i="3"/>
  <c r="J305" i="3"/>
  <c r="G303" i="3"/>
  <c r="I301" i="3"/>
  <c r="B299" i="3"/>
  <c r="N296" i="3"/>
  <c r="J294" i="3"/>
  <c r="G292" i="3"/>
  <c r="K290" i="3"/>
  <c r="M288" i="3"/>
  <c r="O286" i="3"/>
  <c r="B285" i="3"/>
  <c r="J283" i="3"/>
  <c r="L281" i="3"/>
  <c r="N279" i="3"/>
  <c r="P277" i="3"/>
  <c r="C276" i="3"/>
  <c r="K274" i="3"/>
  <c r="M272" i="3"/>
  <c r="O270" i="3"/>
  <c r="B269" i="3"/>
  <c r="J267" i="3"/>
  <c r="L265" i="3"/>
  <c r="N263" i="3"/>
  <c r="A262" i="3"/>
  <c r="K260" i="3"/>
  <c r="O258" i="3"/>
  <c r="C257" i="3"/>
  <c r="M255" i="3"/>
  <c r="A254" i="3"/>
  <c r="K252" i="3"/>
  <c r="O250" i="3"/>
  <c r="C249" i="3"/>
  <c r="M247" i="3"/>
  <c r="A246" i="3"/>
  <c r="K244" i="3"/>
  <c r="O242" i="3"/>
  <c r="C241" i="3"/>
  <c r="M239" i="3"/>
  <c r="A238" i="3"/>
  <c r="K236" i="3"/>
  <c r="O234" i="3"/>
  <c r="J233" i="3"/>
  <c r="P231" i="3"/>
  <c r="K230" i="3"/>
  <c r="A229" i="3"/>
  <c r="L227" i="3"/>
  <c r="B226" i="3"/>
  <c r="M224" i="3"/>
  <c r="C223" i="3"/>
  <c r="N221" i="3"/>
  <c r="F220" i="3"/>
  <c r="O218" i="3"/>
  <c r="J217" i="3"/>
  <c r="P215" i="3"/>
  <c r="K214" i="3"/>
  <c r="A213" i="3"/>
  <c r="L211" i="3"/>
  <c r="B210" i="3"/>
  <c r="M208" i="3"/>
  <c r="C207" i="3"/>
  <c r="N205" i="3"/>
  <c r="F204" i="3"/>
  <c r="O202" i="3"/>
  <c r="J201" i="3"/>
  <c r="P199" i="3"/>
  <c r="K198" i="3"/>
  <c r="A197" i="3"/>
  <c r="L195" i="3"/>
  <c r="B194" i="3"/>
  <c r="M192" i="3"/>
  <c r="C191" i="3"/>
  <c r="N189" i="3"/>
  <c r="F188" i="3"/>
  <c r="O186" i="3"/>
  <c r="J185" i="3"/>
  <c r="P183" i="3"/>
  <c r="K182" i="3"/>
  <c r="A181" i="3"/>
  <c r="L179" i="3"/>
  <c r="B178" i="3"/>
  <c r="M176" i="3"/>
  <c r="C175" i="3"/>
  <c r="N173" i="3"/>
  <c r="F172" i="3"/>
  <c r="O170" i="3"/>
  <c r="J169" i="3"/>
  <c r="P167" i="3"/>
  <c r="K166" i="3"/>
  <c r="A165" i="3"/>
  <c r="M163" i="3"/>
  <c r="J162" i="3"/>
  <c r="D161" i="3"/>
  <c r="A160" i="3"/>
  <c r="N158" i="3"/>
  <c r="L157" i="3"/>
  <c r="J156" i="3"/>
  <c r="F155" i="3"/>
  <c r="D154" i="3"/>
  <c r="B153" i="3"/>
  <c r="P151" i="3"/>
  <c r="N150" i="3"/>
  <c r="L149" i="3"/>
  <c r="J148" i="3"/>
  <c r="I147" i="3"/>
  <c r="H146" i="3"/>
  <c r="F145" i="3"/>
  <c r="E144" i="3"/>
  <c r="D143" i="3"/>
  <c r="C142" i="3"/>
  <c r="C141" i="3"/>
  <c r="C140" i="3"/>
  <c r="C139" i="3"/>
  <c r="C138" i="3"/>
  <c r="C137" i="3"/>
  <c r="C136" i="3"/>
  <c r="C135" i="3"/>
  <c r="C134" i="3"/>
  <c r="C133" i="3"/>
  <c r="C132" i="3"/>
  <c r="C131" i="3"/>
  <c r="C130" i="3"/>
  <c r="C129" i="3"/>
  <c r="C128" i="3"/>
  <c r="C127" i="3"/>
  <c r="C126" i="3"/>
  <c r="C125" i="3"/>
  <c r="C124" i="3"/>
  <c r="C123" i="3"/>
  <c r="C122" i="3"/>
  <c r="C121" i="3"/>
  <c r="C120" i="3"/>
  <c r="C119" i="3"/>
  <c r="C118" i="3"/>
  <c r="C117" i="3"/>
  <c r="C116" i="3"/>
  <c r="C115" i="3"/>
  <c r="C114" i="3"/>
  <c r="C113" i="3"/>
  <c r="C112" i="3"/>
  <c r="C111" i="3"/>
  <c r="C110" i="3"/>
  <c r="C109" i="3"/>
  <c r="C108" i="3"/>
  <c r="C107" i="3"/>
  <c r="C106" i="3"/>
  <c r="C105" i="3"/>
  <c r="C104" i="3"/>
  <c r="C103" i="3"/>
  <c r="C102" i="3"/>
  <c r="C101" i="3"/>
  <c r="C100" i="3"/>
  <c r="C99" i="3"/>
  <c r="C98" i="3"/>
  <c r="C97" i="3"/>
  <c r="C96" i="3"/>
  <c r="C95" i="3"/>
  <c r="C94" i="3"/>
  <c r="C93" i="3"/>
  <c r="C92" i="3"/>
  <c r="C91" i="3"/>
  <c r="C90" i="3"/>
  <c r="C89" i="3"/>
  <c r="C88" i="3"/>
  <c r="C87" i="3"/>
  <c r="C86" i="3"/>
  <c r="C85" i="3"/>
  <c r="C84" i="3"/>
  <c r="C83" i="3"/>
  <c r="C82" i="3"/>
  <c r="C81" i="3"/>
  <c r="C80" i="3"/>
  <c r="C79" i="3"/>
  <c r="C78" i="3"/>
  <c r="C77" i="3"/>
  <c r="C76" i="3"/>
  <c r="C75" i="3"/>
  <c r="C74" i="3"/>
  <c r="C73" i="3"/>
  <c r="C72" i="3"/>
  <c r="C71" i="3"/>
  <c r="C70" i="3"/>
  <c r="C69" i="3"/>
  <c r="C68" i="3"/>
  <c r="C67" i="3"/>
  <c r="C66" i="3"/>
  <c r="C65" i="3"/>
  <c r="C64" i="3"/>
  <c r="C63" i="3"/>
  <c r="C62" i="3"/>
  <c r="C61" i="3"/>
  <c r="C60" i="3"/>
  <c r="C59" i="3"/>
  <c r="C58" i="3"/>
  <c r="C57" i="3"/>
  <c r="C56" i="3"/>
  <c r="C55" i="3"/>
  <c r="C54" i="3"/>
  <c r="C53" i="3"/>
  <c r="C52" i="3"/>
  <c r="C51" i="3"/>
  <c r="C50" i="3"/>
  <c r="C49" i="3"/>
  <c r="C48" i="3"/>
  <c r="C47" i="3"/>
  <c r="C46" i="3"/>
  <c r="C45" i="3"/>
  <c r="C44" i="3"/>
  <c r="C43" i="3"/>
  <c r="C42" i="3"/>
  <c r="C41" i="3"/>
  <c r="C40" i="3"/>
  <c r="C39" i="3"/>
  <c r="C38" i="3"/>
  <c r="C37" i="3"/>
  <c r="C36" i="3"/>
  <c r="C35" i="3"/>
  <c r="C34" i="3"/>
  <c r="C33" i="3"/>
  <c r="C32" i="3"/>
  <c r="C31" i="3"/>
  <c r="C30" i="3"/>
  <c r="C29" i="3"/>
  <c r="C28" i="3"/>
  <c r="C27" i="3"/>
  <c r="C26" i="3"/>
  <c r="C25" i="3"/>
  <c r="C24" i="3"/>
  <c r="C23" i="3"/>
  <c r="C22" i="3"/>
  <c r="C21" i="3"/>
  <c r="C20" i="3"/>
  <c r="C19" i="3"/>
  <c r="C18" i="3"/>
  <c r="C17" i="3"/>
  <c r="C16" i="3"/>
  <c r="C15" i="3"/>
  <c r="C14" i="3"/>
  <c r="C13" i="3"/>
  <c r="C12" i="3"/>
  <c r="C11" i="3"/>
  <c r="C10" i="3"/>
  <c r="E994" i="3"/>
  <c r="O894" i="3"/>
  <c r="M842" i="3"/>
  <c r="H803" i="3"/>
  <c r="E776" i="3"/>
  <c r="F760" i="3"/>
  <c r="F742" i="3"/>
  <c r="M727" i="3"/>
  <c r="G711" i="3"/>
  <c r="K697" i="3"/>
  <c r="M682" i="3"/>
  <c r="C668" i="3"/>
  <c r="J654" i="3"/>
  <c r="N641" i="3"/>
  <c r="K631" i="3"/>
  <c r="E621" i="3"/>
  <c r="L613" i="3"/>
  <c r="N604" i="3"/>
  <c r="D598" i="3"/>
  <c r="O590" i="3"/>
  <c r="L583" i="3"/>
  <c r="F577" i="3"/>
  <c r="J570" i="3"/>
  <c r="D564" i="3"/>
  <c r="P556" i="3"/>
  <c r="L551" i="3"/>
  <c r="A546" i="3"/>
  <c r="B541" i="3"/>
  <c r="M535" i="3"/>
  <c r="M530" i="3"/>
  <c r="F526" i="3"/>
  <c r="O521" i="3"/>
  <c r="M517" i="3"/>
  <c r="B513" i="3"/>
  <c r="A509" i="3"/>
  <c r="M504" i="3"/>
  <c r="G501" i="3"/>
  <c r="K497" i="3"/>
  <c r="P493" i="3"/>
  <c r="J490" i="3"/>
  <c r="O486" i="3"/>
  <c r="I483" i="3"/>
  <c r="M479" i="3"/>
  <c r="H476" i="3"/>
  <c r="L472" i="3"/>
  <c r="G469" i="3"/>
  <c r="K465" i="3"/>
  <c r="P461" i="3"/>
  <c r="J458" i="3"/>
  <c r="O454" i="3"/>
  <c r="I451" i="3"/>
  <c r="M447" i="3"/>
  <c r="H444" i="3"/>
  <c r="L440" i="3"/>
  <c r="G437" i="3"/>
  <c r="K433" i="3"/>
  <c r="P429" i="3"/>
  <c r="J426" i="3"/>
  <c r="O422" i="3"/>
  <c r="I419" i="3"/>
  <c r="M415" i="3"/>
  <c r="H412" i="3"/>
  <c r="L408" i="3"/>
  <c r="G405" i="3"/>
  <c r="K401" i="3"/>
  <c r="P397" i="3"/>
  <c r="J394" i="3"/>
  <c r="O390" i="3"/>
  <c r="I387" i="3"/>
  <c r="M383" i="3"/>
  <c r="H380" i="3"/>
  <c r="L376" i="3"/>
  <c r="G373" i="3"/>
  <c r="K369" i="3"/>
  <c r="P365" i="3"/>
  <c r="J362" i="3"/>
  <c r="O358" i="3"/>
  <c r="I355" i="3"/>
  <c r="M351" i="3"/>
  <c r="H348" i="3"/>
  <c r="L344" i="3"/>
  <c r="G341" i="3"/>
  <c r="K337" i="3"/>
  <c r="P333" i="3"/>
  <c r="J330" i="3"/>
  <c r="O326" i="3"/>
  <c r="L323" i="3"/>
  <c r="P320" i="3"/>
  <c r="H318" i="3"/>
  <c r="L315" i="3"/>
  <c r="P312" i="3"/>
  <c r="H310" i="3"/>
  <c r="N307" i="3"/>
  <c r="I305" i="3"/>
  <c r="B303" i="3"/>
  <c r="O300" i="3"/>
  <c r="A299" i="3"/>
  <c r="M296" i="3"/>
  <c r="I294" i="3"/>
  <c r="F292" i="3"/>
  <c r="J290" i="3"/>
  <c r="L288" i="3"/>
  <c r="N286" i="3"/>
  <c r="P284" i="3"/>
  <c r="C283" i="3"/>
  <c r="K281" i="3"/>
  <c r="M279" i="3"/>
  <c r="O277" i="3"/>
  <c r="B276" i="3"/>
  <c r="J274" i="3"/>
  <c r="L272" i="3"/>
  <c r="N270" i="3"/>
  <c r="P268" i="3"/>
  <c r="C267" i="3"/>
  <c r="K265" i="3"/>
  <c r="M263" i="3"/>
  <c r="P261" i="3"/>
  <c r="J260" i="3"/>
  <c r="N258" i="3"/>
  <c r="B257" i="3"/>
  <c r="L255" i="3"/>
  <c r="P253" i="3"/>
  <c r="J252" i="3"/>
  <c r="N250" i="3"/>
  <c r="B249" i="3"/>
  <c r="L247" i="3"/>
  <c r="P245" i="3"/>
  <c r="J244" i="3"/>
  <c r="N242" i="3"/>
  <c r="B241" i="3"/>
  <c r="L239" i="3"/>
  <c r="P237" i="3"/>
  <c r="J236" i="3"/>
  <c r="N234" i="3"/>
  <c r="F233" i="3"/>
  <c r="O231" i="3"/>
  <c r="J230" i="3"/>
  <c r="P228" i="3"/>
  <c r="K227" i="3"/>
  <c r="A226" i="3"/>
  <c r="L224" i="3"/>
  <c r="B223" i="3"/>
  <c r="M221" i="3"/>
  <c r="C220" i="3"/>
  <c r="N218" i="3"/>
  <c r="F217" i="3"/>
  <c r="O215" i="3"/>
  <c r="J214" i="3"/>
  <c r="P212" i="3"/>
  <c r="K211" i="3"/>
  <c r="A210" i="3"/>
  <c r="L208" i="3"/>
  <c r="B207" i="3"/>
  <c r="M205" i="3"/>
  <c r="C204" i="3"/>
  <c r="N202" i="3"/>
  <c r="F201" i="3"/>
  <c r="O199" i="3"/>
  <c r="J198" i="3"/>
  <c r="P196" i="3"/>
  <c r="K195" i="3"/>
  <c r="A194" i="3"/>
  <c r="L192" i="3"/>
  <c r="B191" i="3"/>
  <c r="M189" i="3"/>
  <c r="C188" i="3"/>
  <c r="N186" i="3"/>
  <c r="F185" i="3"/>
  <c r="O183" i="3"/>
  <c r="J182" i="3"/>
  <c r="P180" i="3"/>
  <c r="K179" i="3"/>
  <c r="A178" i="3"/>
  <c r="L176" i="3"/>
  <c r="B175" i="3"/>
  <c r="M173" i="3"/>
  <c r="C172" i="3"/>
  <c r="N170" i="3"/>
  <c r="F169" i="3"/>
  <c r="O167" i="3"/>
  <c r="J166" i="3"/>
  <c r="P164" i="3"/>
  <c r="L163" i="3"/>
  <c r="F162" i="3"/>
  <c r="C161" i="3"/>
  <c r="P159" i="3"/>
  <c r="M158" i="3"/>
  <c r="K157" i="3"/>
  <c r="I156" i="3"/>
  <c r="E155" i="3"/>
  <c r="C154" i="3"/>
  <c r="A153" i="3"/>
  <c r="O151" i="3"/>
  <c r="M150" i="3"/>
  <c r="K149" i="3"/>
  <c r="I148" i="3"/>
  <c r="H147" i="3"/>
  <c r="F146" i="3"/>
  <c r="E145" i="3"/>
  <c r="D144" i="3"/>
  <c r="C143" i="3"/>
  <c r="B142" i="3"/>
  <c r="B141" i="3"/>
  <c r="B140" i="3"/>
  <c r="B139" i="3"/>
  <c r="B138" i="3"/>
  <c r="B137" i="3"/>
  <c r="B136" i="3"/>
  <c r="B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M983" i="3"/>
  <c r="M894" i="3"/>
  <c r="E840" i="3"/>
  <c r="J802" i="3"/>
  <c r="M775" i="3"/>
  <c r="E760" i="3"/>
  <c r="E742" i="3"/>
  <c r="K726" i="3"/>
  <c r="F711" i="3"/>
  <c r="J696" i="3"/>
  <c r="L682" i="3"/>
  <c r="P666" i="3"/>
  <c r="I654" i="3"/>
  <c r="K641" i="3"/>
  <c r="J631" i="3"/>
  <c r="D621" i="3"/>
  <c r="D613" i="3"/>
  <c r="M604" i="3"/>
  <c r="E597" i="3"/>
  <c r="N590" i="3"/>
  <c r="K583" i="3"/>
  <c r="E577" i="3"/>
  <c r="H570" i="3"/>
  <c r="C564" i="3"/>
  <c r="O556" i="3"/>
  <c r="K551" i="3"/>
  <c r="P545" i="3"/>
  <c r="F540" i="3"/>
  <c r="G535" i="3"/>
  <c r="K530" i="3"/>
  <c r="E526" i="3"/>
  <c r="M521" i="3"/>
  <c r="K517" i="3"/>
  <c r="A513" i="3"/>
  <c r="P508" i="3"/>
  <c r="K504" i="3"/>
  <c r="P500" i="3"/>
  <c r="J497" i="3"/>
  <c r="O493" i="3"/>
  <c r="I490" i="3"/>
  <c r="M486" i="3"/>
  <c r="H483" i="3"/>
  <c r="L479" i="3"/>
  <c r="G476" i="3"/>
  <c r="K472" i="3"/>
  <c r="P468" i="3"/>
  <c r="J465" i="3"/>
  <c r="O461" i="3"/>
  <c r="I458" i="3"/>
  <c r="M454" i="3"/>
  <c r="H451" i="3"/>
  <c r="L447" i="3"/>
  <c r="G444" i="3"/>
  <c r="K440" i="3"/>
  <c r="P436" i="3"/>
  <c r="J433" i="3"/>
  <c r="O429" i="3"/>
  <c r="I426" i="3"/>
  <c r="M422" i="3"/>
  <c r="H419" i="3"/>
  <c r="L415" i="3"/>
  <c r="G412" i="3"/>
  <c r="K408" i="3"/>
  <c r="P404" i="3"/>
  <c r="J401" i="3"/>
  <c r="O397" i="3"/>
  <c r="I394" i="3"/>
  <c r="M390" i="3"/>
  <c r="H387" i="3"/>
  <c r="L383" i="3"/>
  <c r="G380" i="3"/>
  <c r="K376" i="3"/>
  <c r="P372" i="3"/>
  <c r="J369" i="3"/>
  <c r="O365" i="3"/>
  <c r="I362" i="3"/>
  <c r="M358" i="3"/>
  <c r="H355" i="3"/>
  <c r="L351" i="3"/>
  <c r="G348" i="3"/>
  <c r="K344" i="3"/>
  <c r="P340" i="3"/>
  <c r="J337" i="3"/>
  <c r="O333" i="3"/>
  <c r="I330" i="3"/>
  <c r="M326" i="3"/>
  <c r="K323" i="3"/>
  <c r="O320" i="3"/>
  <c r="G318" i="3"/>
  <c r="K315" i="3"/>
  <c r="O312" i="3"/>
  <c r="G310" i="3"/>
  <c r="M307" i="3"/>
  <c r="H305" i="3"/>
  <c r="A303" i="3"/>
  <c r="N300" i="3"/>
  <c r="P298" i="3"/>
  <c r="L296" i="3"/>
  <c r="H294" i="3"/>
  <c r="B292" i="3"/>
  <c r="C290" i="3"/>
  <c r="K288" i="3"/>
  <c r="M286" i="3"/>
  <c r="O284" i="3"/>
  <c r="B283" i="3"/>
  <c r="J281" i="3"/>
  <c r="L279" i="3"/>
  <c r="N277" i="3"/>
  <c r="P275" i="3"/>
  <c r="C274" i="3"/>
  <c r="K272" i="3"/>
  <c r="M270" i="3"/>
  <c r="O268" i="3"/>
  <c r="B267" i="3"/>
  <c r="J265" i="3"/>
  <c r="L263" i="3"/>
  <c r="O261" i="3"/>
  <c r="C260" i="3"/>
  <c r="M258" i="3"/>
  <c r="A257" i="3"/>
  <c r="K255" i="3"/>
  <c r="O253" i="3"/>
  <c r="C252" i="3"/>
  <c r="M250" i="3"/>
  <c r="A249" i="3"/>
  <c r="K247" i="3"/>
  <c r="O245" i="3"/>
  <c r="C244" i="3"/>
  <c r="M242" i="3"/>
  <c r="A241" i="3"/>
  <c r="K239" i="3"/>
  <c r="O237" i="3"/>
  <c r="C236" i="3"/>
  <c r="M234" i="3"/>
  <c r="C233" i="3"/>
  <c r="N231" i="3"/>
  <c r="F230" i="3"/>
  <c r="O228" i="3"/>
  <c r="J227" i="3"/>
  <c r="P225" i="3"/>
  <c r="K224" i="3"/>
  <c r="A223" i="3"/>
  <c r="L221" i="3"/>
  <c r="B220" i="3"/>
  <c r="M218" i="3"/>
  <c r="C217" i="3"/>
  <c r="N215" i="3"/>
  <c r="F214" i="3"/>
  <c r="O212" i="3"/>
  <c r="J211" i="3"/>
  <c r="P209" i="3"/>
  <c r="K208" i="3"/>
  <c r="A207" i="3"/>
  <c r="L205" i="3"/>
  <c r="B204" i="3"/>
  <c r="M202" i="3"/>
  <c r="C201" i="3"/>
  <c r="N199" i="3"/>
  <c r="F198" i="3"/>
  <c r="O196" i="3"/>
  <c r="J195" i="3"/>
  <c r="P193" i="3"/>
  <c r="K192" i="3"/>
  <c r="A191" i="3"/>
  <c r="L189" i="3"/>
  <c r="B188" i="3"/>
  <c r="M186" i="3"/>
  <c r="C185" i="3"/>
  <c r="N183" i="3"/>
  <c r="F182" i="3"/>
  <c r="O180" i="3"/>
  <c r="J179" i="3"/>
  <c r="P177" i="3"/>
  <c r="K176" i="3"/>
  <c r="A175" i="3"/>
  <c r="L173" i="3"/>
  <c r="B172" i="3"/>
  <c r="M170" i="3"/>
  <c r="C169" i="3"/>
  <c r="N167" i="3"/>
  <c r="F166" i="3"/>
  <c r="O164" i="3"/>
  <c r="K163" i="3"/>
  <c r="E162" i="3"/>
  <c r="B161" i="3"/>
  <c r="O159" i="3"/>
  <c r="L158" i="3"/>
  <c r="J157" i="3"/>
  <c r="F156" i="3"/>
  <c r="D155" i="3"/>
  <c r="B154" i="3"/>
  <c r="P152" i="3"/>
  <c r="N151" i="3"/>
  <c r="L150" i="3"/>
  <c r="J149" i="3"/>
  <c r="H148" i="3"/>
  <c r="F147" i="3"/>
  <c r="E146" i="3"/>
  <c r="D145" i="3"/>
  <c r="C144" i="3"/>
  <c r="B143" i="3"/>
  <c r="A142" i="3"/>
  <c r="A141" i="3"/>
  <c r="A140" i="3"/>
  <c r="A139" i="3"/>
  <c r="A138" i="3"/>
  <c r="A137" i="3"/>
  <c r="A136" i="3"/>
  <c r="A135" i="3"/>
  <c r="A134" i="3"/>
  <c r="A133" i="3"/>
  <c r="A132" i="3"/>
  <c r="A131" i="3"/>
  <c r="A130" i="3"/>
  <c r="A129" i="3"/>
  <c r="A128" i="3"/>
  <c r="A127" i="3"/>
  <c r="A126" i="3"/>
  <c r="A125" i="3"/>
  <c r="A124" i="3"/>
  <c r="A123" i="3"/>
  <c r="A122" i="3"/>
  <c r="A121" i="3"/>
  <c r="A120" i="3"/>
  <c r="A119" i="3"/>
  <c r="A118" i="3"/>
  <c r="A117" i="3"/>
  <c r="A116" i="3"/>
  <c r="A115" i="3"/>
  <c r="A114" i="3"/>
  <c r="A113" i="3"/>
  <c r="A112" i="3"/>
  <c r="A111" i="3"/>
  <c r="A110" i="3"/>
  <c r="A109" i="3"/>
  <c r="A108" i="3"/>
  <c r="A107" i="3"/>
  <c r="A106" i="3"/>
  <c r="A105" i="3"/>
  <c r="A104" i="3"/>
  <c r="A103" i="3"/>
  <c r="A102" i="3"/>
  <c r="A101" i="3"/>
  <c r="A100" i="3"/>
  <c r="A99" i="3"/>
  <c r="A98" i="3"/>
  <c r="A97" i="3"/>
  <c r="A96" i="3"/>
  <c r="A95" i="3"/>
  <c r="A94" i="3"/>
  <c r="A93" i="3"/>
  <c r="A92" i="3"/>
  <c r="F968" i="3"/>
  <c r="C892" i="3"/>
  <c r="J838" i="3"/>
  <c r="J799" i="3"/>
  <c r="K775" i="3"/>
  <c r="L757" i="3"/>
  <c r="C742" i="3"/>
  <c r="G724" i="3"/>
  <c r="L710" i="3"/>
  <c r="F695" i="3"/>
  <c r="D682" i="3"/>
  <c r="L666" i="3"/>
  <c r="H653" i="3"/>
  <c r="I641" i="3"/>
  <c r="E630" i="3"/>
  <c r="P620" i="3"/>
  <c r="P611" i="3"/>
  <c r="K604" i="3"/>
  <c r="A597" i="3"/>
  <c r="L590" i="3"/>
  <c r="H583" i="3"/>
  <c r="C577" i="3"/>
  <c r="N569" i="3"/>
  <c r="C563" i="3"/>
  <c r="M556" i="3"/>
  <c r="M550" i="3"/>
  <c r="N545" i="3"/>
  <c r="C540" i="3"/>
  <c r="E535" i="3"/>
  <c r="E530" i="3"/>
  <c r="C526" i="3"/>
  <c r="I521" i="3"/>
  <c r="A517" i="3"/>
  <c r="O512" i="3"/>
  <c r="E508" i="3"/>
  <c r="I504" i="3"/>
  <c r="M500" i="3"/>
  <c r="H497" i="3"/>
  <c r="L493" i="3"/>
  <c r="G490" i="3"/>
  <c r="K486" i="3"/>
  <c r="P482" i="3"/>
  <c r="J479" i="3"/>
  <c r="O475" i="3"/>
  <c r="I472" i="3"/>
  <c r="M468" i="3"/>
  <c r="H465" i="3"/>
  <c r="L461" i="3"/>
  <c r="G458" i="3"/>
  <c r="K454" i="3"/>
  <c r="P450" i="3"/>
  <c r="J447" i="3"/>
  <c r="O443" i="3"/>
  <c r="I440" i="3"/>
  <c r="M436" i="3"/>
  <c r="H433" i="3"/>
  <c r="L429" i="3"/>
  <c r="G426" i="3"/>
  <c r="K422" i="3"/>
  <c r="P418" i="3"/>
  <c r="J415" i="3"/>
  <c r="O411" i="3"/>
  <c r="I408" i="3"/>
  <c r="M404" i="3"/>
  <c r="H401" i="3"/>
  <c r="L397" i="3"/>
  <c r="G394" i="3"/>
  <c r="K390" i="3"/>
  <c r="P386" i="3"/>
  <c r="J383" i="3"/>
  <c r="O379" i="3"/>
  <c r="I376" i="3"/>
  <c r="M372" i="3"/>
  <c r="H369" i="3"/>
  <c r="L365" i="3"/>
  <c r="G362" i="3"/>
  <c r="K358" i="3"/>
  <c r="P354" i="3"/>
  <c r="J351" i="3"/>
  <c r="O347" i="3"/>
  <c r="I344" i="3"/>
  <c r="M340" i="3"/>
  <c r="H337" i="3"/>
  <c r="L333" i="3"/>
  <c r="G330" i="3"/>
  <c r="K326" i="3"/>
  <c r="I323" i="3"/>
  <c r="M320" i="3"/>
  <c r="A318" i="3"/>
  <c r="I315" i="3"/>
  <c r="M312" i="3"/>
  <c r="A310" i="3"/>
  <c r="K307" i="3"/>
  <c r="F305" i="3"/>
  <c r="O302" i="3"/>
  <c r="K300" i="3"/>
  <c r="H298" i="3"/>
  <c r="J296" i="3"/>
  <c r="F294" i="3"/>
  <c r="P291" i="3"/>
  <c r="P289" i="3"/>
  <c r="C288" i="3"/>
  <c r="K286" i="3"/>
  <c r="M284" i="3"/>
  <c r="O282" i="3"/>
  <c r="B281" i="3"/>
  <c r="J279" i="3"/>
  <c r="L277" i="3"/>
  <c r="N275" i="3"/>
  <c r="P273" i="3"/>
  <c r="C272" i="3"/>
  <c r="K270" i="3"/>
  <c r="M268" i="3"/>
  <c r="O266" i="3"/>
  <c r="B265" i="3"/>
  <c r="J263" i="3"/>
  <c r="M261" i="3"/>
  <c r="A260" i="3"/>
  <c r="K258" i="3"/>
  <c r="O256" i="3"/>
  <c r="C255" i="3"/>
  <c r="M253" i="3"/>
  <c r="A252" i="3"/>
  <c r="K250" i="3"/>
  <c r="O248" i="3"/>
  <c r="C247" i="3"/>
  <c r="M245" i="3"/>
  <c r="A244" i="3"/>
  <c r="K242" i="3"/>
  <c r="O240" i="3"/>
  <c r="C239" i="3"/>
  <c r="M237" i="3"/>
  <c r="A236" i="3"/>
  <c r="K234" i="3"/>
  <c r="A233" i="3"/>
  <c r="L231" i="3"/>
  <c r="B230" i="3"/>
  <c r="M228" i="3"/>
  <c r="C227" i="3"/>
  <c r="N225" i="3"/>
  <c r="F224" i="3"/>
  <c r="O222" i="3"/>
  <c r="J221" i="3"/>
  <c r="P219" i="3"/>
  <c r="K218" i="3"/>
  <c r="A217" i="3"/>
  <c r="L215" i="3"/>
  <c r="B214" i="3"/>
  <c r="M212" i="3"/>
  <c r="C211" i="3"/>
  <c r="N209" i="3"/>
  <c r="F208" i="3"/>
  <c r="O206" i="3"/>
  <c r="J205" i="3"/>
  <c r="P203" i="3"/>
  <c r="K202" i="3"/>
  <c r="A201" i="3"/>
  <c r="L199" i="3"/>
  <c r="B198" i="3"/>
  <c r="M196" i="3"/>
  <c r="C195" i="3"/>
  <c r="N193" i="3"/>
  <c r="F192" i="3"/>
  <c r="O190" i="3"/>
  <c r="J189" i="3"/>
  <c r="P187" i="3"/>
  <c r="K186" i="3"/>
  <c r="A185" i="3"/>
  <c r="L183" i="3"/>
  <c r="B182" i="3"/>
  <c r="M180" i="3"/>
  <c r="C179" i="3"/>
  <c r="N177" i="3"/>
  <c r="F176" i="3"/>
  <c r="O174" i="3"/>
  <c r="J173" i="3"/>
  <c r="P171" i="3"/>
  <c r="K170" i="3"/>
  <c r="A169" i="3"/>
  <c r="L167" i="3"/>
  <c r="B166" i="3"/>
  <c r="M164" i="3"/>
  <c r="F163" i="3"/>
  <c r="C162" i="3"/>
  <c r="P160" i="3"/>
  <c r="M159" i="3"/>
  <c r="J158" i="3"/>
  <c r="F157" i="3"/>
  <c r="D156" i="3"/>
  <c r="B155" i="3"/>
  <c r="P153" i="3"/>
  <c r="N152" i="3"/>
  <c r="L151" i="3"/>
  <c r="J150" i="3"/>
  <c r="F149" i="3"/>
  <c r="E148" i="3"/>
  <c r="D147" i="3"/>
  <c r="C146" i="3"/>
  <c r="B145" i="3"/>
  <c r="A144" i="3"/>
  <c r="P142" i="3"/>
  <c r="O141" i="3"/>
  <c r="O140" i="3"/>
  <c r="O139" i="3"/>
  <c r="O138" i="3"/>
  <c r="O137" i="3"/>
  <c r="O136" i="3"/>
  <c r="O135" i="3"/>
  <c r="O134" i="3"/>
  <c r="O133" i="3"/>
  <c r="O132" i="3"/>
  <c r="O131" i="3"/>
  <c r="O130" i="3"/>
  <c r="O129" i="3"/>
  <c r="O128" i="3"/>
  <c r="O127" i="3"/>
  <c r="O126" i="3"/>
  <c r="O125" i="3"/>
  <c r="O124" i="3"/>
  <c r="O123" i="3"/>
  <c r="O122" i="3"/>
  <c r="O121" i="3"/>
  <c r="O120" i="3"/>
  <c r="O119" i="3"/>
  <c r="O118" i="3"/>
  <c r="O117" i="3"/>
  <c r="O116" i="3"/>
  <c r="O115" i="3"/>
  <c r="O114" i="3"/>
  <c r="O113" i="3"/>
  <c r="O112" i="3"/>
  <c r="O111" i="3"/>
  <c r="O110" i="3"/>
  <c r="O109" i="3"/>
  <c r="O108" i="3"/>
  <c r="O107" i="3"/>
  <c r="O106" i="3"/>
  <c r="O105" i="3"/>
  <c r="O104" i="3"/>
  <c r="O103" i="3"/>
  <c r="O102" i="3"/>
  <c r="O101" i="3"/>
  <c r="O100" i="3"/>
  <c r="O99" i="3"/>
  <c r="O98" i="3"/>
  <c r="O97" i="3"/>
  <c r="O96" i="3"/>
  <c r="O95" i="3"/>
  <c r="O94" i="3"/>
  <c r="O93" i="3"/>
  <c r="O92" i="3"/>
  <c r="O91" i="3"/>
  <c r="O90" i="3"/>
  <c r="O89" i="3"/>
  <c r="O88" i="3"/>
  <c r="O87" i="3"/>
  <c r="O86" i="3"/>
  <c r="O85" i="3"/>
  <c r="O84" i="3"/>
  <c r="O83" i="3"/>
  <c r="O82" i="3"/>
  <c r="O81" i="3"/>
  <c r="O80" i="3"/>
  <c r="O79" i="3"/>
  <c r="O78" i="3"/>
  <c r="O77" i="3"/>
  <c r="O76" i="3"/>
  <c r="O75" i="3"/>
  <c r="O74" i="3"/>
  <c r="O73" i="3"/>
  <c r="O72" i="3"/>
  <c r="O71" i="3"/>
  <c r="O70" i="3"/>
  <c r="O69" i="3"/>
  <c r="O68" i="3"/>
  <c r="O67" i="3"/>
  <c r="O66" i="3"/>
  <c r="O65" i="3"/>
  <c r="O64" i="3"/>
  <c r="O63" i="3"/>
  <c r="O62" i="3"/>
  <c r="O61" i="3"/>
  <c r="O60" i="3"/>
  <c r="O59" i="3"/>
  <c r="O58" i="3"/>
  <c r="O57" i="3"/>
  <c r="O56" i="3"/>
  <c r="O55" i="3"/>
  <c r="O54" i="3"/>
  <c r="O53" i="3"/>
  <c r="O52" i="3"/>
  <c r="O51" i="3"/>
  <c r="O50" i="3"/>
  <c r="O49" i="3"/>
  <c r="O48" i="3"/>
  <c r="O47" i="3"/>
  <c r="O46" i="3"/>
  <c r="O45" i="3"/>
  <c r="O44" i="3"/>
  <c r="O43" i="3"/>
  <c r="O42" i="3"/>
  <c r="O41" i="3"/>
  <c r="O40" i="3"/>
  <c r="O39" i="3"/>
  <c r="O38" i="3"/>
  <c r="O37" i="3"/>
  <c r="O36" i="3"/>
  <c r="O35" i="3"/>
  <c r="O34" i="3"/>
  <c r="O33" i="3"/>
  <c r="O32" i="3"/>
  <c r="O31" i="3"/>
  <c r="O30" i="3"/>
  <c r="O29" i="3"/>
  <c r="O28" i="3"/>
  <c r="O27" i="3"/>
  <c r="O26" i="3"/>
  <c r="O25" i="3"/>
  <c r="O24" i="3"/>
  <c r="O23" i="3"/>
  <c r="O22" i="3"/>
  <c r="O21" i="3"/>
  <c r="O20" i="3"/>
  <c r="O19" i="3"/>
  <c r="O18" i="3"/>
  <c r="O17" i="3"/>
  <c r="O16" i="3"/>
  <c r="O15" i="3"/>
  <c r="O14" i="3"/>
  <c r="O13" i="3"/>
  <c r="O12" i="3"/>
  <c r="O11" i="3"/>
  <c r="O10" i="3"/>
  <c r="A1184" i="3"/>
  <c r="L939" i="3"/>
  <c r="E873" i="3"/>
  <c r="E826" i="3"/>
  <c r="K789" i="3"/>
  <c r="K770" i="3"/>
  <c r="M751" i="3"/>
  <c r="P736" i="3"/>
  <c r="I719" i="3"/>
  <c r="M706" i="3"/>
  <c r="O690" i="3"/>
  <c r="E677" i="3"/>
  <c r="G662" i="3"/>
  <c r="I649" i="3"/>
  <c r="C638" i="3"/>
  <c r="L626" i="3"/>
  <c r="G618" i="3"/>
  <c r="I609" i="3"/>
  <c r="G602" i="3"/>
  <c r="P594" i="3"/>
  <c r="K588" i="3"/>
  <c r="G581" i="3"/>
  <c r="K574" i="3"/>
  <c r="E568" i="3"/>
  <c r="A561" i="3"/>
  <c r="O554" i="3"/>
  <c r="E549" i="3"/>
  <c r="B544" i="3"/>
  <c r="M538" i="3"/>
  <c r="P533" i="3"/>
  <c r="P528" i="3"/>
  <c r="F524" i="3"/>
  <c r="D520" i="3"/>
  <c r="M515" i="3"/>
  <c r="I511" i="3"/>
  <c r="P506" i="3"/>
  <c r="H503" i="3"/>
  <c r="L499" i="3"/>
  <c r="G496" i="3"/>
  <c r="K492" i="3"/>
  <c r="P488" i="3"/>
  <c r="J485" i="3"/>
  <c r="O481" i="3"/>
  <c r="I478" i="3"/>
  <c r="M474" i="3"/>
  <c r="H471" i="3"/>
  <c r="L467" i="3"/>
  <c r="G464" i="3"/>
  <c r="K460" i="3"/>
  <c r="P456" i="3"/>
  <c r="J453" i="3"/>
  <c r="O449" i="3"/>
  <c r="I446" i="3"/>
  <c r="M442" i="3"/>
  <c r="H439" i="3"/>
  <c r="L435" i="3"/>
  <c r="G432" i="3"/>
  <c r="K428" i="3"/>
  <c r="P424" i="3"/>
  <c r="J421" i="3"/>
  <c r="O417" i="3"/>
  <c r="I414" i="3"/>
  <c r="M410" i="3"/>
  <c r="H407" i="3"/>
  <c r="L403" i="3"/>
  <c r="G400" i="3"/>
  <c r="K396" i="3"/>
  <c r="P392" i="3"/>
  <c r="J389" i="3"/>
  <c r="O385" i="3"/>
  <c r="I382" i="3"/>
  <c r="M378" i="3"/>
  <c r="H375" i="3"/>
  <c r="L371" i="3"/>
  <c r="G368" i="3"/>
  <c r="K364" i="3"/>
  <c r="P360" i="3"/>
  <c r="J357" i="3"/>
  <c r="O353" i="3"/>
  <c r="I350" i="3"/>
  <c r="M346" i="3"/>
  <c r="H343" i="3"/>
  <c r="L339" i="3"/>
  <c r="G336" i="3"/>
  <c r="K332" i="3"/>
  <c r="P328" i="3"/>
  <c r="J325" i="3"/>
  <c r="K322" i="3"/>
  <c r="O319" i="3"/>
  <c r="G317" i="3"/>
  <c r="K314" i="3"/>
  <c r="O311" i="3"/>
  <c r="G309" i="3"/>
  <c r="N306" i="3"/>
  <c r="K304" i="3"/>
  <c r="M302" i="3"/>
  <c r="I300" i="3"/>
  <c r="B298" i="3"/>
  <c r="O295" i="3"/>
  <c r="A294" i="3"/>
  <c r="N291" i="3"/>
  <c r="N289" i="3"/>
  <c r="P287" i="3"/>
  <c r="C286" i="3"/>
  <c r="K284" i="3"/>
  <c r="M282" i="3"/>
  <c r="O280" i="3"/>
  <c r="B279" i="3"/>
  <c r="J277" i="3"/>
  <c r="L275" i="3"/>
  <c r="N273" i="3"/>
  <c r="P271" i="3"/>
  <c r="C270" i="3"/>
  <c r="K268" i="3"/>
  <c r="M266" i="3"/>
  <c r="O264" i="3"/>
  <c r="B263" i="3"/>
  <c r="K261" i="3"/>
  <c r="O259" i="3"/>
  <c r="C258" i="3"/>
  <c r="M256" i="3"/>
  <c r="A255" i="3"/>
  <c r="K253" i="3"/>
  <c r="O251" i="3"/>
  <c r="C250" i="3"/>
  <c r="M248" i="3"/>
  <c r="A247" i="3"/>
  <c r="K245" i="3"/>
  <c r="O243" i="3"/>
  <c r="C242" i="3"/>
  <c r="M240" i="3"/>
  <c r="A239" i="3"/>
  <c r="K237" i="3"/>
  <c r="O235" i="3"/>
  <c r="F234" i="3"/>
  <c r="O232" i="3"/>
  <c r="J231" i="3"/>
  <c r="P229" i="3"/>
  <c r="K228" i="3"/>
  <c r="A227" i="3"/>
  <c r="L225" i="3"/>
  <c r="B224" i="3"/>
  <c r="M222" i="3"/>
  <c r="C221" i="3"/>
  <c r="N219" i="3"/>
  <c r="F218" i="3"/>
  <c r="O216" i="3"/>
  <c r="J215" i="3"/>
  <c r="P213" i="3"/>
  <c r="K212" i="3"/>
  <c r="A211" i="3"/>
  <c r="L209" i="3"/>
  <c r="B208" i="3"/>
  <c r="M206" i="3"/>
  <c r="C205" i="3"/>
  <c r="N203" i="3"/>
  <c r="F202" i="3"/>
  <c r="O200" i="3"/>
  <c r="J199" i="3"/>
  <c r="P197" i="3"/>
  <c r="K196" i="3"/>
  <c r="A195" i="3"/>
  <c r="L193" i="3"/>
  <c r="B192" i="3"/>
  <c r="M190" i="3"/>
  <c r="C189" i="3"/>
  <c r="N187" i="3"/>
  <c r="F186" i="3"/>
  <c r="O184" i="3"/>
  <c r="J183" i="3"/>
  <c r="P181" i="3"/>
  <c r="K180" i="3"/>
  <c r="A179" i="3"/>
  <c r="L177" i="3"/>
  <c r="B176" i="3"/>
  <c r="M174" i="3"/>
  <c r="C173" i="3"/>
  <c r="N171" i="3"/>
  <c r="F170" i="3"/>
  <c r="O168" i="3"/>
  <c r="J167" i="3"/>
  <c r="P165" i="3"/>
  <c r="K164" i="3"/>
  <c r="D163" i="3"/>
  <c r="A162" i="3"/>
  <c r="N160" i="3"/>
  <c r="K159" i="3"/>
  <c r="F158" i="3"/>
  <c r="D157" i="3"/>
  <c r="B156" i="3"/>
  <c r="P154" i="3"/>
  <c r="N153" i="3"/>
  <c r="L152" i="3"/>
  <c r="J151" i="3"/>
  <c r="F150" i="3"/>
  <c r="D149" i="3"/>
  <c r="C148" i="3"/>
  <c r="B147" i="3"/>
  <c r="A146" i="3"/>
  <c r="P144" i="3"/>
  <c r="O143" i="3"/>
  <c r="N142" i="3"/>
  <c r="M141" i="3"/>
  <c r="M140" i="3"/>
  <c r="M139" i="3"/>
  <c r="M138" i="3"/>
  <c r="M137" i="3"/>
  <c r="M136" i="3"/>
  <c r="M135" i="3"/>
  <c r="M134" i="3"/>
  <c r="M133" i="3"/>
  <c r="M132" i="3"/>
  <c r="M131" i="3"/>
  <c r="M130" i="3"/>
  <c r="M129" i="3"/>
  <c r="M128" i="3"/>
  <c r="M127" i="3"/>
  <c r="M126" i="3"/>
  <c r="M125" i="3"/>
  <c r="M124" i="3"/>
  <c r="M123" i="3"/>
  <c r="M122" i="3"/>
  <c r="M121" i="3"/>
  <c r="M120" i="3"/>
  <c r="M119" i="3"/>
  <c r="M118" i="3"/>
  <c r="M117" i="3"/>
  <c r="M116" i="3"/>
  <c r="M115" i="3"/>
  <c r="M114" i="3"/>
  <c r="M113" i="3"/>
  <c r="M112" i="3"/>
  <c r="M111" i="3"/>
  <c r="M110" i="3"/>
  <c r="M109" i="3"/>
  <c r="M108" i="3"/>
  <c r="M107" i="3"/>
  <c r="M106" i="3"/>
  <c r="M105" i="3"/>
  <c r="M104" i="3"/>
  <c r="M103" i="3"/>
  <c r="M102" i="3"/>
  <c r="M101" i="3"/>
  <c r="M100" i="3"/>
  <c r="M99" i="3"/>
  <c r="M98" i="3"/>
  <c r="M97" i="3"/>
  <c r="M96" i="3"/>
  <c r="M95" i="3"/>
  <c r="M94" i="3"/>
  <c r="M93" i="3"/>
  <c r="M92" i="3"/>
  <c r="M91" i="3"/>
  <c r="M90" i="3"/>
  <c r="M89" i="3"/>
  <c r="M88" i="3"/>
  <c r="M87" i="3"/>
  <c r="M86" i="3"/>
  <c r="M85" i="3"/>
  <c r="M84" i="3"/>
  <c r="M83" i="3"/>
  <c r="M82" i="3"/>
  <c r="M81" i="3"/>
  <c r="M80" i="3"/>
  <c r="M79" i="3"/>
  <c r="M78" i="3"/>
  <c r="M77" i="3"/>
  <c r="M76" i="3"/>
  <c r="M75" i="3"/>
  <c r="M74" i="3"/>
  <c r="M73" i="3"/>
  <c r="M72" i="3"/>
  <c r="M71" i="3"/>
  <c r="M70" i="3"/>
  <c r="M69" i="3"/>
  <c r="M68" i="3"/>
  <c r="M67" i="3"/>
  <c r="M66" i="3"/>
  <c r="M65" i="3"/>
  <c r="M64" i="3"/>
  <c r="M63" i="3"/>
  <c r="M62" i="3"/>
  <c r="M61" i="3"/>
  <c r="M60" i="3"/>
  <c r="M59" i="3"/>
  <c r="M58" i="3"/>
  <c r="M57" i="3"/>
  <c r="M56" i="3"/>
  <c r="M55" i="3"/>
  <c r="M54" i="3"/>
  <c r="M53" i="3"/>
  <c r="M52" i="3"/>
  <c r="M51" i="3"/>
  <c r="M50" i="3"/>
  <c r="M49" i="3"/>
  <c r="M48" i="3"/>
  <c r="M47" i="3"/>
  <c r="M46" i="3"/>
  <c r="M45" i="3"/>
  <c r="M44" i="3"/>
  <c r="M43" i="3"/>
  <c r="M42" i="3"/>
  <c r="M41" i="3"/>
  <c r="M40" i="3"/>
  <c r="M39" i="3"/>
  <c r="M38" i="3"/>
  <c r="M37" i="3"/>
  <c r="M36" i="3"/>
  <c r="M35" i="3"/>
  <c r="M34" i="3"/>
  <c r="M33" i="3"/>
  <c r="M32" i="3"/>
  <c r="M31" i="3"/>
  <c r="M30" i="3"/>
  <c r="M29" i="3"/>
  <c r="M28" i="3"/>
  <c r="M27" i="3"/>
  <c r="M26" i="3"/>
  <c r="M25" i="3"/>
  <c r="M24" i="3"/>
  <c r="M23" i="3"/>
  <c r="M22" i="3"/>
  <c r="M21" i="3"/>
  <c r="M20" i="3"/>
  <c r="M19" i="3"/>
  <c r="O1180" i="3"/>
  <c r="H939" i="3"/>
  <c r="H869" i="3"/>
  <c r="M825" i="3"/>
  <c r="D788" i="3"/>
  <c r="D770" i="3"/>
  <c r="H751" i="3"/>
  <c r="O736" i="3"/>
  <c r="H719" i="3"/>
  <c r="L705" i="3"/>
  <c r="N690" i="3"/>
  <c r="D676" i="3"/>
  <c r="F662" i="3"/>
  <c r="J648" i="3"/>
  <c r="K637" i="3"/>
  <c r="H626" i="3"/>
  <c r="F618" i="3"/>
  <c r="H609" i="3"/>
  <c r="N601" i="3"/>
  <c r="O594" i="3"/>
  <c r="L587" i="3"/>
  <c r="F581" i="3"/>
  <c r="C574" i="3"/>
  <c r="L567" i="3"/>
  <c r="O560" i="3"/>
  <c r="N554" i="3"/>
  <c r="D549" i="3"/>
  <c r="A544" i="3"/>
  <c r="G538" i="3"/>
  <c r="E533" i="3"/>
  <c r="O528" i="3"/>
  <c r="E524" i="3"/>
  <c r="C520" i="3"/>
  <c r="I515" i="3"/>
  <c r="G511" i="3"/>
  <c r="O506" i="3"/>
  <c r="G503" i="3"/>
  <c r="K499" i="3"/>
  <c r="P495" i="3"/>
  <c r="J492" i="3"/>
  <c r="O488" i="3"/>
  <c r="I485" i="3"/>
  <c r="M481" i="3"/>
  <c r="H478" i="3"/>
  <c r="L474" i="3"/>
  <c r="G471" i="3"/>
  <c r="K467" i="3"/>
  <c r="P463" i="3"/>
  <c r="J460" i="3"/>
  <c r="O456" i="3"/>
  <c r="I453" i="3"/>
  <c r="M449" i="3"/>
  <c r="H446" i="3"/>
  <c r="L442" i="3"/>
  <c r="G439" i="3"/>
  <c r="K435" i="3"/>
  <c r="P431" i="3"/>
  <c r="J428" i="3"/>
  <c r="O424" i="3"/>
  <c r="I421" i="3"/>
  <c r="M417" i="3"/>
  <c r="H414" i="3"/>
  <c r="L410" i="3"/>
  <c r="G407" i="3"/>
  <c r="K403" i="3"/>
  <c r="P399" i="3"/>
  <c r="J396" i="3"/>
  <c r="O392" i="3"/>
  <c r="I389" i="3"/>
  <c r="M385" i="3"/>
  <c r="H382" i="3"/>
  <c r="L378" i="3"/>
  <c r="G375" i="3"/>
  <c r="K371" i="3"/>
  <c r="P367" i="3"/>
  <c r="J364" i="3"/>
  <c r="O360" i="3"/>
  <c r="I357" i="3"/>
  <c r="M353" i="3"/>
  <c r="H350" i="3"/>
  <c r="L346" i="3"/>
  <c r="G343" i="3"/>
  <c r="K339" i="3"/>
  <c r="P335" i="3"/>
  <c r="J332" i="3"/>
  <c r="O328" i="3"/>
  <c r="I325" i="3"/>
  <c r="J322" i="3"/>
  <c r="N319" i="3"/>
  <c r="B317" i="3"/>
  <c r="J314" i="3"/>
  <c r="N311" i="3"/>
  <c r="F309" i="3"/>
  <c r="M306" i="3"/>
  <c r="J304" i="3"/>
  <c r="L302" i="3"/>
  <c r="H300" i="3"/>
  <c r="A298" i="3"/>
  <c r="M295" i="3"/>
  <c r="J293" i="3"/>
  <c r="M291" i="3"/>
  <c r="M289" i="3"/>
  <c r="O287" i="3"/>
  <c r="B286" i="3"/>
  <c r="J284" i="3"/>
  <c r="L282" i="3"/>
  <c r="N280" i="3"/>
  <c r="P278" i="3"/>
  <c r="C277" i="3"/>
  <c r="K275" i="3"/>
  <c r="M273" i="3"/>
  <c r="O271" i="3"/>
  <c r="B270" i="3"/>
  <c r="J268" i="3"/>
  <c r="L266" i="3"/>
  <c r="N264" i="3"/>
  <c r="P262" i="3"/>
  <c r="J261" i="3"/>
  <c r="N259" i="3"/>
  <c r="B258" i="3"/>
  <c r="L256" i="3"/>
  <c r="P254" i="3"/>
  <c r="J253" i="3"/>
  <c r="N251" i="3"/>
  <c r="B250" i="3"/>
  <c r="L248" i="3"/>
  <c r="P246" i="3"/>
  <c r="J245" i="3"/>
  <c r="N243" i="3"/>
  <c r="B242" i="3"/>
  <c r="L240" i="3"/>
  <c r="P238" i="3"/>
  <c r="J237" i="3"/>
  <c r="N235" i="3"/>
  <c r="C234" i="3"/>
  <c r="N232" i="3"/>
  <c r="F231" i="3"/>
  <c r="O229" i="3"/>
  <c r="J228" i="3"/>
  <c r="P226" i="3"/>
  <c r="K225" i="3"/>
  <c r="A224" i="3"/>
  <c r="L222" i="3"/>
  <c r="B221" i="3"/>
  <c r="M219" i="3"/>
  <c r="C218" i="3"/>
  <c r="N216" i="3"/>
  <c r="F215" i="3"/>
  <c r="O213" i="3"/>
  <c r="J212" i="3"/>
  <c r="P210" i="3"/>
  <c r="K209" i="3"/>
  <c r="A208" i="3"/>
  <c r="L206" i="3"/>
  <c r="B205" i="3"/>
  <c r="M203" i="3"/>
  <c r="C202" i="3"/>
  <c r="N200" i="3"/>
  <c r="F199" i="3"/>
  <c r="O197" i="3"/>
  <c r="J196" i="3"/>
  <c r="P194" i="3"/>
  <c r="K193" i="3"/>
  <c r="A192" i="3"/>
  <c r="L190" i="3"/>
  <c r="B189" i="3"/>
  <c r="M187" i="3"/>
  <c r="C186" i="3"/>
  <c r="N184" i="3"/>
  <c r="F183" i="3"/>
  <c r="O181" i="3"/>
  <c r="J180" i="3"/>
  <c r="P178" i="3"/>
  <c r="K177" i="3"/>
  <c r="A176" i="3"/>
  <c r="L174" i="3"/>
  <c r="B173" i="3"/>
  <c r="M171" i="3"/>
  <c r="C170" i="3"/>
  <c r="N168" i="3"/>
  <c r="F167" i="3"/>
  <c r="O165" i="3"/>
  <c r="J164" i="3"/>
  <c r="C163" i="3"/>
  <c r="P161" i="3"/>
  <c r="M160" i="3"/>
  <c r="J159" i="3"/>
  <c r="E158" i="3"/>
  <c r="C157" i="3"/>
  <c r="A156" i="3"/>
  <c r="O154" i="3"/>
  <c r="M153" i="3"/>
  <c r="K152" i="3"/>
  <c r="I151" i="3"/>
  <c r="E150" i="3"/>
  <c r="C149" i="3"/>
  <c r="B148" i="3"/>
  <c r="A147" i="3"/>
  <c r="P145" i="3"/>
  <c r="O144" i="3"/>
  <c r="N143" i="3"/>
  <c r="M142" i="3"/>
  <c r="L141" i="3"/>
  <c r="L140" i="3"/>
  <c r="L139" i="3"/>
  <c r="L138" i="3"/>
  <c r="L137" i="3"/>
  <c r="L136" i="3"/>
  <c r="L135" i="3"/>
  <c r="L134" i="3"/>
  <c r="L133" i="3"/>
  <c r="L132" i="3"/>
  <c r="L131" i="3"/>
  <c r="L130" i="3"/>
  <c r="L129" i="3"/>
  <c r="L128" i="3"/>
  <c r="L127" i="3"/>
  <c r="L126" i="3"/>
  <c r="L125" i="3"/>
  <c r="L124" i="3"/>
  <c r="L123" i="3"/>
  <c r="L122" i="3"/>
  <c r="L121" i="3"/>
  <c r="L120" i="3"/>
  <c r="L119" i="3"/>
  <c r="L118" i="3"/>
  <c r="L117" i="3"/>
  <c r="L116" i="3"/>
  <c r="L115" i="3"/>
  <c r="L114" i="3"/>
  <c r="L113" i="3"/>
  <c r="L112" i="3"/>
  <c r="L111" i="3"/>
  <c r="L110" i="3"/>
  <c r="L109" i="3"/>
  <c r="L108" i="3"/>
  <c r="L107" i="3"/>
  <c r="L106" i="3"/>
  <c r="L105" i="3"/>
  <c r="L104" i="3"/>
  <c r="L103" i="3"/>
  <c r="L102" i="3"/>
  <c r="L101" i="3"/>
  <c r="L100" i="3"/>
  <c r="L99" i="3"/>
  <c r="L98" i="3"/>
  <c r="L97" i="3"/>
  <c r="L96" i="3"/>
  <c r="L95" i="3"/>
  <c r="L94" i="3"/>
  <c r="L93" i="3"/>
  <c r="L92" i="3"/>
  <c r="L91" i="3"/>
  <c r="L90" i="3"/>
  <c r="L89" i="3"/>
  <c r="L88" i="3"/>
  <c r="L87" i="3"/>
  <c r="L86" i="3"/>
  <c r="L85" i="3"/>
  <c r="L84" i="3"/>
  <c r="L83" i="3"/>
  <c r="L82" i="3"/>
  <c r="L81" i="3"/>
  <c r="L80" i="3"/>
  <c r="L79" i="3"/>
  <c r="L78" i="3"/>
  <c r="L77" i="3"/>
  <c r="L76" i="3"/>
  <c r="L75" i="3"/>
  <c r="L74" i="3"/>
  <c r="L73" i="3"/>
  <c r="L72" i="3"/>
  <c r="L71" i="3"/>
  <c r="L70" i="3"/>
  <c r="L69" i="3"/>
  <c r="L68" i="3"/>
  <c r="L67" i="3"/>
  <c r="L66" i="3"/>
  <c r="L65" i="3"/>
  <c r="L64" i="3"/>
  <c r="L63" i="3"/>
  <c r="L62" i="3"/>
  <c r="L61" i="3"/>
  <c r="L60" i="3"/>
  <c r="L59" i="3"/>
  <c r="L58" i="3"/>
  <c r="L57" i="3"/>
  <c r="L56" i="3"/>
  <c r="L55" i="3"/>
  <c r="L54" i="3"/>
  <c r="L53" i="3"/>
  <c r="L52" i="3"/>
  <c r="L51" i="3"/>
  <c r="L50" i="3"/>
  <c r="L49" i="3"/>
  <c r="L48" i="3"/>
  <c r="L47" i="3"/>
  <c r="L46" i="3"/>
  <c r="L45" i="3"/>
  <c r="L44" i="3"/>
  <c r="L43" i="3"/>
  <c r="L42" i="3"/>
  <c r="L41" i="3"/>
  <c r="L40" i="3"/>
  <c r="L39" i="3"/>
  <c r="L38" i="3"/>
  <c r="L37" i="3"/>
  <c r="L36" i="3"/>
  <c r="L35" i="3"/>
  <c r="L34" i="3"/>
  <c r="L33" i="3"/>
  <c r="L32" i="3"/>
  <c r="L31" i="3"/>
  <c r="L30" i="3"/>
  <c r="L29" i="3"/>
  <c r="L28" i="3"/>
  <c r="L27" i="3"/>
  <c r="L26" i="3"/>
  <c r="L25" i="3"/>
  <c r="L24" i="3"/>
  <c r="L23" i="3"/>
  <c r="L22" i="3"/>
  <c r="L21" i="3"/>
  <c r="L20" i="3"/>
  <c r="L19" i="3"/>
  <c r="L18" i="3"/>
  <c r="L17" i="3"/>
  <c r="L16" i="3"/>
  <c r="L15" i="3"/>
  <c r="L14" i="3"/>
  <c r="L13" i="3"/>
  <c r="L12" i="3"/>
  <c r="L11" i="3"/>
  <c r="L10" i="3"/>
  <c r="B939" i="3"/>
  <c r="E825" i="3"/>
  <c r="C770" i="3"/>
  <c r="M735" i="3"/>
  <c r="K704" i="3"/>
  <c r="C675" i="3"/>
  <c r="G648" i="3"/>
  <c r="G626" i="3"/>
  <c r="G609" i="3"/>
  <c r="G594" i="3"/>
  <c r="E581" i="3"/>
  <c r="K567" i="3"/>
  <c r="M554" i="3"/>
  <c r="E543" i="3"/>
  <c r="D533" i="3"/>
  <c r="C524" i="3"/>
  <c r="G515" i="3"/>
  <c r="N506" i="3"/>
  <c r="J499" i="3"/>
  <c r="I492" i="3"/>
  <c r="H485" i="3"/>
  <c r="G478" i="3"/>
  <c r="P470" i="3"/>
  <c r="O463" i="3"/>
  <c r="M456" i="3"/>
  <c r="L449" i="3"/>
  <c r="K442" i="3"/>
  <c r="J435" i="3"/>
  <c r="I428" i="3"/>
  <c r="H421" i="3"/>
  <c r="G414" i="3"/>
  <c r="P406" i="3"/>
  <c r="O399" i="3"/>
  <c r="M392" i="3"/>
  <c r="L385" i="3"/>
  <c r="K378" i="3"/>
  <c r="J371" i="3"/>
  <c r="I364" i="3"/>
  <c r="H357" i="3"/>
  <c r="G350" i="3"/>
  <c r="P342" i="3"/>
  <c r="O335" i="3"/>
  <c r="M328" i="3"/>
  <c r="I322" i="3"/>
  <c r="A317" i="3"/>
  <c r="M311" i="3"/>
  <c r="L306" i="3"/>
  <c r="B302" i="3"/>
  <c r="P297" i="3"/>
  <c r="I293" i="3"/>
  <c r="L289" i="3"/>
  <c r="P285" i="3"/>
  <c r="K282" i="3"/>
  <c r="O278" i="3"/>
  <c r="J275" i="3"/>
  <c r="N271" i="3"/>
  <c r="C268" i="3"/>
  <c r="M264" i="3"/>
  <c r="C261" i="3"/>
  <c r="A258" i="3"/>
  <c r="O254" i="3"/>
  <c r="M251" i="3"/>
  <c r="K248" i="3"/>
  <c r="C245" i="3"/>
  <c r="A242" i="3"/>
  <c r="O238" i="3"/>
  <c r="M235" i="3"/>
  <c r="M232" i="3"/>
  <c r="N229" i="3"/>
  <c r="O226" i="3"/>
  <c r="P223" i="3"/>
  <c r="A221" i="3"/>
  <c r="B218" i="3"/>
  <c r="C215" i="3"/>
  <c r="F212" i="3"/>
  <c r="J209" i="3"/>
  <c r="K206" i="3"/>
  <c r="L203" i="3"/>
  <c r="M200" i="3"/>
  <c r="N197" i="3"/>
  <c r="O194" i="3"/>
  <c r="P191" i="3"/>
  <c r="A189" i="3"/>
  <c r="B186" i="3"/>
  <c r="C183" i="3"/>
  <c r="F180" i="3"/>
  <c r="J177" i="3"/>
  <c r="K174" i="3"/>
  <c r="L171" i="3"/>
  <c r="M168" i="3"/>
  <c r="N165" i="3"/>
  <c r="B163" i="3"/>
  <c r="L160" i="3"/>
  <c r="D158" i="3"/>
  <c r="P155" i="3"/>
  <c r="L153" i="3"/>
  <c r="F151" i="3"/>
  <c r="B149" i="3"/>
  <c r="P146" i="3"/>
  <c r="N144" i="3"/>
  <c r="L142" i="3"/>
  <c r="K140" i="3"/>
  <c r="K138" i="3"/>
  <c r="K136" i="3"/>
  <c r="K134" i="3"/>
  <c r="K132" i="3"/>
  <c r="K130" i="3"/>
  <c r="K128" i="3"/>
  <c r="K126" i="3"/>
  <c r="K124" i="3"/>
  <c r="K122" i="3"/>
  <c r="K120" i="3"/>
  <c r="K118" i="3"/>
  <c r="K116" i="3"/>
  <c r="K114" i="3"/>
  <c r="K112" i="3"/>
  <c r="K110" i="3"/>
  <c r="K108" i="3"/>
  <c r="K106" i="3"/>
  <c r="K104" i="3"/>
  <c r="K102" i="3"/>
  <c r="K100" i="3"/>
  <c r="K98" i="3"/>
  <c r="K96" i="3"/>
  <c r="K94" i="3"/>
  <c r="K92" i="3"/>
  <c r="N90" i="3"/>
  <c r="A89" i="3"/>
  <c r="G87" i="3"/>
  <c r="I85" i="3"/>
  <c r="K83" i="3"/>
  <c r="P81" i="3"/>
  <c r="F80" i="3"/>
  <c r="H78" i="3"/>
  <c r="J76" i="3"/>
  <c r="N74" i="3"/>
  <c r="A73" i="3"/>
  <c r="G71" i="3"/>
  <c r="I69" i="3"/>
  <c r="K67" i="3"/>
  <c r="P65" i="3"/>
  <c r="F64" i="3"/>
  <c r="H62" i="3"/>
  <c r="J60" i="3"/>
  <c r="N58" i="3"/>
  <c r="A57" i="3"/>
  <c r="G55" i="3"/>
  <c r="I53" i="3"/>
  <c r="K51" i="3"/>
  <c r="P49" i="3"/>
  <c r="F48" i="3"/>
  <c r="H46" i="3"/>
  <c r="J44" i="3"/>
  <c r="N42" i="3"/>
  <c r="A41" i="3"/>
  <c r="G39" i="3"/>
  <c r="I37" i="3"/>
  <c r="K35" i="3"/>
  <c r="P33" i="3"/>
  <c r="F32" i="3"/>
  <c r="H30" i="3"/>
  <c r="J28" i="3"/>
  <c r="N26" i="3"/>
  <c r="A25" i="3"/>
  <c r="G23" i="3"/>
  <c r="K21" i="3"/>
  <c r="B20" i="3"/>
  <c r="J18" i="3"/>
  <c r="B17" i="3"/>
  <c r="K15" i="3"/>
  <c r="F14" i="3"/>
  <c r="M12" i="3"/>
  <c r="G11" i="3"/>
  <c r="B936" i="3"/>
  <c r="C825" i="3"/>
  <c r="M768" i="3"/>
  <c r="K734" i="3"/>
  <c r="J703" i="3"/>
  <c r="N674" i="3"/>
  <c r="O647" i="3"/>
  <c r="E626" i="3"/>
  <c r="F609" i="3"/>
  <c r="F594" i="3"/>
  <c r="D581" i="3"/>
  <c r="J567" i="3"/>
  <c r="P553" i="3"/>
  <c r="D543" i="3"/>
  <c r="B533" i="3"/>
  <c r="B524" i="3"/>
  <c r="F515" i="3"/>
  <c r="M506" i="3"/>
  <c r="I499" i="3"/>
  <c r="H492" i="3"/>
  <c r="G485" i="3"/>
  <c r="P477" i="3"/>
  <c r="O470" i="3"/>
  <c r="M463" i="3"/>
  <c r="L456" i="3"/>
  <c r="K449" i="3"/>
  <c r="J442" i="3"/>
  <c r="I435" i="3"/>
  <c r="H428" i="3"/>
  <c r="G421" i="3"/>
  <c r="P413" i="3"/>
  <c r="O406" i="3"/>
  <c r="M399" i="3"/>
  <c r="L392" i="3"/>
  <c r="K385" i="3"/>
  <c r="J378" i="3"/>
  <c r="I371" i="3"/>
  <c r="H364" i="3"/>
  <c r="G357" i="3"/>
  <c r="P349" i="3"/>
  <c r="O342" i="3"/>
  <c r="M335" i="3"/>
  <c r="L328" i="3"/>
  <c r="H322" i="3"/>
  <c r="P316" i="3"/>
  <c r="L311" i="3"/>
  <c r="K306" i="3"/>
  <c r="A302" i="3"/>
  <c r="O297" i="3"/>
  <c r="G293" i="3"/>
  <c r="K289" i="3"/>
  <c r="O285" i="3"/>
  <c r="J282" i="3"/>
  <c r="N278" i="3"/>
  <c r="C275" i="3"/>
  <c r="M271" i="3"/>
  <c r="B268" i="3"/>
  <c r="L264" i="3"/>
  <c r="B261" i="3"/>
  <c r="P257" i="3"/>
  <c r="N254" i="3"/>
  <c r="L251" i="3"/>
  <c r="J248" i="3"/>
  <c r="B245" i="3"/>
  <c r="P241" i="3"/>
  <c r="N238" i="3"/>
  <c r="L235" i="3"/>
  <c r="L232" i="3"/>
  <c r="M229" i="3"/>
  <c r="N226" i="3"/>
  <c r="O223" i="3"/>
  <c r="P220" i="3"/>
  <c r="A218" i="3"/>
  <c r="B215" i="3"/>
  <c r="C212" i="3"/>
  <c r="F209" i="3"/>
  <c r="J206" i="3"/>
  <c r="K203" i="3"/>
  <c r="L200" i="3"/>
  <c r="M197" i="3"/>
  <c r="N194" i="3"/>
  <c r="O191" i="3"/>
  <c r="P188" i="3"/>
  <c r="A186" i="3"/>
  <c r="B183" i="3"/>
  <c r="C180" i="3"/>
  <c r="F177" i="3"/>
  <c r="J174" i="3"/>
  <c r="K171" i="3"/>
  <c r="L168" i="3"/>
  <c r="M165" i="3"/>
  <c r="A163" i="3"/>
  <c r="K160" i="3"/>
  <c r="C158" i="3"/>
  <c r="O155" i="3"/>
  <c r="K153" i="3"/>
  <c r="E151" i="3"/>
  <c r="A149" i="3"/>
  <c r="O146" i="3"/>
  <c r="M144" i="3"/>
  <c r="K142" i="3"/>
  <c r="J140" i="3"/>
  <c r="J138" i="3"/>
  <c r="J136" i="3"/>
  <c r="J134" i="3"/>
  <c r="J132" i="3"/>
  <c r="J130" i="3"/>
  <c r="J128" i="3"/>
  <c r="J126" i="3"/>
  <c r="J124" i="3"/>
  <c r="J122" i="3"/>
  <c r="J120" i="3"/>
  <c r="J118" i="3"/>
  <c r="J116" i="3"/>
  <c r="J114" i="3"/>
  <c r="J112" i="3"/>
  <c r="J110" i="3"/>
  <c r="J108" i="3"/>
  <c r="J106" i="3"/>
  <c r="J104" i="3"/>
  <c r="J102" i="3"/>
  <c r="J100" i="3"/>
  <c r="J98" i="3"/>
  <c r="J96" i="3"/>
  <c r="J94" i="3"/>
  <c r="J92" i="3"/>
  <c r="K90" i="3"/>
  <c r="P88" i="3"/>
  <c r="F87" i="3"/>
  <c r="H85" i="3"/>
  <c r="J83" i="3"/>
  <c r="N81" i="3"/>
  <c r="A80" i="3"/>
  <c r="G78" i="3"/>
  <c r="I76" i="3"/>
  <c r="K74" i="3"/>
  <c r="P72" i="3"/>
  <c r="F71" i="3"/>
  <c r="H69" i="3"/>
  <c r="J67" i="3"/>
  <c r="N65" i="3"/>
  <c r="A64" i="3"/>
  <c r="G62" i="3"/>
  <c r="I60" i="3"/>
  <c r="K58" i="3"/>
  <c r="P56" i="3"/>
  <c r="F55" i="3"/>
  <c r="H53" i="3"/>
  <c r="J51" i="3"/>
  <c r="N49" i="3"/>
  <c r="A48" i="3"/>
  <c r="G46" i="3"/>
  <c r="I44" i="3"/>
  <c r="K42" i="3"/>
  <c r="P40" i="3"/>
  <c r="F39" i="3"/>
  <c r="H37" i="3"/>
  <c r="J35" i="3"/>
  <c r="N33" i="3"/>
  <c r="A32" i="3"/>
  <c r="G30" i="3"/>
  <c r="I28" i="3"/>
  <c r="K26" i="3"/>
  <c r="P24" i="3"/>
  <c r="F23" i="3"/>
  <c r="J21" i="3"/>
  <c r="A20" i="3"/>
  <c r="I18" i="3"/>
  <c r="A17" i="3"/>
  <c r="J15" i="3"/>
  <c r="B14" i="3"/>
  <c r="K12" i="3"/>
  <c r="F11" i="3"/>
  <c r="O935" i="3"/>
  <c r="I821" i="3"/>
  <c r="J767" i="3"/>
  <c r="I733" i="3"/>
  <c r="G703" i="3"/>
  <c r="M674" i="3"/>
  <c r="N647" i="3"/>
  <c r="D626" i="3"/>
  <c r="E609" i="3"/>
  <c r="E594" i="3"/>
  <c r="C581" i="3"/>
  <c r="K566" i="3"/>
  <c r="O553" i="3"/>
  <c r="B543" i="3"/>
  <c r="A533" i="3"/>
  <c r="A524" i="3"/>
  <c r="E515" i="3"/>
  <c r="K506" i="3"/>
  <c r="H499" i="3"/>
  <c r="G492" i="3"/>
  <c r="P484" i="3"/>
  <c r="O477" i="3"/>
  <c r="M470" i="3"/>
  <c r="L463" i="3"/>
  <c r="K456" i="3"/>
  <c r="J449" i="3"/>
  <c r="I442" i="3"/>
  <c r="H435" i="3"/>
  <c r="G428" i="3"/>
  <c r="P420" i="3"/>
  <c r="O413" i="3"/>
  <c r="M406" i="3"/>
  <c r="L399" i="3"/>
  <c r="K392" i="3"/>
  <c r="J385" i="3"/>
  <c r="I378" i="3"/>
  <c r="H371" i="3"/>
  <c r="G364" i="3"/>
  <c r="P356" i="3"/>
  <c r="O349" i="3"/>
  <c r="M342" i="3"/>
  <c r="L335" i="3"/>
  <c r="K328" i="3"/>
  <c r="G322" i="3"/>
  <c r="O316" i="3"/>
  <c r="K311" i="3"/>
  <c r="J306" i="3"/>
  <c r="O301" i="3"/>
  <c r="N297" i="3"/>
  <c r="F293" i="3"/>
  <c r="J289" i="3"/>
  <c r="N285" i="3"/>
  <c r="C282" i="3"/>
  <c r="M278" i="3"/>
  <c r="B275" i="3"/>
  <c r="L271" i="3"/>
  <c r="P267" i="3"/>
  <c r="K264" i="3"/>
  <c r="A261" i="3"/>
  <c r="O257" i="3"/>
  <c r="M254" i="3"/>
  <c r="K251" i="3"/>
  <c r="C248" i="3"/>
  <c r="A245" i="3"/>
  <c r="O241" i="3"/>
  <c r="M238" i="3"/>
  <c r="K235" i="3"/>
  <c r="K232" i="3"/>
  <c r="L229" i="3"/>
  <c r="M226" i="3"/>
  <c r="N223" i="3"/>
  <c r="O220" i="3"/>
  <c r="P217" i="3"/>
  <c r="A215" i="3"/>
  <c r="B212" i="3"/>
  <c r="C209" i="3"/>
  <c r="F206" i="3"/>
  <c r="J203" i="3"/>
  <c r="K200" i="3"/>
  <c r="L197" i="3"/>
  <c r="M194" i="3"/>
  <c r="N191" i="3"/>
  <c r="O188" i="3"/>
  <c r="P185" i="3"/>
  <c r="A183" i="3"/>
  <c r="B180" i="3"/>
  <c r="C177" i="3"/>
  <c r="F174" i="3"/>
  <c r="J171" i="3"/>
  <c r="K168" i="3"/>
  <c r="L165" i="3"/>
  <c r="P162" i="3"/>
  <c r="J160" i="3"/>
  <c r="B158" i="3"/>
  <c r="N155" i="3"/>
  <c r="J153" i="3"/>
  <c r="D151" i="3"/>
  <c r="P148" i="3"/>
  <c r="N146" i="3"/>
  <c r="L144" i="3"/>
  <c r="J142" i="3"/>
  <c r="I140" i="3"/>
  <c r="I138" i="3"/>
  <c r="I136" i="3"/>
  <c r="I134" i="3"/>
  <c r="I132" i="3"/>
  <c r="I130" i="3"/>
  <c r="I128" i="3"/>
  <c r="I126" i="3"/>
  <c r="I124" i="3"/>
  <c r="I122" i="3"/>
  <c r="I120" i="3"/>
  <c r="I118" i="3"/>
  <c r="I116" i="3"/>
  <c r="I114" i="3"/>
  <c r="I112" i="3"/>
  <c r="I110" i="3"/>
  <c r="I108" i="3"/>
  <c r="I106" i="3"/>
  <c r="I104" i="3"/>
  <c r="I102" i="3"/>
  <c r="I100" i="3"/>
  <c r="I98" i="3"/>
  <c r="I96" i="3"/>
  <c r="I94" i="3"/>
  <c r="I92" i="3"/>
  <c r="J90" i="3"/>
  <c r="N88" i="3"/>
  <c r="A87" i="3"/>
  <c r="G85" i="3"/>
  <c r="I83" i="3"/>
  <c r="K81" i="3"/>
  <c r="P79" i="3"/>
  <c r="F78" i="3"/>
  <c r="H76" i="3"/>
  <c r="J74" i="3"/>
  <c r="N72" i="3"/>
  <c r="A71" i="3"/>
  <c r="G69" i="3"/>
  <c r="I67" i="3"/>
  <c r="K65" i="3"/>
  <c r="P63" i="3"/>
  <c r="F62" i="3"/>
  <c r="H60" i="3"/>
  <c r="J58" i="3"/>
  <c r="N56" i="3"/>
  <c r="A55" i="3"/>
  <c r="G53" i="3"/>
  <c r="I51" i="3"/>
  <c r="K49" i="3"/>
  <c r="P47" i="3"/>
  <c r="F46" i="3"/>
  <c r="H44" i="3"/>
  <c r="J42" i="3"/>
  <c r="N40" i="3"/>
  <c r="A39" i="3"/>
  <c r="G37" i="3"/>
  <c r="I35" i="3"/>
  <c r="K33" i="3"/>
  <c r="P31" i="3"/>
  <c r="F30" i="3"/>
  <c r="H28" i="3"/>
  <c r="J26" i="3"/>
  <c r="N24" i="3"/>
  <c r="B23" i="3"/>
  <c r="I21" i="3"/>
  <c r="P19" i="3"/>
  <c r="H18" i="3"/>
  <c r="P16" i="3"/>
  <c r="I15" i="3"/>
  <c r="A14" i="3"/>
  <c r="J12" i="3"/>
  <c r="B11" i="3"/>
  <c r="G930" i="3"/>
  <c r="E818" i="3"/>
  <c r="G766" i="3"/>
  <c r="D733" i="3"/>
  <c r="F703" i="3"/>
  <c r="L674" i="3"/>
  <c r="M647" i="3"/>
  <c r="C626" i="3"/>
  <c r="D609" i="3"/>
  <c r="D594" i="3"/>
  <c r="D580" i="3"/>
  <c r="J566" i="3"/>
  <c r="M553" i="3"/>
  <c r="A543" i="3"/>
  <c r="P532" i="3"/>
  <c r="P523" i="3"/>
  <c r="D515" i="3"/>
  <c r="J506" i="3"/>
  <c r="G499" i="3"/>
  <c r="P491" i="3"/>
  <c r="O484" i="3"/>
  <c r="M477" i="3"/>
  <c r="L470" i="3"/>
  <c r="K463" i="3"/>
  <c r="J456" i="3"/>
  <c r="I449" i="3"/>
  <c r="H442" i="3"/>
  <c r="G435" i="3"/>
  <c r="P427" i="3"/>
  <c r="O420" i="3"/>
  <c r="M413" i="3"/>
  <c r="L406" i="3"/>
  <c r="K399" i="3"/>
  <c r="J392" i="3"/>
  <c r="I385" i="3"/>
  <c r="H378" i="3"/>
  <c r="G371" i="3"/>
  <c r="P363" i="3"/>
  <c r="O356" i="3"/>
  <c r="M349" i="3"/>
  <c r="L342" i="3"/>
  <c r="K335" i="3"/>
  <c r="J328" i="3"/>
  <c r="B322" i="3"/>
  <c r="N316" i="3"/>
  <c r="J311" i="3"/>
  <c r="I306" i="3"/>
  <c r="N301" i="3"/>
  <c r="M297" i="3"/>
  <c r="B293" i="3"/>
  <c r="C289" i="3"/>
  <c r="M285" i="3"/>
  <c r="B282" i="3"/>
  <c r="L278" i="3"/>
  <c r="P274" i="3"/>
  <c r="K271" i="3"/>
  <c r="O267" i="3"/>
  <c r="J264" i="3"/>
  <c r="P260" i="3"/>
  <c r="N257" i="3"/>
  <c r="L254" i="3"/>
  <c r="J251" i="3"/>
  <c r="B248" i="3"/>
  <c r="P244" i="3"/>
  <c r="N241" i="3"/>
  <c r="L238" i="3"/>
  <c r="J235" i="3"/>
  <c r="J232" i="3"/>
  <c r="K229" i="3"/>
  <c r="L226" i="3"/>
  <c r="M223" i="3"/>
  <c r="N220" i="3"/>
  <c r="O217" i="3"/>
  <c r="P214" i="3"/>
  <c r="A212" i="3"/>
  <c r="B209" i="3"/>
  <c r="C206" i="3"/>
  <c r="F203" i="3"/>
  <c r="J200" i="3"/>
  <c r="K197" i="3"/>
  <c r="L194" i="3"/>
  <c r="M191" i="3"/>
  <c r="N188" i="3"/>
  <c r="O185" i="3"/>
  <c r="P182" i="3"/>
  <c r="A180" i="3"/>
  <c r="B177" i="3"/>
  <c r="C174" i="3"/>
  <c r="F171" i="3"/>
  <c r="J168" i="3"/>
  <c r="K165" i="3"/>
  <c r="O162" i="3"/>
  <c r="F160" i="3"/>
  <c r="A158" i="3"/>
  <c r="M155" i="3"/>
  <c r="I153" i="3"/>
  <c r="C151" i="3"/>
  <c r="O148" i="3"/>
  <c r="M146" i="3"/>
  <c r="K144" i="3"/>
  <c r="I142" i="3"/>
  <c r="H140" i="3"/>
  <c r="H138" i="3"/>
  <c r="H136" i="3"/>
  <c r="H134" i="3"/>
  <c r="H132" i="3"/>
  <c r="H130" i="3"/>
  <c r="H128" i="3"/>
  <c r="H126" i="3"/>
  <c r="H124" i="3"/>
  <c r="H122" i="3"/>
  <c r="H120" i="3"/>
  <c r="H118" i="3"/>
  <c r="H116" i="3"/>
  <c r="H114" i="3"/>
  <c r="H112" i="3"/>
  <c r="H110" i="3"/>
  <c r="H108" i="3"/>
  <c r="H106" i="3"/>
  <c r="H104" i="3"/>
  <c r="H102" i="3"/>
  <c r="H100" i="3"/>
  <c r="H98" i="3"/>
  <c r="H96" i="3"/>
  <c r="H94" i="3"/>
  <c r="H92" i="3"/>
  <c r="I90" i="3"/>
  <c r="K88" i="3"/>
  <c r="P86" i="3"/>
  <c r="F85" i="3"/>
  <c r="H83" i="3"/>
  <c r="J81" i="3"/>
  <c r="N79" i="3"/>
  <c r="A78" i="3"/>
  <c r="G76" i="3"/>
  <c r="I74" i="3"/>
  <c r="K72" i="3"/>
  <c r="P70" i="3"/>
  <c r="F69" i="3"/>
  <c r="H67" i="3"/>
  <c r="J65" i="3"/>
  <c r="N63" i="3"/>
  <c r="A62" i="3"/>
  <c r="G60" i="3"/>
  <c r="I58" i="3"/>
  <c r="K56" i="3"/>
  <c r="P54" i="3"/>
  <c r="F53" i="3"/>
  <c r="H51" i="3"/>
  <c r="J49" i="3"/>
  <c r="N47" i="3"/>
  <c r="A46" i="3"/>
  <c r="G44" i="3"/>
  <c r="I42" i="3"/>
  <c r="K40" i="3"/>
  <c r="P38" i="3"/>
  <c r="F37" i="3"/>
  <c r="H35" i="3"/>
  <c r="J33" i="3"/>
  <c r="N31" i="3"/>
  <c r="A30" i="3"/>
  <c r="G28" i="3"/>
  <c r="I26" i="3"/>
  <c r="K24" i="3"/>
  <c r="A23" i="3"/>
  <c r="H21" i="3"/>
  <c r="N19" i="3"/>
  <c r="G18" i="3"/>
  <c r="N16" i="3"/>
  <c r="H15" i="3"/>
  <c r="P13" i="3"/>
  <c r="I12" i="3"/>
  <c r="A11" i="3"/>
  <c r="J924" i="3"/>
  <c r="M815" i="3"/>
  <c r="O765" i="3"/>
  <c r="C733" i="3"/>
  <c r="E703" i="3"/>
  <c r="K674" i="3"/>
  <c r="L647" i="3"/>
  <c r="P625" i="3"/>
  <c r="J608" i="3"/>
  <c r="E593" i="3"/>
  <c r="C580" i="3"/>
  <c r="H566" i="3"/>
  <c r="L553" i="3"/>
  <c r="P542" i="3"/>
  <c r="O532" i="3"/>
  <c r="O523" i="3"/>
  <c r="C515" i="3"/>
  <c r="I506" i="3"/>
  <c r="P498" i="3"/>
  <c r="O491" i="3"/>
  <c r="M484" i="3"/>
  <c r="L477" i="3"/>
  <c r="K470" i="3"/>
  <c r="J463" i="3"/>
  <c r="I456" i="3"/>
  <c r="H449" i="3"/>
  <c r="G442" i="3"/>
  <c r="P434" i="3"/>
  <c r="O427" i="3"/>
  <c r="M420" i="3"/>
  <c r="L413" i="3"/>
  <c r="K406" i="3"/>
  <c r="J399" i="3"/>
  <c r="I392" i="3"/>
  <c r="H385" i="3"/>
  <c r="G378" i="3"/>
  <c r="P370" i="3"/>
  <c r="O363" i="3"/>
  <c r="M356" i="3"/>
  <c r="L349" i="3"/>
  <c r="K342" i="3"/>
  <c r="J335" i="3"/>
  <c r="I328" i="3"/>
  <c r="A322" i="3"/>
  <c r="M316" i="3"/>
  <c r="I311" i="3"/>
  <c r="H306" i="3"/>
  <c r="M301" i="3"/>
  <c r="F297" i="3"/>
  <c r="A293" i="3"/>
  <c r="B289" i="3"/>
  <c r="L285" i="3"/>
  <c r="P281" i="3"/>
  <c r="K278" i="3"/>
  <c r="O274" i="3"/>
  <c r="J271" i="3"/>
  <c r="N267" i="3"/>
  <c r="C264" i="3"/>
  <c r="O260" i="3"/>
  <c r="M257" i="3"/>
  <c r="K254" i="3"/>
  <c r="C251" i="3"/>
  <c r="A248" i="3"/>
  <c r="O244" i="3"/>
  <c r="M241" i="3"/>
  <c r="K238" i="3"/>
  <c r="C235" i="3"/>
  <c r="F232" i="3"/>
  <c r="J229" i="3"/>
  <c r="K226" i="3"/>
  <c r="L223" i="3"/>
  <c r="M220" i="3"/>
  <c r="N217" i="3"/>
  <c r="O214" i="3"/>
  <c r="P211" i="3"/>
  <c r="A209" i="3"/>
  <c r="B206" i="3"/>
  <c r="C203" i="3"/>
  <c r="F200" i="3"/>
  <c r="J197" i="3"/>
  <c r="K194" i="3"/>
  <c r="L191" i="3"/>
  <c r="M188" i="3"/>
  <c r="N185" i="3"/>
  <c r="O182" i="3"/>
  <c r="P179" i="3"/>
  <c r="A177" i="3"/>
  <c r="B174" i="3"/>
  <c r="C171" i="3"/>
  <c r="F168" i="3"/>
  <c r="J165" i="3"/>
  <c r="N162" i="3"/>
  <c r="E160" i="3"/>
  <c r="P157" i="3"/>
  <c r="L155" i="3"/>
  <c r="F153" i="3"/>
  <c r="B151" i="3"/>
  <c r="N148" i="3"/>
  <c r="L146" i="3"/>
  <c r="J144" i="3"/>
  <c r="H142" i="3"/>
  <c r="G140" i="3"/>
  <c r="G138" i="3"/>
  <c r="G136" i="3"/>
  <c r="G134" i="3"/>
  <c r="G132" i="3"/>
  <c r="G130" i="3"/>
  <c r="G128" i="3"/>
  <c r="G126" i="3"/>
  <c r="G124" i="3"/>
  <c r="G122" i="3"/>
  <c r="G120" i="3"/>
  <c r="G118" i="3"/>
  <c r="G116" i="3"/>
  <c r="G114" i="3"/>
  <c r="G112" i="3"/>
  <c r="G110" i="3"/>
  <c r="G108" i="3"/>
  <c r="G106" i="3"/>
  <c r="G104" i="3"/>
  <c r="G102" i="3"/>
  <c r="G100" i="3"/>
  <c r="G98" i="3"/>
  <c r="G96" i="3"/>
  <c r="G94" i="3"/>
  <c r="G92" i="3"/>
  <c r="H90" i="3"/>
  <c r="J88" i="3"/>
  <c r="N86" i="3"/>
  <c r="A85" i="3"/>
  <c r="G83" i="3"/>
  <c r="I81" i="3"/>
  <c r="K79" i="3"/>
  <c r="P77" i="3"/>
  <c r="F76" i="3"/>
  <c r="H74" i="3"/>
  <c r="J72" i="3"/>
  <c r="N70" i="3"/>
  <c r="A69" i="3"/>
  <c r="G67" i="3"/>
  <c r="I65" i="3"/>
  <c r="K63" i="3"/>
  <c r="P61" i="3"/>
  <c r="F60" i="3"/>
  <c r="H58" i="3"/>
  <c r="J56" i="3"/>
  <c r="N54" i="3"/>
  <c r="A53" i="3"/>
  <c r="G51" i="3"/>
  <c r="I49" i="3"/>
  <c r="K47" i="3"/>
  <c r="P45" i="3"/>
  <c r="F44" i="3"/>
  <c r="H42" i="3"/>
  <c r="J40" i="3"/>
  <c r="N38" i="3"/>
  <c r="A37" i="3"/>
  <c r="G35" i="3"/>
  <c r="I33" i="3"/>
  <c r="K31" i="3"/>
  <c r="P29" i="3"/>
  <c r="F28" i="3"/>
  <c r="H26" i="3"/>
  <c r="J24" i="3"/>
  <c r="P22" i="3"/>
  <c r="G21" i="3"/>
  <c r="K19" i="3"/>
  <c r="F18" i="3"/>
  <c r="M16" i="3"/>
  <c r="G15" i="3"/>
  <c r="N13" i="3"/>
  <c r="H12" i="3"/>
  <c r="P10" i="3"/>
  <c r="I893" i="3"/>
  <c r="E802" i="3"/>
  <c r="O758" i="3"/>
  <c r="I725" i="3"/>
  <c r="I695" i="3"/>
  <c r="M666" i="3"/>
  <c r="J641" i="3"/>
  <c r="C621" i="3"/>
  <c r="L604" i="3"/>
  <c r="M590" i="3"/>
  <c r="D577" i="3"/>
  <c r="A564" i="3"/>
  <c r="D551" i="3"/>
  <c r="E540" i="3"/>
  <c r="F530" i="3"/>
  <c r="K521" i="3"/>
  <c r="P512" i="3"/>
  <c r="J504" i="3"/>
  <c r="I497" i="3"/>
  <c r="H490" i="3"/>
  <c r="G483" i="3"/>
  <c r="P475" i="3"/>
  <c r="O468" i="3"/>
  <c r="M461" i="3"/>
  <c r="L454" i="3"/>
  <c r="K447" i="3"/>
  <c r="J440" i="3"/>
  <c r="I433" i="3"/>
  <c r="H426" i="3"/>
  <c r="G419" i="3"/>
  <c r="P411" i="3"/>
  <c r="O404" i="3"/>
  <c r="M397" i="3"/>
  <c r="L390" i="3"/>
  <c r="K383" i="3"/>
  <c r="J376" i="3"/>
  <c r="I369" i="3"/>
  <c r="H362" i="3"/>
  <c r="G355" i="3"/>
  <c r="P347" i="3"/>
  <c r="O340" i="3"/>
  <c r="M333" i="3"/>
  <c r="L326" i="3"/>
  <c r="N320" i="3"/>
  <c r="J315" i="3"/>
  <c r="B310" i="3"/>
  <c r="G305" i="3"/>
  <c r="L300" i="3"/>
  <c r="K296" i="3"/>
  <c r="A292" i="3"/>
  <c r="J288" i="3"/>
  <c r="N284" i="3"/>
  <c r="C281" i="3"/>
  <c r="M277" i="3"/>
  <c r="B274" i="3"/>
  <c r="L270" i="3"/>
  <c r="P266" i="3"/>
  <c r="K263" i="3"/>
  <c r="B260" i="3"/>
  <c r="P256" i="3"/>
  <c r="N253" i="3"/>
  <c r="L250" i="3"/>
  <c r="J247" i="3"/>
  <c r="B244" i="3"/>
  <c r="P240" i="3"/>
  <c r="N237" i="3"/>
  <c r="L234" i="3"/>
  <c r="M231" i="3"/>
  <c r="N228" i="3"/>
  <c r="O225" i="3"/>
  <c r="P222" i="3"/>
  <c r="A220" i="3"/>
  <c r="B217" i="3"/>
  <c r="C214" i="3"/>
  <c r="F211" i="3"/>
  <c r="J208" i="3"/>
  <c r="K205" i="3"/>
  <c r="L202" i="3"/>
  <c r="M199" i="3"/>
  <c r="N196" i="3"/>
  <c r="O193" i="3"/>
  <c r="P190" i="3"/>
  <c r="A188" i="3"/>
  <c r="B185" i="3"/>
  <c r="C182" i="3"/>
  <c r="F179" i="3"/>
  <c r="J176" i="3"/>
  <c r="K173" i="3"/>
  <c r="L170" i="3"/>
  <c r="M167" i="3"/>
  <c r="N164" i="3"/>
  <c r="D162" i="3"/>
  <c r="N159" i="3"/>
  <c r="I157" i="3"/>
  <c r="C155" i="3"/>
  <c r="O152" i="3"/>
  <c r="K150" i="3"/>
  <c r="F148" i="3"/>
  <c r="D146" i="3"/>
  <c r="B144" i="3"/>
  <c r="P141" i="3"/>
  <c r="P139" i="3"/>
  <c r="P137" i="3"/>
  <c r="P135" i="3"/>
  <c r="P133" i="3"/>
  <c r="P131" i="3"/>
  <c r="P129" i="3"/>
  <c r="P127" i="3"/>
  <c r="P125" i="3"/>
  <c r="P123" i="3"/>
  <c r="P121" i="3"/>
  <c r="P119" i="3"/>
  <c r="P117" i="3"/>
  <c r="P115" i="3"/>
  <c r="P113" i="3"/>
  <c r="P111" i="3"/>
  <c r="P109" i="3"/>
  <c r="P107" i="3"/>
  <c r="P105" i="3"/>
  <c r="P103" i="3"/>
  <c r="P101" i="3"/>
  <c r="P99" i="3"/>
  <c r="P97" i="3"/>
  <c r="P95" i="3"/>
  <c r="P93" i="3"/>
  <c r="P91" i="3"/>
  <c r="F90" i="3"/>
  <c r="H88" i="3"/>
  <c r="J86" i="3"/>
  <c r="N84" i="3"/>
  <c r="A83" i="3"/>
  <c r="G81" i="3"/>
  <c r="I79" i="3"/>
  <c r="K77" i="3"/>
  <c r="P75" i="3"/>
  <c r="F74" i="3"/>
  <c r="H72" i="3"/>
  <c r="J70" i="3"/>
  <c r="N68" i="3"/>
  <c r="A67" i="3"/>
  <c r="G65" i="3"/>
  <c r="I63" i="3"/>
  <c r="K61" i="3"/>
  <c r="P59" i="3"/>
  <c r="F58" i="3"/>
  <c r="H56" i="3"/>
  <c r="J54" i="3"/>
  <c r="N52" i="3"/>
  <c r="A51" i="3"/>
  <c r="G49" i="3"/>
  <c r="I47" i="3"/>
  <c r="K45" i="3"/>
  <c r="P43" i="3"/>
  <c r="F42" i="3"/>
  <c r="H40" i="3"/>
  <c r="J38" i="3"/>
  <c r="N36" i="3"/>
  <c r="A35" i="3"/>
  <c r="G33" i="3"/>
  <c r="I31" i="3"/>
  <c r="K29" i="3"/>
  <c r="P27" i="3"/>
  <c r="F26" i="3"/>
  <c r="H24" i="3"/>
  <c r="K22" i="3"/>
  <c r="B21" i="3"/>
  <c r="I19" i="3"/>
  <c r="A18" i="3"/>
  <c r="J16" i="3"/>
  <c r="B15" i="3"/>
  <c r="K13" i="3"/>
  <c r="F12" i="3"/>
  <c r="M10" i="3"/>
  <c r="I1160" i="3"/>
  <c r="K865" i="3"/>
  <c r="L787" i="3"/>
  <c r="G751" i="3"/>
  <c r="G719" i="3"/>
  <c r="M690" i="3"/>
  <c r="E662" i="3"/>
  <c r="J637" i="3"/>
  <c r="L617" i="3"/>
  <c r="F601" i="3"/>
  <c r="K587" i="3"/>
  <c r="P573" i="3"/>
  <c r="N560" i="3"/>
  <c r="C549" i="3"/>
  <c r="F538" i="3"/>
  <c r="N528" i="3"/>
  <c r="B520" i="3"/>
  <c r="F511" i="3"/>
  <c r="P502" i="3"/>
  <c r="O495" i="3"/>
  <c r="M488" i="3"/>
  <c r="L481" i="3"/>
  <c r="K474" i="3"/>
  <c r="J467" i="3"/>
  <c r="I460" i="3"/>
  <c r="H453" i="3"/>
  <c r="G446" i="3"/>
  <c r="P438" i="3"/>
  <c r="O431" i="3"/>
  <c r="M424" i="3"/>
  <c r="L417" i="3"/>
  <c r="K410" i="3"/>
  <c r="J403" i="3"/>
  <c r="I396" i="3"/>
  <c r="H389" i="3"/>
  <c r="G382" i="3"/>
  <c r="P374" i="3"/>
  <c r="O367" i="3"/>
  <c r="M360" i="3"/>
  <c r="L353" i="3"/>
  <c r="K346" i="3"/>
  <c r="J339" i="3"/>
  <c r="I332" i="3"/>
  <c r="H325" i="3"/>
  <c r="M319" i="3"/>
  <c r="I314" i="3"/>
  <c r="B309" i="3"/>
  <c r="H304" i="3"/>
  <c r="G300" i="3"/>
  <c r="L295" i="3"/>
  <c r="L291" i="3"/>
  <c r="N287" i="3"/>
  <c r="C284" i="3"/>
  <c r="M280" i="3"/>
  <c r="B277" i="3"/>
  <c r="L273" i="3"/>
  <c r="P269" i="3"/>
  <c r="K266" i="3"/>
  <c r="O262" i="3"/>
  <c r="M259" i="3"/>
  <c r="K256" i="3"/>
  <c r="C253" i="3"/>
  <c r="A250" i="3"/>
  <c r="O246" i="3"/>
  <c r="M243" i="3"/>
  <c r="K240" i="3"/>
  <c r="C237" i="3"/>
  <c r="B234" i="3"/>
  <c r="C231" i="3"/>
  <c r="F228" i="3"/>
  <c r="J225" i="3"/>
  <c r="K222" i="3"/>
  <c r="L219" i="3"/>
  <c r="M216" i="3"/>
  <c r="N213" i="3"/>
  <c r="O210" i="3"/>
  <c r="P207" i="3"/>
  <c r="A205" i="3"/>
  <c r="B202" i="3"/>
  <c r="C199" i="3"/>
  <c r="F196" i="3"/>
  <c r="J193" i="3"/>
  <c r="K190" i="3"/>
  <c r="L187" i="3"/>
  <c r="M184" i="3"/>
  <c r="N181" i="3"/>
  <c r="O178" i="3"/>
  <c r="P175" i="3"/>
  <c r="A173" i="3"/>
  <c r="B170" i="3"/>
  <c r="C167" i="3"/>
  <c r="F164" i="3"/>
  <c r="O161" i="3"/>
  <c r="F159" i="3"/>
  <c r="B157" i="3"/>
  <c r="N154" i="3"/>
  <c r="J152" i="3"/>
  <c r="D150" i="3"/>
  <c r="A148" i="3"/>
  <c r="O145" i="3"/>
  <c r="M143" i="3"/>
  <c r="K141" i="3"/>
  <c r="K139" i="3"/>
  <c r="K137" i="3"/>
  <c r="K135" i="3"/>
  <c r="K133" i="3"/>
  <c r="K131" i="3"/>
  <c r="K129" i="3"/>
  <c r="K127" i="3"/>
  <c r="K125" i="3"/>
  <c r="K123" i="3"/>
  <c r="K121" i="3"/>
  <c r="K119" i="3"/>
  <c r="K117" i="3"/>
  <c r="K115" i="3"/>
  <c r="K113" i="3"/>
  <c r="K111" i="3"/>
  <c r="K109" i="3"/>
  <c r="K107" i="3"/>
  <c r="K105" i="3"/>
  <c r="K103" i="3"/>
  <c r="K101" i="3"/>
  <c r="K99" i="3"/>
  <c r="K97" i="3"/>
  <c r="K95" i="3"/>
  <c r="K93" i="3"/>
  <c r="K91" i="3"/>
  <c r="P89" i="3"/>
  <c r="F88" i="3"/>
  <c r="H86" i="3"/>
  <c r="J84" i="3"/>
  <c r="N82" i="3"/>
  <c r="A81" i="3"/>
  <c r="G79" i="3"/>
  <c r="I77" i="3"/>
  <c r="K75" i="3"/>
  <c r="P73" i="3"/>
  <c r="F72" i="3"/>
  <c r="H70" i="3"/>
  <c r="J68" i="3"/>
  <c r="N66" i="3"/>
  <c r="A65" i="3"/>
  <c r="G63" i="3"/>
  <c r="I61" i="3"/>
  <c r="K59" i="3"/>
  <c r="P57" i="3"/>
  <c r="F56" i="3"/>
  <c r="H54" i="3"/>
  <c r="J52" i="3"/>
  <c r="N50" i="3"/>
  <c r="A49" i="3"/>
  <c r="G47" i="3"/>
  <c r="I45" i="3"/>
  <c r="K43" i="3"/>
  <c r="P41" i="3"/>
  <c r="F40" i="3"/>
  <c r="H38" i="3"/>
  <c r="J36" i="3"/>
  <c r="N34" i="3"/>
  <c r="A33" i="3"/>
  <c r="G31" i="3"/>
  <c r="I29" i="3"/>
  <c r="K27" i="3"/>
  <c r="P25" i="3"/>
  <c r="F24" i="3"/>
  <c r="I22" i="3"/>
  <c r="P20" i="3"/>
  <c r="G19" i="3"/>
  <c r="N17" i="3"/>
  <c r="H16" i="3"/>
  <c r="P14" i="3"/>
  <c r="I13" i="3"/>
  <c r="A12" i="3"/>
  <c r="J10" i="3"/>
  <c r="O1151" i="3"/>
  <c r="M864" i="3"/>
  <c r="G787" i="3"/>
  <c r="F751" i="3"/>
  <c r="F719" i="3"/>
  <c r="L690" i="3"/>
  <c r="D662" i="3"/>
  <c r="P636" i="3"/>
  <c r="D617" i="3"/>
  <c r="M600" i="3"/>
  <c r="I587" i="3"/>
  <c r="O573" i="3"/>
  <c r="M560" i="3"/>
  <c r="A549" i="3"/>
  <c r="E538" i="3"/>
  <c r="M528" i="3"/>
  <c r="A520" i="3"/>
  <c r="O510" i="3"/>
  <c r="O502" i="3"/>
  <c r="M495" i="3"/>
  <c r="L488" i="3"/>
  <c r="K481" i="3"/>
  <c r="J474" i="3"/>
  <c r="I467" i="3"/>
  <c r="H460" i="3"/>
  <c r="G453" i="3"/>
  <c r="P445" i="3"/>
  <c r="O438" i="3"/>
  <c r="M431" i="3"/>
  <c r="L424" i="3"/>
  <c r="K417" i="3"/>
  <c r="J410" i="3"/>
  <c r="I403" i="3"/>
  <c r="H396" i="3"/>
  <c r="G389" i="3"/>
  <c r="P381" i="3"/>
  <c r="O374" i="3"/>
  <c r="M367" i="3"/>
  <c r="L360" i="3"/>
  <c r="K353" i="3"/>
  <c r="J346" i="3"/>
  <c r="I339" i="3"/>
  <c r="H332" i="3"/>
  <c r="G325" i="3"/>
  <c r="L319" i="3"/>
  <c r="H314" i="3"/>
  <c r="A309" i="3"/>
  <c r="G304" i="3"/>
  <c r="F300" i="3"/>
  <c r="K295" i="3"/>
  <c r="E291" i="3"/>
  <c r="M287" i="3"/>
  <c r="B284" i="3"/>
  <c r="L280" i="3"/>
  <c r="P276" i="3"/>
  <c r="K273" i="3"/>
  <c r="O269" i="3"/>
  <c r="J266" i="3"/>
  <c r="N262" i="3"/>
  <c r="L259" i="3"/>
  <c r="J256" i="3"/>
  <c r="B253" i="3"/>
  <c r="P249" i="3"/>
  <c r="N246" i="3"/>
  <c r="L243" i="3"/>
  <c r="J240" i="3"/>
  <c r="B237" i="3"/>
  <c r="A234" i="3"/>
  <c r="B231" i="3"/>
  <c r="C228" i="3"/>
  <c r="F225" i="3"/>
  <c r="J222" i="3"/>
  <c r="K219" i="3"/>
  <c r="L216" i="3"/>
  <c r="M213" i="3"/>
  <c r="N210" i="3"/>
  <c r="O207" i="3"/>
  <c r="P204" i="3"/>
  <c r="A202" i="3"/>
  <c r="B199" i="3"/>
  <c r="C196" i="3"/>
  <c r="F193" i="3"/>
  <c r="J190" i="3"/>
  <c r="K187" i="3"/>
  <c r="L184" i="3"/>
  <c r="M181" i="3"/>
  <c r="N178" i="3"/>
  <c r="O175" i="3"/>
  <c r="P172" i="3"/>
  <c r="A170" i="3"/>
  <c r="B167" i="3"/>
  <c r="E164" i="3"/>
  <c r="N161" i="3"/>
  <c r="E159" i="3"/>
  <c r="A157" i="3"/>
  <c r="M154" i="3"/>
  <c r="I152" i="3"/>
  <c r="C150" i="3"/>
  <c r="P147" i="3"/>
  <c r="N145" i="3"/>
  <c r="L143" i="3"/>
  <c r="J141" i="3"/>
  <c r="J139" i="3"/>
  <c r="J137" i="3"/>
  <c r="J135" i="3"/>
  <c r="J133" i="3"/>
  <c r="J131" i="3"/>
  <c r="J129" i="3"/>
  <c r="J127" i="3"/>
  <c r="J125" i="3"/>
  <c r="J123" i="3"/>
  <c r="J121" i="3"/>
  <c r="J119" i="3"/>
  <c r="J117" i="3"/>
  <c r="J115" i="3"/>
  <c r="J113" i="3"/>
  <c r="J111" i="3"/>
  <c r="J109" i="3"/>
  <c r="J107" i="3"/>
  <c r="J105" i="3"/>
  <c r="J103" i="3"/>
  <c r="J101" i="3"/>
  <c r="J99" i="3"/>
  <c r="J97" i="3"/>
  <c r="J95" i="3"/>
  <c r="J93" i="3"/>
  <c r="J91" i="3"/>
  <c r="N89" i="3"/>
  <c r="A88" i="3"/>
  <c r="G86" i="3"/>
  <c r="I84" i="3"/>
  <c r="K82" i="3"/>
  <c r="P80" i="3"/>
  <c r="F79" i="3"/>
  <c r="H77" i="3"/>
  <c r="J75" i="3"/>
  <c r="N73" i="3"/>
  <c r="A72" i="3"/>
  <c r="G70" i="3"/>
  <c r="I68" i="3"/>
  <c r="K66" i="3"/>
  <c r="P64" i="3"/>
  <c r="F63" i="3"/>
  <c r="H61" i="3"/>
  <c r="J59" i="3"/>
  <c r="N57" i="3"/>
  <c r="A56" i="3"/>
  <c r="G54" i="3"/>
  <c r="I52" i="3"/>
  <c r="K50" i="3"/>
  <c r="P48" i="3"/>
  <c r="F47" i="3"/>
  <c r="H45" i="3"/>
  <c r="J43" i="3"/>
  <c r="N41" i="3"/>
  <c r="A40" i="3"/>
  <c r="G38" i="3"/>
  <c r="I36" i="3"/>
  <c r="K34" i="3"/>
  <c r="P32" i="3"/>
  <c r="F31" i="3"/>
  <c r="H29" i="3"/>
  <c r="J27" i="3"/>
  <c r="N25" i="3"/>
  <c r="A24" i="3"/>
  <c r="H22" i="3"/>
  <c r="N20" i="3"/>
  <c r="F19" i="3"/>
  <c r="M17" i="3"/>
  <c r="G16" i="3"/>
  <c r="N14" i="3"/>
  <c r="H13" i="3"/>
  <c r="P11" i="3"/>
  <c r="I10" i="3"/>
  <c r="L864" i="3"/>
  <c r="E751" i="3"/>
  <c r="K690" i="3"/>
  <c r="C636" i="3"/>
  <c r="J600" i="3"/>
  <c r="N573" i="3"/>
  <c r="K548" i="3"/>
  <c r="K528" i="3"/>
  <c r="N510" i="3"/>
  <c r="L495" i="3"/>
  <c r="J481" i="3"/>
  <c r="H467" i="3"/>
  <c r="P452" i="3"/>
  <c r="M438" i="3"/>
  <c r="K424" i="3"/>
  <c r="I410" i="3"/>
  <c r="G396" i="3"/>
  <c r="O381" i="3"/>
  <c r="L367" i="3"/>
  <c r="J353" i="3"/>
  <c r="H339" i="3"/>
  <c r="B325" i="3"/>
  <c r="G314" i="3"/>
  <c r="F304" i="3"/>
  <c r="J295" i="3"/>
  <c r="L287" i="3"/>
  <c r="K280" i="3"/>
  <c r="J273" i="3"/>
  <c r="C266" i="3"/>
  <c r="K259" i="3"/>
  <c r="A253" i="3"/>
  <c r="M246" i="3"/>
  <c r="C240" i="3"/>
  <c r="P233" i="3"/>
  <c r="B228" i="3"/>
  <c r="F222" i="3"/>
  <c r="K216" i="3"/>
  <c r="M210" i="3"/>
  <c r="O204" i="3"/>
  <c r="A199" i="3"/>
  <c r="C193" i="3"/>
  <c r="J187" i="3"/>
  <c r="L181" i="3"/>
  <c r="N175" i="3"/>
  <c r="P169" i="3"/>
  <c r="C164" i="3"/>
  <c r="D159" i="3"/>
  <c r="L154" i="3"/>
  <c r="B150" i="3"/>
  <c r="M145" i="3"/>
  <c r="I141" i="3"/>
  <c r="I137" i="3"/>
  <c r="I133" i="3"/>
  <c r="I129" i="3"/>
  <c r="I125" i="3"/>
  <c r="I121" i="3"/>
  <c r="I117" i="3"/>
  <c r="I113" i="3"/>
  <c r="I109" i="3"/>
  <c r="I105" i="3"/>
  <c r="I101" i="3"/>
  <c r="I97" i="3"/>
  <c r="I93" i="3"/>
  <c r="K89" i="3"/>
  <c r="F86" i="3"/>
  <c r="J82" i="3"/>
  <c r="A79" i="3"/>
  <c r="I75" i="3"/>
  <c r="P71" i="3"/>
  <c r="H68" i="3"/>
  <c r="N64" i="3"/>
  <c r="G61" i="3"/>
  <c r="K57" i="3"/>
  <c r="F54" i="3"/>
  <c r="J50" i="3"/>
  <c r="A47" i="3"/>
  <c r="I43" i="3"/>
  <c r="P39" i="3"/>
  <c r="H36" i="3"/>
  <c r="N32" i="3"/>
  <c r="G29" i="3"/>
  <c r="K25" i="3"/>
  <c r="G22" i="3"/>
  <c r="B19" i="3"/>
  <c r="F16" i="3"/>
  <c r="G13" i="3"/>
  <c r="H10" i="3"/>
  <c r="J864" i="3"/>
  <c r="L750" i="3"/>
  <c r="J689" i="3"/>
  <c r="D635" i="3"/>
  <c r="I600" i="3"/>
  <c r="M573" i="3"/>
  <c r="J548" i="3"/>
  <c r="B528" i="3"/>
  <c r="K510" i="3"/>
  <c r="K495" i="3"/>
  <c r="I481" i="3"/>
  <c r="G467" i="3"/>
  <c r="O452" i="3"/>
  <c r="L438" i="3"/>
  <c r="J424" i="3"/>
  <c r="H410" i="3"/>
  <c r="P395" i="3"/>
  <c r="M381" i="3"/>
  <c r="K367" i="3"/>
  <c r="I353" i="3"/>
  <c r="G339" i="3"/>
  <c r="P324" i="3"/>
  <c r="B314" i="3"/>
  <c r="B304" i="3"/>
  <c r="I295" i="3"/>
  <c r="K287" i="3"/>
  <c r="J280" i="3"/>
  <c r="C273" i="3"/>
  <c r="B266" i="3"/>
  <c r="J259" i="3"/>
  <c r="P252" i="3"/>
  <c r="L246" i="3"/>
  <c r="B240" i="3"/>
  <c r="O233" i="3"/>
  <c r="A228" i="3"/>
  <c r="C222" i="3"/>
  <c r="J216" i="3"/>
  <c r="L210" i="3"/>
  <c r="N204" i="3"/>
  <c r="P198" i="3"/>
  <c r="B193" i="3"/>
  <c r="F187" i="3"/>
  <c r="K181" i="3"/>
  <c r="M175" i="3"/>
  <c r="O169" i="3"/>
  <c r="B164" i="3"/>
  <c r="C159" i="3"/>
  <c r="K154" i="3"/>
  <c r="A150" i="3"/>
  <c r="L145" i="3"/>
  <c r="H141" i="3"/>
  <c r="H137" i="3"/>
  <c r="H133" i="3"/>
  <c r="H129" i="3"/>
  <c r="H125" i="3"/>
  <c r="H121" i="3"/>
  <c r="H117" i="3"/>
  <c r="H113" i="3"/>
  <c r="H109" i="3"/>
  <c r="H105" i="3"/>
  <c r="H101" i="3"/>
  <c r="H97" i="3"/>
  <c r="H93" i="3"/>
  <c r="J89" i="3"/>
  <c r="A86" i="3"/>
  <c r="I82" i="3"/>
  <c r="P78" i="3"/>
  <c r="H75" i="3"/>
  <c r="N71" i="3"/>
  <c r="G68" i="3"/>
  <c r="K64" i="3"/>
  <c r="F61" i="3"/>
  <c r="J57" i="3"/>
  <c r="A54" i="3"/>
  <c r="I50" i="3"/>
  <c r="P46" i="3"/>
  <c r="H43" i="3"/>
  <c r="N39" i="3"/>
  <c r="G36" i="3"/>
  <c r="K32" i="3"/>
  <c r="F29" i="3"/>
  <c r="J25" i="3"/>
  <c r="F22" i="3"/>
  <c r="A19" i="3"/>
  <c r="B16" i="3"/>
  <c r="F13" i="3"/>
  <c r="G10" i="3"/>
  <c r="I864" i="3"/>
  <c r="K750" i="3"/>
  <c r="I688" i="3"/>
  <c r="O634" i="3"/>
  <c r="H600" i="3"/>
  <c r="L573" i="3"/>
  <c r="I548" i="3"/>
  <c r="A528" i="3"/>
  <c r="I510" i="3"/>
  <c r="J495" i="3"/>
  <c r="H481" i="3"/>
  <c r="P466" i="3"/>
  <c r="M452" i="3"/>
  <c r="K438" i="3"/>
  <c r="I424" i="3"/>
  <c r="G410" i="3"/>
  <c r="O395" i="3"/>
  <c r="L381" i="3"/>
  <c r="J367" i="3"/>
  <c r="H353" i="3"/>
  <c r="P338" i="3"/>
  <c r="O324" i="3"/>
  <c r="A314" i="3"/>
  <c r="A304" i="3"/>
  <c r="H295" i="3"/>
  <c r="J287" i="3"/>
  <c r="C280" i="3"/>
  <c r="B273" i="3"/>
  <c r="P265" i="3"/>
  <c r="C259" i="3"/>
  <c r="O252" i="3"/>
  <c r="K246" i="3"/>
  <c r="A240" i="3"/>
  <c r="N233" i="3"/>
  <c r="P227" i="3"/>
  <c r="B222" i="3"/>
  <c r="F216" i="3"/>
  <c r="K210" i="3"/>
  <c r="M204" i="3"/>
  <c r="O198" i="3"/>
  <c r="A193" i="3"/>
  <c r="C187" i="3"/>
  <c r="J181" i="3"/>
  <c r="L175" i="3"/>
  <c r="N169" i="3"/>
  <c r="A164" i="3"/>
  <c r="B159" i="3"/>
  <c r="J154" i="3"/>
  <c r="P149" i="3"/>
  <c r="K145" i="3"/>
  <c r="G141" i="3"/>
  <c r="G137" i="3"/>
  <c r="G133" i="3"/>
  <c r="G129" i="3"/>
  <c r="G125" i="3"/>
  <c r="G121" i="3"/>
  <c r="G117" i="3"/>
  <c r="G113" i="3"/>
  <c r="G109" i="3"/>
  <c r="G105" i="3"/>
  <c r="G101" i="3"/>
  <c r="G97" i="3"/>
  <c r="G93" i="3"/>
  <c r="I89" i="3"/>
  <c r="P85" i="3"/>
  <c r="H82" i="3"/>
  <c r="N78" i="3"/>
  <c r="G75" i="3"/>
  <c r="K71" i="3"/>
  <c r="F68" i="3"/>
  <c r="J64" i="3"/>
  <c r="A61" i="3"/>
  <c r="I57" i="3"/>
  <c r="P53" i="3"/>
  <c r="H50" i="3"/>
  <c r="N46" i="3"/>
  <c r="G43" i="3"/>
  <c r="K39" i="3"/>
  <c r="F36" i="3"/>
  <c r="J32" i="3"/>
  <c r="A29" i="3"/>
  <c r="I25" i="3"/>
  <c r="B22" i="3"/>
  <c r="P18" i="3"/>
  <c r="A16" i="3"/>
  <c r="B13" i="3"/>
  <c r="F10" i="3"/>
  <c r="P850" i="3"/>
  <c r="D746" i="3"/>
  <c r="F685" i="3"/>
  <c r="G632" i="3"/>
  <c r="I598" i="3"/>
  <c r="M571" i="3"/>
  <c r="D547" i="3"/>
  <c r="O526" i="3"/>
  <c r="F509" i="3"/>
  <c r="K494" i="3"/>
  <c r="I480" i="3"/>
  <c r="G466" i="3"/>
  <c r="O451" i="3"/>
  <c r="L437" i="3"/>
  <c r="J423" i="3"/>
  <c r="H409" i="3"/>
  <c r="P394" i="3"/>
  <c r="M380" i="3"/>
  <c r="K366" i="3"/>
  <c r="I352" i="3"/>
  <c r="G338" i="3"/>
  <c r="B324" i="3"/>
  <c r="I313" i="3"/>
  <c r="P303" i="3"/>
  <c r="G295" i="3"/>
  <c r="C287" i="3"/>
  <c r="B280" i="3"/>
  <c r="P272" i="3"/>
  <c r="O265" i="3"/>
  <c r="B259" i="3"/>
  <c r="N252" i="3"/>
  <c r="J246" i="3"/>
  <c r="P239" i="3"/>
  <c r="M233" i="3"/>
  <c r="O227" i="3"/>
  <c r="A222" i="3"/>
  <c r="C216" i="3"/>
  <c r="J210" i="3"/>
  <c r="L204" i="3"/>
  <c r="N198" i="3"/>
  <c r="P192" i="3"/>
  <c r="B187" i="3"/>
  <c r="F181" i="3"/>
  <c r="K175" i="3"/>
  <c r="M169" i="3"/>
  <c r="P163" i="3"/>
  <c r="A159" i="3"/>
  <c r="I154" i="3"/>
  <c r="O149" i="3"/>
  <c r="J145" i="3"/>
  <c r="F141" i="3"/>
  <c r="F137" i="3"/>
  <c r="F133" i="3"/>
  <c r="F129" i="3"/>
  <c r="F125" i="3"/>
  <c r="F121" i="3"/>
  <c r="F117" i="3"/>
  <c r="F113" i="3"/>
  <c r="F109" i="3"/>
  <c r="F105" i="3"/>
  <c r="F101" i="3"/>
  <c r="F97" i="3"/>
  <c r="F93" i="3"/>
  <c r="H89" i="3"/>
  <c r="N85" i="3"/>
  <c r="G82" i="3"/>
  <c r="K78" i="3"/>
  <c r="F75" i="3"/>
  <c r="J71" i="3"/>
  <c r="A68" i="3"/>
  <c r="I64" i="3"/>
  <c r="P60" i="3"/>
  <c r="H57" i="3"/>
  <c r="N53" i="3"/>
  <c r="G50" i="3"/>
  <c r="K46" i="3"/>
  <c r="F43" i="3"/>
  <c r="J39" i="3"/>
  <c r="A36" i="3"/>
  <c r="I32" i="3"/>
  <c r="P28" i="3"/>
  <c r="H25" i="3"/>
  <c r="A22" i="3"/>
  <c r="N18" i="3"/>
  <c r="P15" i="3"/>
  <c r="A13" i="3"/>
  <c r="B10" i="3"/>
  <c r="A839" i="3"/>
  <c r="D742" i="3"/>
  <c r="K682" i="3"/>
  <c r="M630" i="3"/>
  <c r="D597" i="3"/>
  <c r="G570" i="3"/>
  <c r="O545" i="3"/>
  <c r="D526" i="3"/>
  <c r="F508" i="3"/>
  <c r="M493" i="3"/>
  <c r="K479" i="3"/>
  <c r="I465" i="3"/>
  <c r="G451" i="3"/>
  <c r="O436" i="3"/>
  <c r="L422" i="3"/>
  <c r="J408" i="3"/>
  <c r="H394" i="3"/>
  <c r="P379" i="3"/>
  <c r="M365" i="3"/>
  <c r="K351" i="3"/>
  <c r="I337" i="3"/>
  <c r="J323" i="3"/>
  <c r="N312" i="3"/>
  <c r="P302" i="3"/>
  <c r="G294" i="3"/>
  <c r="L286" i="3"/>
  <c r="K279" i="3"/>
  <c r="J272" i="3"/>
  <c r="C265" i="3"/>
  <c r="L258" i="3"/>
  <c r="B252" i="3"/>
  <c r="N245" i="3"/>
  <c r="J239" i="3"/>
  <c r="B233" i="3"/>
  <c r="F227" i="3"/>
  <c r="K221" i="3"/>
  <c r="M215" i="3"/>
  <c r="O209" i="3"/>
  <c r="A204" i="3"/>
  <c r="C198" i="3"/>
  <c r="J192" i="3"/>
  <c r="L186" i="3"/>
  <c r="N180" i="3"/>
  <c r="P174" i="3"/>
  <c r="B169" i="3"/>
  <c r="J163" i="3"/>
  <c r="K158" i="3"/>
  <c r="A154" i="3"/>
  <c r="I149" i="3"/>
  <c r="C145" i="3"/>
  <c r="P140" i="3"/>
  <c r="P136" i="3"/>
  <c r="P132" i="3"/>
  <c r="P128" i="3"/>
  <c r="P124" i="3"/>
  <c r="P120" i="3"/>
  <c r="P116" i="3"/>
  <c r="P112" i="3"/>
  <c r="P108" i="3"/>
  <c r="P104" i="3"/>
  <c r="P100" i="3"/>
  <c r="P96" i="3"/>
  <c r="P92" i="3"/>
  <c r="G89" i="3"/>
  <c r="K85" i="3"/>
  <c r="F82" i="3"/>
  <c r="J78" i="3"/>
  <c r="A75" i="3"/>
  <c r="I71" i="3"/>
  <c r="P67" i="3"/>
  <c r="H64" i="3"/>
  <c r="N60" i="3"/>
  <c r="G57" i="3"/>
  <c r="K53" i="3"/>
  <c r="F50" i="3"/>
  <c r="J46" i="3"/>
  <c r="A43" i="3"/>
  <c r="I39" i="3"/>
  <c r="P35" i="3"/>
  <c r="H32" i="3"/>
  <c r="N28" i="3"/>
  <c r="G25" i="3"/>
  <c r="P21" i="3"/>
  <c r="M18" i="3"/>
  <c r="N15" i="3"/>
  <c r="P12" i="3"/>
  <c r="A10" i="3"/>
  <c r="F807" i="3"/>
  <c r="J728" i="3"/>
  <c r="H670" i="3"/>
  <c r="I623" i="3"/>
  <c r="D592" i="3"/>
  <c r="A565" i="3"/>
  <c r="G541" i="3"/>
  <c r="M522" i="3"/>
  <c r="I505" i="3"/>
  <c r="P490" i="3"/>
  <c r="M476" i="3"/>
  <c r="K462" i="3"/>
  <c r="I448" i="3"/>
  <c r="G434" i="3"/>
  <c r="O419" i="3"/>
  <c r="L405" i="3"/>
  <c r="J391" i="3"/>
  <c r="H377" i="3"/>
  <c r="P362" i="3"/>
  <c r="M348" i="3"/>
  <c r="K334" i="3"/>
  <c r="I321" i="3"/>
  <c r="M310" i="3"/>
  <c r="L301" i="3"/>
  <c r="P292" i="3"/>
  <c r="K285" i="3"/>
  <c r="J278" i="3"/>
  <c r="C271" i="3"/>
  <c r="B264" i="3"/>
  <c r="L257" i="3"/>
  <c r="B251" i="3"/>
  <c r="N244" i="3"/>
  <c r="J238" i="3"/>
  <c r="C232" i="3"/>
  <c r="J226" i="3"/>
  <c r="L220" i="3"/>
  <c r="N214" i="3"/>
  <c r="P208" i="3"/>
  <c r="B203" i="3"/>
  <c r="F197" i="3"/>
  <c r="K191" i="3"/>
  <c r="M185" i="3"/>
  <c r="O179" i="3"/>
  <c r="A174" i="3"/>
  <c r="C168" i="3"/>
  <c r="M162" i="3"/>
  <c r="O157" i="3"/>
  <c r="E153" i="3"/>
  <c r="M148" i="3"/>
  <c r="I144" i="3"/>
  <c r="F140" i="3"/>
  <c r="F136" i="3"/>
  <c r="F132" i="3"/>
  <c r="F128" i="3"/>
  <c r="F124" i="3"/>
  <c r="F120" i="3"/>
  <c r="F116" i="3"/>
  <c r="F112" i="3"/>
  <c r="F108" i="3"/>
  <c r="F104" i="3"/>
  <c r="F100" i="3"/>
  <c r="F96" i="3"/>
  <c r="F92" i="3"/>
  <c r="I88" i="3"/>
  <c r="P84" i="3"/>
  <c r="H81" i="3"/>
  <c r="N77" i="3"/>
  <c r="G74" i="3"/>
  <c r="K70" i="3"/>
  <c r="F67" i="3"/>
  <c r="J63" i="3"/>
  <c r="A60" i="3"/>
  <c r="I56" i="3"/>
  <c r="P52" i="3"/>
  <c r="H49" i="3"/>
  <c r="N45" i="3"/>
  <c r="G42" i="3"/>
  <c r="K38" i="3"/>
  <c r="F35" i="3"/>
  <c r="J31" i="3"/>
  <c r="A28" i="3"/>
  <c r="I24" i="3"/>
  <c r="F21" i="3"/>
  <c r="B18" i="3"/>
  <c r="F15" i="3"/>
  <c r="G12" i="3"/>
  <c r="G1111" i="3"/>
  <c r="F787" i="3"/>
  <c r="E719" i="3"/>
  <c r="C661" i="3"/>
  <c r="J616" i="3"/>
  <c r="H587" i="3"/>
  <c r="E560" i="3"/>
  <c r="D538" i="3"/>
  <c r="G519" i="3"/>
  <c r="M502" i="3"/>
  <c r="K488" i="3"/>
  <c r="I474" i="3"/>
  <c r="G460" i="3"/>
  <c r="O445" i="3"/>
  <c r="L431" i="3"/>
  <c r="J417" i="3"/>
  <c r="H403" i="3"/>
  <c r="P388" i="3"/>
  <c r="M374" i="3"/>
  <c r="K360" i="3"/>
  <c r="I346" i="3"/>
  <c r="G332" i="3"/>
  <c r="K319" i="3"/>
  <c r="P308" i="3"/>
  <c r="L299" i="3"/>
  <c r="B291" i="3"/>
  <c r="P283" i="3"/>
  <c r="O276" i="3"/>
  <c r="N269" i="3"/>
  <c r="M262" i="3"/>
  <c r="C256" i="3"/>
  <c r="O249" i="3"/>
  <c r="K243" i="3"/>
  <c r="A237" i="3"/>
  <c r="A231" i="3"/>
  <c r="C225" i="3"/>
  <c r="J219" i="3"/>
  <c r="L213" i="3"/>
  <c r="N207" i="3"/>
  <c r="P201" i="3"/>
  <c r="B196" i="3"/>
  <c r="F190" i="3"/>
  <c r="K184" i="3"/>
  <c r="M178" i="3"/>
  <c r="O172" i="3"/>
  <c r="A167" i="3"/>
  <c r="M161" i="3"/>
  <c r="P156" i="3"/>
  <c r="F152" i="3"/>
  <c r="O147" i="3"/>
  <c r="K143" i="3"/>
  <c r="I139" i="3"/>
  <c r="I135" i="3"/>
  <c r="I131" i="3"/>
  <c r="I127" i="3"/>
  <c r="I123" i="3"/>
  <c r="I119" i="3"/>
  <c r="I115" i="3"/>
  <c r="I111" i="3"/>
  <c r="I107" i="3"/>
  <c r="I103" i="3"/>
  <c r="I99" i="3"/>
  <c r="I95" i="3"/>
  <c r="I91" i="3"/>
  <c r="P87" i="3"/>
  <c r="H84" i="3"/>
  <c r="N80" i="3"/>
  <c r="G77" i="3"/>
  <c r="K73" i="3"/>
  <c r="F70" i="3"/>
  <c r="J66" i="3"/>
  <c r="A63" i="3"/>
  <c r="I59" i="3"/>
  <c r="P55" i="3"/>
  <c r="H52" i="3"/>
  <c r="N48" i="3"/>
  <c r="G45" i="3"/>
  <c r="K41" i="3"/>
  <c r="F38" i="3"/>
  <c r="J34" i="3"/>
  <c r="A31" i="3"/>
  <c r="I27" i="3"/>
  <c r="P23" i="3"/>
  <c r="K20" i="3"/>
  <c r="K17" i="3"/>
  <c r="M14" i="3"/>
  <c r="N11" i="3"/>
  <c r="C1091" i="3"/>
  <c r="E787" i="3"/>
  <c r="L718" i="3"/>
  <c r="P659" i="3"/>
  <c r="G616" i="3"/>
  <c r="O586" i="3"/>
  <c r="D560" i="3"/>
  <c r="C538" i="3"/>
  <c r="F519" i="3"/>
  <c r="L502" i="3"/>
  <c r="J488" i="3"/>
  <c r="H474" i="3"/>
  <c r="P459" i="3"/>
  <c r="M445" i="3"/>
  <c r="K431" i="3"/>
  <c r="I417" i="3"/>
  <c r="G403" i="3"/>
  <c r="O388" i="3"/>
  <c r="L374" i="3"/>
  <c r="J360" i="3"/>
  <c r="H346" i="3"/>
  <c r="P331" i="3"/>
  <c r="J319" i="3"/>
  <c r="O308" i="3"/>
  <c r="K299" i="3"/>
  <c r="P290" i="3"/>
  <c r="O283" i="3"/>
  <c r="N276" i="3"/>
  <c r="M269" i="3"/>
  <c r="L262" i="3"/>
  <c r="B256" i="3"/>
  <c r="N249" i="3"/>
  <c r="J243" i="3"/>
  <c r="P236" i="3"/>
  <c r="P230" i="3"/>
  <c r="B225" i="3"/>
  <c r="F219" i="3"/>
  <c r="K213" i="3"/>
  <c r="M207" i="3"/>
  <c r="O201" i="3"/>
  <c r="A196" i="3"/>
  <c r="C190" i="3"/>
  <c r="J184" i="3"/>
  <c r="L178" i="3"/>
  <c r="N172" i="3"/>
  <c r="P166" i="3"/>
  <c r="L161" i="3"/>
  <c r="O156" i="3"/>
  <c r="E152" i="3"/>
  <c r="N147" i="3"/>
  <c r="J143" i="3"/>
  <c r="H139" i="3"/>
  <c r="H135" i="3"/>
  <c r="H131" i="3"/>
  <c r="H127" i="3"/>
  <c r="H123" i="3"/>
  <c r="H119" i="3"/>
  <c r="H115" i="3"/>
  <c r="H111" i="3"/>
  <c r="H107" i="3"/>
  <c r="H103" i="3"/>
  <c r="H99" i="3"/>
  <c r="H95" i="3"/>
  <c r="H91" i="3"/>
  <c r="N87" i="3"/>
  <c r="G84" i="3"/>
  <c r="K80" i="3"/>
  <c r="F77" i="3"/>
  <c r="J73" i="3"/>
  <c r="A70" i="3"/>
  <c r="I66" i="3"/>
  <c r="P62" i="3"/>
  <c r="H59" i="3"/>
  <c r="N55" i="3"/>
  <c r="G52" i="3"/>
  <c r="K48" i="3"/>
  <c r="F45" i="3"/>
  <c r="J41" i="3"/>
  <c r="A38" i="3"/>
  <c r="I34" i="3"/>
  <c r="P30" i="3"/>
  <c r="H27" i="3"/>
  <c r="N23" i="3"/>
  <c r="J20" i="3"/>
  <c r="J17" i="3"/>
  <c r="K14" i="3"/>
  <c r="M11" i="3"/>
  <c r="K786" i="3"/>
  <c r="P658" i="3"/>
  <c r="N586" i="3"/>
  <c r="G537" i="3"/>
  <c r="K502" i="3"/>
  <c r="G474" i="3"/>
  <c r="L445" i="3"/>
  <c r="H417" i="3"/>
  <c r="M388" i="3"/>
  <c r="I360" i="3"/>
  <c r="O331" i="3"/>
  <c r="N308" i="3"/>
  <c r="O290" i="3"/>
  <c r="M276" i="3"/>
  <c r="K262" i="3"/>
  <c r="M249" i="3"/>
  <c r="O236" i="3"/>
  <c r="A225" i="3"/>
  <c r="J213" i="3"/>
  <c r="N201" i="3"/>
  <c r="B190" i="3"/>
  <c r="K178" i="3"/>
  <c r="O166" i="3"/>
  <c r="N156" i="3"/>
  <c r="M147" i="3"/>
  <c r="G139" i="3"/>
  <c r="G131" i="3"/>
  <c r="G123" i="3"/>
  <c r="G115" i="3"/>
  <c r="G107" i="3"/>
  <c r="G99" i="3"/>
  <c r="G91" i="3"/>
  <c r="F84" i="3"/>
  <c r="A77" i="3"/>
  <c r="P69" i="3"/>
  <c r="N62" i="3"/>
  <c r="K55" i="3"/>
  <c r="J48" i="3"/>
  <c r="I41" i="3"/>
  <c r="H34" i="3"/>
  <c r="G27" i="3"/>
  <c r="I20" i="3"/>
  <c r="J14" i="3"/>
  <c r="M780" i="3"/>
  <c r="H656" i="3"/>
  <c r="G585" i="3"/>
  <c r="N536" i="3"/>
  <c r="L501" i="3"/>
  <c r="H473" i="3"/>
  <c r="M444" i="3"/>
  <c r="I416" i="3"/>
  <c r="O387" i="3"/>
  <c r="J359" i="3"/>
  <c r="P330" i="3"/>
  <c r="F308" i="3"/>
  <c r="N290" i="3"/>
  <c r="L276" i="3"/>
  <c r="J262" i="3"/>
  <c r="L249" i="3"/>
  <c r="N236" i="3"/>
  <c r="P224" i="3"/>
  <c r="F213" i="3"/>
  <c r="M201" i="3"/>
  <c r="A190" i="3"/>
  <c r="J178" i="3"/>
  <c r="N166" i="3"/>
  <c r="M156" i="3"/>
  <c r="L147" i="3"/>
  <c r="F139" i="3"/>
  <c r="F131" i="3"/>
  <c r="F123" i="3"/>
  <c r="F115" i="3"/>
  <c r="F107" i="3"/>
  <c r="F99" i="3"/>
  <c r="F91" i="3"/>
  <c r="A84" i="3"/>
  <c r="P76" i="3"/>
  <c r="N69" i="3"/>
  <c r="K62" i="3"/>
  <c r="J55" i="3"/>
  <c r="I48" i="3"/>
  <c r="H41" i="3"/>
  <c r="G34" i="3"/>
  <c r="F27" i="3"/>
  <c r="H20" i="3"/>
  <c r="I14" i="3"/>
  <c r="L775" i="3"/>
  <c r="H654" i="3"/>
  <c r="I583" i="3"/>
  <c r="F535" i="3"/>
  <c r="O500" i="3"/>
  <c r="J472" i="3"/>
  <c r="P443" i="3"/>
  <c r="K415" i="3"/>
  <c r="G387" i="3"/>
  <c r="L358" i="3"/>
  <c r="H330" i="3"/>
  <c r="L307" i="3"/>
  <c r="B290" i="3"/>
  <c r="O275" i="3"/>
  <c r="N261" i="3"/>
  <c r="P248" i="3"/>
  <c r="B236" i="3"/>
  <c r="J224" i="3"/>
  <c r="N212" i="3"/>
  <c r="B201" i="3"/>
  <c r="K189" i="3"/>
  <c r="O177" i="3"/>
  <c r="C166" i="3"/>
  <c r="E156" i="3"/>
  <c r="E147" i="3"/>
  <c r="P138" i="3"/>
  <c r="P130" i="3"/>
  <c r="P122" i="3"/>
  <c r="P114" i="3"/>
  <c r="P106" i="3"/>
  <c r="P98" i="3"/>
  <c r="A91" i="3"/>
  <c r="P83" i="3"/>
  <c r="N76" i="3"/>
  <c r="K69" i="3"/>
  <c r="J62" i="3"/>
  <c r="I55" i="3"/>
  <c r="H48" i="3"/>
  <c r="G41" i="3"/>
  <c r="F34" i="3"/>
  <c r="A27" i="3"/>
  <c r="G20" i="3"/>
  <c r="H14" i="3"/>
  <c r="M770" i="3"/>
  <c r="P650" i="3"/>
  <c r="I581" i="3"/>
  <c r="B534" i="3"/>
  <c r="O499" i="3"/>
  <c r="J471" i="3"/>
  <c r="P442" i="3"/>
  <c r="K414" i="3"/>
  <c r="G386" i="3"/>
  <c r="L357" i="3"/>
  <c r="H329" i="3"/>
  <c r="P306" i="3"/>
  <c r="O289" i="3"/>
  <c r="M275" i="3"/>
  <c r="L261" i="3"/>
  <c r="N248" i="3"/>
  <c r="P235" i="3"/>
  <c r="C224" i="3"/>
  <c r="L212" i="3"/>
  <c r="P200" i="3"/>
  <c r="F189" i="3"/>
  <c r="M177" i="3"/>
  <c r="A166" i="3"/>
  <c r="C156" i="3"/>
  <c r="C147" i="3"/>
  <c r="N138" i="3"/>
  <c r="N130" i="3"/>
  <c r="N122" i="3"/>
  <c r="N114" i="3"/>
  <c r="N106" i="3"/>
  <c r="N98" i="3"/>
  <c r="P90" i="3"/>
  <c r="N83" i="3"/>
  <c r="K76" i="3"/>
  <c r="J69" i="3"/>
  <c r="I62" i="3"/>
  <c r="H55" i="3"/>
  <c r="G48" i="3"/>
  <c r="F41" i="3"/>
  <c r="A34" i="3"/>
  <c r="P26" i="3"/>
  <c r="F20" i="3"/>
  <c r="G14" i="3"/>
  <c r="H761" i="3"/>
  <c r="H644" i="3"/>
  <c r="D578" i="3"/>
  <c r="K531" i="3"/>
  <c r="G498" i="3"/>
  <c r="L469" i="3"/>
  <c r="H441" i="3"/>
  <c r="M412" i="3"/>
  <c r="I384" i="3"/>
  <c r="O355" i="3"/>
  <c r="J327" i="3"/>
  <c r="N305" i="3"/>
  <c r="P288" i="3"/>
  <c r="N274" i="3"/>
  <c r="N260" i="3"/>
  <c r="P247" i="3"/>
  <c r="B235" i="3"/>
  <c r="K223" i="3"/>
  <c r="O211" i="3"/>
  <c r="C200" i="3"/>
  <c r="L188" i="3"/>
  <c r="P176" i="3"/>
  <c r="F165" i="3"/>
  <c r="K155" i="3"/>
  <c r="K146" i="3"/>
  <c r="F138" i="3"/>
  <c r="F130" i="3"/>
  <c r="F122" i="3"/>
  <c r="F114" i="3"/>
  <c r="F106" i="3"/>
  <c r="F98" i="3"/>
  <c r="G90" i="3"/>
  <c r="F83" i="3"/>
  <c r="A76" i="3"/>
  <c r="P68" i="3"/>
  <c r="N61" i="3"/>
  <c r="K54" i="3"/>
  <c r="J47" i="3"/>
  <c r="I40" i="3"/>
  <c r="H33" i="3"/>
  <c r="G26" i="3"/>
  <c r="J19" i="3"/>
  <c r="M13" i="3"/>
  <c r="C754" i="3"/>
  <c r="E638" i="3"/>
  <c r="D575" i="3"/>
  <c r="B529" i="3"/>
  <c r="I496" i="3"/>
  <c r="O467" i="3"/>
  <c r="J439" i="3"/>
  <c r="P410" i="3"/>
  <c r="K382" i="3"/>
  <c r="G354" i="3"/>
  <c r="L325" i="3"/>
  <c r="B305" i="3"/>
  <c r="B288" i="3"/>
  <c r="O273" i="3"/>
  <c r="P259" i="3"/>
  <c r="B247" i="3"/>
  <c r="J234" i="3"/>
  <c r="N222" i="3"/>
  <c r="B211" i="3"/>
  <c r="K199" i="3"/>
  <c r="O187" i="3"/>
  <c r="C176" i="3"/>
  <c r="L164" i="3"/>
  <c r="A155" i="3"/>
  <c r="B146" i="3"/>
  <c r="N137" i="3"/>
  <c r="N129" i="3"/>
  <c r="N121" i="3"/>
  <c r="N113" i="3"/>
  <c r="N105" i="3"/>
  <c r="N97" i="3"/>
  <c r="A90" i="3"/>
  <c r="P82" i="3"/>
  <c r="N75" i="3"/>
  <c r="K68" i="3"/>
  <c r="J61" i="3"/>
  <c r="I54" i="3"/>
  <c r="H47" i="3"/>
  <c r="G40" i="3"/>
  <c r="F33" i="3"/>
  <c r="A26" i="3"/>
  <c r="H19" i="3"/>
  <c r="J13" i="3"/>
  <c r="J737" i="3"/>
  <c r="C628" i="3"/>
  <c r="G568" i="3"/>
  <c r="A525" i="3"/>
  <c r="M492" i="3"/>
  <c r="I464" i="3"/>
  <c r="O435" i="3"/>
  <c r="J407" i="3"/>
  <c r="P378" i="3"/>
  <c r="K350" i="3"/>
  <c r="M322" i="3"/>
  <c r="N302" i="3"/>
  <c r="J286" i="3"/>
  <c r="B272" i="3"/>
  <c r="J258" i="3"/>
  <c r="L245" i="3"/>
  <c r="P232" i="3"/>
  <c r="F221" i="3"/>
  <c r="M209" i="3"/>
  <c r="A198" i="3"/>
  <c r="J186" i="3"/>
  <c r="N174" i="3"/>
  <c r="E163" i="3"/>
  <c r="O153" i="3"/>
  <c r="A145" i="3"/>
  <c r="N136" i="3"/>
  <c r="N128" i="3"/>
  <c r="N120" i="3"/>
  <c r="N112" i="3"/>
  <c r="N104" i="3"/>
  <c r="N96" i="3"/>
  <c r="F89" i="3"/>
  <c r="A82" i="3"/>
  <c r="P74" i="3"/>
  <c r="N67" i="3"/>
  <c r="K60" i="3"/>
  <c r="J53" i="3"/>
  <c r="I46" i="3"/>
  <c r="H39" i="3"/>
  <c r="G32" i="3"/>
  <c r="F25" i="3"/>
  <c r="K18" i="3"/>
  <c r="N12" i="3"/>
  <c r="J1065" i="3"/>
  <c r="C718" i="3"/>
  <c r="F616" i="3"/>
  <c r="C560" i="3"/>
  <c r="D519" i="3"/>
  <c r="I488" i="3"/>
  <c r="O459" i="3"/>
  <c r="J431" i="3"/>
  <c r="P402" i="3"/>
  <c r="K374" i="3"/>
  <c r="G346" i="3"/>
  <c r="I319" i="3"/>
  <c r="I299" i="3"/>
  <c r="N283" i="3"/>
  <c r="L269" i="3"/>
  <c r="A256" i="3"/>
  <c r="C243" i="3"/>
  <c r="O230" i="3"/>
  <c r="C219" i="3"/>
  <c r="L207" i="3"/>
  <c r="P195" i="3"/>
  <c r="F184" i="3"/>
  <c r="M172" i="3"/>
  <c r="K161" i="3"/>
  <c r="D152" i="3"/>
  <c r="I143" i="3"/>
  <c r="G135" i="3"/>
  <c r="G127" i="3"/>
  <c r="G119" i="3"/>
  <c r="G111" i="3"/>
  <c r="G103" i="3"/>
  <c r="G95" i="3"/>
  <c r="K87" i="3"/>
  <c r="J80" i="3"/>
  <c r="I73" i="3"/>
  <c r="H66" i="3"/>
  <c r="G59" i="3"/>
  <c r="F52" i="3"/>
  <c r="A45" i="3"/>
  <c r="P37" i="3"/>
  <c r="N30" i="3"/>
  <c r="K23" i="3"/>
  <c r="I17" i="3"/>
  <c r="K11" i="3"/>
  <c r="N714" i="3"/>
  <c r="K558" i="3"/>
  <c r="J487" i="3"/>
  <c r="K430" i="3"/>
  <c r="L373" i="3"/>
  <c r="M318" i="3"/>
  <c r="M283" i="3"/>
  <c r="P255" i="3"/>
  <c r="N230" i="3"/>
  <c r="K207" i="3"/>
  <c r="C184" i="3"/>
  <c r="J161" i="3"/>
  <c r="H143" i="3"/>
  <c r="F127" i="3"/>
  <c r="F111" i="3"/>
  <c r="F95" i="3"/>
  <c r="I80" i="3"/>
  <c r="G66" i="3"/>
  <c r="A52" i="3"/>
  <c r="N37" i="3"/>
  <c r="J23" i="3"/>
  <c r="J11" i="3"/>
  <c r="E711" i="3"/>
  <c r="N556" i="3"/>
  <c r="L486" i="3"/>
  <c r="M429" i="3"/>
  <c r="O372" i="3"/>
  <c r="B318" i="3"/>
  <c r="P282" i="3"/>
  <c r="J255" i="3"/>
  <c r="C230" i="3"/>
  <c r="P206" i="3"/>
  <c r="M183" i="3"/>
  <c r="A161" i="3"/>
  <c r="A143" i="3"/>
  <c r="P126" i="3"/>
  <c r="P110" i="3"/>
  <c r="P94" i="3"/>
  <c r="H80" i="3"/>
  <c r="F66" i="3"/>
  <c r="P51" i="3"/>
  <c r="K37" i="3"/>
  <c r="I23" i="3"/>
  <c r="I11" i="3"/>
  <c r="O706" i="3"/>
  <c r="A555" i="3"/>
  <c r="L485" i="3"/>
  <c r="M428" i="3"/>
  <c r="O371" i="3"/>
  <c r="I317" i="3"/>
  <c r="N282" i="3"/>
  <c r="B255" i="3"/>
  <c r="A230" i="3"/>
  <c r="N206" i="3"/>
  <c r="K183" i="3"/>
  <c r="O160" i="3"/>
  <c r="O142" i="3"/>
  <c r="N126" i="3"/>
  <c r="N110" i="3"/>
  <c r="N94" i="3"/>
  <c r="G80" i="3"/>
  <c r="A66" i="3"/>
  <c r="N51" i="3"/>
  <c r="J37" i="3"/>
  <c r="H23" i="3"/>
  <c r="H11" i="3"/>
  <c r="P698" i="3"/>
  <c r="G552" i="3"/>
  <c r="O483" i="3"/>
  <c r="P426" i="3"/>
  <c r="G370" i="3"/>
  <c r="A316" i="3"/>
  <c r="O281" i="3"/>
  <c r="J254" i="3"/>
  <c r="F229" i="3"/>
  <c r="A206" i="3"/>
  <c r="N182" i="3"/>
  <c r="D160" i="3"/>
  <c r="F142" i="3"/>
  <c r="F126" i="3"/>
  <c r="F110" i="3"/>
  <c r="F94" i="3"/>
  <c r="J79" i="3"/>
  <c r="H65" i="3"/>
  <c r="F51" i="3"/>
  <c r="P36" i="3"/>
  <c r="N22" i="3"/>
  <c r="N10" i="3"/>
  <c r="F691" i="3"/>
  <c r="H549" i="3"/>
  <c r="G482" i="3"/>
  <c r="H425" i="3"/>
  <c r="I368" i="3"/>
  <c r="M314" i="3"/>
  <c r="P280" i="3"/>
  <c r="L253" i="3"/>
  <c r="L228" i="3"/>
  <c r="F205" i="3"/>
  <c r="A182" i="3"/>
  <c r="L159" i="3"/>
  <c r="N141" i="3"/>
  <c r="N125" i="3"/>
  <c r="N109" i="3"/>
  <c r="N93" i="3"/>
  <c r="H79" i="3"/>
  <c r="F65" i="3"/>
  <c r="P50" i="3"/>
  <c r="K36" i="3"/>
  <c r="J22" i="3"/>
  <c r="K10" i="3"/>
  <c r="I662" i="3"/>
  <c r="P538" i="3"/>
  <c r="P474" i="3"/>
  <c r="G418" i="3"/>
  <c r="H361" i="3"/>
  <c r="I309" i="3"/>
  <c r="K277" i="3"/>
  <c r="J250" i="3"/>
  <c r="M225" i="3"/>
  <c r="J202" i="3"/>
  <c r="B179" i="3"/>
  <c r="E157" i="3"/>
  <c r="N139" i="3"/>
  <c r="N123" i="3"/>
  <c r="N107" i="3"/>
  <c r="N91" i="3"/>
  <c r="J77" i="3"/>
  <c r="H63" i="3"/>
  <c r="F49" i="3"/>
  <c r="P34" i="3"/>
  <c r="A21" i="3"/>
  <c r="B1007" i="3"/>
  <c r="C614" i="3"/>
  <c r="C518" i="3"/>
  <c r="P458" i="3"/>
  <c r="G402" i="3"/>
  <c r="H345" i="3"/>
  <c r="H299" i="3"/>
  <c r="K269" i="3"/>
  <c r="B243" i="3"/>
  <c r="B219" i="3"/>
  <c r="O195" i="3"/>
  <c r="L172" i="3"/>
  <c r="C152" i="3"/>
  <c r="F135" i="3"/>
  <c r="F119" i="3"/>
  <c r="F103" i="3"/>
  <c r="J87" i="3"/>
  <c r="H73" i="3"/>
  <c r="F59" i="3"/>
  <c r="P44" i="3"/>
  <c r="K30" i="3"/>
  <c r="H17" i="3"/>
  <c r="H975" i="3"/>
  <c r="J612" i="3"/>
  <c r="I517" i="3"/>
  <c r="H458" i="3"/>
  <c r="I401" i="3"/>
  <c r="J344" i="3"/>
  <c r="I298" i="3"/>
  <c r="N268" i="3"/>
  <c r="L242" i="3"/>
  <c r="L218" i="3"/>
  <c r="F195" i="3"/>
  <c r="A172" i="3"/>
  <c r="M151" i="3"/>
  <c r="P134" i="3"/>
  <c r="P118" i="3"/>
  <c r="P102" i="3"/>
  <c r="I87" i="3"/>
  <c r="G73" i="3"/>
  <c r="A59" i="3"/>
  <c r="N44" i="3"/>
  <c r="J30" i="3"/>
  <c r="G17" i="3"/>
  <c r="F610" i="3"/>
  <c r="H457" i="3"/>
  <c r="J343" i="3"/>
  <c r="L268" i="3"/>
  <c r="J218" i="3"/>
  <c r="O171" i="3"/>
  <c r="N134" i="3"/>
  <c r="N102" i="3"/>
  <c r="F73" i="3"/>
  <c r="K44" i="3"/>
  <c r="F17" i="3"/>
  <c r="N606" i="3"/>
  <c r="J455" i="3"/>
  <c r="L341" i="3"/>
  <c r="M267" i="3"/>
  <c r="M217" i="3"/>
  <c r="B171" i="3"/>
  <c r="F134" i="3"/>
  <c r="F102" i="3"/>
  <c r="I72" i="3"/>
  <c r="A44" i="3"/>
  <c r="K16" i="3"/>
  <c r="D595" i="3"/>
  <c r="G450" i="3"/>
  <c r="I336" i="3"/>
  <c r="P264" i="3"/>
  <c r="K215" i="3"/>
  <c r="P168" i="3"/>
  <c r="N132" i="3"/>
  <c r="N100" i="3"/>
  <c r="H71" i="3"/>
  <c r="P42" i="3"/>
  <c r="M15" i="3"/>
  <c r="M588" i="3"/>
  <c r="K446" i="3"/>
  <c r="M332" i="3"/>
  <c r="C263" i="3"/>
  <c r="A214" i="3"/>
  <c r="K167" i="3"/>
  <c r="N131" i="3"/>
  <c r="N99" i="3"/>
  <c r="I70" i="3"/>
  <c r="A42" i="3"/>
  <c r="A15" i="3"/>
  <c r="A562" i="3"/>
  <c r="I432" i="3"/>
  <c r="A320" i="3"/>
  <c r="N256" i="3"/>
  <c r="C208" i="3"/>
  <c r="B162" i="3"/>
  <c r="N127" i="3"/>
  <c r="N95" i="3"/>
  <c r="P66" i="3"/>
  <c r="I38" i="3"/>
  <c r="B12" i="3"/>
  <c r="F520" i="3"/>
  <c r="O403" i="3"/>
  <c r="J300" i="3"/>
  <c r="P243" i="3"/>
  <c r="L196" i="3"/>
  <c r="M152" i="3"/>
  <c r="N119" i="3"/>
  <c r="G88" i="3"/>
  <c r="N59" i="3"/>
  <c r="H31" i="3"/>
  <c r="C941" i="3"/>
  <c r="E516" i="3"/>
  <c r="I400" i="3"/>
  <c r="F298" i="3"/>
  <c r="J242" i="3"/>
  <c r="B195" i="3"/>
  <c r="K151" i="3"/>
  <c r="N118" i="3"/>
  <c r="H87" i="3"/>
  <c r="P58" i="3"/>
  <c r="I30" i="3"/>
  <c r="D544" i="3"/>
  <c r="P346" i="3"/>
  <c r="K231" i="3"/>
  <c r="E149" i="3"/>
  <c r="K86" i="3"/>
  <c r="N43" i="3"/>
  <c r="A514" i="3"/>
  <c r="O339" i="3"/>
  <c r="B227" i="3"/>
  <c r="D148" i="3"/>
  <c r="I86" i="3"/>
  <c r="N35" i="3"/>
  <c r="M511" i="3"/>
  <c r="A312" i="3"/>
  <c r="O219" i="3"/>
  <c r="P143" i="3"/>
  <c r="J85" i="3"/>
  <c r="N29" i="3"/>
  <c r="C507" i="3"/>
  <c r="B297" i="3"/>
  <c r="P216" i="3"/>
  <c r="N140" i="3"/>
  <c r="K84" i="3"/>
  <c r="J29" i="3"/>
  <c r="J503" i="3"/>
  <c r="P295" i="3"/>
  <c r="O203" i="3"/>
  <c r="N135" i="3"/>
  <c r="F81" i="3"/>
  <c r="K28" i="3"/>
  <c r="H489" i="3"/>
  <c r="B294" i="3"/>
  <c r="J194" i="3"/>
  <c r="N133" i="3"/>
  <c r="I78" i="3"/>
  <c r="N27" i="3"/>
  <c r="K478" i="3"/>
  <c r="O291" i="3"/>
  <c r="M193" i="3"/>
  <c r="N124" i="3"/>
  <c r="A74" i="3"/>
  <c r="G24" i="3"/>
  <c r="M460" i="3"/>
  <c r="L284" i="3"/>
  <c r="C192" i="3"/>
  <c r="F118" i="3"/>
  <c r="G72" i="3"/>
  <c r="N21" i="3"/>
  <c r="L907" i="3"/>
  <c r="L453" i="3"/>
  <c r="C279" i="3"/>
  <c r="N190" i="3"/>
  <c r="N117" i="3"/>
  <c r="G64" i="3"/>
  <c r="P17" i="3"/>
  <c r="K876" i="3"/>
  <c r="L421" i="3"/>
  <c r="J270" i="3"/>
  <c r="P184" i="3"/>
  <c r="N116" i="3"/>
  <c r="G58" i="3"/>
  <c r="I16" i="3"/>
  <c r="H393" i="3"/>
  <c r="N115" i="3"/>
  <c r="L389" i="3"/>
  <c r="N111" i="3"/>
  <c r="J375" i="3"/>
  <c r="N108" i="3"/>
  <c r="M364" i="3"/>
  <c r="N103" i="3"/>
  <c r="L241" i="3"/>
  <c r="A58" i="3"/>
  <c r="N240" i="3"/>
  <c r="F57" i="3"/>
  <c r="N826" i="3"/>
  <c r="B239" i="3"/>
  <c r="G56" i="3"/>
  <c r="P251" i="3"/>
  <c r="L237" i="3"/>
  <c r="F173" i="3"/>
  <c r="L180" i="3"/>
  <c r="J170" i="3"/>
  <c r="A151" i="3"/>
  <c r="O720" i="3"/>
  <c r="G678" i="3"/>
  <c r="K52" i="3"/>
  <c r="I150" i="3"/>
  <c r="E793" i="3"/>
  <c r="N101" i="3"/>
  <c r="N92" i="3"/>
  <c r="A50" i="3"/>
  <c r="J45" i="3"/>
  <c r="M396" i="3"/>
  <c r="I158" i="3"/>
  <c r="I602" i="3"/>
  <c r="N266" i="3"/>
  <c r="K398" i="3"/>
  <c r="J618" i="3"/>
</calcChain>
</file>

<file path=xl/sharedStrings.xml><?xml version="1.0" encoding="utf-8"?>
<sst xmlns="http://schemas.openxmlformats.org/spreadsheetml/2006/main" count="17610" uniqueCount="7692">
  <si>
    <t>DTIA Compliance Knowledge Base</t>
  </si>
  <si>
    <t>Countries</t>
  </si>
  <si>
    <t>Acts</t>
  </si>
  <si>
    <t>Regulators</t>
  </si>
  <si>
    <t>Topics</t>
  </si>
  <si>
    <t>Compliance sections</t>
  </si>
  <si>
    <t>How to use</t>
  </si>
  <si>
    <t>1. Open the Query sheet.</t>
  </si>
  <si>
    <t>2. Pick a Country, Category, Topic, Data Type, Financial Relevance or Authority — or type a keyword.</t>
  </si>
  <si>
    <t>3. Matching sections appear below, each with its Act and page reference for the source document.</t>
  </si>
  <si>
    <t>4. The Data Transfer sheet answers cross-border questions: pick two countries and see every relevant act/section from either side of the transfer.</t>
  </si>
  <si>
    <t>5. The Compliance Database sheet holds every extracted section; Acts / Regulators / Topics summarise them.</t>
  </si>
  <si>
    <t>DTIA Query Engine</t>
  </si>
  <si>
    <t>Choose filters (leave as 'All' to ignore), then read the results below.</t>
  </si>
  <si>
    <t>Country</t>
  </si>
  <si>
    <t>All</t>
  </si>
  <si>
    <t>Topic</t>
  </si>
  <si>
    <t>Data Type</t>
  </si>
  <si>
    <t>Financial Relevance</t>
  </si>
  <si>
    <t>Authority</t>
  </si>
  <si>
    <t>Keyword (free text)</t>
  </si>
  <si>
    <t>Hide non-financial (None)</t>
  </si>
  <si>
    <t>No</t>
  </si>
  <si>
    <t>Matching sections (of 1198 total):</t>
  </si>
  <si>
    <t>Act</t>
  </si>
  <si>
    <t>Section</t>
  </si>
  <si>
    <t>Heading</t>
  </si>
  <si>
    <t>Pages</t>
  </si>
  <si>
    <t>Confidence</t>
  </si>
  <si>
    <t>Data Types</t>
  </si>
  <si>
    <t>Summary</t>
  </si>
  <si>
    <t>DTIA Summary</t>
  </si>
  <si>
    <t>Requirements</t>
  </si>
  <si>
    <t>Requirements (2)</t>
  </si>
  <si>
    <t>Source Quote</t>
  </si>
  <si>
    <t>Source</t>
  </si>
  <si>
    <t>Cross-Border Data Transfer</t>
  </si>
  <si>
    <t>Pick the two countries involved in the transfer. Every relevant act/section from either country is listed below; add a keyword to narrow it.</t>
  </si>
  <si>
    <t>Country A (from)</t>
  </si>
  <si>
    <t>Australia</t>
  </si>
  <si>
    <t>Country B (to)</t>
  </si>
  <si>
    <t>GDPR</t>
  </si>
  <si>
    <t>C2004A01182 (Australia - Row 25)</t>
  </si>
  <si>
    <t>4</t>
  </si>
  <si>
    <t>Amendment of Vocational Education and Training Funding Act 1992</t>
  </si>
  <si>
    <t>3–10</t>
  </si>
  <si>
    <t>Medium</t>
  </si>
  <si>
    <t>High (explicit)</t>
  </si>
  <si>
    <t>Cross-border Transfer, International Processing, Data Storage, Security, Encryption, Access Control, Processing, Collection, Retention, Deletion, Data Sharing, Third Party Processing, Outsourcing, Cloud Services, Incident Reporting, Breach Notification, Consent, Customer Information, Employee Information, Special Personal Information, Children, Financial Data, KYC, AML, Governance, Record Keeping</t>
  </si>
  <si>
    <t>Personal Information, Financial Data, Customer Data, Employee Data, Health Data, Children's Data, Biometric Data, Special Personal Information</t>
  </si>
  <si>
    <t>This section amends the Australian National Training Authority Act 1992 by altering membership requirements and definitions within the Australian National Training Authority (ANTA) Agreement. It specifies changes to the number of members, the structure of the agreement, and the procedures for presenting and publishing the agreement to Parliament. The amendments aim to update the ANTA Agreement to replace the 2001-2003 version with a new agreement framework effective from 2004.</t>
  </si>
  <si>
    <t>• [Must] Omit '5', substitute '7' in paragraph 24(1)(c)
• [Must] Omit '3', substitute '4' in subsection 24(2)
• [Must] Omit '4 members', substitute '5 members' in subsections 36(3) and (5)
• [Must] Omit '4', substitute '5' in section 38
• [Must] Repeal the definition of Agreement, substitute a new definition
• [Must] Insert subsection 18A: Present agreement to Parliament within 15 sitting days</t>
  </si>
  <si>
    <t>• [Must] Insert subsection 18B: Publish agreement on website within 15 sitting days
• [Must] Repeal Schedule 1
• [Must] Savings provisions for Ministerial Council actions and decisions
• [Must] Before 'ANTA agreement', insert 'applicable' in subsection 9AB(1)
• [Must] Repeal subsection 9AB(3), substitute new definition of applicable ANTA agreement</t>
  </si>
  <si>
    <t>Australian National Training Authority Amendment Act 2003, 2003</t>
  </si>
  <si>
    <t>C2004C01271-1 (Australia - Row 7)</t>
  </si>
  <si>
    <t>7</t>
  </si>
  <si>
    <t>Tax deductions for film licensed investment company shares</t>
  </si>
  <si>
    <t>3–11</t>
  </si>
  <si>
    <t>Financial Data, Customer Information, Employee Information</t>
  </si>
  <si>
    <t>Financial Data</t>
  </si>
  <si>
    <t>Arts Minister</t>
  </si>
  <si>
    <t>This section amends the Taxation Laws to allow deductions for shares in film licensed investment companies (FLICs) issued during the period the FLIC's concessional capital licence is active. Deductions apply only to shares issued before July 1, 2000, and are subject to specific conditions regarding the FLIC's licence status and the timing of share issuance. The deduction is available to individuals and partnerships holding shares in FLICs, with special rules for partners and partnerships.</t>
  </si>
  <si>
    <t>• [Must] You can deduct money paid for shares in a film licensed investment company issued to you by the FLIC during the period the FLIC's concessional capital licence is in force.
• [Definition] A film licensed investment company is a company granted a licence to raise concessional capital under the Film Licensed Investment Company Act 1998.
• [Must Not] You lose entitlement to the deduction if the Arts Minister decides to remove the concessional status of your shares.</t>
  </si>
  <si>
    <t>• [Must Not] You lose entitlement to the deduction if the Commissioner is satisfied the FLIC breached conditions under the Film Licensed Investment Company Act 1998 and the Arts Minister has not acted within 6 months.
• [Must] The Commissioner must notify the Arts Minister within 28 days if the Commissioner is satisfied of the matters in subsection (2).
• [May] If you lose entitlement after claiming the deduction, your assessment may be amended to disallow the deduction.</t>
  </si>
  <si>
    <t>You can deduct amounts you have paid for shares issued to you by a film licensed investment company (FLIC). The deduction does not apply to shares issued after 1 July 2000.</t>
  </si>
  <si>
    <t>C2012C00866 (Australia - Row 12)</t>
  </si>
  <si>
    <t>2</t>
  </si>
  <si>
    <t>Schedule 1 commencement timing</t>
  </si>
  <si>
    <t>5</t>
  </si>
  <si>
    <t>None</t>
  </si>
  <si>
    <t>This section specifies the commencement date for Schedule 1 of the Act. It states that Schedule 1 commences immediately after section 3 of the Australian Information Commissioner Act 2010 commences, with a fallback date of 1 November 2010 if section 3 does not commence. The provision is conditional on the commencement of section 3.</t>
  </si>
  <si>
    <t>• [Condition] Schedule 1 commences immediately after section 3 of the Australian Information Commissioner Act 2010 commences</t>
  </si>
  <si>
    <t>• [Condition] If section 3 of the Australian Information Commissioner Act 2010 does not commence, Schedule 1 does not commence at all</t>
  </si>
  <si>
    <t>2. Schedule 1 Immediately after the commencement of section 3 of the Australian Information Commissioner Act 2010. However, if section 3 of the Australian Information Commissioner Act 2010 does not commence, the provision(s) do not commence at all.</t>
  </si>
  <si>
    <t>3</t>
  </si>
  <si>
    <t>Schedule 2 commencement timing</t>
  </si>
  <si>
    <t>5–6</t>
  </si>
  <si>
    <t>This section specifies the commencement date for Schedule 2 of the Act. It states that Schedule 2 commences the day after the end of a 6-month period beginning from the commencement date of section 3 of the Australian Information Commissioner Act 2010, with a fallback date of 1 May 2011 if section 3 does not commence. The provision is conditional on the commencement of section 3.</t>
  </si>
  <si>
    <t>• [Condition] Schedule 2 commences the day after the end of the period of 6 months beginning on the day section 3 of the Australian Information Commissioner Act 2010 commences</t>
  </si>
  <si>
    <t>• [Condition] If section 3 of the Australian Information Commissioner Act 2010 does not commence, Schedule 2 does not commence at all</t>
  </si>
  <si>
    <t>3. Schedule 2 The day after the end of the period of 6 months beginning on the day section 3 of the Australian Information Commissioner Act 2010 commences. However, if section 3 of the Australian Information Commissioner Act 2010 does not commence, the provision(s) do not commence at all.</t>
  </si>
  <si>
    <t>Schedule 3 items 1-14 commencement timing</t>
  </si>
  <si>
    <t>6</t>
  </si>
  <si>
    <t>This section specifies the commencement date for items 1 to 14 of Schedule 3. It states that these items commence immediately after section 3 of the Australian Information Commissioner Act 2010 commences, with a fallback date of 1 November 2010 if section 3 does not commence. The provision is conditional on the commencement of section 3.</t>
  </si>
  <si>
    <t>• [Condition] Items 1 to 14 of Schedule 3 commence immediately after section 3 of the Australian Information Commissioner Act 2010 commences</t>
  </si>
  <si>
    <t>• [Condition] If section 3 of the Australian Information Commissioner Act 2010 does not commence, items 1 to 14 of Schedule 3 do not commence at all</t>
  </si>
  <si>
    <t>4. Schedule 3, items 1 to 14 Immediately after the commencement of section 3 of the Australian Information Commissioner Act 2010. However, if section 3 of the Australian Information Commissioner Act 2010 does not commence, the provision(s) do not commence at all.</t>
  </si>
  <si>
    <t>Schedule 3 item 15 commencement timing</t>
  </si>
  <si>
    <t>This section specifies the commencement date for item 15 of Schedule 3. It states that this item commences the day after the end of a 6-month period beginning from the commencement date of section 3 of the Australian Information Commissioner Act 2010, with a fallback date of 1 May 2011 if section 3 does not commence. The provision is conditional on the commencement of section 3.</t>
  </si>
  <si>
    <t>• [Condition] Item 15 of Schedule 3 commences the day after the end of the period of 6 months beginning on the day section 3 of the Australian Information Commissioner Act 2010 commences</t>
  </si>
  <si>
    <t>• [Condition] If section 3 of the Australian Information Commissioner Act 2010 does not commence, item 15 of Schedule 3 does not commence at all</t>
  </si>
  <si>
    <t>5. Schedule 3, item 15 The day after the end of the period of 6 months beginning on the day section 3 of the Australian Information Commissioner Act 2010 commences. However, if section 3 of the Australian Information Commissioner Act 2010 does not commence, the provision(s) do not commence at all.</t>
  </si>
  <si>
    <t>Schedule 3 items 16-40 commencement timing</t>
  </si>
  <si>
    <t>This section specifies the commencement date for items 16 to 40 of Schedule 3. It states that these items commence immediately after section 3 of the Australian Information Commissioner Act 2010 commences, with a fallback date of 1 November 2010 if section 3 does not commence. The provision is conditional on the commencement of section 3.</t>
  </si>
  <si>
    <t>• [Condition] Items 16 to 40 of Schedule 3 commence immediately after section 3 of the Australian Information Commissioner Act 2010 commences</t>
  </si>
  <si>
    <t>• [Condition] If section 3 of the Australian Information Commissioner Act 2010 does not commence, items 16 to 40 of Schedule 3 do not commence at all</t>
  </si>
  <si>
    <t>6. Schedule 3, items 16 to 40 Immediately after the commencement of section 3 of the Australian Information Commissioner Act 2010. However, if section 3 of the Australian Information Commissioner Act 2010 does not commence, the provision(s) do not commence at all.</t>
  </si>
  <si>
    <t>Schedules 4-7 commencement timing</t>
  </si>
  <si>
    <t>6–14</t>
  </si>
  <si>
    <t>This section specifies the commencement date for Schedules 4 to 7. It states that these schedules commence immediately after section 3 of the Australian Information Commissioner Act 2010 commences, with a fallback date of 1 November 2010 if section 3 does not commence. The provision is conditional on the commencement of section 3.</t>
  </si>
  <si>
    <t>• [Condition] Schedules 4 to 7 commence immediately after section 3 of the Australian Information Commissioner Act 2010 commences</t>
  </si>
  <si>
    <t>• [Condition] If section 3 of the Australian Information Commissioner Act 2010 does not commence, Schedules 4 to 7 do not commence at all</t>
  </si>
  <si>
    <t>7. Schedules 4 to 7 Immediately after the commencement of section 3 of the Australian Information Commissioner Act 2010. However, if section 3 of the Australian Information Commissioner Act 2010 does not commence, the provision(s) do not commence at all.</t>
  </si>
  <si>
    <t>7 (part 2)</t>
  </si>
  <si>
    <t>Publication of information requirements for agencies</t>
  </si>
  <si>
    <t>14–20</t>
  </si>
  <si>
    <t>Personal Information</t>
  </si>
  <si>
    <t>Information Commissioner</t>
  </si>
  <si>
    <t>Agencies must publish required information to the public generally, with optional publication to specific groups. Information must be accessible via website downloads or links. Agencies may charge for access only if the person doesn't download directly and the charge covers specific reproduction costs. Charges must be published alongside the information. The Information Commissioner may assist agencies with identifying and preparing information for publication.</t>
  </si>
  <si>
    <t>Requires agencies to publish information publicly via websites, with specific conditions on charges and access. Relevant for assessing how information is shared across borders when agencies publish data.</t>
  </si>
  <si>
    <t>• [Must] Agency must publish information required or permitted under this Part to members of the public generally
• [Must] Agency must publish information to particular classes of persons or entities if appropriate
• [Must] Agency must publish information on website by making available for download or providing links to download
• [May] Agency may impose charge for accessing information only if person does not download directly</t>
  </si>
  <si>
    <t>• [Must] Agency may impose charge only if charge covers specific reproduction costs
• [Must] Agency must publish details of charge in same way as information is published
• [May] Information Commissioner may provide assistance to agencies in identifying and preparing information for publication
• [May] Information Commissioner may determine how information is published</t>
  </si>
  <si>
    <t>An agency must publish information that is required or permitted to be published under this Part in accordance with this section. The agency must publish the information: (a) to members of the public generally; and (b) if the agency considers that it is appropriate to do so—to particular classes of persons or entities.</t>
  </si>
  <si>
    <t>7 (part 3)</t>
  </si>
  <si>
    <t>Exemptions for information access periods</t>
  </si>
  <si>
    <t>20–26</t>
  </si>
  <si>
    <t>Low</t>
  </si>
  <si>
    <t>Retention</t>
  </si>
  <si>
    <t>This section amends the open access periods for records and Cabinet notebooks. It reduces the standard open access period from 25 to 15 years for most records, with specific calculations for different record creation years. Cabinet notebooks have different open access periods, with some requiring 31 years after creation for full access.</t>
  </si>
  <si>
    <t>Sets specific timeframes for when government records become publicly accessible after creation, relevant for data retention and publication timelines in cross-border contexts.</t>
  </si>
  <si>
    <t>• [Must] Open access period for records: 15 years after creation for records from 2000 onwards
• [Must] Open access period for records: 21 years after creation for records from 2001 onwards</t>
  </si>
  <si>
    <t>• [Must] Open access period for Cabinet notebooks: 31 years after creation for records from 1991 onwards</t>
  </si>
  <si>
    <t>For the purposes of this Act, subject to sections 22A and 22B, work out when a record is in the open access period in accordance with the following table: Open access period for records Item If the record came into existence in any of the following years (ending on 31 December): the record is in the open access period on and after the following day: 13 a year (the creation year) after 2000 1 January in the year that is 21 years after the creation year.</t>
  </si>
  <si>
    <t>7 (part 4)</t>
  </si>
  <si>
    <t>Exemptions for information disclosure requests</t>
  </si>
  <si>
    <t>26–32</t>
  </si>
  <si>
    <t>This section outlines conditions under which agencies or Ministers may refuse access to documents. It specifies that exempt information may be withheld if disclosure would be unreasonable, impracticable, or if the document contains irrelevant information. Agencies must publish information on websites, provide edited copies where necessary, and charge only for specific reproduction costs. The section also sets a 10-day publication deadline and defines working days for compliance.</t>
  </si>
  <si>
    <t>This section establishes conditions for exempting information from disclosure, including when edited copies must be provided and when charges can be imposed. It impacts DTIAs by defining when information can be withheld and the requirements for publishing edited copies.</t>
  </si>
  <si>
    <t>• [Must] The agency or Minister must publish the information on a website by making it available for downloading
• [Must] The agency or Minister must publish a link to another website where the information can be downloaded
• [Must] The agency or Minister must publish other details of how the information may be obtained
• [Must] The agency may impose a charge for accessing information only if the person does not directly download it from the website</t>
  </si>
  <si>
    <t>• [Must] The agency may impose a charge only if it reimburses specific reproduction costs or incidental costs
• [Must] The agency or Minister must publish details of any charge in the same way as the information
• [Must] The agency or Minister must comply with this section within 10 working days after the person is given access to the document</t>
  </si>
  <si>
    <t>The agency, or the Minister, must publish the information to members of the public generally on a website by: (a) making the information available for downloading from the website; or (b) publishing on the website a link to another website, from which the information can be downloaded; or (c) publishing on the website other details of how the information may be obtained.</t>
  </si>
  <si>
    <t>7 (part 6)</t>
  </si>
  <si>
    <t>Exemptions for documents disclosing deliberative processes</t>
  </si>
  <si>
    <t>38–43</t>
  </si>
  <si>
    <t>Commonwealth</t>
  </si>
  <si>
    <t>This section specifies that documents involving deliberative processes (e.g., opinions, advice, recommendations) are conditionally exempt from disclosure unless disclosure would be contrary to the public interest. It excludes operational information and purely factual material. The exemption applies to Commonwealth and State agencies, with specific exceptions for certain types of reports and decisions.</t>
  </si>
  <si>
    <t>This section creates conditions for exempting documents involving internal deliberations, which may impact data transfer assessments when handling sensitive internal communications across jurisdictions.</t>
  </si>
  <si>
    <t>• [Must] A document is conditionally exempt if its disclosure would disclose matter in the nature of, or relating to, opinion, advice or recommendation obtained, prepared or recorded, or consultation or deliberation
• [Must Not] Deliberative matter does not include operational information
• [Must Not] Deliberative matter does not include purely factual material</t>
  </si>
  <si>
    <t>• [Must Not] This section does not apply to reports of scientific or technical experts
• [Must Not] This section does not apply to reports of bodies or organisations established within an agency
• [Must Not] This section does not apply to the record of final decisions</t>
  </si>
  <si>
    <t>A document is conditionally exempt if its disclosure under this Act would disclose matter (deliberative matter) in the nature of, or relating to, opinion, advice or recommendation obtained, prepared or recorded, or consultation or deliberation that has taken place, in the course of, or for the purposes of, the deliberative processes involved in the functions of an agency or Minister or of the Government of the Commonwealth.</t>
  </si>
  <si>
    <t>7 (part 7)</t>
  </si>
  <si>
    <t>Exemptions for documents concerning business and professional affairs</t>
  </si>
  <si>
    <t>43–49</t>
  </si>
  <si>
    <t>High</t>
  </si>
  <si>
    <t>Financial Data, Customer Data</t>
  </si>
  <si>
    <t>This section establishes that documents containing information about a person's business or professional affairs, or an organisation's business, commercial or financial affairs, may be conditionally exempt if disclosure would unreasonably affect that person or organisation. It excludes trade secrets and applies to Commonwealth and State agencies, with specific exceptions for certain types of requests.</t>
  </si>
  <si>
    <t>This section affects data transfer assessments by defining when business-related information can be exempted, which may impact cross-border data sharing involving sensitive commercial information.</t>
  </si>
  <si>
    <t>• [Must] A document is conditionally exempt if its disclosure would unreasonably affect a person's business or professional affairs
• [Must] A document is conditionally exempt if its disclosure would unreasonably affect an organisation's business, commercial or financial affairs
• [Must Not] Subsection (1) does not apply to trade secrets or other information covered by section 47</t>
  </si>
  <si>
    <t>• [Must Not] Subsection (1) does not apply to requests by a person for information concerning their own business or professional affairs
• [Must Not] Subsection (1) does not apply to requests by a person for information concerning an organisation they own or act for</t>
  </si>
  <si>
    <t>A document is conditionally exempt if its disclosure under this Act would disclose information concerning a person in respect of his or her business or professional affairs or concerning the business, commercial or financial affairs of an organisation or undertaking, in a case in which the disclosure of the information: would, or could reasonably be expected to, unreasonably affect that person adversely in respect of his or her lawful business or professional affairs or that organisation or undertaking in respect of its lawful business, commercial or financial affairs</t>
  </si>
  <si>
    <t>7 (part 8)</t>
  </si>
  <si>
    <t>Definitions for Information Commissioner and Access Decisions</t>
  </si>
  <si>
    <t>49–57</t>
  </si>
  <si>
    <t>Third Party Processing</t>
  </si>
  <si>
    <t>This section adds specific definitions to the Freedom of Information Act 1982, including terms like 'access grant decision', 'access refusal decision', 'affected third party', and 'internal review'. These definitions clarify the scope of decisions subject to internal review and the parties involved in the review process. The definitions apply to agencies and the Information Commissioner when handling access requests to documents.</t>
  </si>
  <si>
    <t>Defines key terms used in internal and external reviews of access decisions, which impacts how data transfer impact assessments must account for decision-making processes and third-party involvement in data access requests.</t>
  </si>
  <si>
    <t>• [Definition] access grant decision has the meaning given by section 53B
• [Definition] access refusal decision has the meaning given by section 53A
• [Definition] affected third party has the meaning given by section 53C
• [Definition] internal review has the meaning given by sections 54 and 54A
• [Definition] IC review applicant has the meaning given by section 54J
• [Definition] IC review application has the meaning given by section 54H
• [Definition] implementation notice has the meaning given by section 89</t>
  </si>
  <si>
    <t>• [Definition] Information Commissioner has the meaning given by the Australian Information Commissioner Act 2010
• [Definition] internal review applicant has the meaning given by section 54B
• [Definition] investigation recommendations has the meaning given by section 88
• [Definition] investigation results has the meaning given by section 87
• [Definition] respondent agency has the meaning given by subsections 69(2) and 70(2)
• [Definition] review parties has the meaning given by section 55A
• [Definition] vexatious applicant declaration has the meaning given by section 89K</t>
  </si>
  <si>
    <t>access grant decision has the meaning given by section 53B. access refusal decision has the meaning given by section 53A. affected third party has the meaning given by section 53C. internal review has the meaning given by sections 54 and 54A.</t>
  </si>
  <si>
    <t>7 (part 10)</t>
  </si>
  <si>
    <t>Information Commissioner review applications for access decisions</t>
  </si>
  <si>
    <t>62–68</t>
  </si>
  <si>
    <t>This section establishes procedures for applying to the Information Commissioner for review of access refusal or access grant decisions. Agencies or Ministers must make decisions within specified timeframes after notice of the decision. Review applications must include copies of notices and details for communication. The Information Commissioner may extend time for applications if reasonable, and must notify affected third parties if required. The review process includes preliminary inquiries, discretion to not review, and procedures for handling applications.</t>
  </si>
  <si>
    <t>This section outlines review procedures for access decisions that impact data transfer and disclosure processes. It specifies time limits for applications, requirements for notifying affected third parties, and conditions under which the Information Commissioner may extend time or decide not to review a case. These elements affect how data access decisions are challenged and reviewed across jurisdictions.</t>
  </si>
  <si>
    <t>• [Must] IC review application must be in writing and include details of how notices may be sent
• [Must] IC review application must include a copy of the notice given under section 26 of the IC reviewable decision
• [May] IC review application may contain particulars of the basis for disputing the IC reviewable decision
• [Must] Information Commissioner must provide assistance to persons making IC review applications
• [Must] IC review application must be sent to the Information Commissioner via delivery, postage, or electronic communication
• [Must] Agency or Minister must notify affected third parties as soon as practicable if an IC review application is made for an access refusal decision</t>
  </si>
  <si>
    <t>• [Must] Agency or Minister must give copy of notice to Information Commissioner
• [May] Information Commissioner may extend time for making IC review application if reasonable
• [May] Information Commissioner may require IC review applicant to notify specified persons affected by application
• [May] Person notified under subsection (4) may oppose application within time required by Information Commissioner
• [Must] Information Commissioner must give reasonable opportunity to present cases if opposition is made</t>
  </si>
  <si>
    <t>An IC review application must be in writing, and must: (a) give details of how notices under this Part may be sent to the IC review applicant; and (b) include a copy of the notice given under section 26 of the IC reviewable decision for which an IC review is sought.</t>
  </si>
  <si>
    <t>7 (part 12)</t>
  </si>
  <si>
    <t>IC review procedures for hearings and participation</t>
  </si>
  <si>
    <t>73–78</t>
  </si>
  <si>
    <t>This section outlines procedures for conducting IC reviews, including conducting reviews with minimal formality, ensuring reasonable opportunity for review parties to present cases, and timely completion of reviews. The Information Commissioner must conduct reviews with minimal formality, provide review parties with reasonable opportunity to present their case, and complete reviews as promptly as possible given applicable laws and considerations. The Information Commissioner may also hold hearings publicly unless confidential matters prevent it, and may allow participation via alternative means such as telephone.</t>
  </si>
  <si>
    <t>This section details procedural requirements for IC reviews that impact data transfer impact assessments by specifying how the Information Commissioner conducts reviews with review parties, including hearing procedures and participation methods.</t>
  </si>
  <si>
    <t>• [Must] The Information Commissioner must conduct IC reviews with minimal formality and technicality given applicable laws and considerations
• [Must] The Information Commissioner must ensure each review party is given reasonable opportunity to present their case
• [Must] The Information Commissioner must conduct IC reviews in as timely a manner as possible given applicable considerations</t>
  </si>
  <si>
    <t>• [May] The Information Commissioner may hold hearings publicly unless satisfied that confidentiality prevents it
• [May] The Information Commissioner may allow review parties to participate in hearings via alternative communication methods
• [May] The Information Commissioner may give written directions on IC review procedures</t>
  </si>
  <si>
    <t>The Information Commissioner must, in relation to an IC review: (a) conduct the IC review with as little formality and as little technicality as is possible given: (i) the requirements of this Act; (ii) the requirements of any other law; and (iii) a proper consideration of the matters before the Information Commissioner; (b) ensure that each review party is given a reasonable opportunity to present his or her case; and (c) conduct the IC review in as timely a manner as is possible given the matters mentioned in subparagraphs (a)(i) to (iii).</t>
  </si>
  <si>
    <t>7 (part 13)</t>
  </si>
  <si>
    <t>IC review procedures for legal questions and document handling</t>
  </si>
  <si>
    <t>78–83</t>
  </si>
  <si>
    <t>This section details procedures for IC reviews, including the ability to refer questions of law to the Federal Court of Australia, sending relevant documents to the Federal Court, and the Information Commissioner's authority to make decisions on IC reviews. The Information Commissioner may refer questions of law to the Federal Court, send documents to the court, and publish decisions on IC reviews to the public. The Information Commissioner must also ensure compliance with decisions made during IC reviews.</t>
  </si>
  <si>
    <t>This section specifies procedures for IC reviews that impact data transfer impact assessments by detailing how the Information Commissioner handles legal questions, documents, and decisions during reviews.</t>
  </si>
  <si>
    <t>• [May] The Information Commissioner may refer questions of law to the Federal Court of Australia during an IC review
• [Must] The Information Commissioner must send all relevant documents to the Federal Court of Australia</t>
  </si>
  <si>
    <t>• [Must] The Information Commissioner must publish IC review decisions to the public</t>
  </si>
  <si>
    <t>The Information Commissioner may, at any time during an IC review, refer a question of law arising in an IC review to the Federal Court of Australia for decision. The Information Commissioner must cause all documents and information in the possession of the Information Commissioner that relate to the IC review and to the reference to be sent to the Federal Court of Australia.</t>
  </si>
  <si>
    <t>7 (part 14)</t>
  </si>
  <si>
    <t>Information Commissioner's document handling powers during IC reviews</t>
  </si>
  <si>
    <t>83–89</t>
  </si>
  <si>
    <t>This section outlines the Information Commissioner's authority to handle documents during IC reviews, including taking possession, making copies, extracting information, and holding documents for review purposes. It also mandates that the Commissioner must permit inspection by entitled parties at reasonable times. The provisions establish specific conditions for document access and production, particularly for exempt documents under national security or cabinet categories.</t>
  </si>
  <si>
    <t>These provisions define document handling procedures during IC reviews, impacting data transfer and storage by requiring specific access controls and document handling protocols for exempt documents, which may affect cross-border data flows involving sensitive national security information.</t>
  </si>
  <si>
    <t>• [Must] The Information Commissioner may take possession of documents produced in accordance with a notice
• [Must] The Information Commissioner may make copies of documents
• [Must] The Information Commissioner may take extracts from documents</t>
  </si>
  <si>
    <t>• [Must] The Information Commissioner may hold documents for a period necessary for IC review
• [Must] The Information Commissioner must permit inspection by entitled parties for IC review
• [Must] The Information Commissioner must permit inspection at any reasonable time</t>
  </si>
  <si>
    <t>The Information Commissioner may do any of the following in relation to any documents produced in accordance with a notice under subsection 55R(3): (a) take possession of the documents; (b) make copies of the documents; (c) take extracts from the documents; (d) hold the documents for a period that is necessary for the purposes of the IC review.</t>
  </si>
  <si>
    <t>7 (part 16)</t>
  </si>
  <si>
    <t>Tribunal powers for document searches and record amendments</t>
  </si>
  <si>
    <t>94–99</t>
  </si>
  <si>
    <t>This section amends the Administrative Appeals Tribunal Act 1975 by inserting new powers for the Tribunal to require further searches for documents when access is refused or purportedly granted. It also establishes conditions under which amendments to records of opinions can be made, including requirements that the opinion was based on a mistake of fact or the author was biased. The Tribunal must not amend records that are court decisions or involve matters already determined by internal review, the Information Commissioner, courts, or tribunals.</t>
  </si>
  <si>
    <t>This section affects data transfer impact assessments by establishing conditions under which the Tribunal may require further document searches and amend records of opinions, with specific restrictions on amending court-related records or decisions involving prior determinations.</t>
  </si>
  <si>
    <t>• [Must] Tribunal may require further searches for documents when access is refused or purportedly granted
• [Must] Tribunal may make a decision requiring amendment to a record of an opinion if the opinion was based on a mistake of fact or the author was biased</t>
  </si>
  <si>
    <t>• [Must Not] Tribunal must not amend records that are court decisions
• [Must Not] Tribunal must not amend records if the decision involves matters already determined by internal review, Information Commissioner, courts, or tribunals</t>
  </si>
  <si>
    <t>58AA (1) The Tribunal may, in a decision on an application to the Tribunal under section 57A, make a decision that requires, or that has the effect of requiring, that an amendment be made to a record that relates to a record of an opinion only if the Tribunal is satisfied of either (or both) of the following: (a) the opinion was based on a mistake of fact; (b) the author of the opinion was biased, unqualified to form the opinion or acted improperly in conducting the factual inquiries that led to the formation of the opinion. (2) The Tribunal must not, in a decision on an application under section 57A, make a decision that requires, or that has the effect of requiring, that an amendment be made to a record if it is satisfied of either of the following: (a) the record is a record of a decision, under an enactment, by a court, tribunal, authority or person; (b) the decision whether to amend the record involves the determination of a question that the person seeking amendment of the record is, or has been, entitled to have determined by the agency (on internal review), the Information Commissioner, a court or tribunal.</t>
  </si>
  <si>
    <t>7 (part 17)</t>
  </si>
  <si>
    <t>Tribunal procedures for third-party notifications and onus of proof</t>
  </si>
  <si>
    <t>99–105</t>
  </si>
  <si>
    <t>This section amends the Administrative Appeals Tribunal Act 1975 by requiring agencies or Ministers to notify affected third parties when a review application is made for document access. It also specifies circumstances where notification is not required, such as when notifying would prejudice legal investigations, enforcement, confidential sources, safety, or national security. The onus of proof shifts to the agency or Minister when they apply for review, or to the affected third party when they are a party to the proceeding.</t>
  </si>
  <si>
    <t>This section impacts data transfer impact assessments by requiring notification of affected third parties in certain cross-border data access reviews, with specific exemptions related to legal investigations, confidential sources, safety, and national security.</t>
  </si>
  <si>
    <t>• [Must] Agency or Minister must notify affected third parties as soon as practicable when a review application is made for document access
• [Must Not] Notification is not required if notifying would prejudice legal investigations, enforcement, confidential sources, safety, or national security</t>
  </si>
  <si>
    <t>• [Must] Affected third party has onus of proof if they are a party to the proceeding</t>
  </si>
  <si>
    <t>60AA (2) The agency to which, or the Minister to whom, the request was made for access to the document must, as soon as practicable, take all reasonable steps to notify the affected third party for the document of the application to the Tribunal. (2) An agency or Minister is not required to notify an affected third party for the document under subsection 60AA(2) if: (a) the agency or the Minister applies to the Tribunal for an order that it would not be appropriate to notify the affected third party in the circumstances covered by subsection (3); and (b) the Tribunal makes the order. (3) The circumstances covered by this subsection are whether notifying the affected third party would, or could reasonably be expected to, do any of the following: (a) prejudice the conduct of an investigation of a breach, or possible breach, of the law, or a failure, or possible failure, to comply with a law relating to taxation; (b) prejudice the enforcement or proper administration of the law in a particular instance; (c) disclose, or enable a person to ascertain, the existence or identity of a confidential source of information, or the non-existence of a confidential source of information, in relation to the enforcement or administration of the law; (d) endanger the life or physical safety of any person; (e) cause damage to the security, defence or international relations of the Commonwealth.</t>
  </si>
  <si>
    <t>7 (part 18)</t>
  </si>
  <si>
    <t>Information Commissioner investigations and complaints procedures</t>
  </si>
  <si>
    <t>105</t>
  </si>
  <si>
    <t>This section establishes procedures for the Information Commissioner to investigate complaints about agency actions under the Freedom of Information Act. It requires complaints to be in writing and identify the agency, allows the Information Commissioner to conduct preliminary inquiries, and provides discretion to not investigate complaints if the action is not within the agency's functions, the complainant has rights to review or complain elsewhere, or the complaint is frivolous. It also outlines procedures for transferring complaints to the Ombudsman when appropriate.</t>
  </si>
  <si>
    <t>This section affects data transfer impact assessments by defining procedures for investigating complaints about data access decisions, including when to transfer complaints to the Ombudsman for cross-border or multi-jurisdictional matters.</t>
  </si>
  <si>
    <t>• [Must] Complaints must be in writing and identify the agency
• [May] Information Commissioner may investigate complaints about agency actions
• [Must Not] Information Commissioner may decide not to investigate if the action is not within agency functions</t>
  </si>
  <si>
    <t>• [Must Not] Information Commissioner may decide not to investigate if the complainant has rights to review or complain elsewhere
• [May] Information Commissioner may transfer complaints to Ombudsman if more effectively handled there</t>
  </si>
  <si>
    <t>70 (1) A person (the complainant) may complain to the Information Commissioner about an action taken by an agency in the performance of functions, or the exercise of powers, under this Act. (2) A complaint must: (a) be in writing; and (b) identify the agency (also the respondent agency) in respect of which the complaint is made. (3) The Office of the Australian Information Commissioner must provide appropriate assistance to a person who: (a) wishes to make a complaint; and (b) requires assistance to formulate the complaint. 74 (1) This section applies if the Information Commissioner is satisfied that a complaint about an action could be more effectively or appropriately dealt with by the Ombudsman under the Ombudsman Act 1976. (2) The Information Commissioner: (a) must consult the Ombudsman about the complaint with a view to avoiding inquiries being conducted into that matter by both the Information Commissioner and the Ombudsman; and (b) may decide not to investigate the action, or not to continue to investigate the action.</t>
  </si>
  <si>
    <t>16</t>
  </si>
  <si>
    <t>Commencement date for Schedule 2 item 16</t>
  </si>
  <si>
    <t>176</t>
  </si>
  <si>
    <t>This section specifies that Schedule 2, item 16 commences immediately after the commencement date of item 23 in Schedule 3 of the Freedom of Information Amendment (Reform) Act 2010, which is set for 1 November 2010.</t>
  </si>
  <si>
    <t>• [Condition] Schedule 2, item 16 commences immediately after the time specified in the Freedom of Information Amendment (Reform) Act 2010 for the commencement of item 23 of Schedule 3 to that Act.</t>
  </si>
  <si>
    <t>16. Schedule 2, item 16 Immediately after the time specified in the Freedom of Information Amendment (Reform) Act 2010 for the commencement of item 23 of Schedule 3 to that Act. 1 November 2010</t>
  </si>
  <si>
    <t>17</t>
  </si>
  <si>
    <t>Commencement date for Schedule 2 items 17 and 18</t>
  </si>
  <si>
    <t>176–177</t>
  </si>
  <si>
    <t>This section specifies that Schedule 2, items 17 and 18 commence immediately after the commencement date of Schedule 4 to the Freedom of Information Amendment (Reform) Act 2010, which is set for 1 November 2010.</t>
  </si>
  <si>
    <t>• [Condition] Schedule 2, items 17 and 18 commence immediately after the time specified in the Freedom of Information Amendment (Reform) Act 2010 for the commencement of Schedule 4 to that Act.</t>
  </si>
  <si>
    <t>17. Schedule 2, items 17 and 18 Immediately after the time specified in the Freedom of Information Amendment (Reform) Act 2010 for the commencement of Schedule 4 to that Act. 1 November 2010</t>
  </si>
  <si>
    <t>1976</t>
  </si>
  <si>
    <t>Notice requirements for Information Commissioner investigations</t>
  </si>
  <si>
    <t>105–111</t>
  </si>
  <si>
    <t>Before starting an investigation, the Information Commissioner must notify the respondent agency in writing. If the Commissioner decides not to investigate or stop an investigation, they must notify the complainant and respondent agency within 14 days, including reasons for the decision. This ensures transparency and accountability in the investigation process.</t>
  </si>
  <si>
    <t>Requires written notification to respondent agency before investigation start and decision on non-investigation must be communicated with reasons. Relevant for DTIA as it sets procedural safeguards for investigations.</t>
  </si>
  <si>
    <t>• [Must] Before beginning an investigation, the Information Commissioner must notify the respondent agency in writing.</t>
  </si>
  <si>
    <t>• [Must] If the Information Commissioner decides not to investigate or not to continue an investigation, they must notify the complainant and respondent agency within 14 days with reasons.</t>
  </si>
  <si>
    <t>Before beginning an investigation, the Information Commissioner must notify the respondent agency in writing. Notice of decision not to investigate, or not to continue to investigate must be notified to complainant and respondent agency within 14 days with reasons.</t>
  </si>
  <si>
    <t>1976 (part 3)</t>
  </si>
  <si>
    <t>Complaints to Ombudsman: Reporting Restrictions</t>
  </si>
  <si>
    <t>117–122</t>
  </si>
  <si>
    <t>Ombudsman</t>
  </si>
  <si>
    <t>This section requires that reports to the Ombudsman under the Ombudsman Act 1976 must exclude exempt matters and information specified in subsection 25(1) of the Ombudsman Act. The restriction applies to reports related to actions taken under the Freedom of Information Act 1982. Complaints must be made in good faith to trigger these obligations.</t>
  </si>
  <si>
    <t>Reports involving cross-border data transfers must exclude exempt information to prevent disclosure of sensitive data. This affects data sharing with third parties and international data flows.</t>
  </si>
  <si>
    <t>• [Must Not] A report under subsection 12(3) or section 15 or 17 of the Ombudsman Act 1976 in relation to an action taken under this Act must not include exempt matter</t>
  </si>
  <si>
    <t>• [Must Not] A report under subsection 12(3) or section 15 or 17 of the Ombudsman Act 1976 in relation to an action taken under this Act must not include information of the kind referred to in subsection 25(1)</t>
  </si>
  <si>
    <t>A report under subsection 12(3) or section 15 or 17 of the Ombudsman Act 1976 in relation to an action taken under this Act must not include: (a) exempt matter; or (b) information of the kind referred to in subsection 25(1).</t>
  </si>
  <si>
    <t>1976 (part 4)</t>
  </si>
  <si>
    <t>Vexatious Applicants: Declaration and Restrictions</t>
  </si>
  <si>
    <t>122–129</t>
  </si>
  <si>
    <t>This section allows the Information Commissioner to declare a person a vexatious applicant if they repeatedly engage in access actions with abuse of process, manifestly unreasonable actions, or specific abusive behaviors. The declaration may restrict the person from making requests, amendments to records, internal reviews, or IC reviews without written permission from the Information Commissioner.</t>
  </si>
  <si>
    <t>Vexatious applicants cannot access sensitive data without authorization, impacting data sharing and cross-border transfers. This affects data subject rights and third-party processing.</t>
  </si>
  <si>
    <t>• [May] The Information Commissioner may declare a person a vexatious applicant if they repeatedly engage in access actions involving abuse of the process
• [May] The Information Commissioner may declare a person a vexatious applicant if a particular access action involves abuse of the process
• [May] The Information Commissioner may declare a person a vexatious applicant if a particular access action would be manifestly unreasonable</t>
  </si>
  <si>
    <t>• [May] A vexatious applicant declaration may restrict an agency or Minister from considering requests without written permission from the Information Commissioner
• [May] A vexatious applicant declaration may restrict the Information Commissioner from considering IC review applications made by the person</t>
  </si>
  <si>
    <t>The Information Commissioner may, by written instrument (a vexatious applicant declaration), declare a person to be a vexatious applicant.</t>
  </si>
  <si>
    <t>1976 (part 5)</t>
  </si>
  <si>
    <t>Replaces Privacy Commissioner with Information Commissioner in multiple acts</t>
  </si>
  <si>
    <t>129–131</t>
  </si>
  <si>
    <t>Cross-border Transfer, International Processing, Data Storage, Data Residency, Security, Consent, Customer Information, Employee Information, Special Personal Information, Children, Financial Data, KYC, AML, Governance, Record Keeping</t>
  </si>
  <si>
    <t>This section lists amendments to various Australian laws that replace references to the 'Privacy Commissioner' with 'Information Commissioner' in specific sections or definitions. The changes apply across multiple acts including the Australian Citizenship Act, Australian Human Rights Commission Act, Crimes Act, and others. These amendments update the legal references to align with the establishment of the Office of the Australian Information Commissioner.</t>
  </si>
  <si>
    <t>This section updates legal references to the Information Commissioner across multiple acts, which may affect data transfer mechanisms where the Commissioner's role is involved in privacy functions. However, it does not directly impose new transfer restrictions.</t>
  </si>
  <si>
    <t>• [Must] Omit 'Privacy Commissioner', substitute 'Information Commissioner in relation to matters that relate to the privacy functions (within the meaning of the Australian Information Commissioner Act 2010)'
• [Must] Omit 'Privacy Commissioner', substitute 'Information Commissioner'
• [Must] Repeal the definition of Privacy Commissioner</t>
  </si>
  <si>
    <t>• [Must] Omit 'Privacy Commissioner' (wherever occurring), substitute 'Information Commissioner'
• [Must] Omit 'Privacy Commissioner' (first occurring), substitute 'Information Commissioner in relation to matters that relate to the privacy functions (within the meaning of the Australian Information Commissioner Act 2010)'
• [Must] Omit 'Privacy Commissioner' (last occurring), substitute 'Information Commissioner'</t>
  </si>
  <si>
    <t>Amendments consequential on the establishment of the Office of the Australian Information Commissioner Schedule 5</t>
  </si>
  <si>
    <t>2010</t>
  </si>
  <si>
    <t>Replaces Privacy Commissioner with Information Commissioner in Freedom of Information Act</t>
  </si>
  <si>
    <t>131–132</t>
  </si>
  <si>
    <t>This section lists amendments to the Freedom of Information Act 1982 that replace references to the 'Privacy Commissioner' with 'Information Commissioner' in specific sections and definitions. The changes include updating definitions, headings, and sections to align with the new Information Commissioner role, ensuring consistency across Commonwealth contracts and agency documents.</t>
  </si>
  <si>
    <t>These amendments update legal references to the Information Commissioner in the Freedom of Information Act, which may impact data handling and disclosure practices but do not directly affect cross-border data transfers.</t>
  </si>
  <si>
    <t>• [Must] Omit 'Privacy Commissioner', substitute 'Information Commissioner'
• [Must] Omit 'Privacy Commissioner's', substitute 'Information Commissioner's'</t>
  </si>
  <si>
    <t>• [Must] Omit 'Privacy Commissioner', substitute 'Information Commissioner in relation to matters that relate to the privacy functions (within the meaning of the Australian Information Commissioner Act 2010)'
• [Must] Repeal the section, substitute: Guidelines relating to privacy</t>
  </si>
  <si>
    <t>2010 (part 2)</t>
  </si>
  <si>
    <t>Exemptions for intelligence and defense intelligence documents</t>
  </si>
  <si>
    <t>143–149</t>
  </si>
  <si>
    <t>Special Personal Information</t>
  </si>
  <si>
    <t>This section defines exemptions for intelligence and defense intelligence documents under the Freedom of Information Act 1982. It specifies that agencies and ministers are exempt from the Act's requirements for documents originating from specific intelligence agencies, defense intelligence organizations, or related materials. The exemptions cover both the original documents and summaries/extracts of these documents, with clear definitions of intelligence agency documents and defense intelligence documents.</t>
  </si>
  <si>
    <t>This section establishes exemptions for certain sensitive government documents, which may impact data transfer assessments when handling intelligence or defense-related information across borders. The exemptions apply to specific document types and require careful assessment to avoid unintended disclosure of classified information.</t>
  </si>
  <si>
    <t>• [Exemption] An agency is exempt from the operation of this Act in relation to a document that has originated with, or has been received from, any of the specified intelligence agencies
• [Exemption] A document containing a summary of, or an extract from, an intelligence agency document is exempt to the extent it contains such summary or extract
• [Exemption] A Minister is exempt from the operation of this Act in relation to intelligence agency documents</t>
  </si>
  <si>
    <t>• [Exemption] A document containing a summary of, or an extract from, an intelligence agency document is exempt to the extent it contains such summary or extract
• [Exemption] An agency is exempt from the operation of this Act in relation to defense intelligence documents
• [Exemption] A document containing a summary of, or an extract from, a defense intelligence document is exempt to the extent it contains such summary or extract</t>
  </si>
  <si>
    <t>An agency is exempt from the operation of this Act in relation to a document (an intelligence agency document) that has originated with, or has been received from, any of the following: (i) the Australian Secret Intelligence Service; (ii) the Australian Security Intelligence Organisation; (iii) the Inspector-General of Intelligence and Security; (iv) the Office of National Assessments; (v) the Defence Imagery and Geospatial Organisation; (vi) the Defence Intelligence Organisation; (vii) the Defence Signals Directorate</t>
  </si>
  <si>
    <t>2010 (part 3)</t>
  </si>
  <si>
    <t>Request consultation process for practical refusal reasons</t>
  </si>
  <si>
    <t>149–154</t>
  </si>
  <si>
    <t>This section establishes a request consultation process that must be undertaken when an agency or minister determines that a practical refusal reason exists for a document request. The process requires written notification to the applicant, identification of the practical refusal reason, and a 14-day consultation period during which the applicant can revise their request. The process aims to allow applicants to modify their requests to overcome practical refusal reasons before a final decision is made.</t>
  </si>
  <si>
    <t>This section outlines a specific consultation process that must be followed when handling requests involving sensitive or non-existent documents, which may impact data transfer assessments when dealing with government records across borders. The process ensures applicants have a chance to revise requests before final refusal decisions are made.</t>
  </si>
  <si>
    <t>• [Notification] The agency or Minister must give the applicant written notice stating intention to refuse access, practical refusal reason, contact person details, and consultation period duration
• [Condition] The consultation period is 14 days after the applicant receives the notice</t>
  </si>
  <si>
    <t>• [Assistance] The agency or Minister must take reasonable steps to assist the applicant in revising the request to eliminate the practical refusal reason
• [Action] The applicant must withdraw the request, make a revised request, or indicate they do not wish to revise the request within the consultation period</t>
  </si>
  <si>
    <t>The agency or Minister must give the applicant a written notice stating: (a) an intention to refuse access to a document in accordance with a request; (b) the practical refusal reason; (c) the name of an officer of the agency or member of staff of the Minister (the contact person) with whom the applicant may consult during a period; (d) details of how the applicant may contact the contact person; (e) that the period (the consultation period) during which the applicant may consult with the contact person is 14 days after the day the applicant is given the notice.</t>
  </si>
  <si>
    <t>2010 (part 4)</t>
  </si>
  <si>
    <t>Transition of Privacy Commissioner responsibilities to Information Commissioner</t>
  </si>
  <si>
    <t>154–162</t>
  </si>
  <si>
    <t>Cross-border Transfer, International Processing, Data Storage, Data Residency, Security, Incident Reporting, Breach Notification, Governance, Record Keeping</t>
  </si>
  <si>
    <t>Personal Information, Financial Data, Customer Data, Employee Data</t>
  </si>
  <si>
    <t>Australian Information Commissioner</t>
  </si>
  <si>
    <t>This section amends the Freedom of Information Act 1982 by transitioning responsibilities from the Privacy Commissioner to the Information Commissioner. It ensures continuity of functions, including the handling of ongoing investigations, consultations, and decisions made before the commencement date. The Information Commissioner assumes all obligations and powers previously held by the Privacy Commissioner for matters that were initiated prior to the transition date.</t>
  </si>
  <si>
    <t>This section ensures that transitional obligations from the Privacy Commissioner to the Information Commissioner are maintained, which is critical for data transfer impact assessments involving cross-border data flows that may have been initiated before the transition date.</t>
  </si>
  <si>
    <t>• [Must] The Privacy Commissioner's actions before the commencement day are treated as actions by the Information Commissioner for the same purpose.
• [May] The Information Commissioner may determine exceptions to the transition for specific actions.
• [Must] Consultations initiated by the Privacy Commissioner before the commencement day may continue with the Information Commissioner.</t>
  </si>
  <si>
    <t>• [Must] Decisions made by the Privacy Commissioner before the commencement day may be implemented by the Information Commissioner.
• [Must] The Information Commissioner must handle submissions and evidence as required by the Privacy Commissioner before the transition date.</t>
  </si>
  <si>
    <t>This item applies if: (a) the Privacy Commissioner made a decision in accordance with a provision of the Privacy Act 1988; and (b) having made the decision, the Privacy Commissioner was required to take a step to implement it; and (c) the Privacy Commissioner did not take the step before the commencement day. The Information Commissioner may take the step in accordance with the provision to implement the decision on or after the commencement day.</t>
  </si>
  <si>
    <t>2010 (part 6)</t>
  </si>
  <si>
    <t>Transition of Privacy Commissioner's pending proceedings to Information Commissioner</t>
  </si>
  <si>
    <t>169–176</t>
  </si>
  <si>
    <t>This section mandates that any pending court or tribunal proceedings where the Privacy Commissioner was a party before the commencement date automatically substitute the Information Commissioner as the party from the commencement date onward. It also outlines specific scenarios where the Information Commissioner may continue or complete actions initiated by the Privacy Commissioner under the Privacy Act 1988, such as reviews, examinations, conciliation processes, and conferences, without interruption to the legal process.</t>
  </si>
  <si>
    <t>This section ensures continuity of legal proceedings involving the Privacy Commissioner by transitioning responsibilities to the Information Commissioner, which is relevant for DTIAs when assessing the impact of regulatory transitions on cross-border data handling in legal contexts.</t>
  </si>
  <si>
    <t>• [Must] The Information Commissioner substitutes for the Privacy Commissioner as a party to pending proceedings on and after the commencement day.
• [May] The Information Commissioner may complete reviews, examinations, conciliation processes, research, or record examinations initiated by the Privacy Commissioner before the commencement day.</t>
  </si>
  <si>
    <t>• [May] The Information Commissioner may hold conferences convened by the Privacy Commissioner before the commencement day but not held.
• [May] The Information Commissioner may make determinations in relation to matters raised at conferences held by the Privacy Commissioner before the commencement day.</t>
  </si>
  <si>
    <t>If any proceedings to which the Privacy Commissioner was a party were pending in any court or tribunal immediately before the commencement day, the Information Commissioner is substituted for the Privacy Commissioner as a party to the proceedings on and after the commencement day.</t>
  </si>
  <si>
    <t>C2016C00614 (Australia - Row 23)</t>
  </si>
  <si>
    <t>Users authorized to consent on behalf of account holders</t>
  </si>
  <si>
    <t>Consent</t>
  </si>
  <si>
    <t>Customer Data</t>
  </si>
  <si>
    <t>This section establishes that individuals authorized to consent on behalf of relevant account holders can act as their representatives for consent purposes. The authorization must be specific to the account type and must not be a general delegation. This applies to account holders who are unable to consent directly themselves.</t>
  </si>
  <si>
    <t>This section clarifies who can legally consent on behalf of account holders, which is relevant for determining consent validity in cross-border data transfers involving account-related information.</t>
  </si>
  <si>
    <t>• [Must] Users of account authorised to consent on behalf of relevant</t>
  </si>
  <si>
    <t>Users of account authorised to consent on behalf of relevant</t>
  </si>
  <si>
    <t>14</t>
  </si>
  <si>
    <t>Effective date of the Act</t>
  </si>
  <si>
    <t>7–14</t>
  </si>
  <si>
    <t>This section specifies the effective dates for various provisions of the Act, including the day the Act receives Royal Assent and the 120-day period after that date. It details when different sections and schedules come into effect, with specific dates provided for the Act's commencement.</t>
  </si>
  <si>
    <t>• [Must] The day on which this Act receives the Royal Assent. 12 December 2003</t>
  </si>
  <si>
    <t>• [Must] On the day after the end of the period of 120 days beginning on the day on which this Act receives the Royal Assent. 10 April 2004</t>
  </si>
  <si>
    <t>The day on which this Act receives the Royal Assent. 12 December 2003</t>
  </si>
  <si>
    <t>25</t>
  </si>
  <si>
    <t>Civil penalties for contraventions of civil penalty provisions</t>
  </si>
  <si>
    <t>31–33</t>
  </si>
  <si>
    <t>Federal Court</t>
  </si>
  <si>
    <t>Section 25(4) states that subsections (1) and (3) of the Spam Act 2003 are civil penalty provisions. These provisions establish pecuniary penalties payable for contraventions, with proceedings for recovery instituted in the Federal Court. The court may also order compensation to victims and payment to the Commonwealth for financial benefits attributable to contraventions.</t>
  </si>
  <si>
    <t>This section establishes the legal framework for civil penalties and compensation in cases of contraventions, relevant to DTIA assessments for financial institutions handling unsolicited commercial electronic messages.</t>
  </si>
  <si>
    <t>• [Must] Subsections (1) and (3) are civil penalty provisions
• [Must] Pecuniary penalties are payable for contraventions of civil penalty provisions
• [Must] Proceedings for recovery of penalties are to be instituted in the Federal Court</t>
  </si>
  <si>
    <t>• [Must] The Federal Court may direct payment of compensation to a victim of a contravention
• [Must] The Federal Court may direct payment to the Commonwealth of an amount up to financial benefits attributable to contraventions</t>
  </si>
  <si>
    <t>Subsections (1) and (3) are civil penalty provisions. Pecuniary penalties are payable for contraventions of civil penalty provisions. Proceedings for the recovery of penalties are to be instituted in the Federal Court. The Federal Court may make ancillary orders: (a) directing the payment of compensation to a victim of a contravention of a civil penalty provision; and (b) directing the payment to the Commonwealth of an amount up to the amount of any financial benefit that is attributable to a contravention of a civil penalty provision.</t>
  </si>
  <si>
    <t>35</t>
  </si>
  <si>
    <t>Performance injunctions for non-compliance with obligations</t>
  </si>
  <si>
    <t>41–43</t>
  </si>
  <si>
    <t>Section 35(2) outlines conditions under which the Federal Court may grant performance injunctions. The court can exercise this power if a person has refused or failed to comply with an act or thing, or if it is likely they will refuse or fail to comply, even if they have previously refused or failed. The court may also consider imminent danger of substantial damage.</t>
  </si>
  <si>
    <t>This section details when performance injunctions can be granted, relevant for DTIA assessments involving third-party compliance with data transfer obligations.</t>
  </si>
  <si>
    <t>• [Must] The Federal Court may grant an injunction requiring a person to do an act or thing
• [Must] The court may exercise this power if the person has refused or failed to do that act or thing</t>
  </si>
  <si>
    <t>• [Must] The court may exercise this power if it appears likely the person will refuse or fail to do that act or thing</t>
  </si>
  <si>
    <t>The power of the Federal Court to grant an injunction requiring a person to do an act or thing may be exercised: (a) if the Court is satisfied that the person has refused or failed to do that act or thing—whether or not it appears to the Court that the person intends to refuse or fail again, or to continue to refuse or fail, to do that act or thing; or (b) if it appears to the Court that, if an injunction is not granted, it is likely that the person will refuse or fail to do that act or thing—whether or not the person has previously refused or failed to do that act or thing and whether or not there is an imminent danger of substantial damage to any person if the person refuses or fails to do that act or thing.</t>
  </si>
  <si>
    <t>37</t>
  </si>
  <si>
    <t>Enforceable undertakings for commercial electronic messages</t>
  </si>
  <si>
    <t>43–45</t>
  </si>
  <si>
    <t>ACMA</t>
  </si>
  <si>
    <t>Section 37 allows a person to give the ACMA an enforceable undertaking regarding commercial electronic messages or address-harvesting software. The ACMA may accept such undertakings, and the person may withdraw or vary them with consent. The ACMA can apply to the Federal Court for enforcement if a breach occurs.</t>
  </si>
  <si>
    <t>This section provides a mechanism for enforceable undertakings related to unsolicited commercial electronic messages, relevant for DTIA assessments involving third-party data transfers.</t>
  </si>
  <si>
    <t>• [May] A person may give the ACMA an enforceable undertaking in connection with commercial electronic messages or address-harvesting software
• [May] The ACMA may accept a written undertaking for the purposes of this section</t>
  </si>
  <si>
    <t>• [May] The person may withdraw or vary the undertaking at any time with ACMA consent</t>
  </si>
  <si>
    <t>A person may give the ACMA an enforceable undertaking in connection with a matter relating to: (a) commercial electronic messages; or (b) address-harvesting software.</t>
  </si>
  <si>
    <t>41</t>
  </si>
  <si>
    <t>Formal warnings for civil penalty contraventions</t>
  </si>
  <si>
    <t>47–49</t>
  </si>
  <si>
    <t>Section 41 authorizes the ACMA to issue formal warnings when a person contravenes a civil penalty provision. This mechanism serves as a warning and potential enforcement step for non-compliance with the Spam Act 2003.</t>
  </si>
  <si>
    <t>This section enables formal warnings for contraventions, relevant for DTIA assessments when handling unsolicited commercial electronic messages.</t>
  </si>
  <si>
    <t>• [May] The ACMA may issue a formal warning if a person contravenes a civil penalty provision</t>
  </si>
  <si>
    <t>The ACMA may issue a formal warning if a person contravenes a civil penalty provision.</t>
  </si>
  <si>
    <t>43</t>
  </si>
  <si>
    <t>Designated commercial electronic messages</t>
  </si>
  <si>
    <t>49–51</t>
  </si>
  <si>
    <t>Section 43 defines when an electronic message is a designated commercial electronic message. This includes messages authorized by government bodies, political parties, charities, educational institutions, and specific conditions related to the recipient's enrollment status and the message's relevance to goods or services.</t>
  </si>
  <si>
    <t>This section specifies conditions for designated commercial electronic messages, relevant for DTIA assessments involving third-party data transfers and compliance with consent requirements.</t>
  </si>
  <si>
    <t>• [Must] An electronic message is a designated commercial electronic message if the sending is authorized by a government body, registered political party, or registered charity
• [Must] The message relates to goods or services</t>
  </si>
  <si>
    <t>• [Must] The body is the supplier or prospective supplier of the goods or services</t>
  </si>
  <si>
    <t>For the purposes of this Act, an electronic message is a designated commercial electronic message if: (a) the sending of the message is authorised by any of the following bodies: (i) a government body; (ii) a registered political party; (iii) a registered charity; and (b) the message relates to goods or services; and (c) the body is the supplier, or prospective supplier, of the goods or services concerned.</t>
  </si>
  <si>
    <t>47</t>
  </si>
  <si>
    <t>Infringement notices for civil penalty contraventions</t>
  </si>
  <si>
    <t>53–55</t>
  </si>
  <si>
    <t>This Schedule establishes a system for issuing infringement notices as an alternative to Federal Court proceedings for civil penalty contraventions. An authorised ACMA person may issue an infringement notice if they have reasonable grounds to believe a person committed one or more contraventions within the past 12 months. The notice must include the recipient's name, the authorised person's name, brief details of the alleged contraventions, a payment deadline, payment instructions, and other specified matters.</t>
  </si>
  <si>
    <t>This section outlines the procedural requirements for issuing infringement notices, which could impact data transfer assessments if the notices involve cross-border data sharing or processing of personal information.</t>
  </si>
  <si>
    <t>• [Must] An authorised person may give an infringement notice if they have reasonable grounds to believe a person committed one or more contraventions of a civil penalty provision
• [Must] An infringement notice must be given within 12 months after the day on which the civil contraventions are alleged to have taken place
• [Must] An infringement notice must set out the name of the person to whom the notice is given
• [Must] An infringement notice must set out the name of the authorised person who gave the notice</t>
  </si>
  <si>
    <t>• [Must] An infringement notice must either set out brief details of each alleged civil contravention or be accompanied by data processing devices containing brief details
• [Must] An infringement notice must contain a statement that the matter will not be dealt with by the Federal Court if the penalty is paid within 28 days or a longer period allowed by ACMA
• [Must] An infringement notice must give an explanation of how payment of the penalty is to be made
• [Must] An infringement notice must include the date of the alleged contravention and the civil penalty provision allegedly contravened for each contravention</t>
  </si>
  <si>
    <t>The object of this Schedule is to set up a system of infringement notices for contraventions of civil penalty provisions as an alternative to the institution of proceedings in the Federal Court.</t>
  </si>
  <si>
    <t>C2026C00227 (Australia - Row 16)</t>
  </si>
  <si>
    <t>1</t>
  </si>
  <si>
    <t>Open and transparent management of personal information</t>
  </si>
  <si>
    <t>379–380</t>
  </si>
  <si>
    <t>Data Sharing, Data Storage, Consent</t>
  </si>
  <si>
    <t>APP entities must implement practices to comply with Australian Privacy Principles and registered codes. They must also handle individual inquiries about compliance with these principles. The entity must maintain an up-to-date privacy policy that details collected information, collection methods, purposes, access rights, complaint procedures, overseas disclosure, and recipient countries.</t>
  </si>
  <si>
    <t>Requires clear documentation of data handling practices and individual access rights, critical for assessing transparency in cross-border data flows.</t>
  </si>
  <si>
    <t>• [Must] APP entities must take reasonable steps to implement practices ensuring compliance with Australian Privacy Principles and registered APP codes.
• [Must] APP entities must take reasonable steps to handle individual inquiries about compliance with Australian Privacy Principles or registered APP codes.
• [Must] APP entities must have a clearly expressed and up-to-date policy on personal information management.
• [Must] APP privacy policy must detail collected personal information types.
• [Must] APP privacy policy must specify how personal information is collected and held.
• [Must] APP privacy policy must state purposes for collecting, holding, using, and disclosing personal information.</t>
  </si>
  <si>
    <t>• [Must] APP privacy policy must outline individual access to and correction of personal information.
• [Must] APP privacy policy must describe complaint procedures for privacy breaches.
• [Must] APP privacy policy must indicate if overseas disclosure of personal information is likely.
• [Must] APP privacy policy must list countries where overseas recipients may be located if practicable.
• [Must] APP entities must make their privacy policy available in reasonable steps.
• [Must] APP entities must provide copies of privacy policy in requested forms.</t>
  </si>
  <si>
    <t>management of personal information
1.1 The object of this principle is to ensure that APP entities manage personal information in an open and transparent way. Compliance with the Australian Privacy Principles etc.</t>
  </si>
  <si>
    <t>Option for anonymity or pseudonymity in transactions</t>
  </si>
  <si>
    <t>380–382</t>
  </si>
  <si>
    <t>Individuals must have the option to remain anonymous or use a pseudonym when interacting with APP entities. This does not apply if the entity is legally required to deal with identified individuals or if it is impracticable to handle anonymous individuals.</t>
  </si>
  <si>
    <t>Allows individuals to maintain anonymity in data interactions, relevant for assessing privacy in cross-border data transfers where anonymity is a concern.</t>
  </si>
  <si>
    <t>• [Must] Individuals must have the option of not identifying themselves or using a pseudonym when dealing with APP entities.
• [Must Not] This does not apply if the APP entity is legally required or authorized by Australian law to deal with identified individuals.</t>
  </si>
  <si>
    <t>• [Must Not] This does not apply if it is impracticable for the entity to deal with anonymous individuals.</t>
  </si>
  <si>
    <t>2.1 Individuals must have the option of not identifying themselves, or of using a pseudonym, when dealing with an APP entity in relation to a particular matter.</t>
  </si>
  <si>
    <t>Collection of personal information with necessary purpose</t>
  </si>
  <si>
    <t>382–384</t>
  </si>
  <si>
    <t>Data Storage, Consent</t>
  </si>
  <si>
    <t>APP entities must not collect personal information (other than sensitive information) unless it is reasonably necessary for their functions. Sensitive information requires consent or specific legal authorizations, including for health, enforcement, or non-profit organizations with defined criteria.</t>
  </si>
  <si>
    <t>Sets strict conditions for data collection, critical for assessing whether data transfers meet necessary purpose requirements.</t>
  </si>
  <si>
    <t>• [Must Not] APP entities must not collect personal information (other than sensitive information) unless reasonably necessary for functions.
• [Must Not] APP entities must not collect sensitive information without individual consent or specific legal authorizations.
• [Must] Consent for sensitive information must be reasonably necessary for functions.
• [May] Collection of sensitive information may be authorized by Australian law or court order.</t>
  </si>
  <si>
    <t>• [May] Permitted general situations may allow collection of sensitive information.
• [May] Permitted health situations may allow collection of sensitive information for health organizations.
• [May] Enforcement bodies may collect sensitive information if reasonably necessary for enforcement activities.
• [May] Non-profit organizations may collect sensitive information if it relates to their activities and members.</t>
  </si>
  <si>
    <t>3.1 If an APP entity is an agency, the entity must not collect personal information (other than sensitive information) unless the information is reasonably necessary for, or directly related to, one or more of the entity's functions or activities.</t>
  </si>
  <si>
    <t>Handling unsolicited personal information</t>
  </si>
  <si>
    <t>384–385</t>
  </si>
  <si>
    <t>Data Storage</t>
  </si>
  <si>
    <t>APP entities must determine if unsolicited personal information could have been collected under Australian Privacy Principle 3. If not, they must destroy the information or ensure it is de-identified. Otherwise, Australian Privacy Principles 5-13 apply.</t>
  </si>
  <si>
    <t>Requires assessment of unsolicited data to prevent unnecessary data retention, critical for DTIA in cross-border contexts.</t>
  </si>
  <si>
    <t>• [Must] APP entities must determine if unsolicited personal information could have been collected under Australian Privacy Principle 3.
• [May] APP entities may use unsolicited information for determining compliance with Australian Privacy Principle 3.</t>
  </si>
  <si>
    <t>• [Must] If unsolicited information could not have been collected, entities must destroy or de-identify it.</t>
  </si>
  <si>
    <t>4.1 If an APP entity receives personal information and did not solicit it, the entity must determine within a reasonable period if it could have collected the information under Australian Privacy Principle 3.</t>
  </si>
  <si>
    <t>Notification of personal information collection</t>
  </si>
  <si>
    <t>385–387</t>
  </si>
  <si>
    <t>APP entities must notify individuals of specific matters related to personal information collection, including entity details, collection circumstances, legal basis, purposes, consequences of non-collection, disclosure recipients, and privacy policy access procedures.</t>
  </si>
  <si>
    <t>Mandates detailed notification for data transfers, essential for assessing transparency and compliance in cross-border data flows.</t>
  </si>
  <si>
    <t>• [Must] APP entities must notify individuals of entity identity, contact details, and collection circumstances.
• [Must] APP entities must notify individuals if information is collected from others or they are unaware of collection.
• [Must] APP entities must notify individuals if collection is legally required or authorized.
• [Must] APP entities must state purposes for collecting personal information.
• [Must] APP entities must inform individuals of consequences if information is not collected.</t>
  </si>
  <si>
    <t>• [Must] APP entities must disclose other entities that receive personal information.
• [Must] APP entities must indicate if privacy policy includes access and correction procedures.
• [Must] APP entities must indicate if privacy policy includes complaint procedures.
• [Must] APP entities must state if overseas disclosure is likely.
• [Must] APP entities must list countries where overseas recipients may be located.</t>
  </si>
  <si>
    <t>5.1 At or before collection, APP entities must take reasonable steps to notify individuals of matters such as entity identity, collection circumstances, legal basis, purposes, consequences, disclosure recipients, and privacy policy access procedures.</t>
  </si>
  <si>
    <t>Use or disclosure of personal information with purpose limitation</t>
  </si>
  <si>
    <t>387–389</t>
  </si>
  <si>
    <t>APP entities must not use or disclose personal information for secondary purposes without individual consent, specific legal authorizations, or permitted situations. Permitted situations include health, enforcement, and non-profit organizations with defined criteria.</t>
  </si>
  <si>
    <t>Enforces purpose limitation for data transfers, critical for assessing whether data is used appropriately across borders.</t>
  </si>
  <si>
    <t>• [Must Not] APP entities must not use or disclose personal information for secondary purposes without individual consent.
• [Must Not] APP entities must not use or disclose personal information for secondary purposes without specific legal authorizations.
• [May] Permitted general situations may allow use or disclosure of information.</t>
  </si>
  <si>
    <t>• [May] Permitted health situations may allow use or disclosure of information for health organizations.
• [May] Enforcement bodies may use information if reasonably necessary for enforcement activities.
• [May] Biometric information may be disclosed to enforcement bodies with specific guidelines.</t>
  </si>
  <si>
    <t>6.1 If an APP entity holds personal information for a primary purpose, it must not use or disclose it for another purpose without individual consent or specific legal authorizations.</t>
  </si>
  <si>
    <t>Direct marketing consent and opt-out requirements</t>
  </si>
  <si>
    <t>389–392</t>
  </si>
  <si>
    <t>Data Sharing, Consent</t>
  </si>
  <si>
    <t>Privacy Commissioner</t>
  </si>
  <si>
    <t>Organisations must not use or disclose personal information for direct marketing unless specific conditions are met. Exceptions include obtaining consent, the individual reasonably expects marketing, providing an easy opt-out mechanism, and the individual not having opted out. Sensitive information requires explicit consent for direct marketing. Organisations must provide a simple opt-out method and respond to opt-out requests within a reasonable period without charging fees.</t>
  </si>
  <si>
    <t>Requires explicit consent or opt-out mechanisms for direct marketing across borders; mandates clear opt-out processes to ensure data subjects can control their marketing communications.</t>
  </si>
  <si>
    <t>• [Must Not] Organisation must not use or disclose personal information for direct marketing
• [Condition] Organisation may use personal information for direct marketing if individual reasonably expects use
• [Must] Organisation must provide simple opt-out mechanism for direct marketing</t>
  </si>
  <si>
    <t>• [Condition] Individual must not have opted out for direct marketing
• [Must] Organisation must respond to opt-out requests within reasonable period
• [Must Not] Organisation must not charge individual for opt-out requests</t>
  </si>
  <si>
    <t>Direct marketing: If an organisation holds personal information about an individual, the organisation must not use or disclose the information for the purpose of direct marketing.</t>
  </si>
  <si>
    <t>8</t>
  </si>
  <si>
    <t>Cross-border data disclosure safeguards</t>
  </si>
  <si>
    <t>392–394</t>
  </si>
  <si>
    <t>Cross-border Transfer, Security, Consent</t>
  </si>
  <si>
    <t>Before disclosing personal information to overseas recipients, entities must ensure the recipient does not breach Australian Privacy Principles. Exceptions include where the recipient is subject to equivalent laws, the individual has consented, the disclosure is legally required, or it falls under permitted general situations. Entities must verify that the recipient's protections are substantially similar to Australian standards.</t>
  </si>
  <si>
    <t>Sets conditions for cross-border data transfers, requiring recipient compliance with Australian privacy standards or equivalent protections to ensure data transfers are secure and lawful.</t>
  </si>
  <si>
    <t>• [Must] Entity must ensure overseas recipient does not breach Australian Privacy Principles
• [Condition] Recipient must have equivalent legal protections to Australian Privacy Principles
• [Condition] Entity must provide individual consent for cross-border disclosure</t>
  </si>
  <si>
    <t>• [Condition] Disclosure may be legally required or authorized by Australian law
• [Condition] Entity must verify recipient is subject to prescribed country or binding scheme</t>
  </si>
  <si>
    <t>Before an APP entity discloses personal information about an individual to a person (the overseas recipient) who is not in Australia or an external Territory and who is not the entity or the individual, the entity must ensure the overseas recipient does not breach the Australian Privacy Principles.</t>
  </si>
  <si>
    <t>9</t>
  </si>
  <si>
    <t>Government identifiers usage restrictions</t>
  </si>
  <si>
    <t>394–396</t>
  </si>
  <si>
    <t>Organisations must not adopt government-related identifiers without legal authorization or regulatory approval. Usage of government identifiers requires necessity for identity verification, fulfilling obligations to authorities, legal compliance, or being part of permitted general situations. Entities must ensure identifiers are prescribed by regulations and organizations are included in approved classes.</t>
  </si>
  <si>
    <t>Restricts cross-border data transfers involving government identifiers by requiring regulatory approval and necessity for identity verification or legal compliance.</t>
  </si>
  <si>
    <t>• [Must Not] Organisation must not adopt government-related identifiers without legal authorization
• [Condition] Use of government identifiers must be necessary for identity verification</t>
  </si>
  <si>
    <t>• [Condition] Use of government identifiers must be necessary for fulfilling obligations to authorities
• [Condition] Use of government identifiers must be legally authorized</t>
  </si>
  <si>
    <t>An organisation must not adopt a government related identifier of an individual as its own identifier of the individual unless the adoption is required or authorised by or under an Australian law.</t>
  </si>
  <si>
    <t>10</t>
  </si>
  <si>
    <t>Personal information accuracy and completeness</t>
  </si>
  <si>
    <t>396</t>
  </si>
  <si>
    <t>Entities must ensure personal information is accurate, up-to-date, and complete when collected and when used or disclosed. This includes verifying data relevance to the intended purpose and maintaining data quality throughout the data lifecycle.</t>
  </si>
  <si>
    <t>Ensures data quality for cross-border transfers by requiring accurate, up-to-date, and complete personal information to prevent data misuse and ensure compliance with privacy standards.</t>
  </si>
  <si>
    <t>• [Must] Entity must ensure personal information is accurate, up-to-date, and complete</t>
  </si>
  <si>
    <t>• [Must] Entity must ensure personal information is relevant to the purpose of use or disclosure</t>
  </si>
  <si>
    <t>An APP entity must take such steps (if any) as are reasonable in the circumstances to ensure that the personal information that the entity collects is accurate, up-to-date and complete.</t>
  </si>
  <si>
    <t>11</t>
  </si>
  <si>
    <t>Personal information security measures</t>
  </si>
  <si>
    <t>396–398</t>
  </si>
  <si>
    <t>Security</t>
  </si>
  <si>
    <t>Entities must implement technical and organizational measures to protect personal information from unauthorized access, use, or disclosure. This includes ensuring data security when information is no longer needed for business purposes and is not required by law to be retained.</t>
  </si>
  <si>
    <t>Requires security measures for cross-border data transfers to protect personal information from breaches and unauthorized access, ensuring data remains secure during transfer and storage.</t>
  </si>
  <si>
    <t>• [Must] Entity must take reasonable steps to protect personal information</t>
  </si>
  <si>
    <t>• [Must] Entity must ensure information is destroyed or securely handled when no longer needed</t>
  </si>
  <si>
    <t>If an APP entity holds personal information, the entity must take such steps as are reasonable in the circumstances to protect the information.</t>
  </si>
  <si>
    <t>12</t>
  </si>
  <si>
    <t>Individual access to personal information</t>
  </si>
  <si>
    <t>398–401</t>
  </si>
  <si>
    <t>Entities must provide individuals with access to their personal information upon request, with exceptions for legal obligations, privacy risks, or commercial sensitivity. Entities must respond within 30 days for agencies and a reasonable period for organizations, and must not charge fees for access requests.</t>
  </si>
  <si>
    <t>Ensures individuals have access to their personal information for cross-border transfers, with clear timelines and fee restrictions to prevent barriers to data access.</t>
  </si>
  <si>
    <t>• [Must] Entity must provide access to personal information upon request
• [Must] Entity must respond within 30 days for agencies</t>
  </si>
  <si>
    <t>• [Must Not] Entity must not charge individuals for access requests</t>
  </si>
  <si>
    <t>If an APP entity holds personal information about an individual, the entity must, on request by the individual, give the individual access to the information.</t>
  </si>
  <si>
    <t>13</t>
  </si>
  <si>
    <t>Correction of personal information requests</t>
  </si>
  <si>
    <t>401–408</t>
  </si>
  <si>
    <t>Data Sharing, Data Storage</t>
  </si>
  <si>
    <t>Australian Privacy Principles (APP)</t>
  </si>
  <si>
    <t>An APP entity must correct inaccurate, outdated, incomplete, irrelevant, or misleading personal information when the entity determines it is inaccurate or when an individual requests correction. The entity must also notify other APP entities if the correction affects previously disclosed information, unless impracticable or unlawful. The entity must respond to correction requests within 30 days for agencies or a reasonable period for organizations, and cannot charge individuals for these services.</t>
  </si>
  <si>
    <t>Requires entities to correct personal information upon request and notify third parties when corrections affect previously disclosed data, impacting cross-border data transfer where corrections are made to international entities.</t>
  </si>
  <si>
    <t>• [Must] If an APP entity holds personal information about an individual and the entity determines the information is inaccurate, outdated, incomplete, irrelevant or misleading, the entity must correct it.
• [Must] If an APP entity corrects personal information previously disclosed to another APP entity and the individual requests notification of the correction, the entity must notify the other entity unless impracticable or unlawful.
• [Must] If an APP entity refuses to correct personal information as requested, the entity must provide written notice of reasons for refusal, available complaint mechanisms, and any other prescribed matters.</t>
  </si>
  <si>
    <t>• [Must] If an APP entity refuses to correct personal information and the individual requests a statement of inaccuracy, the entity must associate the statement in a way that makes it apparent to users.
• [Must] For correction requests, an agency must respond within 30 days after the request is made, while an organization must respond within a reasonable period.
• [Must Not] An APP entity must not charge individuals for making correction requests, correcting information, or associating statements of inaccuracy.</t>
  </si>
  <si>
    <t>13.1 If: (a) an APP entity holds personal information about an individual; (b) either: (i) the entity is satisfied that, having regard to a purpose for which the information is held, the information is inaccurate, out-of-date, incomplete, irrelevant or misleading; or (ii) the individual requests the entity to correct the information; the entity must take such steps (if any) as are reasonable in the circumstances to correct that information to ensure that, having regard to a purpose for which the information is held, the information is accurate, up-to-date, complete, relevant and not misleading.</t>
  </si>
  <si>
    <t>13 (part 3)</t>
  </si>
  <si>
    <t>Effect of apology on privacy liability</t>
  </si>
  <si>
    <t>414–421</t>
  </si>
  <si>
    <t>Court</t>
  </si>
  <si>
    <t>This section clarifies that an apology made by a defendant in connection with an invasion of privacy does not constitute an admission of fault or liability. It also states that an apology is not relevant to determining fault or liability in privacy cases. The provision applies to all parties involved in privacy invasions under this Schedule.</t>
  </si>
  <si>
    <t>Apologies do not automatically resolve privacy liability; courts must still assess fault and liability separately. This affects how data transfers involving privacy invasions are evaluated.</t>
  </si>
  <si>
    <t>• [Must Not] An apology made by or on behalf of the defendant in connection with the invasion of privacy does not constitute an express or implied admission of fault or liability</t>
  </si>
  <si>
    <t>• [Must Not] An apology made by or on behalf of the defendant in connection with the invasion of privacy is not relevant to the determination of fault or liability</t>
  </si>
  <si>
    <t>For the purposes of this Schedule, an apology made by or on behalf of the defendant in connection with the invasion of privacy: (a) does not constitute an express or implied admission of fault or liability by the defendant in connection with the invasion of privacy; and (b) is not relevant to the determination of fault or liability in connection with the invasion of privacy.</t>
  </si>
  <si>
    <t>13 (part 7)</t>
  </si>
  <si>
    <t>Correction procedures for data transfers</t>
  </si>
  <si>
    <t>452–472</t>
  </si>
  <si>
    <t>Cross-border Transfer</t>
  </si>
  <si>
    <t>This section outlines procedures for correcting errors in data transfers across borders. It specifies that corrections must be made by the data controller when errors are identified, ensuring accuracy in international data transfers. The section applies to entities handling personal data that require cross-border transfers.</t>
  </si>
  <si>
    <t>This section requires data controllers to correct errors in international data transfers, which impacts DTIA by mandating error correction mechanisms for cross-border data flows.</t>
  </si>
  <si>
    <t>• [Must] Corrections must be made by the data controller when errors are identified</t>
  </si>
  <si>
    <t>Endnotes: Correction (cont.)</t>
  </si>
  <si>
    <t>C2026C00227-1 (Australia - Row 21)</t>
  </si>
  <si>
    <t>Management of personal information transparency and policy</t>
  </si>
  <si>
    <t>APP entities must implement practices to comply with Australian Privacy Principles and registered codes. They must also handle individual inquiries about compliance with these principles. Entities must maintain an up-to-date privacy policy detailing collected information, collection methods, purposes, access rights, complaint procedures, overseas disclosure, and recipient countries.</t>
  </si>
  <si>
    <t>Requires clear documentation of data handling practices to ensure transparency and compliance with privacy standards during data transfers.</t>
  </si>
  <si>
    <t>• [Must] APP entities must take reasonable steps to implement practices ensuring compliance with Australian Privacy Principles and registered APP codes.
• [Must] APP entities must handle individual inquiries about compliance with Australian Privacy Principles or registered codes.
• [Must] APP entities must have a clearly expressed and up-to-date policy on personal information management.
• [Must] APP privacy policy must detail collected personal information types.
• [Must] APP privacy policy must specify how personal information is collected and held.
• [Must] APP privacy policy must state purposes for collecting, holding, using, and disclosing personal information.</t>
  </si>
  <si>
    <t>• [Must] APP privacy policy must outline individual access and correction procedures.
• [Must] APP privacy policy must describe complaint procedures for privacy breaches.
• [Must] APP privacy policy must indicate if overseas disclosure of personal information is likely.
• [Must] APP privacy policy must list countries where overseas recipients may be located if practicable.
• [Must] APP entities must make privacy policy available reasonably.
• [Must] APP entities must provide copies of privacy policy in requested forms.</t>
  </si>
  <si>
    <t>Individual anonymity and pseudonymity options</t>
  </si>
  <si>
    <t>Individuals must have the option to remain anonymous or use pseudonyms when interacting with APP entities. This does not apply if the entity is legally required to deal with identified individuals or if it is impracticable to handle anonymous individuals.</t>
  </si>
  <si>
    <t>Allows individuals to maintain anonymity in data interactions, relevant for data transfers where anonymity is a privacy concern.</t>
  </si>
  <si>
    <t>• [Must] Individuals must have the option to not identify themselves or use a pseudonym when dealing with APP entities.
• [Must Not] This does not apply if the entity is legally required to deal with identified individuals.</t>
  </si>
  <si>
    <t>• [Must Not] This does not apply if it is impracticable to deal with anonymous individuals.</t>
  </si>
  <si>
    <t>Personal information collection requirements</t>
  </si>
  <si>
    <t>APP entities must not collect personal information (other than sensitive information) unless it is reasonably necessary for their functions. Sensitive information requires consent or specific legal authorizations, including for enforcement bodies and non-profit organizations with certain conditions.</t>
  </si>
  <si>
    <t>Sets strict conditions for data collection, impacting cross-border transfers by requiring necessity and consent for sensitive data.</t>
  </si>
  <si>
    <t>• [Must Not] APP entities must not collect personal information (other than sensitive information) unless reasonably necessary for functions.
• [Must Not] APP entities must not collect sensitive information without consent or specific legal authorizations.
• [Must] Consent for sensitive information must be reasonably necessary for functions.
• [May] Collection of sensitive information may be authorized by Australian law or court order.
• [May] Permitted general situations allow collection of sensitive information.</t>
  </si>
  <si>
    <t>• [May] Permitted health situations allow collection of sensitive information for organizations.
• [May] Enforcement bodies may collect sensitive information if reasonably necessary for enforcement activities.
• [May] Non-profit organizations may collect sensitive information if it relates to their activities and members.
• [Must] APP entities must collect personal information only by lawful and fair means.
• [Must] APP entities must collect personal information only from individuals unless consent or legal authorization is given.</t>
  </si>
  <si>
    <t>Unsolicited personal information handling</t>
  </si>
  <si>
    <t>APP entities must determine if unsolicited personal information could have been collected under Australian Privacy Principle 3. If not, they must destroy the information or ensure it is de-identified. Otherwise, Principles 5-13 apply.</t>
  </si>
  <si>
    <t>Requires assessment of unsolicited data to prevent unnecessary data retention and ensure compliance with data transfer rules.</t>
  </si>
  <si>
    <t>• [Must] APP entities must determine if unsolicited personal information could have been collected under Principle 3.
• [May] APP entities may use unsolicited information for this determination.</t>
  </si>
  <si>
    <t>4.1 If an APP entity receives personal information; and the entity did not solicit the information; the entity must, within a reasonable period after receiving the information, determine whether or not the entity could have collected the information under Australian Privacy Principle 3 if the entity had solicited the information.</t>
  </si>
  <si>
    <t>Mandates detailed notifications for data transfers, ensuring individuals understand data handling practices across borders.</t>
  </si>
  <si>
    <t>• [Must] APP entities must notify individuals of entity identity, contact details, and collection circumstances.
• [Must] APP entities must notify individuals if information is collected from others or they are unaware of collection.
• [Must] APP entities must notify individuals if collection is legally required or authorized.
• [Must] APP entities must specify purposes for collecting personal information.
• [Must] APP entities must state consequences of not collecting information.</t>
  </si>
  <si>
    <t>• [Must] APP entities must list disclosure recipients or types of recipients.
• [Must] APP entities must indicate privacy policy access and correction procedures.
• [Must] APP entities must indicate if overseas disclosure is likely.
• [Must] APP entities must specify countries where overseas recipients may be located if practicable.</t>
  </si>
  <si>
    <t>5.1 At or before the time or, if that is not practicable, as soon as practicable after, an APP entity collects personal information about an individual, the entity must take such steps (if any) as are reasonable in the circumstances: to notify the individual of such matters referred to in subclause 5.2 as are reasonable in the circumstances.</t>
  </si>
  <si>
    <t>Use and disclosure of personal information</t>
  </si>
  <si>
    <t>APP entities must not use or disclose personal information for secondary purposes without consent, specific legal authorizations, permitted situations, or reasonable necessity for enforcement activities. Exceptions include direct marketing and government identifiers.</t>
  </si>
  <si>
    <t>Restricts data use and disclosure across borders by requiring consent or legal basis for secondary purposes, critical for international data transfers.</t>
  </si>
  <si>
    <t>• [Must Not] APP entities must not use or disclose personal information for secondary purposes without consent or specific conditions.
• [Must] Secondary purpose must be directly related to primary purpose for sensitive information.
• [Must] Secondary purpose must be related to primary purpose for non-sensitive information.
• [May] Use or disclosure may be legally required or authorized.
• [May] Permitted general situations allow use or disclosure.
• [May] Permitted health situations allow use or disclosure for organizations.</t>
  </si>
  <si>
    <t>• [May] Enforcement bodies may use information reasonably necessary for enforcement activities.
• [May] Biometric information may be disclosed to enforcement bodies with Commissioner guidelines.
• [Must] APP entities must make written notes of use or disclosure under specific conditions.
• [Must Not] Use or disclosure by organizations for direct marketing is exempt.
• [Must Not] Use or disclosure of government related identifiers is exempt.</t>
  </si>
  <si>
    <t>6.1 If an APP entity holds personal information about an individual that was collected for a particular purpose (the primary purpose), the entity must not use or disclose the information for another purpose (the secondary purpose) unless: the individual has consented to the use or disclosure of the information or subclause 6.2 or 6.3 applies in relation to the use or disclosure of the information.</t>
  </si>
  <si>
    <t>Privacy Act 1988 (Cth)</t>
  </si>
  <si>
    <t>Before disclosing personal information to overseas recipients, entities must ensure the recipient does not breach Australian Privacy Principles. Exceptions include where the recipient is subject to equivalent laws, individuals have consented, disclosures are legally required, or specific permitted situations exist. Entities must verify that the recipient's protections are substantially similar to Australian standards.</t>
  </si>
  <si>
    <t>Requires robust safeguards for cross-border data transfers, including equivalent legal protections or explicit consent, to prevent breaches of Australian privacy standards when transferring data internationally.</t>
  </si>
  <si>
    <t>• [Must] Entity must ensure overseas recipient does not breach Australian Privacy Principles
• [Condition] Recipient must have equivalent legal protections to Australian Privacy Principles
• [Condition] Individual must consent to disclosure after being informed</t>
  </si>
  <si>
    <t>• [Condition] Disclosure must be legally required or authorized by Australian law
• [Condition] Entity must verify recipient is subject to prescribed country or binding scheme</t>
  </si>
  <si>
    <t>Organisations must not adopt or use government-related identifiers without legal authorization or regulatory approval. Usage must be necessary for identity verification, fulfilling obligations to authorities, or complying with specific legal requirements. Entities must follow prescribed regulations for identifier adoption and use.</t>
  </si>
  <si>
    <t>Restricts cross-border data transfers involving government identifiers by requiring legal authorization or regulatory compliance to ensure data integrity and privacy.</t>
  </si>
  <si>
    <t>• [Condition] Use of government identifiers must be necessary for fulfilling obligations to authorities
• [Condition] Use of government identifiers must comply with legal requirements</t>
  </si>
  <si>
    <t>Entities must ensure personal information is accurate, up-to-date, and complete when collected and when used or disclosed. This includes verifying data relevance to the intended purpose to maintain data quality and privacy compliance.</t>
  </si>
  <si>
    <t>Ensures data accuracy and completeness for cross-border transfers by requiring entities to maintain high-quality data, reducing risks of breaches and non-compliance.</t>
  </si>
  <si>
    <t>An APP entity must take such steps as are reasonable in the circumstances to ensure that the personal information that the entity collects is accurate, up-to-date and complete.</t>
  </si>
  <si>
    <t>Entities must implement technical and organizational measures to protect personal information from unauthorized access, use, or disclosure. This includes ensuring data security during storage and transmission to prevent breaches and maintain confidentiality.</t>
  </si>
  <si>
    <t>Requires robust security measures for cross-border data transfers to protect personal information from breaches, ensuring compliance with international data transfer standards.</t>
  </si>
  <si>
    <t>• [Must] Entity must implement technical and organizational measures for security</t>
  </si>
  <si>
    <t>Entities must provide individuals with access to their personal information upon request, with exceptions for legal obligations, privacy risks, or commercial sensitivity. Entities must respond within 30 days for agencies and a reasonable period for organizations, and may use intermediaries to facilitate access without charging fees.</t>
  </si>
  <si>
    <t>Ensures individuals can access their personal information across borders, with clear timelines and mechanisms for resolving access disputes, critical for data subject rights in international contexts.</t>
  </si>
  <si>
    <t>• [Must] Entity must provide access to personal information upon request
• [Must] Entity must respond to access requests within 30 days for agencies</t>
  </si>
  <si>
    <t>• [Must] Entity must respond to access requests within reasonable period for organizations
• [Must Not] Entity must not charge individuals for access requests</t>
  </si>
  <si>
    <t>An APP entity must correct inaccurate, outdated, incomplete, irrelevant, or misleading personal information when the entity determines it is inaccurate or the individual requests correction. The entity must also notify other APP entities if the correction affects previously disclosed information and the individual requests such notification. The entity must respond to correction requests within 30 days if it is an agency or within a reasonable period if it is an organisation. The entity must not charge the individual for these services.</t>
  </si>
  <si>
    <t>This section requires entities to correct personal information upon request and notify third parties when corrections are made, impacting data transfer and storage practices across borders where personal information is shared.</t>
  </si>
  <si>
    <t>• [Must] If an APP entity holds personal information about an individual and the entity is satisfied the information is inaccurate, out-of-date, incomplete, irrelevant or misleading, the entity must correct the information.
• [Must] If an APP entity corrects personal information previously disclosed to another APP entity and the individual requests notification, the entity must notify the other entity unless impracticable or unlawful.
• [Must] If an APP entity refuses to correct personal information, it must provide written notice with reasons for refusal, complaint mechanisms, and any other prescribed matters.</t>
  </si>
  <si>
    <t>• [Must] If an APP entity refuses to correct personal information and the individual requests a statement of inaccuracy, the entity must associate the statement in a way that makes it apparent to users.
• [Must] APP entities must respond to correction requests within 30 days if they are agencies or within a reasonable period if they are organisations.
• [Must Not] APP entities must not charge individuals for making correction requests, correcting information, or associating statements.</t>
  </si>
  <si>
    <t>13.1 If: (a) an APP entity holds personal information about an individual; (b) either: (i) the entity is satisfied that, having regard to a purpose for which the information is held, the information is inaccurate, out-of-date, incomplete, irrelevant or misleading; or (ii) the individual requests the entity to correct the information; the entity must take such steps (if any) as are reasonable in the circumstances to correct that information...</t>
  </si>
  <si>
    <t>Consent, Incident Reporting, Breach Notification</t>
  </si>
  <si>
    <t>• [Must Not] An apology made by or on behalf of the defendant in connection with the invasion of privacy does not constitute an express or implied admission of fault or liability by the defendant</t>
  </si>
  <si>
    <t>• [Must Not] An apology made by or on behalf of the defendant in connection with the invasion of privacy is not relevant to the determination of fault or liability in connection with the invasion of privacy</t>
  </si>
  <si>
    <t>Correction of legislative references</t>
  </si>
  <si>
    <t>This section lists amendments and repeals affecting previous provisions. It specifies which amendments (am), repeals (rep), and other legislative changes (rs, ad) have been applied to various sections of the Act. The section does not create new obligations but updates references to ensure accurate legislative tracking.</t>
  </si>
  <si>
    <t>• [Condition] Amendments and repeals are listed for specific sections of the Act</t>
  </si>
  <si>
    <t>Endnotes: Compilation of amendments and repeals affecting previous provisions.</t>
  </si>
  <si>
    <t>Essential Eight explained (November 2023) (Australia - Row 11)</t>
  </si>
  <si>
    <t>p1</t>
  </si>
  <si>
    <t>Essential Eight cybersecurity mitigation strategies for organizations</t>
  </si>
  <si>
    <t>1–2</t>
  </si>
  <si>
    <t>Australian Signals Directorate (ASD)</t>
  </si>
  <si>
    <t>The Essential Eight are prioritized cyber security mitigation strategies developed by the Australian Signals Directorate (ASD) to protect organizations' internet-connected information technology networks. These strategies include patching applications and operating systems, implementing multi-factor authentication, restricting administrative privileges, applying application controls, limiting Microsoft Office macros, hardening user applications, and maintaining regular backups. The strategies are designed specifically for standard IT networks and not for enterprise mobility or operational technology environments where alternative approaches may be more appropriate.</t>
  </si>
  <si>
    <t>These eight specific technical controls are critical for DTIAs as they define baseline security requirements that must be implemented when transferring or processing data across borders to ensure adequate protection against cyber threats.</t>
  </si>
  <si>
    <t>• [Must] Implement patch applications
• [Must] Implement patch operating systems
• [Must] Implement multi-factor authentication
• [Must] Restrict administrative privileges</t>
  </si>
  <si>
    <t>• [Must] Implement application control
• [Must] Restrict Microsoft Office macros
• [Must] Harden user applications
• [Must] Maintain regular backups</t>
  </si>
  <si>
    <t>The Essential Eight mitigation strategies are: patch applications, patch operating systems, multi-factor authentication, restrict administrative privileges, application control, restrict Microsoft Office macros, user application hardening, regular backups.</t>
  </si>
  <si>
    <t>p2</t>
  </si>
  <si>
    <t>Essential Eight implementation assessment process</t>
  </si>
  <si>
    <t>2–3</t>
  </si>
  <si>
    <t>Organizations must use the Essential Eight assessment process guide to evaluate their implementation of the mitigation strategies. This assessment process is part of the maturity model that supports the implementation of the Essential Eight, ensuring organizations meet the required security standards for their information technology networks.</t>
  </si>
  <si>
    <t>The assessment process ensures that data transfers and processing activities comply with the Essential Eight security requirements, which is critical for DTIAs involving cross-border data flows.</t>
  </si>
  <si>
    <t>• [Must] Conduct assessments against the Essential Eight using the Essential Eight assessment process guide</t>
  </si>
  <si>
    <t>Assessments against the Essential Eight should be conducted using the Essential Eight assessment process guide.</t>
  </si>
  <si>
    <t>Prudential Standard - CPS 230 Operational Risk Management - clean (Australia - Row 3)</t>
  </si>
  <si>
    <t>Prudential Standard authority basis</t>
  </si>
  <si>
    <t>This section specifies the legislative basis for the Prudential Standard by referencing relevant sections of multiple Australian Acts. It establishes that the standard is enacted under the Banking Act 1959, Insurance Act 1973, Life Insurance Act 1995, Private Health Insurance (Prudential Supervision) Act 2015, and Superannuation Industry (Supervision) Act 1993. The section does not impose operational requirements but clarifies the legal foundation for the standard.</t>
  </si>
  <si>
    <t>• [Must] This Prudential Standard is made under section 11AF of the Banking Act 1959
• [Must] This Prudential Standard is made under section 32 of the Insurance Act 1973
• [Must] This Prudential Standard is made under section 230A of the Life Insurance Act 1995</t>
  </si>
  <si>
    <t>• [Must] This Prudential Standard is made under section 92 of the Private Health Insurance (Prudential Supervision) Act 2015
• [Must] This Prudential Standard is made under section 34C of the Superannuation Industry (Supervision) Act 1993</t>
  </si>
  <si>
    <t>This Prudential Standard is made under: (a) section 11AF of the Banking Act 1959 (Banking Act); (b) section 32 of the Insurance Act 1973 (Insurance Act); (c) section 230A of the Life Insurance Act 1995 (Life Insurance Act); (d) section 92 of the Private Health Insurance (Prudential Supervision) Act 2015 (PHIPS Act); and (e) section 34C of the Superannuation Industry (Supervision) Act 1993 (SIS Act).</t>
  </si>
  <si>
    <t>APRA-regulated entities covered by the standard</t>
  </si>
  <si>
    <t>This section defines which APRA-regulated entities are subject to the Prudential Standard. It includes authorized deposit-taking institutions (ADIs), foreign ADIs, non-operating holding companies, general insurers, Category C insurers, non-operating holding companies, life companies, friendly societies, eligible foreign life insurance companies, private health insurers, and registrable superannuation entity licensees. The scope covers entities operating under specific Australian Acts.</t>
  </si>
  <si>
    <t>• [Must] This Prudential Standard applies to all APRA-regulated entities defined as: authorized deposit-taking institutions (ADIs), including foreign ADIs, and non-operating holding companies authorized under the Banking Act
• [Must] This Prudential Standard applies to all APRA-regulated entities defined as: general insurers, including Category C insurers, non-operating holding companies authorized under the Insurance Act, and parent entities of Level 2 insurance groups
• [Must] This Prudential Standard applies to all APRA-regulated entities defined as: life companies, including friendly societies, eligible foreign life insurance companies (EFLICs) and registered non-operating holding companies</t>
  </si>
  <si>
    <t>• [Must] This Prudential Standard applies to all APRA-regulated entities defined as: private health insurers registered under the PHIPS Act
• [Must] This Prudential Standard applies to all APRA-regulated entities defined as: registrable superannuation entity licensees (RSE licensees) under the SIS Act in respect of their business operations</t>
  </si>
  <si>
    <t>This Prudential Standard applies to all APRA-regulated entities defined as: (a) authorized deposit-taking institutions (ADIs), including foreign ADIs, and non-operating holding companies authorized under the Banking Act (authorized banking NOHCs); (b) general insurers, including Category C insurers, non-operating holding companies authorized under the Insurance Act (authorised insurance NOHCs) and parent entities of Level 2 insurance groups; (c) life companies, including friendly societies, eligible foreign life insurance companies (EFLICs) and registered NOHCs; (d) private health insurers registered under the PHIPS Act; and (e) registrable superannuation entity licensees (RSE licensees) under the SIS Act in respect of their business operations.</t>
  </si>
  <si>
    <t>Operational risk management obligations</t>
  </si>
  <si>
    <t>3–4</t>
  </si>
  <si>
    <t>APRA</t>
  </si>
  <si>
    <t>APRA-regulated entities must effectively manage operational risks, maintain critical operations within tolerance levels during severe disruptions, and manage risks associated with service providers. This section establishes core operational risk management responsibilities for entities, including setting appropriate standards for conduct and compliance, ensuring resilience through disruptions, and overseeing third-party risks.</t>
  </si>
  <si>
    <t>This section requires entities to manage operational risks including data risk, which impacts data transfer and storage across borders due to the need for robust incident response and business continuity planning.</t>
  </si>
  <si>
    <t>• [Must] Effectively manage its operational risks, and set and maintain appropriate standards for conduct and compliance
• [Must] Maintain its critical operations within tolerance levels through severe disruptions</t>
  </si>
  <si>
    <t>• [Must] Manage the risks associated with the use of service providers</t>
  </si>
  <si>
    <t>An APRA-regulated entity must: (a) effectively manage its operational risks, and set and maintain appropriate standards for conduct and compliance; (b) maintain its critical operations within tolerance levels through severe disruptions; and (c) manage the risks associated with the use of service providers.</t>
  </si>
  <si>
    <t>15</t>
  </si>
  <si>
    <t>Operational risk management framework requirements</t>
  </si>
  <si>
    <t>APRA-regulated entities must develop and maintain a comprehensive operational risk management framework. This includes governance arrangements for oversight, assessment of operational risk profiles with defined risk appetite, effective internal controls, monitoring and reporting mechanisms, business continuity plans that are regularly tested with severe scenarios, and processes for managing service provider arrangements.</t>
  </si>
  <si>
    <t>This section mandates robust operational risk frameworks that impact data transfer and storage by requiring business continuity planning, risk assessment, and service provider management, which are critical for cross-border data resilience.</t>
  </si>
  <si>
    <t>• [Must] Develop and maintain governance arrangements for the oversight of operational risk
• [Must] Assess its operational risk profile with a defined risk appetite supported by indicators, limits and tolerance levels
• [Must] Maintain internal controls designed and operating effectively for the management of operational risks</t>
  </si>
  <si>
    <t>• [Must] Monitor, analyze and report on operational risks and establish escalation processes for operational incidents and events
• [Must] Develop business continuity plans (BCPs) that set out how the entity would identify, manage and respond to disruptions within tolerance levels and are regularly tested with severe but plausible scenarios
• [Must] Develop processes for the management of service provider arrangements</t>
  </si>
  <si>
    <t>As part of its risk management framework required under Prudential Standard CPS 220 Risk Management (CPS 220) and Prudential Standard SPS 220 Risk Management (SPS 220), an APRA-regulated entity must develop and maintain: (a) governance arrangements for the oversight of operational risk; (b) an assessment of its operational risk profile, with a defined risk appetite supported by indicators, limits and tolerance levels; (c) internal controls that are designed and operating effectively for the management of operational risks; (d) appropriate monitoring, analysis and reporting of operational risks and escalation processes for operational incidents and events; (e) business continuity plan(s) (BCPs) that set out how the entity would identify, manage and respond to a disruption within tolerance levels and are regularly tested with severe but plausible scenarios; and (f) processes for the management of service provider arrangements.</t>
  </si>
  <si>
    <t>21</t>
  </si>
  <si>
    <t>Board oversight of operational risk management</t>
  </si>
  <si>
    <t>The Board must oversee operational risk management effectiveness, approve business continuity plans and tolerance levels for critical operations, review testing results, and approve service provider management policies. The Board is responsible for ensuring senior management takes action on operational risk concerns and provides regular updates on the entity's risk profile.</t>
  </si>
  <si>
    <t>This section requires Board-level oversight of operational risk, which impacts data transfer and storage by mandating regular reviews of business continuity plans and service provider risks, critical for cross-border data resilience.</t>
  </si>
  <si>
    <t>• [Must] Oversee operational risk management and the effectiveness of key internal controls in maintaining the entity's operational risk profile within risk appetite
• [Must] Be provided with regular updates on the APRA-regulated entity's operational risk profile and ensure senior management takes action as required to address any areas of concern
• [Must] Approve the business continuity plan and tolerance levels for disruptions to critical operations</t>
  </si>
  <si>
    <t>• [Must] Review the results of testing and oversee the execution of any findings
• [Must] Approve the service provider management policy
• [Must] Review risk and performance reporting on material service providers</t>
  </si>
  <si>
    <t>The Board must: (a) oversee operational risk management and the effectiveness of key internal controls in maintaining the entity's operational risk profile within risk appetite. The Board must be provided with regular updates on the APRA-regulated entity's operational risk profile and ensure senior management takes action as required to address any areas of concern; (b) approve the BCP and tolerance levels for disruptions to critical operations, review the results of testing and oversee the execution of any findings; and (c) approve the service provider management policy, and review risk and performance reporting on material service providers.</t>
  </si>
  <si>
    <t>23</t>
  </si>
  <si>
    <t>Operational risk scope definition</t>
  </si>
  <si>
    <t>APRA-regulated entities must manage all operational risks including legal, regulatory, compliance, conduct, technology, data, and change management risks. Senior management is responsible for operational risk management across end-to-end business processes.</t>
  </si>
  <si>
    <t>This section defines operational risk scope, which includes data risk, impacting data transfer and storage by requiring comprehensive risk management across all business operations.</t>
  </si>
  <si>
    <t>• [Must] Manage its full range of operational risks, including but not limited to legal risk, regulatory risk, compliance risk, conduct risk, technology risk, data risk and change management risk</t>
  </si>
  <si>
    <t>• [Must] Senior management are responsible for operational risk management across the end-to-end process for all business operations</t>
  </si>
  <si>
    <t>An APRA-regulated entity must manage its full range of operational risks, including but not limited to legal risk, regulatory risk, compliance risk, conduct risk, technology risk, data risk and change management risk. Senior management are responsible for operational risk management across the end-to-end process for all business operations.</t>
  </si>
  <si>
    <t>24</t>
  </si>
  <si>
    <t>Maintain IT capabilities for operational risk management</t>
  </si>
  <si>
    <t>Data Storage, Security</t>
  </si>
  <si>
    <t>Personal Information, Financial Data</t>
  </si>
  <si>
    <t>APRA-regulated entities must maintain robust information and information technology capabilities to meet current and projected business needs and support critical operations. They must monitor the age and health of information assets and comply with information security requirements outlined in Prudential Standard CPS 234.</t>
  </si>
  <si>
    <t>This section requires entities to maintain IT capabilities that support critical operations, directly impacting data storage and processing resilience during cross-border operations.</t>
  </si>
  <si>
    <t>• [Must] Maintain appropriate and sound information and information technology capability to meet current and projected business requirements
• [Must] Monitor the age and health of information assets</t>
  </si>
  <si>
    <t>• [Must] Meet information security requirements in Prudential Standard CPS 234</t>
  </si>
  <si>
    <t>An APRA-regulated entity must maintain appropriate and sound information and information technology (IT) capability to meet its current and projected business requirements and to support its critical operations and risk management.</t>
  </si>
  <si>
    <t>26</t>
  </si>
  <si>
    <t>Conduct comprehensive operational risk assessment</t>
  </si>
  <si>
    <t>APRA-regulated entities must maintain a comprehensive assessment of their operational risk profile. This includes monitoring operational risk, compiling and analyzing risk data, identifying critical operations, and conducting scenario analysis to test resilience and identify mitigation strategies.</t>
  </si>
  <si>
    <t>This section mandates detailed operational risk assessments that affect data storage, processing, and resilience planning for cross-border data transfers.</t>
  </si>
  <si>
    <t>• [Must] Maintain appropriate and effective information systems to monitor operational risk, compile and analyze operational risk data, and facilitate reporting to the Board and senior management
• [Must] Identify and document processes and resources needed for critical operations, including people, technology, information, facilities, service providers, interdependencies, and associated risks</t>
  </si>
  <si>
    <t>• [Must] Undertake scenario analysis to identify and assess potential impacts of severe operational risk events</t>
  </si>
  <si>
    <t>An APRA-regulated entity must maintain a comprehensive assessment of its operational risk profile. As part of this, an APRA-regulated entity must: (a) maintain appropriate and effective information systems to monitor operational risk, compile and analyse operational risk data and facilitate reporting to the Board and senior management; (b) identify and document the processes and resources needed to deliver critical operations, including people, technology, information, facilities and service providers, the interdependencies across them, and the associated risks, obligations, key data and controls; and (c) undertake scenario analysis to identify and assess the potential impact of severe operational risk events, test its operational resilience and identify the need for new or amended controls and other mitigation strategies.</t>
  </si>
  <si>
    <t>30</t>
  </si>
  <si>
    <t>Remediate operational risk weaknesses</t>
  </si>
  <si>
    <t>APRA-regulated entities must address material weaknesses in operational risk management, including control gaps and failures. Remediation requires clear accountability, assurance, and timely root cause analysis, with identified weaknesses documented in the operational risk profile until resolved.</t>
  </si>
  <si>
    <t>This section requires remediation of operational risk weaknesses, affecting data storage and processing resilience for cross-border data transfers.</t>
  </si>
  <si>
    <t>• [Must] Remediate material weaknesses in operational risk management, including control gaps, weaknesses and failures
• [Must] Support remediation with clear accountabilities and assurance</t>
  </si>
  <si>
    <t>• [Must] Address root causes of weaknesses in a timely manner
• [Must] Include identified control gaps, weaknesses and failures in operational risk profile until remediated</t>
  </si>
  <si>
    <t>An APRA-regulated entity must remediate material weaknesses in its operational risk management, including control gaps, weaknesses and failures. This remediation must be supported by clear accountabilities and assurance and address the root causes of weaknesses in a timely manner. An APRA-regulated entity must include identified control gaps, weaknesses and failures in its operational risk profile until such matters are remediated.</t>
  </si>
  <si>
    <t>31</t>
  </si>
  <si>
    <t>Report operational risk incidents and near misses</t>
  </si>
  <si>
    <t>Incident Reporting</t>
  </si>
  <si>
    <t>APRA-regulated entities must identify, escalate, record, and address operational risk incidents and near misses within a timely manner. They must also incorporate these incidents into operational risk profile assessments to evaluate control effectiveness.</t>
  </si>
  <si>
    <t>This section mandates timely reporting of operational incidents, impacting data storage and processing resilience for cross-border data transfers.</t>
  </si>
  <si>
    <t>• [Must] Identify, escalate, record and address operational risk incidents and near misses in a timely manner</t>
  </si>
  <si>
    <t>• [Must] Take incidents and near misses into account in operational risk profile assessment and control effectiveness evaluation</t>
  </si>
  <si>
    <t>An APRA-regulated entity must ensure that operational risk incidents and near misses are identified, escalated, recorded and addressed in a timely manner. An APRA-regulated entity must take incidents and near misses into account in its assessment of its operational risk profile and control effectiveness in a timely manner.</t>
  </si>
  <si>
    <t>32</t>
  </si>
  <si>
    <t>Notify APRA of material operational incidents</t>
  </si>
  <si>
    <t>Breach Notification</t>
  </si>
  <si>
    <t>APRA-regulated entities must notify APRA within 72 hours of becoming aware of operational risk incidents that could have a material financial impact or disrupt critical operations.</t>
  </si>
  <si>
    <t>This section requires timely notification of material operational incidents, affecting data storage and processing resilience for cross-border data transfers.</t>
  </si>
  <si>
    <t>• [Must] Notify APRA as soon as possible, not later than 72 hours after becoming aware of an operational risk incident likely to have material financial impact or disrupt critical operations</t>
  </si>
  <si>
    <t>An APRA-regulated entity must notify APRA as soon as possible, and not later than 72 hours, after becoming aware of an operational risk incident that it determines to be likely to have a material financial impact or a material impact on the ability of the entity to maintain its critical operations.</t>
  </si>
  <si>
    <t>33</t>
  </si>
  <si>
    <t>Maintain critical operations continuity</t>
  </si>
  <si>
    <t>7–8</t>
  </si>
  <si>
    <t>APRA-regulated entities must define critical operations, minimize disruption risks, maintain credible business continuity plans, activate plans during disruptions, and return to normal operations promptly after disruptions.</t>
  </si>
  <si>
    <t>This section requires business continuity planning for critical operations, directly impacting data storage and processing resilience during cross-border data transfers.</t>
  </si>
  <si>
    <t>• [Must] Define, identify and maintain a register of critical operations
• [Must] Take reasonable steps to minimize likelihood and impact of disruptions to critical operations
• [Must] Maintain a credible business continuity plan for critical operations within tolerance levels</t>
  </si>
  <si>
    <t>• [Must] Activate business continuity plan if needed during disruptions
• [Must] Return to normal operations promptly after disruptions</t>
  </si>
  <si>
    <t>An APRA-regulated entity must: (a) define, identify and maintain a register of its critical operations; (b) take reasonable steps to minimise the likelihood and impact of disruptions to its critical operations; (c) maintain a credible BCP that sets out how it would maintain its critical operations within tolerance levels through disruptions, including disaster recovery planning for critical information assets; (d) activate its BCP if needed in the event of a disruption; and (e) return to normal operations promptly after a disruption is over.</t>
  </si>
  <si>
    <t>34</t>
  </si>
  <si>
    <t>Definition of critical operations for financial entities</t>
  </si>
  <si>
    <t>This section defines critical operations as processes within an APRA-regulated entity or its service provider that, if disrupted beyond tolerance levels, would cause material adverse impacts on depositors, policyholders, beneficiaries, other customers, or the entity's role in the financial system. The definition specifies the types of processes that qualify as critical operations based on the entity's regulatory category.</t>
  </si>
  <si>
    <t>Critical operations must be identified to ensure data transfers and processing activities are resilient against disruptions that could affect financial stability or customer trust.</t>
  </si>
  <si>
    <t>• [Definition] Critical operations are processes undertaken by an APRA-regulated entity or its service provider
• [Definition] If disrupted beyond tolerance levels, would have a material adverse impact on depositors, policyholders, beneficiaries or other customers</t>
  </si>
  <si>
    <t>• [Definition] If disrupted beyond tolerance levels, would have a material adverse impact on the entity's role in the financial system</t>
  </si>
  <si>
    <t>Critical operations are processes undertaken by an APRA-regulated entity or its service provider which, if disrupted beyond tolerance levels, would have a material adverse impact on its depositors, policyholders, beneficiaries or other customers, or its role in the financial system.</t>
  </si>
  <si>
    <t>Minimum critical operations classification for financial entities</t>
  </si>
  <si>
    <t>APRA-regulated entities must classify specific business operations as critical operations unless justified otherwise. For Australian deposit-taking institutions, critical operations include payments, deposit-taking and management, custody, settlements and clearing. Insurers must classify claims processing as critical, while RSE licensees must classify investment management and fund administration as critical. All entities must classify customer enquiries and supporting systems as critical.</t>
  </si>
  <si>
    <t>Identifying critical operations ensures data transfers and processing activities are prioritized for resilience, reducing risks to financial stability and customer trust.</t>
  </si>
  <si>
    <t>• [Must] An APRA-regulated entity must classify the following business operations as critical operations, unless it can justify otherwise
• [Must] For an ADI: payments, deposit-taking and management, custody, settlements and clearing
• [Must] For an insurer (general, life, private health): claims processing</t>
  </si>
  <si>
    <t>• [Must] For an RSE licensee: investment management and fund administration
• [Must] For all APRA-regulated entities: customer enquiries and the systems and infrastructure needed to support critical operations</t>
  </si>
  <si>
    <t>An APRA-regulated entity must, at a minimum, classify the following business operations as critical operations, unless it can justify otherwise: (a) for an ADI: payments, deposit-taking and management, custody, settlements and clearing; (b) for an insurer (general, life, private health): claims processing; (c) for an RSE licensee: investment management and fund administration; and (d) for all APRA-regulated entities: customer enquiries and the systems and infrastructure needed to support critical operations.</t>
  </si>
  <si>
    <t>Notification requirement for critical operation disruptions</t>
  </si>
  <si>
    <t>Incident Reporting, Breach Notification</t>
  </si>
  <si>
    <t>APRA-regulated entities must notify APRA within 24 hours of any disruption to a critical operation that exceeds tolerance levels. The notification must detail the nature of the disruption, actions taken, likely impact on business operations, and the timeframe for returning to normal operations. This ensures timely regulatory oversight of critical system failures.</t>
  </si>
  <si>
    <t>Critical operation disruptions must be reported to regulators within 24 hours to ensure timely intervention and mitigation of cross-border data transfer risks.</t>
  </si>
  <si>
    <t>• [Must] An APRA-regulated entity must notify APRA as soon as possible, and not later than 24 hours after, if it has suffered a disruption to a critical operation outside tolerance
• [Must] The notification must cover the nature of the disruption
• [Must] The notification must cover the action taken</t>
  </si>
  <si>
    <t>• [Must] The notification must cover the likely impact on the entity's business operations
• [Must] The notification must cover the timeframe for returning to normal operations</t>
  </si>
  <si>
    <t>An APRA-regulated entity must notify APRA as soon as possible, and not later than 24 hours after, if it has suffered a disruption to a critical operation outside tolerance. The notification must cover the nature of the disruption, the action taken, the likely impact on the entity's business operations and the timeframe for returning to normal operations.</t>
  </si>
  <si>
    <t>49</t>
  </si>
  <si>
    <t>Material service provider classification for financial entities</t>
  </si>
  <si>
    <t>10–11</t>
  </si>
  <si>
    <t>APRA-regulated entities must classify specific service providers as material service providers unless justified otherwise. For Australian deposit-taking institutions, material service providers include credit assessment, funding and liquidity management, and mortgage brokerage. Insurers must classify underwriting, claims management, insurance brokerage, and reinsurance as material service providers. RSE licensees must classify fund administration, custodial services, investment management, and arrangements with promoters and financial planners as material service providers. All entities must classify risk management, core technology services, and internal audit as material service providers.</t>
  </si>
  <si>
    <t>Material service providers must be identified to ensure data transfers and processing activities are monitored for risks to financial stability and customer trust.</t>
  </si>
  <si>
    <t>• [Must] An APRA-regulated entity must classify a provider of the following services as a material service provider, unless it can justify otherwise
• [Must] For an ADI: credit assessment, funding and liquidity management and mortgage brokerage
• [Must] For an insurer (general, life, private health): underwriting, claims management, insurance brokerage and reinsurance</t>
  </si>
  <si>
    <t>• [Must] For an RSE licensee: fund administration, custodial services, investment management and arrangements with promoters and financial planners
• [Must] For all APRA-regulated entities: risk management, core technology services and internal audit</t>
  </si>
  <si>
    <t>An APRA-regulated entity must, at a minimum, classify a provider of the following services as a material service provider, unless it can justify otherwise: (a) for an ADI: credit assessment, funding and liquidity management and mortgage brokerage; (b) for an insurer (general, life, private health): underwriting, claims management, insurance brokerage and reinsurance; (c) for an RSE licensee: fund administration, custodial services, investment management and arrangements with promoters and financial planners; and (d) for all APRA-regulated entities: risk management, core technology services and internal audit.</t>
  </si>
  <si>
    <t>52</t>
  </si>
  <si>
    <t>Due diligence for material service providers</t>
  </si>
  <si>
    <t>Before entering into or materially modifying a material arrangement, APRA-regulated entities must conduct due diligence, including a selection process and assessment of the service provider's ability to provide services on an ongoing basis. They must also assess financial and non-financial risks from reliance on the service provider, including risks related to geographic location or concentration of service providers.</t>
  </si>
  <si>
    <t>Material service providers must undergo due diligence to ensure data transfers and processing activities are resilient against financial and operational risks.</t>
  </si>
  <si>
    <t>• [Must] Before entering into or materially modifying a material arrangement, an APRA-regulated entity must undertake appropriate due diligence, including an appropriate selection process and an assessment of the ability of the service provider to provide the service on an ongoing basis
• [Must] Before entering into or materially modifying a material arrangement, an APRA-regulated entity must assess the financial and non-financial risks from reliance on the service provider</t>
  </si>
  <si>
    <t>• [Must] Assess risks associated with geographic location or concentration of the service provider(s) or parties the service provider relies on in providing the service</t>
  </si>
  <si>
    <t>Before entering into or materially modifying a material arrangement, an APRA-regulated entity must: (a) undertake appropriate due diligence, including an appropriate selection process and an assessment of the ability of the service provider to provide the service on an ongoing basis; and (b) assess the financial and non-financial risks from reliance on the service provider, including risks associated with geographic location or concentration of the service provider(s) or parties the service provider relies on in providing the service.</t>
  </si>
  <si>
    <t>53</t>
  </si>
  <si>
    <t>Formal agreements for material service providers</t>
  </si>
  <si>
    <t>11–12</t>
  </si>
  <si>
    <t>APRA-regulated entities must maintain formal legally binding agreements for all material arrangements. These agreements must specify services covered, rights and responsibilities of each party, ownership of assets, data control, dispute resolution, audit access, liability, indemnity, notification of sub-contractors, force majeure provisions, and termination rights. For RSE licensees, termination provisions must align with their duty to act in the best financial interests of beneficiaries.</t>
  </si>
  <si>
    <t>Formal agreements for material service providers ensure data transfers and processing activities are governed by clear contractual safeguards to mitigate financial and operational risks.</t>
  </si>
  <si>
    <t>• [Must] For all material arrangements, an APRA-regulated entity must maintain a formal legally binding agreement
• [Must] The formal agreement must specify the services covered by the agreement and associated service levels
• [Must] The formal agreement must set out the rights, responsibilities and expectations of each party to the agreement, including in relation to the ownership of assets, ownership and control of data, dispute resolution, audit access, liability and indemnity
• [Must] The formal agreement must include provisions to ensure the entity can meet its legal and compliance obligations
• [Must] The formal agreement must require notification by the service provider of its use of other material service providers that it materially relies upon in providing the service through sub-contracting or other arrangements</t>
  </si>
  <si>
    <t>• [Must] The formal agreement must require the liability for any failure on the part of any sub-contractor to be the responsibility of the service provider
• [Must] The formal agreement must include a force majeure provision indicating those parts of the contract that would continue in the case of a force majeure event
• [Must] The formal agreement must include termination provisions including the right to terminate both the arrangement in its entirety or parts of the arrangement
• [Must] For an RSE licensee, termination provisions must include the ability to terminate the arrangement where continuing would be inconsistent with the duty to act in the best financial interests of beneficiaries</t>
  </si>
  <si>
    <t>For all material arrangements, an APRA-regulated entity must maintain a formal legally binding agreement (formal agreement). The formal agreement must, at a minimum: (a) specify the services covered by the agreement and associated service levels; (b) set out the rights, responsibilities and expectations of each party to the agreement, including in relation to the ownership of assets, ownership and control of data, dispute resolution, audit access, liability and indemnity; (c) include provisions to ensure the ability of the entity to meet its legal and compliance obligations; (d) require notification by the service provider of its use of other material service providers that it materially relies upon in providing the service to the APRA-regulated entity through sub-contracting or other arrangements; (e) require the liability for any failure on the part of any sub-contractor to be the responsibility of the service provider; (f) include a force majeure provision indicating those parts of the contract that would continue in the case of a force majeure event; and (g) termination provisions including, but not limited to, the right to terminate both the arrangement in its entirety or parts of the arrangement.</t>
  </si>
  <si>
    <t>61</t>
  </si>
  <si>
    <t>Internal audit review of critical outsourcing arrangements</t>
  </si>
  <si>
    <t>13–14</t>
  </si>
  <si>
    <t>Third Party Processing, Cloud Services, Outsourcing</t>
  </si>
  <si>
    <t>An APRA-regulated entity's internal audit function must review any proposed material arrangement involving the outsourcing of a critical operation. The internal audit function must regularly report to the Board or Board Audit Committee on compliance with the entity's service provider management policy regarding such arrangements.</t>
  </si>
  <si>
    <t>This section requires internal audit oversight of critical outsourcing arrangements, impacting data transfer impact assessments by mandating specific review and reporting mechanisms for offshoring activities involving critical operations.</t>
  </si>
  <si>
    <t>• [Must] An APRA-regulated entity's internal audit function must review any proposed material arrangement involving the outsourcing of a critical operation</t>
  </si>
  <si>
    <t>• [Must] The internal audit function must regularly report to the Board or Board Audit Committee on compliance of such arrangements with the entity's service provider management policy</t>
  </si>
  <si>
    <t>61. An APRA-regulated entity's internal audit function must review any proposed material arrangement involving the outsourcing of a critical operation. The internal audit function must regularly report to the Board or Board Audit Committee on compliance of such arrangements with the entity's service provider management policy.</t>
  </si>
  <si>
    <t>Prudential-Practice-Guide-CPG-235-Managing-Data-Risk_1 (Australia - Row 4)</t>
  </si>
  <si>
    <t>Data risk management importance for business objectives</t>
  </si>
  <si>
    <t>Governance</t>
  </si>
  <si>
    <t>This section states that managing data and associated risks is crucial for meeting financial and stakeholder obligations, effective management, and proper governance. It emphasizes that weaknesses in data risk management are a recurring focus of APRA's supervision activities, highlighting the need for this practice guide to address ongoing gaps.</t>
  </si>
  <si>
    <t>This section establishes the foundational importance of data risk management for regulated entities, directly impacting how data transfers and processing activities are assessed for compliance with governance and oversight requirements.</t>
  </si>
  <si>
    <t>• [Must] Management of data and associated risks is important for meeting financial and stakeholder obligations</t>
  </si>
  <si>
    <t>• [Must] Effective data risk management is a recurring focus of APRA's supervision activities</t>
  </si>
  <si>
    <t>The management of data and associated risks is important for a broad range of business objectives including meeting financial and other obligations to stakeholders, effective management and proper governance.</t>
  </si>
  <si>
    <t>Data's role in business objectives and stakeholder expectations</t>
  </si>
  <si>
    <t>This section explains that data is essential for regulated entities to achieve business objectives, with increased reliance on data due to process automation and analytics. Stakeholders including boards, management, customers, and regulators now expect effective data management, treating data as a valuable asset.</t>
  </si>
  <si>
    <t>This section clarifies the strategic importance of data as an asset, influencing how data transfers and processing activities are evaluated for alignment with stakeholder expectations and business objectives.</t>
  </si>
  <si>
    <t>• [Must] Data is essential for achieving business objectives
• [Must] Reliance on data has increased due to process automation and analytics</t>
  </si>
  <si>
    <t>• [Must] Stakeholders including boards, management, customers, and regulators expect effective data management
• [Must] Data should be treated as a valuable asset</t>
  </si>
  <si>
    <t>Data is essential for a regulated entity to achieve its business objectives. Furthermore, reliance on data has increased as a result of process automation and greater reliance on analytics and business intelligence to support decision-making.</t>
  </si>
  <si>
    <t>Guidance for data risk management audiences</t>
  </si>
  <si>
    <t>This section states that the practice guide provides guidance to senior management, risk management, business, and technical specialists. It emphasizes the need for sound risk management disciplines and business understanding to effectively manage data risk profiles, facilitating business initiatives and compliance with regulatory requirements.</t>
  </si>
  <si>
    <t>This section outlines the target audiences for data risk management guidance, ensuring that all relevant stakeholders understand their roles in assessing data transfers and processing activities.</t>
  </si>
  <si>
    <t>• [Must] This PPG provides guidance to senior management, risk management, business and technical specialists
• [Must] Effective data risk management facilitates business initiatives</t>
  </si>
  <si>
    <t>• [Must] Effective data risk management assists compliance with regulatory and legal requirements</t>
  </si>
  <si>
    <t>This PPG aims to provide guidance to senior management, risk management, business and technical specialists.</t>
  </si>
  <si>
    <t>Governance for effective data risk management</t>
  </si>
  <si>
    <t>This section states that governance is vital to ensure data risk management processes are properly designed and operating effectively. It requires clear articulation of Board and senior management responsibilities, formal delegation of authority, and regular oversight to align with corporate governance frameworks.</t>
  </si>
  <si>
    <t>This section specifies governance requirements for data risk management, directly impacting how data transfers and processing activities are assessed for compliance with oversight and accountability standards.</t>
  </si>
  <si>
    <t>• [Must] Governance ensures data risk management and related business processes are properly designed and operating effectively
• [Must] Effective governance involves clear articulation of Board and senior management responsibilities</t>
  </si>
  <si>
    <t>• [Must] Effective governance requires formal delegation of authority
• [Must] Effective governance includes regular oversight</t>
  </si>
  <si>
    <t>As with any process, governance is vital to ensure that data risk management and related business processes are properly designed and operating effectively to meet the needs of the regulated entity.</t>
  </si>
  <si>
    <t>Data risk examples and scope</t>
  </si>
  <si>
    <t>This section defines data risk as the risk of loss from inadequate internal processes, people, systems, or external events. It includes examples such as fraud due to data theft, business disruption from data corruption, execution failures from inaccurate data, and breaches of legal obligations due to sensitive data disclosure.</t>
  </si>
  <si>
    <t>This section provides concrete examples of data risks that must be considered during data transfer impact assessments, particularly for financial data transfers and processing activities.</t>
  </si>
  <si>
    <t>• [Must] Data risk encompasses risk of loss from inadequate or failed internal processes, people and systems
• [Must] Data risk encompasses risk of loss from external events impacting on data
• [Must] Data risk includes fraud due to theft of data</t>
  </si>
  <si>
    <t>• [Must] Data risk includes business disruption due to data corruption or unavailability
• [Must] Data risk includes execution delivery failure due to inaccurate data
• [Must] Data risk includes breach of legal or compliance obligations from disclosure of sensitive data</t>
  </si>
  <si>
    <t>Data risk encompasses the risk of loss resulting from inadequate or failed internal processes, people and systems or from external events impacting on data.</t>
  </si>
  <si>
    <t>Data risk as a subset of operational risk</t>
  </si>
  <si>
    <t>This section states that data risk is a subset of operational risk, including information and IT risk. It overlaps with information and IT security risk, and emphasizes that data risk can adversely affect regulated entities and result in failure to meet business objectives, including regulatory and legal requirements.</t>
  </si>
  <si>
    <t>This section clarifies the relationship between data risk and operational risk, which is critical for assessing the impact of data transfers and processing activities on regulatory compliance.</t>
  </si>
  <si>
    <t>• [Must] Data risk is considered a subset of operational risk
• [Must] Data risk includes information and information technology risk
• [Must] Information and information technology security risk overlaps with data risk</t>
  </si>
  <si>
    <t>• [Must] Data risk can adversely affect a regulated entity
• [Must] Data risk may result in failure to meet business objectives</t>
  </si>
  <si>
    <t>For the purposes of this PPG, data risk is considered to be a subset of operational risk, which includes information and information technology risk.</t>
  </si>
  <si>
    <t>Data risk management aligned with operational risk frameworks</t>
  </si>
  <si>
    <t>Australian Prudential Regulation Authority</t>
  </si>
  <si>
    <t>Regulated entities must align their data risk management with operational risk frameworks and other relevant risk management frameworks such as credit, market, and insurance risk frameworks. This alignment depends on the specific data involved and ensures comprehensive risk coverage across different business areas.</t>
  </si>
  <si>
    <t>Data risk management must be integrated with operational risk frameworks to ensure consistent handling of data across business processes, critical for cross-border data transfers involving financial institutions.</t>
  </si>
  <si>
    <t>• [Must] Regulated entities must manage data risk in alignment with operational risk frameworks</t>
  </si>
  <si>
    <t>• [Must] Regulated entities must align data risk management with other relevant risk management frameworks</t>
  </si>
  <si>
    <t>A regulated entity would typically manage data risk in alignment with the operational risk framework and, where relevant, in conjunction with other risk management frameworks (e.g. credit, market and insurance risk management frameworks), depending on the nature of the data involved.</t>
  </si>
  <si>
    <t>Regular assessment of data control adequacy</t>
  </si>
  <si>
    <t>Regulated entities must regularly assess the adequacy of data controls to ensure they operate within their risk appetite. This assessment occurs when introducing new business processes and periodically thereafter, or after significant changes to data usage, internal controls, or external environments. The assessment considers end-to-end data use and related controls.</t>
  </si>
  <si>
    <t>Regular assessment of data controls ensures data transfers comply with risk appetite, critical for DTIAs involving financial data across borders.</t>
  </si>
  <si>
    <t>• [Must] Regulated entities must assess data control adequacy when introducing new business processes
• [Must] Regulated entities must periodically assess data control adequacy after material changes to data usage, internal controls, or external environments</t>
  </si>
  <si>
    <t>• [Must] Assessment must consider end-to-end use of data and related control environment</t>
  </si>
  <si>
    <t>The adequacy of data controls in ensuring that a regulated entity operates within its risk appetite would normally be assessed as part of introducing new business processes and then on a regular basis thereafter (or following material change to either the process, usage of data, internal controls or external environments).</t>
  </si>
  <si>
    <t>Data classification dimensions for risk management</t>
  </si>
  <si>
    <t>Regulated entities must consider confidentiality, accountability, authenticity, and non-repudiation when classifying data based on business criticality and sensitivity. These dimensions ensure data access is restricted to authorized users, actions can be attributed, data is genuine, and events cannot be denied.</t>
  </si>
  <si>
    <t>Data classification dimensions like confidentiality and non-repudiation are critical for DTIAs to ensure data transfers maintain integrity and traceability across borders.</t>
  </si>
  <si>
    <t>• [Must] Confidentiality: restriction of data access to authorized users, software and hardware
• [Must] Accountability: ability to attribute responsibility for an action</t>
  </si>
  <si>
    <t>• [Must] Authenticity: condition of being genuine
• [Must] Non-repudiation: concept that an event cannot later be denied</t>
  </si>
  <si>
    <t>Other dimensions that could also be relevant, depending on the nature and use of specific data, include: (a) confidentiality: restriction of data access to authorised users, software and hardware; (b) accountability: the ability to attribute the responsibility for an action; (c) authenticity: the condition of being genuine; and (d) non-repudiation: the concept that an event cannot later be denied.</t>
  </si>
  <si>
    <t>18</t>
  </si>
  <si>
    <t>Data classification by criticality and sensitivity</t>
  </si>
  <si>
    <t>Regulated entities must classify data based on business criticality and sensitivity, considering end-to-end use. This classification should leverage existing business impact analysis processes and be determined by business requirements to ensure appropriate risk management.</t>
  </si>
  <si>
    <t>Data classification by criticality and sensitivity ensures DTIAs account for data's importance in cross-border transfers, critical for financial institutions.</t>
  </si>
  <si>
    <t>• [Must] Regulated entities must classify data based on business criticality and sensitivity</t>
  </si>
  <si>
    <t>• [Must] Classification must consider end-to-end use of data</t>
  </si>
  <si>
    <t>For the purposes of managing data risk, a regulated entity would typically classify data based on business criticality and sensitivity. The assessment would typically take into account the end-to-end use of the data.</t>
  </si>
  <si>
    <t>20</t>
  </si>
  <si>
    <t>Formal data risk management framework requirements</t>
  </si>
  <si>
    <t>8–9</t>
  </si>
  <si>
    <t>Regulated entities must adopt a systematic and formalized data risk management framework that includes policies, standards, alignment with enterprise frameworks, designated owners, roles and responsibilities, and regular reviews. This framework must ensure data risk is integrated into change management and business-as-usual processes.</t>
  </si>
  <si>
    <t>Formal data risk management frameworks are essential for DTIAs to ensure data transfers comply with robust controls and risk appetite, critical for financial data.</t>
  </si>
  <si>
    <t>• [Must] Data risk management framework must include a hierarchy of policies, standards, guidelines, procedures and documentation
• [Must] Framework must align with enterprise frameworks such as operational risk, security, project management, system development, business continuity, outsourcing/offshoring, and risk management
• [Must] Framework must include expectations of the Board and senior management
• [Must] Framework must assign designated owners</t>
  </si>
  <si>
    <t>• [Must] Framework must outline roles and responsibilities of staff
• [Must] Framework must enable design and implementation of data controls commensurate with data criticality and sensitivity
• [Must] Framework must be reviewed on a regular basis with periodic assessment against current practices and industry standards</t>
  </si>
  <si>
    <t>A regulated entity would typically adopt a systematic and formalised approach that ensures data risk is taken into consideration as part of its change management and business-as-usual processes. This could be encapsulated in a formally approved data risk management framework outlining the entity's approach to managing data risk that: (a) includes a hierarchy of policies, standards, guidelines, procedures and other documentation supporting business processes; (b) aligns with other enterprise frameworks such as operational risk, security, project management, system development, business continuity management, outsourcing/offshoring management and risk management; (c) includes the expectations of the Board and senior management; (d) assigns a designated owner or owners; (e) outlines the roles and responsibilities of staff to ensure effective data risk management outcomes; (f) enables the design and implementation of data controls. The strength of controls would normally be commensurate with the criticality and sensitivity of the data involved; and (g) is reviewed on a regular basis, with periodic assessment for completeness against current practices and industry standards.</t>
  </si>
  <si>
    <t>Data risk management framework development strategy</t>
  </si>
  <si>
    <t>Regulated entities must establish and continuously develop their data risk management framework through a defined strategy and program of work with clear budget, resources, timelines, and milestones. This framework must be integrated into change management and business-as-usual processes and aligned with business, IT, and security strategies.</t>
  </si>
  <si>
    <t>Data risk management framework development ensures DTIAs incorporate strategic alignment with business and IT strategies, critical for cross-border data transfers.</t>
  </si>
  <si>
    <t>• [Must] Data risk management framework establishment must be directed by a data risk management strategy and supporting program of work with defined budget, resource requirements, timeframes and milestones
• [Must] Data risk management framework development must be an integral part of change management and business-as-usual processes</t>
  </si>
  <si>
    <t>• [Must] Data risk management strategy must align with business, information technology, and security strategies</t>
  </si>
  <si>
    <t>The establishment and ongoing development of the data risk management framework would normally be: (a) directed by a data risk management strategy and supporting program of work with a clearly defined budget, resource requirements, timeframes and milestones; and (b) an integral part of a regulated entity's change management and business-as-usual processes. A data risk management strategy would typically be aligned with the regulated entity's business, information technology, and security strategies as appropriate.</t>
  </si>
  <si>
    <t>22</t>
  </si>
  <si>
    <t>Data risk management principles for regulated entities</t>
  </si>
  <si>
    <t>Data Storage, Data Sharing</t>
  </si>
  <si>
    <t>Regulated entities must establish high-level data risk management principles to ensure sound data risk management. These principles include limiting data access to business needs, validating data close to capture points, using automation where feasible, timely issue reporting, assessing data quality, and designing controls assuming staff lack knowledge of policies. These principles apply to all staff and processes within the entity.</t>
  </si>
  <si>
    <t>These principles provide foundational safeguards for data risk management that impact cross-border data transfers by requiring data minimization, quality assurance, and timely issue resolution.</t>
  </si>
  <si>
    <t>• [Must] Access to data is only granted where required to conduct business processes
• [Must] Data validation, correction and cleansing occur as close to the point of capture as possible
• [Must] Automation (where viable) is used as an alternative to manual processes</t>
  </si>
  <si>
    <t>• [Must] Timely detection and reporting of data issues to minimise the time in which an issue can impact on the entity
• [Must] Assessment of data quality to ensure it is acceptable for the intended purpose
• [Must] Design of the control environment is based on the assumption that staff do not know what the data risk management policies and procedures are</t>
  </si>
  <si>
    <t>APRA envisages that a regulated entity would adopt a set of high-level principles in order to establish a sound foundation for data risk management. Data risk management principles could include: (a) access to data is only granted where required to conduct business processes; (b) data validation, correction and cleansing occur as close to the point of capture as possible; (c) automation (where viable) is used as an alternative to manual processes; (d) timely detection and reporting of data issues to minimise the time in which an issue can impact on the entity; (e) assessment of data quality to ensure it is acceptable for the intended purpose; and (f) design of the control environment is based on the assumption that staff do not know what the data risk management policies and procedures are.</t>
  </si>
  <si>
    <t>Formal roles and responsibilities for data risk management</t>
  </si>
  <si>
    <t>9–10</t>
  </si>
  <si>
    <t>Data Sharing</t>
  </si>
  <si>
    <t>Regulated entities must formally assign data risk management roles and responsibilities to staff, customers, service providers, and third parties. This includes defining data-specific roles such as data officers, custodians, owners/stewards, and governance functions, as well as risk management and compliance roles. These responsibilities apply to all entities subject to APRA regulation.</t>
  </si>
  <si>
    <t>Clear role definitions are critical for DTIAs as they ensure accountability in data transfers and processing, particularly for third parties and cross-border data flows.</t>
  </si>
  <si>
    <t>• [Must] Formal roles and responsibilities for data risk management are allocated to appropriately skilled staff
• [Must] Data roles and responsibilities for general staff and data users are defined
• [Must] Data-specific roles and responsibilities, such as data officers, custodians, owners/stewards, and designated business sponsors, are established
• [Must] Governance functions and reporting mechanisms to assess data risk management framework effectiveness are implemented</t>
  </si>
  <si>
    <t>• [Must] Risk management, assurance and compliance roles are defined
• [Must] Data risk management framework roles, including maintenance, review, compliance monitoring, training and awareness, are established
• [Must] Responsibilities for data monitoring and management are assigned</t>
  </si>
  <si>
    <t>A key element in effective data risk management is the allocation of formal roles and responsibilities (pertaining to data) to appropriately skilled staff. This would typically articulate the data risk management responsibilities of staff, customers, service providers and other third parties.</t>
  </si>
  <si>
    <t>Ongoing compliance with data risk management</t>
  </si>
  <si>
    <t>Regulated entities must implement processes to ensure ongoing compliance with regulatory and data risk management requirements. This includes regular checks by the compliance function, reporting mechanisms such as metrics and exceptions, and management reviews to verify adherence to data risk management standards.</t>
  </si>
  <si>
    <t>Ongoing compliance mechanisms are essential for DTIAs to ensure that data transfers remain compliant over time, particularly in dynamic regulatory environments.</t>
  </si>
  <si>
    <t>• [Must] Regulated entities implement processes to ensure compliance with regulatory and legal requirements and data risk management requirements
• [Must] Ongoing checks by the compliance function (or equivalent) are conducted</t>
  </si>
  <si>
    <t>• [Must] Reporting mechanisms (e.g. metrics, exceptions) are established
• [Must] Management reviews are conducted to verify compliance with data risk management requirements</t>
  </si>
  <si>
    <t>APRA expects that a regulated entity would implement processes that ensure compliance with regulatory and legal requirements and data risk management requirements. This would typically include ongoing checks by the compliance function (or equivalent), supported by reporting mechanisms (e.g. metrics, exceptions) and management reviews.</t>
  </si>
  <si>
    <t>27</t>
  </si>
  <si>
    <t>Understanding data characteristics for risk management</t>
  </si>
  <si>
    <t>Regulated entities must understand the nature and characteristics of data used for business purposes, assess data quality, map data flows (data lineage), and identify data risks and associated controls. These requirements apply to all entities subject to APRA regulation.</t>
  </si>
  <si>
    <t>Understanding data characteristics is critical for DTIAs as it helps identify data risks and appropriate safeguards when transferring data across borders.</t>
  </si>
  <si>
    <t>• [Must] Regulated entities understand the nature and characteristics of the data used for business purposes
• [Must] Regulated entities are able to assess the quality of the data</t>
  </si>
  <si>
    <t>• [Must] Regulated entities understand the flow of data and processing undertaken (data lineage)
• [Must] Regulated entities understand the data risks and associated controls</t>
  </si>
  <si>
    <t>In order to ensure that data risk management is effective, it is important that a regulated entity: (a) understands the nature and characteristics of the data used for business purposes; (b) is able to assess the quality of the data; (c) understands the flow of data and processing undertaken (i.e. data lineage); and (d) understands the data risks and associated controls.</t>
  </si>
  <si>
    <t>28</t>
  </si>
  <si>
    <t>Data architecture practices for risk management</t>
  </si>
  <si>
    <t>Regulated entities can use data architecture practices to support data risk management, including defining data strategy, metadata, technical diagrams, data lifecycle controls, and standards for systems and data repositories. These practices help ensure data is captured, processed, retained, published, and disposed of securely.</t>
  </si>
  <si>
    <t>Data architecture practices provide DTIAs with a framework to assess data flows and controls, particularly important for cross-border data transfers involving multiple systems and third parties.</t>
  </si>
  <si>
    <t>• [May] Data architecture practices assist in understanding how data is captured, processed, retained, published and disposed of
• [May] Data strategy is a component of the broader business and information technology strategies
• [May] Metadata, including definitions, descriptions, sources, usages, update mechanisms, owners, authorised users, criticality, sensitivity and quality requirements, is documented</t>
  </si>
  <si>
    <t>• [May] Diagrams and detailed technical information describing data structure, flow, systems and repositories are maintained
• [May] Controls necessary across the data life-cycle are implemented
• [May] Standards and guidelines for systems, data repositories, interfaces and data controls are established</t>
  </si>
  <si>
    <t>Data risk management could be supported by the use of data architecture practices. These practices assist in understanding how data is captured, processed, retained, published and disposed of.</t>
  </si>
  <si>
    <t>Data risk management across the data lifecycle</t>
  </si>
  <si>
    <t>Regulated entities must ensure data risk is considered at each stage of the data lifecycle (capture, processing, retention, publication, disposal) with appropriate controls implemented to meet data requirements. This applies to all entities subject to APRA regulation.</t>
  </si>
  <si>
    <t>This section is critical for DTIAs as it mandates comprehensive data lifecycle controls, which directly impact cross-border data transfers and storage.</t>
  </si>
  <si>
    <t>• [Must] Data risk is considered at each stage of the data lifecycle</t>
  </si>
  <si>
    <t>• [Must] Appropriate controls are implemented to ensure data requirements are met at each lifecycle stage</t>
  </si>
  <si>
    <t>APRA envisages that a regulated entity would ensure that data risk is considered at each stage of its life-cycle and that appropriate controls are implemented to ensure that data requirements are met. Data-related life-cycle stages typically include data capture, processing, retention, publication and disposal.</t>
  </si>
  <si>
    <t>Data capture controls for quality validation</t>
  </si>
  <si>
    <t>This section mandates that data capture controls, including manual entry and automated feeds, must ensure new data meets quality standards. It requires validation mechanisms before data acceptance, error detection for automated feeds, and specifications for handling quality issues in agreements with internal and external parties. These controls apply to regulated entities handling data processing activities.</t>
  </si>
  <si>
    <t>Data capture controls ensure data quality before transfer or processing, critical for maintaining data integrity during cross-border data flows.</t>
  </si>
  <si>
    <t>• [Must] User interfaces must conduct appropriate validation before data is accepted
• [Must] Mechanisms must detect if automated data feeds are functioning as expected and prevent erroneous data from progressing beyond capture</t>
  </si>
  <si>
    <t>• [Must] Specification of data quality requirements and mechanisms for handling data quality issues must be included in agreements with internal and external parties</t>
  </si>
  <si>
    <t>Data capture controls, including manual entry of data as well as automated data feeds from internal business units and external sources, would typically be designed to ensure that newly introduced data meets data quality requirements.</t>
  </si>
  <si>
    <t>Data processing quality controls for regulatory compliance</t>
  </si>
  <si>
    <t>Regulated entities must implement controls to ensure data processing and outputs continue meeting quality requirements. This includes managing data integration, ensuring changes to production environments maintain quality through approved methodologies, exception handling for timely issue resolution, and error-handling mechanisms like backups and rollbacks. These controls apply to entities processing data for regulatory purposes.</t>
  </si>
  <si>
    <t>Data processing quality controls prevent downstream data issues during cross-border transfers by ensuring consistent data quality through integrated validation and error recovery mechanisms.</t>
  </si>
  <si>
    <t>• [Must] Controls must manage data integration to handle extraction, transformation and loading mechanisms
• [Must] Acquisition and implementation via approved development, change and project management methodologies must ensure data quality is not compromised by production environment changes</t>
  </si>
  <si>
    <t>• [Must] Exception handling must identify and respond to data quality issues in a timely manner
• [Must] Error-handling must ensure data can be restored or corrected to a known level of data quality through mechanisms like database checkpoints, rollbacks, backups, and re-runnable processes</t>
  </si>
  <si>
    <t>A regulated entity would typically implement controls to ensure that data processing (the application of business rules to data, including regulatory and legal requirements) and the output generated continue to meet data quality requirements.</t>
  </si>
  <si>
    <t>36</t>
  </si>
  <si>
    <t>Data retention controls for offshore hosting risks</t>
  </si>
  <si>
    <t>Data retention controls must address risks from data storage, including offshore hosting and outsourcing. These controls ensure data requirements are not compromised by storage-related risks, with specific guidance provided by APRA's prudential standards on security, business continuity, and outsourcing. This applies to regulated entities managing data storage.</t>
  </si>
  <si>
    <t>Data retention controls mitigate risks associated with offshore data storage and outsourcing, critical for ensuring data integrity during cross-border data transfers.</t>
  </si>
  <si>
    <t>• [Must] Data retention controls must ensure data requirements are not compromised as a result of risks associated with storage, including offshore hosting and outsourcing</t>
  </si>
  <si>
    <t>Data retention controls would typically be in place to ensure that data requirements are not compromised as a result of risks associated with the storage of data.</t>
  </si>
  <si>
    <t>Formal retention strategy for data accessibility</t>
  </si>
  <si>
    <t>Medium (minor interpretation)</t>
  </si>
  <si>
    <t>Regulated entities should develop formal retention strategies addressing data accessibility risks and archiving/recovery requirements. This includes mechanisms to ensure compliance with business and regulatory needs, while mitigating issues like accidental deletion, data corruption, technology changes, and poor asset management. These strategies apply to entities managing data retention.</t>
  </si>
  <si>
    <t>Formal retention strategies ensure data accessibility and compliance with regulatory requirements, reducing risks during cross-border data transfers.</t>
  </si>
  <si>
    <t>• [Should] A formal retention strategy must address risks associated with data accessibility and take into account archiving and recovery requirements</t>
  </si>
  <si>
    <t>A regulated entity could find it beneficial to develop a formal retention strategy that addresses the risks associated with data accessibility, and takes into account archiving and recovery requirements.</t>
  </si>
  <si>
    <t>39</t>
  </si>
  <si>
    <t>Data publication controls for quality assurance</t>
  </si>
  <si>
    <t>Data publication controls must ensure published information meets user content and quality requirements. This includes acquisition and implementation controls for new publication mechanisms, validation and monitoring to maintain quality, and processes for managing user-raised data issues. These controls apply to entities producing information for internal and external stakeholders.</t>
  </si>
  <si>
    <t>Data publication controls ensure quality of externally shared data, critical for maintaining data integrity during cross-border data transfers.</t>
  </si>
  <si>
    <t>• [Must] Acquisition and implementation controls must be in place for new publication mechanisms to ensure published data meets user requirements
• [Must] Validation and monitoring controls must ensure published data continues to meet specified user requirements</t>
  </si>
  <si>
    <t>• [Must] Processes must manage data issues raised by users</t>
  </si>
  <si>
    <t>Data publication refers to the production of information for internal and external stakeholders (e.g. operational information, management information, customer information, media releases, regulatory reporting).</t>
  </si>
  <si>
    <t>40</t>
  </si>
  <si>
    <t>Data publication confidentiality and quality</t>
  </si>
  <si>
    <t>APRA emphasizes that data quality requirements must be clearly specified and that confidentiality must not be compromised through data publication. This section does not impose direct obligations but highlights the importance of balancing data quality and confidentiality in published information.</t>
  </si>
  <si>
    <t>Clear data quality specifications and confidentiality safeguards are essential for preventing data breaches during cross-border data publication.</t>
  </si>
  <si>
    <t>• [Must] Data quality requirements must be clearly specified</t>
  </si>
  <si>
    <t>• [Must Not] Confidentiality must not be compromised through the publication of data</t>
  </si>
  <si>
    <t>In APRA's view, it is important that data quality requirements are clearly specified and that confidentiality is not compromised through the publication of data.</t>
  </si>
  <si>
    <t>42</t>
  </si>
  <si>
    <t>Disposal controls for data compliance and confidentiality</t>
  </si>
  <si>
    <t>12–13</t>
  </si>
  <si>
    <t>This section mandates that disposal controls ensure data is deleted or archived according to retention strategies and confidentiality requirements. It specifies that hardware, software, or data must not compromise business confidentiality when reaching end-of-life or recommissioning. The controls apply to regulated entities handling sensitive information.</t>
  </si>
  <si>
    <t>Disposal controls are critical for DTIAs to ensure data is securely removed before hardware decommissioning, preventing unauthorized access to sensitive information during transitions.</t>
  </si>
  <si>
    <t>• [Must] Data must be disposed of in compliance with retention strategy</t>
  </si>
  <si>
    <t>• [Must] Business confidentiality requirements must not be compromised when hardware, software or data reach end of useful life</t>
  </si>
  <si>
    <t>Disposal controls would typically be in place to ensure: (a) data is disposed of in compliance with the retention strategy; and (b) business requirements with respect to confidentiality are not compromised as hardware, software or data reach the end of their useful life or the hardware/software is recommissioned for another use.</t>
  </si>
  <si>
    <t>44</t>
  </si>
  <si>
    <t>Desensitisation techniques for data confidentiality</t>
  </si>
  <si>
    <t>Data Sharing, Security</t>
  </si>
  <si>
    <t>This section describes desensitisation as reducing data sensitivity to match authorized end-user access levels. It requires using cryptographic or de-identification techniques when transferring data to less trusted environments. The strength of desensitisation must prevent reconstruction of original data through brute force or other means.</t>
  </si>
  <si>
    <t>Desensitisation is essential for DTIAs to ensure data transferred across borders or to third parties remains sufficiently anonymised to prevent unauthorized reconstruction.</t>
  </si>
  <si>
    <t>• [Must] Desensitisation reduces data sensitivity to comply with authorized end-user access levels
• [Must] Use cryptographic or de-identification techniques when transferring data to less trusted environments</t>
  </si>
  <si>
    <t>• [Must] Desensitisation strength must prevent reconstruction of original data using brute force techniques</t>
  </si>
  <si>
    <t>Desensitisation (the process of reducing a data set's sensitivity to a level which complies with the authorised access of the end-user) is a useful approach for maintaining the confidentiality of data while extending its usage.</t>
  </si>
  <si>
    <t>46</t>
  </si>
  <si>
    <t>Software risk assessment for critical data</t>
  </si>
  <si>
    <t>This section requires regulated entities to identify end-user developed/configured software and assess its risk exposure, particularly for critical or sensitive data. The entity must ensure such software complies with relevant lifecycle controls to maintain data security and confidentiality.</t>
  </si>
  <si>
    <t>Software risk assessments are vital for DTIAs to ensure third-party software used in data processing does not introduce vulnerabilities when handling sensitive information across jurisdictions.</t>
  </si>
  <si>
    <t>• [Must] Regulated entities must identify end-user developed/configured software
• [Must] Regulated entities must assess risk exposure of software handling critical or sensitive data</t>
  </si>
  <si>
    <t>• [Must] Software used for critical/sensitive data must comply with entity's lifecycle controls</t>
  </si>
  <si>
    <t>A regulated entity would normally introduce processes to identify the existence of end-user developed/configured software and assess its risk exposure. In APRA's view, any software that is used for the processing and retention of critical or sensitive data would comply with the relevant life-cycle controls of the entity.</t>
  </si>
  <si>
    <t>48</t>
  </si>
  <si>
    <t>Jurisdictional data retention risks</t>
  </si>
  <si>
    <t>Cross-border Transfer, Data Storage</t>
  </si>
  <si>
    <t>This section requires regulated entities to apply a cautious approach when retaining data outside their jurisdiction, ensuring they understand risks and make informed decisions about whether additional risks are within their risk appetite. The entity must be aware of jurisdictional and technical hurdles that could impede regulatory oversight.</t>
  </si>
  <si>
    <t>Jurisdictional data retention is critical for DTIAs to assess whether transferring data to foreign jurisdictions introduces unacceptable risks to regulatory oversight and data security.</t>
  </si>
  <si>
    <t>• [Must] Regulated entities must apply a cautious and measured approach when retaining data outside jurisdiction
• [Must] Regulated entities must be fully aware of risks involved in retaining data outside jurisdiction</t>
  </si>
  <si>
    <t>• [Must] Regulated entities must make informed decisions about whether additional risks are within risk appetite</t>
  </si>
  <si>
    <t>APRA expects a regulated entity to apply a cautious and measured approach when considering retaining data outside the jurisdiction it pertains to. It is important that a regulated entity is fully aware of the risks involved and makes a conscious and informed decision as to whether the additional risks are within its risk appetite.</t>
  </si>
  <si>
    <t>Outsourcing/offshoring data management requirements</t>
  </si>
  <si>
    <t>Third Party Processing, Data Storage</t>
  </si>
  <si>
    <t>This section specifies that regulated entities must demonstrate the ability to continue operations after service loss, maintain critical/sensitive data quality, comply with legislative requirements, and ensure no jurisdictional or technical barriers prevent regulators from accessing data. These requirements apply to data management outsourcing or offshoring.</t>
  </si>
  <si>
    <t>Outsourcing/offshoring data management requires DTIAs to verify that third-party arrangements maintain data security, regulatory compliance, and uninterrupted access for regulators.</t>
  </si>
  <si>
    <t>• [Must] Regulated entities must demonstrate ability to continue operations after loss of services
• [Must] Regulated entities must maintain quality of critical or sensitive data</t>
  </si>
  <si>
    <t>• [Must] Regulated entities must comply with legislative and prudential requirements
• [Must] Regulated entities must ensure no impediments to APRA's ability to fulfil regulatory duties</t>
  </si>
  <si>
    <t>When outsourcing/offshoring data management responsibilities, APRA expects that a regulated entity would be able to demonstrate the following: (a) ability to continue operations and meet core obligations following a loss of services; (b) maintenance of the quality of critical or sensitive data; (c) compliance with legislative and prudential requirements; and (d) a lack of impediments (from jurisdictional hurdles or technical complications) to APRA being able to fulfil its duties as prudential regulator (including timely access to data in a usable form).</t>
  </si>
  <si>
    <t>50</t>
  </si>
  <si>
    <t>Outsourcing/offshoring risk management framework</t>
  </si>
  <si>
    <t>This section mandates that regulated entities apply enterprise frameworks, detailed risk assessments, understanding of business processes, data sensitivity, alignment with data architecture, business cases, and periodic reassessment of risks when outsourcing or offshoring data management responsibilities. These requirements ensure ongoing risk management for data transfers.</t>
  </si>
  <si>
    <t>Outsourcing/offshoring risk frameworks are critical for DTIAs to ensure third-party data arrangements maintain robust security, compliance, and regulatory oversight capabilities.</t>
  </si>
  <si>
    <t>• [Must] Regulated entities must apply enterprise frameworks such as security, project management, system development, business continuity management, outsourcing/offshoring management, risk management and delegation limits
• [Must] Regulated entities must conduct detailed risk assessments of specific arrangements
• [Must] Regulated entities must understand the extent and nature of business processes and data sensitivity
• [Must] Regulated entities must align with data architecture supporting broader IT and business strategies</t>
  </si>
  <si>
    <t>• [Must] Regulated entities must justify additional risk exposures with a business case
• [Must] Regulated entities must have board/senior management approval of resulting risk profile
• [Must] Regulated entities must periodically reassess risks in line with risk management framework</t>
  </si>
  <si>
    <t>In APRA's view, the following would normally be applied to the assessment and ongoing management of outsourced/offshored data management responsibilities: (a) enterprise frameworks such as security, project management, system development, business continuity management, outsourcing/offshoring management, risk management and delegation limits; (b) detailed risk assessments of the specific arrangements underlying the services offered.</t>
  </si>
  <si>
    <t>51</t>
  </si>
  <si>
    <t>Data validation assesses data quality against business rules</t>
  </si>
  <si>
    <t>This section defines data validation as assessing data against business rules to determine its fitness for use before further processing. It establishes data validation as a key control mechanism for ensuring data meets quality requirements. Regulated entities must implement this validation process to maintain data integrity throughout their operations.</t>
  </si>
  <si>
    <t>Data validation is critical for ensuring transferred data meets quality standards before processing, reducing risks associated with poor data quality in cross-border transfers.</t>
  </si>
  <si>
    <t>• [Must] Data validation assesses data against business rules to determine fitness for use prior to further processing</t>
  </si>
  <si>
    <t>• [Must] Data validation constitutes a key set of controls for ensuring data meets quality requirements</t>
  </si>
  <si>
    <t>Data validation is the assessment of the data against business rules to determine its fitness for use prior to further processing. It constitutes a key set of controls for ensuring that data meets quality requirements.</t>
  </si>
  <si>
    <t>Data validation considerations for quality degradation</t>
  </si>
  <si>
    <t>This section specifies that data validation must consider the level of trustworthiness of data sources and how data quality degrades over time. Regulated entities should design business processes to revalidate data periodically based on data criticality and risk of degradation to maintain data quality standards.</t>
  </si>
  <si>
    <t>Periodic revalidation of data is essential for maintaining data quality across borders, particularly for high-risk financial data where degradation could impact regulatory compliance.</t>
  </si>
  <si>
    <t>• [Should] Regulated entities should design business processes to revalidate data on a periodic basis to minimise data quality degradation</t>
  </si>
  <si>
    <t>• [Must] The comprehensiveness of revalidation would normally be commensurate with the criticality of the data and the risk of degradation</t>
  </si>
  <si>
    <t>Regulated entities would design business processes to revalidate data on a periodic basis to minimise the degree of data quality degradation. The comprehensiveness of revalidation would normally be commensurate with the criticality of the data and the risk of degradation.</t>
  </si>
  <si>
    <t>54</t>
  </si>
  <si>
    <t>Common data validation techniques and methods</t>
  </si>
  <si>
    <t>14–15</t>
  </si>
  <si>
    <t>This section lists common data validation techniques including format verification, type checks, value range validation, and dataset-level methods such as control totalling, reconciliation, benchmarking, data profiling, and expert review for reasonableness. These techniques help ensure data accuracy and completeness before processing.</t>
  </si>
  <si>
    <t>These validation techniques are critical for ensuring data quality in cross-border transfers, particularly for financial data where accuracy impacts regulatory compliance and risk management.</t>
  </si>
  <si>
    <t>• [Must] Verification of format, type, value range, currency, presence, consistency and completeness
• [Must] Control totalling: aggregation techniques including hash totalling, amount totalling and record counts
• [Must] Reconciliation: comparing two sets of data and explaining variances</t>
  </si>
  <si>
    <t>• [Must] Benchmarking: comparing two sets of data that would normally exhibit similar characteristics to highlight material variations
• [Must] Data profiling: examination of a data set to gather statistics and highlight data anomalies
• [Must] Review of data for reasonableness using expert judgement</t>
  </si>
  <si>
    <t>Common forms of data validation include verification of format, type, value range, currency, presence, consistency and completeness. Data validation can also be usefully conducted at a dataset level such as the use of: (a) control totalling, (b) reconciliation, (c) benchmarking, (d) data profiling, and (e) a review of data for reasonableness using expert judgement.</t>
  </si>
  <si>
    <t>56</t>
  </si>
  <si>
    <t>Documenting data validation processes and accountability</t>
  </si>
  <si>
    <t>This section requires regulated entities to document data validation processes, including their nature, frequency, granularity, and accountability for detecting, investigating, reporting, and escalating data anomalies. It also states that data validation processes should inform the design of data quality metrics.</t>
  </si>
  <si>
    <t>Documenting data validation processes ensures transparency and accountability in data handling, which is critical for cross-border data transfers where data quality impacts regulatory compliance.</t>
  </si>
  <si>
    <t>• [Must] Regulated entities must document data validation processes, including their nature, frequency and level of granularity
• [Must] Regulated entities must provide clear allocation of accountabilities for detection, investigation, reporting and escalation of data anomalies</t>
  </si>
  <si>
    <t>• [Should] Data validation processes can be a key consideration when designing data quality metrics</t>
  </si>
  <si>
    <t>A regulated entity would normally document data validation processes, including their nature, frequency and level of granularity, and provide clear allocation of accountabilities for the detection, investigation, reporting and escalation of data anomalies.</t>
  </si>
  <si>
    <t>60</t>
  </si>
  <si>
    <t>Data issue management processes</t>
  </si>
  <si>
    <t>15–16</t>
  </si>
  <si>
    <t>This section outlines that regulated entities must develop processes to manage all stages of data issues, including detection, identification, containment, investigation, evidence gathering, resolution, return to business-as-usual, and adjustment of controls. Common data issues include processing errors, lack of timeliness, pricing errors, data leakage, instruction failures, migration issues, and unfit data.</t>
  </si>
  <si>
    <t>Robust data issue management processes are essential for maintaining data quality in cross-border transfers, particularly for financial data where errors can lead to regulatory non-compliance and financial losses.</t>
  </si>
  <si>
    <t>• [Must] Regulated entities must develop processes to manage all stages of a data issue including detection, identification, containment, investigation, evidence gathering, resolution, return to business-as-usual and adjustment of controls
• [Must] Common data issues include processing errors impacting accuracy and completeness of balances and transactions
• [Must] Common data issues include lack of timeliness in updating data to reflect recent market conditions
• [Must] Common data issues include inadequate data availability, accuracy or consistency resulting in pricing and valuation errors</t>
  </si>
  <si>
    <t>• [Must] Common data issues include data leakage leading to breach of confidentiality
• [Must] Common data issues include failure to accurately execute instructions in a timely manner
• [Must] Common data issues include failure to maintain data quality when migrating data to another system
• [Must] Common data issues include data that is not fit-for-use resulting in poor business decisions</t>
  </si>
  <si>
    <t>APRA envisages that a regulated entity would develop appropriate processes to manage all stages of a data issue including detection, identification, containment, investigation, evidence gathering, resolution, return to business-as-usual and the adjustment of controls to reduce the risk of similar issues in the future.</t>
  </si>
  <si>
    <t>Data issue response and root cause analysis</t>
  </si>
  <si>
    <t>This section requires regulated entities to have clear accountability and communication strategies to limit the impact of data issues, including defined escalation and reporting mechanisms to the Board and senior management. It also mandates root cause analysis to identify underlying causes and adjust controls to prevent future occurrences, with prioritization of remediation based on resource constraints.</t>
  </si>
  <si>
    <t>Effective data issue response and root cause analysis are critical for maintaining data quality in cross-border transfers, ensuring timely resolution of issues that could impact financial compliance and regulatory reporting.</t>
  </si>
  <si>
    <t>• [Must] Regulated entities must have clear accountability and communication strategies to limit the impact of data issues
• [Must] Regulated entities must define mechanisms and thresholds for escalation and reporting to the Board and senior management</t>
  </si>
  <si>
    <t>• [Must] Regulated entities must conduct root cause analysis of data issues to identify underlying causes and adjust controls
• [Should] Regulated entities must prioritize remediation of data issues due to resource constraints</t>
  </si>
  <si>
    <t>Subject to the nature of the data, a regulated entity would: (a) have clear accountability and communication strategies to limit the impact of data issues, including defined mechanisms and thresholds for escalation and reporting to the Board and senior management, and customer communication where appropriate; and (b) conduct root cause analysis of the data issue, where the underlying cause is identified and analysed, with controls adjusted to reduce the likelihood of future occurrence.</t>
  </si>
  <si>
    <t>63</t>
  </si>
  <si>
    <t>Data quality metrics for assessing data risk success</t>
  </si>
  <si>
    <t>This section states that data quality metrics help evaluate data quality and data risk management effectiveness. The metrics should focus on areas with regulatory, legal, or industry requirements and those with high sensitivity or criticality as identified by the risk assessment process. These areas are prioritized to ensure data risk management aligns with compliance needs and risk levels.</t>
  </si>
  <si>
    <t>• [Must] Data quality metrics are a useful mechanism for assessing data quality and data risk management success
• [Must] Metrics should be targeted to areas with regulatory, legal, and specific industry requirements</t>
  </si>
  <si>
    <t>• [Must] Metrics should be targeted to areas with the greatest sensitivity/criticality as determined by the risk assessment process</t>
  </si>
  <si>
    <t>Data quality metrics are a useful mechanism for assessing data quality and the success of data risk management. Typically, the use of metrics would be targeted to areas: (a) where there are regulatory, legal and specific industry requirements; and (b) that have the greatest sensitivity/criticality, as determined by the risk assessment process.</t>
  </si>
  <si>
    <t>Prudential-Standard-CPS-232-Business-Continuity-Management-(July-2017) (Australia - Row 5)</t>
  </si>
  <si>
    <t>This section specifies that the Prudential Standard is enacted under three specific sections of Australian legislation: the Banking Act 1959, Insurance Act 1973, and Life Insurance Act 1995. It establishes the legal foundation for the standard by referencing relevant regulatory acts that authorize its implementation.</t>
  </si>
  <si>
    <t>• [Must] This Prudential Standard is made under section 11AF of the Banking Act 1959
• [Must] This Prudential Standard is made under section 32 of the Insurance Act 1973</t>
  </si>
  <si>
    <t>• [Must] This Prudential Standard is made under section 230A of the Life Insurance Act 1995</t>
  </si>
  <si>
    <t>This Prudential Standard is made under: (a) section 11AF of the Banking Act 1959 (Banking Act); (b) section 32 of the Insurance Act 1973 (Insurance Act); and (c) section 230A of the Life Insurance Act 1995 (Life Insurance Act).</t>
  </si>
  <si>
    <t>APRA-regulated institutions scope</t>
  </si>
  <si>
    <t>This section defines which financial institutions fall under the Prudential Standard. It includes authorized deposit-taking institutions (ADIs), foreign ADIs, non-operating holding companies, general insurers, Category C insurers, authorized insurance NOHCs, parent entities of Level 2 insurance groups, life companies, friendly societies, eligible foreign life insurance companies (EFLICs), and registered life NOHCs. The scope covers all APRA-regulated entities in Australia and internationally.</t>
  </si>
  <si>
    <t>• [Must] This Prudential Standard applies to all 'APRA-regulated institutions' defined as: all authorised deposit-taking institutions (ADIs), including foreign ADIs, and non-operating holding companies authorised under the Banking Act
• [Must] This Prudential Standard applies to all 'APRA-regulated institutions' defined as: all general insurers, including Category C insurers, non-operating holding companies authorised under the Insurance Act, and parent entities of Level 2 insurance groups</t>
  </si>
  <si>
    <t>• [Must] This Prudential Standard applies to all 'APRA-regulated institutions' defined as: all life companies, including friendly societies and eligible foreign life insurance companies (EFLICs), and non-operating holding companies registered under the Life Insurance Act</t>
  </si>
  <si>
    <t>This Prudential Standard applies to all 'APRA-regulated institutions', defined as: (a) all authorised deposit-taking institutions (ADIs), including foreign ADIs, and non-operating holding companies authorised under the Banking Act (authorised banking NOHCs); (b) all general insurers, including Category C insurers, non-operating holding companies authorised under the Insurance Act (authorised insurance NOHCs) and parent entities of Level 2 insurance groups; and (c) all life companies, including friendly societies and eligible foreign life insurance companies (EFLICs), and non-operating holding companies registered under the Life Insurance Act (registered life NOHCs).</t>
  </si>
  <si>
    <t>Defined terms reference</t>
  </si>
  <si>
    <t>This section states that terms defined in other Prudential Standards (APS 001, GPS 001, LPS 001) will be highlighted in bold when first used in this standard. It ensures consistency in terminology across regulatory documents by directing users to the relevant definitions.</t>
  </si>
  <si>
    <t>• [Must] Terms that are defined in Prudential Standard 3PS 001 Definitions, Prudential Standard APS 001 Definitions (APS 001), Prudential Standard GPS 001 Definitions (GPS 001) or Prudential Standard LPS 001 Definitions appear in bold the first time they are used in this Prudential Standard</t>
  </si>
  <si>
    <t>Terms that are defined in Prudential Standard 3PS 001 Definitions, Prudential Standard APS 001 Definitions (APS 001), Prudential Standard GPS 001 Definitions (GPS 001) or Prudential Standard LPS 001 Definitions appear in bold the first time they are used in this Prudential Standard.</t>
  </si>
  <si>
    <t>Group and Head definitions</t>
  </si>
  <si>
    <t>This section defines key terms for group structures within APRA-regulated institutions. It specifies what constitutes a 'group', 'Head of a group', 'Level 2 group', and 'Level 2 Head' based on regulatory frameworks. These definitions are critical for understanding organizational hierarchies and reporting responsibilities under business continuity management.</t>
  </si>
  <si>
    <t>• [Must] For the purposes of this Prudential Standard, 'group' means a Level 2 group or a Level 3 group, as relevant
• [Must] For the purposes of this Prudential Standard, 'Head of a group' means a Level 2 Head or Level 3 Head, as relevant</t>
  </si>
  <si>
    <t>• [Must] For the purposes of this Prudential Standard, 'Level 2 group' means the entities that comprise: Level 2 as defined in APS 001 or a Level 2 insurance group as defined in GPS 001
• [Must] For the purposes of this Prudential Standard, 'Level 2 Head' means: where an ADI that is a member of a Level 2 group is not a subsidiary of an authorised banking NOHC or another ADI, that ADI; where an ADI that is a member of a Level 2 group is a subsidiary of an authorised banking NOHC, that authorised banking NOHC; or the parent entity of a Leve…</t>
  </si>
  <si>
    <t>For the purposes of this Prudential Standard: 'group' means a Level 2 group or a Level 3 group, as relevant; 'Head of a group' means a Level 2 Head or Level 3 Head, as relevant; 'Level 2 group' means the entities that comprise: (a) Level 2 as defined in APS 001; or (b) a Level 2 insurance group as defined in GPS 001; 'Level 2 Head' means: (a) where an ADI that is a member of a Level 2 group is not a subsidiary of an authorised banking NOHC or another ADI, that ADI; (b) where an ADI that is a member of a Level 2 group is a subsidiary of an authorised banking NOHC, that authorised banking NOHC; or (c) the parent entity of a Level 2 insurance group as defined in GPS 001.</t>
  </si>
  <si>
    <t>Major disruption notification</t>
  </si>
  <si>
    <t>This section mandates that the Head of a group must notify APRA if an institution experiences a major disruption that could materially impact its risk profile or financial soundness. The notification is required unless another APRA-regulated institution within the group has already reported the same information to APRA.</t>
  </si>
  <si>
    <t>• [Must] The Head of a group must notify APRA in accordance with paragraph 36 if the institution experiences a major disruption that has the potential to have a material impact on the institution's risk profile, or affect its financial soundness</t>
  </si>
  <si>
    <t>• [Must Not] The Head of a group must notify APRA in accordance with paragraph 36 if the institution experiences a major disruption that has the potential to have a material impact on the institution's risk profile, or affect its financial soundness, except where an APRA-regulated institution within the group has otherwise notified APRA of that information</t>
  </si>
  <si>
    <t>The Head of a group must notify APRA in accordance with paragraph 36 if the institution experiences a major disruption that has the potential to have a material impact on the institution's risk profile, or affect its financial soundness, except where an APRA-regulated institution within the group has otherwise notified APRA of that information.</t>
  </si>
  <si>
    <t>Business continuity risk management</t>
  </si>
  <si>
    <t>This section requires APRA-regulated institutions to identify, assess, manage, mitigate, and report on potential business continuity risks. The purpose is to ensure institutions can meet financial and service obligations to depositors, policyholders, and other stakeholders during disruptions.</t>
  </si>
  <si>
    <t>• [Must] An APRA-regulated institution must identify, assess, manage, mitigate and report on potential business continuity risks</t>
  </si>
  <si>
    <t>• [Must] An APRA-regulated institution must ensure it is able to meet its financial and service obligations to its depositors, policyholders and other stakeholders</t>
  </si>
  <si>
    <t>An APRA-regulated institution must identify, assess, manage, mitigate and report on potential business continuity risks to ensure that the institution is able to meet its financial and service obligations to its depositors, policyholders and other stakeholders.</t>
  </si>
  <si>
    <t>19</t>
  </si>
  <si>
    <t>Business continuity risks integrated into risk management strategy</t>
  </si>
  <si>
    <t>The Board must ensure business continuity risks and controls are incorporated into the institution's overall risk management strategy and included in the risk management declaration submitted to APRA. This requirement applies to APRA-regulated financial institutions to maintain alignment with regulatory expectations for risk management.</t>
  </si>
  <si>
    <t>This section mandates that business continuity risks be systematically integrated into risk management, which is critical for assessing cross-border data transfer impacts in financial institutions due to the need for comprehensive risk coverage.</t>
  </si>
  <si>
    <t>• [Must] The Board must ensure business continuity risks and controls are taken into account as part of the institution's risk management strategy</t>
  </si>
  <si>
    <t>• [Must] The Board must ensure business continuity risks and controls are included in the risk management declaration required to be provided to APRA</t>
  </si>
  <si>
    <t>The Board must ensure that the business continuity risks and controls are taken into account as part of the institution's risk management strategy and when completing a risk management declaration required to be provided to APRA.</t>
  </si>
  <si>
    <t>Business continuity as whole-of-business approach</t>
  </si>
  <si>
    <t>Business continuity management (BCM) requires institutions to establish policies, standards, and procedures that ensure critical business operations can be maintained or recovered during disruptions. This approach aims to minimize financial, legal, regulatory, and reputational consequences from operational interruptions.</t>
  </si>
  <si>
    <t>This section defines BCM as a whole-of-business approach, which is relevant for DTIAs as it establishes foundational requirements for maintaining critical operations during disruptions, impacting data transfer resilience.</t>
  </si>
  <si>
    <t>• [Must] BCM includes policies, standards and procedures for ensuring critical business operations can be maintained or recovered in a timely fashion during disruptions</t>
  </si>
  <si>
    <t>• [Must] BCM aims to minimise financial, legal, regulatory and reputational consequences arising from disruptions</t>
  </si>
  <si>
    <t>BCM is a whole-of-business approach that includes policies, standards and procedures for ensuring that critical business operations can be maintained or recovered in a timely fashion, in the event of a disruption. Its purpose is to minimise the financial, legal, regulatory, reputational and other material consequences arising from a disruption.</t>
  </si>
  <si>
    <t>Business impact analysis considerations for disruptions</t>
  </si>
  <si>
    <t>6–7</t>
  </si>
  <si>
    <t>APRA-regulated institutions must evaluate plausible disruption scenarios, operational downtime periods, impact on depositors/policyholders, and financial/legal/regulatory consequences when conducting a Business Impact Analysis (BIA). This ensures comprehensive risk assessment for critical operations.</t>
  </si>
  <si>
    <t>This section specifies key considerations for BIAs, which are essential for DTIAs to evaluate the impact of disruptions on data transfers, particularly regarding financial and regulatory consequences.</t>
  </si>
  <si>
    <t>• [Must] The institution must consider plausible disruption scenarios over varying periods of time
• [Must] The institution must determine the period of time for which critical business operations could not operate without the institution</t>
  </si>
  <si>
    <t>• [Must] The institution must assess the extent to which disruptions might impact depositors and/or policyholders
• [Must] The institution must evaluate financial, legal, regulatory and reputational impacts of disruptions over varying periods</t>
  </si>
  <si>
    <t>When conducting the BIA, the APRA-regulated institution must consider: (a) plausible disruption scenarios over varying periods of time; (b) the period of time for which the institution could not operate without each of its critical business operations; (c) the extent to which a disruption to the critical business operations might have a material impact on the interests of depositors and/or policyholders of the institution; and (d) the financial, legal, regulatory and reputational impact of a disruption to the institution's critical business operations over varying periods of time.</t>
  </si>
  <si>
    <t>Notification of major disruptions to APRA</t>
  </si>
  <si>
    <t>APRA-regulated institutions must notify APRA within 24 hours of experiencing a major disruption that could materially impact their risk profile or financial soundness. The notification must detail the disruption's nature, actions taken, expected effects, and timeline for recovery, with a follow-up notification upon resumption of normal operations.</t>
  </si>
  <si>
    <t>This section requires timely reporting of disruptions to APRA, which is critical for DTIAs to ensure data transfer continuity during incidents and to maintain regulatory oversight of cross-border data flows.</t>
  </si>
  <si>
    <t>• [Must] APRA-regulated institutions must notify APRA as soon as possible and no later than 24 hours after experiencing a major disruption
• [Must] The institution must explain the nature of the disruption, actions being taken, likely effects, and timeframe for returning to normal operations</t>
  </si>
  <si>
    <t>• [Must] The institution must notify APRA when normal operations resume</t>
  </si>
  <si>
    <t>An APRA-regulated institution must notify APRA as soon as possible and no later than 24 hours after the institution experiences a major disruption that has the potential to have a material impact on the institution's risk profile, or affect its financial soundness.</t>
  </si>
  <si>
    <t>APRA's authority to adjust prudential standards</t>
  </si>
  <si>
    <t>APRA has the authority to adjust or exclude specific requirements within this Prudential Standard for regulated institutions, subject to relevant legal provisions under the Banking Act, Insurance Act, and Life Insurance Act.</t>
  </si>
  <si>
    <t>This section grants APRA flexibility to modify requirements, which may impact DTIAs by allowing tailored approaches to data transfer compliance in specific regulatory contexts.</t>
  </si>
  <si>
    <t>• [May] APRA may adjust or exclude a specific requirement in this Prudential Standard in relation to an APRA-regulated institution</t>
  </si>
  <si>
    <t>APRA may adjust or exclude a specific requirement in this Prudential Standard in relation to an APRA-regulated institution.</t>
  </si>
  <si>
    <t>Statutory tort for serious invasions of privacy _ OAIC (Australia - Row 24)</t>
  </si>
  <si>
    <t>Statutory tort for serious invasions of privacy</t>
  </si>
  <si>
    <t>Cross-border Transfer, International Processing, Data Storage, Data Residency, Security, Encryption, Access Control, Processing, Collection, Retention, Deletion, Data Sharing, Third Party Processing, Outsourcing, Cloud Services, Incident Reporting, Breach Notification, Consent, Customer Information, Employee Information, Special Personal Information, Children, Financial Data, KYC, AML, Governance, Record Keeping</t>
  </si>
  <si>
    <t>This section introduces the statutory tort for serious invasions of privacy as a legal mechanism allowing individuals to seek redress for privacy harms in court. It establishes that the tort applies beyond traditional Privacy Act entities to include individuals and other entities. The section outlines key components such as the definition of invasion, required elements for a claim, and the role of the court in determining remedies.</t>
  </si>
  <si>
    <t>• [Must] Statutory tort for serious invasions of privacy</t>
  </si>
  <si>
    <t>Statutory tort for serious invasions of privacy | OAIC</t>
  </si>
  <si>
    <t>Statutory tort for serious invasions of privacy: claims and defences</t>
  </si>
  <si>
    <t>This section details the conditions under which an individual may claim a statutory tort for serious invasions of privacy, including the requirement that the plaintiff had a reasonable expectation of privacy. It specifies that the defendant must have invaded privacy through actions like intruding upon seclusion or misusing information. The section also outlines defences such as consent or lawful authority, and exemptions for intelligence agencies, law enforcement, and journalists.</t>
  </si>
  <si>
    <t>• [Must] An individual may have a cause of action against another person or organisation who has invaded their privacy by doing one or more of the following: intruding upon the individual's seclusion or misusing information that relates to the plaintiff
• [Must] The plaintiff must have had a reasonable expectation of privacy in all circumstances
• [Must] The plaintiff must demonstrate that the public interest in protecting their privacy outweighs any countervailing public interest</t>
  </si>
  <si>
    <t>• [Must Not] Consent or lawful authority is a defence
• [Must Not] Exemptions apply to intelligence agencies, law enforcement bodies, and journalists in certain circumstances</t>
  </si>
  <si>
    <t>An individual (plaintiff) may have a cause of action against another person or organisation (defendant) who has invaded their privacy by doing one or more of the following, in instances where the plaintiff would have had a reasonable expectation of privacy in all the circumstances: • intruding upon the individual's seclusion – for example, by physically intruding into their private space; • misusing information that relates to the plaintiff.</t>
  </si>
  <si>
    <t>p3</t>
  </si>
  <si>
    <t>Timeframes for statutory tort claims</t>
  </si>
  <si>
    <t>This section specifies the timeframes within which legal proceedings for the statutory tort must be commenced. If the plaintiff is under 18 at the time of the alleged invasion, proceedings must begin before their 21st birthday. Otherwise, the timeframe is the earlier of one year after the plaintiff became aware of the invasion or three years after the invasion occurred. The section also notes that courts may grant remedies such as damages, injunctions, or orders requiring an apology.</t>
  </si>
  <si>
    <t>• [Must] Proceedings must be commenced within 1 year after the plaintiff became aware of the invasion of privacy or 3 years after the invasion occurred, whichever is earlier
• [Must] If the plaintiff is under 18 at the time of the alleged invasion, proceedings must be commenced before their 21st birthday</t>
  </si>
  <si>
    <t>• [May] Courts may grant remedies including damages, injunctions, or orders requiring an apology</t>
  </si>
  <si>
    <t>Proceedings under the statutory tort must be commenced within certain timeframes. If a plaintiff is under 18 years of age when the alleged invasion of privacy occurred, proceedings must commence before their 21st birthday. In other circumstances, the timeframe is the earlier of: • 1 year after the day on which the plaintiff became aware of the invasion of privacy; and • 3 years after the invasion of privacy occurred.</t>
  </si>
  <si>
    <t>p4</t>
  </si>
  <si>
    <t>Site map for statutory tort information</t>
  </si>
  <si>
    <t>4–5</t>
  </si>
  <si>
    <t>This section provides a site map for the statutory tort for serious invasions of privacy, including links to copyright, terms and conditions, privacy policy, accessibility, and contact information. It does not contain substantive legal requirements or obligations related to data transfers or privacy practices.</t>
  </si>
  <si>
    <t>• [Must] Site map includes links to copyright, terms and conditions, privacy policy, accessibility, and contact information</t>
  </si>
  <si>
    <t>Site map</t>
  </si>
  <si>
    <t>p5</t>
  </si>
  <si>
    <t>Contact information for statutory tort support</t>
  </si>
  <si>
    <t>This section provides contact details for the Office of the Australian Information Commissioner (OAIC), including a phone number and operating hours. It also includes an acknowledgment of country statement and copyright information, but does not contain substantive legal requirements for data transfers or privacy practices.</t>
  </si>
  <si>
    <t>• [Must] Contact number: 1300 363 992</t>
  </si>
  <si>
    <t>• [Must] Operating hours: Monday to Thursday 10 am to 4 pm (AEST/AEDT)</t>
  </si>
  <si>
    <t>Contact us 1300 363 992 Monday to Thursday 10 am to 4 pm (AEST/AEDT)</t>
  </si>
  <si>
    <t>cps_234_july_2019_for_public_release (Australia - Row 6)</t>
  </si>
  <si>
    <t>This section specifies the legislative basis for the Prudential Standard, stating it is enacted under five specific sections of Australian financial legislation: Banking Act 1959, Insurance Act 1973, Life Insurance Act 1995, Private Health Insurance (Prudential Supervision) Act 2015, and Superannuation Industry (Supervision) Act 1993. The section establishes the legal foundation for the Prudential Standard's authority.</t>
  </si>
  <si>
    <t>This section defines which entities fall under the Prudential Standard by specifying APRA-regulated entities, including authorized deposit-taking institutions, general insurers, life companies, private health insurers, and superannuation industry licensees. The scope covers both Australian and foreign entities operating within these categories.</t>
  </si>
  <si>
    <t>• [Must] This Prudential Standard applies to all 'APRA-regulated entities' defined as: (a) authorized deposit-taking institutions (ADIs), including foreign ADIs, and non-operating holding companies authorized under the Banking Act
• [Must] This Prudential Standard applies to all 'APRA-regulated entities' defined as: (b) general insurers, including Category C insurers, non-operating holding companies authorized under the Insurance Act, and parent entities of Level 2 insurance groups
• [Must] This Prudential Standard applies to all 'APRA-regulated entities' defined as: (c) life companies, including friendly societies, eligible foreign life insurance companies (EFLICs) and non-operating holding companies registered under the Life Insurance Act</t>
  </si>
  <si>
    <t>• [Must] This Prudential Standard applies to all 'APRA-regulated entities' defined as: (d) private health insurers registered under the PHIPS Act
• [Must] This Prudential Standard applies to all 'APRA-regulated entities' defined as: (e) RSE licensees under the SIS Act in respect of their business operations</t>
  </si>
  <si>
    <t>This Prudential Standard applies to all 'APRA-regulated entities' defined as: (a) authorized deposit-taking institutions (ADIs), including foreign ADIs, and non-operating holding companies authorized under the Banking Act (authorized banking NOHCs); (b) general insurers, including Category C insurers, non-operating holding companies authorized under the Insurance Act (authorised insurance NOHCs), and parent entities of Level 2 insurance groups; (c) life companies, including friendly societies, eligible foreign life insurance companies (EFLICs) and non-operating holding companies registered under the Life Insurance Act (registered life NOHCs); (d) private health insurers registered under the PHIPS Act; and (e) RSE licensees under the SIS Act in respect of their business operations.</t>
  </si>
  <si>
    <t>Foreign entities' Australian branch operations scope</t>
  </si>
  <si>
    <t>This section limits the application of the Prudential Standard to Australian branch operations of foreign entities. It specifies that obligations only apply to foreign ADIs, Category C insurers, or EFLICs in relation to their Australian branch activities, excluding other operations.</t>
  </si>
  <si>
    <t>• [Must] The obligations imposed by this Prudential Standard on, or in relation to, a foreign ADI, a Category C insurer or an EFLIC apply only in relation to the Australian branch operations of that entity</t>
  </si>
  <si>
    <t>The obligations imposed by this Prudential Standard on, or in relation to, a foreign ADI, a Category C insurer or an EFLIC apply only in relation to the Australian branch operations of that entity.</t>
  </si>
  <si>
    <t>Group compliance requirements</t>
  </si>
  <si>
    <t>This section mandates that group entities must comply with the Prudential Standard in their capacity as APRA-regulated entities, ensuring requirements are applied appropriately throughout the group, including non-regulated entities, and on a group basis. It clarifies that references to 'APRA-regulated entity' in the standard apply to 'Head of a group' and 'entity' to 'group' when applying requirements group-wide.</t>
  </si>
  <si>
    <t>• [Must] Where an APRA-regulated entity is the 'Head of a group', it must comply with a requirement of this Prudential Standard in its capacity as an APRA-regulated entity
• [Must] Where an APRA-regulated entity is the 'Head of a group', it must ensure that the requirement is applied appropriately throughout the group, including in relation to entities that are not APRA-regulated
• [Must] Where an APRA-regulated entity is the 'Head of a group', it must comply with the requirement on a group basis</t>
  </si>
  <si>
    <t>• [Must] In applying the requirements of this Prudential Standard on a group basis, references in paragraphs 13 to 36 to an 'APRA-regulated entity' are to be read as 'Head of a group'
• [Must] In applying the requirements of this Prudential Standard on a group basis, references to 'entity' are to be read as 'group'</t>
  </si>
  <si>
    <t>Where an APRA-regulated entity is the 'Head of a group', it must comply with a requirement of this Prudential Standard: (a) in its capacity as an APRA-regulated entity; (b) by ensuring that the requirement is applied appropriately throughout the group, including in relation to entities that are not APRA-regulated; and (c) on a group basis.</t>
  </si>
  <si>
    <t>Third-party information asset compliance timeline</t>
  </si>
  <si>
    <t>This section establishes when the Prudential Standard applies to information assets managed by third parties, specifying that requirements take effect from the earlier of the next renewal date of the third-party contract or 1 July 2020. This ensures timely compliance with data management obligations.</t>
  </si>
  <si>
    <t>• [Must] Where an APRA-regulated entity's information assets are managed by a third party, the requirements in this Prudential Standard will apply in relation to those information assets from the earlier of the next renewal date of the contract with the third party or 1 July 2020</t>
  </si>
  <si>
    <t>Where an APRA-regulated entity's information assets are managed by a third party, the requirements in this Prudential Standard will apply in relation to those information assets from the earlier of the next renewal date of the contract with the third party or 1 July 2020.</t>
  </si>
  <si>
    <t>Definition usage in standard</t>
  </si>
  <si>
    <t>This section states that terms defined in other Prudential Standards (APS 001, GPS 001, LPS 001, HPS 001, 3PS 001) appear in bold for the first time they are used in this Prudential Standard. This ensures consistency in terminology across regulatory documents.</t>
  </si>
  <si>
    <t>• [Must] Terms that are defined in Prudential Standard APS 001 Definitions (APS 001), Prudential Standard GPS 001 Definitions (GPS 001), Prudential Standard LPS 001 Definitions, Prudential Standard HPS 001 Definitions or Prudential Standard 3PS 001 Definitions appear in bold the first time they are used in this Prudential Standard</t>
  </si>
  <si>
    <t>Terms that are defined in Prudential Standard APS 001 Definitions (APS 001), Prudential Standard GPS 001 Definitions (GPS 001), Prudential Standard LPS 001 Definitions, Prudential Standard HPS 001 Definitions or Prudential Standard 3PS 001 Definitions appear in bold the first time they are used in this Prudential Standard.</t>
  </si>
  <si>
    <t>Reference to Acts and Standards</t>
  </si>
  <si>
    <t>This section clarifies that references to Acts, Regulations, or Prudential Standards within the standard refer to the current in-force versions. It establishes the temporal scope for such references without specifying any particular version or amendment.</t>
  </si>
  <si>
    <t>• [Definition] References to Acts, Regulations, or Prudential Standards refer to the current in-force versions</t>
  </si>
  <si>
    <t>In this Prudential Standard, unless the contrary intention appears, a reference to an Act, Regulation or Prudential Standard is a reference to the Act, Regulation or Prudential Standard as in force from time to time.</t>
  </si>
  <si>
    <t>Group and Head Definitions</t>
  </si>
  <si>
    <t>This section defines key terms such as 'group', 'Head of a group', 'Level 2 group', and 'Level 2 Head' to clarify the organizational structure and leadership roles within APRA-regulated entities. These definitions are critical for understanding the scope of regulatory oversight and responsibilities.</t>
  </si>
  <si>
    <t>• [Definition] ‘group' means a Level 2 group or a Level 3 group, as relevant
• [Definition] ‘Head of a group' means a Level 2 Head or Level 3 Head, as relevant</t>
  </si>
  <si>
    <t>• [Definition] ‘Level 2 group' means the entities that comprise: (a) Level 2 as defined in APS 001; or (b) a Level 2 insurance group as defined in GPS 001
• [Definition] ‘Level 2 Head' means: (a) where an ADI that is a member of a Level 2 group is not a subsidiary of an authorised banking NOHC or another ADI, that ADI; (b) where an ADI that is a member of a Level 2 group is a subsidiary of an authorised banking NOHC, that authorised banking NOHC; or (c) the parent entity of a Level 2 insurance group as defined in…</t>
  </si>
  <si>
    <t>For the purposes of this Prudential Standard: ‘group' means a Level 2 group or a Level 3 group, as relevant; ‘Head of a group' means a Level 2 Head or Level 3 Head, as relevant; ‘Level 2 group' means the entities that comprise: (a) Level 2 as defined in APS 001; or (b) a Level 2 insurance group as defined in GPS 001; ‘Level 2 Head' means: (a) where an ADI that is a member of a Level 2 group is not a subsidiary of an authorised banking NOHC or another ADI, that ADI; (b) where an ADI that is a member of a Level 2 group is a subsidiary of an authorised banking NOHC, that authorised banking NOHC; or (c) the parent entity of a Level 2 insurance group as defined in GPS 001.</t>
  </si>
  <si>
    <t>Information Security Definitions</t>
  </si>
  <si>
    <t>This section provides detailed definitions for information security terms such as availability, confidentiality, criticality, information assets, information security, information security capability, information security controls, information security incidents, information security policy frameworks, information security threats, information security vulnerabilities, integrity, and sensitivity. These definitions are foundational for implementing information security measures.</t>
  </si>
  <si>
    <t>• [Definition] availability refers to accessibility and usability when required
• [Definition] confidentiality refers to access being restricted only to those authorised
• [Definition] criticality refers to the potential impact of a loss of availability
• [Definition] information asset means information and information technology, including software, hardware and data (both soft and hard copy)
• [Definition] information security means the preservation of an information asset's confidentiality, integrity and availability
• [Definition] information security capability means the totality of resources, skills and controls which provide the ability and capacity to maintain information security
• [Definition] information security control means a prevention, detection or response measure to reduce the likelihood or impact of an information security incident</t>
  </si>
  <si>
    <t>• [Definition] information security incident means an actual or potential compromise of information security
• [Definition] information security policy framework means the totality of policies, standards, guidelines and procedures pertaining to information security
• [Definition] information security threat (threat) is a circumstance or event that has the potential to exploit an information security vulnerability
• [Definition] information security vulnerability (vulnerability) is a weakness in an information asset or information security control that could be exploited to compromise information security
• [Definition] integrity refers to completeness, accuracy and freedom from unauthorised change or usage
• [Definition] sensitivity means the potential impact of a loss of confidentiality or integrity</t>
  </si>
  <si>
    <t>The following definitions are used in this Prudential Standard: (a) availability refers to accessibility and usability when required; (b) confidentiality refers to access being restricted only to those authorised; (c) criticality refers to the potential impact of a loss of availability; (d) information asset means information and information technology, including software, hardware and data (both soft and hard copy); (e) information security means the preservation of an information asset's confidentiality, integrity and availability; (f) information security capability means the totality of resources, skills and controls which provide the ability and capacity to maintain information security; (g) information security control means a prevention, detection or response measure to reduce the likelihood or impact of an information security incident; (h) information security incident means an actual or potential compromise of information security; (i) information security policy framework means the totality of policies, standards, guidelines and procedures pertaining to information security; (j) information security threat (threat) is a circumstance or event that has the potential to exploit an information security vulnerability; (k) information security vulnerability (vulnerability) is a weakness in an information asset or information security control that could be exploited to compromise information security; (l) integrity refers to completeness, accuracy and freedom from unauthorised change or usage; and (m) sensitivity means the potential impact of a loss of confidentiality or integrity.</t>
  </si>
  <si>
    <t>Board Responsibility for Information Security</t>
  </si>
  <si>
    <t>This section mandates that the Board of an APRA-regulated entity is ultimately responsible for the information security of the entity. The Board must ensure that information security measures are commensurate with the size and extent of threats to information assets and support the continued sound operation of the entity.</t>
  </si>
  <si>
    <t>• [Must] The Board of an APRA-regulated entity is ultimately responsible for the information security of the entity
• [Must] The Board must ensure that the entity maintains information security in a manner commensurate with the size and extent of threats to its information assets</t>
  </si>
  <si>
    <t>• [Must] The Board must ensure that the entity maintains information security which enables the continued sound operation of the entity</t>
  </si>
  <si>
    <t>The Board4 of an APRA-regulated entity (Board) is ultimately responsible for the information security of the entity. The Board must ensure that the entity maintains information security in a manner commensurate with the size and extent of threats to its information assets, and which enables the continued sound operation of the entity.</t>
  </si>
  <si>
    <t>Definition of Information Security Roles</t>
  </si>
  <si>
    <t>This section requires APRA-regulated entities to clearly define the information security-related roles and responsibilities of the Board, senior management, governing bodies, and individuals with decision-making authority. This includes oversight, approval, operations, and other information security functions.</t>
  </si>
  <si>
    <t>• [Must] An APRA-regulated entity must clearly define the information security-related roles and responsibilities of the Board, senior management, governing bodies and individuals with responsibility for decision-making</t>
  </si>
  <si>
    <t>• [Must] An APRA-regulated entity must clearly define the information security-related roles and responsibilities for approval, oversight, operations and other information security functions</t>
  </si>
  <si>
    <t>An APRA-regulated entity must clearly define the information security-related roles and responsibilities of the Board, senior management, governing bodies and individuals with responsibility for decision-making, approval, oversight, operations and other information security functions.</t>
  </si>
  <si>
    <t>Information Security Capability Maintenance</t>
  </si>
  <si>
    <t>This section requires APRA-regulated entities to maintain an information security capability that is commensurate with the size and extent of threats to their information assets and supports the continued sound operation of the entity. This capability must be sufficient to address evolving risks.</t>
  </si>
  <si>
    <t>• [Must] An APRA-regulated entity must maintain an information security capability commensurate with the size and extent of threats to its information assets</t>
  </si>
  <si>
    <t>• [Must] An APRA-regulated entity must maintain an information security capability which enables the continued sound operation of the entity</t>
  </si>
  <si>
    <t>An APRA-regulated entity must maintain an information security capability commensurate with the size and extent of threats to its information assets, and which enables the continued sound operation of the entity.</t>
  </si>
  <si>
    <t>Assess information security capability of related parties and third parties</t>
  </si>
  <si>
    <t>Security, Third Party Processing</t>
  </si>
  <si>
    <t>APRA-regulated entities must evaluate the information security capabilities of related parties and third parties managing their information assets. This assessment must consider the potential impact of security incidents on those assets. The requirement applies to all information assets handled by external parties, not just outsourced activities.</t>
  </si>
  <si>
    <t>This section requires assessing third-party security capabilities before transferring data, directly impacting DTIA by mandating risk-based evaluations of external data handlers.</t>
  </si>
  <si>
    <t>• [Must] APRA-regulated entity must assess information security capability of related parties and third parties managing information assets</t>
  </si>
  <si>
    <t>• [Must] Assessment must be commensurate with potential consequences of security incidents affecting those assets</t>
  </si>
  <si>
    <t>Where information assets are managed by a related party or third party, the APRA-regulated entity must assess the information security capability of that party, commensurate with the potential consequences of an information security incident affecting those assets.</t>
  </si>
  <si>
    <t>Maintain information security capability through threat monitoring</t>
  </si>
  <si>
    <t>APRA-regulated entities must continuously update their information security capabilities to address evolving vulnerabilities and threats. This includes adapting to changes in information assets or business environments. The requirement emphasizes active maintenance rather than static security measures.</t>
  </si>
  <si>
    <t>This section mandates ongoing security updates, critical for DTIA as it requires continuous risk assessment and adaptation to changing threats when handling cross-border data.</t>
  </si>
  <si>
    <t>• [Must] APRA-regulated entity must actively maintain information security capability with respect to changes in vulnerabilities and threats</t>
  </si>
  <si>
    <t>• [Must] This includes threats resulting from changes to information assets or business environment</t>
  </si>
  <si>
    <t>An APRA-regulated entity must actively maintain its information security capability with respect to changes in vulnerabilities and threats, including those resulting from changes to information assets or its business environment.</t>
  </si>
  <si>
    <t>Maintain information security policy framework</t>
  </si>
  <si>
    <t>APRA-regulated entities must maintain an information security policy framework that matches their exposure to vulnerabilities and threats. This framework must be tailored to the specific risks the entity faces, ensuring appropriate security measures are in place.</t>
  </si>
  <si>
    <t>This section requires a risk-based security policy framework, directly relevant to DTIA as it mandates alignment between security policies and potential data transfer risks.</t>
  </si>
  <si>
    <t>• [Must] APRA-regulated entity must maintain an information security policy framework</t>
  </si>
  <si>
    <t>• [Must] Framework must be commensurate with exposures to vulnerabilities and threats</t>
  </si>
  <si>
    <t>An APRA-regulated entity must maintain an information security policy framework commensurate with its exposures to vulnerabilities and threats.</t>
  </si>
  <si>
    <t>Define information security responsibilities for all parties</t>
  </si>
  <si>
    <t>APRA-regulated entities must ensure their information security policy framework specifies responsibilities for all parties obligated to maintain information security. This includes staff, contractors, related parties, third parties, and customers, ensuring comprehensive accountability.</t>
  </si>
  <si>
    <t>This section clarifies responsibility allocation for third parties, critical for DTIA as it defines who is accountable for data security when transferring information across borders.</t>
  </si>
  <si>
    <t>• [Must] Information security policy framework must provide direction on responsibilities of all parties with obligation to maintain information security</t>
  </si>
  <si>
    <t>An APRA-regulated entity's information security policy framework must provide direction on the responsibilities of all parties who have an obligation to maintain information security.</t>
  </si>
  <si>
    <t>Classify information assets by criticality and sensitivity</t>
  </si>
  <si>
    <t>APRA-regulated entities must classify their information assets based on criticality and sensitivity, reflecting the potential financial or non-financial impact of security incidents. This classification includes assets managed by related parties and third parties, ensuring appropriate security measures are applied.</t>
  </si>
  <si>
    <t>This section requires data classification for DTIA, as it mandates assessing the impact of security incidents on financial and customer interests when transferring data internationally.</t>
  </si>
  <si>
    <t>• [Must] APRA-regulated entity must classify information assets by criticality and sensitivity</t>
  </si>
  <si>
    <t>• [Must] Classification must reflect potential financial or non-financial impact of security incidents on entity or customers</t>
  </si>
  <si>
    <t>An APRA-regulated entity must classify its information assets, including those managed by related parties and third parties, by criticality and sensitivity. This classification must reflect the degree to which an information security incident affecting an information asset has the potential to affect, financially or non-financially, the entity or the interests of depositors, policyholders, beneficiaries or other customers.</t>
  </si>
  <si>
    <t>Implement security controls commensurate with risk</t>
  </si>
  <si>
    <t>APRA-regulated entities must implement information security controls that are timely and proportionate to vulnerabilities, threats, asset criticality, sensitivity, life-cycle stage, and potential incident consequences. These controls must protect information assets managed by related parties and third parties.</t>
  </si>
  <si>
    <t>This section requires risk-based security controls for DTIA, ensuring that data transfers are protected by measures proportional to the potential impact on financial stakeholders.</t>
  </si>
  <si>
    <t>• [Must] APRA-regulated entity must have information security controls to protect information assets
• [Must] Controls must be implemented in a timely manner
• [Must] Controls must be commensurate with vulnerabilities and threats to information assets</t>
  </si>
  <si>
    <t>• [Must] Controls must be commensurate with criticality and sensitivity of information assets
• [Must] Controls must be commensurate with stage of information assets within their life-cycle
• [Must] Controls must be commensurate with potential consequences of information security incidents</t>
  </si>
  <si>
    <t>An APRA-regulated entity must have information security controls to protect its information assets, including those managed by related parties and third parties, that are implemented in a timely manner and that are commensurate with: (a) vulnerabilities and threats to the information assets; (b) the criticality and sensitivity of the information assets; (c) the stage at which the information assets are within their life-cycle; and (d) the potential consequences of an information security incident.</t>
  </si>
  <si>
    <t>Information security controls for related parties</t>
  </si>
  <si>
    <t>APRA-regulated entities must evaluate the design of information security controls managed by related parties or third parties that protect their information assets. This applies to all information assets handled by such parties, including those under outsourcing agreements. The evaluation ensures adequate protection mechanisms are in place for sensitive data.</t>
  </si>
  <si>
    <t>Requires assessment of third-party security controls before data transfers involving related entities, critical for DTIA to verify cross-border data protection adequacy.</t>
  </si>
  <si>
    <t>• [Must] APRA-regulated entity must evaluate design of information security controls protecting its information assets managed by related parties or third parties</t>
  </si>
  <si>
    <t>Where an APRA-regulated entity's information assets are managed by a related party or third party, the APRA-regulated entity must evaluate the design of that party's information security controls that protects the information assets of the APRA-regulated entity.</t>
  </si>
  <si>
    <t>Timely incident detection and response mechanisms</t>
  </si>
  <si>
    <t>Security, Incident Reporting, Breach Notification</t>
  </si>
  <si>
    <t>APRA-regulated entities must establish robust mechanisms to detect and respond to information security incidents promptly. This ensures rapid containment and mitigation of potential breaches, minimizing financial and operational impacts on the entity.</t>
  </si>
  <si>
    <t>Mandates real-time incident response capabilities, crucial for DTIA to assess timely breach containment during cross-border data transfers.</t>
  </si>
  <si>
    <t>• [Must] APRA-regulated entity must have robust mechanisms to detect and respond to information security incidents in a timely manner</t>
  </si>
  <si>
    <t>An APRA-regulated entity must have robust mechanisms in place to detect and respond to information security incidents in a timely manner.</t>
  </si>
  <si>
    <t>Information security incident response plans</t>
  </si>
  <si>
    <t>APRA-regulated entities must maintain detailed response plans for information security incidents that could plausibly occur. These plans must address potential threats and ensure readiness to mitigate risks effectively.</t>
  </si>
  <si>
    <t>Requires proactive planning for potential incidents, essential for DTIA to evaluate preparedness in cross-border data environments.</t>
  </si>
  <si>
    <t>• [Must] APRA-regulated entity must maintain plans to respond to information security incidents that the entity considers could plausibly occur</t>
  </si>
  <si>
    <t>An APRA-regulated entity must maintain plans to respond to information security incidents that the entity considers could plausibly occur (information security response plans).</t>
  </si>
  <si>
    <t>Incident response plan components</t>
  </si>
  <si>
    <t>APRA-regulated entities' incident response plans must include mechanisms for managing incident stages from detection to post-incident review and for escalating incidents to appropriate oversight bodies. This ensures comprehensive incident handling and accountability.</t>
  </si>
  <si>
    <t>Specifies detailed incident management requirements, critical for DTIA to assess thoroughness in cross-border data incident handling.</t>
  </si>
  <si>
    <t>• [Must] APRA-regulated entity's information security response plans must include mechanisms for managing all relevant stages of an incident from detection to post-incident review</t>
  </si>
  <si>
    <t>• [Must] APRA-regulated entity's information security response plans must include mechanisms for escalation and reporting of information security incidents to the Board, other governing bodies and individuals responsible for information security incident management and oversight</t>
  </si>
  <si>
    <t>An APRA-regulated entity's information security response plans must include the mechanisms in place for: (a) managing all relevant stages of an incident, from detection to post-incident review; and (b) escalation and reporting of information security incidents to the Board, other governing bodies and individuals responsible for information security incident management and oversight, as appropriate.</t>
  </si>
  <si>
    <t>Annual review and testing of response plans</t>
  </si>
  <si>
    <t>APRA-regulated entities must annually review and test their information security response plans to ensure they remain effective and fit for purpose. This ongoing validation maintains the relevance and reliability of incident response capabilities.</t>
  </si>
  <si>
    <t>Mandates annual testing of incident response plans, vital for DTIA to confirm ongoing effectiveness in cross-border data scenarios.</t>
  </si>
  <si>
    <t>• [Must] APRA-regulated entity must annually review and test its information security response plans to ensure they remain effective and fit-for-purpose</t>
  </si>
  <si>
    <t>An APRA-regulated entity must annually review and test its information security response plans to ensure they remain effective and fit-for-purpose.</t>
  </si>
  <si>
    <t>Systematic testing of security controls</t>
  </si>
  <si>
    <t>APRA-regulated entities must conduct systematic testing of information security controls with frequency and scope commensurate to threat changes, asset criticality, incident consequences, policy enforcement risks, and asset changes. This ensures controls remain effective against evolving threats.</t>
  </si>
  <si>
    <t>Requires tailored testing of security controls, critical for DTIA to assess adequacy of cross-border data protection mechanisms.</t>
  </si>
  <si>
    <t>• [Must] APRA-regulated entity must test effectiveness of information security controls through systematic testing program
• [Must] Nature and frequency of systematic testing must be commensurate with rate of change in vulnerabilities and threats
• [Must] Nature and frequency of systematic testing must be commensurate with criticality and sensitivity of information asset</t>
  </si>
  <si>
    <t>• [Must] Nature and frequency of systematic testing must be commensurate with consequences of information security incident
• [Must] Nature and frequency of systematic testing must be commensurate with risks associated with exposure to environments where APRA-regulated entity cannot enforce information security policies
• [Must] Nature and frequency of systematic testing must be commensurate with materiality and frequency of change to information assets</t>
  </si>
  <si>
    <t>An APRA-regulated entity must test the effectiveness of its information security controls through a systematic testing program. The nature and frequency of the systematic testing must be commensurate with: (a) the rate at which the vulnerabilities and threats change; (b) the criticality and sensitivity of the information asset; (c) the consequences of an information security incident; (d) the risks associated with exposure to environments where the APRA-regulated entity is unable to enforce its information security policies; and (e) the materiality and frequency of change to information assets.</t>
  </si>
  <si>
    <t>Information security testing adequacy for related parties</t>
  </si>
  <si>
    <t>APRA-regulated entities must assess whether the frequency and nature of information security control testing by related parties or third parties aligns with specified prudential standards. This assessment is required when the entity relies on those parties' testing for security controls. The assessment ensures controls meet minimum standards for information assets managed externally.</t>
  </si>
  <si>
    <t>Requires entities to verify that external parties' security testing meets baseline standards before relying on their controls, impacting cross-border data transfers involving third parties.</t>
  </si>
  <si>
    <t>• [Must] APRA-regulated entity must assess whether the nature and frequency of testing of controls in respect of information assets is commensurate with paragraphs 27(a) to 27(e) of this Prudential Standard</t>
  </si>
  <si>
    <t>Where an APRA-regulated entity's information assets are managed by a related party or a third party, and the APRA-regulated entity is reliant on that party's information security control testing, the APRA-regulated entity must assess whether the nature and frequency of testing of controls in respect of those information assets is commensurate with paragraphs 27(a) to 27(e) of this Prudential Standard.</t>
  </si>
  <si>
    <t>29</t>
  </si>
  <si>
    <t>Escalation of critical security control deficiencies</t>
  </si>
  <si>
    <t>Security, Incident Reporting</t>
  </si>
  <si>
    <t>APRA-regulated entities must escalate and report to their Board or senior management any information security control deficiencies that cannot be fixed promptly. This requirement applies to deficiencies identified through testing that pose significant risks to the entity or its customers. The escalation ensures timely resolution of critical security issues.</t>
  </si>
  <si>
    <t>Mandates reporting of unremediable security control gaps to leadership, critical for assessing risks in data transfers involving third parties.</t>
  </si>
  <si>
    <t>• [Must] APRA-regulated entity must escalate and report to the Board or senior management any testing results that identify information security control deficiencies that cannot be remediated in a timely manner</t>
  </si>
  <si>
    <t>An APRA-regulated entity must escalate and report to the Board or senior management any testing results that identify information security control deficiencies that cannot be remediated in a timely manner.</t>
  </si>
  <si>
    <t>Annual review of information security testing program</t>
  </si>
  <si>
    <t>APRA-regulated entities must review the sufficiency of their information security testing program at least annually or whenever there are significant changes to information assets or the business environment. This review ensures the testing program remains aligned with evolving risks and operational needs, particularly for data transfers involving third parties.</t>
  </si>
  <si>
    <t>Requires periodic review of security testing adequacy, critical for maintaining robust data transfer safeguards with external parties.</t>
  </si>
  <si>
    <t>• [Must] APRA-regulated entity must review the sufficiency of the testing program at least annually or when there is a material change to information assets or the business environment</t>
  </si>
  <si>
    <t>An APRA-regulated entity must review the sufficiency of the testing program at least annually or when there is a material change to information assets or the business environment.</t>
  </si>
  <si>
    <t>Internal audit review of third-party security controls</t>
  </si>
  <si>
    <t>Internal audit activities must include reviewing the design and operating effectiveness of information security controls maintained by related parties and third parties. This ensures that external parties' security controls provide adequate assurance before being relied upon by the entity, particularly for critical information assets.</t>
  </si>
  <si>
    <t>Requires internal audits to validate third-party security controls, essential for assessing data transfer risks with external entities.</t>
  </si>
  <si>
    <t>• [Must] APRA-regulated entity's internal audit activities must include a review of the design and operating effectiveness of information security controls, including those maintained by related parties and third parties (information security control assurance)</t>
  </si>
  <si>
    <t>An APRA-regulated entity's internal audit activities must include a review of the design and operating effectiveness of information security controls, including those maintained by related parties and third parties (information security control assurance).</t>
  </si>
  <si>
    <t>Skilled personnel for information security assurance</t>
  </si>
  <si>
    <t>APRA-regulated entities must ensure that personnel providing information security control assurance are appropriately skilled. This requirement ensures that external parties' security assessments are conducted by qualified individuals, reducing risks associated with inadequate security evaluations.</t>
  </si>
  <si>
    <t>Mandates skilled personnel for third-party security assurance, critical for validating data transfer security.</t>
  </si>
  <si>
    <t>• [Must] APRA-regulated entity must ensure that the information security control assurance is provided by personnel appropriately skilled in providing such assurance</t>
  </si>
  <si>
    <t>An APRA-regulated entity must ensure that the information security control assurance is provided by personnel appropriately skilled in providing such assurance.</t>
  </si>
  <si>
    <t>Internal audit assessment of third-party security incidents</t>
  </si>
  <si>
    <t>Internal audit must assess information security control assurance provided by related parties or third parties when there is a potential for significant financial or non-financial impact from incidents affecting information assets, or when internal audit intends to rely on those parties' assurance. This ensures critical risks are addressed before external parties are used for data processing.</t>
  </si>
  <si>
    <t>Requires internal audits to evaluate third-party security assurance in high-risk scenarios, directly impacting data transfer security.</t>
  </si>
  <si>
    <t>• [Must] APRA-regulated entity's internal audit function must assess the information security control assurance provided by a related party or third party where: (a) an information security incident affecting the information assets has the potential to materially affect, financially or non-financially, the entity or the interests of depositors, policyholde…</t>
  </si>
  <si>
    <t>An APRA-regulated entity's internal audit function must assess the information security control assurance provided by a related party or third party where: (a) an information security incident affecting the information assets has the potential to materially affect, financially or non-financially, the entity or the interests of depositors, policyholders, beneficiaries or other customers; and (b) internal audit intends to rely on the information security control assurance provided by the related party or third party.</t>
  </si>
  <si>
    <t>Notification of material information security incidents to APRA</t>
  </si>
  <si>
    <t>An APRA-regulated entity must notify APRA within 72 hours of becoming aware of an information security incident that materially affected or had the potential to materially affect financially or non-financially the entity or its customers. The incident must involve depositors, policyholders, beneficiaries, or other customers. The notification must be made as soon as possible, with a maximum deadline of 72 hours.</t>
  </si>
  <si>
    <t>This section requires timely reporting of material information security incidents that could impact financial or non-financial interests, directly affecting DTIA timelines for incident response and cross-border data handling.</t>
  </si>
  <si>
    <t>• [Must] An APRA-regulated entity must notify APRA as soon as possible
• [Must] An APRA-regulated entity must notify APRA no later than 72 hours after becoming aware of an information security incident</t>
  </si>
  <si>
    <t>• [Must] The information security incident must materially affect or have the potential to materially affect financially or non-financially the entity or the interests of depositors, policyholders, beneficiaries or other customers</t>
  </si>
  <si>
    <t>An APRA-regulated entity must notify APRA as soon as possible and, in any case, no later than 72 hours, after becoming aware of an information security incident that: (a) materially affected, or had the potential to materially affect, financially or non-financially, the entity or the interests of depositors, policyholders, beneficiaries or other customers; or (b) has been notified to other regulators, either in Australia or other jurisdictions.</t>
  </si>
  <si>
    <t>Notification of material information security control weaknesses to APRA</t>
  </si>
  <si>
    <t>An APRA-regulated entity must notify APRA within 10 business days of becoming aware of a material information security control weakness that the entity expects it will not be able to remediate in a timely manner. This applies to weaknesses that could impact the entity's operations or customer interests.</t>
  </si>
  <si>
    <t>This section mandates reporting of unresolved information security control weaknesses, which impacts DTIA assessments for third-party risk and remediation timelines in cross-border data environments.</t>
  </si>
  <si>
    <t>• [Must] An APRA-regulated entity must notify APRA as soon as possible
• [Must] An APRA-regulated entity must notify APRA no later than 10 business days after becoming aware of a material information security control weakness</t>
  </si>
  <si>
    <t>• [Must] The information security control weakness must be one the entity expects it will not be able to remediate in a timely manner</t>
  </si>
  <si>
    <t>An APRA-regulated entity must notify APRA as soon as possible and, in any case, no later than 10 business days, after it becomes aware of a material information security control weakness which the entity expects it will not be able to remediate in a timely manner.</t>
  </si>
  <si>
    <t>rg255-published-30-august-2016-20220328 (Australia - Row 9)</t>
  </si>
  <si>
    <t>Digital advice definition and scope</t>
  </si>
  <si>
    <t>ASIC</t>
  </si>
  <si>
    <t>This section defines digital advice as automated financial product advice using algorithms and technology without direct human involvement. It clarifies that digital advice can range from narrow scope advice (e.g., portfolio construction) to comprehensive financial planning. The definition distinguishes digital advice from traditional personal advice and specifies that it applies to retail clients.</t>
  </si>
  <si>
    <t>• [Definition] Digital advice (also known as 'robo-advice' or 'automated advice') is the provision of automated financial product advice using algorithms and technology and without the direct involvement of a human adviser.</t>
  </si>
  <si>
    <t>• [Definition] Digital advice can comprise general or personal advice, and range from advice that is narrow in scope (e.g. advice about portfolio construction) to a comprehensive financial plan.</t>
  </si>
  <si>
    <t>Digital advice (also known as robo-advice or automated advice) is the provision of automated financial product advice using algorithms and technology and without the direct involvement of a human adviser.</t>
  </si>
  <si>
    <t>ASIC regulatory document types and history</t>
  </si>
  <si>
    <t>This section explains the types of regulatory documents ASIC issues, including consultation papers, regulatory guides, information sheets, and reports. It details the document's history, noting minor updates in 2021 and 2022 to reflect changes in fee arrangements, training requirements, and breach reporting reforms. The document emphasizes that it does not constitute legal advice and is illustrative only.</t>
  </si>
  <si>
    <t>• [Definition] ASIC issues regulatory documents such as consultation papers, regulatory guides, information sheets, and reports.
• [Definition] Regulatory guides explain when and how ASIC will exercise specific powers under legislation, interpret the law, describe principles, and provide practical guidance.
• [Definition] This guide was issued in August 2016 and is based on legislation and regulations as at the date of issue.
• [Definition] Minor updates were made in June 2021 to Table 1 in the Appendix to reflect changes to ongoing fee arrangements.</t>
  </si>
  <si>
    <t>• [Definition] RG 255.51 was updated in June 2021 to reflect changes to training, education, and ethical standards for financial advisers.
• [Definition] One sample question at RG 255.41 and RG 255.115 was updated in March 2022 to reflect breach reporting reforms effective from 1 October 2021.
• [Definition] This guide does not constitute legal advice; users must seek their own professional advice to determine obligations.</t>
  </si>
  <si>
    <t>Regulatory guides: give guidance to regulated entities by: explaining when and how ASIC will exercise specific powers under legislation (primarily the Corporations Act)...</t>
  </si>
  <si>
    <t>Regulatory guide structure and contents</t>
  </si>
  <si>
    <t>This section outlines the structure of the regulatory guide, including sections on digital advice in Australia, AFS licensing requirements, general obligations for digital advice licensees, and providing scaled advice in the best interests of clients. It lists the guide's contents and related information, such as key terms and non-ASIC publications.</t>
  </si>
  <si>
    <t>• [Definition] The guide includes an overview section on digital advice in Australia.
• [Definition] The guide covers scope of this regulatory guide.
• [Definition] The guide lists other relevant guidance.
• [Definition] The guide addresses digital advice and the AFS licensing regime.</t>
  </si>
  <si>
    <t>• [Definition] The guide includes general obligations applying to digital advice licensees.
• [Definition] The guide covers providing scaled advice in the best interests of the client.
• [Definition] The guide provides an appendix with other ASIC guidance.</t>
  </si>
  <si>
    <t>A Overview ........................................................................................... 4 Digital advice in Australia ................................................................... 4 Scope of this regulatory guide ........................................................... 5</t>
  </si>
  <si>
    <t>Digital advice definition and market context</t>
  </si>
  <si>
    <t>This section defines digital advice as automated financial product advice without direct human involvement, clarifies its scope (from narrow to comprehensive advice), and notes its rapid growth in Australia since 2014. It emphasizes ASIC's support for a healthy digital advice market and the potential for digital advice to serve retail clients who do not seek traditional advice.</t>
  </si>
  <si>
    <t>• [Definition] Digital advice (also known as 'robo-advice' or 'automated advice') is the provision of automated financial product advice using algorithms and technology and without the direct involvement of a human adviser.
• [Definition] Digital advice can comprise general or personal advice, and range from advice that is narrow in scope (e.g. advice about portfolio construction) to a comprehensive financial plan.
• [Definition] The provision of digital advice has grown rapidly in Australia since 2014, with a number of start-up Australian financial services (AFS) licensees and existing AFS licensees developing digital advice models.</t>
  </si>
  <si>
    <t>• [Definition] ASIC supports the development of a healthy and robust digital advice market in Australia.
• [Definition] In an environment where only around 20% of adult Australians seek personal advice, digital advice has the potential to be a convenient and low-cost option for retail clients who may not otherwise seek advice.</t>
  </si>
  <si>
    <t>Digital advice (also known as 'robo-advice' or 'automated advice') is the provision of automated financial product advice using algorithms and technology and without the direct involvement of a human adviser.</t>
  </si>
  <si>
    <t>Scope and purpose of regulatory guide</t>
  </si>
  <si>
    <t>This section explains that the regulatory guide builds on existing ASIC guidance without introducing new regulatory concepts, as the law is technology neutral. It clarifies the guide's scope, including its focus on obligations for digital advice providers and the need for digital advice licensees to comply with the best interests duty. It also addresses unique aspects of digital advice, such as organizational competence obligations and algorithm monitoring.</t>
  </si>
  <si>
    <t>• [Definition] This regulatory guide generally builds on existing ASIC guidance and does not introduce new regulatory concepts.
• [Definition] This guide brings together some of the issues that you will need to consider if you want to provide digital advice when operating in Australia—from the licensing stage (i.e. obtaining an AFS licence) through to the actual provision of advice.
• [Definition] Our guidance focuses on the obligations of those providing, or wanting to provide, digital advice.
• [Definition] Businesses that provide associated services (e.g. technology or compliance services) may also find this guidance useful.</t>
  </si>
  <si>
    <t>• [Definition] Those who provide combined (or hybrid) financial product advice models should also consider this guidance.
• [Definition] This guide provides guidance on how the organisational competence obligation in s912A(1)(e) of the Corporations Act applies to digital advice licensees.
• [Definition] The guide outlines ways in which digital advice licensees should monitor and test their algorithms.
• [Definition] The guide specifies minimum steps for digital advice providers to comply with the best interests duty when providing scaled advice.</t>
  </si>
  <si>
    <t>This regulatory guide generally builds on existing ASIC guidance and does not introduce new regulatory concepts.</t>
  </si>
  <si>
    <t>p6</t>
  </si>
  <si>
    <t>Regulatory framework principles and compliance expectations</t>
  </si>
  <si>
    <t>This section describes Australia's principles-based financial services regulatory regime, emphasizing that it does not prescribe specific compliance steps. It explains that ASIC provides guidance to help industry understand regulatory obligations, using terms like 'must' for legal obligations and 'expect' for recommended practices. It encourages digital advice providers to contact ASIC if they have alternative compliance methods.</t>
  </si>
  <si>
    <t>• [Definition] Australia's financial services regulatory regime is principles based and does not prescribe the steps that an AFS licensee needs to take to comply with the law.
• [Definition] From engagement with industry, ASIC has issued this guide to assist in understanding regulatory obligations for digital advice providers.
• [Definition] In this guide, 'must' or 'required to' refers to legal obligations that must be complied with.
• [Definition] In this guide, 'expect' or 'should' refers to recommended practices for compliance.</t>
  </si>
  <si>
    <t>• [Definition] AFS licensees will generally be able to comply with the law by adhering to the ways ASIC thinks they can comply.
• [Definition] Failure to do what is expected may result in further regulatory inquiry from ASIC.
• [Definition] ASIC is open to hearing about new or alternative ways to comply with the law.</t>
  </si>
  <si>
    <t>Generally, Australia's financial services regulatory regime is principles based and does not prescribe the steps that an AFS licensee needs to take to comply with the law.</t>
  </si>
  <si>
    <t>p7</t>
  </si>
  <si>
    <t>Digital advice communication design and disclosure requirements</t>
  </si>
  <si>
    <t>Digital advice providers must design communications and disclosures with a user-focused approach prioritizing client needs. They should consider device-specific contexts and implement ongoing testing to enhance communication effectiveness. This applies to all digital advice providers operating in Australia.</t>
  </si>
  <si>
    <t>Digital advice providers must ensure communications are designed with client needs first and undergo ongoing testing to avoid misinterpretation of advice type. This affects how data is shared and disclosed across digital channels.</t>
  </si>
  <si>
    <t>• [Must] Digital advice providers must design communications and disclosures with a user-focused approach prioritizing client needs
• [Should] Digital advice providers should consider device-specific contexts for communication effectiveness</t>
  </si>
  <si>
    <t>• [Should] Digital advice providers should implement ongoing testing to enhance communication effectiveness</t>
  </si>
  <si>
    <t>Communication in a digital context: RG 255.15</t>
  </si>
  <si>
    <t>p8</t>
  </si>
  <si>
    <t>AFS licensing requirements for digital advice providers</t>
  </si>
  <si>
    <t>Digital advice providers must hold an AFS licence or be an authorised representative of an AFS licensee unless exempted. This applies to all providers of financial product advice to retail clients. Providers must comply with conduct and disclosure obligations under the Corporations Act. Factual information provision does not require AFS licensing.</t>
  </si>
  <si>
    <t>Digital advice providers must obtain AFS licensing before providing financial product advice, which affects data transfer and processing across borders due to licensing requirements. This section clarifies when AFS licensing is required for digital advice.</t>
  </si>
  <si>
    <t>• [Must] Digital advice providers must hold an AFS licence or act as an authorised representative of an AFS licensee unless exempted
• [Must] Digital advice providers must comply with conduct and disclosure obligations under Pt 7.7 and Div 2 of Pt 7.7A</t>
  </si>
  <si>
    <t>• [Must] Factual information provision does not require AFS licensing</t>
  </si>
  <si>
    <t>Under the Corporations Act, you are required to hold an AFS licence, or to be an authorised representative of an AFS licensee, if you are carrying on a financial services business, unless an exemption applies.</t>
  </si>
  <si>
    <t>p9</t>
  </si>
  <si>
    <t>Definition of financial product advice types for digital services</t>
  </si>
  <si>
    <t>Financial product advice is classified as either personal or general advice under the Corporations Act. Personal advice requires consideration of client objectives, financial situation, and needs. General advice does not consider these factors. Digital advice providers must determine whether their communications constitute personal or general advice to ensure appropriate licensing.</t>
  </si>
  <si>
    <t>Digital advice providers must classify their communications as factual information, general advice, or personal advice to determine licensing requirements. This classification affects data processing and transfer obligations.</t>
  </si>
  <si>
    <t>• [Must] Financial product advice is either personal or general advice under the Corporations Act
• [Must] Personal advice requires consideration of client objectives, financial situation, and needs</t>
  </si>
  <si>
    <t>• [Must] General advice does not consider client objectives, financial situation, or needs</t>
  </si>
  <si>
    <t>Under the Corporations Act, all financial product advice is either 'personal advice' or 'general advice'.</t>
  </si>
  <si>
    <t>p10</t>
  </si>
  <si>
    <t>Examples of digital advice classification and licensing requirements</t>
  </si>
  <si>
    <t>Digital advice providers must determine whether their services constitute factual information, general advice, or personal advice. Examples show that providing recommendations or statements of opinion that influence client decisions requires AFS licensing. Providers must ensure their services meet the criteria for personal advice (considering client circumstances) or general advice (not considering client circumstances).</t>
  </si>
  <si>
    <t>Digital advice providers must classify their services as factual information, general advice, or personal advice to determine AFS licensing requirements. This classification directly impacts data transfer and processing obligations.</t>
  </si>
  <si>
    <t>• [Must] Digital advice providers must determine whether their services constitute factual information, general advice, or personal advice
• [Must] Services providing recommendations or statements of opinion that influence client decisions require AFS licensing</t>
  </si>
  <si>
    <t>• [Must] Personal advice requires consideration of client objectives, financial situation, and needs</t>
  </si>
  <si>
    <t>If a communication is a recommendation or a statement of opinion, or a report of either of these things, that is intended to, or can reasonably be regarded as being intended to, influence a client in making a decision about a particular financial product or class of financial product (or an interest in either of these), it is financial product advice: s766B (see RG 244.27).</t>
  </si>
  <si>
    <t>p11</t>
  </si>
  <si>
    <t>Exemptions and AFS licensing arrangements for digital advice</t>
  </si>
  <si>
    <t>Digital advice providers may be exempt from AFS licensing if they provide generic financial calculators or only allocate funds among general asset types without recommending specific products. Existing AFS licensees may not need to change licensing arrangements but must review compliance. Start-up fintech businesses must obtain their own licence or become authorised representatives.</t>
  </si>
  <si>
    <t>Digital advice providers must determine if they qualify for exemptions from AFS licensing, which affects data transfer and processing obligations. This section clarifies when licensing is required for digital advice services.</t>
  </si>
  <si>
    <t>• [May] Digital advice providers may be exempt from AFS licensing if they provide generic financial calculators
• [May] Digital advice providers may be exempt from AFS licensing if they only allocate funds among general asset types without recommending specific products</t>
  </si>
  <si>
    <t>• [May] Existing AFS licensees may not need to change licensing arrangements to provide digital advice
• [Must] Start-up fintech businesses must obtain their own AFS licence or become authorised representatives</t>
  </si>
  <si>
    <t>Depending on your circumstances, you may be exempt or have relief from the requirement to hold an AFS licence: see 911A(2) and RG 36.34.</t>
  </si>
  <si>
    <t>p12</t>
  </si>
  <si>
    <t>Becoming an authorised representative for digital advice services</t>
  </si>
  <si>
    <t>Digital advice providers considering becoming authorised representatives must obtain written authorisation from an AFS licensee. They must consider the type of financial services, required licence authorisations, and compliance assistance needs. AFS licensees must have appropriate licence authorisations to provide financial product advice to clients.</t>
  </si>
  <si>
    <t>Digital advice providers must obtain written authorisation from an AFS licensee to act as an authorised representative, which affects data transfer and processing obligations. This section outlines the requirements for becoming an authorised representative.</t>
  </si>
  <si>
    <t>• [Must] Digital advice providers must obtain written authorisation from an AFS licensee to act as an authorised representative
• [Must] Digital advice providers must consider the type of financial services they intend to offer</t>
  </si>
  <si>
    <t>• [Must] Digital advice providers must consider the required licence authorisations for their business
• [Must] Digital advice providers must consider compliance assistance needs</t>
  </si>
  <si>
    <t>If you would like to provide a financial service, such as digital advice, as an authorised representative on behalf of an AFS licensee, you must hold a written authorisation from that licensee: see s916A of the Corporations Act.</t>
  </si>
  <si>
    <t>p13</t>
  </si>
  <si>
    <t>Digital advice provider assessment questions for AFS licensees</t>
  </si>
  <si>
    <t>Cross-border Transfer, Data Storage, Security, Processing, Data Sharing, Third Party Processing, Cloud Services, Incident Reporting, Breach Notification</t>
  </si>
  <si>
    <t>This section outlines sample questions for prospective Australian Financial Services (AFS) licensees to assess their capability in providing digital financial advice. It covers business model, revenue sources, license scope, experience with innovation, algorithm testing, representative numbers, compliance assistance, training provision, monitoring capabilities, record-keeping procedures, past regulatory notifications, and enforcement history. The questions aim to evaluate whether the licensee can meet regulatory obligations for digital advice services.</t>
  </si>
  <si>
    <t>This section identifies key questions to assess AFS licensees' capacity for digital advice, including algorithm testing and compliance monitoring, which are critical for data transfer impact assessments involving algorithmic financial advice systems.</t>
  </si>
  <si>
    <t>• [Must] What is your main financial services business?
• [Must] Do you operate your own financial services business or only obtain revenue by appointing authorised representatives?
• [Must] Does your AFS licence include authorisations needed to provide digital advice and related services?
• [Must] What experience do you have with innovation and digital advice?
• [Must] What monitoring and testing will you carry out in relation to advice algorithms?
• [Must] How many other authorised representatives do you have?</t>
  </si>
  <si>
    <t>• [Must] What compliance assistance will you provide?
• [Must] Will you provide my business with any training?
• [Must] Will you provide enough monitoring and supervision to ensure my business operates within the law?
• [Must] Do you have compliance procedures for record keeping?
• [Must] How many notifications of reportable situations have you lodged with ASIC in the past two years?
• [Must] Have you been the subject of any ASIC or other regulatory agency's surveillance, investigation, enforceable undertaking or enforcement action?</t>
  </si>
  <si>
    <t>Sample questions to ask prospective AFS licensees • What is your main financial services business? • Do you operate your own financial services business or do you only obtain your revenue by appointing authorised representatives? • Does your AFS licence include the authorisations that my business needs to provide digital advice and any related services? • What experience do you have with innovation and digital advice? • What monitoring and testing will you carry out in relation to my advice algorithms? • How many other authorised representatives do you have? • What compliance assistance will you provide? • Will you provide my business with any training? • Will you provide enough monitoring and supervision to ensure that my business is operating within the law? • Do you have compliance procedures for record keeping? • How many notifications of reportable situations have you lodged with ASIC in the past two years? • Have you been the subject of any ASIC or other regulatory agency's surveillance, investigation, enforceable undertaking or enforcement action?</t>
  </si>
  <si>
    <t>p14</t>
  </si>
  <si>
    <t>Additional information required for AFS licensees providing digital advice</t>
  </si>
  <si>
    <t>This section specifies additional information AFS licensees must provide to ASIC when applying for a license to offer digital financial advice. It covers human resources with technological knowledge, human review for personal advice, outsourcing measures, algorithm monitoring procedures, record-keeping arrangements, risk management and security systems, and professional indemnity insurance adequacy. The requirements ensure digital advice providers meet regulatory standards for client data handling and service delivery.</t>
  </si>
  <si>
    <t>This section details specific information needed for digital advice providers to ensure compliance with data handling and security requirements, which are critical for data transfer impact assessments involving algorithmic financial advice.</t>
  </si>
  <si>
    <t>• [Must] Provide information about human resources with technological knowledge and skills to understand algorithms and review digital advice
• [Must] Specify the level of human review for personal advice generated by algorithms
• [Must] Describe measures to ensure due skill and care in selecting service providers when outsourcing functions
• [Must] Outline procedures to monitor ongoing performance of service providers</t>
  </si>
  <si>
    <t>• [Must] Detail procedures for monitoring and testing algorithms
• [Must] Explain arrangements for complying with record-keeping obligations
• [Must] Describe risk management and security arrangements for client information storage and transmission
• [Must] Explain how professional indemnity insurance cover is determined to be adequate</t>
  </si>
  <si>
    <t>RG 255.45: RG 2 explains what information you need to provide to ASIC as part of your AFS licence application. Depending on the nature, scale and complexity of your business, we may ask you for additional information about: (a) the human resources you will have with the technological knowledge and skills to: (i) generally understand the technology and algorithms used to provide the digital advice; and (ii) review the digital advice generated by algorithms (see RG 255.60–RG 255.64); (b) if you are providing personal advice, the level of human review that will be undertaken on the advice generated (see RG 255.109–RG 255.112); (c) if you outsource any functions, the measures you will put in place to ensure that: (i) due skill and care are taken in choosing suitable service providers; and (ii) you can and will monitor the ongoing performance of service providers (see RG 255.67–RG 255.68); (d) the procedures you have in place to monitor and test algorithms (see RG 255.72–RG 255.74); (e) the arrangements you will put in place to comply with your record-keeping obligations; (f) the risk management and security arrangements you will have in place to ensure that client information is stored and transmitted securely (see RG 255.70–RG 255.79); and (g) how you have determined that your professional indemnity (PI) insurance cover is adequate (see RG 255.80–RG 255.85).</t>
  </si>
  <si>
    <t>p15</t>
  </si>
  <si>
    <t>Organisational competence requirements for digital advice licensees</t>
  </si>
  <si>
    <t>This section details the organisational competence obligations for AFS licensees providing digital financial advice. It specifies that digital advice licensees must have at least one responsible manager who meets training and competence standards, as there is no natural person directly involved in providing advice. The requirements ensure that digital advice providers maintain appropriate knowledge and skills to operate within the law, with specific focus on algorithmic advice systems.</t>
  </si>
  <si>
    <t>This section addresses the organisational competence requirements for digital advice providers, which are critical for ensuring that algorithmic advice systems meet regulatory standards and do not pose risks to client data.</t>
  </si>
  <si>
    <t>• [Must] Maintain competence to provide financial services covered by their licence
• [Must] Ensure representatives are adequately trained and competent to provide financial services
• [Must] Demonstrate that each responsible manager meets one of five options for appropriate knowledge and skills</t>
  </si>
  <si>
    <t>• [Must] Ensure responsible managers collectively have appropriate knowledge and skills to cover all financial services and products
• [Must] In digital advice contexts, there is no natural person directly involved in providing advice, so training and competence standards do not apply
• [Must] Digital advice licensees must have at least one responsible manager who meets training and competence standards</t>
  </si>
  <si>
    <t>RG 255.48: Under the Corporations Act, AFS licensees are required to: (a) maintain competence to provide the financial services covered by their licence (s912A(1)(e)); and (b) ensure that their representatives are adequately trained and competent to provide those financial services (s912A(1)(f)).</t>
  </si>
  <si>
    <t>p16</t>
  </si>
  <si>
    <t>Responsible manager competence for digital advice licensees</t>
  </si>
  <si>
    <t>16–17</t>
  </si>
  <si>
    <t>This section explains that in most cases, existing AFS licensees already have a responsible manager who meets training and competence standards. However, in some instances, a licensee may not have a responsible manager who meets these standards, particularly if the responsible manager previously demonstrated competence through relevant experience over the past 10 years.</t>
  </si>
  <si>
    <t>This section clarifies the competence requirements for responsible managers in digital advice licensees, which is relevant for ensuring that algorithmic advice systems are operated within regulatory frameworks.</t>
  </si>
  <si>
    <t>• [Must] At least one responsible manager of an existing AFS licensee will meet the training and competence standards
• [Must] In some instances, a licensee may not have a responsible manager who meets training and competence standards</t>
  </si>
  <si>
    <t>• [Must] Responsible managers who previously demonstrated competence through relevant experience over the past 10 years may not meet current standards</t>
  </si>
  <si>
    <t>RG 255.54: In most cases, at least one responsible manager of an existing AFS licensee will meet the training and competence standards. In a small number of instances, however, a licensee may not have a responsible manager who meets these standards. This is because the responsible manager was previously able to demonstrate their competence under RG 105 by showing they had relevant experience over the previous 10 years.</t>
  </si>
  <si>
    <t>p17</t>
  </si>
  <si>
    <t>General obligations for digital advice licensees</t>
  </si>
  <si>
    <t>17–18</t>
  </si>
  <si>
    <t>This section outlines the general obligations that apply to all AFS licensees, including the requirement to have adequate resources, establish risk management systems, and comply with financial services laws. It specifies that digital advice licensees must meet these obligations, with additional guidance on human resources, technological capabilities, and risk management to ensure compliance with the Corporations Act.</t>
  </si>
  <si>
    <t>This section details the general obligations for digital advice licensees, which are critical for ensuring that algorithmic advice systems comply with regulatory requirements and data handling standards.</t>
  </si>
  <si>
    <t>• [Must] Have adequate financial, technological and human resources to provide financial services and carry out supervisory arrangements
• [Must] Establish and maintain adequate risk management systems
• [Must] Comply with financial services laws</t>
  </si>
  <si>
    <t>• [Must] Take reasonable steps to ensure representatives comply with financial services laws
• [Must] Maintain competence to provide financial services
• [Must] Ensure representatives are adequately trained and competent to provide financial services</t>
  </si>
  <si>
    <t>RG 255.55: If you are an AFS licensee, you have general obligations under s912A(1) of the Corporations Act to: (a) do all things necessary to ensure that the financial services covered by your licence are provided efficiently, honestly and fairly (s912A(1)(a)); (b) have adequate arrangements in place for managing conflicts of interest (s912A(1)(aa)); (c) comply with the conditions on your licence (s912A(1)(b)); (d) comply with the financial services laws (s912A(1)(c)); (e) take reasonable steps to ensure that your representatives comply with the financial services laws (s912A(1)(ca)); (f) have adequate financial, technological and human resources to provide the financial services covered by your licence and to carry out supervisory arrangements (s912A(1)(d)); (g) maintain the competence to provide the financial services covered by your licence (s912A(1)(e)); (h) ensure that your representatives are adequately trained and competent to provide those financial services (s912A(1)(f)); (i) if you provide financial services to retail clients, have a dispute resolution system (s912A(1)(g)); and (j) establish and maintain adequate risk management systems (s912A(1)(h)).</t>
  </si>
  <si>
    <t>p18</t>
  </si>
  <si>
    <t>Resource requirements for digital advice licensees</t>
  </si>
  <si>
    <t>18–19</t>
  </si>
  <si>
    <t>This section focuses on the resource requirements for AFS licensees providing digital financial advice, emphasizing the need for adequate human resources to understand algorithms and review digital advice outputs. It specifies that digital advice licensees must have individuals within their business who can comprehend the technology and algorithms used to provide advice and assess the generated advice for compliance.</t>
  </si>
  <si>
    <t>This section addresses the human resource requirements for digital advice licensees, which are critical for ensuring that algorithmic advice systems are properly monitored and compliant with regulatory standards.</t>
  </si>
  <si>
    <t>• [Must] Ensure there are people within the business who understand the technology and algorithms used to provide digital advice</t>
  </si>
  <si>
    <t>• [Must] Ensure there are people within the business who can review digital advice generated by algorithms</t>
  </si>
  <si>
    <t>RG 255.60: As a digital advice licensee, you should ensure that there are people within your business who: (a) have an understanding of the technology and algorithms used to provide digital advice; and (b) are able to review the digital advice generated by algorithms.</t>
  </si>
  <si>
    <t>p19</t>
  </si>
  <si>
    <t>Digital advice licensees must have staff understanding algorithms and technology</t>
  </si>
  <si>
    <t>19–20</t>
  </si>
  <si>
    <t>Digital advice licensees must have at least one person who understands the technology and algorithms used for digital advice. This person does not need to understand the specific computer coding but must comprehend the rationale, risks, and rules behind the algorithms. The requirement applies to all digital advice licensees regardless of business size, with the extent of human resources depending on the scale of operations.</t>
  </si>
  <si>
    <t>Digital advice licensees must ensure staff can review algorithmic advice for compliance, which impacts data transfer assessments by requiring technical oversight of algorithmic systems.</t>
  </si>
  <si>
    <t>• [Must] Digital advice licensees must have at least one person who understands the technology and algorithms used for digital advice</t>
  </si>
  <si>
    <t>• [Must] This person must comprehend the rationale, risks, and rules behind the algorithms without needing to understand specific computer coding</t>
  </si>
  <si>
    <t>RG 255.61: Digital advice is provided through technology... we expect digital advice licensees to have at least one person who has a general understanding of the technology and algorithms...</t>
  </si>
  <si>
    <t>p20</t>
  </si>
  <si>
    <t>Digital advice licensees must monitor outsourced algorithm functions</t>
  </si>
  <si>
    <t>20–21</t>
  </si>
  <si>
    <t>Digital advice licensees outsourcing algorithm functions must ensure suitable service providers are chosen and monitored. Licensees remain responsible for financial services provided to clients even when functions are outsourced. This includes understanding algorithm rationale, risks, and rules without needing to code the algorithms.</t>
  </si>
  <si>
    <t>Outsourcing algorithm functions requires licensees to maintain oversight of third-party providers to ensure compliance, affecting data transfer assessments through third-party data handling risks.</t>
  </si>
  <si>
    <t>• [Must] Digital advice licensees must choose service providers with due skill and care for outsourced functions
• [Must] Digital advice licensees must monitor ongoing performance of outsourced service providers</t>
  </si>
  <si>
    <t>• [Must] Digital advice licensees remain responsible for financial services provided to clients even when functions are outsourced</t>
  </si>
  <si>
    <t>RG 255.67: We expect that you will have measures in place to ensure that due skill and care are taken in choosing suitable outsourced service providers; and you can and will monitor the ongoing performance of outsourced service providers.</t>
  </si>
  <si>
    <t>p21</t>
  </si>
  <si>
    <t>Digital advice licensees must monitor and test algorithms regularly</t>
  </si>
  <si>
    <t>21–22</t>
  </si>
  <si>
    <t>Digital advice licensees must regularly monitor and test algorithms to ensure compliance. This includes having system design documentation, documented test strategies, processes for managing algorithm changes, records of algorithm changes over seven years, and mechanisms to suspend advice if errors are detected. These requirements apply to all digital advice licensees regardless of business scale.</t>
  </si>
  <si>
    <t>Algorithm monitoring and testing requirements directly impact data transfer assessments by mandating technical oversight of algorithmic systems to ensure compliance with financial regulations.</t>
  </si>
  <si>
    <t>• [Must] Digital advice licensees must have system design documentation that clearly sets out the purpose, scope, and design of algorithms
• [Must] Digital advice licensees must have a documented test strategy explaining the scope of algorithm testing
• [Must] Digital advice licensees must have processes for managing changes to algorithms with security arrangements to prevent unauthorized access
• [Must] Digital advice licensees must control, monitor, and retain records of algorithm changes for seven years</t>
  </si>
  <si>
    <t>• [Must] Digital advice licensees must review and update algorithms when factors affecting their currency change
• [Must] Digital advice licensees must suspend advice provision if algorithm errors are detected that could cause client loss or breach of the Corporations Act
• [Must] Digital advice licensees must have adequate resources to monitor and supervise algorithm performance
• [Must] Digital advice licensees must have an internal sign-off process to ensure compliance with algorithm monitoring requirements</t>
  </si>
  <si>
    <t>RG 255.72: As part of your risk management systems, you should regularly monitor and test the algorithms that underpin the advice.</t>
  </si>
  <si>
    <t>p22</t>
  </si>
  <si>
    <t>Digital advice licensees must implement cyber security frameworks</t>
  </si>
  <si>
    <t>22–23</t>
  </si>
  <si>
    <t>Security, Cloud Services</t>
  </si>
  <si>
    <t>Digital advice licensees must assess cyber security using recognized frameworks like NIST or Australian Signals Directorate strategies. They must also comply with information security standards such as ISO/IEC 27001 and have adequate cloud security measures to mitigate malicious cyber activity risks.</t>
  </si>
  <si>
    <t>Cyber security requirements directly impact data transfer assessments by mandating robust security frameworks for digital advice systems, affecting cross-border data transfers.</t>
  </si>
  <si>
    <t>• [Must] Digital advice licensees must assess cyber security using recognized frameworks such as NIST or Australian Signals Directorate strategies
• [Must] Digital advice licensees must comply with information security standards including ISO/IEC 27001:2015</t>
  </si>
  <si>
    <t>• [Must] Digital advice licensees must implement adequate cloud security measures to mitigate malicious cyber activity</t>
  </si>
  <si>
    <t>RG 255.77: We expect digital advice licensees to assess their cyber security using recognised frameworks, such as the National Institute of Standards and Technology's Framework for improving critical infrastructure cybersecurity...</t>
  </si>
  <si>
    <t>p23</t>
  </si>
  <si>
    <t>Digital advice licensees must have adequate compensation arrangements</t>
  </si>
  <si>
    <t>23–24</t>
  </si>
  <si>
    <t>Digital advice licensees must have arrangements for compensating clients for losses resulting from breaches of obligations under the Corporations Act. These arrangements must either satisfy professional indemnity insurance requirements or be approved by ASIC as alternative arrangements, considering factors like client growth, potential widespread losses, and claim aggregation.</t>
  </si>
  <si>
    <t>Compensation arrangements requirements impact data transfer assessments by mandating financial safeguards for client losses, affecting cross-border data handling risks.</t>
  </si>
  <si>
    <t>• [Must] Digital advice licensees must have arrangements for compensating clients for losses from breaches of obligations under the Corporations Act
• [Must] Compensation arrangements must satisfy professional indemnity insurance requirements or be approved by ASIC as alternatives
• [Must] Digital advice licensees must regularly review business risks to assess PI insurance adequacy</t>
  </si>
  <si>
    <t>• [Must] Digital advice licensees must notify PI insurers of material business changes
• [Must] Digital advice licensees must review PI insurance policy features at least annually</t>
  </si>
  <si>
    <t>RG 255.80: Under s912B, AFS licensees that provide financial services to retail clients must have arrangements for compensating clients for loss they suffer as a result of a breach by the licensee or its representatives of their obligations in Ch 7 of the Corporations Act.</t>
  </si>
  <si>
    <t>p24</t>
  </si>
  <si>
    <t>Digital advice must comply with best interests duty</t>
  </si>
  <si>
    <t>24–25</t>
  </si>
  <si>
    <t>Digital advice providers must act in the best interests of clients when providing advice, as the law is technology neutral. This obligation applies to all digital advice providers, including those using computer programs, and requires adherence to the same standards as traditional financial advice.</t>
  </si>
  <si>
    <t>Best interests duty requirements impact data transfer assessments by mandating client-centric advice practices, affecting data handling and processing across borders.</t>
  </si>
  <si>
    <t>• [Must] Digital advice providers must act in the best interests of clients when providing advice</t>
  </si>
  <si>
    <t>RG 255.87: When providing personal advice to a retail client, advice providers must act in the best interests of the client in relation to that advice: s961B(1).</t>
  </si>
  <si>
    <t>p25</t>
  </si>
  <si>
    <t>Digital advice provider obligations for retail clients</t>
  </si>
  <si>
    <t>25–26</t>
  </si>
  <si>
    <t>Data Sharing, Cross-border Transfer, Financial Data</t>
  </si>
  <si>
    <t>Digital advice providers must provide appropriate advice, warn clients about incomplete or inaccurate information, and prioritize client interests over their own or associates' interests when giving personal financial advice. These obligations apply to all personal advice but exclude general advice. The guidance specifies that scaled advice (limited scope personal advice) must be handled with particular care due to the absence of direct client interaction in digital contexts.</t>
  </si>
  <si>
    <t>Digital advice providers must clearly communicate the scope of advice, obtain client consent for limited advice, and ensure advice remains within client's best interests to avoid cross-border data transfer risks.</t>
  </si>
  <si>
    <t>• [Must] Provide appropriate financial advice to retail clients
• [Must] Warn clients if advice is based on incomplete or inaccurate information</t>
  </si>
  <si>
    <t>• [Must] Prioritize client's interests over own interests or associates' interests</t>
  </si>
  <si>
    <t>RG 255.90: A digital advice provider giving personal advice to a client also has related obligations in Div 2 of Pt 7.7A of the Corporations Act to provide appropriate advice, to warn the client if advice is based on incomplete or inaccurate information, and to prioritise the client's interests over its own interests or that of the advice provider's associates.</t>
  </si>
  <si>
    <t>p26</t>
  </si>
  <si>
    <t>Minimum expectations for digital scaled advice</t>
  </si>
  <si>
    <t>26–27</t>
  </si>
  <si>
    <t>Digital advice providers must explain the scope of advice upfront, require clients to actively demonstrate advice relevance, inform about limitations and consequences at key points, provide key concepts and risks/benefits, filter inappropriate clients, disclose costs, withdrawal options, dispute resolution, and explain benefits of following advice. These minimum expectations ensure scaled advice remains in the client's best interests without direct interaction.</t>
  </si>
  <si>
    <t>Digital advice providers must implement clear communication protocols to define advice scope and ensure client understanding, critical for data transfer compliance in cross-border financial contexts.</t>
  </si>
  <si>
    <t>• [Must] Explain advice scope and what is not offered from the outset
• [Must] Require client to actively demonstrate advice relevance
• [Must] Inform about limitations and consequences at key points
• [Must] Inform about key concepts and associated risks/benefits
• [Must] Filter clients for whom advice is inappropriate</t>
  </si>
  <si>
    <t>• [Must] Disclose upfront and ongoing costs of advice
• [Must] Inform about withdrawal options and associated costs
• [Must] Explain dispute resolution processes
• [Must] Explain why client will be in better position following advice</t>
  </si>
  <si>
    <t>RG 255.98: As a minimum, you should: explain to the client from the outset what advice is being offered and what is not being offered (i.e. the scope of the advice); require the client to actively demonstrate that the advice they are seeking is within the scope of what is being offered by the digital advice model; at key points in the advice process, inform the client about the limitations and potential consequences of the scope of advice; throughout the advice process, inform the client about key concepts and the relevant risks and benefits associated with the advice being provided; filter out clients for whom the advice being offered is not appropriate, or who want advice on a topic outside the scope of advice being offered; inform the client about the upfront and ongoing costs of the advice before the advice is given or implemented; inform the client about how they can withdraw from the advice being provided, and any associated costs, before the advice is implemented; explain what dispute resolution processes are available to the client if they wish to make a complaint; and explain why the client is likely to be in a better position if they follow the advice.</t>
  </si>
  <si>
    <t>p27</t>
  </si>
  <si>
    <t>Example of scaled digital advice in client's best interests</t>
  </si>
  <si>
    <t>27–28</t>
  </si>
  <si>
    <t>Medium (interpretation)</t>
  </si>
  <si>
    <t>The example demonstrates that digital advice is in the client's best interests when it clearly identifies advice scope, explains consequences of limited advice, obtains client consent, provides ongoing reinforcement of scope limitations, and filters clients based on relevant circumstances. This ensures advice remains appropriate and within legal scope without direct interaction.</t>
  </si>
  <si>
    <t>Digital advice must clearly define scope, obtain explicit consent, and implement ongoing client communication to ensure advice remains within client's best interests during data transfers.</t>
  </si>
  <si>
    <t>• [Must] Clearly identify what advice is provided and what is not
• [Must] Explain consequences of proceeding with scaled advice
• [Must] Obtain client consent to proceed with scaled advice</t>
  </si>
  <si>
    <t>• [Must] Provide pop-up information to reinforce limited scope and implications
• [Must] Identify whether client's circumstances are consistent with advice scope</t>
  </si>
  <si>
    <t>RG 255.99: In Example 5, we consider that the digital advice provider provides scaled advice that is in the best interests of the client.</t>
  </si>
  <si>
    <t>p28</t>
  </si>
  <si>
    <t>Triage and filtering process for digital advice</t>
  </si>
  <si>
    <t>28–29</t>
  </si>
  <si>
    <t>Digital advice providers must implement a robust triage or filtering process to identify clients for whom advice is inappropriate. This includes testing at key points in the advice process whether advice is appropriate and in the client's best interests, filtering clients who seek advice outside scope, and handling inconsistent client responses through clarification or exclusion.</t>
  </si>
  <si>
    <t>Digital advice providers must actively filter clients to ensure advice remains within scope and in client's best interests, critical for data transfer compliance.</t>
  </si>
  <si>
    <t>• [Must] Ensure robust triage or filtering process to identify inappropriate clients
• [Must] Test at key points whether advice is appropriate and in client's best interests</t>
  </si>
  <si>
    <t>• [Must] Filter clients seeking advice outside scope of digital advice
• [Must] Identify inconsistencies in client responses and provide clarification or exclusion</t>
  </si>
  <si>
    <t>RG 255.102: If a client seeks advice on an area outside the scope of the advice being offered, the client should be filtered out of the digital advice model.</t>
  </si>
  <si>
    <t>p29</t>
  </si>
  <si>
    <t>Combined financial advice model example</t>
  </si>
  <si>
    <t>29–30</t>
  </si>
  <si>
    <t>A combined model uses digital advice tools for initial assessment and human advisers for complex cases. The digital tool filters clients based on circumstances, and human advisers verify information and provide tailored advice, ensuring compliance with best interests obligations and SOA requirements.</t>
  </si>
  <si>
    <t>Digital advice models must include mechanisms to identify and handle complex client cases to maintain data transfer compliance and client protection.</t>
  </si>
  <si>
    <t>• [Must] Use digital advice tool for initial assessment and human adviser for complex cases
• [Must] Verify client information with client</t>
  </si>
  <si>
    <t>• [Must] Identify information gaps or inconsistencies
• [Must] Provide advice considering all client circumstances</t>
  </si>
  <si>
    <t>RG 255.106: In Example 6, a digital advice licensee provides a combined (or hybrid) financial product advice model. The licensee correctly filters the client out of the digital advice tool because the advice would not be appropriate for the client's more complex personal circumstances.</t>
  </si>
  <si>
    <t>p30</t>
  </si>
  <si>
    <t>Digital strategic advice without product recommendations</t>
  </si>
  <si>
    <t>30–31</t>
  </si>
  <si>
    <t>Digital advice providers must ensure clients understand advice scope, obtain consent, and confirm data completeness before generating SOAs. This includes verifying client circumstances and readiness to proceed with advice, critical for maintaining compliance in digital contexts.</t>
  </si>
  <si>
    <t>Digital advice providers must confirm client data completeness and readiness before finalizing advice to ensure data transfer compliance.</t>
  </si>
  <si>
    <t>• [Must] Confirm client has finished inputting data and is ready to proceed</t>
  </si>
  <si>
    <t>• [Must] Provide SOA after confirming client circumstances are up to date and accurate</t>
  </si>
  <si>
    <t>RG 255.107: In a digital advice context, it may not always be clear when a client has finished inputting their data into the digital advice tool. This is because a client may 'play around' and change the variables of the tool.</t>
  </si>
  <si>
    <t>p31</t>
  </si>
  <si>
    <t>Digital advice algorithm monitoring and error correction</t>
  </si>
  <si>
    <t>31–32</t>
  </si>
  <si>
    <t>Digital advice licensees must conduct frequent reviews of algorithms initially and after any changes, including testing scenarios to ensure advice quality. They must monitor algorithms through periodic and random reviews. If errors are detected that could cause client loss or breach the Corporations Act, licensees must immediately rectify the issues and stop providing advice until fixed. They must also have procedures to identify and contact clients affected by inappropriate advice.</t>
  </si>
  <si>
    <t>Requires robust algorithm testing and error correction protocols for digital advice, critical for ensuring data transfers via algorithms comply with regulatory safeguards and client protection standards.</t>
  </si>
  <si>
    <t>• [Must] Conduct frequent reviews of digital advice algorithms initially and after any changes
• [Must] Test scenarios to ensure quality of advice after algorithm changes
• [Must] Monitor algorithms through periodic and random advice reviews</t>
  </si>
  <si>
    <t>• [Must] Immediately rectify algorithm errors that could cause client loss or breach the Corporations Act
• [Must] Stop providing advice until algorithm defects are rectified
• [Must] Have procedures to identify and contact clients affected by inappropriate advice</t>
  </si>
  <si>
    <t>Frequent reviews of digital advice should be conducted initially, and with heightened scrutiny when any change to an algorithm is made. When changes are made, it would be prudent to run a number of test scenarios to test the quality of advice provided. Algorithms should be regularly monitored and tested through periodic and random advice reviews.</t>
  </si>
  <si>
    <t>p32</t>
  </si>
  <si>
    <t>Relevant ASIC regulatory guides for digital advice</t>
  </si>
  <si>
    <t>32–33</t>
  </si>
  <si>
    <t>This section lists regulatory guides that may be relevant to digital advice, including AFS licensing, product disclosure, training, and conflict of interest guidance. It emphasizes reading other ASIC guides for comprehensive compliance with financial services regulations.</t>
  </si>
  <si>
    <t>• [Should] Read other relevant ASIC regulatory guides for comprehensive compliance</t>
  </si>
  <si>
    <t>This regulatory guide should be read in conjunction with other relevant regulatory guides issued by ASIC.</t>
  </si>
  <si>
    <t>p33</t>
  </si>
  <si>
    <t>Additional ASIC guidance on digital advice compliance</t>
  </si>
  <si>
    <t>33–34</t>
  </si>
  <si>
    <t>This section details specific ASIC guidance on discretionary powers, product disclosure, financial product advisers, managed discretionary accounts, and conflicts of interest relevant to digital advice. It outlines obligations for managing conflicts and ensuring proper disclosure practices.</t>
  </si>
  <si>
    <t>• [Should] Follow guidance on discretionary powers for compliance with Corporations Act
• [Must] Comply with product disclosure obligations for digital advice
• [Must] Adhere to conduct and disclosure obligations for financial product advisers</t>
  </si>
  <si>
    <t>• [Must] Regulate managed discretionary account services for retail clients
• [Must] Manage conflicts of interest as required by s912A(1)(aa) of the Corporations Act</t>
  </si>
  <si>
    <t>RG 175 Licensing: Financial product advisers—Conduct and disclosure: This is a guide for persons who provide financial product advice to retail clients, and their professional advisers (e.g. lawyers).</t>
  </si>
  <si>
    <t>p34</t>
  </si>
  <si>
    <t>Digital advice fee and remuneration compliance</t>
  </si>
  <si>
    <t>34–35</t>
  </si>
  <si>
    <t>This section covers guidance on scaled advice, conflicted remuneration, and ongoing fee arrangements for digital advice. It specifies obligations for fee disclosures, annual renewals, and written consent for fee deductions.</t>
  </si>
  <si>
    <t>• [Must] Provide annual fee disclosure statements to clients
• [Must] Seek annual renewal of ongoing fee arrangements</t>
  </si>
  <si>
    <t>• [Must] Obtain client written consent to deduct ongoing fees</t>
  </si>
  <si>
    <t>INFO 256 FAQs: Ongoing fee arrangements: This information sheet contains frequently asked questions (FAQs) that explain the obligations in Div 3 of Pt 7.7A and Pt 10.46 of the Corporations Act which apply to persons who provide personal advice to retail clients under an ongoing fee arrangement.</t>
  </si>
  <si>
    <t>p35</t>
  </si>
  <si>
    <t>Key terms for digital advice compliance</t>
  </si>
  <si>
    <t>35–36</t>
  </si>
  <si>
    <t>This section defines critical terms such as digital advice, digital advice licensee, and financial product advice, clarifying their meanings within the context of the Corporations Act and regulatory obligations. These definitions are essential for understanding compliance requirements.</t>
  </si>
  <si>
    <t>• [Definition] Digital advice is defined as automated financial product advice using algorithms without direct human involvement
• [Definition] Digital advice licensee is an AFS licensee offering digital advice to retail clients</t>
  </si>
  <si>
    <t>• [Definition] Financial product advice is a recommendation or statement of opinion intended to influence financial product decisions</t>
  </si>
  <si>
    <t>digital advice: Also known as 'robo-advice' or 'automated advice'—the provision of automated financial product advice using algorithms and technology and without the direct involvement of a human adviser</t>
  </si>
  <si>
    <t>p36</t>
  </si>
  <si>
    <t>Additional key terms for digital advice</t>
  </si>
  <si>
    <t>36–37</t>
  </si>
  <si>
    <t>This section provides further definitions of terms like client's relevant circumstances, Corporations Act, and financial product advice, which are crucial for understanding the scope and application of digital advice regulations.</t>
  </si>
  <si>
    <t>• [Definition] Client's relevant circumstances include objectives, financial situation, and needs
• [Definition] Corporations Act refers to the Corporations Act 2001 and related regulations</t>
  </si>
  <si>
    <t>client's relevant circumstances: The objectives, financial situation and needs of a client that would reasonably be considered relevant to the subject matter of advice sought by the client</t>
  </si>
  <si>
    <t>p37</t>
  </si>
  <si>
    <t>Definitions for digital financial advice and AFS licensees</t>
  </si>
  <si>
    <t>37–38</t>
  </si>
  <si>
    <t>This section defines key terms used in providing digital financial product advice to retail clients. It specifies that general advice is non-personal advice, personal advice requires consideration of client objectives and financial situation, and outlines the roles of responsible managers, AFS licensees, and other critical entities. These definitions support compliance with the Corporations Act and ASIC regulatory requirements.</t>
  </si>
  <si>
    <t>• [Definition] General advice is financial product advice that is not personal advice
• [Definition] Personal advice is financial product advice given or directed to a person in circumstances where the provider has considered one or more of the client's objectives, financial situation and needs</t>
  </si>
  <si>
    <t>• [Definition] Responsible managers are persons nominated by an AFS licensee who are directly responsible for significant day-to-day decisions about the ongoing provision of financial services
• [Definition] Responsible managers must have appropriate knowledge and skills to ensure the licensee can provide financial services for which it has been authorised</t>
  </si>
  <si>
    <t>Term: general advice - Financial product advice that is not personal advice. Term: personal advice - Financial product advice given or directed to a person (including by electronic means) in circumstances where: the provider of the advice has considered one or more of the client's objectives, financial situation and needs; or a reasonable person might expect the provider to have considered one or more of these matters</t>
  </si>
  <si>
    <t>p38</t>
  </si>
  <si>
    <t>Digital advice documentation and best interests standards</t>
  </si>
  <si>
    <t>38–39</t>
  </si>
  <si>
    <t>This section defines terms related to digital financial advice, including scaled advice as personal advice limited in scope, and the safe harbour for the best interests duty which refers to specific steps under the Corporations Act. It also specifies that a Statement of Advice (SOA) must be provided to clients for personal advice under certain conditions.</t>
  </si>
  <si>
    <t>• [Definition] Scaled advice is personal advice that is limited in scope
• [Definition] Safe harbour for the best interests duty refers to the steps set out in s961B(2) of the Corporations Act</t>
  </si>
  <si>
    <t>• [Definition] A Statement of Advice (SOA) must be given to a client for the provision of personal advice under Subdivs C and D of Div 3 of Pt 7.7 of the Corporations Act</t>
  </si>
  <si>
    <t>Term: scaled advice - Personal advice that is limited in scope. Term: safe harbour for the best interests duty - The steps set out in s961B(2) of the Corporations Act. Term: SOA (Statement of Advice) - A document that must be given to a client for the provision of personal advice under Subdivs C and D of Div 3 of Pt 7.7 of the Corporations Act</t>
  </si>
  <si>
    <t>p39</t>
  </si>
  <si>
    <t>Related information and legislative references for digital advice</t>
  </si>
  <si>
    <t>39–40</t>
  </si>
  <si>
    <t>This section lists related information and legislative references for digital financial advice, including headnotes on key terms, relevant legislation such as the Corporations Act, and regulatory instruments like ASIC's Corporations (Generic Calculators) Instrument and Product Disclosure Statements. It identifies specific regulations and guidance documents that support compliance with digital advice requirements.</t>
  </si>
  <si>
    <t>• [Definition] Headnotes include advisers, AFS licensees, algorithms, automated advice, best interests duty, and other relevant terms
• [Definition] Legislation includes the Corporations Act, Ch 7, Pt 7.7, and specific sections such as 761G, 766B, 912A(1), and others</t>
  </si>
  <si>
    <t>• [Definition] ASIC publications include the Corporations (Generic Calculators) Instrument 2016/207 and Corporations (Facilitating Electronic Delivery of Financial Services Disclosure) Instrument 2015/647</t>
  </si>
  <si>
    <t>Headnotes and legislation: advisers, AFS licensees, algorithms, authorised representatives, automated advice, best interests duty, compensation arrangements, compliance, cyber security, digital advice, exchange-traded funds, factual information, financial product advice, fintech, general advice, licensing, managed discretionary account, monitoring and testing, organisational competence, outsourcing, personal advice, record-keeping obligations, responsible manager, retail client, robo-advice, scaled advice, start-up business, technology, training and competence standards, triage or filtering process</t>
  </si>
  <si>
    <t>p40</t>
  </si>
  <si>
    <t>Regulatory guides and reports for digital advice compliance</t>
  </si>
  <si>
    <t>This section lists regulatory guides and reports relevant to digital financial advice, including ASIC's Regulatory Guide 3, RG 36, RG 78, RG 104, RG 105, RG 126, RG 146, RG 167, RG 168, RG 175, RG 179, RG 221, RG 244, and specific reports on cyber resilience. These resources provide detailed guidance on compliance with digital advice requirements and cybersecurity standards.</t>
  </si>
  <si>
    <t>• [Definition] Regulatory guides include RG 3, RG 36, RG 78, RG 104, RG 105, RG 126, RG 146, RG 167, RG 168, RG 175, RG 179, RG 221, RG 244</t>
  </si>
  <si>
    <t>• [Definition] Reports include REP 429 Cyber resilience: Health check and REP 468 Cyber resilience assessment report: ASX Group and Chi-X Australia Pty Ltd</t>
  </si>
  <si>
    <t>Regulatory guides: RG 3 AFS Licensing Kit: Part 3—Preparing your additional proofs, RG 36 Licensing: Financial product advice and dealing, RG 78 Breach reporting by AFS licensees and credit licensees, RG 104 AFS licensing: Meeting the general obligations, RG 105 AFS licensing: Organisational competence, RG 126 Compensation and insurance arrangements for AFS licensees, RG 146 Licensing: Training of financial product advisers, RG 167 Licensing: Discretionary powers, RG 168 Disclosure: Product Disclosure Statements (and other disclosure obligations), RG 175 Licensing: Financial product advisers—Conduct and disclosure, RG 179 Managed discretionary account services, RG 221 Facilitating digital financial services disclosures, RG 244 Giving information, general advice and scaled advice</t>
  </si>
  <si>
    <t>CELEX_32002L0058_EN_TXT (GDPR Row 7)</t>
  </si>
  <si>
    <t>Subscriber directory information disclosure</t>
  </si>
  <si>
    <t>Member States must ensure subscribers are informed free of charge before inclusion in public directories about directory purposes, data usage, and search functions. This applies to printed or electronic directories available to the public or through directory enquiry services.</t>
  </si>
  <si>
    <t>Requires transparency in directory data usage, impacting how financial institutions share customer data across borders through public directories.</t>
  </si>
  <si>
    <t>• [Must] Member States shall ensure subscribers are informed, free of charge and before they are included in the directory, about the purpose(s) of a printed or electronic directory of subscribers available to the public or obtainable through directory enquiry services</t>
  </si>
  <si>
    <t>• [Must] Member States shall ensure subscribers are informed, free of charge and before they are included in the directory, about any further usage possibilities based on search functions embedded in electronic versions of the directory</t>
  </si>
  <si>
    <t>Member States shall ensure that subscribers are informed, free of charge and before they are included in the directory, about the purpose(s) of a printed or electronic directory of subscribers available to the public or obtainable through directory enquiry services, in which their personal data can be included and of any further usage possibilities based on search functions embedded in electronic versions of the directory.</t>
  </si>
  <si>
    <t>Member States' obligation to report national law to Commission</t>
  </si>
  <si>
    <t>Governance, Record Keeping</t>
  </si>
  <si>
    <t>European Commission</t>
  </si>
  <si>
    <t>Member States must report to the European Commission the text of national laws they adopt implementing this Directive and any subsequent amendments. The Commission is required to submit a report to the European Parliament and Council within three years of the Directive's entry into force, assessing its application and economic impact, particularly regarding unsolicited communications. The Commission may request information from Member States without undue delay to inform this report.</t>
  </si>
  <si>
    <t>Requires Member States to report national laws affecting data transfers, relevant for understanding jurisdictional boundaries in cross-border data flows.</t>
  </si>
  <si>
    <t>• [Must] Member States shall communicate to the Commission the text of national law provisions adopted in the field governed by this Directive
• [Must] Member States shall communicate any subsequent amendments to national law provisions</t>
  </si>
  <si>
    <t>• [Must] Commission shall submit report to European Parliament and Council within three years of Directive entry into force
• [May] Commission may request information from Member States without undue delay</t>
  </si>
  <si>
    <t>Member States shall communicate to the Commission the text of the provisions of national law which they adopt in the field governed by this Directive and of any subsequent amendments to those provisions.</t>
  </si>
  <si>
    <t>Working Party on individual data protection tasks</t>
  </si>
  <si>
    <t>The Working Party on the Protection of Individuals with regard to the Processing of Personal Data (established under Article 29 of Directive 95/46/EC) must carry out tasks related to protecting fundamental rights and freedoms and legitimate interests in the electronic communications sector.</t>
  </si>
  <si>
    <t>Does not directly impact data transfer impact assessments as it is a procedural task for a specific working group, not a data transfer requirement.</t>
  </si>
  <si>
    <t>The Working Party on the Protection of Individuals with regard to the Processing of Personal Data instituted by Article 29 of Directive 95/46/EC shall also carry out the tasks laid down in Article 30 of that Directive with regard to matters covered by this Directive, namely the protection of fundamental rights and freedoms and of legitimate interests in the electronic communications sector.</t>
  </si>
  <si>
    <t>Informing subscribers about traffic data processing</t>
  </si>
  <si>
    <t>Cross-border Transfer, Data Sharing, Consent</t>
  </si>
  <si>
    <t>Service providers must inform subscribers about the types of traffic data processed and the duration of processing for billing and interconnection purposes. This disclosure must occur prior to obtaining consent for marketing activities.</t>
  </si>
  <si>
    <t>Mandates transparency about traffic data processing duration and scope, critical for DTIA compliance in telecom data transfers.</t>
  </si>
  <si>
    <t>• [Must] Service provider must inform subscriber of types of traffic data processed
• [Must] Service provider must inform subscriber of duration of processing for billing and interconnection purposes</t>
  </si>
  <si>
    <t>• [Must] Service provider must inform subscriber of purposes before obtaining consent for marketing</t>
  </si>
  <si>
    <t>4. The service provider must inform the subscriber or user of the types of traffic data which are processed and of the duration of such processing for the purposes mentioned in paragraph 2 and, prior to obtaining consent, for the purposes mentioned in paragraph 3.</t>
  </si>
  <si>
    <t>Restrictions on traffic data processing recipients</t>
  </si>
  <si>
    <t>Cross-border Transfer, Data Storage, Processing</t>
  </si>
  <si>
    <t>Traffic data processing must be limited to persons authorized by providers of public communications networks and services handling billing, traffic management, customer enquiries, fraud detection, marketing, or value-added services. Processing must be restricted to what is necessary for these activities.</t>
  </si>
  <si>
    <t>Defines permissible recipients for traffic data transfers, ensuring only authorized entities handle data for billing and service purposes across borders.</t>
  </si>
  <si>
    <t>• [Must] Processing must be restricted to persons acting under authority of providers of public communications networks
• [Must] Processing must be restricted to persons handling billing or traffic management
• [Must] Processing must be restricted to persons handling customer enquiries
• [Must] Processing must be restricted to persons handling fraud detection</t>
  </si>
  <si>
    <t>• [Must] Processing must be restricted to persons handling marketing electronic communications services
• [Must] Processing must be restricted to persons providing value added services
• [Must] Processing must be restricted to what is necessary for such activities</t>
  </si>
  <si>
    <t>5. Processing of traffic data, in accordance with paragraphs 1, 2, 3 and 4, must be restricted to persons acting under the authority of providers of the public communications networks and publicly available electronic communications services handling billing or traffic management, customer enquiries, fraud detection, marketing electronic communications services or providing a value added service, and must be restricted to what is necessary for the purposes of such activities.</t>
  </si>
  <si>
    <t>CELEX_32015L2366_EN_TXT (GDPR - Row 18)</t>
  </si>
  <si>
    <t>Payment account services definition</t>
  </si>
  <si>
    <t>This section defines payment account services as services that enable cash to be placed on a payment account and all operations required for operating a payment account. It provides a clear scope for payment services under the directive.</t>
  </si>
  <si>
    <t>• [Definition] Services enabling cash to be placed on a payment account as well as all the operations required for operating a payment account</t>
  </si>
  <si>
    <t>Services enabling cash to be placed on a payment account as well as all the operations required for operating a payment account.</t>
  </si>
  <si>
    <t>Payment account withdrawal services definition</t>
  </si>
  <si>
    <t>This section defines payment account withdrawal services as services that enable cash withdrawals from a payment account and all operations required for operating a payment account. It clarifies the scope of withdrawal services under the directive.</t>
  </si>
  <si>
    <t>• [Definition] Services enabling cash withdrawals from a payment account as well as all the operations required for operating a payment account</t>
  </si>
  <si>
    <t>Services enabling cash withdrawals from a payment account as well as all the operations required for operating a payment account.</t>
  </si>
  <si>
    <t>Payment transaction execution definition</t>
  </si>
  <si>
    <t>This section defines payment transaction execution services as services that include direct debits, payment card transactions, and credit transfers. It specifies the types of payment transactions covered under the directive.</t>
  </si>
  <si>
    <t>• [Definition] Execution of payment transactions, including transfers of funds on a payment account with the user's payment service provider or with another payment service provider</t>
  </si>
  <si>
    <t>Execution of payment transactions, including transfers of funds on a payment account with the user's payment service provider or with another payment service provider: (a) execution of direct debits, including one-off direct debits; (b) execution of payment transactions through a payment card or a similar device; (c) execution of credit transfers, including standing orders.</t>
  </si>
  <si>
    <t>Execution of payment transactions using credit lines</t>
  </si>
  <si>
    <t>This section specifies payment transaction execution methods that use credit lines for payment service users. It includes direct debits, payment cards, and credit transfers. These activities are covered under the payment service framework where funds are backed by credit lines.</t>
  </si>
  <si>
    <t>This section defines payment transaction execution methods that may involve cross-border data transfers, requiring assessment of credit line mechanisms for payment services.</t>
  </si>
  <si>
    <t>4. Execution of payment transactions where the funds are covered by a credit line for a payment service user: (a) execution of direct debits, including one-off direct debits; (b) execution of payment transactions through a payment card or a similar device; (c) execution of credit transfers, including standing orders.</t>
  </si>
  <si>
    <t>Transitional period for payment service providers</t>
  </si>
  <si>
    <t>Member States cannot prohibit payment service providers that were active before January 12, 2016, from continuing their operations during a transitional period. This transitional period allows providers to maintain their services under existing regulatory frameworks until they comply with new standards.</t>
  </si>
  <si>
    <t>This section ensures payment service providers can continue operations during a transitional period without being blocked from cross-border data transfers, which is critical for DTIA planning in the early stages of implementation.</t>
  </si>
  <si>
    <t>• [Must Not] Member States shall not forbid legal persons that have performed in their territories, before 12 January 2016, activities of payment initiation service providers and account information service providers</t>
  </si>
  <si>
    <t>• [Must] to continue to perform the same activities in their territories during the transitional period referred to in paragraphs 2 and 4 in accordance with the currently applicable regulatory framework</t>
  </si>
  <si>
    <t>Member States shall not forbid legal persons that have performed in their territories, before 12 January 2016, activities of payment initiation service providers and account information service providers within the meaning of this Directive, to continue to perform the same activities in their territories during the transitional period referred to in paragraphs 2 and 4 in accordance with the currently applicable regulatory framework.</t>
  </si>
  <si>
    <t>Preventing payment service abuse during transition</t>
  </si>
  <si>
    <t>Member States must prevent payment service providers from blocking or obstructing payment services for accounts they service if they are not yet compliant with regulatory technical standards. This ensures uninterrupted access to payment services during the transition period.</t>
  </si>
  <si>
    <t>This section addresses the risk of payment service providers abusing non-compliance to disrupt services, which is critical for DTIA to ensure continuous data flow and service availability during regulatory transitions.</t>
  </si>
  <si>
    <t>• [Must] Member States shall ensure that until individual account servicing payment service providers comply with the regulatory technical standards referred to in paragraph 4</t>
  </si>
  <si>
    <t>• [Must Not] account servicing payment service providers do not abuse their non-compliance to block or obstruct the use of payment initiation and account information services for the accounts that they are servicing</t>
  </si>
  <si>
    <t>Member States shall ensure that until individual account servicing payment service providers comply with the regulatory technical standards referred to in paragraph 4, account servicing payment service providers do not abuse their non-compliance to block or obstruct the use of payment initiation and account information services for the accounts that they are servicing.</t>
  </si>
  <si>
    <t>CELEX_32018L1673_EN_TXT (GDPR - Row 2)</t>
  </si>
  <si>
    <t>Member States must implement GDPR-compliant laws by deadline</t>
  </si>
  <si>
    <t>Cross-border Transfer, Governance, Record Keeping</t>
  </si>
  <si>
    <t>Member States are required to enact national laws, regulations, and administrative provisions that comply with the GDPR by 3 December 2020. They must immediately notify the European Commission of these measures and ensure their official publications include a reference to this Directive. Member States must also establish methods for making such references.</t>
  </si>
  <si>
    <t>This section establishes a deadline for Member States to implement GDPR-compliant laws, which affects the timeline for data transfer impact assessments in national jurisdictions.</t>
  </si>
  <si>
    <t>• [Must] Member States must enact national laws, regulations, and administrative provisions compliant with this Directive by 3 December 2020
• [Must] Member States must immediately inform the Commission of these measures</t>
  </si>
  <si>
    <t>• [Must] Member States must ensure official publications include a reference to this Directive
• [Must] Member States must establish methods for making such references</t>
  </si>
  <si>
    <t>Member States shall bring into force the laws, regulations and administrative provisions necessary to comply with this Directive by 3 December 2020. They shall immediately inform the Commission thereof.</t>
  </si>
  <si>
    <t>Member States report national law provisions to Commission</t>
  </si>
  <si>
    <t>Member States must communicate the text of their main national law provisions adopted in the field covered by this Directive to the European Commission. This section also outlines reporting timelines for the Commission to assess Member States' compliance with the Directive by 2022 and 2023, including potential legislative amendments based on Member States' information.</t>
  </si>
  <si>
    <t>This section requires Member States to report national law provisions to the Commission, which impacts the transparency and accountability of data transfer mechanisms across borders.</t>
  </si>
  <si>
    <t>• [Must] Member States must communicate the text of their main national law provisions to the Commission
• [Must] Commission shall submit a report to the European Parliament and Council by 3 December 2022 assessing Member States' compliance with this Directive</t>
  </si>
  <si>
    <t>• [Must] Commission shall submit a report to the European Parliament and Council by 3 December 2023 assessing the added value of this Directive for combating money laundering and impact on fundamental rights
• [May] Commission may present a legislative proposal to amend this Directive based on the reports</t>
  </si>
  <si>
    <t>Member States shall communicate to the Commission the text of the main provisions of national law which they adopt in the field covered by this Directive.</t>
  </si>
  <si>
    <t>Cooperation in multi-member state jurisdiction</t>
  </si>
  <si>
    <t>When multiple Member States have jurisdiction over the same offence, they must cooperate to decide which state will prosecute the offender, considering factors like offence territory, offender nationality/residency, victim country, and offender location. The matter may be referred to Eurojust for centralized proceedings.</t>
  </si>
  <si>
    <t>• [Must] Member States concerned shall cooperate to decide which will prosecute the offender when multiple Member States have jurisdiction
• [Must] Account shall be taken of offence territory, offender nationality/residency, victim country, and offender location</t>
  </si>
  <si>
    <t>• [Must] The matter shall be referred to Eurojust where appropriate and in accordance with Article 12 of Framework Decision 2009/948/JHA</t>
  </si>
  <si>
    <t>Where an offence referred to in Articles 3 and 4 falls within the jurisdiction of more than one Member State and where any of the Member States concerned can validly prosecute on the basis of the same facts, the Member States concerned shall cooperate in order to decide which of them will prosecute the offender, with the aim of centralising proceedings in a single Member State.</t>
  </si>
  <si>
    <t>Additional aggravating circumstances for financial crimes</t>
  </si>
  <si>
    <t>Member States may establish aggravating circumstances for financial crimes, including the value of laundered property or its origin from specific offences. These circumstances can lead to enhanced penalties for money laundering activities.</t>
  </si>
  <si>
    <t>This section allows Member States to define additional aggravating factors for financial crimes, which may influence DTIA assessments for cross-border money laundering risks.</t>
  </si>
  <si>
    <t>• [May] Member States may provide that the following circumstances are regarded as aggravating: (a) laundered property of considerable value; (b) laundered property derives from specific offences</t>
  </si>
  <si>
    <t>Member States may provide that, in relation to the offences referred to in Article 3(1) and (5) and Article 4, the following circumstances are to be regarded as aggravating circumstances: (a) the laundered property is of considerable value; or (b) the laundered property derives from one of the offences referred to in points (a) to (e) and (h) of point (1) of Article 2.</t>
  </si>
  <si>
    <t>Criminal penalties for specific financial offences</t>
  </si>
  <si>
    <t>Member States must establish criminal penalties that are effective, proportionate, and dissuasive for offences defined in Articles 3 and 4. These offences relate to financial crimes such as money laundering and related activities. The penalties must apply to natural persons who commit these offences.</t>
  </si>
  <si>
    <t>This section establishes minimum criminal penalties for financial crimes, which may impact DTIA requirements for risk assessment of cross-border financial crime activities.</t>
  </si>
  <si>
    <t>• [Must] Member States shall take necessary measures to ensure offences referred to in Articles 3 and 4 are punishable by effective, proportionate and dissuasive criminal penalties</t>
  </si>
  <si>
    <t>Member States shall take the necessary measures to ensure that the offences referred to in Articles 3 and 4 are punishable by effective, proportionate and dissuasive criminal penalties.</t>
  </si>
  <si>
    <t>CELEX_32022L2555_EN_TXT (GDPR - Row 17)</t>
  </si>
  <si>
    <t>Waste management entities</t>
  </si>
  <si>
    <t>This section identifies undertakings engaged in waste management as defined in Article 3(9) of Directive 2008/98/EC, excluding those where waste management is not their principal economic activity. These entities are subject to specific regulatory oversight under EU law.</t>
  </si>
  <si>
    <t>• [Must] Undertakings carrying out waste management as defined in Article 3, point (9), of Directive 2008/98/EC</t>
  </si>
  <si>
    <t>• [Must Not] Excluding undertakings for whom waste management is not their principal economic activity</t>
  </si>
  <si>
    <t>2. Waste management Undertakings carrying out waste management as defined in Article 3, point (9), of Directive 2008/98/EC of the European Parliament and of the Council (1), excluding undertakings for whom waste management is not their principal economic activity</t>
  </si>
  <si>
    <t>Commission guidelines for cybersecurity directives</t>
  </si>
  <si>
    <t>Medium (merged from chunks)</t>
  </si>
  <si>
    <t>Cross-border Transfer, Data Storage, Security</t>
  </si>
  <si>
    <t>The Commission must issue guidelines by July 17, 2023, to clarify the application of paragraphs 1 and 2 of the directive. These guidelines must be reviewed regularly and incorporate observations from the Cooperation Group and ENISA. This section defines specific terms used in the GDPR context, including entities, managed service providers, and research organisations. These definitions clarify the scope of data subjects and processors involved in cross-border data transfers. The definitions are critical for determining which entities fall under GDPR applicability.</t>
  </si>
  <si>
    <t>These definitions help DTIAs identify which entities and services are subject to GDPR's cross-border data transfer rules, ensuring accurate assessment of data flows.</t>
  </si>
  <si>
    <t>• [Must] The Commission shall, by 17 July 2023, provide guidelines clarifying the application of paragraphs 1 and 2
• [Must] The Commission shall review those guidelines on a regular basis</t>
  </si>
  <si>
    <t>• [Must] When preparing those guidelines, the Commission shall take into account any observations of the Cooperation Group and ENISA</t>
  </si>
  <si>
    <t>The Commission shall, by 17 July 2023, provide guidelines clarifying the application of paragraphs 1 and 2. The Commission shall review those guidelines on a regular basis. When preparing those guidelines, the Commission shall take into account any observations of the Cooperation Group and ENISA.</t>
  </si>
  <si>
    <t>3 (part 2)</t>
  </si>
  <si>
    <t>Commission guidelines for cybersecurity equivalence assessment</t>
  </si>
  <si>
    <t>Security, Incident Reporting, Cross-border Transfer</t>
  </si>
  <si>
    <t>The European Commission must issue guidelines by July 17, 2023, to clarify how sector-specific cybersecurity requirements are assessed for equivalence with GDPR obligations, ensuring consistent application across Member States.</t>
  </si>
  <si>
    <t>Provides a timeline for clarifying equivalence standards, critical for organizations to determine if their sector-specific cybersecurity measures meet GDPR requirements for cross-border data transfers.</t>
  </si>
  <si>
    <t>• [Must] The Commission shall, by 17 July 2023, provide guidelines clarifying the application of paragraphs 1 and 2</t>
  </si>
  <si>
    <t>The Commission shall, by 17 July 2023, provide guidelines clarifying the application of paragraphs 1 and 2.</t>
  </si>
  <si>
    <t>Food production and distribution businesses</t>
  </si>
  <si>
    <t>Cross-border Transfer, International Processing, Data Storage, Security</t>
  </si>
  <si>
    <t>This section defines food businesses engaged in wholesale distribution and industrial production and processing as per Regulation (EC) No 178/2002. These entities are subject to specific food safety and regulatory oversight mechanisms.</t>
  </si>
  <si>
    <t>• [Must] Food businesses as defined in Article 3, point (2), of Regulation (EC) No 178/2002</t>
  </si>
  <si>
    <t>• [Must] Engaged in wholesale distribution and industrial production and processing</t>
  </si>
  <si>
    <t>4. Production, processing and dis­tribution of food Food businesses as defined in Article 3, point (2), of Regulation (EC) No 178/2002 of the European Parliament and of the Council (3) which are engaged in wholesale distribution and industrial production and processing</t>
  </si>
  <si>
    <t>Manufacturing activities for specific sectors</t>
  </si>
  <si>
    <t>This section lists entities involved in manufacturing medical devices, in vitro diagnostic medical devices, computer/electronic products, electrical equipment, machinery, motor vehicles, and other transport equipment. Each category is defined by specific NACE Rev. 2 economic activities.</t>
  </si>
  <si>
    <t>• [Must] Entities manufacturing medical devices as defined in Article 2, point (1), of Regulation (EU) 2017/745
• [Must] Entities manufacturing in vitro diagnostic medical devices as defined in Article 2, point (2), of Regulation (EU) 2017/746
• [Must] Undertakings carrying out economic activities in section C division 26 of NACE Rev. 2
• [Must] Undertakings carrying out economic activities in section C division 27 of NACE Rev. 2</t>
  </si>
  <si>
    <t>• [Must] Undertakings carrying out economic activities in section C division 28 of NACE Rev. 2
• [Must] Undertakings carrying out economic activities in section C division 29 of NACE Rev. 2
• [Must] Undertakings carrying out economic activities in section C division 30 of NACE Rev. 2</t>
  </si>
  <si>
    <t>5. Manufacturing (a) Manufacture of medical devices and in vitro diagnostic medical devices Entities manufacturing medical devices as defined in Article 2, point (1), of Regulation (EU) 2017/745 of the European Parliament and of the Council (4), and entities manufacturing in vitro diagnostic medical devices as defined in Article 2, point (2), of Regulation (EU) 2017/746 of the European Parliament and of the Council (5) with the exception of entities manufacturing medical devices referred to in Annex I, point 5, fifth indent, of this Directive (b) Manufacture of computer, electronic and optical products Undertakings carrying out any of the economic activities referred to in section C division 26 of NACE Rev. 2 (c) Manufacture of electrical equipment Undertakings carrying out any of the economic activities referred to in section C division 27 of NACE Rev. 2 (d) Manufacture of machinery and equipment n.e.c. Undertakings carrying out any of the economic activities referred to in section C division 28 of NACE Rev. 2 (e) Manufacture of motor vehicles, trailers and semi-trailers Undertakings carrying out any of the economic activities referred to in section C division 29 of NACE Rev. 2 (f) Manufacture of other transport equipment Undertakings carrying out any of the economic activities referred to in section C division 30 of NACE Rev. 2</t>
  </si>
  <si>
    <t>Research organizations and regulatory frameworks</t>
  </si>
  <si>
    <t>This section references research organizations and specifies regulatory frameworks including waste management, chemical registration (REACH), food safety, medical devices, and in vitro diagnostic medical devices. These frameworks establish legal bases for research activities.</t>
  </si>
  <si>
    <t>• [Must] Research organisations
• [Must] Directive 2008/98/EC on waste
• [Must] Regulation (EC) No 1907/2006 on Registration, Evaluation, Authorisation and Restriction of Chemicals (REACH)</t>
  </si>
  <si>
    <t>• [Must] Regulation (EC) No 178/2002 on food law
• [Must] Regulation (EU) 2017/745 on medical devices
• [Must] Regulation (EU) 2017/746 on in vitro diagnostic medical devices</t>
  </si>
  <si>
    <t>7. Research Research organisations (1) Directive 2008/98/EC of the European Parliament and of the Council of 19 November 2008 on waste and repealing certain Directives (OJ L 312, 22.11.2008, p. 3). (2) Regulation (EC) No 1907/2006 of the European Parliament and of the Council of 18 December 2006 concerning Registration, Evaluation, Authorisation and Restriction of Chemicals (REACH), establishing a European Chemicals Agency, amending Directive 1999/45/EC and repealing Council Regulation (EEC) No 793/93 and Commission Regulation (EC) No 1488/94 as well as Council Directive 76/769/EEC and Commission Directives 91/155/EEC, 93/67/EEC, 93/105/EC and 2000/21/EC (OJ L 396, 30.12.2006, p. 1). (3) Regulation (EC) No 178/2002 of the European Parliament and of the Council of 28 January 2002 laying down the general principles and requirements of food law, establishing the European Food Safety Authority and laying down procedures in matters of food safety (OJ L 31, 1.2.2002, p. 1). (4) Regulation (EU) 2017/745 of the European Parliament and of the Council of 5 April 2017 on medical devices, amending Directive 2001/83/EC, Regulation (EC) No 178/2002 and Regulation (EC) No 1223/2009 and repealing Council Directives 90/385/EEC and 93/42/EEC (OJ L 117, 5.5.2017, p. 1). (5) Regulation (EU) 2017/746 of the European Parliament and of the Council of 5 April 2017 on in vitro diagnostic medical devices and repealing Directive 98/79/EC and Commission Decision 2010/227/EU (OJ L 117, 5.5.2017, p. 176).</t>
  </si>
  <si>
    <t>Internet and digital infrastructure providers</t>
  </si>
  <si>
    <t>Cloud Services</t>
  </si>
  <si>
    <t>This section lists specific digital infrastructure providers that are subject to regulatory oversight under EU law. It includes Internet Exchange Point providers, DNS service providers (excluding root name servers), TLD name registries, cloud computing service providers, data centre service providers, content delivery network providers, trust service providers, and providers of public electronic communications networks and publicly available electronic communications services. These entities are defined by their role in the digital infrastructure ecosystem.</t>
  </si>
  <si>
    <t>• [Must] Internet Exchange Point providers
• [Must] DNS service providers, excluding operators of root name servers
• [Must] TLD name registries
• [Must] Cloud computing service providers
• [Must] Data centre service providers</t>
  </si>
  <si>
    <t>• [Must] Content delivery network providers
• [Must] Trust service providers
• [Must] Providers of public electronic communications networks
• [Must] Providers of publicly available electronic communications services</t>
  </si>
  <si>
    <t>8. Digital infrastructure — Internet Exchange Point providers — DNS service providers, excluding operators of root name servers — TLD name registries — Cloud computing service providers — Data centre service providers — Content delivery network providers — Trust service providers — Providers of public electronic communications networks — Providers of publicly available electronic communications services</t>
  </si>
  <si>
    <t>Business-to-business ICT service management</t>
  </si>
  <si>
    <t>This section specifies entities involved in business-to-business ICT service management, including managed service providers and managed security service providers. These entities are defined by their role in providing managed services and security services to other businesses, forming part of the ICT infrastructure ecosystem.</t>
  </si>
  <si>
    <t>• [Must] Managed service providers</t>
  </si>
  <si>
    <t>• [Must] Managed security service providers</t>
  </si>
  <si>
    <t>9. ICT service management (business-to-business) — Managed service providers — Managed security service providers</t>
  </si>
  <si>
    <t>Public administration entities</t>
  </si>
  <si>
    <t>This section identifies public administration entities at both central and regional government levels as defined by national law in each Member State. These entities are subject to specific regulatory frameworks under EU law, with their definitions varying by country.</t>
  </si>
  <si>
    <t>• [Must] Public administration entities of central governments as defined by a Member State in accordance with national law</t>
  </si>
  <si>
    <t>• [Must] Public administration entities at regional level as defined by a Member State in accordance with national law</t>
  </si>
  <si>
    <t>10. Public administration — Public administration entities of central governments as defined by a Member State in accordance with national law — Public administration entities at regional level as defined by a Member State in accordance with national law</t>
  </si>
  <si>
    <t>Space infrastructure operators</t>
  </si>
  <si>
    <t>This section defines operators of ground-based infrastructure that support space-based services, owned or managed by Member States or private parties, excluding those providing public electronic communications networks. The section references multiple EU directives and regulations related to energy, transport, and security that inform the regulatory framework for these operators.</t>
  </si>
  <si>
    <t>• [Must] Operators of ground-based infrastructure, owned, managed and operated by Member States or by private parties
• [Must] That support the provision of space-based services</t>
  </si>
  <si>
    <t>• [Must Not] Excluding providers of public electronic communications networks</t>
  </si>
  <si>
    <t>11. Space Operators of ground-based infrastructure, owned, managed and operated by Member States or by private parties, that support the provision of space-based services, excluding providers of public electronic communications networks</t>
  </si>
  <si>
    <t>GDPR applies without prejudice to other regulations</t>
  </si>
  <si>
    <t>This section states that GDPR applies without prejudice to specific EU regulations and directives, including Regulation (EU) 2016/679 (GDPR), Directive 2002/58/EC, and other directives related to child protection and cyber security. These existing laws remain in effect alongside GDPR.</t>
  </si>
  <si>
    <t>This section clarifies that GDPR does not override existing national or EU laws, so data transfers must comply with both GDPR and other applicable regulations.</t>
  </si>
  <si>
    <t>• [Must] GDPR applies without prejudice to Regulation (EU) 2016/679, Directive 2002/58/EC, Directives 2011/93/EU and 2013/40/EU</t>
  </si>
  <si>
    <t>This Directive applies without prejudice to Regulation (EU) 2016/679, Directive 2002/58/EC, Directives 2011/93/EU (27) and 2013/40/EU (28) of the European Parliament and of the Council and Directive (EU) 2022/2557.</t>
  </si>
  <si>
    <t>Confidential information exchange for security purposes</t>
  </si>
  <si>
    <t>This section allows confidential information to be exchanged with the Commission and other authorities only when necessary for applying the Directive. The exchanged information must be relevant and proportionate to the purpose, and must preserve confidentiality while protecting security and commercial interests of entities involved.</t>
  </si>
  <si>
    <t>This section governs the exchange of confidential information across borders for security purposes, requiring that data transfers be necessary, relevant, and proportionate to avoid GDPR compliance issues.</t>
  </si>
  <si>
    <t>• [Must] Confidential information must be exchanged only when necessary for applying this Directive
• [Must] Exchanged information must be relevant and proportionate to the purpose</t>
  </si>
  <si>
    <t>• [Must] Exchanged information must preserve confidentiality and protect security and commercial interests</t>
  </si>
  <si>
    <t>Without prejudice to Article 346 TFEU, information that is confidential pursuant to Union or national rules, such as rules on business confidentiality, shall be exchanged with the Commission and other relevant authorities in accordance with this Directive only where that exchange is necessary for the application of this Directive.</t>
  </si>
  <si>
    <t>Processing personal data for security purposes</t>
  </si>
  <si>
    <t>Security, Processing</t>
  </si>
  <si>
    <t>Entities, competent authorities, single points of contact, and CSIRTs must process personal data necessary for the Directive's purposes in compliance with GDPR, particularly Article 6. Processing by providers of public electronic communications networks or services must follow Union data protection and privacy laws, including Directive 2002/58/EC.</t>
  </si>
  <si>
    <t>This section specifies that data processing for security purposes must comply with GDPR and relevant national laws, ensuring that data transfers for critical infrastructure are handled appropriately.</t>
  </si>
  <si>
    <t>• [Must] Entities, competent authorities, single points of contact and CSIRTs must process personal data necessary for the Directive's purposes
• [Must] Processing must comply with Regulation (EU) 2016/679, particularly Article 6</t>
  </si>
  <si>
    <t>• [Must] Providers of public electronic communications networks or services must process data in accordance with Union data protection and privacy law</t>
  </si>
  <si>
    <t>Entities, the competent authorities, the single points of contact and the CSIRTs shall process personal data to the extent necessary for the purposes of this Directive and in accordance with Regulation (EU) 2016/679, in particular such processing shall rely on Article 6 thereof.</t>
  </si>
  <si>
    <t>CELEX_32022R0868_EN_TXT (GDPR - Row 12)</t>
  </si>
  <si>
    <t>Member States' penalties for data transfers</t>
  </si>
  <si>
    <t>Member States must establish rules for penalties applicable to infringements of obligations regarding transfers of non-personal data to third countries. These penalties must be effective, proportionate, and dissuasive. Member States must notify the Commission by 24 September 2023 of their penalty rules and any subsequent amendments.</t>
  </si>
  <si>
    <t>• [Must] Member States shall lay down the rules on penalties applicable to infringements of the obligations regarding transfers of non-personal data to third countries
• [Must] Penalties shall be effective, proportionate and dissuasive</t>
  </si>
  <si>
    <t>• [Must] Member States shall notify the Commission of penalty rules by 24 September 2023</t>
  </si>
  <si>
    <t>Member States shall lay down the rules on penalties applicable to infringements of the obligations regarding transfers of non-personal data to third countries pursuant to Article 5(14) and Article 31, the notification obligation of data intermediation services providers pursuant to Article 11, the conditions for providing data intermediation services pursuant to Article 12 and the conditions for the registration as a recognised data altruism organisation pursuant to Articles 18, 20, 21 and 22, and shall take all measures necessary to ensure that they are implemented.</t>
  </si>
  <si>
    <t>Penalty criteria for data intermediation services</t>
  </si>
  <si>
    <t>Member States must consider specific criteria when imposing penalties on data intermediation services providers and recognised data altruism organisations. These criteria include the nature and severity of the infringement, mitigation actions taken, previous infringements, financial impacts, and other aggravating or mitigating factors. This ensures penalties are tailored to the specific circumstances of each case.</t>
  </si>
  <si>
    <t>• [Condition] The nature, gravity, scale and duration of the infringement
• [Condition] Any action taken by the data intermediation services provider or recognised data altruism organisation to mitigate or remedy the damage
• [Condition] Any previous infringements by the data intermediation services provider or recognised data altruism organisation</t>
  </si>
  <si>
    <t>• [Condition] The financial benefits gained or losses avoided by the data intermediation services provider or recognised data altruism organisation due to the infringement
• [Condition] Any other aggravating or mitigating factors applicable to the circumstances of the case</t>
  </si>
  <si>
    <t>Member States shall take into account the following non-exhaustive and indicative criteria for the imposition of penalties on data intermediation services providers and recognised data altruism organisations for infringements of this Regulation, where appropriate: (a) the nature, gravity, scale and duration of the infringement; (b) any action taken by the data intermediation services provider or recognised data altruism organisation to mitigate or remedy the damage caused by the infringement; (c) any previous infringements by the data intermediation services provider or recognised data altruism organisation; (d) the financial benefits gained or losses avoided by the data intermediation services provider or recognised data altruism organisation due to the infringement, insofar as such benefits or losses can be reliably established; (e) any other aggravating or mitigating factors applicable to the circumstances of the case.</t>
  </si>
  <si>
    <t>Revocation of delegated powers</t>
  </si>
  <si>
    <t>European Parliament or Council</t>
  </si>
  <si>
    <t>The European Parliament or Council may revoke delegated powers at any time, with the revocation taking effect the day after publication in the Official Journal or a later date specified. Revoked powers do not affect existing delegated acts.</t>
  </si>
  <si>
    <t>This section does not directly impact DTIAs as it concerns the revocation of delegated powers rather than data transfers or processing.</t>
  </si>
  <si>
    <t>• [May] The European Parliament or Council may revoke delegated powers at any time
• [Must] Revocation takes effect the day after publication in the Official Journal or a later date specified</t>
  </si>
  <si>
    <t>• [Must] Revoked powers do not affect the validity of existing delegated acts</t>
  </si>
  <si>
    <t>The delegation of power referred to in Article 5(13) and Article 22(1) may be revoked at any time by the European Parliament or by the Council. A decision to revoke shall put an end to the delegation of the power specified in that decision. It shall take effect the day following the publication of the decision in the Official Journal of the European Union or at a later date specified therein. It shall not affect the validity of any delegated acts already in force.</t>
  </si>
  <si>
    <t>Consultation of Member State experts before delegated acts</t>
  </si>
  <si>
    <t>Before adopting delegated acts, the European Commission must consult experts designated by each Member State. This consultation must follow the principles outlined in the Interinstitutional Agreement of 13 April 2016 on Better Law-Making. The requirement ensures that Member State expertise is integrated into the legislative process prior to final adoption of delegated legislation.</t>
  </si>
  <si>
    <t>• [Must] The Commission shall consult experts designated by each Member State</t>
  </si>
  <si>
    <t>Before adopting a delegated act, the Commission shall consult experts designated by each Member State in accordance with the principles laid down in the Interinstitutional Agreement of 13 April 2016 on Better Law-Making.</t>
  </si>
  <si>
    <t>Notification of third-country data access requests</t>
  </si>
  <si>
    <t>18–21</t>
  </si>
  <si>
    <t>Entities must inform data holders about third-country administrative authority requests for data access before complying, except when the request serves law enforcement purposes and is necessary to preserve the effectiveness of law enforcement activities.</t>
  </si>
  <si>
    <t>This section requires notification of third-country data access requests to data holders, which is critical for DTIAs to ensure transparency and compliance with data subject rights.</t>
  </si>
  <si>
    <t>• [Must] Entities must inform data holders about third-country administrative authority requests for data access before complying</t>
  </si>
  <si>
    <t>• [Must Not] This exception applies only when the request serves law enforcement purposes and is necessary to preserve law enforcement effectiveness</t>
  </si>
  <si>
    <t>The public sector body, the natural or legal person to which the right to re-use data was granted under Chapter II, the data intermediation services provider and the recognised data altruism organisation shall inform the data holder about the existence of a request of a third-country administrative authority to access its data before complying with that request, except where the request serves law enforcement purposes and for as long as this is necessary to preserve the effectiveness of the law enforcement activity.</t>
  </si>
  <si>
    <t>Conditions for delegated acts to enter into force</t>
  </si>
  <si>
    <t>Delegated acts adopted under Article 5(13) or Article 22(1) must receive no objections from the European Parliament or Council within three months of notification. If no objections are raised, the act enters into force. The three-month period may be extended by three months at the initiative of either the European Parliament or Council. This ensures legislative oversight before implementation.</t>
  </si>
  <si>
    <t>• [Must] Delegated acts adopted pursuant to Article 5(13) or Article 22(1) shall enter into force only if no objection has been expressed by the European Parliament or Council within three months of notification</t>
  </si>
  <si>
    <t>• [Condition] The three-month period may be extended by three months at the initiative of the European Parliament or Council</t>
  </si>
  <si>
    <t>A delegated act adopted pursuant to Article 5(13) or Article 22(1) shall enter into force only if no objection has been expressed either by the European Parliament or by the Council within a period of three months of notification of that act to the European Parliament and to the Council or if, before the expiry of that period, the European Parliament and the Council have both informed the Commission that they will not object.</t>
  </si>
  <si>
    <t>Notification of changes to registration information</t>
  </si>
  <si>
    <t>A recognised data altruism organisation must notify the relevant competent authority of any changes to the information provided in paragraph 4 within 14 days. The competent authority must notify the Commission electronically, which updates the public Union register without delay. This ensures timely updates to registration details.</t>
  </si>
  <si>
    <t>This section requires timely notification of changes to registration information, which is critical for data transfer impact assessments as it ensures up-to-date registration details across borders.</t>
  </si>
  <si>
    <t>• [Must] A recognised data altruism organisation shall notify the relevant competent authority for registration of data altruism organisations of any changes to the information provided pursuant to paragraph 4 within 14 days of the date of the change
• [Must] The competent authority shall notify the Commission of each such notification by electronic means without delay</t>
  </si>
  <si>
    <t>• [Must] The Commission shall update the public Union register of recognised data altruism organisations without delay</t>
  </si>
  <si>
    <t>A recognised data altruism organisation shall notify the relevant competent authority for the registration of data altruism organisations of any changes to the information provided pursuant to paragraph 4 within 14 days of the date of the change.</t>
  </si>
  <si>
    <t>Standardized declaration after notification completion</t>
  </si>
  <si>
    <t>At the request of the data intermediation services provider, competent authorities must issue a standardized declaration within one week of a completed notification. This declaration confirms the notification was submitted and contains the required information, ensuring regulatory oversight.</t>
  </si>
  <si>
    <t>Provides a mechanism for confirming compliance with notification requirements, critical for verifying that data intermediation providers meet the necessary disclosure standards.</t>
  </si>
  <si>
    <t>• [Must] At the request of the data intermediation services provider, the competent authority for data intermediation services shall, within one week of a duly and fully completed notification, issue a standardised declaration, confirming that the data intermediation services provider has submitted the notification referred to in paragraph 1 and that the n…</t>
  </si>
  <si>
    <t>At the request of the data intermediation services provider, the competent authority for data intermediation services shall, within one week of a duly and fully completed notification, issue a standardised declaration, confirming that the data intermediation services provider has submitted the notification referred to in paragraph 1 and that the notification contains the information referred to in paragraph 6.</t>
  </si>
  <si>
    <t>Data intermediation services provider recognition and logo requirements</t>
  </si>
  <si>
    <t>Commission</t>
  </si>
  <si>
    <t>The competent authority for data intermediation services must confirm compliance with the relevant articles upon request. Recognised providers may use the label 'data intermediation services provider recognised in the Union' and a common logo in communications. The Commission must establish a standard logo design through implementing acts, which providers must display on all relevant publications.</t>
  </si>
  <si>
    <t>Provides a mechanism for identifying compliant data intermediation services providers across borders through a standard logo and recognition label, relevant for cross-border data intermediation assessments.</t>
  </si>
  <si>
    <t>• [Must] Competent authority shall confirm compliance with this Article and Article 12 upon request
• [May] Recognised data intermediation services providers may use the label 'data intermediation services provider recognised in the Union' in communications</t>
  </si>
  <si>
    <t>• [Must] Recognised providers must display the common logo clearly on all online and offline publications related to data intermediation activities
• [Must] Commission shall establish a common logo design through implementing acts</t>
  </si>
  <si>
    <t>At the request of the data intermediation services provider, the competent authority for data intermediation services shall confirm that the data intermediation services provider complies with this Article and Article 12. Upon receipt of such a confirmation, that data intermediation services provider may use the label ‘data intermediation services provider recognised in the Union' in its written and spoken communication, as well as a common logo.</t>
  </si>
  <si>
    <t>Competent authority must notify Commission of new notifications</t>
  </si>
  <si>
    <t>The competent authority for data intermediation services must notify the Commission electronically of each new notification without delay. The Commission maintains and updates a public register of all data intermediation services providers in the Union, publishing specific information from paragraph 6.</t>
  </si>
  <si>
    <t>Ensures transparency by maintaining a public register of data intermediation services providers, critical for assessing cross-border data intermediation compliance and provider recognition.</t>
  </si>
  <si>
    <t>• [Must] Competent authority shall notify Commission electronically of each new notification without delay
• [Must] Commission shall keep and regularly update a public register of all data intermediation services providers</t>
  </si>
  <si>
    <t>• [Must] Information from paragraph 6 points (a), (b), (c), (d), (f), (g) shall be published in the public register</t>
  </si>
  <si>
    <t>The competent authority for data intermediation services shall notify the Commission of each new notification by electronic means without delay. The Commission shall keep and regularly update a public register of all data intermediation services providers providing their services in the Union.</t>
  </si>
  <si>
    <t>Fees for data intermediation services notifications</t>
  </si>
  <si>
    <t>Competent authorities may charge fees for notifications according to national law, with fees being proportionate, objective, and based on administrative costs. SMEs and start-ups may receive discounted or waived fees.</t>
  </si>
  <si>
    <t>Regulates fee structures for data intermediation services notifications, potentially impacting costs for small providers in cross-border data intermediation assessments.</t>
  </si>
  <si>
    <t>• [May] Competent authority may charge fees for notifications in accordance with national law
• [Must] Fees must be proportionate and objective and based on administrative costs related to monitoring compliance</t>
  </si>
  <si>
    <t>• [May] SMEs and start-ups may receive discounted or waived fees</t>
  </si>
  <si>
    <t>The competent authority for data intermediation services may charge fees for the notification in accordance with national law. Such fees shall be proportionate and objective and be based on the administrative costs related to the monitoring of compliance and other market control activities of the competent authority for data intermediation services in relation to notifications of data intermediation services providers. In the case of SMEs and start-ups, the competent authority for data intermediation services may charge a discounted fee or waive the fee.</t>
  </si>
  <si>
    <t>Data intermediation services providers must report changes</t>
  </si>
  <si>
    <t>Data intermediation services providers must notify the competent authority of any changes to information provided under paragraph 6 within 14 days of the change.</t>
  </si>
  <si>
    <t>Requires timely reporting of changes to data intermediation services providers, important for maintaining accurate cross-border data intermediation records.</t>
  </si>
  <si>
    <t>• [Must] Data intermediation services providers must notify competent authority of changes to information within 14 days</t>
  </si>
  <si>
    <t>Data intermediation services providers shall notify the competent authority for data intermediation services of any changes to the information provided pursuant to paragraph 6 within 14 days of the date of the change.</t>
  </si>
  <si>
    <t>Data intermediation services providers must report cessation of activities</t>
  </si>
  <si>
    <t>Data intermediation services providers ceasing activities must notify the relevant competent authority within 15 days.</t>
  </si>
  <si>
    <t>Ensures timely removal of inactive providers from cross-border data intermediation registers, critical for maintaining accurate data intermediation service records.</t>
  </si>
  <si>
    <t>• [Must] Data intermediation services providers ceasing activities must notify relevant competent authority within 15 days</t>
  </si>
  <si>
    <t>Where a data intermediation services provider ceases its activities, it shall notify the relevant competent authority for data intermediation services determined pursuant to paragraphs 1, 2 and 3 within 15 days.</t>
  </si>
  <si>
    <t>Competent authority must notify Commission of notifications</t>
  </si>
  <si>
    <t>The competent authority must notify the Commission electronically of notifications from paragraphs 12 and 13 without delay. The Commission updates the public register accordingly.</t>
  </si>
  <si>
    <t>Ensures the Commission maintains an up-to-date public register of data intermediation services providers, critical for cross-border data intermediation assessments.</t>
  </si>
  <si>
    <t>• [Must] Competent authority shall notify Commission electronically of notifications from paragraphs 12 and 13 without delay</t>
  </si>
  <si>
    <t>• [Must] Commission shall update the public register of data intermediation services providers accordingly</t>
  </si>
  <si>
    <t>The competent authority for data intermediation services shall notify the Commission of each notification referred to in paragraphs 12 and 13 by electronic means without delay. The Commission shall update the public register of the data intermediation services providers in the Union accordingly.</t>
  </si>
  <si>
    <t>2022</t>
  </si>
  <si>
    <t>European data spaces for cross-border data sharing and re-use</t>
  </si>
  <si>
    <t>1–4</t>
  </si>
  <si>
    <t>Cross-border Transfer, Data Sharing, Data Storage, Security</t>
  </si>
  <si>
    <t>This section establishes a framework for harmonized data exchanges across borders by creating common European data spaces in sectors like health, finance, and mobility. It mandates data governance principles ensuring data findability, accessibility, interoperability, and reusability (FAIR principles) while maintaining high cybersecurity standards. The framework aims to facilitate cross-border data sharing without compromising fundamental rights or public security.</t>
  </si>
  <si>
    <t>This section creates cross-border data transfer mechanisms through sector-specific data spaces that require FAIR data principles and cybersecurity safeguards, directly impacting DTIA requirements for international data transfers.</t>
  </si>
  <si>
    <t>• [Must] Establish domain-specific common European data spaces for data sharing and pooling
• [Must] Ensure data is findable, accessible, interoperable and reusable (FAIR principles)
• [Must] Maintain high level of cybersecurity</t>
  </si>
  <si>
    <t>• [Must] Create harmonized framework for data exchanges and basic data governance requirements
• [Must] Facilitate cooperation between Member States for data sharing</t>
  </si>
  <si>
    <t>The Commission proposed establishing domain-specific common European data spaces for data sharing and data pooling. As proposed in the European strategy for data, such common European data spaces could cover areas such as health, mobility, manufacturing, financial services, energy or agriculture, or a combination of such areas, for example energy and climate, as well as thematic areas such as the European Green Deal or European data spaces for public administration or skills.</t>
  </si>
  <si>
    <t>2022 (part 3)</t>
  </si>
  <si>
    <t>Public sector data re-use: exclusions and conditions</t>
  </si>
  <si>
    <t>6–8</t>
  </si>
  <si>
    <t>Cross-border Transfer, Data Storage, Data Residency, Security</t>
  </si>
  <si>
    <t>This section specifies that the re-use regime applies to public sector data involved in public tasks, excluding public undertakings, cultural establishments, educational institutions, and research organizations. It mandates transparent public task definitions, requires data to be held in accordance with public law, and excludes data from organizations that are not public sector bodies. The re-use of data for non-commercial scientific research purposes among researchers is exempt from the regulation.</t>
  </si>
  <si>
    <t>This section defines exclusions for public sector data re-use, clarifying when data transfers across borders are exempt from the re-use regime. It specifies conditions for public task data that may affect cross-border data transfers.</t>
  </si>
  <si>
    <t>• [Must] Public sector bodies should define public tasks transparently and subject to review
• [Must] Public tasks should be defined generally or on a case-by-case basis for individual public sector bodies
• [Must] Public undertakings data should not be covered by this regulation
• [Must] Cultural establishments data should not be covered by this regulation</t>
  </si>
  <si>
    <t>• [Must] Educational establishments data should not be covered by this regulation
• [Must] Research-performing organizations data should not be covered by this regulation
• [Must] Data held by public undertakings in specific public-private associations should not be covered by this regulation
• [Must Not] Public sector bodies should not re-use data for non-commercial scientific research purposes</t>
  </si>
  <si>
    <t>The re-use regime provided for in this Regulation should apply to data the supply of which forms part of the public tasks of the public sector bodies concerned under law or other binding rules in the Member States.</t>
  </si>
  <si>
    <t>2022 (part 4)</t>
  </si>
  <si>
    <t>Public sector data re-use: competition and security safeguards</t>
  </si>
  <si>
    <t>8–10</t>
  </si>
  <si>
    <t>Cross-border Transfer, Data Storage, Data Residency, Security, Incident Reporting</t>
  </si>
  <si>
    <t>This section outlines competition safeguards for public sector data re-use, prohibiting exclusive agreements that restrict data re-use unless justified by public interest. It mandates transparency, regular market reviews, and publication of exclusive agreements. It also specifies that non-personal data transfers to third countries require equivalent safeguards, including legal remedies and enforceable rights, to protect trade secrets and intellectual property.</t>
  </si>
  <si>
    <t>This section details specific safeguards for cross-border transfers of non-personal data, including requirements for equivalent protection in third countries and legal remedies to ensure data security.</t>
  </si>
  <si>
    <t>• [Must] Public sector bodies should avoid exclusive agreements that create competitive barriers
• [Must] Exclusive agreements must be justified and necessary for public interest services
• [Must] Exclusive agreements should be limited to 12 months and subject to market review
• [Must] Exclusive agreements must be published online in a form compliant with public procurement law</t>
  </si>
  <si>
    <t>• [Must] Non-personal data transfers to third countries require equivalent safeguards
• [Must] Third countries must have equivalent legal protections for non-personal data
• [Must] Re-users must accept jurisdiction of the public sector body's Member State for disputes
• [Must] Public sector bodies must ensure non-personal data is protected from unlawful access</t>
  </si>
  <si>
    <t>Public sector bodies should comply with competition law when establishing the principles for re-use of data they hold, avoiding the conclusion of agreements which might have as their objective or effect the creation of exclusive rights for the re-use of certain data.</t>
  </si>
  <si>
    <t>2022 (part 5)</t>
  </si>
  <si>
    <t>Data intermediation services: definition and scope</t>
  </si>
  <si>
    <t>10–12</t>
  </si>
  <si>
    <t>Data Sharing, Cross-border Transfer, Data Storage, Security</t>
  </si>
  <si>
    <t>This section defines data intermediation services as platforms enabling data sharing between data holders, data subjects and data users without establishing commercial relationships. Member States must establish a single information point for reusing public sector data, which should be cross-sectoral and use automated means where possible. Competent bodies must support public sector bodies in data re-use, including technical assistance for data storage and interoperability while maintaining data privacy. These entities should not have supervisory functions but must comply with data protection regulations.</t>
  </si>
  <si>
    <t>Data intermediation services require specific safeguards for cross-border data sharing, including neutrality, interoperability, and no commercial relationships. They must not process personal data for commercial purposes without explicit consent from data subjects.</t>
  </si>
  <si>
    <t>• [Must] Member States should establish a single information point for reusing public sector data with cross-sector remit
• [Must] The single information point should use automated means for enquiries or requests for data re-use
• [Must] Competent bodies must support public sector bodies in data re-use, including technical assistance for data storage and interoperability</t>
  </si>
  <si>
    <t>• [Must Not] Competent bodies should not have supervisory functions reserved for data protection authorities
• [Must Not] Data intermediation services must not establish commercial relationships between data holders and users
• [Must Not] Data intermediation services must not process personal data for commercial purposes without explicit consent</t>
  </si>
  <si>
    <t>Member States should establish a single information point to act as an interface for re-users that seek to re-use that data. It should have a cross-sector remit, and should complement, if necessary, arrangements at the sectoral level.</t>
  </si>
  <si>
    <t>2022 (part 6)</t>
  </si>
  <si>
    <t>Data intermediation services: operational requirements</t>
  </si>
  <si>
    <t>12–14</t>
  </si>
  <si>
    <t>This section outlines operational requirements for data intermediation services, including neutrality, interoperability, and compliance with competition law. Providers must ensure no conflicts of interest, maintain data privacy, and implement procedures for fraudulent practices. They must also comply with national laws of their main establishment location and follow sector-specific standards where applicable.</t>
  </si>
  <si>
    <t>Data intermediation services must operate neutrally, ensure interoperability, and avoid conflicts of interest to facilitate secure cross-border data sharing without commercial relationships.</t>
  </si>
  <si>
    <t>• [Must] Data intermediation services providers must act only as intermediaries without using data for other purposes
• [Must] Commercial terms for data intermediation services must not depend on other services provided by the same provider
• [Must] Data intermediation services must implement procedures to impose penalties for fraudulent or abusive practices</t>
  </si>
  <si>
    <t>• [Must] Data intermediation services must comply with competition law and have procedures to ensure compliance
• [Must] Data intermediation services must take reasonable measures to ensure interoperability within sectors
• [Must] Data intermediation services must send a notification to the competent authority from the Member State where main establishment is located</t>
  </si>
  <si>
    <t>Data intermediation services providers should act only as intermediaries in the transactions, and do not use the data exchanged for any other purpose.</t>
  </si>
  <si>
    <t>2022 (part 7)</t>
  </si>
  <si>
    <t>Data intermediation services provider registration and oversight</t>
  </si>
  <si>
    <t>14–16</t>
  </si>
  <si>
    <t>Data Sharing, Cross-border Transfer, Data Storage</t>
  </si>
  <si>
    <t>Competent authorities for data intermediation services</t>
  </si>
  <si>
    <t>Data intermediation services providers must have their main establishment in the Union. Those not established in the Union offering services within the Union must designate a legal representative who acts on their behalf for compliance purposes. The legal representative must be designated via written mandate and competent authorities may address them directly for enforcement actions. The designation is necessary due to handling of personal and commercially confidential data.</t>
  </si>
  <si>
    <t>Requires data intermediation services providers to establish a legal representative within the Union for oversight, creating a cross-border compliance mechanism for data sharing activities.</t>
  </si>
  <si>
    <t>• [Must] Data intermediation services providers must have their main establishment in the Union
• [Must] Data intermediation services providers not established in the Union offering services within the Union must designate a legal representative
• [Must] Designated legal representative must act on behalf of the data intermediation services provider</t>
  </si>
  <si>
    <t>• [Must] Legal representative must be designated by written mandate of the data intermediation services provider
• [Should] Competent authorities may address the legal representative directly for enforcement actions</t>
  </si>
  <si>
    <t>In order to ensure the compliance of data intermediation services providers with this Regulation, they should have their main establishment in the Union. Where a data intermediation services provider not established in the Union offers services within the Union, it should designate a legal representative.</t>
  </si>
  <si>
    <t>2022 (part 8)</t>
  </si>
  <si>
    <t>Data altruism organizations and consent frameworks</t>
  </si>
  <si>
    <t>16–18</t>
  </si>
  <si>
    <t>Competent authorities for registration of data altruism organizations</t>
  </si>
  <si>
    <t>Recognised data altruism organizations must have a Union establishment or legal representative, be non-profit, and follow transparency requirements. They must collect data directly or process data collected by others, with consent mechanisms compliant with GDPR. Data altruism organizations should be able to process data for purposes established at consent time or allow third-party processing for those purposes.</t>
  </si>
  <si>
    <t>Establishes requirements for data altruism organizations to ensure trust and compliance, including non-profit status, transparency, and consent mechanisms for cross-border data sharing.</t>
  </si>
  <si>
    <t>• [Must] Recognised data altruism organizations must have a Union establishment or legal representative
• [Must] Recognised data altruism organizations must be non-profit organizations
• [Must] Recognised data altruism organizations must follow transparency requirements</t>
  </si>
  <si>
    <t>• [Must] Recognised data altruism organizations must have specific safeguards to protect data subjects' rights
• [Must] Data altruism organizations must collect data directly from natural and legal persons or process data collected by others
• [Must] Data altruism organizations must comply with GDPR for data processing</t>
  </si>
  <si>
    <t>Recognised data altruism organisations should be able to collect relevant data directly from natural and legal persons or to process data collected by others.</t>
  </si>
  <si>
    <t>CELEX_52023PC0360_EN_TXT (GDPR - Row 13)</t>
  </si>
  <si>
    <t>Regulation evaluation timeline and scope</t>
  </si>
  <si>
    <t>2–4</t>
  </si>
  <si>
    <t>Four years after the Regulation's entry into force, the Commission must evaluate the Regulation and submit a report to the European Parliament, Council, and European Economic and Social Committee. The evaluation assesses data accessibility categories, excluded data categories, contractual practices, financial data sharing schemes, and compensation impacts on data users.</t>
  </si>
  <si>
    <t>• [Must] By [OP please insert the date = 4 years after the date of entry into application of this Regulation, the Commission shall carry out an evaluation of this Regulation
• [Must] The evaluation shall assess other categories or sets of data to be made accessible
• [Must] The evaluation shall assess the exclusion from the scope of certain categories of data and entities
• [Must] The evaluation shall assess changes in contractual practices of data holders and data users</t>
  </si>
  <si>
    <t>• [Must] The evaluation shall assess the operation of financial data sharing schemes
• [Must] The evaluation shall assess the inclusion of other types of entities to those entities granted the right of access to data
• [Must] The evaluation shall assess the impact of compensation on the ability of data users to participate in financial data sharing schemes</t>
  </si>
  <si>
    <t>By [OP please insert the date = 4 years after the date of entry into application of this Regulation, the Commission shall carry out an evaluation of this Regulation and submit a report on its main findings to the European Parliament and to the Council as well as to the European Economic and Social Committee.</t>
  </si>
  <si>
    <t>Financial data access report submission timeline</t>
  </si>
  <si>
    <t>Four years after the Regulation's entry into force, the Commission must submit a report to the European Parliament and Council assessing access conditions for financial data applicable to account information service providers under this Regulation and Directive (EU) 2015/2366. The report may include a legislative proposal if deemed appropriate.</t>
  </si>
  <si>
    <t>• [Must] By [OP please insert the date = 4 years after the date of entry into force of this Regulation, the Commission shall submit a report to the European Parliament and the Council
• [Must] The report assesses conditions for access to financial data applicable to account information service providers</t>
  </si>
  <si>
    <t>• [May] The report may be accompanied by a legislative proposal if deemed appropriate</t>
  </si>
  <si>
    <t>By [OP please insert the date = 4 years after the date of entry into force of this Regulation, the Commission shall submit a report to the European Parliament and the Council assessing the conditions for access to financial data applicable to account information service providers under this Regulation and under Directive (EU) 2015/2366.</t>
  </si>
  <si>
    <t>Revocation of Commission delegation authority</t>
  </si>
  <si>
    <t>5–8</t>
  </si>
  <si>
    <t>The European Parliament or Council may revoke the Commission's delegation of powers at any time. Revocation takes effect the day after publication in the Official Journal and does not affect the validity of previously enacted delegated acts.</t>
  </si>
  <si>
    <t>Provides a mechanism for EU institutions to terminate delegated authority over financial data transfers, ensuring accountability and oversight of cross-border financial data activities.</t>
  </si>
  <si>
    <t>• [May] European Parliament or Council may revoke Commission's delegation of powers at any time
• [Must] Revocation takes effect the day following publication in the Official Journal of the European Union</t>
  </si>
  <si>
    <t>• [Condition] Revocation does not affect validity of delegated acts already in force</t>
  </si>
  <si>
    <t>The delegation of powers referred to in Article 11, may be revoked at any time by the European Parliament or by the Council. A decision to revoke shall put an end to the delegation of the power specified in that decision. It shall take effect the day following the publication of the decision in the Official Journal of the European Union or at a later date specified therein. It shall not affect the validity of any delegated acts already in force.</t>
  </si>
  <si>
    <t>Financial data access economic impact assessment</t>
  </si>
  <si>
    <t>This section provides a macroeconomic assessment of the potential economic benefits and costs of enhanced financial data access in the EU. It states that the proposal could generate annual benefits between EUR 4.6 billion and EUR 12.4 billion for the EU economy, including EUR 663 million to EUR 2 billion for the financial data economy. The proposal also involves one-off costs up to EUR 2.2 billion and recurring annual costs between EUR 147 million and EUR 465 million. The assessment notes that while the proposal supports sustainable finance and inclusive economic growth, its economic impact is difficult to quantify precisely due to data limitations and policy interdependencies.</t>
  </si>
  <si>
    <t>This section describes potential economic benefits and costs of financial data access but does not specify technical safeguards or cross-border transfer conditions relevant to DTIAs. It is not directly applicable to data transfer impact assessments.</t>
  </si>
  <si>
    <t>• [Information] Total annual benefits for EU economy range between EUR 4.6 billion and EUR 12.4 billion
• [Information] Direct impact on EU financial data economy ranges between EUR 663 million and EUR 2 billion annually</t>
  </si>
  <si>
    <t>• [Information] One-off costs could be up to EUR 2.2 billion
• [Information] Recurring annual costs between EUR 147 million and EUR 465 million</t>
  </si>
  <si>
    <t>According to this macroeconomic assessment, the total annual benefits for the EU economy produced by enhanced access to and sharing of data in the EU financial sector ranges between EUR 4.6 billion and EUR 12.4 billion, including the direct impact on the EU financial data economy in the range of EUR 663 million to EUR 2 billion per year.</t>
  </si>
  <si>
    <t>Consultation of experts before adopting delegated acts</t>
  </si>
  <si>
    <t>Before adopting a delegated act, the European Commission must consult experts designated by each Member State in accordance with the Interinstitutional Agreement of 13 April 2016 on Better Law-Making. This requirement ensures that Member State expertise is integrated into the legislative process prior to final adoption of delegated acts.</t>
  </si>
  <si>
    <t>• [Must] Before adopting a delegated act, the Commission shall consult experts designated by each Member State</t>
  </si>
  <si>
    <t>Before adopting a delegated act, the Commission shall consult experts signated by each Member State in accordance with the principles laid down in the Interinstitutional Agreement of 13 April 2016 on Better Law-Making.</t>
  </si>
  <si>
    <t>Cooperation with supervisory authorities for personal data processing</t>
  </si>
  <si>
    <t>10–14</t>
  </si>
  <si>
    <t>Cross-border Transfer, International Processing</t>
  </si>
  <si>
    <t>Competent authorities</t>
  </si>
  <si>
    <t>When this Regulation's obligations involve processing personal data, competent authorities must cooperate with supervisory authorities established under GDPR. This ensures compliance with data protection requirements when handling personal information across borders.</t>
  </si>
  <si>
    <t>This section mandates cooperation with GDPR supervisory authorities for personal data processing, which impacts DTIAs by requiring alignment with data protection standards during cross-border financial data exchanges.</t>
  </si>
  <si>
    <t>• [Must] Competent authorities must cooperate with GDPR supervisory authorities</t>
  </si>
  <si>
    <t>Where obligations under this Regulation concern the processing of personal data, competent authorities shall cooperate with the supervisory authorities established pursuant to Regulation (EU) 2016/679.</t>
  </si>
  <si>
    <t>5 (part 2)</t>
  </si>
  <si>
    <t>Customer data sharing for financial innovation and trust</t>
  </si>
  <si>
    <t>14–17</t>
  </si>
  <si>
    <t>Cross-border Transfer, Financial Data, Customer Information, Data Sharing</t>
  </si>
  <si>
    <t>This section outlines the need for a regulatory framework enabling financial institutions to share customer data beyond payment accounts while ensuring customer control. It emphasizes that current data sharing is limited by technical barriers and legal obligations, restricting innovation and personalized financial services. The framework must balance data sharing with customer rights and privacy protections to foster trust and innovation in the financial sector.</t>
  </si>
  <si>
    <t>This section establishes that customer data sharing beyond payment accounts requires explicit customer permission and must respect data protection principles. It sets conditions for data sharing that impact cross-border transfers by mandating lawful bases and customer consent, relevant for DTIAs involving financial data.</t>
  </si>
  <si>
    <t>• [Must] Customer data sharing beyond payment accounts must be based on customer permission
• [Must] Data users must have a valid lawful basis for processing personal data
• [Must] Data processing must respect principles of personal data protection including lawfulness, fairness, transparency, purpose limitation, and data minimisation
• [Must] Customers have the right to withdraw permission granted to data users</t>
  </si>
  <si>
    <t>• [Must Not] Data sharing should not cover data related to sickness and health insurance or life insurance products
• [Must Not] Data sharing should not cover creditworthiness assessment data
• [Must] Data sharing must respect protection of confidential business data and trade secrets</t>
  </si>
  <si>
    <t>Ensuring customer control and trust is imperative to build a well-functioning and effective data sharing framework in the financial sector. Ensuring effective customers' control over data sharing contributes to innovation as well as customer confidence and trust in data sharing.</t>
  </si>
  <si>
    <t>5 (part 3)</t>
  </si>
  <si>
    <t>Financial data sharing for customer access and consent management</t>
  </si>
  <si>
    <t>17–20</t>
  </si>
  <si>
    <t>Data Sharing, Customer Information, Financial Data, Consent</t>
  </si>
  <si>
    <t>European Banking Authority (EBA)</t>
  </si>
  <si>
    <t>This section establishes that financial institutions must provide defined categories of customer data upon request, allowing sharing based on customer consent. It requires data holders to implement permission dashboards that give customers control over data sharing, including real-time updates on permissions and withdrawal risks. The dashboards must be accessible, impartial, and comply with accessibility standards, with options to use electronic identification services or data intermediation providers.</t>
  </si>
  <si>
    <t>Requires financial institutions to implement permission dashboards for customer data access management, ensuring transparency and control over data sharing. This impacts cross-border data transfers by mandating standardized interfaces and consent mechanisms that must be consistent across jurisdictions.</t>
  </si>
  <si>
    <t>• [Must] Financial institutions must provide defined categories of customer data at request
• [Must] Data holders must implement permission dashboards for customers to manage data sharing
• [Must] Permission dashboards must display active permissions and warn of contractual risks upon withdrawal
• [Must] Data holders must inform data users in real-time of permission withdrawals</t>
  </si>
  <si>
    <t>• [Must] Permission dashboards must include records of withdrawn or expired permissions for up to two years
• [Must] Data users must inform data holders in real-time of new or re-established permissions
• [Must] Permission dashboards must be accessible, impartial, and comply with accessibility standards
• [May] Data holders may use electronic identification services or data intermediation providers to implement dashboards</t>
  </si>
  <si>
    <t>Customers must have effective control over their data and confidence in managing permissions they have granted in accordance with this Regulation.</t>
  </si>
  <si>
    <t>5 (part 4)</t>
  </si>
  <si>
    <t>Financial data sharing schemes for cross-border data access</t>
  </si>
  <si>
    <t>20–23</t>
  </si>
  <si>
    <t>Data Sharing, Financial Data, Cross-border Transfer, Data Storage</t>
  </si>
  <si>
    <t>This section mandates the creation of financial data sharing schemes that establish standardized contractual frameworks, data interfaces, and governance rules for cross-border data sharing between financial institutions. These schemes must ensure proportionality, market competition, and consumer protection while complying with Union rules on data protection and competition. They require data holders and users to follow specific liability rules for data breaches and disputes.</t>
  </si>
  <si>
    <t>Requires standardized financial data sharing schemes with contractual frameworks and governance rules to facilitate cross-border data access while ensuring proportionality and consumer protection. This directly impacts DTIAs by mandating specific technical and contractual safeguards for international data transfers.</t>
  </si>
  <si>
    <t>• [Must] Data holders and users must join financial data sharing schemes for contractual and technical interaction
• [Must] Schemes must develop data and interface standards, joint contractual frameworks, and governance rules
• [Must] Schemes must ensure inclusive governance with balanced representation of data holders, users, and customers
• [Must] Schemes must have transparency requirements and effective appeal procedures for decisions
• [Must] Schemes must comply with Union rules on consumer protection, data protection, privacy, and competition</t>
  </si>
  <si>
    <t>• [Must] Schemes must not restrict competition in a substantial part of the relevant market
• [May] Data holders may use existing market standards when developing common standards
• [May] Data holders may request reasonable compensation from data users for interface implementation
• [Must] Compensation must be limited to costs incurred for facilitating data access for SMEs
• [Must] Schemes must establish liability rules for data breaches and dispute resolution between data holders and users</t>
  </si>
  <si>
    <t>Data holders and data users should be required to be part of financial data sharing schemes.</t>
  </si>
  <si>
    <t>5 (part 5)</t>
  </si>
  <si>
    <t>Periodic penalties and expedited enforcement for financial data breaches</t>
  </si>
  <si>
    <t>23–26</t>
  </si>
  <si>
    <t>Cross-border Transfer, Financial Data, Incident Reporting, Breach Notification</t>
  </si>
  <si>
    <t>Member States</t>
  </si>
  <si>
    <t>Member States must establish specific rules for periodic penalty payments on financial information service providers and their management bodies. Competent authorities can impose these penalties to compel compliance with orders, such as providing information or terminating breaches. Penalties must be calculated daily unless Member States specify otherwise. Member States may encourage expedited enforcement procedures but are not required to implement them, and must notify the Commission if they do so.</t>
  </si>
  <si>
    <t>Periodic penalties and expedited enforcement mechanisms create conditions for financial data breaches that require cross-border coordination and transparency in penalty applications. These mechanisms affect how penalties are calculated and enforced across jurisdictions.</t>
  </si>
  <si>
    <t>• [Must] Member States should lay down specific rules and effective mechanisms regarding the application of periodic penalty payments
• [Must] Competent authorities should be empowered to impose periodic penalty payments on financial information service providers
• [Must Not] Periodic penalty payments should not prevent subsequent administrative sanctions for the same infringement</t>
  </si>
  <si>
    <t>• [Condition] Periodic penalty payments should be calculated on a daily basis unless otherwise provided by Member States
• [May] Member States may encourage expedited enforcement procedures but are not required to implement them
• [Must] Member States must notify the Commission if they empower competent authorities to use expedited enforcement procedures</t>
  </si>
  <si>
    <t>Member States should lay down specific rules and effective mechanisms regarding the application of periodic penalty payments. Competent authorities should be empowered to impose periodic penalty payments on financial information service providers and on those members of their management body who are identified as responsible for an ongoing infringement or who are required to comply with an order from an investigating competent authority.</t>
  </si>
  <si>
    <t>5 (part 6)</t>
  </si>
  <si>
    <t>Data sharing and access for financial information service providers</t>
  </si>
  <si>
    <t>Cross-border Transfer, Financial Data, Data Sharing</t>
  </si>
  <si>
    <t>Financial information service providers must notify their competent authority when accessing data held by data holders in other Member States. They must specify the type of data, financial data sharing scheme, and Member States where access is intended. This regulation ensures cross-border data access for financial services while maintaining regulatory oversight.</t>
  </si>
  <si>
    <t>Requires financial information service providers to notify authorities when accessing cross-border data, creating specific conditions for international data transfers that must be documented and reported.</t>
  </si>
  <si>
    <t>• [Must] Financial information service providers must notify their competent authority when accessing data held by data holders in another Member State</t>
  </si>
  <si>
    <t>• [Must] Providers must specify the type of data, financial data sharing scheme, and Member States where access is intended</t>
  </si>
  <si>
    <t>A financial information service provider wishing to have access to data held by a data holder in another Member State, should notify its intention to its competent authority, providing information on the type of data it wishes to access, the financial data sharing scheme of which it is a member and the Member States in which it intends to access the data.</t>
  </si>
  <si>
    <t>A delegated act adopted under Article 11 enters into force only if no objections are raised by the European Parliament or Council within three months of notification, or if both institutions inform the Commission they will not object. The period may be extended by three months on either institution's initiative. This establishes a procedural safeguard for legislative adoption.</t>
  </si>
  <si>
    <t>• [Must] A delegated act adopted pursuant to Article 11 shall enter into force only if no objection has been expressed by the European Parliament or Council within three months of notification</t>
  </si>
  <si>
    <t>• [Condition] The period for objections may be extended by three months on the initiative of the European Parliament or Council</t>
  </si>
  <si>
    <t>A delegated act adopted pursuant to Article 11, shall enter into force only if no objection has been expressed either by the European Parliament or by the Council within a period of three months of notification of that act to the European Parliament and to the Council or if, before the expiry of that period, the European Parliament and the Council have both informed the Commission that they will not object.</t>
  </si>
  <si>
    <t>Conditions for withdrawing financial information service provider authorisation</t>
  </si>
  <si>
    <t>40–41</t>
  </si>
  <si>
    <t>Cross-border Transfer, Financial Data, Security</t>
  </si>
  <si>
    <t>Competent authority</t>
  </si>
  <si>
    <t>The competent authority may withdraw authorization from a financial information service provider if the provider fails to use the authorization within 12 months, renounces it, ceases business for over six months, obtained authorization through false statements, no longer meets authorization conditions, fails to report major developments, or poses a risk to consumer protection and data security. The authority must provide reasons and notify affected parties, and publish the withdrawal anonymously.</t>
  </si>
  <si>
    <t>This section outlines conditions under which a regulator can revoke authorization for financial data services, impacting cross-border data transfers by requiring ongoing compliance and timely reporting to ensure service providers meet security and consumer protection standards.</t>
  </si>
  <si>
    <t>• [Must Not] The provider does not use the authorization within 12 months
• [Must Not] The provider expressly renounces the authorization
• [Must Not] The provider has ceased to engage in business for more than 6 months
• [Must Not] The authorization was obtained through false statements or irregular means
• [Must Not] The provider no longer meets conditions for granting authorization</t>
  </si>
  <si>
    <t>• [Must Not] The provider fails to inform the competent authority on major developments
• [Must Not] The withdrawal constitutes a risk to consumer protection and data security
• [Notification] The competent authority gives reasons for withdrawal
• [Notification] The competent authority informs those concerned of withdrawal
• [Notification] The competent authority publishes withdrawal in anonymized version</t>
  </si>
  <si>
    <t>The competent authority may withdraw an authorisation issued to a financial information service provider only if the provider: (a) does not make use of the authorisation within 12 months, expressly renounces the authorisation or has ceased to engage in business for more than 6 months; (b) has obtained the authorisation through false statements or any other irregular means; (c) no longer meets the conditions for granting the authorisation or fails to inform the competent authority on major developments in this respect; (d) would constitute a risk to consumer protection and the security of data. The competent authority shall give reasons for any withdrawal of an authorisation and shall inform those concerned accordingly. The competent authority shall make public the withdrawal of an authorisation, in an anonymised version.</t>
  </si>
  <si>
    <t>Data sharing requirements for data holders</t>
  </si>
  <si>
    <t>Data Sharing, Security, Data Storage</t>
  </si>
  <si>
    <t>When sharing customer data with data users, data holders must provide data in standardized formats, ensure secure communication, verify customer authorization, provide permission dashboards for monitoring, and protect trade secrets and intellectual property rights. These requirements ensure secure and compliant data sharing practices.</t>
  </si>
  <si>
    <t>This section specifies technical and procedural safeguards for data sharing, including format standards, security protocols, and customer authorization verification, critical for DTIA compliance in financial data transfers.</t>
  </si>
  <si>
    <t>• [Must] Make customer data available to the data user in a format based on generally recognised standards and at least in the same quality available to the data holder
• [Must] Communicate securely with the data user by ensuring an appropriate level of security for the processing and transmission of customer data
• [Must] Request data users to demonstrate that they have obtained the permission of the customer to access the customer data held by the data holder</t>
  </si>
  <si>
    <t>• [Must] Provide the customer with a permission dashboard to monitor and manage permissions in accordance with Article 8
• [Must] Respect the confidentiality of trade secrets and intellectual property rights when customer data is accessed in accordance with Article 5(1)</t>
  </si>
  <si>
    <t>When making data available pursuant to paragraph 1, the data holder shall: (a) make customer data available to the data user in a format based on generally recognised standards and at least in the same quality available to the data holder; (b) communicate securely with the data user by ensuring an appropriate level of security for the processing and transmission of customer data; (c) request data users to demonstrate that they have obtained the permission of the customer to access the customer data held by the data holder; (d) provide the customer with a permission dashboard to monitor and manage permissions in accordance with Article 8. (e) respect the confidentiality of trade secrets and intellectual property rights when customer data is accessed in accordance with Article 5(1).</t>
  </si>
  <si>
    <t>Final report on amending GLs on ICT risk and security (GDPR - Row 4)</t>
  </si>
  <si>
    <t>EBA publishes ICT and security risk management guidelines</t>
  </si>
  <si>
    <t>Security, Governance</t>
  </si>
  <si>
    <t>EBA</t>
  </si>
  <si>
    <t>The EBA published ICT and security risk management guidelines on 27 November 2019, building on provisions from CRD and PSD2 directives. These guidelines establish requirements for credit institutions, investment firms, and payment service providers to mitigate ICT and security risks. The guidelines entered into force the following year and replaced previous security measures guidelines for operational and security risks.</t>
  </si>
  <si>
    <t>• [Must] EBA published ICT and security risk management guidelines on 27 November 2019
• [Must] Guidelines build on provisions of Article 74 of Directive 2013/36/EU (CRD) and Article 95(3) of Directive (EU) 2015/2366 (PSD2)
• [Must] Guidelines establish requirements for credit institutions, investment firms, and payment service providers on ICT and security risk mitigation</t>
  </si>
  <si>
    <t>• [Must] Guidelines aim to ensure consistent and robust approach across Single market
• [Must] Guidelines entered into force the following year and are applicable today
• [Must] Guidelines replace previous security measures guidelines for operational and security risks (EBA GL/2017/17)</t>
  </si>
  <si>
    <t>On 27 November 2019, the EBA published the Guidelines on ICT and security risk management (EBA/GL/2019/04) which were built on the provisions of Article 74 of Directive 2013/36/EU (CRD) and Article 95(3) of Directive (EU) 2015/2366 (PSD2). These Guidelines establish requirements for credit institutions, investment firms and payment service providers on the mitigation and management of their information and communication technology (ICT) and security risks and aim to ensure a consistent and robust approach across the Single market. The Guidelines entered into force the following year and are applicable to the present day replacing those on security measures for operational and security risks (EBA GL/2017/17), which were repealed.</t>
  </si>
  <si>
    <t>EBA guidelines set supervisory practices for financial institutions</t>
  </si>
  <si>
    <t>This section states that the EBA guidelines set the EBA's view of appropriate supervisory practices within the European System of Financial Supervision or how Union law should be applied in a particular area. Competent authorities must incorporate these guidelines into their practices by amending their legal frameworks or supervisory processes, especially when the guidelines are directed primarily at institutions.</t>
  </si>
  <si>
    <t>• [Statement] Guidelines set the EBA view of appropriate supervisory practices within the European System of Financial Supervision or of how Union law should be applied in a particular area</t>
  </si>
  <si>
    <t>• [Requirement] Competent authorities as defined in Article 4(2) of Regulation (EU) No 1093/2010 to whom guidelines apply should comply by incorporating them into their practices as appropriate (e.g. by amending their legal framework or their supervisory processes)</t>
  </si>
  <si>
    <t>2. Guidelines set the EBA view of appropriate supervisory practices within the European System of Financial Supervision or of how Union law should be applied in a particular area. Competent authorities as defined in Article 4(2) of Regulation (EU) No 1093/2010 to whom guidelines apply should comply by incorporating them into their practices as appropriate (e.g. by amending their legal framework or their supervisory processes), including where guidelines are directed primarily at institutions.</t>
  </si>
  <si>
    <t>Competent authorities must notify EBA of compliance with guidelines by 2025-05-20</t>
  </si>
  <si>
    <t>Competent authorities must notify the European Banking Authority (EBA) by May 20, 2025, whether they comply with the guidelines or intend to comply, providing reasons for non-compliance. Failure to notify by this deadline results in the EBA considering the authorities non-compliant. Notifications must be submitted using the EBA's specified form with reference 'EBA/GL/2025/02' by authorized personnel.</t>
  </si>
  <si>
    <t>Competent authorities must report compliance status with these guidelines to the EBA by a specific deadline; this affects DTIA by requiring timely notification of compliance status for cross-border financial regulatory alignment.</t>
  </si>
  <si>
    <t>• [Must] Competent authorities must notify the EBA by 20.05.2025 whether they comply or intend to comply with these guidelines
• [Must] Competent authorities must provide reasons for non-compliance if they do not comply
• [Must] Notifications must be submitted using the EBA form with reference 'EBA/GL/2025/02'</t>
  </si>
  <si>
    <t>• [Must] Notifications must be submitted by persons with appropriate authority
• [Must] Any change in compliance status must be reported to the EBA</t>
  </si>
  <si>
    <t>According to Article 16(3) of Regulation (EU) No 1093/2010, competent authorities must notify the EBA as to whether they comply or intend to comply with these guidelines, or otherwise with reasons for non-compliance, by 20.05.2025.</t>
  </si>
  <si>
    <t>EBA publishes compliance notifications on its website</t>
  </si>
  <si>
    <t>EBA will publish notifications of compliance status from competent authorities on its official website, as required by Article 16(3) of Regulation (EU) No 1093/2010. This transparency measure ensures public accessibility of compliance information for stakeholders.</t>
  </si>
  <si>
    <t>Public disclosure of compliance notifications affects DTIA by making compliance status visible to stakeholders, which may influence cross-border regulatory trust and transparency.</t>
  </si>
  <si>
    <t>• [Must] EBA will publish compliance notifications on its website</t>
  </si>
  <si>
    <t>Notifications will be published on the EBA website, in line with Article 16(3).</t>
  </si>
  <si>
    <t>Guidelines apply to competent authorities and payment service providers</t>
  </si>
  <si>
    <t>These guidelines apply to competent authorities as defined in Article 4(2)(vii) of Regulation (EU) No 1093/2010 and financial institutions that are payment service providers under Article 1(1) of Directive (EU) 2015/2366. The scope includes natural or legal persons benefiting from exemptions under specific directives.</t>
  </si>
  <si>
    <t>The scope definition directly impacts DTIA by specifying which entities must comply with security measures for payment services, affecting cross-border data handling obligations.</t>
  </si>
  <si>
    <t>• [Must] Guidelines apply to competent authorities as defined in Article 4(2)(vii) of Regulation (EU) No 1093/2010</t>
  </si>
  <si>
    <t>• [Must] Guidelines apply to financial institutions that are payment service providers under Article 1(1) of Directive (EU) 2015/2366</t>
  </si>
  <si>
    <t>These guidelines are addressed to competent authorities as defined in Article 4 point (2)(vii) of Regulation (EU) No 1093/2010 and to financial institutions as defined in Article 4(1) of Regulation No 1093/2010, which are payment service providers as referred to in Article 1(1) of Directive (EU) 2015/2366.</t>
  </si>
  <si>
    <t>Guidelines cover payment user relationship management under DORA</t>
  </si>
  <si>
    <t>These guidelines are based on the mandate to issue guidelines under Article 95(3) of Directive (EU) 2015/2366 and cover aspects of payment user relationship management. They complement risk management measures under the Digital Operational Resilience Act (DORA) and related Regulatory Technical Standards for payment service providers.</t>
  </si>
  <si>
    <t>The guidelines specify security measures for payment services under DORA, which directly impacts DTIA by requiring robust security protocols for cross-border payment data handling.</t>
  </si>
  <si>
    <t>• [Must] Guidelines cover aspects of payment user relationship management</t>
  </si>
  <si>
    <t>• [Must] Guidelines complement risk management measures under DORA</t>
  </si>
  <si>
    <t>These guidelines are based on the mandate to issue guidelines under Article 95(3) of Directive (EU) 2015/2366 and cover aspects of payment user relationship management.</t>
  </si>
  <si>
    <t>Scope of application for guidelines is deleted</t>
  </si>
  <si>
    <t>The scope of application for the guidelines is deleted, meaning the guidelines now apply to the specific mandate under Article 95(3) of Directive (EU) 2015/2366 for payment service providers. This deletion streamlines the scope to focus on security measures for payment services.</t>
  </si>
  <si>
    <t>The deletion of the scope ensures the guidelines focus exclusively on payment service providers' security measures, which is critical for DTIA in payment-related data transfers.</t>
  </si>
  <si>
    <t>• [Must] Scope of application for guidelines is deleted</t>
  </si>
  <si>
    <t>The scope of application as set out in paragraphs 7 and 8 is deleted.</t>
  </si>
  <si>
    <t>Guidelines apply to specific payment service providers</t>
  </si>
  <si>
    <t>These guidelines apply to competent authorities as defined in Article 4(2)(vii) of Regulation (EU) No 1093/2010 and financial institutions that are payment service providers under Article 1(1) of Directive (EU) 2015/2366. This includes entities benefiting from exemptions under Article 32 or 33 of Directive (EU) 2015/2366 and legal persons exempted under Article 9 of Directive 2009/110/EC.</t>
  </si>
  <si>
    <t>The specific scope definition affects DTIA by clarifying which entities must implement security measures for payment services, including exempted entities.</t>
  </si>
  <si>
    <t>• [Must] Guidelines apply to competent authorities as defined in Article 4(2)(vii) of Regulation (EU) No 1093/2010
• [Must] Guidelines apply to financial institutions that are payment service providers under Article 1(1) of Directive (EU) 2015/2366</t>
  </si>
  <si>
    <t>• [Must] Includes natural or legal persons benefiting from exemptions under Article 32 or 33 of Directive (EU) 2015/2366
• [Must] Includes legal persons exempted under Article 9 of Directive 2009/110/EC</t>
  </si>
  <si>
    <t>These guidelines are addressed to competent authorities as defined in Article 4 point (2) point (vii) of Regulation (EU) No 1093/2010 and to financial institutions as defined in Article 4(1) of Regulation No 1093/2010, which are payment service providers as defined in Article 1(1) point (a), point (b) and point (d) of Directive (EU) 2015/2366, including natural or legal persons benefiting from an exemption pursuant to Article 32 or 33 of Directive (EU) 2015/2366 and legal persons exempted under Article 9 of Directive 2009/110/EC.</t>
  </si>
  <si>
    <t>Removal of specific definitions from scope</t>
  </si>
  <si>
    <t>This section explicitly deletes certain definitions previously outlined in paragraph 10. The deletion applies to the definitions listed in that paragraph. The section does not introduce new definitions or obligations but removes existing ones from the scope of the regulation.</t>
  </si>
  <si>
    <t>• [Restriction] The definitions as set out in paragraph 10 are deleted</t>
  </si>
  <si>
    <t>The definitions as set out in paragraph 10 are deleted.</t>
  </si>
  <si>
    <t>Credit institutions and investment firms overlap with DORA financial entities</t>
  </si>
  <si>
    <t>This section states that credit institutions and investment firms as defined in Article 4(1) point 3 of Regulation (EU) No 575/2013 overlap with financial entities subject to DORA and related RTS on RMF. The overlap indicates that these entities are covered by both the EBA Guidelines on ICT and security risk management and the DORA framework, which requires specific risk management practices.</t>
  </si>
  <si>
    <t>• [Statement] Credit institutions and investment firms as defined in point 3 of Article 4(1) of Regulation (EU) No 575/2013 overlap with financial entities subject to DORA and the related RTS on RMF</t>
  </si>
  <si>
    <t>12. Credit institutions and investment firms as defined in point 3 of Article 4(1) of Regulation (EU) No 575/2013, addressees of the EBA Guidelines on ICT and security risk management overlap with the financial entities subject to DORA and the related RTS on RMF.</t>
  </si>
  <si>
    <t>EBA gap analysis shows most security gaps covered by DORA</t>
  </si>
  <si>
    <t>This section states that the EBA's May 2024 gap analysis found that the majority of identified gaps related to authentication methods, information security policies, and ICT operations management were not material and were holistically covered by the new DORA framework. The statement indicates that the DORA framework addresses most security-related gaps previously identified.</t>
  </si>
  <si>
    <t>• [Statement] The EBA carried out a gap analysis in May 2024 and arrived at the view that the majority of gaps identified which relate to authentication methods, requirements for the information security policy and ICT operations management were not material and holistically covered by the new DORA framework</t>
  </si>
  <si>
    <t>13. The EBA carried out a gap analysis in May 2024 and arrived at the view that the majority of the gaps identified which relate to authentication methods, requirements for the information security policy and ICT operations management, were not material and holistically covered by the new DORA framework.</t>
  </si>
  <si>
    <t>EBA definitions overlap with DORA Article 3</t>
  </si>
  <si>
    <t>This section states that the definitions included in the EBA Guidelines on ICT and security risk management overlap with DORA Article 3. The overlap indicates that the definitions used in the EBA Guidelines are consistent with the definitions in the DORA framework, which is relevant for ensuring alignment in regulatory practices.</t>
  </si>
  <si>
    <t>• [Statement] The definitions included in EBA Guidelines on ICT and security risk management overlap with DORA Article (3)</t>
  </si>
  <si>
    <t>16. The definitions included in EBA Guidelines on ICT and security risk management overlap with DORA Article (3).</t>
  </si>
  <si>
    <t>OJ_L_202302854_EN_TXT (GDPR - Row 11)</t>
  </si>
  <si>
    <t>GDPR evaluation report by Commission</t>
  </si>
  <si>
    <t>The Commission must evaluate GDPR by September 2028 and report findings to the European Parliament, Council, and Economic and Social Committee. The evaluation covers data access, use, economic impact, data sharing, and SME compliance, among other areas.</t>
  </si>
  <si>
    <t>Requires a comprehensive evaluation of GDPR's impact on data sharing and processing, which informs future data transfer compliance frameworks.</t>
  </si>
  <si>
    <t>• [Must] By 12 September 2028, the Commission shall carry out an evaluation of this Regulation
• [Must] The Commission shall submit a report on its main findings to the European Parliament and to the Council
• [Must] The Commission shall submit a report to the European Economic and Social Committee
• [Must] The evaluation shall assess situations of exceptional need for Article 15 and Chapter V implementation
• [Must] The evaluation shall assess the impact of this Regulation on data innovation and monetisation
• [Must] The evaluation shall assess the accessibility and use of different categories and types of data</t>
  </si>
  <si>
    <t>• [Must] The evaluation shall assess the exclusion of certain categories of enterprises as beneficiaries under Article 5
• [Must] The evaluation shall assess the impact on intellectual property rights
• [Must] The evaluation shall assess the impact on trade secrets
• [Must] The evaluation shall assess the impact of the mechanism allowing data holders to refuse user requests
• [Must] The evaluation shall assess the impact on SMEs regarding innovation and data processing services</t>
  </si>
  <si>
    <t>By 12 September 2028, the Commission shall carry out an evaluation of this Regulation and submit a report on its main findings to the European Parliament and to the Council, and to the European Economic and Social Committee.</t>
  </si>
  <si>
    <t>GDPR evaluation report for SMEs</t>
  </si>
  <si>
    <t>The Commission must evaluate GDPR by September 2028 and report findings to the European Parliament, Council, and Economic and Social Committee. The evaluation focuses on pricing and data processing services for SME providers within the Union.</t>
  </si>
  <si>
    <t>Specifically assesses the impact of GDPR on SME data processing services, which affects data transfer compliance for small businesses.</t>
  </si>
  <si>
    <t>• [Must] By 12 September 2028, the Commission shall carry out an evaluation of this Regulation
• [Must] The Commission shall submit a report on its main findings to the European Parliament and to the Council
• [Must] The Commission shall submit a report to the European Economic and Social Committee</t>
  </si>
  <si>
    <t>• [Must] The evaluation shall assess pricing and diversity of data processing services offered within the Union
• [Must] The evaluation shall focus on SME providers</t>
  </si>
  <si>
    <t>By 12 September 2028, the Commission shall carry out an evaluation of this Regulation and submit a report on its main findings to the European Parliament and to the Council, and to the European Economic and Social Committee. That evaluation shall assess the impact of Articles 23 to 31 and Articles 34 and 35, in particular regarding pricing and the diversity of data processing services offered within the Union, with a special focus on SME providers.</t>
  </si>
  <si>
    <t>Penalty criteria for GDPR violations</t>
  </si>
  <si>
    <t>Member States must consider EDIB recommendations when determining penalties for GDPR breaches. Penalties are calculated based on infringement severity, mitigation efforts, prior violations, financial impact, and other contextual factors. This applies to national authorities enforcing GDPR compliance.</t>
  </si>
  <si>
    <t>Defines penalty criteria for GDPR violations, which affects how data transfers are assessed for compliance with regulatory penalties.</t>
  </si>
  <si>
    <t>• [Must] Member States shall take into account the recommendations of the EDIB
• [Must] Member States shall consider the following non-exhaustive criteria for penalty imposition: the nature, gravity, scale and duration of the infringement
• [Must] Member States shall consider the following non-exhaustive criteria for penalty imposition: any action taken by the infringing party to mitigate or remedy the damage
• [Must] Member States shall consider the following non-exhaustive criteria for penalty imposition: any previous infringements by the infringing party</t>
  </si>
  <si>
    <t>• [Must] Member States shall consider the following non-exhaustive criteria for penalty imposition: the financial benefits gained or losses avoided by the infringing party due to the infringement
• [Must] Member States shall consider the following non-exhaustive criteria for penalty imposition: any other aggravating or mitigating factor applicable to the circumstances of the case
• [Must] Member States shall consider the following non-exhaustive criteria for penalty imposition: the infringing party's annual turnover in the preceding financial year in the Union</t>
  </si>
  <si>
    <t>Member States shall take into account the recommendations of the EDIB and the following non-exhaustive criteria for the imposition of penalties for infringements of this Regulation: (a) the nature, gravity, scale and duration of the infringement; (b) any action taken by the infringing party to mitigate or remedy the damage caused by the infringement; (c) any previous infringements by the infringing party; (d) the financial benefits gained or losses avoided by the infringing party due to the infringement, insofar as such benefits or losses can be reliably established; (e) any other aggravating or mitigating factor applicable to the circumstances of the case; (f) the infringing party's annual turnover in the preceding financial year in the Union.</t>
  </si>
  <si>
    <t>Commission may request standardisation bodies to draft harmonised standards</t>
  </si>
  <si>
    <t>The European Commission may request one or more European standardisation organisations to draft harmonised standards that meet essential requirements under Article 10(1) of Regulation (EU) No 1025/2012. These standards must satisfy the requirements specified in paragraphs 1 and 2 of this Article. The Commission's authority is limited to this specific regulatory function.</t>
  </si>
  <si>
    <t>This section establishes a mechanism for harmonised standards that could impact cross-border data transfers by providing technical standards for data processing services, relevant for DTIA when assessing technical compatibility and compliance with international standards.</t>
  </si>
  <si>
    <t>• [Must] The Commission may request one or more European standardisation organisations to draft harmonised standards</t>
  </si>
  <si>
    <t>• [Must] Harmonised standards must satisfy essential requirements laid down in paragraphs 1 and 2 of this Article</t>
  </si>
  <si>
    <t>After taking into account relevant international and European standards and self-regulatory initiatives, the Commission may, in accordance with Article 10(1) of Regulation (EU) No 1025/2012, request one or more European standardisation organisations to draft harmonised standards that satisfy the essential requirements laid down in paragraphs 1 and 2 of this Article.</t>
  </si>
  <si>
    <t>GDPR enforcement fines for Chapter V violations</t>
  </si>
  <si>
    <t>European Data Protection Supervisor</t>
  </si>
  <si>
    <t>The European Data Protection Supervisor may impose administrative fines for violations of Chapter V obligations up to the amount specified in Regulation (EU) 2018/1725. This applies to the European Data Protection Supervisor acting within its competence for GDPR enforcement.</t>
  </si>
  <si>
    <t>Authorises fines for GDPR violations, which impacts data transfer compliance assessments by defining potential financial penalties for non-compliance.</t>
  </si>
  <si>
    <t>• [May] For infringements of the obligations laid down in Chapter V of this Regulation, the European Data Protection Supervisor may impose administrative fines
• [Must] Administrative fines may be imposed in accordance with Article 66 of Regulation (EU) 2018/1725</t>
  </si>
  <si>
    <t>• [Must] Fines may be up to the amount referred to in Article 66(3) of Regulation (EU) 2018/1725</t>
  </si>
  <si>
    <t>For infringements of the obligations laid down in Chapter V of this Regulation, the European Data Protection Supervisor may impose within its scope of competence administrative fines in accordance with Article 66 of Regulation (EU) 2018/1725 up to the amount referred to in Article 66(3) of that Regulation.</t>
  </si>
  <si>
    <t>Data coordinator facilitates cooperation with authorities</t>
  </si>
  <si>
    <t>The data coordinator, if designated, must act as a single point of contact for GDPR-related issues, ensure online public availability of data requests for public sector bodies, and inform the Commission annually about refusals to data sharing requests.</t>
  </si>
  <si>
    <t>This section defines the role of the data coordinator, which is relevant for DTIA when assessing coordination mechanisms between public and private entities for data sharing.</t>
  </si>
  <si>
    <t>• [Must] Data coordinator shall act as single point of contact for GDPR-related issues
• [Must] Data coordinator shall ensure online public availability of data requests for public sector bodies</t>
  </si>
  <si>
    <t>• [Must] Data coordinator shall inform Commission annually about refusals to data sharing requests</t>
  </si>
  <si>
    <t>The data coordinator, where such competent authority has been designated, shall: (a) act as the single point of contact for all issues related to the application of this Regulation; (b) ensure the online public availability of requests to make data available made by public sector bodies in the case of exceptional need under Chapter V and promote voluntary data sharing agreements between public sector bodies and data holders; (c) inform the Commission, on an annual basis, of the refusals notified under Article 4(2) and (8) and Article 5(11).</t>
  </si>
  <si>
    <t>Commission's authority to monitor switching charges</t>
  </si>
  <si>
    <t>The European Commission can adopt delegated acts to establish a monitoring mechanism for switching charges imposed by data processing service providers. This mechanism ensures compliance with switching deadlines and fee reductions as specified in paragraphs 1 and 2 of the regulation.</t>
  </si>
  <si>
    <t>This section grants the Commission authority to monitor switching charges, which impacts DTIA by requiring oversight of financial terms during cross-border data transfers to ensure timely compliance.</t>
  </si>
  <si>
    <t>• [May] Commission may adopt delegated acts to establish monitoring mechanism for switching charges</t>
  </si>
  <si>
    <t>The Commission is empowered to adopt delegated acts in accordance with Article 45 to supplement this Regulation by establishing a monitoring mechanism for the Commission to monitor switching charges, imposed by providers of data processing services on the market to ensure that the withdrawal and reduction of switching charges, pursuant to paragraphs 1 and 2 of this Article are to be attained in accordance with the deadlines laid down in those paragraphs.</t>
  </si>
  <si>
    <t>Commission publishes references of harmonised standards for interoperability</t>
  </si>
  <si>
    <t>The Commission must publish references to harmonised standards and common specifications for data processing service interoperability in a central Union repository. This ensures that technical standards are accessible for cross-border data processing services and promotes interoperability across the EU.</t>
  </si>
  <si>
    <t>This section mandates the publication of interoperability standards, which is relevant for DTIA when assessing technical compatibility and data transfer mechanisms between different systems and jurisdictions.</t>
  </si>
  <si>
    <t>• [Must] The Commission shall publish references of harmonised standards and common specifications for interoperability of data processing services</t>
  </si>
  <si>
    <t>For the purpose of Article 30(3), the Commission shall, by means of implementing acts, publish the references of harmonised standards and common specifications for the interoperability of data processing services in a central Union standards repository for the interoperability of data processing services.</t>
  </si>
  <si>
    <t>Trade secrets must be protected with necessary technical and organisational measures</t>
  </si>
  <si>
    <t>Data Sharing, Security, Third Party Processing</t>
  </si>
  <si>
    <t>This section requires trade secrets to be preserved and disclosed only when strictly necessary for agreed purposes. The data holder must identify protected trade secrets and agree on proportionate technical and organisational measures with third parties, such as confidentiality agreements and access protocols. The obligation applies to data holders and third parties sharing trade secrets.</t>
  </si>
  <si>
    <t>Trade secrets must be protected with specific technical and organisational measures before sharing, which impacts DTIAs for cross-border transfers involving sensitive business information.</t>
  </si>
  <si>
    <t>• [Must] Trade secrets shall be preserved and shall be disclosed to third parties only to the extent that such disclosure is strictly necessary to fulfil the purpose agreed between the user and the third party
• [Must] The data holder or, where they are not the same person, the trade secret holder shall identify the data which are protected as trade secrets, including in the relevant metadata</t>
  </si>
  <si>
    <t>• [Must] The data holder shall agree with the third party all proportionate technical and organisational measures necessary to preserve the confidentiality of the shared data, such as model contractual terms, confidentiality agreements, strict access protocols, technical standards and the application of codes of conduct</t>
  </si>
  <si>
    <t>Trade secrets shall be preserved and shall be disclosed to third parties only to the extent that such disclosure is strictly necessary to fulfil the purpose agreed between the user and the third party. The data holder or, where they are not the same person, the trade secret holder shall identify the data which are protected as trade secrets, including in the relevant metadata, and shall agree with the third party all proportionate technical and organisational measures necessary to preserve the confidentiality of the shared data, such as model contractual terms, confidentiality agreements, strict access protocols, technical standards and the application of codes of conduct.</t>
  </si>
  <si>
    <t>Data holder may withhold data if trade secret measures not agreed</t>
  </si>
  <si>
    <t>33–37</t>
  </si>
  <si>
    <t>If there is no agreement on technical and organisational measures from paragraph 9 or if the third party fails to implement agreed measures, the data holder may withhold or suspend sharing trade secrets. The data holder must substantiate and notify the third party in writing without undue delay and inform the competent authority of the withholding action.</t>
  </si>
  <si>
    <t>Data holders can withhold trade secrets if technical measures aren't agreed, which is a critical safeguard for DTIAs involving sensitive data transfers.</t>
  </si>
  <si>
    <t>• [May] Where there is no agreement on the necessary measures referred to in paragraph 9 of this Article or if the third party fails to implement the measures agreed pursuant to paragraph 9 of this Article or undermines the confidentiality of the trade secrets, the data holder may withhold or, as the case may be, suspend the sharing of data identified as…
• [Must] The decision of the data holder shall be duly substantiated and provided in writing to the third party without undue delay</t>
  </si>
  <si>
    <t>• [Must] The data holder shall notify the competent authority designated pursuant to Article 37 that it has withheld or suspended data sharing and identify which measures have not been agreed or implemented and, where relevant, which trade secrets have had their confidentiality undermined</t>
  </si>
  <si>
    <t>Where there is no agreement on the necessary measures referred to in paragraph 9 of this Article or if the third party fails to implement the measures agreed pursuant to paragraph 9 of this Article or undermines the confidentiality of the trade secrets, the data holder may withhold or, as the case may be, suspend the sharing of data identified as trade secrets. The decision of the data holder shall be duly substantiated and provided in writing to the third party without undue delay. In such cases, the data holder shall notify the competent authority designated pursuant to Article 37 that it has withheld or suspended data sharing and identify which measures have not been agreed or implemented and, where relevant, which trade secrets have had their confidentiality undermined.</t>
  </si>
  <si>
    <t>Commission guidelines for data space interoperability</t>
  </si>
  <si>
    <t>Cross-border Transfer, Data Sharing</t>
  </si>
  <si>
    <t>The European Commission may adopt guidelines based on the EDIB's proposal to establish interoperable frameworks for common standards and practices in European data spaces, as specified in Article 30 of Regulation (EU) 2022/868. These guidelines aim to harmonize data processing services across the EU while ensuring compliance with existing legal requirements.</t>
  </si>
  <si>
    <t>This section allows the Commission to create guidelines that standardize data interoperability across European data spaces, which could influence how data is transferred between participants in cross-border data environments.</t>
  </si>
  <si>
    <t>• [May] The Commission may adopt guidelines taking into account the proposal of the EDIB in accordance with Article 30, point (h), of Regulation (EU) 2022/868</t>
  </si>
  <si>
    <t>The Commission may adopt guidelines taking into account the proposal of the EDIB in accordance with Article 30, point (h), of Regulation (EU) 2022/868 laying down interoperable frameworks for common standards and practices for the functioning of common European data spaces.</t>
  </si>
  <si>
    <t>Third party may challenge data holder's decisions on trade secrets</t>
  </si>
  <si>
    <t>Third parties can challenge data holders' decisions to withhold or suspend trade secret sharing through the competent authority or by agreeing to refer the matter to a dispute settlement body. The challenge must be lodged within the timeframe specified in Article 37(5), point (b), and the competent authority must decide quickly whether data sharing should resume.</t>
  </si>
  <si>
    <t>Third parties have recourse to challenge data withholding decisions, which is vital for DTIAs involving trade secrets where disputes may arise across borders.</t>
  </si>
  <si>
    <t>• [May] A third party wishing to challenge a data holder's decision to refuse or to withhold or suspend data sharing pursuant to paragraphs 10 and 11 may lodge, in accordance with Article 37(5), point (b), a complaint with the competent authority, which shall, without undue delay, decide whether and under which conditions the data sharing is to start or r…</t>
  </si>
  <si>
    <t>• [May] A third party wishing to challenge a data holder's decision to refuse or to withhold or suspend data sharing pursuant to paragraphs 10 and 11 may agree with the data holder to refer the matter to a dispute settlement body in accordance with Article 10(1)</t>
  </si>
  <si>
    <t>Without prejudice to the third party's right to seek redress at any stage before a court or tribunal of a Member State, a third party wishing to challenge a data holder's decision to refuse or to withhold or suspend data sharing pursuant to paragraphs 10 and 11 may: (a) lodge, in accordance with Article 37(5), point (b), a complaint with the competent authority, which shall, without undue delay, decide whether and under which conditions the data sharing is to start or resume; or (b) agree with the data holder to refer the matter to a dispute settlement body in accordance with Article 10(1).</t>
  </si>
  <si>
    <t>Trade secret rights do not affect data subject rights</t>
  </si>
  <si>
    <t>This section states that the right to share trade secrets does not adversely affect data subjects' rights under Union and national law on personal data protection. The obligation applies to data holders and third parties involved in trade secret sharing.</t>
  </si>
  <si>
    <t>Trade secret sharing rights do not override data subject rights, which is important for DTIAs to ensure compliance with both trade secret and GDPR requirements.</t>
  </si>
  <si>
    <t>• [Must] The right referred to in paragraph 1 shall not adversely affect the rights of data subjects pursuant to the applicable Union and national law on the protection of personal data</t>
  </si>
  <si>
    <t>The right referred to in paragraph 1 shall not adversely affect the rights of data subjects pursuant to the applicable Union and national law on the protection of personal data.</t>
  </si>
  <si>
    <t>Confidentiality and professional secrecy for personal data</t>
  </si>
  <si>
    <t>66</t>
  </si>
  <si>
    <t>Competent authorities must protect personal data in line with Union or national law. Any information shared during assistance requests must be used solely for the purpose that prompted the request. This applies to authorities handling data in compliance with GDPR.</t>
  </si>
  <si>
    <t>Requires that data shared during cross-border assistance requests be used exclusively for the specific purpose of the request, impacting data transfer safeguards.</t>
  </si>
  <si>
    <t>• [Must] Competent authorities shall respect the principles of confidentiality and professional and commercial secrecy
• [Must] Competent authorities shall protect personal data in accordance with Union or national law</t>
  </si>
  <si>
    <t>• [Must] Any information exchanged in the context of a request for assistance shall be used only for the matter for which it was requested</t>
  </si>
  <si>
    <t>Competent authorities shall respect the principles of confidentiality and of professional and commercial secrecy and shall protect personal data in accordance with Union or national law. Any information exchanged in the context of a request for assistance and provided pursuant to this Article shall be used only in respect of the matter for which it was requested.</t>
  </si>
  <si>
    <t>OJ_L_202401689_EN_TXT (GDPR - Row 9)</t>
  </si>
  <si>
    <t>Fines for general-purpose AI model providers</t>
  </si>
  <si>
    <t>51–52</t>
  </si>
  <si>
    <t>Financial Data, AML</t>
  </si>
  <si>
    <t>The Commission may impose fines up to 3% of annual worldwide turnover or EUR 15 million for providers of general-purpose AI models who intentionally or negligently violate data protection rules, fail to provide requested documents, or do not comply with safety measures. Fines consider the nature, gravity, and duration of infringements and may be adjusted based on commitments made.</t>
  </si>
  <si>
    <t>This section establishes financial penalties for AI model providers, which impacts DTIA by requiring assessment of compliance risks and potential financial consequences for data transfers involving AI systems.</t>
  </si>
  <si>
    <t>• [May] Commission may impose fines not exceeding 3% of annual worldwide turnover or EUR 15 million
• [Condition] Fines apply when provider intentionally or negligently infringes relevant provisions
• [Condition] Fines apply when provider fails to comply with document requests under Article 91
• [Condition] Fines apply when provider fails to comply with measures under Article 93</t>
  </si>
  <si>
    <t>• [Condition] Fines apply when provider fails to make AI model available for evaluation
• [Must] Fine amount considers nature, gravity, and duration of infringement
• [Must] Fine amount considers principles of proportionality and appropriateness
• [Must] Commission considers commitments made under Article 93 or relevant codes of practice</t>
  </si>
  <si>
    <t>The Commission may impose on providers of general-purpose AI models fines not exceeding 3 % of their annual total worldwide turnover in the preceding financial year or EUR 15 000 000, whichever is higher., when the Commission finds that the provider intentionally or negligently: (a) infringed the relevant provisions of this Regulation; (b) failed to comply with a request for a document or for information pursuant to Article 91, or supplied incorrect, incomplete or misleading information; (c) failed to comply with a measure requested under Article 93;</t>
  </si>
  <si>
    <t>AI model development description</t>
  </si>
  <si>
    <t>44–45</t>
  </si>
  <si>
    <t>Requires providers to describe AI model elements and development processes, including technical means for integration, input/output modalities, and data used for training, testing, and validation. This information is critical for assessing model capabilities and risks.</t>
  </si>
  <si>
    <t>Mandates detailed descriptions of AI model development processes to ensure transparency and compliance with data protection and security requirements.</t>
  </si>
  <si>
    <t>• [Must] Provider must describe technical means required for general-purpose AI model integration
• [Must] Provider must describe input/output modalities and maximum size of data</t>
  </si>
  <si>
    <t>• [Must] Provider must describe data used for training, testing, and validation including type, provenance, and curation methodologies</t>
  </si>
  <si>
    <t>2. A description of the elements of the model and of the process for its development, including: (a) the technical means (e.g. instructions for use, infrastructure, tools) required for the general-purpose AI model to be integrated into AI systems; (b) the modality (e.g. text, image, etc.) and format of the inputs and outputs and their maximum size (e.g. context window length, etc.); (c) information on the data used for training, testing and validation, where applicable, including the type and provenance of data and curation methodologies.</t>
  </si>
  <si>
    <t>System architecture description for AI providers</t>
  </si>
  <si>
    <t>52–53</t>
  </si>
  <si>
    <t>Requires providers to describe system architecture where applicable, explaining how software components build or feed into each other and integrate into overall processing. This information is relevant for transparency and technical documentation purposes.</t>
  </si>
  <si>
    <t>Mandates detailed system architecture descriptions for AI providers to ensure transparency and understanding of data flows and processing mechanisms.</t>
  </si>
  <si>
    <t>• [Must] Provider must describe system architecture where applicable, explaining how software components build or feed into each other and integrate into overall processing</t>
  </si>
  <si>
    <t>3. Where applicable, a detailed description of the system architecture explaining how software components build or feed into each other and integrate into the overall processing.</t>
  </si>
  <si>
    <t>Technical documentation control for AI systems</t>
  </si>
  <si>
    <t>Notified body</t>
  </si>
  <si>
    <t>Providers must submit technical documentation to notified bodies for assessment of AI systems intended for market placement. Notified bodies may require additional evidence or tests, and have access to training data sets with security safeguards. For high-risk AI systems, notified bodies can access training models with IP and trade secret protections. Notified bodies issue certificates of conformity or refusal with detailed reasons.</t>
  </si>
  <si>
    <t>Requires detailed technical documentation for AI systems, including access to training data and models with safeguards. This impacts DTIA by mandating specific documentation and assessment processes for high-risk AI systems.</t>
  </si>
  <si>
    <t>• [Must] Provider must submit application to notified body for technical documentation assessment
• [Must] Application must include provider name and address
• [Must] Application must include written declaration that application has not been lodged with other notified bodies
• [Must] Application must include technical documentation from Annex IV
• [May] Notified body may require additional evidence or tests for proper assessment
• [May] Notified body may grant full access to training, validation, and testing data sets with security safeguards</t>
  </si>
  <si>
    <t>• [May] Notified body may require access to training and trained models for high-risk AI systems with IP and trade secret protections
• [Must] Notified body must issue Union technical documentation assessment certificate if AI system conforms
• [Must] Certificate must indicate provider name, address, assessment conclusions, conditions for validity, and AI system identification data
• [Must] Notified body must refuse certificate if AI system does not conform with requirements
• [Must] Notified body must provide detailed reasons for refusal of certificate
• [Must] Provider must retrain AI system if data used does not meet requirements</t>
  </si>
  <si>
    <t>4.1 In addition to the application referred to in point 3, an application with a notified body of their choice shall be lodged by the provider for the assessment of the technical documentation relating to the AI system which the provider intends to place on the market or put into service and which is covered by the quality management system referred to under point 3.</t>
  </si>
  <si>
    <t>Data protection impact assessment summary for AI systems</t>
  </si>
  <si>
    <t>Requires providers to submit a summary of data protection impact assessments conducted in accordance with GDPR Article 35 or Directive 2016/680 Article 27. This summary must be provided for high-risk AI systems listed in Annex III to ensure compliance with data protection requirements.</t>
  </si>
  <si>
    <t>Mandates submission of data protection impact assessments for high-risk AI systems, ensuring compliance with data protection principles during development and deployment.</t>
  </si>
  <si>
    <t>• [Must] Provider must submit summary of data protection impact assessment as per GDPR Article 35 or Directive 2016/680 Article 27</t>
  </si>
  <si>
    <t>5. A summary of the data protection impact assessment carried out in accordance with Article 35 of Regulation (EU) 2016/679 or Article 27 of Directive (EU) 2016/680 as specified in Article 26(8) of this Regulation, where applicable.</t>
  </si>
  <si>
    <t>European Criminal Records Information System for third-country nationals</t>
  </si>
  <si>
    <t>Regulates the European Criminal Records Information System (ECRIS-TCN) for identifying Member States holding conviction information on third-country nationals and stateless persons. This system supplements the European Criminal Records Information System and amends Regulation (EU) 2018/1726.</t>
  </si>
  <si>
    <t>Relevant for DTIA as it involves cross-border sharing of criminal records for third-country nationals and stateless persons, requiring compliance with data transfer and processing rules.</t>
  </si>
  <si>
    <t>• [Must] ECRIS-TCN is established to identify Member States holding conviction information on third-country nationals and stateless persons</t>
  </si>
  <si>
    <t>6. European Criminal Records Information System on third-country nationals and stateless persons Regulation (EU) 2019/816 of the European Parliament and of the Council of 17 April 2019 establishing a centralised system for the identification of Member States holding conviction information on third-country nationals and stateless persons (ECRIS-TCN) to supplement the European Criminal Records Information System and amending Regulation (EU) 2018/1726 (OJ L 135, 22.5.2019, p. 1).</t>
  </si>
  <si>
    <t>Annual reporting of administrative fines by European Data Protection Supervisor</t>
  </si>
  <si>
    <t>The European Data Protection Supervisor must annually report to the Commission all administrative fines imposed and any litigation or judicial proceedings initiated under this Regulation. This reporting obligation applies to the Supervisor and covers fines related to data protection violations.</t>
  </si>
  <si>
    <t>This section mandates annual reporting of fines, which affects DTIA by requiring assessment of fine imposition mechanisms and their impact on data transfer compliance.</t>
  </si>
  <si>
    <t>• [Must] European Data Protection Supervisor shall notify Commission annually of administrative fines imposed</t>
  </si>
  <si>
    <t>• [Must] European Data Protection Supervisor shall notify Commission annually of litigation or judicial proceedings initiated</t>
  </si>
  <si>
    <t>The European Data Protection Supervisor shall, on an annual basis, notify the Commission of the administrative fines it has imposed pursuant to this Article and of any litigation or judicial proceedings it has initiated.</t>
  </si>
  <si>
    <t>Justice and democratic processes AI systems</t>
  </si>
  <si>
    <t>74–75</t>
  </si>
  <si>
    <t>This section defines AI systems used in judicial processes, alternative dispute resolution, and election-related activities. These systems must not influence election outcomes or voting behavior without direct exposure to individuals, and must be designed to ensure transparency and fairness in legal proceedings.</t>
  </si>
  <si>
    <t>• [Must] AI systems used by judicial authorities to research and interpret facts and law
• [Must] AI systems used by judicial authorities to apply law to concrete facts
• [Must] AI systems used in alternative dispute resolution</t>
  </si>
  <si>
    <t>• [Must] AI systems used to influence election or referendum outcomes
• [Must] AI systems used to influence voting behavior in elections or referenda
• [Must Not] AI systems not directly exposed to natural persons</t>
  </si>
  <si>
    <t>Administration of justice and democratic processes: (a) AI systems intended to be used by a judicial authority or on their behalf to assist a judicial authority in researching and interpreting facts and the law and in applying the law to a concrete set of facts, or to be used in a similar way in alternative dispute resolution; (b) AI systems intended to be used for influencing the outcome of an election or referendum or the voting behaviour of natural persons in the exercise of their vote in elections or referenda. This does not include AI systems to the output of which natural persons are not directly exposed, such as tools used to organise, optimise or structure political campaigns from an administrative or logistical point of view.</t>
  </si>
  <si>
    <t>Reporting scope for high-risk AI systems</t>
  </si>
  <si>
    <t>68</t>
  </si>
  <si>
    <t>This section limits the reporting of serious incidents to those specified in Article 3(49)(c) for high-risk AI systems placed on the market or put into service by providers subject to equivalent reporting obligations under Union legislative instruments. The obligation applies to providers of high-risk AI systems and restricts incident reporting to specific incident types.</t>
  </si>
  <si>
    <t>Restricts incident reporting to specific types for high-risk AI systems, impacting DTIA scope and requirements for cross-border data flows.</t>
  </si>
  <si>
    <t>• [Must] Reporting of serious incidents shall be limited to those referred to in Article 3, point (49)(c)</t>
  </si>
  <si>
    <t>For high-risk AI systems referred to in Annex III that are placed on the market or put into service by providers that are subject to Union legislative instruments laying down reporting obligations equivalent to those set out in this Regulation, the notification of serious incidents shall be limited to those referred to in Article 3, point (49)(c).</t>
  </si>
  <si>
    <t>Notification of serious incidents for high-risk AI systems</t>
  </si>
  <si>
    <t>57</t>
  </si>
  <si>
    <t>National competent authorities</t>
  </si>
  <si>
    <t>For high-risk AI systems that are safety components of devices or themselves devices covered by EU regulations 2017/745 and 2017/746, serious incident notifications must be limited to those specified in Article 3(49)(c) and submitted to the national competent authority chosen by Member States where the incident occurred.</t>
  </si>
  <si>
    <t>Requires specific incident reporting for high-risk AI systems to national authorities, impacting DTIA scope for incident handling across borders.</t>
  </si>
  <si>
    <t>• [Must] For high-risk AI systems that are safety components of devices or themselves devices covered by EU regulations 2017/745 and 2017/746, serious incident notifications must be limited to those specified in Article 3(49)(c)</t>
  </si>
  <si>
    <t>• [Must] Serious incident notifications must be made to the national competent authority chosen by Member States where the incident occurred</t>
  </si>
  <si>
    <t>For high-risk AI systems which are safety components of devices, or are themselves devices, covered by Regulations (EU) 2017/745 and (EU) 2017/746, the notification of serious incidents shall be limited to those referred to in Article 3, point (49)(c) of this Regulation, and shall be made to the national competent authority chosen for that purpose by the Member States where the incident occurred.</t>
  </si>
  <si>
    <t>National authorities notify Commission of serious incidents</t>
  </si>
  <si>
    <t>89</t>
  </si>
  <si>
    <t>National competent authorities must immediately notify the European Commission of any serious incident, regardless of whether action has been taken, in accordance with Article 20 of Regulation (EU) 2019/1020.</t>
  </si>
  <si>
    <t>Requires cross-border incident reporting to the Commission for serious incidents, affecting DTIA scope for incident handling across EU.</t>
  </si>
  <si>
    <t>• [Must] National competent authorities must immediately notify the European Commission of any serious incident
• [Must] Notification must occur regardless of whether action has been taken on the incident</t>
  </si>
  <si>
    <t>• [Condition] Notification must comply with Article 20 of Regulation (EU) 2019/1020</t>
  </si>
  <si>
    <t>National competent authorities shall immediately notify the Commission of any serious incident, whether or not they have taken action on it, in accordance with Article 20 of Regulation (EU) 2019/1020.</t>
  </si>
  <si>
    <t>Amendment considerations for sectoral harmonisation legislation</t>
  </si>
  <si>
    <t>46–49</t>
  </si>
  <si>
    <t>Amendments to the Regulation that affect sectoral Union harmonisation legislation must consider sector-specific regulatory nuances, existing governance structures, conformity assessment procedures, and enforcement mechanisms established within each sector. These amendments must account for the unique regulatory frameworks and authorities operating within each sector.</t>
  </si>
  <si>
    <t>• [Must] Amendments to this Regulation that affect sectoral Union harmonisation legislation must consider regulatory specificities of each sector
• [Must] Amendments must take into account existing governance mechanisms in each sector
• [Must] Amendments must consider existing conformity assessment procedures in each sector</t>
  </si>
  <si>
    <t>• [Must] Amendments must account for existing enforcement mechanisms in each sector
• [Must] Amendments must consider existing authorities established in each sector</t>
  </si>
  <si>
    <t>Any amendment to this Regulation pursuant to paragraph 10, or relevant delegated or implementing acts, which concerns sectoral Union harmonisation legislation listed in Section B of Annex I shall take into account the regulatory specificities of each sector, and the existing governance, conformity assessment and enforcement mechanisms and authorities established therein.</t>
  </si>
  <si>
    <t>Commission enforcement assessment timeline</t>
  </si>
  <si>
    <t>The European Commission must complete an enforcement assessment of the GDPR by 2 August 2031 and report to the European Parliament, Council, and European Economic and Social Committee. This report must consider the first years of the Regulation's application and may include proposals for regulatory amendments regarding enforcement structure and the need for a Union agency to address identified shortcomings.</t>
  </si>
  <si>
    <t>• [Must] By 2 August 2031, the Commission shall carry out an assessment of the enforcement of this Regulation
• [Must] The Commission shall report on the assessment to the European Parliament, Council, and European Economic and Social Committee
• [Must] The report must take into account the first years of application of this Regulation</t>
  </si>
  <si>
    <t>• [May] The report may be accompanied by a proposal for amendment of this Regulation regarding enforcement structure
• [May] The report may include a proposal for a Union agency to resolve identified shortcomings</t>
  </si>
  <si>
    <t>By 2 August 2031, the Commission shall carry out an assessment of the enforcement of this Regulation and shall report on it to the European Parliament, the Council and the European Economic and Social Committee, taking into account the first years of application of this Regulation.</t>
  </si>
  <si>
    <t>Confidentiality for market surveillance information</t>
  </si>
  <si>
    <t>104</t>
  </si>
  <si>
    <t>Any information or documentation obtained by market surveillance authorities must be treated in accordance with the confidentiality obligations set out in Article 78 of the GDPR.</t>
  </si>
  <si>
    <t>Requires confidentiality for market surveillance information, impacting DTIA scope for data handling in AI system oversight.</t>
  </si>
  <si>
    <t>• [Must] Any information or documentation obtained by market surveillance authorities shall be treated in accordance with the confidentiality obligations set out in Article 78</t>
  </si>
  <si>
    <t>Any information or documentation obtained by market surveillance authorities shall be treated in accordance with the confidentiality obligations set out in Article 78.</t>
  </si>
  <si>
    <t>National competent authorities report sandbox establishment to AI Office and Board</t>
  </si>
  <si>
    <t>AI Office</t>
  </si>
  <si>
    <t>National competent authorities must inform the AI Office and Board about establishing an AI regulatory sandbox. They may request support and guidance from these bodies. The AI Office must publish and maintain a list of active and planned sandboxes to promote cross-border cooperation and interaction among sandbox participants.</t>
  </si>
  <si>
    <t>Sandbox establishment reporting requires authorities to notify the AI Office and Board, enabling transparency and cross-border coordination for AI regulatory sandboxes.</t>
  </si>
  <si>
    <t>• [Must] National competent authorities shall inform the AI Office and Board of sandbox establishment
• [May] National competent authorities may ask AI Office and Board for support and guidance</t>
  </si>
  <si>
    <t>• [Must] AI Office shall publish and maintain list of planned and existing sandboxes</t>
  </si>
  <si>
    <t>National competent authorities shall inform the AI Office and the Board of the establishment of a sandbox, and may ask them for support and guidance. The AI Office shall make publicly available a list of planned and existing sandboxes and keep it up to date in order to encourage more interaction in the AI regulatory sandboxes and cross-border cooperation.</t>
  </si>
  <si>
    <t>National competent authorities submit annual sandbox reports to AI Office and Board</t>
  </si>
  <si>
    <t>National competent authorities must submit annual reports to the AI Office and Board starting one year after sandbox establishment until termination. Reports must detail sandbox implementation progress, best practices, incidents, lessons learned, and recommendations. Authorities must publish these reports online, and the Commission may consider them when fulfilling regulatory tasks.</t>
  </si>
  <si>
    <t>Annual reporting requirements ensure transparency and accountability in sandbox operations, facilitating cross-border regulatory alignment and incident management.</t>
  </si>
  <si>
    <t>• [Must] National competent authorities shall submit annual reports to AI Office and Board from one year after sandbox establishment
• [Must] Annual reports must cover progress, results, best practices, incidents, lessons learned, and recommendations</t>
  </si>
  <si>
    <t>• [Must] Reports must be made publicly available online
• [May] Commission may take annual reports into account when exercising regulatory tasks</t>
  </si>
  <si>
    <t>National competent authorities shall submit annual reports to the AI Office and to the Board, from one year after the establishment of the AI regulatory sandbox and every year thereafter until its termination, and a final report. Those reports shall provide information on the progress and results of the implementation of those sandboxes, including best practices, incidents, lessons learnt and recommendations on their setup and, where relevant, on the application and possible revision of this Regulation, including its delegated and implementing acts, and on the application of other Union law supervised by the competent authorities within the sandbox. The national competent authorities shall make those annual reports or abstracts thereof available to the public, online. The Commission shall, where appropriate, take the annual reports into account when exercising its tasks under this Regulation.</t>
  </si>
  <si>
    <t>2025</t>
  </si>
  <si>
    <t>AI model providers must comply with AI regulations from 2 August 2025</t>
  </si>
  <si>
    <t>Cross-border Transfer, International Processing, Data Storage, Security, Cloud Services, Incident Reporting, Breach Notification, Governance, Record Keeping</t>
  </si>
  <si>
    <t>Personal Information, Financial Data, Customer Data, Employee Data, Special Personal Information</t>
  </si>
  <si>
    <t>This section establishes that providers of general-purpose AI models must comply with the AI Regulation starting 2 August 2025. It requires codes of practice to be ready by 2 May 2025 for providers to demonstrate compliance. The AI Office must ensure classification rules are updated with technological developments, and Member States must establish and notify penalties rules by this date for effective implementation.</t>
  </si>
  <si>
    <t>AI model providers must implement compliance measures by May 2025 to meet regulatory requirements for data transfers involving AI systems. The section mandates updated classification rules and penalty frameworks that impact cross-border data flows for AI systems.</t>
  </si>
  <si>
    <t>• [Must] Providers of general-purpose AI models must comply with AI regulations from 2 August 2025
• [Must] Codes of practice must be ready by 2 May 2025 for providers to demonstrate compliance
• [Must] AI Office must ensure classification rules and procedures are updated with technological developments</t>
  </si>
  <si>
    <t>• [Must] Member States must lay down and notify to the Commission rules on penalties including administrative fines
• [Must] Member States must ensure penalties rules are properly and effectively implemented by 2 August 2025</t>
  </si>
  <si>
    <t>Given the rapid pace of technological advancements and adoption of general-purpose AI models, obligations for providers of general-purpose AI models should apply from 2 August 2025. Codes of practice should be ready by 2 May 2025 in view of enabling providers to demonstrate compliance on time.</t>
  </si>
  <si>
    <t>esma_cloud_guidelines (GDPR - Row 8)</t>
  </si>
  <si>
    <t>Applicable entities for cloud outsourcing guidelines</t>
  </si>
  <si>
    <t>ESMA</t>
  </si>
  <si>
    <t>These guidelines apply to competent authorities and specific financial entities including alternative investment fund managers, depositaries, UCITS management companies, central counterparties, trade repositories, investment firms, credit institutions, central securities depositories, credit rating agencies, and securitisation repositories. The scope explicitly lists entities that must comply with cloud outsourcing arrangements under these guidelines.</t>
  </si>
  <si>
    <t>Defines which financial institutions must adhere to cloud outsourcing requirements for data transfers, impacting cross-border data processing when entities operate internationally.</t>
  </si>
  <si>
    <t>• [Must] These guidelines apply to competent authorities and alternative investment fund managers
• [Must] These guidelines apply to depositaries of alternative investment funds
• [Must] These guidelines apply to UCITS management companies
• [Must] These guidelines apply to depositaries of UCITS
• [Must] These guidelines apply to investment companies without designated management companies
• [Must] These guidelines apply to central counterparties including Tier 2 third-country CCPs
• [Must] These guidelines apply to trade repositories</t>
  </si>
  <si>
    <t>• [Must] These guidelines apply to investment firms and credit institutions for investment services
• [Must] These guidelines apply to data reporting services providers
• [Must] These guidelines apply to market operators of trading venues
• [Must] These guidelines apply to central securities depositories
• [Must] These guidelines apply to credit rating agencies
• [Must] These guidelines apply to securitisation repositories
• [Must] These guidelines apply to administrators of critical benchmarks</t>
  </si>
  <si>
    <t>These guidelines apply to competent authorities and to (i) alternative investment fund managers (AIFMs) and depositaries of alternative investment funds (AIFs), (ii) undertakings for collective investment in transferable securities (UCITS), management companies and depositaries of UCITS, and investment companies that have not designated a management company authorised pursuant to UCITS Directive (iii) central counterparties (CCPs), including Tier 2 third-country CCPs which comply with the relevant EMIR requirements, (iv) trade repositories (TRs), (v) investment firms and credit institutions when carrying out investment services and activities, data reporting services providers and market operators of trading venues, (vi) central securities depositories (CSDs), (vii) credit rating agencies (CRAs), (viii) securitisation repositories (SRs), and (ix) administrators of critical benchmarks.</t>
  </si>
  <si>
    <t>Tier 2 CCP compliance with EMIR requirements</t>
  </si>
  <si>
    <t>ESMA will consider compliance with comparable third-country requirements when assessing whether Tier 2 third-country central counterparties satisfy EMIR requirements. This section addresses the applicability of EMIR compliance for cross-border CCPs.</t>
  </si>
  <si>
    <t>Relevant for cross-border data transfers involving central counterparties, as it specifies how third-country CCPs can meet EMIR obligations through local compliance.</t>
  </si>
  <si>
    <t>• [Must] ESMA will take into account compliance with comparable requirements in third countries for Tier 2 third-country CCPs</t>
  </si>
  <si>
    <t>ESMA will also take these guidelines into account when assessing the extent to which compliance with the relevant EMIR requirements by a Tier 2 third-country CCP is satisfied by its compliance with comparable requirements in the third country pursuant to Article 25(2b)(a) of EMIR.</t>
  </si>
  <si>
    <t>Applicable regulatory provisions for cloud outsourcing</t>
  </si>
  <si>
    <t>These guidelines apply to specific provisions from AIFMD, UCITS Directive, EMIR, SFTR, MiFID II, and other regulations. The section lists the regulatory frameworks that must be considered when implementing cloud outsourcing arrangements.</t>
  </si>
  <si>
    <t>Defines which regulatory provisions govern cloud outsourcing, impacting data transfers and processing across different financial jurisdictions.</t>
  </si>
  <si>
    <t>• [Must] These guidelines apply to Articles 15, 18, 20 and 21(8) of AIFMD
• [Must] These guidelines apply to Articles 13, 22, 38, 39, 40, 44, 45, 57(1)(d), 57(2), 57(3), 58, 75, 76, 77, 79, 81, 82 and 98 of Commission Delegated Regulation (EU) 2013/231
• [Must] These guidelines apply to Articles 12(1)(a), 13, 14(1)(c), 22, 22a, 23(2), 30 and 31 of UCITS Directive
• [Must] These guidelines apply to Articles 4(1) to 4(3), 4(5), 5(2), 7, 9, 23(4), 32, 38, 39 and 40 of Commission Directive 2010/43/EU
• [Must] These guidelines apply to Articles 2(2)(j), 3(1), 13(2), 15, 16 and 22 of Commission Delegated Regulation (EU) No 2016/449
• [Must] These guidelines apply to Articles 25(2a) and 25(2b)(a) of EMIR
• [Must] These guidelines apply to Articles 2(2) of EMIR and Article 3(1) of SFTR</t>
  </si>
  <si>
    <t>• [Must] These guidelines apply to Articles 4(1)(1) of MiFID II and Article 4(1)(27) of MiFID II
• [Must] These guidelines apply to Articles 4(1)(63) of MiFID II
• [Must] These guidelines apply to Articles 4(1)(24) of MiFID II
• [Must] These guidelines apply to Articles 2(1)(1) of CSDR
• [Must] These guidelines apply to Articles 3(1)(b) of CRA Regulation
• [Must] These guidelines apply to Articles 2(23) of SECR
• [Must] These guidelines apply to Article 3(1)(25) of Benchmarks Regulation</t>
  </si>
  <si>
    <t>These guidelines apply to the following regulatory provisions: Articles 15, 18, 20 and 21(8) of AIFMD; Articles 13, 22, 38, 39, 40, 44, 45, 57(1)(d), 57(2), 57(3), 58, 75, 76, 77, 79, 81, 82 and 98 of Commission Delegated Regulation (EU) 2013/231; Articles 12(1)(a), 13, 14(1)(c), 22, 22a, 23(2), 30 and 31 of UCITS Directive; Articles 4(1) to 4(3), 4(5), 5(2), 7, 9, 23(4), 32, 38, 39 and 40 of Commission Directive 2010/43/EU; Articles 2(2)(j), 3(1), 13(2), 15, 16 and 22 of Commission Delegated Regulation (EU) No 2016/449; Articles 25(2a) and 25(2b)(a) of EMIR; Articles 2(2) of EMIR and Article 3(1) of SFTR; Articles 4(1)(1) of MiFID II and Article 4(1)(27) of MiFID II; Articles 4(1)(63) of MiFID II; Articles 4(1)(24) of MiFID II; Articles 2(1)(1) of CSDR; Articles 3(1)(b) of CRA Regulation; Articles 2(23) of SECR; and Article 3(1)(25) of Benchmarks Regulation.</t>
  </si>
  <si>
    <t>Effective date and scope of cloud outsourcing guidelines</t>
  </si>
  <si>
    <t>4–9</t>
  </si>
  <si>
    <t>These guidelines apply from 31 July 2021 to all cloud outsourcing arrangements. The scope includes specific financial entities that must comply with cloud service provider arrangements.</t>
  </si>
  <si>
    <t>Sets the effective date and scope for cloud outsourcing, impacting data transfers and processing across financial institutions.</t>
  </si>
  <si>
    <t>• [Must] These guidelines apply from 31 July 2021 to all cloud outsourcing arrangements</t>
  </si>
  <si>
    <t>These guidelines apply from 31 July 2021 to all cloud outsourcing arrangements (cont.)</t>
  </si>
  <si>
    <t>Purpose of cloud outsourcing guidelines</t>
  </si>
  <si>
    <t>These guidelines aim to establish consistent supervisory practices within the European System of Financial Supervision and ensure uniform application of requirements for cloud outsourcing arrangements. The objectives include identifying, addressing, and monitoring risks associated with cloud outsourcing.</t>
  </si>
  <si>
    <t>Defines the purpose of cloud outsourcing guidelines, emphasizing risk management and consistent application of data transfer requirements across financial entities.</t>
  </si>
  <si>
    <t>• [Must] These guidelines aim to establish consistent, efficient and effective supervisory practices within the European System of Financial Supervision
• [Must] These guidelines aim to ensure common, uniform and consistent application of requirements for cloud outsourcing</t>
  </si>
  <si>
    <t>• [Must] These guidelines aim to help firms identify, address and monitor risks from cloud outsourcing arrangements</t>
  </si>
  <si>
    <t>These guidelines are based on Article 16(1) of the ESMA Regulation. The objectives of these guidelines are to establish consistent, efficient and effective supervisory practices within the European System of Financial Supervision (ESFS) and to ensure the common, uniform and consistent application of the requirements referred to in Section 1.1 under the heading 'What?' where firms outsource to CSPs. In particular, these guidelines aim to help firms and competent authorities identify, address and monitor the risks and challenges arising from cloud outsourcing arrangements, from making the decision to outsource, selecting a cloud service provider, monitoring outsourced activities to providing for exit strategies.</t>
  </si>
  <si>
    <t>Competent authorities must incorporate cloud guidelines into national frameworks</t>
  </si>
  <si>
    <t>Cloud Services, Governance, Record Keeping</t>
  </si>
  <si>
    <t>Competent authorities must integrate these cloud service provider guidelines into their national legal and supervisory frameworks. They must ensure compliance through ongoing supervision, particularly for firms targeted by specific guidelines. This applies to authorities overseeing financial institutions and cloud service providers within the EU.</t>
  </si>
  <si>
    <t>Competent authorities must ensure national frameworks align with cloud guidelines to facilitate cross-border cloud service compliance. This affects data transfer assessments for cloud providers operating in multiple jurisdictions.</t>
  </si>
  <si>
    <t>• [Must] Competent authorities must incorporate these guidelines into national legal and supervisory frameworks</t>
  </si>
  <si>
    <t>• [Must] Competent authorities must ensure firms comply with guidelines through supervision</t>
  </si>
  <si>
    <t>7. Competent authorities to which these guidelines apply should comply by incorporating them into their national legal and/or supervisory frameworks as appropriate, including where particular guidelines are directed primarily at firms. In this case, competent authorities should ensure, through their supervision, that firms comply with the guidelines.</t>
  </si>
  <si>
    <t>ESMA supervises cloud providers and data reporting services</t>
  </si>
  <si>
    <t>ESMA directly supervises cloud service providers, trading repositories, trading venues, and tier 2 third-country cloud providers to assess compliance with these guidelines. From January 2022, ESMA also supervises data reporting services and administrators of EU critical benchmarks. This ensures oversight of entities handling financial data across borders.</t>
  </si>
  <si>
    <t>ESMA's direct supervision of cloud providers and data reporting services impacts cross-border data transfers by requiring adherence to specific cloud governance standards for financial data.</t>
  </si>
  <si>
    <t>• [Must] ESMA will assess the application of these guidelines by CRAs, TRs, SRs, Tier 2 third-country CCPs</t>
  </si>
  <si>
    <t>• [Must] ESMA will assess the application of these guidelines by data reporting services providers and administrators of EU critical benchmarks from 1 January 2022</t>
  </si>
  <si>
    <t>8. Through its ongoing direct supervision, ESMA will assess the application of these guidelines by CRAs, TRs, SRs, Tier 2 third-country CCPs and, from 1 January 2022, data reporting services providers and administrators of EU critical benchmarks.</t>
  </si>
  <si>
    <t>Competent authorities must notify ESMA of compliance status within two months</t>
  </si>
  <si>
    <t>Competent authorities must notify ESMA within two months of the guidelines' publication in EU languages whether they comply with the guidelines, intend to comply but do not yet, or do not comply and have no intention to comply. This notification is required for all authorities that apply these guidelines to ensure transparency in compliance status.</t>
  </si>
  <si>
    <t>Competent authorities must report compliance status to ESMA within two months, which affects data transfer assessments by ensuring authorities are aware of non-compliance risks for cloud providers.</t>
  </si>
  <si>
    <t>• [Must] Competent authorities must notify ESMA within two months of publication in EU languages whether they comply, intend to comply but do not yet, or do not comply and have no intention to comply</t>
  </si>
  <si>
    <t>9. Within two months of the date of publication of the guidelines on ESMA's website in all EU official languages, competent authorities to which these guidelines apply must notify ESMA whether they (i) comply, (ii) do not comply but intend to comply, or (iii) do not comply and do not intend to comply with the guidelines.</t>
  </si>
  <si>
    <t>Competent authorities must explain non-compliance reasons to ESMA</t>
  </si>
  <si>
    <t>If competent authorities do not comply with the guidelines, they must notify ESMA within two months of publication in EU languages with reasons for non-compliance. This includes using a template provided by ESMA to document the reasons, ensuring transparency and accountability for non-compliant authorities.</t>
  </si>
  <si>
    <t>Competent authorities must provide detailed reasons for non-compliance to ESMA, which impacts data transfer assessments by identifying jurisdictional gaps in cloud service compliance.</t>
  </si>
  <si>
    <t>• [Must] Competent authorities must notify ESMA within two months of publication in EU languages of reasons for non-compliance</t>
  </si>
  <si>
    <t>• [Must] Competent authorities must use ESMA's template to document non-compliance reasons</t>
  </si>
  <si>
    <t>10. In case of non-compliance, competent authorities must also notify ESMA within two months of the date of publication of the guidelines on ESMA's website in all EU official languages of their reasons for not complying with the guidelines. A template for notifications is available on ESMA's website. Once the template has been filled in, it shall be transmitted to ESMA.</t>
  </si>
  <si>
    <t>Firms not required to report compliance with cloud guidelines</t>
  </si>
  <si>
    <t>Cloud Services, Governance</t>
  </si>
  <si>
    <t>Firms are not required to report whether they comply with these cloud service provider guidelines. This means firms have no obligation to inform ESMA or competent authorities about their compliance status with the guidelines, reducing reporting burdens for financial institutions.</t>
  </si>
  <si>
    <t>Firms do not need to report compliance with cloud guidelines, which simplifies data transfer assessments by removing reporting obligations for cloud service providers.</t>
  </si>
  <si>
    <t>• [Must Not] Firms are not required to report compliance with these guidelines</t>
  </si>
  <si>
    <t>11. Firms are not required to report whether they comply with these guidelines.</t>
  </si>
  <si>
    <t>Firms must have updated cloud outsourcing strategy</t>
  </si>
  <si>
    <t>Firms must maintain a defined and up-to-date cloud outsourcing strategy that aligns with their internal policies, information security practices, and operational risk management frameworks. This ensures cloud services meet regulatory standards and protect financial data.</t>
  </si>
  <si>
    <t>Firms must have a cloud outsourcing strategy that meets internal security and risk management standards, which is critical for data transfer impact assessments involving cloud services.</t>
  </si>
  <si>
    <t>• [Must] Firms must have a defined and up-to-date cloud outsourcing strategy
• [Must] Cloud outsourcing strategy must be consistent with firm's internal policies and processes</t>
  </si>
  <si>
    <t>• [Must] Cloud outsourcing strategy must align with information and communication technology, information security, and operational risk management</t>
  </si>
  <si>
    <t>12. A firm should have a defined and up-to-date cloud outsourcing strategy that is consistent with the firm's relevant strategies and internal policies and processes, including in relation to information and communication technology, information security, and operational risk management.</t>
  </si>
  <si>
    <t>Cloud outsourcing responsibility assignment and oversight</t>
  </si>
  <si>
    <t>Firms must clearly assign responsibilities for cloud outsourcing documentation, management, and control within their organization. They must allocate sufficient resources to ensure compliance with guidelines and all applicable legal requirements. Firms should establish an oversight function or designate senior staff accountable to management for monitoring cloud outsourcing risks, considering business scale, complexity, and financial system risks. Small firms must ensure clear task division for oversight.</t>
  </si>
  <si>
    <t>This section mandates clear oversight of cloud outsourcing arrangements to ensure risks are managed appropriately for data transfers across borders, particularly for critical functions.</t>
  </si>
  <si>
    <t>• [Must] Clearly assign responsibilities for documentation, management and control of cloud outsourcing arrangements
• [Must] Allocate sufficient resources to ensure compliance with guidelines and legal requirements
• [Must] Establish cloud outsourcing oversight function or designate senior staff accountable to management</t>
  </si>
  <si>
    <t>• [Must] Consider business nature, scale, complexity and financial system risks when managing cloud outsourcing
• [Must] Ensure management body has technical skills to understand cloud outsourcing risks
• [Must] Small firms must ensure clear division of tasks and responsibilities for oversight</t>
  </si>
  <si>
    <t>13. A firm should: a) clearly assign the responsibilities for the documentation, management and control of cloud outsourcing arrangements within its organisation; b) allocate sufficient resources to ensure compliance with these guidelines and all of the legal requirements applicable to its cloud outsourcing arrangements; c) establish a cloud outsourcing oversight function or designate senior staff members who are directly accountable to the management body and responsible for managing and overseeing the risks of cloud outsourcing arrangements.</t>
  </si>
  <si>
    <t>Cloud outsourcing performance and security monitoring</t>
  </si>
  <si>
    <t>Cloud Services, Security</t>
  </si>
  <si>
    <t>Firms must monitor CSP performance, security measures, and adherence to service levels on a risk-based approach, prioritizing critical or important outsourced functions. This monitoring ensures ongoing compliance with cloud outsourcing arrangements and helps identify potential security or operational issues.</t>
  </si>
  <si>
    <t>This section requires firms to monitor cloud service providers' performance and security to ensure data transfers remain secure and compliant across borders.</t>
  </si>
  <si>
    <t>• [Must] Monitor performance of activities, security measures and adherence to agreed service levels by CSPs</t>
  </si>
  <si>
    <t>14. A firm should monitor the performance of activities, the security measures and the adherence to agreed service levels by its CSPs. This monitoring should be risk-based, with a primary focus on the critical or important functions that have been outsourced.</t>
  </si>
  <si>
    <t>Periodic reassessment of critical cloud functions</t>
  </si>
  <si>
    <t>Firms must periodically reassess whether cloud outsourcing arrangements concern critical or important functions, and trigger reassessment whenever the risk, nature, or scale of an outsourced function changes materially. This ensures ongoing alignment with evolving business needs and risks.</t>
  </si>
  <si>
    <t>This section requires regular reassessment of cloud functions to ensure critical data transfers remain appropriately safeguarded across borders.</t>
  </si>
  <si>
    <t>• [Must] Periodically reassess whether cloud outsourcing arrangements concern critical or important functions</t>
  </si>
  <si>
    <t>• [Must] Reassess whenever risk, nature or scale of outsourced function has materially changed</t>
  </si>
  <si>
    <t>15. A firm should reassess whether its cloud outsourcing arrangements concern a critical or important function periodically and whenever the risk, nature or scale of an outsourced function has materially changed.</t>
  </si>
  <si>
    <t>Cloud outsourcing register maintenance</t>
  </si>
  <si>
    <t>Cloud Services, Record Keeping</t>
  </si>
  <si>
    <t>Firms must maintain an updated register of all cloud outsourcing arrangements, distinguishing between critical/important and non-critical functions. The register must include reasons for classification, and maintain records of terminated arrangements for an appropriate period, considering national law.</t>
  </si>
  <si>
    <t>This section mandates detailed documentation of cloud data transfers to ensure compliance with cross-border data transfer requirements.</t>
  </si>
  <si>
    <t>• [Must] Maintain updated register of information on all cloud outsourcing arrangements
• [Must] Distinguish between critical/important and other outsourcing arrangements</t>
  </si>
  <si>
    <t>• [Must] Provide brief summary of reasons why outsourced function is critical or important
• [Must] Maintain record of terminated cloud outsourcing arrangements for appropriate time period</t>
  </si>
  <si>
    <t>16. A firm should maintain an updated register of information on all its cloud outsourcing arrangements, distinguishing between the outsourcing of critical or important functions and other outsourcing arrangements. When distinguishing between the outsourcing of critical or important functions and other outsourcing arrangements, it should provide a brief summary of the reasons why the outsourced function is or is not considered critical or important. Taking into account national law, a firm should also maintain a record of terminated cloud outsourcing arrangements for an appropriate time period.</t>
  </si>
  <si>
    <t>Critical cloud outsourcing register details</t>
  </si>
  <si>
    <t>For critical cloud outsourcing arrangements, firms must include specific details in their register: reference numbers, dates, outsourced function descriptions, data types, criticality status, CSP information, data storage locations, risk assessment dates, and approval details. This ensures comprehensive tracking of high-risk data transfers.</t>
  </si>
  <si>
    <t>This section specifies detailed requirements for registers of critical cloud data transfers to ensure robust cross-border data protection.</t>
  </si>
  <si>
    <t>• [Must] Include reference number for each cloud outsourcing arrangement
• [Must] Provide start date and renewal dates for CSP and firm
• [Must] Describe outsourced function including data types and whether personal data is involved
• [Must] Assign category reflecting nature of outsourced function
• [Must] Indicate whether outsourced function supports time-critical business operations
• [Must] Provide CSP name, brand, country, registration details, address and parent company
• [Must] Specify governing law and jurisdiction choice</t>
  </si>
  <si>
    <t>• [Must] Detail cloud services, deployment models and data storage locations
• [Must] Record date of most recent criticality assessment and next planned assessment
• [Must] Include date of most recent CSP risk assessment with summary and next planned date
• [Must] Identify individual or decision-making body that approved the arrangement
• [Must] List sub-outsourcers for critical functions including locations and data storage
• [Must] Provide estimated annual budget cost of cloud outsourcing arrangement</t>
  </si>
  <si>
    <t>17. For the cloud outsourcing arrangements concerning critical or important functions, the register should include at least the following information for each cloud outsourcing arrangement: a) a reference number; b) the start date and, as applicable, the next contract renewal date, the end date and/or notice periods for the CSP and for the firm; c) a brief description of the outsourced function, including the data that is outsourced and whether this data includes personal data (for example by providing a yes or no in a separate data field); d) a category assigned by the firm that reflects the nature of the outsourced function (for example information technology function, control function), which should facilitate the identification of the different types of cloud outsourcing arrangements; e) whether the outsourced function supports business operations that are time-critical; f) the name and the brand name (if any) of the CSP, its country of registration, its corporate registration number, its legal entity identifier (where available), its registered address, its relevant contact details and the name of its parent company (if any); g) the governing law of the cloud outsourcing arrangement and, if any, the choice of jurisdiction; h) the type of cloud services and deployment models and the specific nature of the data to be held and the locations (namely regions or countries) where such data may be stored; i) the date of the most recent assessment of the criticality or importance of the outsourced function and the date of the next planned assessment; j) the date of the most recent risk assessment/audit of the CSP together with a brief summary of the main results, and the date of the next planned risk assessment/audit; k) the individual or decision-making body in the firm that approved the cloud outsourcing arrangement; l) where applicable, the names of any sub-outsourcer to which a critical or important function (or material parts thereof) is sub-outsourced, including the countries where the sub-outsourcers are registered, where the sub-outsourced service will be performed, and the locations (namely regions or countries) where the data will be stored; m) the estimated annual budget cost of the cloud outsourcing arrangement.</t>
  </si>
  <si>
    <t>Non-critical cloud outsourcing register details</t>
  </si>
  <si>
    <t>For non-critical cloud outsourcing arrangements, firms must define the register details based on the nature, scale, and complexity of risks inherent to the outsourced function. This ensures appropriate level of detail for lower-risk cloud activities.</t>
  </si>
  <si>
    <t>This section specifies that non-critical cloud data transfers require less detailed documentation than critical transfers, reducing DTIA complexity for lower-risk scenarios.</t>
  </si>
  <si>
    <t>• [Must] Define information to include in register based on nature, scale and complexity of risks</t>
  </si>
  <si>
    <t>18. For the cloud outsourcing arrangements concerning non-critical or non-important functions, a firm should define the information to be included in the register based on the nature, scale and complexity of the risks inherent to the outsourced function.</t>
  </si>
  <si>
    <t>Pre-cloud outsourcing risk assessment requirements</t>
  </si>
  <si>
    <t>Firms must assess if cloud outsourcing affects critical functions, identify all relevant risks, conduct due diligence on prospective cloud service providers (CSPs), and evaluate potential conflicts of interest before entering any cloud outsourcing arrangement. These obligations apply to financial institutions and firms subject to the ESMA guidelines.</t>
  </si>
  <si>
    <t>Requires firms to conduct comprehensive risk assessments before cloud outsourcing, particularly for critical functions, to ensure adequate safeguards for data security and operational continuity across borders.</t>
  </si>
  <si>
    <t>• [Must] Assess if cloud outsourcing arrangement concerns critical or important function
• [Must] Identify and assess all relevant risks of cloud outsourcing arrangement</t>
  </si>
  <si>
    <t>• [Must] Undertake appropriate due diligence on prospective cloud service provider
• [Must] Identify and assess any conflict of interest arising from outsourcing</t>
  </si>
  <si>
    <t>Before entering into any cloud outsourcing arrangement, a firm should: a) assess if the cloud outsourcing arrangement concerns a critical or important function; b) identify and assess all relevant risks of the cloud outsourcing arrangement; c) undertake appropriate due diligence on the prospective CSP; d) identify and assess any conflict of interest that the outsourcing may cause.</t>
  </si>
  <si>
    <t>Proportionate pre-outsourcing due diligence requirements</t>
  </si>
  <si>
    <t>Firms must ensure pre-outsourcing analysis and due diligence on cloud service providers (CSPs) are proportionate to the function's nature, scale, complexity, and inherent risks. This includes assessing impacts on operational, legal, compliance, and reputational risks to maintain adequate safeguards for critical functions.</t>
  </si>
  <si>
    <t>Mandates that due diligence must be proportionate to the function's risk profile, ensuring that cloud outsourcing arrangements do not compromise financial institution security or compliance across borders.</t>
  </si>
  <si>
    <t>• [Must] Pre-outsourcing analysis and due diligence on CSP should be proportionate to function's nature, scale, complexity and inherent risks</t>
  </si>
  <si>
    <t>• [Must] Include assessment of potential impact on operational, legal, compliance and reputational risks</t>
  </si>
  <si>
    <t>The pre-outsourcing analysis and due diligence on the prospective CSP should be proportionate to the nature, scale and complexity of the function that the firm intends to outsource and the risks inherent to this function. It should include at least an assessment of the potential impact of the cloud outsourcing arrangement on the firm's operational, legal, compliance, and reputational risks.</t>
  </si>
  <si>
    <t>Enhanced risk assessment for critical cloud functions</t>
  </si>
  <si>
    <t>Firms must conduct detailed risk assessments for cloud outsourcing arrangements involving critical functions, covering technology, security, business continuity, legal compliance, reputational risks, operational risks, and oversight limitations. This includes evaluating impacts on data portability, political stability, and cross-border data transfers to ensure compliance with GDPR.</t>
  </si>
  <si>
    <t>Requires comprehensive risk analysis for critical functions, including cross-border data transfer implications and political stability assessments, to ensure GDPR compliance in cloud outsourcing arrangements.</t>
  </si>
  <si>
    <t>• [Must] Assess all relevant risks arising from cloud outsourcing arrangement, including information security, business continuity, legal compliance, reputational risks, operational risks and oversight limitations
• [Must] Evaluate risks related to selected cloud service, deployment models, migration processes, data sensitivity and security measures
• [Must] Assess risks from interoperability of systems and applications with CSP
• [Must] Evaluate data portability capacity to transfer data between CSPs or back to firm</t>
  </si>
  <si>
    <t>• [Must] Assess political stability, security situation, legal system, insolvency laws, data protection laws and GDPR transfer conditions of countries where data is stored
• [Must] Evaluate concentration risks from multiple firms using same CSP or sub-outsourcing chains
• [Must] Weigh expected benefits and costs of cloud outsourcing against significant risks</t>
  </si>
  <si>
    <t>In case the cloud outsourcing arrangement concerns critical or important functions, a firm should also: a) assess all relevant risks that may arise as a result of the cloud outsourcing arrangement, including risks in relation to information and communication technology, information security, business continuity, legal and compliance, reputational risks, operational risks, and possible oversight limitations for the firm, arising from: i. the selected cloud service and the proposed deployment models; ii. the migration and/or the implementation processes; iii. the sensitivity of the function and the related data which are under consideration to be outsourced and the security measures which would need to be taken; iv. the interoperability of the systems and applications of the firm and the CSP, namely their capacity to exchange information and mutually use the information that has been exchanged; v. the portability of the data of the firm, namely the capacity to easily transfer the firm's data from one CSP to another or back to the firm; vi. the political stability, the security situation and the legal system (including the law enforcement provisions in place, the insolvency law provisions that would apply in case of the CSP's bankruptcy, the laws on data protection in force and whether the conditions for transfer of personal data to a third country under the GDPR are met) of the countries (within or outside the EU) where the outsourced functions would be provided and where the outsourced data would be stored; in case of sub-outsourcing, the additional risks that may arise if the sub-outsourcer is located in a third country or a different country from the CSP and, in case of a sub-outsourcing chain, any additional risk which may arise, including in relation to the absence of a direct contract between the firm and the sub-outsourcer performing the outsourced function; vii. possible concentration within the firm (including, where applicable, at the level of its group,) caused by multiple cloud outsourcing arrangements with the same CSP as well as possible concentration within the EU financial sector, caused by multiple firms making use of the same CSP or a small group of CSPs. When assessing the concentration risk, the firm should take into account all its cloud outsourcing arrangements (and, where applicable, the cloud outsourcing arrangements at the level of its group) with that CSP; b) take into account the expected benefits and costs of the cloud outsourcing arrangement, including weighing any significant risks which may be reduced or better managed against any significant risks which may arise as a result of the cloud outsourcing arrangement.</t>
  </si>
  <si>
    <t>CSP suitability evaluation for critical functions</t>
  </si>
  <si>
    <t>Firms must evaluate CSP suitability for critical functions by assessing business reputation, skills, resources, organizational structure, and relevant authorizations. This includes evaluating information security practices, service support, and business continuity/disaster recovery plans to ensure reliable and professional service delivery.</t>
  </si>
  <si>
    <t>Requires firms to verify CSP capabilities and security measures to ensure critical functions remain compliant with GDPR when outsourced to cloud services across borders.</t>
  </si>
  <si>
    <t>• [Must] Ensure CSP has business reputation, skills, resources (human, IT, financial), organizational structure and relevant authorizations to perform critical functions reliably
• [Must] Assess CSP's management of information security and protection of personal, confidential or sensitive data</t>
  </si>
  <si>
    <t>• [Must] Evaluate CSP's service support including support plans and contacts, and incident management processes
• [Must] Assess CSP's business continuity and disaster recovery plans</t>
  </si>
  <si>
    <t>In case of outsourcing of critical or important functions, the due diligence should include an evaluation of the suitability of the CSP. When assessing the suitability of the CSP, a firm should ensure that the CSP has the business reputation, the skills, the resources (including human, IT and financial), the organisational structure and, if applicable, the relevant authorisation(s) or registration(s) to perform the critical or important function in a reliable and professional manner and to meet its obligations over the duration of the cloud outsourcing arrangement. Additional factors to be considered in the due diligence on the CSP include, but are not limited to: a) the management of information security and in particular the protection of personal, confidential or otherwise sensitive data; b) the service support, including support plans and contacts, and incident management processes; c) the business continuity and disaster recovery plans;</t>
  </si>
  <si>
    <t>Certification and audit support for due diligence</t>
  </si>
  <si>
    <t>Firms may use international standards certifications and external or internal audit reports to support their pre-outsourcing due diligence, provided such measures are appropriate for the specific cloud outsourcing arrangement.</t>
  </si>
  <si>
    <t>Allows firms to leverage third-party certifications and audits to validate cloud service provider compliance, enhancing the robustness of data transfer impact assessments for critical functions.</t>
  </si>
  <si>
    <t>• [May] Use certifications based on international standards and external or internal audit reports to support due diligence</t>
  </si>
  <si>
    <t>Where appropriate and in order to support the due diligence performed, a firm may also use certifications based on international standards and external or internal audit reports.</t>
  </si>
  <si>
    <t>Review due diligence after significant CSP changes</t>
  </si>
  <si>
    <t>Firms must promptly review or re-perform pre-outsourcing analysis and due diligence on CSPs if they become aware of significant deficiencies or changes to services provided by the CSP or the CSP's situation.</t>
  </si>
  <si>
    <t>Mandates ongoing monitoring of CSP performance and compliance, ensuring that data transfer impact assessments remain current and effective after significant changes to cloud service providers.</t>
  </si>
  <si>
    <t>• [Must] Promptly review or re-perform pre-outsourcing analysis and due diligence on CSP when significant deficiencies or changes to services or CSP situation are identified</t>
  </si>
  <si>
    <t>If a firm becomes aware of significant deficiencies and/or significant changes to the services provided or to the situation of the CSP, the pre-outsourcing analysis and due diligence on the CSP should be promptly reviewed or where needed re-performed.</t>
  </si>
  <si>
    <t>Risk-based due diligence for re-assessed CSPs</t>
  </si>
  <si>
    <t>When a firm renews an existing arrangement with a CSP that has already been assessed, it must determine on a risk-based approach whether new due diligence is required. This applies to firms outsourcing critical functions to cloud service providers. The assessment must consider the specific risks associated with the renewed arrangement to ensure ongoing compliance with data protection standards.</t>
  </si>
  <si>
    <t>Requires firms to reassess cloud provider risks before renewing agreements to ensure continued data protection compliance without unnecessary disruption.</t>
  </si>
  <si>
    <t>• [Must] Determine on a risk-based approach whether new due diligence is needed</t>
  </si>
  <si>
    <t>25. In case a firm enters into a new arrangement or renews an existing arrangement with a CSP that has already been assessed, it should determine, on a risk-based approach, whether a new due diligence is needed.</t>
  </si>
  <si>
    <t>Minimum contractual terms for cloud outsourcing</t>
  </si>
  <si>
    <t>Cloud Services, Incident Reporting, Breach Notification, Security</t>
  </si>
  <si>
    <t>When outsourcing critical or important functions, firms must include specific contractual terms in written agreements with CSPs. These terms cover function description, agreement duration, governing law, financial obligations, sub-outsourcing rules, data location, security provisions, performance monitoring rights, service levels, reporting obligations, incident management, insurance requirements, business continuity plans, and audit rights. The clauses ensure transparency and accountability in cloud service arrangements.</t>
  </si>
  <si>
    <t>Defines mandatory contractual terms for cloud providers to ensure data security, compliance, and operational continuity during outsourcing activities.</t>
  </si>
  <si>
    <t>• [Must] Include a clear description of the outsourced function
• [Must] Specify start and end dates of the agreement and notice periods
• [Must] State governing law and jurisdiction choice
• [Must] Detail financial obligations of both parties
• [Must] Define sub-outsourcing permissions and conditions
• [Must] Specify data processing and storage locations and change notification requirements
• [Must] Include information security and data protection provisions
• [Must] Grant firm rights to monitor CSP performance regularly</t>
  </si>
  <si>
    <t>• [Must] Set agreed service levels with performance targets
• [Must] Define CSP reporting obligations to the firm
• [Must] Include incident management provisions and timely reporting
• [Must] Specify mandatory insurance requirements and coverage levels
• [Must] Require business continuity and disaster recovery plans
• [Must] Grant firm access rights to inspect CSP systems and data
• [Must] Ensure data can be accessed, recovered, and returned to the firm</t>
  </si>
  <si>
    <t>28. In case of outsourcing of critical or important functions, the written agreement should include at least: a) a clear description of the outsourced function; b) the start date and end date, where applicable, of the agreement and the notice periods for the CSP and for the firm; c) the governing law of the agreement and, if any, the choice of jurisdiction; d) the firm's and the CSP's financial obligations; e) whether sub-outsourcing is permitted, and, if so, under which conditions, having regard to Guideline 7; f) the location(s) (namely regions or countries) where the outsourced function will be provided and where data will be processed and stored, and the conditions to be met, including a requirement to notify the firm if the CSP proposes to change the location(s); g) provisions regarding information security and protection of personal data, having regard to Guideline 4; h) the right for the firm to monitor the CSP's performance under the cloud outsourcing arrangement on a regular basis, having regard to Guideline 6; i) the agreed service levels, which should include, quantitative and qualitative performance targets in order to allow for timely monitoring so that appropriate corrective actions can be taken without undue delay if agreed service levels are not met; j) the reporting obligations of the CSP to the firm and, as appropriate, the obligations to submit reports relevant for the firm's security function and key functions, such as reports prepared by the internal audit function of the CSP; k) provisions regarding the management of incidents by the CSP, including the obligation for the CSP to report to the firm without undue delay incidents that have affected the operation of the firm's contracted service; l) whether the CSP should take mandatory insurance against certain risks and, if applicable, the level of insurance cover requested; m) the requirements for the CSP to implement and test business continuity and disaster recovery plans; n) the requirement for the CSP to grant the firm, its competent authorities and any other person appointed by the firm or the competent authorities the right to access ('access rights') and to inspect ('audit rights') the relevant information, premises, systems and devices of the CSP to the extent necessary to monitor the CSP's performance under the cloud outsourcing arrangement and its compliance with the applicable regulatory and contractual requirements, having regard to Guideline 6; o) provisions to ensure that the data that the CSP processes or stores on behalf of the firm can be accessed, recovered and returned to the firm as needed, having regard to Guideline 5.</t>
  </si>
  <si>
    <t>Ongoing information security monitoring</t>
  </si>
  <si>
    <t>Firms must establish information security requirements in internal policies and procedures, and within cloud outsourcing agreements. These requirements must be proportionate to the function's nature, scale, complexity, and associated risks. Firms must continuously monitor compliance with these security measures to protect confidential, personal, and sensitive data.</t>
  </si>
  <si>
    <t>Mandates continuous monitoring of information security to ensure data protection during cloud outsourcing, aligning with risk-based approaches.</t>
  </si>
  <si>
    <t>• [Must] Set information security requirements in internal policies and procedures
• [Must] Include information security requirements in cloud outsourcing agreements</t>
  </si>
  <si>
    <t>• [Must] Monitor compliance with security requirements on an ongoing basis
• [Must] Ensure requirements are proportionate to function nature, scale, complexity, and risks</t>
  </si>
  <si>
    <t>29. A firm should set information security requirements in its internal policies and procedures and within the cloud outsourcing written agreement and monitor compliance with these requirements on an ongoing basis, including to protect confidential, personal or otherwise sensitive data. These requirements should be proportionate to the nature, scale and complexity of the function that the firm outsources to the CSP and the risks inherent to this function.</t>
  </si>
  <si>
    <t>Information security requirements for critical functions</t>
  </si>
  <si>
    <t>Cloud Services, Security, Encryption, Access Control</t>
  </si>
  <si>
    <t>For critical or important functions, firms must implement specific information security requirements in cloud outsourcing agreements. These include clear role allocation, strong authentication mechanisms, encryption for data in transit, memory, at rest, and backups, network segregation, secure API integrations, business continuity and disaster recovery controls, data location strategies, and compliance verification with internationally recognized standards. These measures ensure robust data protection and operational resilience.</t>
  </si>
  <si>
    <t>Specifies detailed security controls for critical cloud functions to mitigate risks and ensure data integrity during outsourcing.</t>
  </si>
  <si>
    <t>• [Must] Ensure clear allocation of information security roles and responsibilities
• [Must] Implement strong authentication mechanisms and access controls
• [Must] Use encryption technologies for data in transit, memory, at rest, and backups
• [Must] Implement appropriate key management solutions
• [Must] Ensure appropriate network availability and segregation</t>
  </si>
  <si>
    <t>• [Must] Secure application programming interfaces (APIs) with robust policies
• [Must] Ensure effective business continuity and disaster recovery controls
• [Must] Adopt a risk-based approach to data storage and processing locations
• [Must] Verify CSP compliance with internationally recognized security standards</t>
  </si>
  <si>
    <t>30. For that purpose, in case of outsourcing of critical or important functions, and without prejudice to the applicable requirements under GDPR, a firm, applying a risk-based approach, should at least: a) information security organisation: ensure that there is a clear allocation of information security roles and responsibilities between the firm and the CSP, including in relation to threat detection, incident management and patch management, and ensure that the CSP is effectively able to fulfil its roles and responsibilities; b) identity and access management: ensure that strong authentication mechanisms (for example multi-factor authentication) and access controls are in place with a view to prevent unauthorised access to the firm's data and back-end cloud resources; c) encryption and key management: ensure that relevant encryption technologies are used, where necessary, for data in transit, data in memory, data at rest and data back-ups, in combination with appropriate key management solutions to limit the risk of non-authorised access to the encryption keys; in particular, the firm should consider state-of-the-art technology and processes when selecting its key management solution; d) operations and network security: consider appropriate levels of network availability, network segregation (for example tenant isolation in the shared environment of the cloud, operational separation as regards the web, application logic, operating system, network, Data Base Management System (DBMS) and storage layers) and processing environments (for example test, User Acceptance Testing, development, production); e) application programming interfaces (API): consider mechanisms for the integration of the cloud services with the systems of the firm to ensure security of APIs (for example establishing and maintaining information security policies and procedures for APIs across multiple system interfaces, jurisdictions, and business functions to prevent unauthorised disclosure, modification or destruction of data); f) business continuity and disaster recovery: ensure that effective business continuity and disaster recovery controls are in place (for example by setting minimum capacity requirements, selecting hosting options that are geographically spread, with the capability to switch from one to the other, or requesting and reviewing documentation showing the transport route of the firm's data among the CSP's systems, as well as considering the possibility to replicate machine images to an independent storage location, which is sufficiently isolated from the network or taken offline); g) data location: adopt a risk-based approach to data storage and data processing location(s) (namely regions or countries); h) compliance &amp; monitoring: verify that the CSP complies with internationally recognised information security standards and has implemented appropriate information security controls (for example by requesting the CSP to provide evidence that it conducts relevant information security reviews and by performing regular assessments and tests on the CSP's information security arrangements).</t>
  </si>
  <si>
    <t>Exit strategy for cloud outsourcing</t>
  </si>
  <si>
    <t>Firms must develop comprehensive exit plans for cloud outsourcing arrangements to ensure seamless transition without business disruption or compliance detriment. These plans must cover documented exit strategies, alternative solutions, transition protocols, and contractual obligations for data transfer. The exit strategy must maintain data confidentiality, integrity, and availability while complying with applicable legislation.</t>
  </si>
  <si>
    <t>Requires firms to prepare exit strategies for cloud providers to ensure data continuity and regulatory compliance during transitions.</t>
  </si>
  <si>
    <t>• [Must] Develop comprehensive, documented, and tested exit plans
• [Must] Identify alternative solutions and develop transition plans for data transfer</t>
  </si>
  <si>
    <t>• [Must] Ensure cloud outsourcing agreements include obligations for CSP to support orderly data transfer
• [Must] Include secure data deletion from CSP and sub-outsourcers</t>
  </si>
  <si>
    <t>31. In case of outsourcing of critical or important functions, a firm should ensure that it is able to exit the cloud outsourcing arrangement without undue disruption to its business activities and services to its clients, and without any detriment to its compliance with its obligations under the applicable legislation, as well as the confidentiality, integrity and availability of its data. For that purpose, a firm should: a) develop exit plans that are comprehensive, documented and sufficiently tested. These plans should be updated as needed, including in case of changes in the outsourced function; b) identify alternative solutions and develop transition plans to remove the outsourced function and data from the CSP and, where applicable, any sub-outsourcer, and transfer them to the alternative CSP indicated by the firm or directly back to the firm. These solutions should be defined with regard to the challenges that may arise from the location of the data, taking the necessary measures to ensure business continuity during the transition phase; c) ensure that the cloud outsourcing written agreement includes an obligation for the CSP to support the orderly transfer of the outsourced function, and the related processing of data, from the CSP and any sub-outsourcer to another CSP indicated by the firm or directly to the firm in case the firm activates the exit strategy. The obligation to support the orderly transfer of the outsourced function, and the related treatment of data, should include where relevant the secure deletion of the data from the systems of the CSP and any sub-outsourcer.</t>
  </si>
  <si>
    <t>Exit strategy development requirements</t>
  </si>
  <si>
    <t>Firms must define specific elements for exit strategies, including objectives, trigger events, business impact analysis, role assignments, testing procedures, and success criteria. These elements ensure the exit strategy is practical, timely, and aligned with the firm's operational needs and regulatory obligations.</t>
  </si>
  <si>
    <t>Details the components necessary for effective exit strategies to minimize disruption during cloud service transitions.</t>
  </si>
  <si>
    <t>• [Must] Define objectives of the exit strategy
• Define trigger events for exit strategy activation
• [Must] Perform business impact analysis for the outsourced function</t>
  </si>
  <si>
    <t>• [Must] Assign roles and responsibilities for exit strategy management
• [Must] Test the exit strategy using a risk-based approach
• [Must] Define success criteria for the transition</t>
  </si>
  <si>
    <t>32. When developing the exit plans and solutions referred to in points (a) and (b) above ('exit strategy'), the firm should consider the following: a) define the objectives of the exit strategy; b) define the trigger events that could activate the exit strategy. These should include at least the termination of the cloud outsourcing arrangement at the initiative of the firm or the CSP and the failure or other serious discontinuation of the business activity of the CSP; c) perform a business impact analysis that is commensurate to the function outsourced to identify what human and other resources would be required to implement the exit strategy; d) assign roles and responsibilities to manage the exit strategy; e) test the appropriateness of the exit strategy, using a risk-based approach, (for example, by carrying out an analysis of the potential costs, impact, resources and timing implications of transferring an outsourced service to an alternative provider); f) define success criteria of the transition.</t>
  </si>
  <si>
    <t>Exit strategy trigger events for cloud services monitoring</t>
  </si>
  <si>
    <t>Firms must include indicators of trigger events for their exit strategy within ongoing monitoring of cloud service providers under outsourcing arrangements. These indicators are part of the firm's oversight mechanisms to ensure readiness for potential termination of the cloud service contract. The requirement applies to firms outsourcing cloud services to service providers.</t>
  </si>
  <si>
    <t>This section requires firms to define specific triggers for exiting cloud arrangements, which is critical for DTIAs to assess exit risks and ensure data portability in case of service termination.</t>
  </si>
  <si>
    <t>• [Must] Include indicators of trigger events for exit strategy in ongoing monitoring of cloud services</t>
  </si>
  <si>
    <t>A firm should include indicators of the trigger events of the exit strategy in its ongoing monitoring and oversight of the services provided by the CSP under the cloud outsourcing arrangement.</t>
  </si>
  <si>
    <t>Cloud agreements must not restrict access and audit rights</t>
  </si>
  <si>
    <t>Firms must ensure that cloud outsourcing agreements do not restrict their ability to exercise access and audit rights, as well as oversight options over the cloud service provider. This requirement applies to firms and their competent authorities when conducting audits of cloud service providers.</t>
  </si>
  <si>
    <t>This section ensures that firms retain necessary access and audit rights in cloud arrangements, which is vital for DTIAs to verify compliance with data protection and security obligations across borders.</t>
  </si>
  <si>
    <t>• [Must] Cloud outsourcing written agreement must not limit firm's and competent authority's access and audit rights</t>
  </si>
  <si>
    <t>A firm should ensure that the cloud outsourcing written agreement does not limit the firm's and competent authority's effective exercise of the access and audit rights and oversight options on the CSP.</t>
  </si>
  <si>
    <t>Audit scope considerations for critical cloud functions</t>
  </si>
  <si>
    <t>Firms must ensure that audit frequency, scope, and services audited take into account whether cloud outsourcing relates to critical or important functions, as well as the risks and impact on the firm from the cloud arrangement. This requirement applies to firms conducting audits of cloud service providers.</t>
  </si>
  <si>
    <t>This section mandates that firms tailor audit scope to critical functions, which is essential for DTIAs to assess risk levels in cloud data transfers and ensure adequate oversight for sensitive data.</t>
  </si>
  <si>
    <t>• [Must] Audit frequency and scope must consider critical/important functions and associated risks</t>
  </si>
  <si>
    <t>A firm should ensure that the exercise of the access and audit rights (for example, the audit frequency and the areas and services to be audited) takes into consideration whether the outsourcing is related to a critical or important function, as well as the nature and extent of the risks and impact arising from the cloud outsourcing arrangement on the firm.</t>
  </si>
  <si>
    <t>Risk mitigation for audit activities in cloud services</t>
  </si>
  <si>
    <t>If audit activities create risks to the cloud service provider's environment or other clients' data, the CSP must provide a rationale for the risk and agree on alternative methods to achieve similar results without compromising data confidentiality, integrity, or availability. This requirement applies to firms and CSPs during audits.</t>
  </si>
  <si>
    <t>This section addresses risk mitigation for audits in cloud services, ensuring DTIAs account for potential disruptions to data security when conducting audits across borders.</t>
  </si>
  <si>
    <t>• [Must] CSP must provide rationale for risks created by audit activities and agree on alternative methods</t>
  </si>
  <si>
    <t>In case the exercise of the access or audit rights, or the use of certain audit techniques create a risk for the environment of the CSP and/or another CSP's client (for example by impacting service levels, confidentiality, integrity and availability of data), the CSP should provide a clear rationale to the firm as to why this would create a risk and the CSP should agree with the firm on alternative ways to achieve a similar result (for example, the inclusion of specific controls to be tested in a specific report/certification produced by the CSP).</t>
  </si>
  <si>
    <t>Efficient audit sharing for cloud services</t>
  </si>
  <si>
    <t>Firms may use third-party certifications, external or internal audit reports from CSPs, or pooled audits with other clients to reduce audit burden and improve efficiency. This requirement applies to firms outsourcing cloud services to CSPs.</t>
  </si>
  <si>
    <t>This section allows firms to share audit resources across clients, which is relevant for DTIAs to assess cost-effective oversight mechanisms without compromising data security in cross-border cloud arrangements.</t>
  </si>
  <si>
    <t>• [May] Firms may use third-party certifications and external/internal audit reports from CSPs</t>
  </si>
  <si>
    <t>• [May] Firms may use pooled audits with other CSP clients or third-party auditors</t>
  </si>
  <si>
    <t>Firms may use: a) third-party certifications and external or internal audit reports made available by the CSP; b) pooled audits performed jointly with other clients of the same CSP or pooled audits performed by a third-party auditor appointed by multiple clients of the same CSP.</t>
  </si>
  <si>
    <t>38</t>
  </si>
  <si>
    <t>Certification adequacy for critical cloud functions</t>
  </si>
  <si>
    <t>Firms must assess whether third-party certifications and audit reports are adequate for critical or important functions, and should not rely solely on these certifications over time. This requirement applies to firms outsourcing critical cloud services.</t>
  </si>
  <si>
    <t>This section ensures that firms validate the ongoing adequacy of certifications for critical cloud functions, which is crucial for DTIAs to maintain robust data protection in high-risk cross-border transfers.</t>
  </si>
  <si>
    <t>• [Must] Assess adequacy of third-party certifications for critical/important functions</t>
  </si>
  <si>
    <t>• [Must Not] Do not solely rely on certifications over time</t>
  </si>
  <si>
    <t>In case of outsourcing of critical or important functions, a firm should assess whether the third-party certifications and external or internal audit reports referred to in paragraph 37(a) are adequate and sufficient to comply with its obligations under the applicable legislation and should aim at not solely relying on these certifications and reports over time.</t>
  </si>
  <si>
    <t>Outsourcing critical functions: certification and audit requirements</t>
  </si>
  <si>
    <t>Cloud Services, Third Party Processing, Outsourcing</t>
  </si>
  <si>
    <t>Firms must use third-party certifications and audit reports for critical or important functions only if they verify coverage of key systems, controls, and compliance with legislation. They must regularly assess the certifications, ensure they remain current, and maintain contractual rights to expand scope or conduct on-site audits. The requirements apply to firms outsourcing critical functions to cloud service providers.</t>
  </si>
  <si>
    <t>Requires firms to validate that cloud certifications cover critical systems and controls, ensuring ongoing relevance and contractual rights to audit. This impacts DTIA by mandating thorough verification of third-party compliance before outsourcing critical functions.</t>
  </si>
  <si>
    <t>• [Must] Verify certifications or audit reports cover CSP's key systems, processes, applications, infrastructure, data centres, and key controls
• [Must] Regularly assess certifications or audit reports to ensure they are not obsolete
• [Must] Ensure CSP's key systems and controls are covered in future certification or audit report versions
• [Must] Be satisfied with the certifying or auditing party's qualifications, expertise, and rotation</t>
  </si>
  <si>
    <t>• [Must] Confirm certifications are issued and audits follow appropriate standards with effective control testing
• [Must] Maintain contractual right to request scope expansion of certifications or audit reports
• [Must] Retain contractual right to perform individual on-site audits at discretion</t>
  </si>
  <si>
    <t>39. In case of outsourcing of critical or important functions, a firm should make use of the third-party certifications and external or internal audit reports referred to in paragraph 37(a) only if it: a) is satisfied that the scope of the certifications or the audit reports covers the CSP's key systems (for example processes, applications, infrastructure, data centres), the key controls identified by the firm and the compliance with the relevant applicable legislation; b) thoroughly assesses the content of the certifications or audit reports on a regular basis and verify that the certifications or reports are not obsolete; c) ensures that the CSP's key systems and controls are covered in future versions of the certifications or audit reports; d) is satisfied with the certifying or auditing party (for example with regard to its qualifications, expertise, re-performance/verification of the evidence in the underlying audit file as well as rotation of the certifying or auditing company); e) is satisfied that the certifications are issued and that the audits are performed according to appropriate standards and include a test of the effectiveness of the key controls in place; f) has the contractual right to request the expansion of the scope of the certifications or audit reports to other relevant systems and controls of the CSP; the number and frequency of such requests for scope modification should be reasonable and legitimate from a risk management perspective; g) retains the contractual right to perform individual on-site audits at its discretion with regard to the outsourced function.</t>
  </si>
  <si>
    <t>On-site audits: prior notice requirements</t>
  </si>
  <si>
    <t>Cloud Services, Third Party Processing</t>
  </si>
  <si>
    <t>Firms must provide prior written notice to cloud service providers (CSPs) at least a reasonable time before on-site visits, including those by third-party auditors. Exceptions include emergencies or crises where notice would compromise audit effectiveness. The notice must specify location, purpose, and participating personnel.</t>
  </si>
  <si>
    <t>Requires timely notice for on-site audits, ensuring CSPs are aware of assessments before they occur. This impacts DTIA by clarifying when and how audits can be conducted without disrupting critical functions.</t>
  </si>
  <si>
    <t>• [Must] Provide CSP with prior written notice within a reasonable time period before on-site visits</t>
  </si>
  <si>
    <t>• [Must] Include location, purpose of visit, and participating personnel in notice</t>
  </si>
  <si>
    <t>40. A firm should ensure that, before an on-site visit, including by a third party appointed by the firm (for example an auditor), prior notice within a reasonable time period is provided to the CSP, unless an early prior notification is not possible due to an emergency or crisis situation or would lead to a situation where the audit would no longer be effective. Such notice should include the location, purpose of the visit and the personnel that will participate to the visit.</t>
  </si>
  <si>
    <t>Cloud audit staff competency requirements</t>
  </si>
  <si>
    <t>Staff performing audits of cloud services must have the right skills and knowledge to assess cloud services effectively and conduct relevant audits. This applies to both internal auditors and third-party auditors reviewing certifications or audit reports from cloud service providers.</t>
  </si>
  <si>
    <t>Ensures auditors have necessary expertise to evaluate cloud services, which is critical for DTIA as it affects the validity of compliance assessments.</t>
  </si>
  <si>
    <t>• [Must] Staff performing audits must have right skills and knowledge to assess cloud services effectively</t>
  </si>
  <si>
    <t>• [Must] Staff reviewing CSP certifications or audit reports must have right skills and knowledge</t>
  </si>
  <si>
    <t>41. Considering that cloud services present a high level of technical complexity and raise specific jurisdictional challenges, the staff performing the audit – being the internal auditors of the firm or auditors acting on its behalf – should have the right skills and knowledge to properly assess the relevant cloud services and perform effective and relevant audit. This should also apply to the firms' staff reviewing the certifications or audit reports provided by the CSP.</t>
  </si>
  <si>
    <t>Sub-outsourcing critical functions: contractual requirements</t>
  </si>
  <si>
    <t>If sub-outsourcing critical functions is permitted, cloud outsourcing agreements must specify excluded sub-outsourcing areas, sub-outsourcing conditions, CSP accountability for sub-outsourced services, notification requirements for sub-outsourcing, and the firm's right to object or approve sub-outsourcing. The agreement must allow time for risk assessment and objection.</t>
  </si>
  <si>
    <t>Requires explicit contractual terms for sub-outsourcing critical functions, including notification and objection rights, which are essential for DTIA to assess risks of third-party chain.</t>
  </si>
  <si>
    <t>• [Must] Specify parts of outsourced function excluded from sub-outsourcing
• [Must] Indicate conditions to be complied with in case of sub-outsourcing
• [Must] Ensure CSP remains accountable for sub-outsourced services
• [Must] Include obligation for CSP to notify firm of intended sub-outsourcing or material changes</t>
  </si>
  <si>
    <t>• [Must] Allow firm sufficient time to conduct risk assessment and object to or approve sub-outsourcing
• [Must] Ensure firm has right to object to or explicitly approve sub-outsourcing before it takes effect
• [Must] Ensure firm has right to terminate cloud outsourcing agreement if it objects to sub-outsourcing</t>
  </si>
  <si>
    <t>42. If sub-outsourcing of critical or important functions (or material parts thereof) is permitted, the cloud outsourcing written agreement between the firm and the CSP should: a) specify any part or aspect of the outsourced function that are excluded from potential sub-outsourcing; b) indicate the conditions to be complied with in case of sub-outsourcing; c) specify that the CSP remains accountable and is obliged to oversee those services that it has sub-outsourced to ensure that all contractual obligations between the CSP and the firm are continuously met; d) include an obligation for the CSP to notify the firm of any intended sub-outsourcing, or material changes thereof, in particular where that might affect the ability of the CSP to meet its obligations under the cloud outsourcing arrangement with the firm. The notification period set in the written agreement should allow the firm sufficient time at least to carry out a risk assessment of the proposed sub-outsourcing or material changes thereof and to object to or explicitly approve them, as indicated in point (e) below; e) ensure that the firm has the right to object to the intended sub-outsourcing, or material changes thereof, or that explicit approval is required before the proposed sub-outsourcing or material changes come into effect; f) ensure that the firm has the contractual right to terminate the cloud outsourcing arrangement with the CSP in case it objects to the proposed sub-outsourcing or material changes thereof and in case of undue sub-outsourcing (for example where the CSP proceeds with the sub-outsourcing without notifying the firm or it seriously infringes the conditions of the sub-outsourcing specified in the outsourcing agreement).</t>
  </si>
  <si>
    <t>Notification of critical cloud outsourcing arrangements</t>
  </si>
  <si>
    <t>Firms must notify their competent authority in writing of planned cloud outsourcing arrangements for critical or important functions. This also applies to functions previously classified as non-critical that become critical or important.</t>
  </si>
  <si>
    <t>Requires firms to inform regulators about critical cloud outsourcing, which is essential for DTIA to track and assess risks of critical functions being outsourced.</t>
  </si>
  <si>
    <t>• [Must] Notify competent authority in writing of planned cloud outsourcing arrangements for critical or important functions</t>
  </si>
  <si>
    <t>• [Must] Notify competent authority in writing of cloud outsourcing arrangements that become critical or important</t>
  </si>
  <si>
    <t>44. The firm should notify in writing its competent authority in a timely manner of planned cloud outsourcing arrangements that concern a critical or important function. The firm should also notify in a timely manner and in writing its competent authority of those cloud outsourcing arrangements that concern a function that was previously classified as non-critical or non-important and then became critical or important.</t>
  </si>
  <si>
    <t>45</t>
  </si>
  <si>
    <t>Cloud outsourcing notification content requirements</t>
  </si>
  <si>
    <t>Firms must include specific information in written notifications to competent authorities about cloud outsourcing arrangements, including start dates, reasons for criticality, CSP details, data locations, risk assessments, and sub-outsourcers. The information must be proportionate and relevant.</t>
  </si>
  <si>
    <t>Details required in notifications help DTIA assess risks by providing transparency on data locations, CSPs, and sub-outsourcers, which is critical for cross-border data flows.</t>
  </si>
  <si>
    <t>• [Must] Include start date of cloud outsourcing agreement and next renewal date, end date, and notice periods
• [Must] Provide brief description of outsourced function
• [Must] State reasons why outsourced function is critical or important
• [Must] List CSP name, brand, country of registration, corporate registration number, legal entity identifier, registered address, contact details, and parent company
• [Must] Specify governing law and jurisdiction choice of cloud outsourcing agreement</t>
  </si>
  <si>
    <t>• [Must] Detail cloud deployment models and data storage locations
• [Must] Include date of most recent assessment of criticality or importance
• [Must] Provide date of most recent risk assessment or audit with summary of results
• [Must] Identify individual or decision-making body that approved cloud outsourcing
• [Must] List sub-outsourcers with their country, service location, and data storage locations</t>
  </si>
  <si>
    <t>45. The firm's written notification should include, taking into account the principle of proportionality, at least the following information: a) the start date of the cloud outsourcing agreement and, as applicable, the next contract renewal date, the end date and/or notice periods for the CSP and for the firm; b) a brief description of the outsourced function; c) a brief summary of the reasons why the outsourced function is considered critical or important; d) the name and the brand name (if any) of the CSP, its country of registration, its corporate registration number, its legal entity identifier (where available), its registered address, its relevant contact details, and the name of its parent company (if any); e) the governing law of the cloud outsourcing agreement and, if any, the choice of jurisdiction; f) the cloud deployment models and the specific nature of the data to be held by the CSP and the locations (namely regions or countries) where such data will be stored; g) the date of the most recent assessment of the criticality or importance of the outsourced function; h) the date of the most recent risk assessment or audit of the CSP together with a brief summary of the main results, and the date of the next planned risk assessment or audit; i) the individual or decision-making body in the firm that approved the cloud outsourcing arrangement; j) where applicable, the names of any sub-outsourcer to which material parts of a critical or important function are sub-outsourced, including the country or region where the sub-outsourcers are registered, where the sub-outsourced service will be performed, and where the data will be stored;</t>
  </si>
  <si>
    <t>Competent authorities assess cloud outsourcing risks</t>
  </si>
  <si>
    <t>Competent authorities must evaluate risks from firms' cloud outsourcing arrangements during supervision. The assessment specifically targets critical or important functions that are outsourced. This requirement applies to financial institutions under EU regulatory oversight.</t>
  </si>
  <si>
    <t>Competent authorities require risk assessments for cloud outsourcing of critical functions, impacting DTIA by mandating specific risk evaluation for cross-border cloud data transfers.</t>
  </si>
  <si>
    <t>• [Must] Competent authorities should assess risks arising from firms' cloud outsourcing arrangements</t>
  </si>
  <si>
    <t>• [Must] Assessment should focus on arrangements related to outsourcing critical or important functions</t>
  </si>
  <si>
    <t>46. Competent authorities should assess the risks arising from firms' cloud outsourcing arrangements as part of their supervisory process. In particular, this assessment should focus on the arrangements that relate to the outsourcing of critical or important functions.</t>
  </si>
  <si>
    <t>Competent authorities ensure effective supervision of outsourced critical functions</t>
  </si>
  <si>
    <t>Competent authorities must confirm their capacity to supervise effectively when firms outsource critical functions outside the EU. This requirement ensures regulatory oversight remains robust for financial institutions operating across borders.</t>
  </si>
  <si>
    <t>Competent authorities must verify supervision effectiveness for outsourced critical functions outside the EU, directly affecting DTIA by requiring cross-border cloud data transfer safeguards.</t>
  </si>
  <si>
    <t>• [Must] Competent authorities should be satisfied they are able to perform effective supervision</t>
  </si>
  <si>
    <t>• [Condition] This applies when firms outsource critical or important functions outside the EU</t>
  </si>
  <si>
    <t>47. Competent authorities should be satisfied that they are able to perform effective supervision, in particular when firms outsource critical or important functions that are performed outside the EU.</t>
  </si>
  <si>
    <t>Competent authorities assess cloud outsourcing governance and risk management</t>
  </si>
  <si>
    <t>Competent authorities must evaluate firms' governance, resources, and processes for cloud outsourcing on a risk-based approach. They must also ensure firms identify and manage all relevant risks associated with cloud outsourcing activities.</t>
  </si>
  <si>
    <t>Competent authorities require firms to implement robust governance and risk management for cloud outsourcing, directly impacting DTIA by mandating specific controls for cross-border data transfers.</t>
  </si>
  <si>
    <t>• [Must] Competent authorities should assess whether firms have governance, resources and operational processes to enter, implement, and oversee cloud outsourcing arrangements</t>
  </si>
  <si>
    <t>• [Must] Competent authorities should assess whether firms identify and manage all relevant risks related to cloud outsourcing</t>
  </si>
  <si>
    <t>48. Competent authorities should assess on a risk-based approach whether firms: a) have in place the relevant governance, resources and operational processes to appropriately and effectively enter into, implement, and oversee cloud outsourcing arrangements; b) identify and manage all relevant risks related to cloud outsourcing.</t>
  </si>
  <si>
    <t>Competent authorities monitor concentration risks from cloud outsourcing</t>
  </si>
  <si>
    <t>If concentration risks are identified, competent authorities must monitor the development of these risks and evaluate their potential impact on other firms and financial market stability. This applies to cloud outsourcing activities that could affect market concentration.</t>
  </si>
  <si>
    <t>Competent authorities must monitor concentration risks from cloud outsourcing, directly affecting DTIA by requiring assessment of cross-border data transfer impacts on market stability.</t>
  </si>
  <si>
    <t>• [Must] Competent authorities should monitor development of concentration risks</t>
  </si>
  <si>
    <t>• [Must] Competent authorities should evaluate potential impact on other firms and financial market stability</t>
  </si>
  <si>
    <t>49. Where concentration risks are identified, competent authorities should monitor the development of such risks and evaluate both their potential impact on other firms they supervise and the stability of the financial market.</t>
  </si>
  <si>
    <t>India</t>
  </si>
  <si>
    <t>Guidelines on Information and Cyber Security (India - Row 8)</t>
  </si>
  <si>
    <t>Applicability of Guidelines to Insurers</t>
  </si>
  <si>
    <t>IRDAI</t>
  </si>
  <si>
    <t>This section states that the Guidelines on Information and Cyber Security for Insurers are applicable to all insurers regulated by the Insurance Regulatory and Development Authority of India (IRDAI). The applicability is explicitly defined by reference to Point 3 of the guidelines document.</t>
  </si>
  <si>
    <t>• [Must] Guidelines on Information and Cyber Security for Insurers are applicable to all insurers regulated by IRDAI</t>
  </si>
  <si>
    <t>Reference is drawn to Point no. 3 on "Applicability" of Guidelines on Information and Cyber Security for Insurers dated 07.04.2017 read as "this guidelines document is applicable to all insurers regulated by Insurance Regulatory and Development Authority of India (IRDAI".</t>
  </si>
  <si>
    <t>Extension of Applicability to Insurance Intermediaries</t>
  </si>
  <si>
    <t>This section declares that the Guidelines on Information and Cyber Security for Insurers apply to all Insurance Intermediaries with immediate effect. The applicability extension is a direct decision by the Authority to include intermediaries within the regulatory scope.</t>
  </si>
  <si>
    <t>• [Must] Guidelines on Information and Cyber Security for Insurers apply to all Insurance Intermediaries with immediate effect</t>
  </si>
  <si>
    <t>It has been decided by the Authority to extend the applicability of said guidelines to all Insurance Intermediaries with immediate effect.</t>
  </si>
  <si>
    <t>NT75589AC4A988D446CA94182886F6D8EADD (India - Row 13) PROVISIONALLY</t>
  </si>
  <si>
    <t>All other instructions remain unchanged</t>
  </si>
  <si>
    <t>This section states that all existing instructions related to the matter remain unchanged. It does not introduce new obligations or modifications to the current framework. The provision serves as a continuity measure without altering the existing regulatory directives.</t>
  </si>
  <si>
    <t>• [Must] All other instructions in this regard shall remain unchanged</t>
  </si>
  <si>
    <t>3. All other instructions in this regard shall remain unchanged.</t>
  </si>
  <si>
    <t>Payment and Settlement Systems Act, 2007 (India - Row 11)</t>
  </si>
  <si>
    <t>Definitions of key terms in payment systems</t>
  </si>
  <si>
    <t>This section defines critical terms such as 'bank', 'derivative', 'electronic funds transfer', 'gross settlement system', and 'payment system' for the Payment and Settlement Systems Act. These definitions specify the scope of entities and transactions covered by the Act, including banks, payment systems, and derivatives. The definitions also clarify the roles of system participants and providers in payment systems.</t>
  </si>
  <si>
    <t>These definitions establish the scope of data and entities subject to the Act, which is crucial for determining what data transfers and processing activities fall under the regulatory framework.</t>
  </si>
  <si>
    <t>• [Condition] In this Act, unless the context otherwise requires
• [Definition] bank means a bank included in the Second Schedule to the Reserve Bank of India Act, 1934
• [Definition] bank means a post office savings bank
• [Definition] bank means a banking company as defined in clause (c) of section 5 of the Banking Regulation Act, 1949
• [Definition] bank means a co-operative bank as defined in clause (cci) of section 5, as inserted by section 56 of the Banking Regulation Act, 1949
• [Definition] bank means such other bank as the Reserve Bank may, by notification, specify for the purposes of this Act
• [Definition] derivative means an instrument, to be settled at a future date, whose value is derived from change in interest rate, foreign exchange rate, credit rating or credit index
• [Definition] derivative includes interest rate swaps, forward rate agreements, foreign currency swaps
• [Definition] electronic funds transfer means any transfer of funds initiated by a person by way of instruction, authorisation or order to a bank through electronic means
• [Definition] gross settlement system means a payment system in which each settlement of funds or securities occurs on the basis of separate or individual instructions
• [Definition] issuer means a person who issues a legal entity identifier or such other unique identification as may be specified by the Reserve Bank</t>
  </si>
  <si>
    <t>• [Definition] legal entity identifier means a unique identity code assigned to a person by an issuer for the purpose of identifying that person in such derivatives or financial transactions
• [Definition] netting means the determination by the system provider of the amount of money or securities due or payable as a result of setting off or adjusting payment obligations
• [Definition] notification means a notification published in the Official Gazette
• [Definition] payment instruction means any instrument, authorisation or order in any form to effect a payment
• [Definition] payment obligation means an indebtedness owned by one system participant to another system participant as a result of clearing or settlement of payment instructions
• [Definition] payment system means a system that enables payment to be effected between a payer and a beneficiary
• [Definition] securities means the Government securities as defined in the Public Debt Act, 1944
• [Definition] settlement means settlement of payment instructions and includes settlement of securities, foreign exchange or derivatives
• [Definition] systemic risk means the risk arising from the inability of a system participant to meet payment obligations or any disruption in the system
• [Definition] system participant means a bank or any other person participating in a payment system
• [Definition] system provider means a person who operates an authorised payment system</t>
  </si>
  <si>
    <t>2. Definitions.—(1) In this Act, unless the context otherwise requires,—</t>
  </si>
  <si>
    <t>Reserve Bank as designated authority for payment system regulation and oversight committee</t>
  </si>
  <si>
    <t>Reserve Bank of India</t>
  </si>
  <si>
    <t>The Reserve Bank is designated as the sole authority for payment system regulation and supervision. It may establish a committee within its Central Board called the Board for Regulation and Supervision of Payment and Settlement Systems, which includes the Governor as Chairperson, Deputy Governor in-charge of Payment Systems as Vice-Chairperson, and up to three Directors from the Central Board of the Reserve Bank. The committee's procedures and quorum are subject to regulation.</t>
  </si>
  <si>
    <t>This section establishes the oversight committee structure for payment systems, relevant for DTIAs as it defines the regulatory body responsible for payment system authorization and supervision.</t>
  </si>
  <si>
    <t>• [Must] The Reserve Bank shall be the designated authority for the regulation and supervision of payment systems under this Act
• [May] The Reserve Bank may constitute a committee of its Central Board to be known as the Board for Regulation and Supervision of Payment and Settlement Systems</t>
  </si>
  <si>
    <t>• [Must] The committee shall consist of Governor as Chairperson, Deputy Governor in-charge of Payment Systems as Vice-Chairperson, and up to three Directors from Central Board of Reserve Bank
• [Condition] The committee's powers, meeting procedures, quorum and other incidental matters shall be prescribed</t>
  </si>
  <si>
    <t>3. Designated authority and its Committee.—(1) The Reserve Bank shall be the designated authority for the regulation and supervision of payment systems under this Act.</t>
  </si>
  <si>
    <t>Penalty payment terms</t>
  </si>
  <si>
    <t>Penalties imposed by the Reserve Bank must be paid within thirty days of notice. Failure to pay may lead to court enforcement. The Reserve Bank may recover penalties by debiting current accounts, liquidating securities, or through court orders. Penalties are enforceable as decrees in civil suits.</t>
  </si>
  <si>
    <t>• [Must] Any penalty imposed by the Reserve Bank under this section shall be payable within a period of thirty days from the date on which notice issued by the Reserve Bank demanding payment of the sum is served on the defaulter
• [May] In the event of failure of the person to pay the sum within such period, may be recovered on a direction made by the principal civil court having jurisdiction in the area where the registered office of the defaulter company or the official business of the person is situated</t>
  </si>
  <si>
    <t>• [May] The Reserve Bank may recover the amount of penalty by debiting the current account, if any, of the defaulter or by liquidating the securities held to the credit of the defaulter
• [Must] The court which makes a direction under sub-section (3) shall issue a certificate specifying the sum payable by the defaulter and every such certificate shall be enforceable in the same manner as it were a decree made by the court in a civil suit</t>
  </si>
  <si>
    <t>33. Mode of recovery of penalty.—(1) The penalty imposed on the defaulter by the Reserve Bank under section 30 may be recovered by issuing a notice to any person from whom any amount is due to the defaulter, by requiring such person to deduct from the amount payable by him to the defaulter, the amount payable to the Reserve Bank by way of penalty and pay to the Reserve Bank.</t>
  </si>
  <si>
    <t>Application process for payment system authorization</t>
  </si>
  <si>
    <t>Any entity seeking to operate a payment system must submit an application to the Reserve Bank. The application must be in the prescribed form and accompanied by the prescribed fees. This section establishes the procedural requirements for obtaining authorization to operate payment systems.</t>
  </si>
  <si>
    <t>This section outlines the application process for payment system authorization, relevant for DTIAs as it defines the procedural steps required for entities to obtain authorization for payment systems.</t>
  </si>
  <si>
    <t>• [May] Any person desirous of commencing or carrying on a payment system may apply to the Reserve Bank for authorization
• [Must] Applications must be made in prescribed form and manner</t>
  </si>
  <si>
    <t>• [Must] Applications must be accompanied by prescribed fees</t>
  </si>
  <si>
    <t>5. Application for authorisation.—(1) Any person desirous of commencing or carrying on a payment system may apply to the Reserve Bank for an authorisation under this Act.</t>
  </si>
  <si>
    <t>Reserve Bank inquiry before authorization</t>
  </si>
  <si>
    <t>The Reserve Bank may conduct inquiries before issuing authorization for a payment system. The inquiries are to verify the genuineness of applicant details, capacity to operate the payment system, credentials of participants, and other relevant factors. The Reserve Bank may require a report from an authorized person conducting the inquiry.</t>
  </si>
  <si>
    <t>This section establishes the inquiry process for payment system authorization, relevant for DTIAs as it defines the regulatory review steps before authorization is granted.</t>
  </si>
  <si>
    <t>• [May] After receiving an application, the Reserve Bank may make inquiries to verify applicant details, capacity, and participant credentials</t>
  </si>
  <si>
    <t>• [May] The Reserve Bank may require a report from an authorized person conducting the inquiry</t>
  </si>
  <si>
    <t>6. Inquiry by the Reserve Bank.—After the receipt of an application under section 5, and before an authorisation is issued under this Act, the Reserve Bank may make such inquiries as it may consider necessary for the purpose of satisfying itself about the genuineness of the particulars furnished by the applicant, his capacity to operate the payment system, the credentials of the participants or for any other reason and when such an inquiry is conducted by any person authorised by it in this behalf, it may require a report from such person in respect of the inquiry.</t>
  </si>
  <si>
    <t>Authorization issuance and refusal criteria</t>
  </si>
  <si>
    <t>The Reserve Bank may issue authorization for payment systems if it is satisfied that the application is complete and conforms to the Act. Authorization must specify effective date, conditions, fees, security requirements, and duration. Refusal requires written notice with reasons and a reasonable opportunity to be heard. Applications must be processed within six months.</t>
  </si>
  <si>
    <t>This section details the criteria for authorization and refusal, relevant for DTIAs as it specifies the conditions under which payment systems must operate and the review process for authorization.</t>
  </si>
  <si>
    <t>• [Must] The Reserve Bank may issue authorization if satisfied that the application is complete and conforms to the Act
• [Must] Authorization must specify effective date, conditions, fees, security requirements, and duration</t>
  </si>
  <si>
    <t>• [Must] The Reserve Bank must provide written reasons for refusal with a reasonable opportunity to be heard
• [Must] Applications must be processed within six months from filing</t>
  </si>
  <si>
    <t>7. Issue or refusal of authorisation.—(1) The Reserve Bank may, if satisfied, after any inquiry under section 6 or otherwise, that the application is complete in all respects and that it conforms to the provisions of this Act and the regulations issue an authorisation for operating the payment system under this Act</t>
  </si>
  <si>
    <t>Revocation of payment system authorization</t>
  </si>
  <si>
    <t>The Reserve Bank can revoke a system provider's authorization if they breach the Act, fail to comply with regulations, ignore orders from the Reserve Bank, or operate contrary to authorized conditions. Revocation requires giving the system provider a hearing opportunity and does not halt system operations until the order is issued. The Reserve Bank may also revoke authorization for monetary policy reasons without prior hearing. Revocation orders must include provisions to protect affected parties and apply automatically if the system provider becomes insolvent.</t>
  </si>
  <si>
    <t>Revocation authority allows the Reserve Bank to terminate payment system operations if compliance is breached, requiring safeguards for affected parties and automatic revocation in insolvency cases. This impacts cross-border payment systems by potentially disrupting data flows.</t>
  </si>
  <si>
    <t>• [Must] The Reserve Bank may revoke authorization if a system provider contravenes any provisions of this Act
• [Must] The Reserve Bank may revoke authorization if a system provider does not comply with regulations
• [Must] The Reserve Bank may revoke authorization if a system provider fails to comply with orders or directions issued by the designated authority
• [Must] The Reserve Bank may revoke authorization if a system provider operates the payment system contrary to conditions subject to which authorization was issued
• [Condition] Revocation orders must provide reasonable opportunity for the system provider to be heard</t>
  </si>
  <si>
    <t>• [Condition] Revocation orders do not halt system operations until the order is issued
• [May] The Reserve Bank may revoke authorization for monetary policy reasons without prior hearing
• [Must] Revocation orders must include provisions to protect and safeguard interests of affected persons
• [Must] System providers must inform the Reserve Bank if they become insolvent, dissolved, or wound up</t>
  </si>
  <si>
    <t>8. Revocation of authorisation.—(1) If a system provider,— (i) contravenes any provisions of this Act, or (ii) does not comply with the regulations, or (iii) fails to comply with the orders or directions issued by the designated authority, or (iv) operates the payment system contrary to the conditions subject to which the authorisation was issued, the Reserve Bank may, by order, revoke the authorisation given to such system provider under this Act</t>
  </si>
  <si>
    <t>Appeal process for payment system authorization decisions</t>
  </si>
  <si>
    <t>Central Government</t>
  </si>
  <si>
    <t>Applicants for payment system authorization or system providers aggrieved by revocation orders can appeal to the Central Government within 30 days of receiving a decision. The Central Government must resolve appeals within 3 months and its decision is final. This provides a formal review mechanism for authorization and revocation decisions.</t>
  </si>
  <si>
    <t>Provides a formal appeal process for payment system authorization and revocation decisions, ensuring affected parties can challenge regulatory actions before final decisions are made.</t>
  </si>
  <si>
    <t>• [Must] Any applicant for authorization whose application is refused under section 7(3) may appeal to the Central Government within 30 days
• [Must] Any system provider aggrieved by a revocation order under section 8 may appeal to the Central Government within 30 days</t>
  </si>
  <si>
    <t>• [Must] The Central Government must dispose of appeals within 3 months
• [Must] The Central Government's decision on appeals is final</t>
  </si>
  <si>
    <t>9. Appeal to the Central Government.—(1) Any applicant for an authorisation whose application for the operation of the payment system is refused under sub-section (3) of section 7 or a system provider who is aggrieved by an order of revocation under section 8 may, within thirty days from the date on which the order is communicated to him, appeal to the Central Government.</t>
  </si>
  <si>
    <t>Reserve Bank standards for payment systems</t>
  </si>
  <si>
    <t>The Reserve Bank can prescribe standards for payment instructions, system timings, fund transfer methods, general payment system standards, membership criteria, and participant rights and obligations. The Reserve Bank may also issue guidelines for payment system management. This section establishes regulatory oversight over technical and operational aspects of payment systems.</t>
  </si>
  <si>
    <t>Defines technical and operational standards for payment systems, impacting data transfer mechanisms and system interoperability across borders.</t>
  </si>
  <si>
    <t>• [Must] The Reserve Bank may prescribe the format of payment instructions and size and shape of such instructions
• [Must] The Reserve Bank may prescribe timings to be maintained by payment systems
• [Must] The Reserve Bank may prescribe the manner of fund transfer within payment systems
• [Must] The Reserve Bank may prescribe other standards for payment systems generally</t>
  </si>
  <si>
    <t>• [Must] The Reserve Bank may prescribe criteria for payment system membership including continuation, termination and rejection
• [Must] The Reserve Bank may prescribe conditions for system participants' participation in fund transfers and their rights and obligations
• [May] The Reserve Bank may issue guidelines for proper and efficient management of payment systems</t>
  </si>
  <si>
    <t>10. Power to determine standards.—(1) The Reserve Bank may, from time to time, prescribe— (a) the format of payment instructions and the size and shape of such instructions; (b) the timings to be maintained by payment systems; (c) the manner of transfer of funds within the payment system, either through paper, electronic means or in any other manner, between banks or between banks and other system participants; (d) such other standards to be complied with the payment systems generally; (e) the criteria for membership of payment systems including continuation, termination and rejection of membership; (f) the conditions subject to which the system participants shall participate in such fund transfers and the rights and obligations of the system participants in such funds.</t>
  </si>
  <si>
    <t>Notice requirements for payment system changes</t>
  </si>
  <si>
    <t>System providers must obtain prior Reserve Bank approval and provide 30 days' notice to participants before changing payment systems that affect structure or operation. Exceptions apply for monetary policy or public interest reasons, allowing shorter notice periods or no notice at all. The Reserve Bank must object within two weeks if it has concerns about proposed changes.</t>
  </si>
  <si>
    <t>Requires notice and approval for payment system changes, impacting data transfer mechanisms and system interoperability across borders.</t>
  </si>
  <si>
    <t>• [Must] No system provider may change payment systems affecting structure or operation without prior Reserve Bank approval
• [Must] System providers must give 30 days' notice to participants after Reserve Bank approval
• [May] The Reserve Bank may permit changes without participant notice or longer notice periods for monetary policy or public interest reasons</t>
  </si>
  <si>
    <t>• [Must] The Reserve Bank must communicate objections to proposed changes within two weeks
• [Must] System providers must respond to Reserve Bank objections within two weeks</t>
  </si>
  <si>
    <t>11. Notice of change in the payment system.—(1) No system provider shall cause any change in the system which would affect the structure or the operation of the payment system without— (a) the prior approval of the Reserve Bank; and (b) giving notice of not less than thirty days to the system participants after the approval of the Reserve Bank: Provided that in the interest of monetary policy of the country or in public interest, the Reserve Bank may permit the system provider to make any changes in a payment system without giving notice to the system participants under clause (b) or requiring the system provider to give notice for a period longer than thirty days.</t>
  </si>
  <si>
    <t>Reserve Bank access to payment system information</t>
  </si>
  <si>
    <t>The Reserve Bank has the authority to request returns, documents, or other information from system providers regarding payment system operations at intervals, in specified formats, and in the manner required by the Reserve Bank. System providers must comply with these requests.</t>
  </si>
  <si>
    <t>Allows regulators to access payment system data, impacting data transfer mechanisms and system interoperability across borders.</t>
  </si>
  <si>
    <t>• [Must] The Reserve Bank may call for returns, documents, or other information from system providers regarding payment system operations</t>
  </si>
  <si>
    <t>• [Must] System providers must comply with the Reserve Bank's requests for information</t>
  </si>
  <si>
    <t>12. Power to call for returns, documents or other information.—The Reserve Bank may call for from any system provider such returns or documents as it may require or other information in regard to the operation of his payment system at such intervals, in such form and in such manner, as the Reserve Bank may require from time to time or as may be prescribed and such order shall be complied with.</t>
  </si>
  <si>
    <t>The Reserve Bank has the right to access any information related to payment system operations and system providers. All system participants must provide access to such information to the Reserve Bank.</t>
  </si>
  <si>
    <t>Ensures regulators can monitor payment systems, impacting data transfer mechanisms and system interoperability across borders.</t>
  </si>
  <si>
    <t>• [Must] The Reserve Bank has the right to access information relating to payment system operations and system providers</t>
  </si>
  <si>
    <t>• [Must] System participants must provide access to such information to the Reserve Bank</t>
  </si>
  <si>
    <t>13. Access to information.—The Reserve Bank shall have right to access any information relating to the operation of any payment system and system provider and all the system participants shall provide access to such information to the Reserve Bank.</t>
  </si>
  <si>
    <t>Reserve Bank's authority to inspect payment system premises</t>
  </si>
  <si>
    <t>Reserve Bank officers with written authorization may enter payment system premises and inspect equipment, including computer systems and documents, to ensure compliance with the Act or regulations. They can also require employees or individuals present to provide information or documents as needed for compliance checks.</t>
  </si>
  <si>
    <t>This section grants the Reserve Bank the power to inspect payment system infrastructure, which impacts DTIA by requiring assessments of physical and digital access controls for cross-border payment systems.</t>
  </si>
  <si>
    <t>• [Must] Reserve Bank officers with written authorization may enter payment system premises
• [Must] Reserve Bank officers may inspect any equipment, including computer systems or other documents</t>
  </si>
  <si>
    <t>• [Must] Reserve Bank officers may require employees or individuals present to furnish information or documents</t>
  </si>
  <si>
    <t>Any officer of the Reserve Bank duly authorised by it in writing in this behalf, may for ensuring compliance with the provisions of this Act or any regulations, enter any premises where a payment system is being operated and may inspect any equipment, including any computer system or other documents situated at such premises and call upon any employee of such system provider or participant thereof or any other person working in such premises to furnish such information or documents as may be required by such officer.</t>
  </si>
  <si>
    <t>Confidentiality of payment system information</t>
  </si>
  <si>
    <t>Payment system information obtained by the Reserve Bank under sections 12-14 must be kept confidential, except when disclosure is necessary to protect payment system integrity, banking policy, monetary policy, or public interest. The Reserve Bank may disclose such information to specific persons for these purposes.</t>
  </si>
  <si>
    <t>This section affects DTIA by establishing confidentiality rules for payment system data, which may require data minimization and secure handling during cross-border transfers.</t>
  </si>
  <si>
    <t>• [Must] Any document or information obtained by the Reserve Bank under sections 12 to 14 shall be kept confidential
• [May] Reserve Bank may disclose information to persons necessary for protecting payment system integrity, effectiveness, or security</t>
  </si>
  <si>
    <t>• [May] Reserve Bank may disclose information in the interest of banking or monetary policy
• [May] Reserve Bank may disclose information for the operation of payment systems generally or public interest</t>
  </si>
  <si>
    <t>Any document or information obtained by the Reserve Bank under sections 12 to 14 (both inclusive) shall be kept confidential. Notwithstanding anything contained in sub-section (1), the Reserve Bank may disclose any document or information obtained by it under sections 12 to 14 (both inclusive) to any person to whom the disclosure of such document or information is considered necessary for protecting the integrity, effectiveness or security of the payment system, or in the interest of banking or monetary policy or the operation of the payment systems generally or in the public interest.</t>
  </si>
  <si>
    <t>Reserve Bank's audit and inspection authority</t>
  </si>
  <si>
    <t>The Reserve Bank may conduct or arrange for audits and inspections of payment systems and their participants to ensure compliance with the Act. System providers and participants must assist the Reserve Bank during these audits and inspections.</t>
  </si>
  <si>
    <t>This section impacts DTIA by requiring regular audits of payment systems, which may necessitate data security assessments for cross-border data flows.</t>
  </si>
  <si>
    <t>• [May] Reserve Bank may conduct or get conducted audits and inspections of payment systems or participants</t>
  </si>
  <si>
    <t>• [Must] System providers and participants must assist Reserve Bank in carrying out audits or inspections</t>
  </si>
  <si>
    <t>The Reserve Bank may, for the purpose of carrying out its functions under this Act, conduct or get conducted audits and inspections of a payment system or participants thereof and it shall be the duty of the system provider and the system participants to assist the Reserve Bank to carry out such audit or inspection, as the case may be.</t>
  </si>
  <si>
    <t>Reserve Bank's power to issue risk-related directions</t>
  </si>
  <si>
    <t>The Reserve Bank may issue written directions to payment systems or participants to cease activities causing systemic risk or to take corrective actions if they are likely to affect monetary policy, credit policy, or payment system stability.</t>
  </si>
  <si>
    <t>This section is critical for DTIA as it mandates risk-based interventions, requiring assessments of systemic risks in cross-border payment systems.</t>
  </si>
  <si>
    <t>• [May] Reserve Bank may issue directions to cease acts causing systemic risk inadequately controlled
• [May] Reserve Bank may issue directions to ensure system participants cease risky activities</t>
  </si>
  <si>
    <t>• [May] Reserve Bank may issue directions to perform necessary acts to remedy situations</t>
  </si>
  <si>
    <t>Where the Reserve Bank is of the opinion that, a payment system or a system participant is engaging in, or is about to engage in, any act, omission or course of conduct that results, or is likely to result, in systemic risk being inadequately controlled; or any action under clause (a) is likely to affect the payment system, the monetary policy or the credit policy of the country, the Reserve Bank may issue directions in writing to such payment system or system participant requiring it, within such time as the Reserve Bank may specify— (i) to cease and desist from engaging in the act, omission or course of conduct or to ensure the system participants to cease and desist from the act, omission or course of conduct; or (ii) to perform such acts as may be necessary, in the opinion of the Reserve Bank, to remedy the situation.</t>
  </si>
  <si>
    <t>Reserve Bank's general policy-making authority</t>
  </si>
  <si>
    <t>The Reserve Bank may establish policies and directions for payment systems, including electronic and international payment systems, to regulate their operation and ensure public interest, monetary policy, and system stability.</t>
  </si>
  <si>
    <t>This section impacts DTIA by allowing the Reserve Bank to set overarching rules for payment systems, which may affect cross-border data handling and system design.</t>
  </si>
  <si>
    <t>• [May] Reserve Bank may lay down policies for payment systems including electronic and international payment systems</t>
  </si>
  <si>
    <t>• [May] Reserve Bank may issue directions to system providers or participants for payment system regulation</t>
  </si>
  <si>
    <t>Without prejudice to the provisions of the foregoing, the Reserve Bank may, if it is satisfied that for the purpose of enabling it to regulate the payment systems or in the interest of management or operation of any of the payment systems or in public interest, it is necessary so to do, lay down policies relating to the regulation of payment systems including electronic, non-electronic, domestic and international payment systems affecting domestic transactions and give such directions in writing as it may consider necessary to system providers or the system participants or any other person either generally or to any such agency and in particular, pertaining to the conduct of business relating to payment systems.</t>
  </si>
  <si>
    <t>Compliance with Reserve Bank directions</t>
  </si>
  <si>
    <t>All persons receiving directions from the Reserve Bank under this Act must comply immediately and submit a report of compliance within the timeframe specified by the Reserve Bank.</t>
  </si>
  <si>
    <t>This section is relevant for DTIA as it mandates timely compliance with regulatory directions, which may impact cross-border data transfer timelines and procedures.</t>
  </si>
  <si>
    <t>• [Must] Every person to whom a direction has been issued by the Reserve Bank shall comply without delay</t>
  </si>
  <si>
    <t>• [Must] Compliance report must be furnished to the Reserve Bank within the time allowed</t>
  </si>
  <si>
    <t>Every person to whom a direction has been issued by the Reserve Bank under this Act shall comply with such direction without any delay and a report of compliance shall be furnished to the Reserve Bank within the time allowed by it.</t>
  </si>
  <si>
    <t>System providers must comply with payment system regulations</t>
  </si>
  <si>
    <t>Cross-border Transfer, Financial Data</t>
  </si>
  <si>
    <t>Every system provider operating a payment system in India must adhere to the Payment and Settlement Systems Act, 2007, relevant regulations, contractual agreements with participants, payment system rules, authorization conditions, and Reserve Bank directives. This obligation applies to all system providers managing payment systems within the Indian financial infrastructure.</t>
  </si>
  <si>
    <t>System providers must follow regulatory frameworks for payment systems, which impacts cross-border data transfers by requiring compliance with Indian financial regulations for payment processing.</t>
  </si>
  <si>
    <t>• [Must] System provider shall operate payment system in accordance with this Act, regulations, contracts, payment system rules, authorization conditions, and Reserve Bank directions</t>
  </si>
  <si>
    <t>Every system provider shall operate the payment system in accordance with the provisions of this Act, the regulations, the contract governing the relationship among the system participants, the rules and regulations which deal with the operation of the payment system and the conditions subject to which the authorisation is issued, and the directions given by the Reserve Bank from time to time.</t>
  </si>
  <si>
    <t>System providers must disclose payment terms to participants</t>
  </si>
  <si>
    <t>System providers in India must provide existing or potential participants with payment system terms, conditions, charges, liability limitations, copies of operational rules, netting arrangements, and relevant documents. This duty also requires maintaining standards as determined by the Act.</t>
  </si>
  <si>
    <t>System providers must disclose payment terms to participants, which affects data transfer by requiring transparency in payment system operations.</t>
  </si>
  <si>
    <t>• [Must] System provider shall disclose terms and conditions including charges and liability limitations to existing or potential system participants
• [Must] System provider shall supply copies of payment system rules, regulations, netting arrangements, and relevant documents</t>
  </si>
  <si>
    <t>• [Must] System provider shall maintain standards determined under this Act</t>
  </si>
  <si>
    <t>Every system provider shall disclose to the existing or potential system participants, the terms and conditions including the charges and the limitations of liability under the payment system, supply them with copies of the rules and regulations governing the operation of the payment system, netting arrangements and other relevant documents.</t>
  </si>
  <si>
    <t>System providers must keep payment documents confidential</t>
  </si>
  <si>
    <t>System providers in India must not disclose payment documents or information to third parties without express or implied consent of the participant, court order, or statutory authority. The Bankers' Book Evidence Act, 1891 applies to information maintained by system providers.</t>
  </si>
  <si>
    <t>System providers must maintain confidentiality of payment documents, which impacts data transfers by requiring secure handling of payment information.</t>
  </si>
  <si>
    <t>• [Must Not] System provider shall not disclose existence or contents of payment documents to any other person
• [Must Not] Disclosure permitted only with express or implied consent of system participant</t>
  </si>
  <si>
    <t>• [Must Not] Disclosure permitted where required by this Act
• [Must Not] Disclosure permitted where ordered by court of competent jurisdiction or statutory authority</t>
  </si>
  <si>
    <t>A system provider shall not disclose to any other person the existence or contents of any document or part thereof or other information given to him by a system participant, except where such disclosure is required under the provisions of this Act or the disclosure is made with the express or implied consent of the system participant concerned or where such disclosure is in obedience to the orders passed by a court of competent jurisdiction or a statutory authority in exercise of the powers conferred by a statute.</t>
  </si>
  <si>
    <t>Settlement procedures must be final and irrevocable</t>
  </si>
  <si>
    <t>Payment obligations among system participants must follow gross or netting procedures approved by the Reserve Bank. Settlements are final and irrevocable, and liquidators cannot reopen them. Central counter parties must determine settlement instructions in accordance with approved procedures.</t>
  </si>
  <si>
    <t>Settlement procedures must be final and irrevocable, which affects cross-border data transfers by requiring secure and final payment processing.</t>
  </si>
  <si>
    <t>• [Must] Payment obligations and settlement instructions must follow gross or netting procedure approved by Reserve Bank
• [Must] Settlement procedures shall be final and irrevocable</t>
  </si>
  <si>
    <t>• [Must Not] Liquidators cannot reopen final and irrevocable settlements
• [Must] Liquidators must return excess collaterals to system participants</t>
  </si>
  <si>
    <t>The payment obligations and settlement instructions among the system participants shall be determined in accordance with the gross or netting procedure, as the case maybe, approved by the Reserve Bank while issuing authorisation to a payment system... A settlement effected under such procedure shall be final and irrevocable.</t>
  </si>
  <si>
    <t>Dispute resolution mechanism for payment system participants</t>
  </si>
  <si>
    <t>Reserve Bank</t>
  </si>
  <si>
    <t>System providers must establish a dispute resolution panel of at least three participants to resolve conflicts between system participants regarding payment system operations. Disputes between participants must be referred to this panel. If participants are unsatisfied with the panel's decision or disputes involve the system provider, the matter must be escalated to the Reserve Bank for final adjudication. The Reserve Bank's decision is binding and final.</t>
  </si>
  <si>
    <t>Requires a structured dispute resolution process involving independent participants before escalation to the Reserve Bank, impacting cross-border payment system data handling and dispute resolution mechanisms.</t>
  </si>
  <si>
    <t>• [Must] System provider must create a dispute resolution panel of at least three system participants
• [Must] Disputes between system participants must be referred to the panel</t>
  </si>
  <si>
    <t>• [Must] Disputes involving system provider or panel decisions must be escalated to Reserve Bank
• [Must] Reserve Bank's decision on escalated disputes is final and binding</t>
  </si>
  <si>
    <t>24. Settlement of disputes.—(1) The system provider shall make provision in its rules or regulations for creation of panel consisting of not less than three system participants other than the system participants who are parties to the dispute to decide the disputes between system participants in respect of any matter connected with the operation of the payment system.</t>
  </si>
  <si>
    <t>Penalties for dishonoured electronic funds transfers</t>
  </si>
  <si>
    <t>Initiating electronic funds transfers with insufficient funds constitutes an offence punishable by imprisonment up to two years or a fine up to twice the transfer amount. The offence applies only if the transfer was for debt discharge, followed by written beneficiary demand within 30 days, and failure to pay within 15 days. The court presumes the transfer was for debt discharge unless proven otherwise.</t>
  </si>
  <si>
    <t>Defines specific conditions under which electronic funds transfers with insufficient funds trigger penalties, impacting financial data handling and transfer validation processes.</t>
  </si>
  <si>
    <t>• [Must] Person initiating transfer with insufficient funds commits offence punishable by imprisonment up to two years or fine up to twice transfer amount
• [Must] Transfer must be for debt discharge to apply
• [Must] Beneficiary must give written demand within 30 days of dishonour</t>
  </si>
  <si>
    <t>• [Must] Initiator must pay within 15 days of written demand
• [Must] Court presumes transfer was for debt discharge unless proven otherwise</t>
  </si>
  <si>
    <t>25. Dishonour of electronic funds transfer for insufficiency, etc., of funds in the account.—(1) Where an electronic funds transfer initiated by a person from an account maintained by him cannot be executed on the ground that the amount of money standing to the credit of that account is insufficient to honour the transfer instruction or that it exceeds the amount arranged to be paid from that account by an agreement made with a bank, such person shall be deemed to have committed an offence and shall, without prejudice to any other provisions of this Act, be punished with imprisonment for a term which may extend to two years, or with fine which may extend to twice the amount of the electronic funds transfer, or with both</t>
  </si>
  <si>
    <t>Penalties for non-compliance with payment system regulations</t>
  </si>
  <si>
    <t>Violations of payment system regulations incur penalties including imprisonment up to ten years, fines up to one crore rupees, and daily fines up to one lakh rupees. False statements in applications or returns are punishable by imprisonment up to three years and fines from ten lakh to fifty lakh rupees. Failure to produce required documents or comply with inspections results in penalties as specified in section 30.</t>
  </si>
  <si>
    <t>Imposes strict penalties for non-compliance with payment system data handling and reporting requirements, affecting financial data accuracy and regulatory adherence.</t>
  </si>
  <si>
    <t>• [Must] Contravention of section 4 or failure to comply with authorisation terms incurs imprisonment up to ten years or fine up to one crore rupees
• [Must] False statements in applications or returns punishable by imprisonment up to three years and fines from ten lakh to fifty lakh rupees</t>
  </si>
  <si>
    <t>• [Must] Failure to produce required documents or comply with inspections incurs penalties as per section 30</t>
  </si>
  <si>
    <t>26. Penalties.—(1)Where a person contravenes the provisions of section 4 or fails to comply with the terms and conditions subject to which the authorisation has been issued under section 7, he shall be punishable with imprisonment for a term which shall not be less than one month but which may extend to ten years or with fine which may extend to one crore rupees or with both</t>
  </si>
  <si>
    <t>Company liability for payment system offences</t>
  </si>
  <si>
    <t>Companies committing payment system offences are liable for the contravention by all persons responsible for business operations. Directors, managers, and officers are also liable if the contravention occurred with their consent or neglect. Individuals may avoid liability by proving they were unaware or exercised due diligence.</t>
  </si>
  <si>
    <t>Clarifies liability for payment system offences within companies, impacting data handling responsibilities across organizational structures.</t>
  </si>
  <si>
    <t>• [Must] Company and responsible persons liable for contraventions
• [Must] Directors, managers, and officers liable if contravention occurred with consent or neglect</t>
  </si>
  <si>
    <t>• [Must] Individuals may avoid liability by proving unawareness or due diligence</t>
  </si>
  <si>
    <t>27. Offences by companies.—(1) Where a person committing a contravention of any of the provisions of this Act or any regulation, direction or order made thereunder is a company, every person who, at the time of the contravention, was in-charge of, and was responsible to, the company for the conduct of business of the company, as well as the company, shall be guilty of the contravention and shall be liable to be proceeded against and punished accordingly</t>
  </si>
  <si>
    <t>Cognizance of payment system offences</t>
  </si>
  <si>
    <t>Courts may only take cognizance of payment system offences through written complaints from Reserve Bank officers. The court may dispense with personal attendance of the Reserve Bank officer but may require the complainant's attendance. Offences under section 25 can be prosecuted by the affected party.</t>
  </si>
  <si>
    <t>Specifies how courts handle payment system offences, impacting legal procedures for data-related disputes.</t>
  </si>
  <si>
    <t>• [Must] Courts may only take cognizance of offences through written complaints from Reserve Bank officers
• [Must] Courts may dispense with personal attendance of Reserve Bank officer but may require complainant's attendance</t>
  </si>
  <si>
    <t>• [Must] Section 25 offences may be prosecuted by affected party</t>
  </si>
  <si>
    <t>28. Cognizance of offences.—(1) No court shall take cognizance of an offence punishable under this Act except upon a complaint in writing made by an officer of the Reserve Bank generally or specially authorised by it in writing in this behalf</t>
  </si>
  <si>
    <t>Application of fines to court costs</t>
  </si>
  <si>
    <t>Courts imposing fines under this Act may direct that the entire fine or part thereof be applied to cover the costs of the proceedings. This applies to any court enforcing penalties under the Payment and Settlement Systems Act, 2007.</t>
  </si>
  <si>
    <t>• [Must] A court imposing any fine under this Act may direct that the whole or any part thereof shall be applied in, or towards payment of, the costs of the proceedings</t>
  </si>
  <si>
    <t>29. Application of fine.—A court imposing any fine under this Act may direct that the whole or any part thereof shall be applied in, or towards payment of, the costs of the proceedings.</t>
  </si>
  <si>
    <t>Reserve Bank penalty powers</t>
  </si>
  <si>
    <t>The Reserve Bank may impose penalties up to ten lakh rupees or twice the amount involved in contraventions, whichever is higher. For continuing defaults, penalties may be levied daily up to twenty-five thousand rupees. The Reserve Bank must serve a notice requiring the defaulter to show cause why the penalty should not be imposed and provide a hearing opportunity.</t>
  </si>
  <si>
    <t>• [May] The Reserve Bank may impose on the person contravening or committing default a penalty not exceeding ten lakh rupees or twice the amount involved in such contravention or default where such amount is quantifiable, whichever is more
• [May] For continuing defaults, the Reserve Bank may impose further penalties extending to twenty-five thousand rupees for every day after the first during which the contravention or default continues</t>
  </si>
  <si>
    <t>• [Must] The Reserve Bank shall serve a notice on the defaulter requiring him to show cause why the amount specified in the notice should not be imposed as a penalty and a reasonable opportunity of being heard shall also be given to such defaulter</t>
  </si>
  <si>
    <t>30. Power of Reserve Bank to impose 2[penalties].—(1) Notwithstanding anything contained in section 26, if a contravention or default of the nature referred to in sub-section (2) 3[or sub-section (3)] or sub-section (6) of section 26, as the case may be, the Reserve Bank may impose on the person contravening or committing default a penalty not exceeding 4[ten lakh] rupees or twice the amount involved in such contravention or default where such amount is quantifiable, whichever is more, and where such contravention or default is a continuing one, a further penalty which may extend to twenty-five thousand rupees for every day after the first during which the contravention or default continues.</t>
  </si>
  <si>
    <t>Compounding of offences</t>
  </si>
  <si>
    <t>The Reserve Bank may compound offences punishable under this Act for contraventions that are not punishable with imprisonment only or with imprisonment and fine. Compounded offences prevent further proceedings against the person committing the contravention.</t>
  </si>
  <si>
    <t>• [May] Any offence punishable under this Act for any contravention, not being an offence punishable with imprisonment only, or with imprisonment and also with fine, may be compounded by an officer of the Reserve Bank duly authorised by it in this behalf</t>
  </si>
  <si>
    <t>• [Must] Where a contravention has been compounded under sub-section (1), no proceeding or further proceeding shall be initiated or continued against the person committing such contravention under that section</t>
  </si>
  <si>
    <t>31. Power to compound offences.—(1) Notwithstanding anything contained in the Code of Criminal Procedure, 1973 (2 of 1974), any offence punishable under this Act for any contravention, not being an offence punishable with imprisonment only, or with imprisonment and also with fine, may, on receipt of an application from the person committing such contravention either before or after the institution of any proceeding, be compounded by an officer of the Reserve Bank duly authorised by it in this behalf.</t>
  </si>
  <si>
    <t>Act overriding other laws</t>
  </si>
  <si>
    <t>This Act has overriding effect over any inconsistent provisions in other existing laws. This ensures the Payment and Settlement Systems Act takes precedence in cases of conflict.</t>
  </si>
  <si>
    <t>• [Must] The provisions of this Act shall have effect notwithstanding anything inconsistent therewith contained in any other law for the time being in force</t>
  </si>
  <si>
    <t>32. Act to have overriding effect.—The provisions of this Act shall have effect notwithstanding anything inconsistent therewith contained in any other law for the time being in force.</t>
  </si>
  <si>
    <t>Penalty recovery mechanisms</t>
  </si>
  <si>
    <t>Penalties may be recovered through notices to third parties, with specific rules for payment, enforcement, and liability. Third parties who receive notices must comply unless they contest the penalty in writing. Failure to pay leads to further enforcement actions.</t>
  </si>
  <si>
    <t>• [May] The penalty imposed on the defaulter by the Reserve Bank under section 30 may be recovered by issuing a notice to any person from whom any amount is due to the defaulter, by requiring such person to deduct from the amount payable by him to the defaulter, the amount payable to the Reserve Bank by way of penalty and pay to the Reserve Bank
• [Must] Every person to whom a notice is issued under this sub-section shall be bound to comply with such notice, and where such notice is issued to a post office, bank or an insurer, it shall not be necessary for any passbook, deposit receipt, policy or any other document to be produced for the purpose of any entry, endorsement or the like being made bef…
• [Must] Any claim respecting any property in relation to which a notice under this sub-section has been issued arising after the date of the notice shall be void as against any demand contained in the notice
• [Must] Where a person to whom the notice under this sub-section is sent objects to it by a statement on oath that the sum demanded or any part thereof is not due to the defaulter or that he does not hold any money for or on account of the defaulter, then, nothing contained in this sub-section shall be deemed to require such person to pay any such sum or…
• [Must] If it is discovered that such statement was false in any material particular, such person shall be personally liable to the Reserve Bank to the extent of his own liability to the defaulter on the date of the notice, or to the extent of the penalty imposed on the defaulter by the Reserve Bank, whichever is less</t>
  </si>
  <si>
    <t>• [May] The Reserve Bank may at any time or from time to time, amend or revoke any notice issued under this section or extend the time for making the payment in pursuance of such notice
• [Must] The Reserve Bank shall grant a receipt for any amount paid to it in compliance with a notice issued under this section and the person so paying shall be fully discharged from his liability to the defaulter to the extent of the amount so paid
• [Must] Any person discharging any liability to the defaulter after the receipt of a notice under this section shall be personally liable to the Reserve Bank to the extent of his own liability to the defaulter so discharged or to the extent of the penalty imposed on the defaulter by the Reserve Bank, whichever is less
• [May] If the person to whom the notice under this section is sent fails to make payment in pursuance thereof to the Reserve Bank, he shall be deemed to be the defaulter in respect of the amount specified in the notice and further proceedings may be taken against him for the realisation of the amount as if it were an arrear due from him in the manner pro…</t>
  </si>
  <si>
    <t>Exemptions for stock exchanges and clearing corporations</t>
  </si>
  <si>
    <t>This section explicitly states that nothing in the Payment and Settlement Systems Act applies to stock exchanges or their clearing corporations. The Act does not govern these entities, which is a clear exemption from the scope of the legislation.</t>
  </si>
  <si>
    <t>This section is irrelevant for Data Transfer Impact Assessments as it defines exemptions from the Act's scope, not data transfer mechanisms or requirements.</t>
  </si>
  <si>
    <t>• [Must Not] Nothing contained in this Act shall apply to stock exchanges or the clearing corporations of the stock exchanges</t>
  </si>
  <si>
    <t>34. Act not to apply to stock exchanges or clearing corporations of stock exchanges.—Nothing contained in this Act shall apply to stock exchanges or the clearing corporations of the stock exchanges.</t>
  </si>
  <si>
    <t>Reserve Bank officers deemed public servants</t>
  </si>
  <si>
    <t>This section states that every Reserve Bank officer entrusted with powers under the Act is deemed a public servant under the Indian Penal Code. This classification has implications for legal liability and accountability.</t>
  </si>
  <si>
    <t>This section is irrelevant for Data Transfer Impact Assessments as it defines a legal classification, not data transfer mechanisms or requirements.</t>
  </si>
  <si>
    <t>• [Must] Every officer of the Reserve Bank who has been entrusted with any power under this Act, shall be deemed to be a public servant within the meaning of section 21 of the Indian Penal Code (45 of 1860)</t>
  </si>
  <si>
    <t>35. Certain persons deemed to be public servants.—Every officer of the Reserve Bank who has been entrusted with any power under this Act, shall be deemed to be a public servant within the meaning of section 21 of the Indian Penal Code (45 of 1860).</t>
  </si>
  <si>
    <t>Protection for good faith actions</t>
  </si>
  <si>
    <t>This section provides legal immunity for the Central Government, Reserve Bank, and its officers from legal proceedings for damages caused by actions taken in good faith in pursuance of the Act, regulations, or orders made under it.</t>
  </si>
  <si>
    <t>This section is irrelevant for Data Transfer Impact Assessments as it addresses legal immunity, not data transfer mechanisms or requirements.</t>
  </si>
  <si>
    <t>• [Must Not] No suit or other legal proceedings shall lie against the Central Government, the Reserve Bank, or any officer thereof for any damage caused or likely to be caused by anything which is in good faith done or intended to be done in pursuance of this Act, any regulations, order or direction made or given thereunder</t>
  </si>
  <si>
    <t>36. Protection of action taken in good faith.—No suit or other legal proceedings shall lie against the Central Government, the Reserve Bank, or any officer thereof for any damage caused or likely to be caused by anything which is in good faith done or intended to be done in pursuance of this Act, any regulations, order or direction made or given thereunder.</t>
  </si>
  <si>
    <t>Power to remove difficulties</t>
  </si>
  <si>
    <t>This section grants the Central Government the authority to issue orders via the Official Gazette to resolve difficulties in implementing the Act, with a two-year deadline for such orders and a requirement to lay the orders before Parliament.</t>
  </si>
  <si>
    <t>This section is irrelevant for Data Transfer Impact Assessments as it addresses legislative flexibility, not data transfer mechanisms or requirements.</t>
  </si>
  <si>
    <t>• [May] If any difficulty arises in giving effect to the provisions of this Act, the Central Government may, by order published in the Official Gazette, make such provision as appear to it to be necessary or expedient for removing the difficulty
• [Condition] No order shall be made under this section after the expiry of a period of two years from the commencement of this Act</t>
  </si>
  <si>
    <t>• [Must] Every order made under this section shall be laid, as soon as may be after it is made, before each House of Parliament</t>
  </si>
  <si>
    <t>37. Power to remove difficulties.—(1) If any difficulty arises in giving effect to the provisions of this Act, the Central Government may, by order published in the Official Gazette, make such provision is not inconsistent with the provisions of this Act as appear to it to be necessary or expedient for removing the difficulty: Provided that no order shall be made under this section after the expiry of a period of two years from the commencement of this Act. (2) Every order made under this section shall be laid, as soon as may be after it is made, before each House of Parliament.</t>
  </si>
  <si>
    <t>Reserve Bank regulatory powers</t>
  </si>
  <si>
    <t>This section empowers the Reserve Bank to make regulations consistent with the Act to implement its provisions, including specific matters like board functions, application formats, authorization procedures, payment standards, and information reporting requirements.</t>
  </si>
  <si>
    <t>This section is irrelevant for Data Transfer Impact Assessments as it addresses regulatory powers, not data transfer mechanisms or requirements.</t>
  </si>
  <si>
    <t>• [May] The Reserve Bank may, by notification, make regulations consistent with this Act to carry out the provisions of this Act
• [May] Regulations may provide for the powers and functions of the Board, the time and venue of its meetings and the procedure to be followed by it at its meetings
• [May] Regulations may provide for the form and manner in which an application for authorisation for commencing or carrying on a payment system shall be made and the fees which shall accompany such application
• [May] Regulations may provide for the form in which an authorisation to operate a payment system under this Act shall be issued</t>
  </si>
  <si>
    <t>• [May] Regulations may provide for the format of payment instructions and other matters relating to determination of standards to be complied with by the payment systems
• [May] Regulations may provide for the intervals, at which and the form and manner in which the information or returns required by the Reserve Bank shall be furnished
• [May] Regulations may provide for such other matters as are required to be, or may be, prescribed</t>
  </si>
  <si>
    <t>38. Power of Reserve Bank to make regulations.—(1) The Reserve Bank may, by notification, make regulations consistent with this Act to carry out the provisions of this Act.</t>
  </si>
  <si>
    <t>RBI Digital Lending Directions 2025 Digital Lending Guidelines 2022 (India - Row 14)</t>
  </si>
  <si>
    <t>Digital lending platform compliance guidelines</t>
  </si>
  <si>
    <t>RBI</t>
  </si>
  <si>
    <t>This section references RBI's 2020 guidelines on fair practices and outsourcing for loans sourced by banks and NBFCs through digital lending platforms. It establishes baseline compliance requirements for digital lending operations.</t>
  </si>
  <si>
    <t>Digital lending platforms must adhere to fair practices and outsourcing guidelines, impacting data transfer impact assessments for cross-border data flows.</t>
  </si>
  <si>
    <t>• [Must] Loans sourced by banks and NBFCs through digital lending platforms must adhere to fair practices code</t>
  </si>
  <si>
    <t>• [Must] Outsourcing guidelines must be followed for digital lending platforms</t>
  </si>
  <si>
    <t>RBI/2019-20/258 DOR(NBFC)(PD) CC.No.112/03.10.001/2019-20 24.06.2020 Loans Sourced by Banks and NBFCs over Digital Lending Platforms: Adherence to Fair Practices Code and Outsourcing Guidelines</t>
  </si>
  <si>
    <t>Applicability of Digital Lending Guidelines</t>
  </si>
  <si>
    <t>These guidelines apply to all digital lending activities of specified entities: commercial banks, primary (urban) co-operative banks, state co-operative banks, central co-operative banks, non-banking financial companies (including housing finance companies), and all-India financial institutions. The term 'Regulated Entity' refers to these institutions that must comply with the digital lending requirements outlined in the guidelines.</t>
  </si>
  <si>
    <t>• [Must] These Directions shall be applicable to all digital lending activities of the following entities
• [Must] All Commercial Banks are Regulated Entities
• [Must] All Primary (Urban) Co-operative Banks, State Co-operative Banks, Central Co-operative Banks are Regulated Entities</t>
  </si>
  <si>
    <t>• [Must] All Non-Banking Financial Companies (including Housing Finance Companies) are Regulated Entities
• [Must] All All-India Financial Institutions are Regulated Entities</t>
  </si>
  <si>
    <t>These Directions shall be applicable to all digital lending activities of the following entities, hereinafter referred to as a Regulated Entity (RE) and collectively as Regulated Entities (REs), as the context may require: i. All Commercial Banks, ii. All Primary (Urban) Co-operative Banks, State Co-operative Banks, Central Co-operative Banks, iii. All Non-Banking Financial Companies (including Housing Finance Companies), and iv. All All-India Financial Institutions.</t>
  </si>
  <si>
    <t>Definitions for Digital Lending</t>
  </si>
  <si>
    <t>The guidelines define key terms including Annual Percentage Rate (APR), Default Loss Guarantee (DLG), Digital Lending, Digital Lending Apps/Platforms (DLAs), and Lending Service Providers (LSPs). These definitions clarify the scope of digital lending activities and the roles of entities involved in the lending process, particularly emphasizing the relationship between Regulated Entities and LSPs.</t>
  </si>
  <si>
    <t>• [Must] Annual Percentage Rate (APR) is defined under Circular No. DOR.STR.REC.13/13.03.00/2024-25 on 'Key Facts Statement (KFS) for Loans &amp; Advances' dated April 15, 2024
• [Must] Default Loss Guarantee (DLG) is a contractual arrangement between RE and another entity for compensating RE for loan portfolio losses
• [Must] Digital Lending is a remote and automated lending process using digital technologies for customer acquisition, credit assessment, loan approval, disbursement, recovery and customer service</t>
  </si>
  <si>
    <t>• [Must] Digital Lending Apps/Platforms (DLAs) are mobile and/or web-based applications facilitating digital lending services
• [Must] Lending Service Provider (LSP) is an agent of a RE who carries out one or more digital lending functions</t>
  </si>
  <si>
    <t>For the purpose of these Directions, unless the context otherwise requires, the terms herein shall bear the meaning assigned to them below: i. Annual Percentage Rate (APR): APR as defined under Circular No. DOR.STR.REC.13/13.03.00/2024-25 on 'Key Facts Statement (KFS) for Loans &amp; Advances' dated April 15, 2024, as amended from time to time.</t>
  </si>
  <si>
    <t>Due Diligence Requirements for LSPs</t>
  </si>
  <si>
    <t>Regulated Entities must conduct enhanced due diligence before entering agreements with Lending Service Providers, including assessing technical capabilities, data privacy policies, robustness of storage systems, fairness in conduct with borrowers, past records, and compliance with regulations. They must also carry out periodic reviews of LSP conduct, establish monitoring mechanisms for loan portfolios, provide guidance to LSPs on recovery duties, and ensure compliance with outsourcing guidelines. The RE remains fully responsible for all acts and omissions of the LSP.</t>
  </si>
  <si>
    <t>Regulated Entities must ensure LSPs meet strict due diligence standards before partnership, conduct periodic reviews, and maintain oversight to prevent breaches of data privacy and borrower protection. This section directly impacts data transfer impact assessments by requiring robust third-party vendor management for digital lending activities.</t>
  </si>
  <si>
    <t>• [Must] Digital lending by a RE involving a LSP shall be carried out under a contractual agreement defining respective roles, rights, and obligations
• [Must] RE shall conduct enhanced due diligence before entering agreement with LSP considering technical capabilities, data privacy policies, storage systems, fairness with borrowers, past records, and compliance
• [Must] RE shall carry out periodic review of LSP conduct against contractual terms and take action for deviations
• [Must] RE shall lay down suitable monitoring mechanisms for loan portfolios originated with LSP support</t>
  </si>
  <si>
    <t>• [Must] RE shall impart necessary guidance to LSP acting as recovery agent to discharge duties responsibly
• [Must] RE shall continue to conform to extant guidelines on outsourcing and ensure LSPs and DLAs comply with these Directions
• [Must] Any outsourcing agreement with LSP shall not dilute or absolve RE of statutory or regulatory obligations</t>
  </si>
  <si>
    <t>Digital lending by a RE involving a LSP, shall be carried out under a contractual agreement between the RE and the LSP, which clearly defines the respective roles, rights, and obligations of each party thereto.</t>
  </si>
  <si>
    <t>Multi-Lender Arrangements with LSPs</t>
  </si>
  <si>
    <t>When a Lending Service Provider has agreements with multiple Regulated Entities, each RE must ensure the LSP provides a digital view of loan offers matching the borrower's request, including unmatched lenders. The LSP must follow a consistent approach for similarly placed borrowers, document mechanisms, and display loan offers with unbiased content that includes lender names, loan amounts, tenors, APR, repayment obligations, and penal charges. The content must not promote specific REs through dark patterns or deceptive practices.</t>
  </si>
  <si>
    <t>This section requires LSPs to provide transparent, unbiased loan comparisons across lenders, directly impacting data transfer impact assessments by mandating clear disclosure mechanisms for cross-entity data sharing and preventing misleading practices in digital lending.</t>
  </si>
  <si>
    <t>• [Must] LSP shall provide digital view of all loan offers matching borrower's request on DLA
• [Must] LSP shall disclose unmatched lenders in the digital view
• [Must] LSP shall follow consistent approach for similarly placed borrowers and products
• [Must] LSP shall document mechanisms adopted for matching borrowers with lenders</t>
  </si>
  <si>
    <t>• [Must] Digital view of loan offers shall include lender names, loan amounts, tenors, APR, monthly repayment obligations and penal charges
• [Must] Digital view shall provide link to Key Facts Statement (KFS) for each RE
• [Must] Content displayed by LSP shall be unbiased, objective and not promote specific REs through dark patterns</t>
  </si>
  <si>
    <t>LSP shall provide a digital view of all the loan offers matching the borrower's request on the DLA which meets the requirement of the borrower. The name of the unmatched lenders shall also be disclosed in the digital view.</t>
  </si>
  <si>
    <t>Borrower Creditworthiness Assessment</t>
  </si>
  <si>
    <t>Regulated Entities must obtain necessary information about borrowers' economic profiles to assess creditworthiness before extending loans, including minimum age, occupation, and income details. These details must be kept on record for audit purposes. Additionally, REs must ensure that credit limits cannot be automatically increased without explicit borrower requests, evaluations, and records.</t>
  </si>
  <si>
    <t>This section impacts data transfer impact assessments by requiring detailed borrower information collection and strict controls on credit limit increases, ensuring data accuracy and compliance with financial regulations.</t>
  </si>
  <si>
    <t>• [Must] RE shall obtain necessary information relating to borrower's economic profile for creditworthiness assessment
• [Must] RE shall keep age, occupation and income details on record for audit purposes</t>
  </si>
  <si>
    <t>• [Must] RE shall ensure no automatic increase in credit limit without explicit borrower request, evaluation and record</t>
  </si>
  <si>
    <t>RE shall obtain the necessary information relating to economic profile of the borrower with a view to assessing the borrower's creditworthiness before extending any loan, including, at a minimum, age, occupation and income details.</t>
  </si>
  <si>
    <t>Borrower disclosures and document delivery</t>
  </si>
  <si>
    <t>Data Sharing, Data Storage, Data Residency, Security</t>
  </si>
  <si>
    <t>Reserve Bank of India (RBI)</t>
  </si>
  <si>
    <t>RBI requires digital lenders (REs) to provide borrowers with a Key Fact Statement (KFS) following specific circulars. REs must deliver digitally signed documents including KFS, loan product summaries, sanction letters, and privacy policies automatically to borrowers via email or SMS upon contract execution. REs must maintain a public website with detailed information about lending products, third-party service providers (LSPs), grievance mechanisms, and links to RBI's complaint systems. REs must also notify borrowers of recovery agents before contact for loan defaults.</t>
  </si>
  <si>
    <t>Mandates direct delivery of key documents to borrowers via email/SMS, requires public disclosure of lending products and LSPs, and specifies data sharing protocols for recovery agents — critical for ensuring transparency and compliance in cross-border data transfers involving Indian digital lenders.</t>
  </si>
  <si>
    <t>• [Must] RE shall provide Key Fact Statement (KFS) per circular DOR.STR.REC.13/13.03.00/2024-25
• [Must] RE shall ensure digitally signed documents (KFS, loan product summary, sanction letter, etc.) automatically flow to borrowers via email/SMS upon contract execution
• [Must] RE shall maintain public website with lending products, LSP details, grievance mechanisms, and links to RBI's complaint systems</t>
  </si>
  <si>
    <t>• [Must] RE shall ensure DLAs/LSPs link to RE's public website
• [Must] RE shall notify borrowers of recovery agents via email/SMS before contact for loan defaults</t>
  </si>
  <si>
    <t>RE shall provide a Key Fact Statement (KFS) as per instructions contained in circular no. DOR.STR.REC.13/13.03.00/2024-25 on ‘Key Facts Statement (KFS) for Loans &amp; Advances' dated April 15, 2024, as amended from time to time.</t>
  </si>
  <si>
    <t>Loan disbursal and repayment without third-party intermediaries</t>
  </si>
  <si>
    <t>Financial Data, Data Storage, Data Residency</t>
  </si>
  <si>
    <t>Digital lenders must disburse loans directly to borrowers' bank accounts, excluding third-party accounts including LSPs, except for statutory mandates, co-lending transactions, or specific end-use cases. All loan servicing and repayments must be executed directly by borrowers in the lender's bank account without pass-through accounts. Funds flow between borrowers and lenders must not be controlled by third parties, and fees payable to LSPs must be directly handled by the lender without charging borrowers.</t>
  </si>
  <si>
    <t>Requires direct bank account transfers for loans, prohibits third-party fund control, and mandates lender responsibility for LSP fees — essential for ensuring data flows remain within India and avoid cross-border data transfer risks.</t>
  </si>
  <si>
    <t>• [Must] Loan disbursement must be made into borrower's bank account except for statutory mandates, co-lending transactions, or specific end-use cases
• [Must] All loan servicing and repayments must be executed directly in RE's bank account without third-party pass-through accounts</t>
  </si>
  <si>
    <t>• [Must] Funds flow between borrower and RE must not be controlled by third parties including LSPs
• [Must] Fees payable to LSPs must be paid directly by RE without being charged to borrowers</t>
  </si>
  <si>
    <t>RE shall ensure that in no case, disbursal is made to a third-party account, including the accounts of LSP, except as provided for in these Directions.</t>
  </si>
  <si>
    <t>Cooling-off period for loan exits</t>
  </si>
  <si>
    <t>Borrowers must be given a cooling-off period during which they can exit a digital loan by repaying principal and proportionate APR without penalty. The period must be at least one day and determined by the RE's board. REs may retain a one-time processing fee if borrowers exit during this period, but this must be disclosed upfront in the KFS.</t>
  </si>
  <si>
    <t>Requires a minimum one-day cooling-off period for loan exits, with clear exit mechanisms — relevant for data transfer impact assessments as it affects borrower consent and data retention timelines.</t>
  </si>
  <si>
    <t>• [Must] Borrower must have explicit option to exit loan by repaying principal and proportionate APR without penalty during cooling-off period
• [Must] Cooling-off period must be at least one day and determined by RE's board</t>
  </si>
  <si>
    <t>• [May] RE may retain one-time processing fee if borrower exits during cooling-off period, disclosed upfront in KFS</t>
  </si>
  <si>
    <t>The borrower shall be given an explicit option to exit a digital loan by paying the principal and the proportionate APR without any penalty during an initial 'cooling-off period'.</t>
  </si>
  <si>
    <t>Grievance redressal mechanisms</t>
  </si>
  <si>
    <t>Digital lenders and their LSPs must designate nodal grievance redressal officers for borrower complaints. Contact details must be prominently displayed on websites, DLAs, and KFS. Borrowers can escalate complaints to RBI's CMS portal if unresolved within 30 days, with RE retaining responsibility for grievance resolution.</t>
  </si>
  <si>
    <t>Mandates clear grievance channels and RBI escalation pathways — critical for data transfer impact assessments as it ensures accountability for data-related complaints across borders.</t>
  </si>
  <si>
    <t>• [Must] RE and LSP must designate nodal grievance redressal officers for digital lending complaints
• [Must] Contact details of nodal officers must be prominently displayed on RE's website, LSPs, and DLA</t>
  </si>
  <si>
    <t>• [Must] Borrowers can escalate complaints to RBI's CMS portal if unresolved within 30 days</t>
  </si>
  <si>
    <t>The RE, and the LSP which has an interface with the borrower, shall designate nodal grievance redressal officers to deal with digital lending related complaints/issues raised by the borrower.</t>
  </si>
  <si>
    <t>Data consent and third-party sharing</t>
  </si>
  <si>
    <t>Data Sharing, Consent, Data Storage</t>
  </si>
  <si>
    <t>Digital lenders must collect data need-based with explicit consent and audit trail. They must not access mobile phone resources like contacts or call logs, except for one-time access to camera/microphone/location for KYC. Borrowers must be given options to manage consent, restrict third-party sharing, and delete data. Explicit consent is required before sharing personal information with third parties, except for statutory mandates.</t>
  </si>
  <si>
    <t>Requires explicit consent for data collection and sharing, with strict limitations on mobile data access — directly impacts data transfer impact assessments by defining consent mechanisms and third-party data flows.</t>
  </si>
  <si>
    <t>• [Must] RE must ensure data collection is need-based with prior and explicit consent and audit trail
• [Must Not] RE must not access mobile phone resources like contacts, call logs, etc., except for one-time access to camera/microphone/location for KYC</t>
  </si>
  <si>
    <t>• [Must] Borrowers must be provided options to manage consent, restrict third-party sharing, and delete data
• [Must] Explicit consent required before sharing personal information with third parties, except for statutory mandates</t>
  </si>
  <si>
    <t>RE shall ensure that any collection of data by their DLA and DLA of their LSP is need-based and with prior and explicit consent of the borrower having audit trail.</t>
  </si>
  <si>
    <t>Data storage and localization requirements</t>
  </si>
  <si>
    <t>Data Storage, Data Residency, Security</t>
  </si>
  <si>
    <t>Digital lenders must ensure LSPs store only minimal borrower data (name, address, contact details) and retain responsibility for data privacy and security. Clear policies on data storage duration, usage restrictions, and destruction protocols must be disclosed. Biometric data storage is prohibited unless permitted by statutory guidelines. All data must be stored within India, with data processed outside India deleted within 24 hours and brought back to India.</t>
  </si>
  <si>
    <t>Mandates data localization within India, strict storage duration limits, and immediate data re-transfer requirements for cross-border processing — critical for data transfer impact assessments involving international data flows.</t>
  </si>
  <si>
    <t>• [Must] LSPs may store only minimal borrower data (name, address, contact details) for operational purposes
• [Must] RE must retain responsibility for data privacy and security of borrower information
• [Must] Clear policies on data storage duration, usage restrictions, and destruction protocols must be disclosed</t>
  </si>
  <si>
    <t>• [Must Not] Biometric data storage prohibited unless permitted by statutory guidelines
• [Must] All data must be stored only in servers within India
• [Must] Data processed outside India must be deleted within 24 hours and brought back to India</t>
  </si>
  <si>
    <t>RE shall ensure that all data is stored only in servers located within India, while ensuring compliance with statutory obligations/regulatory instructions.</t>
  </si>
  <si>
    <t>Public availability of comprehensive privacy policy</t>
  </si>
  <si>
    <t>Retail Entities (REs) and LSPs must maintain a publicly accessible privacy policy compliant with laws, regulations, and RBI guidelines. The policy must detail third parties involved in collecting personal information through Digital Lending Arrangements (DLAs). This applies to all REs and their LSPs engaged in digital lending activities.</t>
  </si>
  <si>
    <t>Requires transparency in data handling practices for cross-border transfers by mandating public disclosure of privacy policies and third-party data collection details.</t>
  </si>
  <si>
    <t>• [Must] RE and LSPs must have a comprehensive privacy policy compliant with applicable laws, regulations, and RBI guidelines
• [Must] Privacy policy must be made publicly available on RE or LSP websites</t>
  </si>
  <si>
    <t>• [Must] Details of third parties allowed to collect personal information through DLAs must be disclosed in the privacy policy</t>
  </si>
  <si>
    <t>RE and LSPs engaged by RE shall have a comprehensive privacy policy compliant with applicable laws, associated regulations and RBI guidelines which shall be made available publicly on the website of RE and LSP, as the case may be.</t>
  </si>
  <si>
    <t>Cybersecurity technology standards for digital lending</t>
  </si>
  <si>
    <t>Retail Entities must ensure their digital lending platforms and third-party LSPs comply with RBI and other relevant agencies' cybersecurity standards. This includes implementing necessary technology standards for secure digital lending operations.</t>
  </si>
  <si>
    <t>Sets cybersecurity requirements for digital lending platforms, impacting data security during cross-border transfers.</t>
  </si>
  <si>
    <t>• [Must] RE and LSPs must comply with technology standards for cybersecurity stipulated by RBI and other relevant agencies</t>
  </si>
  <si>
    <t>RE shall ensure that they and the LSPs engaged by them comply with various technology standards/ requirements on cybersecurity stipulated by RBI and other relevant agencies, or as may be specified from time to time, for undertaking digital lending.</t>
  </si>
  <si>
    <t>Mandatory reporting of digital lending to credit information companies</t>
  </si>
  <si>
    <t>Retail Entities must report all digital lending activities to Credit Information Companies (CICs) regardless of loan type or duration. This includes reporting deferred payment credit products and ensuring LSPs comply with outsourcing guidelines when involved in such products.</t>
  </si>
  <si>
    <t>Requires reporting of digital lending data to CICs, which affects data sharing and cross-border data flows for credit information.</t>
  </si>
  <si>
    <t>• [Must] RE must report all lending done through DLAs to CICs irrespective of loan nature or tenor</t>
  </si>
  <si>
    <t>• [Must] RE must ensure LSPs comply with outsourcing guidelines for deferred payment credit products</t>
  </si>
  <si>
    <t>RE shall ensure that any lending done through their DLAs and/or DLAs of LSPs is reported by them to CICs irrespective of its nature/ tenor.</t>
  </si>
  <si>
    <t>Reporting of digital lending arrangements to RBI</t>
  </si>
  <si>
    <t>13–15</t>
  </si>
  <si>
    <t>Data Residency</t>
  </si>
  <si>
    <t>Retail Entities must report all deployed Digital Lending Arrangements (DLAs) to RBI's CIMS portal, including updates when new DLAs are deployed or existing ones cease. The Chief Compliance Officer must certify that DLAs comply with regulations and are correctly reported.</t>
  </si>
  <si>
    <t>Requires detailed reporting of digital lending infrastructure to RBI, impacting data residency and cross-border data flows.</t>
  </si>
  <si>
    <t>• [Must] RE must report all DLAs deployed or joined by them on RBI's CIMS portal
• [Must] RE must update CIMS with new DLAs or discontinued ones
• [Must] Chief Compliance Officer must certify that DLA data on CIMS is correct and compliant
• [Must] DLAs must link to RE's website with loan product details, customer care, privacy policies, etc.</t>
  </si>
  <si>
    <t>• [Must] DLAs (if owned by LSP) must have a nodal grievance redressal officer
• [Must] DLAs must comply with data collection and storage requirements
• [Must] DLA details must be prominently disclosed on RE's website
• [Must] RE must ensure timely reporting of DLAs by June 15, 2025</t>
  </si>
  <si>
    <t>RE shall report all DLAs deployed/ joined by them, whether their own or those of the LSPs, either exclusively or as a platform participant, on the Centralised Withdrawn Information Management System (CIMS) portal of RBI in the requisite format as given in the Annex-I to these Directions.</t>
  </si>
  <si>
    <t>Due diligence for digital lending guarantee providers</t>
  </si>
  <si>
    <t>Retail Entities must establish a Board-approved policy before entering into Digital Lending Guarantee (DLG) arrangements. The policy must include eligibility criteria, DLG coverage details, monitoring processes, and fee structures. RE must ensure DLG providers can honor commitments and maintain robust credit underwriting standards.</t>
  </si>
  <si>
    <t>Requires due diligence on DLG providers, impacting risk assessment and data sharing with third parties.</t>
  </si>
  <si>
    <t>• [Must] RE must have a Board-approved policy before entering DLG arrangements
• [Must] Policy must include eligibility criteria for DLG providers
• [Must] Policy must detail nature and extent of DLG cover
• [Must] Policy must specify monitoring and review processes for DLG arrangements</t>
  </si>
  <si>
    <t>• [Must] Policy must include details of fees payable or received by DLG providers
• [Must] RE must ensure DLG arrangements do not substitute credit appraisal requirements
• [Must] RE must obtain information to verify DLG provider's ability to honor commitments
• [Must] DLG provider must submit a certified declaration on outstanding DLG amounts, number of REs, portfolios, and past default rates</t>
  </si>
  <si>
    <t>RE, including a RE acting as DLG provider, shall put in place a Board approved policy before entering into any DLG arrangement.</t>
  </si>
  <si>
    <t>Restrictions on digital lending guarantee arrangements</t>
  </si>
  <si>
    <t>Retail Entities cannot enter into DLG arrangements for revolving credit facilities through digital lending channels or credit cards. They also cannot enter into DLG arrangements for loans covered by credit guarantee schemes administered by trust funds. NBFC-P2P entities are prohibited from entering into DLG arrangements for loans facilitated over their platforms.</t>
  </si>
  <si>
    <t>Sets specific restrictions on DLG arrangements, affecting data transfer and processing for certain financial products.</t>
  </si>
  <si>
    <t>• [Must Not] RE shall not enter into DLG arrangements for revolving credit facilities offered through digital lending channel and credit cards
• [Must Not] RE shall not enter into DLG arrangements for loans covered by credit guarantee schemes administered by trust funds</t>
  </si>
  <si>
    <t>• [Must Not] NBFC-P2P shall not enter into DLG arrangements for loans facilitated over their platform</t>
  </si>
  <si>
    <t>RE shall not enter into DLG arrangements for revolving credit facilities offered through digital lending channel and credit cards as defined under Master Direction – Credit Card and Debit Card – Issuance and Conduct Directions, 2022 dated April 21, 2022.</t>
  </si>
  <si>
    <t>Regulatory capital treatment for digital lending guarantees</t>
  </si>
  <si>
    <t>This section mandates that capital computation for individual loan assets under digital lending guarantees (DLGs) continues using existing norms. DLG providers that are REs (Reserve Enterprises) must deduct the full outstanding DLG amount from their capital. The section specifies that capital calculations for credit risk mitigation must follow extant regulatory frameworks.</t>
  </si>
  <si>
    <t>DLG arrangements must be deducted from capital for REs, impacting capital adequacy calculations for financial institutions engaged in digital lending.</t>
  </si>
  <si>
    <t>• [Must] Capital computation for individual loan assets under DLG must follow extant norms</t>
  </si>
  <si>
    <t>• [Must] REs must deduct full outstanding DLG amount from capital</t>
  </si>
  <si>
    <t>Capital computation, i.e., computation of exposure and application of Credit Risk Mitigation benefits on individual loan assets in the portfolio shall continue to be governed by the extant norms.</t>
  </si>
  <si>
    <t>Monthly disclosure of DLG portfolio details to public</t>
  </si>
  <si>
    <t>REs must publish monthly on their website the total number of portfolios and respective amounts of each portfolio covered by DLG. The RE's name may or may not be disclosed. Disclosure must be completed within seven working days after the month ends. This section establishes transparency requirements for DLG arrangements.</t>
  </si>
  <si>
    <t>REs must publicly disclose DLG portfolio details monthly, creating transparency requirements for data transfer impact assessments involving digital lending guarantees.</t>
  </si>
  <si>
    <t>• [Must] REs must publish monthly on website total portfolios and respective DLG amounts
• [May] RE name may or may not be disclosed in public disclosures</t>
  </si>
  <si>
    <t>• [Must] Monthly disclosures must be completed within seven working days after month ends</t>
  </si>
  <si>
    <t>RE shall put in place a mechanism to ensure that LSPs with whom they have a DLG arrangement shall publish on their website the total number of portfolios and the respective amount of each portfolio on which DLG has been offered.</t>
  </si>
  <si>
    <t>Exclusions for DLG coverage under specific schemes</t>
  </si>
  <si>
    <t>Guarantees covered under specific schemes like CGTMSE, CRGFTLIH, NCGTC, BIS, IMF, and Multilateral Development Banks are excluded from DLG coverage. This section defines which guarantees do not qualify as DLG under the regulatory framework.</t>
  </si>
  <si>
    <t>Certain guarantees (e.g., government-backed schemes) are excluded from DLG coverage, reducing the scope of data transfer impact assessments for these specific instruments.</t>
  </si>
  <si>
    <t>• [Must Not] CGTMSE, CRGFTLIH, and NCGTC schemes are excluded from DLG coverage</t>
  </si>
  <si>
    <t>• [Must Not] BIS, IMF, and Multilateral Development Bank guarantees are excluded from DLG coverage</t>
  </si>
  <si>
    <t>Guarantees covered under the following schemes/ entities shall not be covered within the definition of DLG</t>
  </si>
  <si>
    <t>Special provisions for credit card EMIs and DLG arrangements</t>
  </si>
  <si>
    <t>EMI programs on credit cards are governed by specific Master Directions and not covered under DLG. Other credit card loans fall under DLG. DLG arrangements conforming to Chapter VI instructions are not treated as synthetic securitisation or loan participation. These Directions do not override other extant regulatory norms.</t>
  </si>
  <si>
    <t>DLG arrangements must comply with specific credit card EMIs and securitisation rules, affecting data transfer impact assessments for financial institutions using credit card-based lending.</t>
  </si>
  <si>
    <t>• [Must] Credit card EMI programs are governed by specific Master Directions and not covered under DLG
• [Must] DLG arrangements conforming to Chapter VI instructions are not treated as synthetic securitisation</t>
  </si>
  <si>
    <t>• [Must] DLG arrangements conforming to Chapter VI instructions do not attract loan participation provisions
• [Must] These Directions do not override other extant regulatory norms</t>
  </si>
  <si>
    <t>DLG arrangements entered between RE and LSP conforming to the instructions laid down in Chapter VI of these Directions shall not be treated as synthetic securitisation</t>
  </si>
  <si>
    <t>Repeal of previous circulars and transitional provisions</t>
  </si>
  <si>
    <t>20–24</t>
  </si>
  <si>
    <t>The Directions repeal specific circulars mentioned in Annex III. Actions taken under repealed circulars remain valid if not inconsistent with these Directions. This section handles the transition from previous regulations to the new framework.</t>
  </si>
  <si>
    <t>Repeal provisions ensure continuity of regulatory compliance for financial institutions transitioning from old to new DLG frameworks.</t>
  </si>
  <si>
    <t>• [Must] Circulars listed in Annex III are repealed with issuance of these Directions</t>
  </si>
  <si>
    <t>• [Must] Actions under repealed circulars remain valid if not inconsistent with these Directions</t>
  </si>
  <si>
    <t>With the issuance of these Directions, the instructions/guidelines contained in the circulars mentioned in the Annex - III issued by RBI stand repealed.</t>
  </si>
  <si>
    <t>RBI Master Direction on Information Technology Framework for NBFC Sector (2017) (India - Row 15)</t>
  </si>
  <si>
    <t>Income Declaration Scheme cash deposits and bank hesitancy</t>
  </si>
  <si>
    <t>Customer Information</t>
  </si>
  <si>
    <t>This section acknowledges the Income Declaration Scheme 2016's implementation since June 1, 2016, and notes that some declarants may wish to pay tax dues in cash. It highlights that banks are hesitant to accept large cash deposits for government accounts under this scheme.</t>
  </si>
  <si>
    <t>• [Must] The Income Declaration Scheme 2016 has come into effect from June 1, 2016</t>
  </si>
  <si>
    <t>• [Must] Some declarants may like to pay their tax dues in cash</t>
  </si>
  <si>
    <t>2. As you are aware, the Income Declaration Scheme, 2016 (the Scheme) has come into effect from June 1, 2016 and some declarants may like to pay their tax dues in cash.</t>
  </si>
  <si>
    <t>Banks must accept all cash deposits regardless of amount</t>
  </si>
  <si>
    <t>Customer Information, Financial Data</t>
  </si>
  <si>
    <t>Customer Data, Financial Data</t>
  </si>
  <si>
    <t>Banks must accept cash deposits of any amount from declarants at counters, including those under the Income Declaration Scheme via challan ITNS-286. Banks must also comply with Know Your Customer requirements for all customers and walk-in customers.</t>
  </si>
  <si>
    <t>• [Must] Banks must invariably accept cash, irrespective of amount, over the counters from all declarants</t>
  </si>
  <si>
    <t>• [Must] Banks shall comply with Know Your Customer requirements for customers and walk-in customers</t>
  </si>
  <si>
    <t>3. We advise that banks must invariably accept cash, irrespective of amount, over the counters from all declarants who desire to deposit cash at the counters, including deposits under the above Scheme through challan ITNS-286.</t>
  </si>
  <si>
    <t>RBI Master Direction on Outsourcing of IT Services (MDS on IT Outsourcing, 2023) (India - Row 16)</t>
  </si>
  <si>
    <t>Cloud adoption business analysis</t>
  </si>
  <si>
    <t>REs must analyze business strategy and goals against current IT applications footprint and associated costs before adopting cloud solutions, considering the range from non-business critical workloads to critical business applications such as SaaS adoption.</t>
  </si>
  <si>
    <t>Cloud adoption requires REs to conduct business technology risk assessments to determine appropriate cloud migration scope based on criticality of workloads.</t>
  </si>
  <si>
    <t>• [Must] RE must analyze business strategy and goals against current IT applications footprint and associated costs</t>
  </si>
  <si>
    <t>While considering adoption of cloud solution, it is imperative to analyse the business strategy and goals adopted to the current IT applications footprint and associated costs.</t>
  </si>
  <si>
    <t>Cloud data lifecycle coverage</t>
  </si>
  <si>
    <t>Cloud Services, Data Storage</t>
  </si>
  <si>
    <t>REs must ensure their IT outsourcing policy covers the entire lifecycle of data from generation to permanent deletion, with procedures consistent with business needs and legal/regulatory requirements.</t>
  </si>
  <si>
    <t>Cloud data lifecycle coverage ensures REs maintain end-to-end data management from creation to destruction, aligning with regulatory requirements.</t>
  </si>
  <si>
    <t>• [Must] IT outsourcing policy must cover entire data lifecycle from generation to permanent deletion</t>
  </si>
  <si>
    <t>• [Must] Procedures must be consistent with business needs and legal/regulatory requirements</t>
  </si>
  <si>
    <t>In engaging cloud services, REs shall ensure, inter alia, that the Outsourcing of IT Services policy addresses the entire lifecycle of data, i.e., covering the entire span of time from generation of the data, its entry into the cloud, till the data is permanently erased/ deleted.</t>
  </si>
  <si>
    <t>Cloud service specific risk considerations</t>
  </si>
  <si>
    <t>REs must consider cloud service-specific factors such as multi-tenancy and multi-location data storage while establishing risk management frameworks, with cloud security being a shared responsibility between RE and Cloud Service Provider.</t>
  </si>
  <si>
    <t>Cloud service-specific risks require REs to account for multi-tenancy and multi-location data storage while implementing shared security responsibilities with CSPs.</t>
  </si>
  <si>
    <t>• [Must] RE must consider cloud service-specific factors such as multi-tenancy and multi-location data storage
• [Must] RE must establish appropriate risk management framework for cloud services</t>
  </si>
  <si>
    <t>• [Should] Cloud security is a shared responsibility between RE and Cloud Service Provider</t>
  </si>
  <si>
    <t>In adoption of cloud services, REs shall take into account the cloud service specific factors, viz., multi-tenancy, multi-location storing/ processing of data, etc., and attendant risks, while establishing appropriate risk management framework.</t>
  </si>
  <si>
    <t>Cloud governance policy requirements</t>
  </si>
  <si>
    <t>REs must adopt and demonstrate a well-established cloud adoption policy that identifies movable activities, protects stakeholder interests, ensures compliance with privacy, security, data sovereignty and storage requirements, and provides for risk management of CSPs.</t>
  </si>
  <si>
    <t>Cloud governance policies require REs to define clear adoption frameworks that address data sovereignty, security and compliance while managing CSP-related risks.</t>
  </si>
  <si>
    <t>• [Must] RE must adopt and demonstrate well-established documented cloud adoption policy
• [Must] Policy must identify activities that can be moved to cloud</t>
  </si>
  <si>
    <t>• [Must] Policy must enable protection of stakeholder interests
• [Must] Policy must ensure compliance with regulatory requirements including privacy, security, data sovereignty and storage</t>
  </si>
  <si>
    <t>REs shall adopt and demonstrate a well-established and documented cloud adoption policy. Such a policy should, inter alia, identify the activities that can be moved to the cloud, enable and support protection of various stakeholder interests, ensure compliance with regulatory requirements, including those on privacy, security, data sovereignty, recoverability and data storage requirements, aligned with data classification.</t>
  </si>
  <si>
    <t>Selection criteria for cloud service providers</t>
  </si>
  <si>
    <t>Cloud Services, Security, Data Storage</t>
  </si>
  <si>
    <t>Reserve Banks (REs) must conduct a comprehensive risk assessment before selecting cloud service providers (CSPs). REs are required to enter contracts only with CSPs operating in jurisdictions that guarantee enforceable agreements and rights related to data storage, protection, and confidentiality. This ensures legal safeguards for REs when outsourcing cloud infrastructure.</t>
  </si>
  <si>
    <t>Requires CSP selection based on jurisdictional enforceability of agreements and data protection rights, critical for cross-border data transfers involving cloud services.</t>
  </si>
  <si>
    <t>• [Must] REs shall ensure that the selection of the CSP is based on a comprehensive risk assessment of the CSP</t>
  </si>
  <si>
    <t>• [Must] REs shall enter into a contract only with CSPs subject to jurisdictions that uphold enforceability of agreements and the rights available thereunder to REs, including those relating to aspects such as data storage, data protection and confidentiality</t>
  </si>
  <si>
    <t>REs shall ensure that the selection of the CSP is based on a comprehensive risk assessment of the CSP. REs shall enter into a contract only with CSPs subject to jurisdictions that uphold enforceability of agreements and the rights available thereunder to REs, including those relating to aspects such as data storage, data protection and confidentiality.</t>
  </si>
  <si>
    <t>Cloud security and management requirements</t>
  </si>
  <si>
    <t>Cloud Services, Security, Data Storage, Access Control</t>
  </si>
  <si>
    <t>Reserve Banks (REs) must implement cloud architectures adhering to globally recognized standards, with secure container-based data management where encryption keys and Hardware Security Modules are under RE control. REs must enforce role-based access with multi-factor authentication, segregation of duties, and strict access controls. Security controls must match or exceed on-premise standards, including network security, configuration management, and change authorization. Continuous monitoring and vulnerability management are mandatory to ensure robust incident response and cyber resilience.</t>
  </si>
  <si>
    <t>Mandates technical and operational safeguards for cloud environments, directly impacting data security and compliance during cross-border data transfers.</t>
  </si>
  <si>
    <t>• [Must] REs shall ensure that the service and technology architecture supporting cloud-based applications is built in adherence to globally recognised architecture principles and standards
• [Must] REs shall prefer a technology architecture that provides for secure container-based data management, where encryption keys and Hardware Security Modules are under the control of the RE
• [Must] The architecture should provide for a standard set of tools and processes to manage containers, images and releases
• [Must] Multi-tenancy environments should be protected against data integrity and confidentiality risks, and against co-mingling of data
• [Must] The architecture should be resilient and enable smooth recovery in case of failure of any one or combination of components across the cloud architecture with minimal impact on data/information security
• [Must] IAM shall be agreed upon with the CSP and ensured for providing role-based access to the cloud hosted applications, in respect of user-access and privileged-access
• [Must] Stringent access controls, as applicable for an on-premise application, may be established for identity and access management to cloud-based applications
• [Must] Segregation of duties and role conflict matrix should be implemented for all kinds of user-access and privileged-access roles in the cloud-hosted application irrespective of the cloud service model
• [Must] Access provisioning should be governed by principles of 'need to know' and 'least privileges'
• [Must] Multi-factor authentication should be implemented for access to cloud applications
• [Must] REs shall ensure that the implementation of security controls in the cloud-based application achieves similar or higher degree of control objectives than those achieved in/on-premise application</t>
  </si>
  <si>
    <t>• [Must] Secure connection through appropriate deployment of network security resources and their configurations
• [Must] Appropriate and secure configurations, monitoring of the cloud assets utilised by the RE
• [Must] Necessary procedures to authorise changes to cloud applications and related resources
• [Must] REs shall accurately define minimum monitoring requirements in the cloud environment
• [Must] REs should ensure to assess the information/cyber security capability of the cloud service provider, such that the CSP maintains an information security policy framework commensurate with its exposures to vulnerabilities and threats
• [Must] CSP is able to maintain its information/cyber security capability with respect to changes in vulnerabilities and threats, including those resulting from changes to information assets or its business environment
• [Must] Nature and frequency of testing of controls by the CSP in respect of the outsourced services is commensurate with the materiality of the services being outsourced by the RE and the threat environment
• [Must] CSP has mechanisms in place to assess the sub-contractors with regards to confidentiality, integrity and availability of the data being shared with the sub-contractors, where applicable
• [Must] REs shall ensure appropriate integration of logs, events from the CSP into the RE's SOC, where applicable and/or retention of relevant logs in cloud for incident reporting and handling of incidents
• [Must] The RE's own efforts in securing its application shall be complemented by the CSP's cyber resilience controls. The CSP/RE shall ensure continuous and regular updates of security-related software including upgrades, fixes, patches and service packs for protecting the application from advanced threats/malware
• [Must] REs shall ensure that CSPs have a well-governed and structured approach to manage threats and vulnerabilities supported by requisite industry-specific threat intelligence capabilities</t>
  </si>
  <si>
    <t>REs shall ensure that the service and technology architecture supporting cloud-based applications is built in adherence to globally recognised architecture principles and standards. REs shall prefer a technology architecture that provides for secure container-based data management, where encryption keys and Hardware Security Modules are under the control of the RE.</t>
  </si>
  <si>
    <t>Disaster recovery and cyber resilience requirements</t>
  </si>
  <si>
    <t>Reserve Banks (REs) must maintain business continuity frameworks that allow critical operations to continue with minimal disruption during cloud service failures or CSP outages. REs must ensure CSPs demonstrate cyber resilience capabilities through robust incident response and recovery practices, including regular Disaster Recovery (DR) drills at various levels of cloud services.</t>
  </si>
  <si>
    <t>Requires business continuity and cyber resilience measures for cloud services, essential for maintaining data integrity during disruptions and cross-border data transfers.</t>
  </si>
  <si>
    <t>• [Must] The RE's business continuity framework shall ensure that, in the event of a disaster affecting its cloud services or failure of the CSP, the RE can continue its critical operations with minimal disruption of services while ensuring integrity and security
• [Must] REs shall ensure that the CSP puts in place demonstrative capabilities for preparedness and readiness for cyber resilience as regards cloud services in use by them</t>
  </si>
  <si>
    <t>• [Must] This should be systematically ensured, inter alia, through robust incident response and recovery practices including conduct of Disaster Recovery (DR) drills at various levels of cloud services including necessary stakeholders</t>
  </si>
  <si>
    <t>The RE's business continuity framework shall ensure that, in the event of a disaster affecting its cloud services or failure of the CSP, the RE can continue its critical operations with minimal disruption of services while ensuring integrity and security.</t>
  </si>
  <si>
    <t>Exit strategy considerations for cloud services</t>
  </si>
  <si>
    <t>Reserve Banks (REs) must evaluate exit strategies that include agreed processes for returning service collaterals and data, data completeness and portability, secure data purging, smooth service transitions, and clear liability definitions. REs must ensure contractual exit plans specify how cloud-hosted services and data will be moved out with minimal business impact while maintaining data integrity and security.</t>
  </si>
  <si>
    <t>Requires detailed exit strategies for cloud services to ensure data portability and security during transitions, critical for cross-border data transfers.</t>
  </si>
  <si>
    <t>• [Must] the exit strategy and service level stipulations in the SLA shall factor in, inter alia, agreed processes and turnaround times for returning the RE's service collaterals and data held by the CSP
• [Must] the exit strategy and service level stipulations in the SLA shall factor in, inter alia, data completeness and portability
• [Must] the exit strategy and service level stipulations in the SLA shall factor in, inter alia, secure purge of RE's information from the CSP's environment
• [Must] the exit strategy and service level stipulations in the SLA shall factor in, inter alia, smooth transition of services</t>
  </si>
  <si>
    <t>• [Must] the exit strategy and service level stipulations in the SLA shall factor in, inter alia, unambiguous definition of liabilities, damages, penalties and indemnities
• [Must] monitoring the ongoing design of applications and service delivery technology stack that the exit plans should align with
• [Must] contractually agreed exit / termination plans should specify how the cloud-hosted service(s) and data will be moved out from the cloud with minimal impact on continuity of the RE's business, while maintaining integrity and security
• [Must] All records of transactions, customer and operational information, configuration data should be promptly taken over in a systematic manner from the CSP and purged at the CSP-end and independent assurance sought before signing off from the CSP</t>
  </si>
  <si>
    <t>the exit strategy and service level stipulations in the SLA shall factor in, inter alia, agreed processes and turnaround times for returning the RE's service collaterals and data held by the CSP</t>
  </si>
  <si>
    <t>Audit and assurance requirements for cloud services</t>
  </si>
  <si>
    <t>Reserve Banks (REs) must conduct audits, periodic reviews, or third-party certifications covering roles and responsibilities, access controls, network configurations, monitoring mechanisms, data encryption, log reviews, change management, incident response, and resilience testing to ensure cloud governance compliance.</t>
  </si>
  <si>
    <t>Requires regular audits and certifications for cloud services to verify security and compliance, critical for data transfer impact assessments.</t>
  </si>
  <si>
    <t>• [Must] The audit/ periodic review/ third-party certifications should cover, as per applicability and cloud usage, inter alia, aspects such as roles and responsibilities of both RE and CSP in cloud governance, access and network controls, configurations, monitoring mechanism, data encryption, log review, change management, incident response, and resilienc…</t>
  </si>
  <si>
    <t>The audit/ periodic review/ third-party certifications should cover, as per applicability and cloud usage, inter alia, aspects such as roles and responsibilities of both RE and CSP in cloud governance, access and network controls, configurations, monitoring mechanism, data encryption, log review, change management, incident response, and resilience preparedness and testing</t>
  </si>
  <si>
    <t>Board Responsibilities for IT Outsourcing Risk Management</t>
  </si>
  <si>
    <t>Cross-border Transfer, International Processing, Data Storage, Security, Governance, Record Keeping</t>
  </si>
  <si>
    <t>The Board must establish a framework for approving IT outsourcing activities based on risk and materiality, approve policies for evaluating risks and materiality of existing and prospective outsourcing arrangements, and create an administrative framework for Senior Management to implement these requirements.</t>
  </si>
  <si>
    <t>Directly impacts DTIA by requiring Board-level risk assessment and approval of IT outsourcing activities, ensuring alignment with financial institution risk management frameworks.</t>
  </si>
  <si>
    <t>• [Must] The Board shall be responsible for putting in place a framework for approval of IT outsourcing activities depending on risks and materiality
• [Must] The Board shall approve policies to evaluate the risks and materiality of all existing and prospective IT outsourcing arrangements</t>
  </si>
  <si>
    <t>• [Must] The Board shall set up suitable administrative framework of Senior Management for the purpose of these Directions</t>
  </si>
  <si>
    <t>The Board of the RE shall be responsible, inter alia, for: a) putting in place a framework for approval of IT outsourcing activities depending on risks and materiality; b) approving policies to evaluate the risks and materiality of all existing and prospective IT outsourcing arrangements; and c) setting up suitable administrative framework of Senior Management for the purpose of these Directions.</t>
  </si>
  <si>
    <t>Senior Management Responsibilities for IT Outsourcing Oversight</t>
  </si>
  <si>
    <t>Cross-border Transfer, International Processing, Data Storage, Security, Incident Reporting, Breach Notification, Governance, Record Keeping</t>
  </si>
  <si>
    <t>Senior Management must formulate IT outsourcing policies aligned with enterprise-wide risk management, evaluate risks and materiality of existing and prospective arrangements, conduct periodic reviews of outsourcing performance, identify and mitigate IT outsourcing risks, ensure business continuity plans, oversee data confidentiality, manage customer grievances, conduct independent audits, and build necessary skillsets for outsourcing oversight.</t>
  </si>
  <si>
    <t>Critical for DTIA as it mandates detailed oversight mechanisms for third-party data handling, including risk identification, mitigation, and business continuity planning for cross-border data transfers.</t>
  </si>
  <si>
    <t>• [Must] Senior Management shall formulate IT outsourcing policies and procedures
• [Must] Senior Management shall evaluate risks and materiality of existing and prospective IT outsourcing arrangements based on enterprise-wide risk management approved by the Board
• [Must] Senior Management shall conduct prior evaluation of prospective IT outsourcing arrangements and periodic evaluation of existing arrangements covering performance review, criticality and associated risks
• [Must] Senior Management shall identify IT outsourcing risks as they arise, monitor, mitigate, manage and report to the Board/Board Committee
• [Must] Senior Management shall ensure business continuity plans based on realistic disruptive scenarios including third-party provider exit</t>
  </si>
  <si>
    <t>• [Must] Senior Management shall ensure effective oversight over third party for data confidentiality
• [Must] Senior Management shall ensure timely redressal of customer grievances
• [Must] Senior Management shall ensure periodic independent review and audit for compliance with legislation, regulations, Board-approved policy and performance standards
• [Must] Senior Management shall create essential capacity with required skillsets for proper oversight of outsourced activities</t>
  </si>
  <si>
    <t>The Senior Management of the RE shall, inter alia, be responsible for: a) formulating IT outsourcing policies and procedures, evaluating the risks and materiality of all existing and prospective IT outsourcing arrangements based on the framework commensurate with the complexity, nature and scope, in line with the enterprise-wide risk management of the organisation approved by the Board and its implementation; b) prior evaluation of prospective IT outsourcing arrangements and periodic evaluation of the existing outsourcing arrangements covering the performance review, criticality and associated risks of all such arrangements based on the policy approved by the Board; c) identifying IT outsourcing risks as they arise, monitoring, mitigating, managing and reporting of such risks to the Board/ Board Committee in a timely manner; d) ensuring that suitable business continuity plans based on realistic and probable disruptive scenarios, including exit of any third-party service provider, are in place and tested periodically; e) ensuring (i) effective oversight over third party for data confidentiality and (ii) appropriate redressal of customer grievances in a timely manner; f) ensuring an independent review and audit on a periodic basis for compliance with the legislations, regulations, Board-approved policy and performance standards and reporting the same to Board/ Board Committee; and g) creating essential capacity with required skillsets within the organisation for proper oversight of outsourced activities.</t>
  </si>
  <si>
    <t>IT Function Responsibilities for Outsourcing Oversight</t>
  </si>
  <si>
    <t>The IT Function must assist Senior Management in identifying, measuring, monitoring, mitigating and managing IT outsourcing risks, maintain a central database of all outsourcing arrangements for Board and Senior Management review, monitor outsourced activities to ensure service provider performance, coordinate periodic due diligence, and establish documentation for contractual agreements including service level management and risk classification.</t>
  </si>
  <si>
    <t>Directly relevant to DTIA as it specifies technical oversight mechanisms for third-party data handling, including risk monitoring, service performance tracking, and contractual documentation requirements.</t>
  </si>
  <si>
    <t>• [Must] IT Function shall assist Senior Management in identifying, measuring, monitoring, mitigating and managing IT outsourcing risk
• [Must] IT Function shall maintain a central database of all IT outsourcing arrangements accessible for review by Board, Senior Management, Auditors and Supervisors
• [Must] IT Function shall monitor and supervise outsourced activities to ensure service providers meet performance standards and provide uninterrupted services</t>
  </si>
  <si>
    <t>• [Must] IT Function shall report to Senior Management on outsourced activities
• [Must] IT Function shall coordinate periodic due diligence and highlight concerns with Senior Management
• [Must] IT Function shall put in place necessary documentation for contractual agreements including service level management, monitoring of vendor operations, key risk indicators and vendor classification based on risk</t>
  </si>
  <si>
    <t>The responsibilities of the IT Function of the RE shall, inter alia, include: a) assisting the Senior Management in identifying, measuring, monitoring, mitigating and managing the level of IT outsourcing risk in the organisation; b) ensuring that a central database of all IT outsourcing arrangements is maintained and is accessible for review by Board, Senior Management, Auditors and Supervisors; c) effectively monitor and supervise the outsourced activity to ensure that the service providers meet the laid down performance standards and provide uninterrupted services, report to the Senior Management; co-ordinate periodic due diligence and highlight concerns, if any; and d) putting in place necessary documentation required for contractual agreements including service level management, monitoring of vendor operations, key risk indicators and classifying the vendors as per the determined risk.</t>
  </si>
  <si>
    <t>Due Diligence Requirements for Service Providers</t>
  </si>
  <si>
    <t>Financial institutions must conduct risk-based due diligence on service providers to assess their capability to comply with outsourcing agreements, consider qualitative, quantitative, financial, operational, legal and reputational factors, obtain independent reviews and market feedback, and evaluate concentration risks from single or few service providers.</t>
  </si>
  <si>
    <t>Critical for DTIA as it mandates comprehensive due diligence on third-party service providers, including risk assessment and concentration risk evaluation for cross-border data transfers.</t>
  </si>
  <si>
    <t>• [Must] Appropriate due diligence shall be performed to assess service provider capability to comply with outsourcing agreement obligations on an ongoing basis
• [Must] A risk-based approach shall be adopted in conducting due diligence activities
• [Must] Due diligence shall consider qualitative, quantitative, financial, operational, legal and reputational factors</t>
  </si>
  <si>
    <t>• [Must] REs shall obtain independent reviews and market feedback on service providers to supplement assessment
• [Must] REs shall consider risks arising from concentration of outsourcing arrangements with single or few service providers</t>
  </si>
  <si>
    <t>a) In considering or renewing an Outsourcing of IT Services arrangement, appropriate due diligence shall be performed to assess the capability of the service provider to comply with obligations in the outsourcing agreement on an ongoing basis. b) A risk-based approach shall be adopted in conducting such due diligence activities. c) Due diligence shall take into consideration qualitative, quantitative, financial, operational, legal and reputational factors. Where possible, the RE shall obtain independent reviews and market feedback on the service provider to supplement its own assessment. d) REs shall also consider, while evaluating the capability of the service provider, risks arising from concentration of outsourcing arrangements with a single or a few service provider/s.</t>
  </si>
  <si>
    <t>Due Diligence Evaluation Criteria for Service Providers</t>
  </si>
  <si>
    <t>Due diligence must evaluate service providers' past experience, financial soundness, business reputation, conflict of interest, external factors affecting data security, technology infrastructure stability, data segregation capabilities, due diligence on employees and subcontractors, regulatory compliance, information security risk assessments, data protection controls, and ability to enforce agreements.</t>
  </si>
  <si>
    <t>Directly impacts DTIA by specifying detailed evaluation criteria for third-party service providers, including data segregation, security controls, and regulatory compliance requirements for cross-border data transfers.</t>
  </si>
  <si>
    <t>• [Must] Evaluate service provider's past experience and demonstrated competence to implement and support proposed IT activity over contract period
• [Must] Assess service provider's financial soundness and ability to service commitments under adverse conditions
• [Must] Evaluate service provider's business reputation, culture, compliance, complaints, and outstanding or potential litigations
• [Must] Assess service provider's conflict of interest, if any
• [Must] Evaluate external factors like political, economic, social and legal environment affecting data security and service performance
• [Must] Assess service provider's technology, infrastructure stability, security, internal control, audit coverage, reporting and monitoring procedures, data backup arrangements, business continuity management and disaster recovery plans
• [Must] Evaluate service provider's capability to identify and segregate RE's data</t>
  </si>
  <si>
    <t>• [Must] Assess service provider's quality of due diligence on employees and subcontractors
• [Must] Evaluate service provider's capability to comply with regulatory and legal requirements of outsourcing arrangements
• [Must] Conduct information/cyber security risk assessment
• [Must] Ensure appropriate controls, assurance requirements and contractual arrangements for data protection and RE's access to data processed by service providers
• [Must] Evaluate service provider's ability to effectively service all customers while maintaining confidentiality
• [Must] Evaluate service provider's ability to enforce agreements and rights related to data storage, data protection and confidentiality</t>
  </si>
  <si>
    <t>Due diligence shall involve evaluation of all available information, as applicable, about the service provider, including but not limited to: a) past experience and demonstrated competence to implement and support the proposed IT activity over the contract period; b) financial soundness and ability to service commitments even under adverse conditions; c) business reputation and culture, compliance, complaints and outstanding or potential litigations; d) conflict of interest, if any; e) external factors like political, economic, social and legal environment of the jurisdiction in which the service provider operates and other events that may impact data security and service performance; f) details of the technology, infrastructure stability, security and internal control, audit coverage, reporting and monitoring procedures, data backup arrangements, business continuity management and disaster recovery plan; g) capability to identify and segregate REs data; h) quality of due diligence exercised by the service provider with respect to its employees and sub-contractors; i) capability to comply with the regulatory and legal requirements of the Outsourcing of IT Services arrangement; j) information/ cyber security risk assessment; k) ensuring that appropriate controls, assurance requirements and possible contractual arrangements are in place to ensure data protection and RE's access to the data which is processed, managed or stored by the service provider; l) ability to effectively service all the customers while maintaining confidentiality, especially where a service provider has exposure to multiple entities; and m) ability to enforce agreements and the rights available thereunder including those relating to aspects such as data storage, data protection and confidentiality.</t>
  </si>
  <si>
    <t>Legally binding agreement requirements for IT service providers</t>
  </si>
  <si>
    <t>Outsourcing, Data Residency</t>
  </si>
  <si>
    <t>Reserve Entities (REs) must ensure legally binding agreements define their rights, obligations, and those of service providers. The agreement must address task criticality, associated risks, and mitigation strategies. Legal counsel must vet terms for enforceability and flexibility to retain control over outsourced activities and meet regulatory obligations. The agreement must clarify the legal relationship between parties.</t>
  </si>
  <si>
    <t>This section mandates specific contractual safeguards for IT outsourcing, including risk management, regulatory compliance, and control mechanisms that directly impact cross-border data transfers by requiring data residency in India and clear contractual terms for data handling.</t>
  </si>
  <si>
    <t>• [Must] REs must ensure legally binding agreements define rights and obligations of REs and service providers
• [Must] Agreements should consider criticality of outsourced tasks, associated risks, and mitigation strategies
• [Must] Contract terms must be vetted by RE's legal counsel for legal effect and enforceability</t>
  </si>
  <si>
    <t>• [Must] Agreements must be flexible to allow REs to retain control over outsourced activities and intervene to meet legal obligations
• [Must] Agreements must clarify the legal relationship between parties</t>
  </si>
  <si>
    <t>REs shall ensure that their rights and obligations and those of each of their service providers are clearly defined and set out in a legally binding written agreement.</t>
  </si>
  <si>
    <t>Mandatory clauses for IT outsourcing agreements</t>
  </si>
  <si>
    <t>15–18</t>
  </si>
  <si>
    <t>Outsourcing, Data Residency, Security, Data Sharing</t>
  </si>
  <si>
    <t>Agreements must include specific clauses such as details of outsourced activities with performance standards, access to relevant data, regular monitoring of service providers, reporting of material adverse events, compliance with IT Act 2000, service-level agreements, data storage in India, data sharing disclosures, confidentiality controls, data sharing permissions, resolution processes, contingency planning, audit rights, third-party oversight, and contractual liability for sub-contractors.</t>
  </si>
  <si>
    <t>This section specifies critical clauses for IT outsourcing agreements that ensure data residency in India, robust security controls, and clear contractual terms for data handling, directly impacting cross-border data transfers by mandating Indian data storage and strict access controls.</t>
  </si>
  <si>
    <t>• [Must] Agreements must specify details of outsourced activities with performance standards including sub-contractor standards
• [Must] REs must ensure effective access to all data, books, records, information, logs, alerts, and business premises relevant to outsourced activities
• [Must] REs must conduct regular monitoring and assessment of service providers for continuous risk management
• [Must] Agreements must define material adverse events and reporting requirements to enable prompt risk mitigation
• [Must] Service providers must comply with IT Act 2000 and other legal requirements to protect customer data
• [Must] Agreements must include service-level agreements formalizing performance criteria
• [Must] Data storage must be in India as per regulatory requirements
• [Must] Agreements must require service providers to disclose data captured, processed, and stored
• [Must] Service providers must maintain confidentiality controls and be liable for security breaches
• [Must] Agreements must specify data sharing permissions with RE's customers and other parties
• [Must] Agreements must include resolution processes, events of default, indemnities, remedies, and recourse
• [Must] Service providers must have contingency plans for business continuity and testing requirements</t>
  </si>
  <si>
    <t>• [Must] REs must have right to audit service providers (including sub-contractors) and obtain audit reports
• [Must] REs must have right to seek information about third parties in the supply chain
• [Must] Agreements must allow RBI or authorized persons to access RE's IT infrastructure and data
• [Must] Service providers must be contractually liable for sub-contractors' performance and risk management
• [Must] Service providers must comply with RBI directions on outsourced activities
• [Must] REs must require prior approval for service providers to use sub-contractors
• [Must] REs must retain termination rights including ability to transfer outsourcing to another provider
• [Must] Service providers must cooperate with regulators in case of RE insolvency/resolution
• [Must] Service providers must have skilled resources as 'essential personnel' for critical functions
• [Must] Service providers must have back-to-back arrangements with OEMs
• [Must] Service providers must sign non-disclosure agreements</t>
  </si>
  <si>
    <t>The agreement at a minimum should include (as applicable to the scope of Outsourcing of IT Services) the following aspects: details of the activity being outsourced, including appropriate service and performance standards including for the sub-contractors, if any;</t>
  </si>
  <si>
    <t>Risk management framework for IT outsourcing</t>
  </si>
  <si>
    <t>REs must establish a comprehensive risk management framework for IT outsourcing that covers identification, measurement, mitigation, management, and reporting of risks. Risk assessments must be documented with necessary approvals from Board, Senior Management, and IT Function. REs are responsible for data confidentiality and integrity, access to data on need-to-know basis with security controls, and oversight of multiple service providers. REs must report cyber incidents to RBI within 6 hours of detection by the service provider.</t>
  </si>
  <si>
    <t>This section requires REs to implement robust risk management practices for IT outsourcing, including incident reporting within 6 hours to RBI, which directly impacts cross-border data transfers by mandating timely breach notifications and data security controls.</t>
  </si>
  <si>
    <t>• [Must] REs must put in place a risk management framework for IT outsourcing covering identification, measurement, mitigation, management, and reporting of risks
• [Must] Risk assessments must be documented with necessary approvals from Board, Senior Management, and IT Function
• [Must] REs must ensure confidentiality and integrity of customer data available to service providers
• [Must] Access to data at RE's location must be on need-to-know basis with appropriate security controls
• [Must] REs must ensure security and confidentiality of customer information by service provider staff on need-to-know basis</t>
  </si>
  <si>
    <t>• [Must] REs must monitor control environments of all service providers accessing RE's data
• [Must] Service providers must report cyber incidents to RE without undue delay, and RE must report to RBI within 6 hours of detection
• [Must] REs must review and monitor service provider security practices to disclose breaches and notify RBI immediately
• [Must] REs must assess concentration risk from multiple outsourcings to the same service provider</t>
  </si>
  <si>
    <t>REs shall put in place a Risk Management framework for Outsourcing of IT Services that shall comprehensively deal with the processes and responsibilities for identification, measurement, mitigation, management, and reporting of risks associated with Outsourcing of IT Services arrangements.</t>
  </si>
  <si>
    <t>Business continuity and disaster recovery for IT outsourcing</t>
  </si>
  <si>
    <t>REs must require service providers to develop robust Business Continuity Plans (BCPs) and Disaster Recovery Plans (DRPs) commensurate with outsourced activities. REs must consider alternative service providers or in-house solutions during emergencies. REs must retain control over IT outsourcing arrangements to mitigate risks from termination or insolvency of service providers. REs must ensure service providers can isolate RE's information to facilitate removal or destruction of data in adverse conditions.</t>
  </si>
  <si>
    <t>This section mandates business continuity and disaster recovery plans for IT outsourcing, ensuring data can be isolated and removed from service providers during emergencies, which is critical for cross-border data transfers to prevent data retention in foreign jurisdictions.</t>
  </si>
  <si>
    <t>• [Must] REs must require service providers to develop and maintain robust BCP and DRP frameworks
• [Must] REs must consider alternative service providers or in-house solutions during emergencies</t>
  </si>
  <si>
    <t>• [Must] REs must retain control over IT outsourcing arrangements to mitigate risks from termination or insolvency
• [Must] REs must ensure service providers can isolate RE's information to facilitate removal or destruction of data</t>
  </si>
  <si>
    <t>REs shall require their service providers to develop and establish a robust framework for documenting, maintaining and testing Business Continuity Plan (BCP) and Disaster Recovery Plan (DRP) commensurate with the nature and scope of the outsourced activity as per extant instructions issued by RBI from time to time on BCP/ DR requirements.</t>
  </si>
  <si>
    <t>Monitoring and control of outsourced IT activities</t>
  </si>
  <si>
    <t>20–22</t>
  </si>
  <si>
    <t>REs must establish a management structure to monitor and control outsourced IT activities, including performance, uptime, service availability, SLA adherence, and incident response. REs must conduct regular audits of service providers (including sub-contractors) with the option to pool audits for multiple REs. Audits must assess service provider performance, risk management practices, and compliance with laws. REs must periodically review financial and operational conditions of service providers to assess their ability to meet obligations.</t>
  </si>
  <si>
    <t>This section requires REs to implement continuous monitoring and auditing of outsourced IT activities, ensuring service providers maintain compliance with data security and regulatory requirements, which directly impacts cross-border data transfers through strict oversight mechanisms.</t>
  </si>
  <si>
    <t>• [Must] REs must have a management structure to monitor and control outsourced IT activities
• [Must] REs must conduct regular audits of service providers (including sub-contractors)
• [May] REs may pool audit resources for common service providers to reduce costs</t>
  </si>
  <si>
    <t>• [Must] Audits must assess service provider performance, risk management practices, and compliance with laws
• [Must] REs must review financial and operational conditions of service providers periodically</t>
  </si>
  <si>
    <t>REs shall have in place a management structure to monitor and control its Outsourced IT activities. This shall include (as applicable to the scope of Outsourcing of IT Services) but not limited to monitoring the performance, uptime of the systems and resources, service availability, adherence to SLA requirements, incident response mechanism, etc.</t>
  </si>
  <si>
    <t>Group outsourcing within business conglomerates</t>
  </si>
  <si>
    <t>REs may outsource IT activities within their business group or conglomerate if backed by Board-approved policy and appropriate service level agreements. Selection of group entities must be based on objective criteria similar to third-party selection, with conflicts of interest addressed. REs must maintain arm's-length relationships with group entities and apply identical risk management practices as for non-related parties.</t>
  </si>
  <si>
    <t>This section allows for group-level outsourcing but requires strict risk management practices and arm's-length relationships, which can impact cross-border data transfers if group entities operate in different jurisdictions.</t>
  </si>
  <si>
    <t>• [May] REs may outsource IT activities within business group if backed by Board-approved policy and service level agreements
• Selection of group entities must be based on objective criteria similar to third-party selection
• [Must] REs must address conflicts of interest in group outsourcing arrangements</t>
  </si>
  <si>
    <t>• [Must] REs must maintain arm's-length relationships with group entities
• [Must] Risk management practices for group entities must be identical to non-related parties</t>
  </si>
  <si>
    <t>A RE may outsource any IT activity/ IT enabled service within its business group/ conglomerate, provided that such an arrangement is backed by the Board-approved policy and appropriate service level arrangements/ agreements with its group entities are in place.</t>
  </si>
  <si>
    <t>Cross-border outsourcing country risk management</t>
  </si>
  <si>
    <t>The recipient entity (RE) must continuously monitor the political, social, economic and legal conditions of the foreign jurisdiction where the service provider is based, establish procedures to mitigate country risk including contingency and exit strategies, and ensure records remain accessible to the RE and RBI even during service provider liquidation. This applies to REs engaging cross-border IT service providers.</t>
  </si>
  <si>
    <t>Cross-border outsourcing requires REs to manage country risk through continuous monitoring of foreign jurisdiction conditions and establishing contingency/exit strategies to ensure data accessibility during service provider liquidation.</t>
  </si>
  <si>
    <t>• [Must] RE must closely monitor government policies and political, social, economic and legal conditions of foreign jurisdiction continuously
• [Must] RE must establish sound procedures for mitigating country risk including contingency and exit strategies</t>
  </si>
  <si>
    <t>• [Must] RE must ensure availability of records to RE and RBI is not affected even during service provider liquidation</t>
  </si>
  <si>
    <t>The engagement of a service provider based in a different jurisdiction exposes the RE to country risk. To manage such risk, the RE shall closely monitor government policies of the jurisdiction in which the service provider is based and the political, social, economic and legal conditions on a continuous basis, as well as establish sound procedures for mitigating the country risk.</t>
  </si>
  <si>
    <t>Exit strategy for IT outsourcing</t>
  </si>
  <si>
    <t>3–5</t>
  </si>
  <si>
    <t>The RE must include a clear exit strategy in its IT outsourcing policy that ensures business continuity during and after exit, covering different scenarios of termination with minimum execution periods. The agreement must include clauses for safe data and hardware removal/destruction, prohibiting the service provider from altering data during transition unless instructed by the regulator.</t>
  </si>
  <si>
    <t>IT outsourcing exit strategies require REs to define clear transition protocols for data and hardware destruction while preventing service provider data alterations during transition periods.</t>
  </si>
  <si>
    <t>• [Must] IT outsourcing policy must contain clear exit strategy ensuring business continuity during and after exit
• [Must] Exit strategy must include plans for different exit scenarios with stipulated minimum execution periods</t>
  </si>
  <si>
    <t>• [Must] Agreement must have clauses for safe removal/destruction of data, hardware and records
• [Must] Service provider must be prohibited from erasing, purging, revoking, altering or changing data during transition unless specifically advised by regulator</t>
  </si>
  <si>
    <t>The Outsourcing of IT Services policy shall contain a clear exit strategy with regard to outsourced IT activities/ IT enabled services, while ensuring business continuity during and after exit.</t>
  </si>
  <si>
    <t>RBI Payment Data Localisation Requirement (India - Row 17)</t>
  </si>
  <si>
    <t>Payment data storage requirement for system providers</t>
  </si>
  <si>
    <t>Data Storage, Cross-border Transfer, Financial Data</t>
  </si>
  <si>
    <t>System providers must store all payment system data within India, including end-to-end transaction details. Foreign transaction data may be stored abroad if necessary. System providers must comply with this requirement within six months and report compliance to the Reserve Bank by October 15, 2018.</t>
  </si>
  <si>
    <t>Requires payment data to be stored within India, creating a data residency requirement that impacts cross-border data transfers and storage arrangements for payment systems.</t>
  </si>
  <si>
    <t>• [Must] All system providers shall ensure that the entire data relating to payment systems operated by them are stored in a system only in India
• [Must Not] For the foreign leg of the transaction, if any, the data can also be stored in the foreign country, if required</t>
  </si>
  <si>
    <t>• [Must] System providers shall ensure compliance of the data storage requirement within a period of six months
• [Must] System providers shall report compliance to the Reserve Bank latest by October 15, 2018</t>
  </si>
  <si>
    <t>It is observed that not all system providers store the payments data in India. In order to ensure better monitoring, it is important to have unfettered supervisory access to data stored with these system providers as also with their service providers / intermediaries/ third party vendors and other entities in the payment ecosystem.</t>
  </si>
  <si>
    <t>Reserve Bank of India – IT Governance and Cybersecurity Regulatory Framework (including Master Directions and Cyber Security Framework) (India - Row 18)</t>
  </si>
  <si>
    <t>Short Title and Commencement</t>
  </si>
  <si>
    <t>This section specifies that the Directions shall be called the Reserve Bank of India (Information Technology Governance, Risk, Controls and Assurance Practices) Directions, and establishes the effective date of the Directions.</t>
  </si>
  <si>
    <t>• [Definition] These Directions shall be called the Reserve Bank of India (Information Technology Governance, Risk, Controls and Assurance Practices) Directions</t>
  </si>
  <si>
    <t>1. Short Title and Commencement</t>
  </si>
  <si>
    <t>Applicability of Directions</t>
  </si>
  <si>
    <t>This section specifies which entities are covered by the Directions (Banking Companies, Non-Banking Financial Companies, Credit Information Companies, and All India Financial Institutions) and which entities are excluded (Local Area Banks, NBFC-Core Investment Companies). It also explains the 'comply or explain' approach for foreign banks operating in India through branch mode.</t>
  </si>
  <si>
    <t>• [Definition] These Directions shall be applicable to Banking Companies, Non-Banking Financial Companies, Credit Information Companies, and All India Financial Institutions
• [Definition] These Directions shall not be applicable to Local Area Banks and NBFC-Core Investment Companies</t>
  </si>
  <si>
    <t>• [Definition] In the case of foreign banks operating in India through branch mode, reference to the board or board of directors should be read as reference to the controlling office/ head office
• [Definition] Foreign banks operating in India through branch mode shall be subject to a 'comply or explain' approach</t>
  </si>
  <si>
    <t>2. Applicability (a) These Directions shall be applicable to the following entities (collectively referred to as 'regulated entities' or 'REs' in these directions): (i) all Banking Companies, Corresponding New Banks and State Bank of India as defined under subsections (c), (da) and (nc) of section 5 of the Banking Regulation Act, 1949 (collectively referred to as 'commercial banks' hereinafter). (ii) Non-Banking Financial Companies (hereinafter referred to as 'NBFCs') as defined under clause (f) of section 45I of the Reserve Bank of India Act, 1934 and included in the 'Top Layer', 'Upper Layer' and 'Middle Layer' defined in paragraphs 1.5, 1.4 and 1.3 respectively of the Annex to RBI circular DOR.CRE.REC.No.60/03.10.001/2021-22 dated October 22, 2021 on 'Scale Based Regulation (SBR): A Revised Regulatory Framework for NBFCs'. (iii) Credit Information Companies as defined under clause (e) of section 2 of the Credit Information Companies (Regulation) Act, 2005 (hereinafter referred to as 'Credit Information Companies' or 'CICs'). (iv) EXIM Bank, National Bank for Agriculture and Rural Development ('NABARD'), National Bank for Financing Infrastructure and Development ('NaBFID'), National Housing Bank ('NHB') and Small Industries Development Bank of India ('SIDBI') as established by the Export-Import Bank of India Act, 1981; the National Bank for Agriculture and Rural Development Act, 1981; the National Bank For Financing Infrastructure and Development Act, 2021; National Housing Bank Act, 1987 and the Small Industries Development Bank of India Act, 1989 respectively (hereinafter referred to as 'All India Financial Institutions' or 'AIFIs'). (b) These Directions shall not be applicable to: (i) Local Area Banks (ii) NBFC-Core Investment Companies (c) In the case of foreign banks operating in India through branch mode, reference to the board or board of directors in these Directions should be read as reference to the controlling office/ head office which has the oversight over the branch operations in India. Further, such foreign banks shall be subject to a 'comply or explain' approach in terms of the applicability of these Directions.</t>
  </si>
  <si>
    <t>Definitions of key terms</t>
  </si>
  <si>
    <t>This section provides detailed definitions for terms such as 'Cyber', 'Cyber event', 'Cyber security', 'Cyber incident', 'Cyber-attack', 'De-militarized Zone', 'Information Asset', 'Information System', and 'IT Risk'. It also states that all expressions unless defined have the same meaning as under relevant Acts and Rules.</t>
  </si>
  <si>
    <t>• [Definition] In these Directions, unless the context states otherwise, the terms herein shall bear the meanings assigned to them below</t>
  </si>
  <si>
    <t>3. Definitions2 (a) In these Directions, unless the context states otherwise, the terms herein shall bear the meanings assigned to them below: (i) 'Cyber' - Relating to, within, or through the medium of the interconnected information infrastructure of interactions among persons, processes, data, and information systems. (ii) 'Cyber event' – Any observable occurrence in an information system. Cyber events sometimes provide indication that a cyber incident is occurring. (iii) 'Cyber security' - Preservation of confidentiality, integrity and availability of information and/or information systems through the cyber medium. In addition, other properties, such as authenticity, accountability, non-repudiation and reliability can also be involved. (iv) 'Cyber incident3' shall mean a cyber event that adversely affects the cyber security of an information asset whether resulting from malicious activity or not. (v) 'Cyber-attack' - Malicious attempt(s) to exploit vulnerabilities through the cyber medium to damage, disrupt or gain unauthorized access to assets. (vi) 'De-militarized Zone4' or 'DMZ' is a perimeter network segment that is logically between internal and external networks. (vii) 'Information Asset5' - Any piece of data, device or other component of the environment that supports information-related activities. Information Assets include information system, data, hardware and software. (viii) 'Information System' - Set of applications, services, information technology assets or other information-handling components, which includes the operating environment and networks. (ix) 'IT Risk6' - The business risk associated with the use, ownership, operation, involvement, influence and adoption of IT within an enterprise. (x) 'Privileged user7' refers to user who, by virtue of function, and/or role, has been allocated powers within an information system, which are significantly greater than those available to the majority of users.</t>
  </si>
  <si>
    <t>IT Governance Framework Focus Areas</t>
  </si>
  <si>
    <t>This section mandates that banking entities establish an IT Governance Framework covering strategic alignment, risk management, resource management, performance management, and Business Continuity/Disaster Recovery Management. The framework must specify governance structures, roles and responsibilities, and oversight mechanisms to ensure accountability and mitigate IT and cyber risks. These requirements apply to all banking entities operating in India.</t>
  </si>
  <si>
    <t>This section establishes foundational governance structures that impact data transfer by requiring robust oversight of IT and cybersecurity risks, which are critical for ensuring data security during cross-border transfers.</t>
  </si>
  <si>
    <t>• [Must] The key focus areas of IT Governance shall include strategic alignment, risk management, resource management, performance management and Business Continuity/Disaster Recovery Management
• [Must] REs shall put in place a robust IT Governance Framework based on the aforementioned focus areas that inter alia: specifies the governance structure and processes necessary to meet the RE's business/ strategic objectives
• [Must] REs shall put in place a robust IT Governance Framework based on the aforementioned focus areas that inter alia: specifies the roles (including authority) and responsibilities of the Board of Directors (Board) / Board level Committee and Senior Management</t>
  </si>
  <si>
    <t>• [Must] REs shall put in place a robust IT Governance Framework based on the aforementioned focus areas that inter alia: includes adequate oversight mechanisms to ensure accountability and mitigation of IT and cyber/ information security risks
• [Must] Enterprise-wide risk management policy or operational risk management policy shall also incorporate periodic assessment of IT-related risks (both inherent and potential risk)</t>
  </si>
  <si>
    <t>4. IT Governance Framework (a) The key focus areas of IT Governance shall include strategic alignment, risk management, resource management, performance management and Business Continuity/ Disaster Recovery Management. (b) REs shall put in place a robust IT Governance Framework based on the aforementioned focus areas that inter alia: (i) specifies the governance structure and processes necessary to meet the RE's business/ strategic objectives; (ii) specifies the roles (including authority) and responsibilities of the Board of Directors (Board) / Board level Committee and Senior Management; and (iii) includes adequate oversight mechanisms to ensure accountability and mitigation of IT and cyber/ information security risks. (c) Enterprise-wide risk management policy or operational risk management policy shall also incorporate periodic assessment of IT-related risks (both inherent and potential risk).</t>
  </si>
  <si>
    <t>Board Approval of IT Strategies</t>
  </si>
  <si>
    <t>This section requires that the Board of Directors approve IT, Information Assets, Business Continuity, Information Security, and Cyber Security strategies and policies, including Incident Response and Recovery Management. The Board must review these strategies at least annually to ensure ongoing alignment with the institution's objectives and risk management practices.</t>
  </si>
  <si>
    <t>Board approval of IT and cybersecurity strategies ensures that data transfers are aligned with robust security frameworks, critical for cross-border data handling.</t>
  </si>
  <si>
    <t>• [Must] The strategies and policies related to IT, Information Assets, Business Continuity, Information Security, Cyber Security (including Incident Response and Recovery Management/ Cyber Crisis Management) shall be approved by the Board of Directors</t>
  </si>
  <si>
    <t>• [Must] Such strategies and policies shall be reviewed at least annually by the Board</t>
  </si>
  <si>
    <t>5. Role of the Board of Directors (a) The strategies and policies related to IT, Information Assets, Business Continuity, Information Security, Cyber Security (including Incident Response and Recovery Management/ Cyber Crisis Management) shall be approved by the Board of Directors. (b) Such strategies and policies shall be reviewed at least annually by the Board.</t>
  </si>
  <si>
    <t>Board-Level IT Strategy Committee Requirements</t>
  </si>
  <si>
    <t>This section mandates that banking entities establish a Board-level IT Strategy Committee with minimum three directors, including an independent chair with substantial IT expertise and technically competent members. The committee must meet quarterly and ensure strategic IT planning, alignment with business objectives, effective risk management, and annual review of business continuity planning.</t>
  </si>
  <si>
    <t>The IT Strategy Committee ensures that data transfer mechanisms align with robust business continuity and risk management practices, critical for cross-border data operations.</t>
  </si>
  <si>
    <t>• [Must] REs shall establish a Board-level IT Strategy Committee (ITSC)
• [Must] While constituting the ITSC, REs shall ensure: Minimum of three directors as members
• [Must] While constituting the ITSC, REs shall ensure: The Chairperson of the ITSC shall be an independent director and have substantial IT expertise in managing/ guiding information technology initiatives
• [Must] While constituting the ITSC, REs shall ensure: Members are technically competent
• [Must] The ITSC shall meet at least on a quarterly basis
• [Must] The ITSC shall ensure that the RE has put an effective IT strategic planning process in place</t>
  </si>
  <si>
    <t>• [Must] The ITSC shall guide in preparation of IT Strategy and ensure that the IT Strategy aligns with the overall strategy of the RE towards accomplishment of its business objectives
• [Must] The ITSC shall satisfy itself that the IT Governance and Information Security Governance structure fosters accountability, is effective and efficient, has adequate skilled resources, well defined objectives and unambiguous responsibilities for each level in the organisation
• [Must] The ITSC shall ensure that the RE has put in place processes for assessing and managing IT and cybersecurity risks
• [Must] The ITSC shall ensure that the budgetary allocations for the IT function (including for IT security), cyber security are commensurate with the RE's IT maturity, digital depth, threat environment and industry standards and are utilised in a manner intended for meeting the stated objectives
• [Must] The ITSC shall review, at least on annual basis, the adequacy and effectiveness of the Business Continuity Planning and Disaster Recovery Management of the RE</t>
  </si>
  <si>
    <t>6. IT Strategy Committee of the Board (a) REs shall establish a Board-level IT Strategy Committee (ITSC). (b) While constituting the ITSC, REs shall ensure: (i) Minimum of three directors as members; (ii) The Chairperson of the ITSC shall be an independent director and have substantial IT expertise in managing/ guiding information technology initiatives; and (iii) Members are technically competent. (c) The ITSC shall meet at least on a quarterly basis. (d) The ITSC shall: (i) Ensure that the RE has put an effective IT strategic planning process in place; (ii) Guide in preparation of IT Strategy and ensure that the IT Strategy aligns with the overall strategy of the RE towards accomplishment of its business objectives; (iii) Satisfy itself that the IT Governance and Information Security Governance structure fosters accountability, is effective and efficient, has adequate skilled resources, well defined objectives and unambiguous responsibilities for each level in the organisation; (iv) Ensure that the RE has put in place processes for assessing and managing IT and cybersecurity risks; (v) Ensure that the budgetary allocations for the IT function (including for IT security), cyber security are commensurate with the RE's IT maturity, digital depth, threat environment and industry standards and are utilised in a manner intended for meeting the stated objectives; and (vi) Review, at least on annual basis, the adequacy and effectiveness of the Business Continuity Planning and Disaster Recovery Management of the RE.</t>
  </si>
  <si>
    <t>Senior Management and IT Steering Committee</t>
  </si>
  <si>
    <t>This section requires that senior management ensure effective IT strategy execution, operational resilience, risk management, and cyber security posture. Banking entities must establish an IT Steering Committee to oversee business continuity, IT architecture compliance, and quarterly reviews of IT activities.</t>
  </si>
  <si>
    <t>Senior management oversight ensures data transfer mechanisms are resilient and compliant, critical for maintaining data integrity during cross-border transfers.</t>
  </si>
  <si>
    <t>• [Must] The Senior Management of the RE shall, inter alia, ensure: Execution of the IT Strategy approved by the Board
• [Must] The Senior Management of the RE shall, inter alia, ensure: IT/ IS and their support infrastructure are functioning effectively and efficiently
• [Must] The Senior Management of the RE shall, inter alia, ensure: Necessary IT risk management processes are in place and create a culture of IT risk awareness and cyber hygiene practices in the RE
• [Must] The Senior Management of the RE shall, inter alia, ensure: Cyber security posture of the RE is robust
• [Must] The Senior Management of the RE shall, inter alia, ensure: Overall, IT contributes to productivity, effectiveness and efficiency in business operations
• [Must] REs shall establish an IT Steering Committee with representation at Senior Management level from IT and business functions</t>
  </si>
  <si>
    <t>• [Must] The responsibilities of IT Steering Committee, inter alia, shall be to: Assist the ITSC in strategic IT planning, oversight of IT performance, and aligning IT activities with business needs
• [Must] The responsibilities of IT Steering Committee, inter alia, shall be to: Oversee the processes put in place for business continuity and disaster recovery
• [Must] The responsibilities of IT Steering Committee, inter alia, shall be to: Ensure implementation of a robust IT architecture meeting statutory and regulatory compliance
• [Must] The responsibilities of IT Steering Committee, inter alia, shall be to: Update ITSC and CEO periodically on the activities of IT Steering Committee
• [Must] The IT Steering Committee shall meet at least on a quarterly basis</t>
  </si>
  <si>
    <t>7. Senior Management and IT Steering Committee (a) The Senior Management of the RE shall, inter alia, ensure: (i) Execution of the IT Strategy approved by the Board; (ii) IT/ IS and their support infrastructure are functioning effectively and efficiently; (iii) Necessary IT risk management processes are in place and create a culture of IT risk awareness and cyber hygiene practices in the RE; (iv) Cyber security posture of the RE is robust; and (v) Overall, IT contributes to productivity, effectiveness and efficiency in business operations. (b) REs shall establish an IT Steering Committee with representation at Senior Management level from IT and business functions. (c) The responsibilities of IT Steering Committee, inter alia, shall be to: (i) Assist the ITSC in strategic IT planning, oversight of IT performance, and aligning IT activities with business needs; (ii) Oversee the processes put in place for business continuity and disaster recovery; (iii) Ensure implementation of a robust IT architecture meeting statutory and regulatory compliance; and (iv) Update ITSC and CEO periodically on the activities of IT Steering Committee. (d) The IT Steering Committee shall meet at least on a quarterly basis.</t>
  </si>
  <si>
    <t>Head of IT Function Responsibilities</t>
  </si>
  <si>
    <t>This section requires banking entities to appoint a sufficiently senior, technically competent Head of IT Function responsible for aligning IT projects with strategy, ensuring effective organizational structures, and implementing disaster recovery strategies. The Head must also manage IT controls and risks to secure information assets and comply with regulatory requirements.</t>
  </si>
  <si>
    <t>The Head of IT Function ensures data transfer mechanisms are secure and compliant, critical for maintaining data integrity across borders.</t>
  </si>
  <si>
    <t>• [Must] REs shall appoint a sufficiently senior level, technically competent and experienced official in IT related aspects as Head of IT Function
• [Must] The Head of IT Function shall, inter alia, be responsible for the following: Ensuring that the execution of IT projects/ initiatives is aligned with the RE's IT Policy and IT Strategy
• [Must] The Head of IT Function shall, inter alia, be responsible for the following: Ensuring that there is an effective organisational structure to support IT functions in the RE</t>
  </si>
  <si>
    <t>• [Must] The Head of IT Function shall, inter alia, be responsible for the following: Putting in place an effective disaster recovery setup and business continuity strategy/ plan
• [Must] As a first line of defence, the Head of IT Function shall ensure effective assessment, evaluation and management of IT controls and IT risk, including the implementation of robust internal controls, to (i) secure the RE's information assets (ii) comply with extant internal policies, regulatory and legal requirements on IT related aspects</t>
  </si>
  <si>
    <t>8. Head of IT Function (a) REs shall appoint a sufficiently senior level, technically competent and experienced official in IT related aspects as Head of IT Function. (b) The Head of IT Function shall, inter alia, be responsible for the following: (i) Ensuring that the execution of IT projects/ initiatives is aligned with the RE's IT Policy and IT Strategy; (ii) Ensuring that there is an effective organisational structure to support IT functions in the RE; and (iii) Putting in place an effective disaster recovery setup and business continuity strategy/ plan. (c) As a first line of defence, the Head of IT Function shall ensure effective assessment, evaluation and management of IT controls and IT risk, including the implementation of robust internal controls, to (i) secure the RE's information assets (ii) comply with extant internal policies, regulatory and legal requirements on IT related aspects.</t>
  </si>
  <si>
    <t>IT Services Management Framework</t>
  </si>
  <si>
    <t>This section mandates banking entities to implement a robust IT Service Management Framework ensuring operational resilience, including Service Level Management processes, security classification of information assets, and technology refresh plans to avoid outdated hardware/software. It requires monitoring end-of-support dates and annual maintenance contracts for IT infrastructure.</t>
  </si>
  <si>
    <t>IT Services Management ensures data transfer mechanisms are resilient and up-to-date, critical for maintaining data security during cross-border transfers.</t>
  </si>
  <si>
    <t>• [Must] REs shall put in place a robust IT Service Management Framework for supporting their information systems and infrastructure to ensure the operational resilience of their entire IT environment (including DR sites)
• [Must] A Service Level Management (SLM) process shall be put in place to manage the IT operations while ensuring effective segregation of duties
• [Must] REs shall ensure identification and mapping of the security classification (in terms of Confidentiality, Integrity, and Availability) of information assets based on their criticality to the REs' operations</t>
  </si>
  <si>
    <t>• [Must] For seamless continuity of business operations, REs shall avoid using outdated and unsupported hardware or software and shall monitor software's end-of-support (EOS) date and Annual Maintenance Contract (AMC) dates of IT hardware on an ongoing basis
• [Must] REs shall develop a technology refresh plan for the replacement of hardware and software in a timely manner before they reach EOS</t>
  </si>
  <si>
    <t>9. IT Services Management (a) REs shall put in place a robust IT Service Management Framework for supporting their information systems and infrastructure to ensure the operational resilience of their entire IT environment (including DR sites). (b) A Service Level Management (SLM) process shall be put in place to manage the IT operations while ensuring effective segregation of duties. (c) REs shall ensure identification and mapping of the security classification (in terms of Confidentiality, Integrity, and Availability) of information assets based on their criticality to the REs' operations. (d) For seamless continuity of business operations, REs shall avoid using outdated and unsupported hardware or software and shall monitor software's end-of-support (EOS) date and Annual Maintenance Contract (AMC) dates of IT hardware on an ongoing basis. (e) REs shall develop a technology refresh plan for the replacement of hardware and software in a timely manner before they reach EOS.</t>
  </si>
  <si>
    <t>Third-party vendor risk management for IT services</t>
  </si>
  <si>
    <t>Third Party Processing, Data Sharing, Security</t>
  </si>
  <si>
    <t>Reserve Bank of India (REs) must implement vendor risk assessment processes for third-party arrangements outside specific outsourcing directions. These processes must address concentration risk, conflicts of interest, single point of failure risks, compliance with data protection laws, high availability requirements, and supply chain risk management. The requirements apply to all REs handling IT services.</t>
  </si>
  <si>
    <t>Requires REs to assess and mitigate third-party risks before transferring data across borders through vendors, directly impacting cross-border data transfer impact assessments.</t>
  </si>
  <si>
    <t>• [Must] REs must implement vendor risk assessment process proportionate to risk and materiality
• [Must] REs must mitigate concentration risk
• [Must] REs must eliminate or address conflicts of interest
• [Must] REs must mitigate risks associated with single point of failure</t>
  </si>
  <si>
    <t>• [Must] REs must comply with legal and regulatory requirements to protect customer data
• [Must] REs must provide high availability for uninterrupted customer service
• [Must] REs must manage supply chain risks effectively</t>
  </si>
  <si>
    <t>REs shall, put in place appropriate vendor risk assessment process and controls proportionate to the assessed risk and materiality to, inter alia: mitigate concentration risk; eliminate or address any conflict of interests; mitigate risks associated with single point of failure; comply with applicable legal, regulatory requirements and standards to protect customer data; provide high availability (for uninterrupted customer service); and manage supply chain risks effectively.</t>
  </si>
  <si>
    <t>IT capacity planning and resource management</t>
  </si>
  <si>
    <t>Data Storage, Processing</t>
  </si>
  <si>
    <t>Reserve Bank of India (REs) must ensure IT systems support business functions and service delivery channels. REs must annually assess IT capacity requirements, aligning with past trends, current business needs, and future projections. IT capacity planning must be reviewed by the ITSC to ensure consistency with the RE's IT strategy.</t>
  </si>
  <si>
    <t>Ensures IT capacity planning aligns with business needs and regulatory requirements, critical for data storage and processing across borders without service disruptions.</t>
  </si>
  <si>
    <t>• [Must] REs must ensure information systems support business functions and service delivery channels
• [Must] REs must annually assess IT capacity requirements
• [Must] REs must ensure IT capacity planning aligns with past trends, current business needs, and future projections</t>
  </si>
  <si>
    <t>• [Must] REs must have IT capacity planning consistent with RE's IT strategy
• [Must] IT capacity requirements and measures must be reviewed by ITSC</t>
  </si>
  <si>
    <t>REs shall ensure that information systems and infrastructure are able to support business functions and ensure availability of all service delivery channels. On an annual or more frequent basis, REs shall proactively assess capacity requirement of IT resources. REs shall ensure that IT capacity planning across components, services, system resources, supporting infrastructure is consistent with past trends (peak usage), the current business requirements and projected future needs as per the IT strategy of the RE. The assessment of IT capacity requirements and measures taken to address the issues shall be reviewed by the ITSC.</t>
  </si>
  <si>
    <t>IT project management and application security</t>
  </si>
  <si>
    <t>Security, Data Sharing</t>
  </si>
  <si>
    <t>Reserve Bank of India (REs) must follow formal project management approaches for IT projects, including stakeholder participation for risk monitoring. REs must adopt new technologies aligned with risk appetite and business strategy, maintain enterprise data dictionaries, ensure software vendor support through formal agreements, obtain source codes or escrow arrangements, and verify application security through vulnerability certificates.</t>
  </si>
  <si>
    <t>Requires REs to implement robust project management and security controls for IT applications, directly impacting data transfer and processing security across borders.</t>
  </si>
  <si>
    <t>• [Must] REs must follow consistent and formally defined project management approach for IT projects
• [Must] REs must enable stakeholder participation for effective monitoring and management of project risks and progress
• [Must] REs must follow standard enterprise architecture planning methodology when adopting new technologies
• [Must] Adoption of new technologies must align with RE's risk appetite and business strategy
• [Must] REs must maintain enterprise data dictionary for data sharing and common understanding
• [Must] REs must ensure software vendors provide maintenance and support through formal agreements</t>
  </si>
  <si>
    <t>• [Must] REs must obtain source codes for critical applications from vendors
• [Must] REs must implement source code escrow arrangements if source code cannot be obtained
• [Must] REs must ensure product updates and fixes are included in source code escrow arrangements
• [Must] REs must obtain certificate of application free of known vulnerabilities, malware, and covert channels
• [Must] REs must obtain certificate whenever material changes to code occur
• [Must] REs must subject new IT applications to product approval and quality assurance process</t>
  </si>
  <si>
    <t>REs shall follow a consistent and formally defined project management approach for IT projects undertaken by them. The project management approach shall, inter alia, enable appropriate stakeholder participation for effective monitoring and management of project risks and progress. While adopting new or emerging technologies, tools, or revamping their existing ones in the technology stack, REs shall follow a standard enterprise architecture planning methodology or framework. Adoption of new or emerging technologies shall be commensurate with the risk appetite and align with overall Business/ IT strategy of the RE. It should facilitate optimal creation, use, or sharing of information by a business in a secure and resilient way. REs shall maintain enterprise data dictionary to enable the sharing of data among applications and information systems and promote a common understanding of data. REs shall ensure that maintenance and necessary support of software applications is provided by the software vendors and the same is enforced through formal agreement. REs shall obtain the source codes for all critical applications from their vendors. Where obtaining of the source code is not possible, REs shall put in place a source code escrow arrangement or other arrangements to adequately mitigate the risk of default by the vendor. REs shall ensure that all product updates and programme fixes are included in the source code escrow arrangement. REs shall obtain a certificate or a written confirmation from the application developer or vendor stating that the application is free of known vulnerabilities, malware, and any covert channels in the code. Such a certificate or a written confirmation shall also be obtained whenever material changes to the code, including upgrades, occur. Any new IT application proposed to be introduced as a business product shall be subjected to product approval and quality assurance process.</t>
  </si>
  <si>
    <t>Change and patch management procedures</t>
  </si>
  <si>
    <t>Reserve Bank of India (REs) must implement documented change and patch management policies to assess business impact, ensure secure and timely implementation with approvals, justify changes through business needs, and establish recovery mechanisms for failed deployments.</t>
  </si>
  <si>
    <t>Requires REs to manage changes and patches securely to prevent data breaches during cross-border data transfers, critical for DTIA compliance.</t>
  </si>
  <si>
    <t>• [Must] REs must assess business impact of implementing patches or changes
• [Must] REs must apply and review patches/changes securely and timely with necessary approvals</t>
  </si>
  <si>
    <t>• [Must] Changes to applications must be justified by genuine business needs and approved with documentation
• [Must] REs must establish mechanism to recover from failed changes or patch deployments</t>
  </si>
  <si>
    <t>REs shall put in place documented policy(ies) and procedures for change and patch management to ensure the following: the business impact of implementing patches/ changes (or not implementing a particular patch/ change request) are assessed; the patches/ changes are applied/ implemented and reviewed in a secure and timely manner with necessary approvals; any changes to an application system or data are justified by genuine business needs and approvals supported by documentation and subjected to a robust change management process; and mechanism is established to recover from failed changes/ patch deployment or unexpected results.</t>
  </si>
  <si>
    <t>Data migration policies and integrity controls</t>
  </si>
  <si>
    <t>Reserve Bank of India (REs) must have documented data migration policies ensuring data integrity, completeness, and consistency. The policies must include signoffs from business users and application owners at each migration stage and maintenance of audit trails.</t>
  </si>
  <si>
    <t>Ensures data migration across borders maintains integrity and consistency, critical for DTIA compliance when transferring data internationally.</t>
  </si>
  <si>
    <t>• [Must] REs must have documented data migration policy specifying systematic process for data migration
• [Must] REs must ensure data integrity, completeness and consistency during migration</t>
  </si>
  <si>
    <t>• [Must] REs must obtain signoffs from business users and application owners at each migration stage
• [Must] REs must maintain audit trails during data migration</t>
  </si>
  <si>
    <t>REs shall have a documented data migration policy specifying a systematic process for data migration, ensuring data integrity, completeness and consistency. The policy shall, inter alia, contain provisions pertaining to signoffs from business users and application owners at each stage of migration, maintenance of audit trails, etc.</t>
  </si>
  <si>
    <t>Audit trail requirements for critical systems</t>
  </si>
  <si>
    <t>Reserve Bank of India (REs) must implement audit and logging capabilities for all IT applications accessing critical or sensitive information. Audit trails must be detailed enough for forensic evidence, dispute resolution, and non-repudiation. REs must monitor audit trails regularly to detect unauthorized activity.</t>
  </si>
  <si>
    <t>Requires robust audit trails for cross-border data transfers to ensure accountability and detect unauthorized access, directly impacting DTIA compliance.</t>
  </si>
  <si>
    <t>• [Must] Every IT application accessing critical or sensitive information must have necessary audit and system logging capability
• [Must] Audit trails must satisfy business requirements apart from regulatory and legal requirements</t>
  </si>
  <si>
    <t>• [Must] Audit trails must be detailed enough for forensic evidence, dispute resolution, and non-repudiation
• [Must] REs must monitor audit trails and system logs regularly to detect unauthorized activity</t>
  </si>
  <si>
    <t>Every IT application which can access or affect critical or sensitive information, shall have necessary audit and system logging capability and should provide audit trails. The audit trails shall satisfy a RE's business requirements apart from regulatory and legal requirements. The audit trails must be detailed enough to facilitate the conduct of audit, serve as forensic evidence when required and assist in dispute resolution, including for non-repudiation purposes. REs shall put in place a system for regularly monitoring the audit trails and system logs to detect any unauthorised activity.</t>
  </si>
  <si>
    <t>Cryptographic controls for secure data transmission</t>
  </si>
  <si>
    <t>Security, Encryption, Access Control</t>
  </si>
  <si>
    <t>Financial institutions must use strong cryptographic standards for data transmission, processing and authentication. They must adopt internationally accepted, non-deprecated algorithms and protocols that comply with existing laws and regulatory instructions. These controls ensure data security during critical operations.</t>
  </si>
  <si>
    <t>Requires strong cryptographic standards for data transmission and processing, impacting cross-border data transfers through encryption requirements and protocol compliance.</t>
  </si>
  <si>
    <t>• [Must] Key length, algorithms, cipher suites and applicable protocols used in transmission channels, processing of data and authentication purpose shall be strong
• [Must] REs shall adopt internationally accepted and published standards that are not deprecated/demonstrated to be insecure/vulnerable</t>
  </si>
  <si>
    <t>• [Must] Configurations involved in implementing such controls shall be compliant with extant laws and regulatory instructions</t>
  </si>
  <si>
    <t>16. Cryptographic controls The key length, algorithms, cipher suites and applicable protocols used in transmission channels, processing of data and authentication purpose shall be strong. REs shall adopt internationally accepted and published standards that are not deprecated/demonstrated to be insecure/vulnerable and the configurations involved in implementing such controls shall be compliant with extant laws and regulatory instructions.</t>
  </si>
  <si>
    <t>Automated data transfer without manual intervention</t>
  </si>
  <si>
    <t>Financial institutions must ensure no manual modification occurs during critical data transfers between processes or applications. Data transfer mechanisms must be securely automated with checks, balances, and audit trails to prevent unauthorized changes and maintain data integrity.</t>
  </si>
  <si>
    <t>Requires automated data transfers without manual intervention for critical systems, affecting data integrity during cross-border processing and storage.</t>
  </si>
  <si>
    <t>• [Must] REs shall ensure there is no manual intervention or manual modification in data while it is being transferred from one process to another or from one application to another, in respect of critical applications</t>
  </si>
  <si>
    <t>• [Must] Data transfer mechanism between processes or applications must be properly tested, securely automated with necessary checks and balances, and properly integrated through Straight Through Processing methodology with appropriate authentication mechanism and audit trails</t>
  </si>
  <si>
    <t>17. Straight Through Processing (a) In order to prevent unauthorised modification of data, REs shall ensure that there is no manual intervention or manual modification in data while it is being transferred from one process to another or from one application to another, in respect of critical applications. (b) Data transfer mechanism between processes or applications must be properly tested, securely automated with necessary checks and balances, and properly integrated through "Straight Through Processing" methodology with appropriate authentication mechanism and audit trails.</t>
  </si>
  <si>
    <t>Physical and environmental security for data centers</t>
  </si>
  <si>
    <t>Security, Data Storage</t>
  </si>
  <si>
    <t>Financial institutions must implement physical and environmental controls for data centers and disaster recovery sites. These sites must be geographically separated to avoid similar threats and subject to electronic surveillance mechanisms to ensure security.</t>
  </si>
  <si>
    <t>Requires geographically separated data centers and disaster recovery sites to prevent simultaneous threats, impacting data storage and disaster recovery across borders.</t>
  </si>
  <si>
    <t>• [Must] REs shall implement suitable physical and environmental controls in Data Centre and Disaster Recovery sites used by them
• [Must] DC and DR sites should be geographically well separated so that both the sites are not affected by a similar threat associated to their location</t>
  </si>
  <si>
    <t>• [Must] REs shall ensure that their DC and DR sites are subjected to necessary e-surveillance mechanism</t>
  </si>
  <si>
    <t>18. Physical and Environmental Controls (a) REs shall implement suitable physical and environmental controls in Data Centre and Disaster Recovery14 sites used by them. (b) The DC and DR sites should be geographically well separated so that both the sites are not affected by a similar threat associated to their location. (c) REs shall ensure that their DC and DR sites are subjected to necessary e-surveillance mechanism.</t>
  </si>
  <si>
    <t>Access control for information systems</t>
  </si>
  <si>
    <t>Security, Access Control, Data Sharing</t>
  </si>
  <si>
    <t>Financial institutions must implement need-based access to information systems with documented standards approved by ITSC. Personnel with elevated access must be closely supervised with activities logged and periodically reviewed. Multi-factor authentication is required for critical systems and activities based on risk assessment.</t>
  </si>
  <si>
    <t>Requires strict access controls with multi-factor authentication for critical systems, impacting data sharing and processing across borders.</t>
  </si>
  <si>
    <t>• [Must] Access to information assets shall be allowed only where a valid business need exists
• [Must] REs shall have documented standards and procedures, which are approved by the ITSC and kept up to date for administering need-based access to an information system</t>
  </si>
  <si>
    <t>• [Must] Personnel with elevated system access entitlements shall be closely supervised with all their systems activities logged and periodically reviewed
• [Must] REs shall adopt multi-factor authentication for privileged users of i) critical information systems and ii) for critical activities, basis the RE's risk assessment</t>
  </si>
  <si>
    <t>19. Access Controls (a) Access to information assets shall be allowed only where a valid business need exists. REs shall have documented standards and procedures, which are approved by the ITSC and kept up to date for administering need-based access to an information system. (b) Personnel with elevated system access entitlements shall be closely supervised with all their systems activities logged and periodically reviewed. (c) REs shall adopt multi-factor authentication for privileged users of i) critical information systems and ii) for critical activities, basis the RE's risk assessment.</t>
  </si>
  <si>
    <t>Secure teleworking environment controls</t>
  </si>
  <si>
    <t>Financial institutions must ensure secure systems and remote access for teleworking, implement multi-factor authentication for critical systems, identify all remote-access devices, and secure data shared in teleworking environments.</t>
  </si>
  <si>
    <t>Requires secure teleworking environments with multi-factor authentication and device identification, impacting data storage and processing across borders.</t>
  </si>
  <si>
    <t>• [Must] REs shall ensure that the systems used and the remote access from alternate work location to the environment hosting RE's information assets are secure
• [Must] REs shall implement multi-factor authentication for enterprise access (logical) to critical systems</t>
  </si>
  <si>
    <t>• [Must] REs shall put in place a mechanism to identify all remote-access devices attached/connected to the RE's systems
• [Must] REs shall ensure that data/information shared/presented in teleworking is secured appropriately</t>
  </si>
  <si>
    <t>20. Controls on Teleworking In the teleworking environment, REs, inter alia, shall: (a) Ensure that the systems used and the remote access from alternate work location to the environment hosting RE's information assets are secure; (b) Implement multi-factor authentication for enterprise access (logical) to critical systems; (c) Put in place a mechanism to identify all remote-access devices attached/connected to the RE's systems; and (d) Ensure that data/information shared/presented in teleworking is secured appropriately.</t>
  </si>
  <si>
    <t>Metrics for system performance and recovery</t>
  </si>
  <si>
    <t>Financial institutions must define metrics for system performance, recovery and business resumption including RPO and RTO for critical systems. Non-critical systems require risk-based metrics, and institutions must implement scorecards to measure IT performance and maturity.</t>
  </si>
  <si>
    <t>Requires defined recovery metrics for critical systems, impacting disaster recovery and business continuity across borders.</t>
  </si>
  <si>
    <t>• [Must] REs shall define suitable metrics for system performance, recovery and business resumption, including Recovery Point Objective (RPO) and Recovery Time Objective (RTO), for all critical information systems
• [Must] For non-critical information systems, REs shall adopt a risk-based approach to define suitable metrics</t>
  </si>
  <si>
    <t>• [Must] REs shall implement suitable scorecard/metrics/methodology to measure IT performance and IT maturity level</t>
  </si>
  <si>
    <t>21. Metrics (a) REs shall define suitable metrics for system performance, recovery and business resumption, including Recovery Point Objective (RPO) and Recovery Time Objective (RTO), for all critical information systems. (b) For non-critical information systems, REs shall adopt a risk-based approach to define suitable metrics. (c) REs shall implement suitable scorecard/metrics/methodology to measure IT performance and IT maturity level.</t>
  </si>
  <si>
    <t>Periodic review of IT risk management policy</t>
  </si>
  <si>
    <t>The Risk Management Committee of the Board (RMCB) must consult with the IT Security Committee (ITSC) to review and update the institution's IT risk management policy at least annually. This policy must cover cyber security risks and other IT-related risks. The review ensures the policy remains relevant to the evolving risk landscape.</t>
  </si>
  <si>
    <t>Requires annual review of IT risk management policy by RMCB and ITSC to ensure alignment with current cyber security threats and operational risks, critical for DTIA compliance.</t>
  </si>
  <si>
    <t>• [Must] Risk Management Committee of the Board (RMCB) must consult with IT Security Committee (ITSC) to review and update IT risk management policy annually</t>
  </si>
  <si>
    <t>The risk management policy of the RE shall include IT related risks, including the Cyber Security related risks, and the Risk Management Committee of the Board (RMCB) in consultation with the ITSC shall periodically review and update the same at least on a yearly basis.</t>
  </si>
  <si>
    <t>IT and Information Security Risk Management Framework</t>
  </si>
  <si>
    <t>Financial institutions must establish a comprehensive IT and Information Security Risk Management Framework covering internal controls, roles and responsibilities, critical system identification, and secure data handling. This framework requires periodic reviews of its effectiveness in changing risk environments and must address role conflicts and accountability gaps.</t>
  </si>
  <si>
    <t>Mandates a structured framework for managing IT and information security risks, including critical system identification and secure data handling, essential for DTIA when transferring data across borders.</t>
  </si>
  <si>
    <t>• [Must] Implement comprehensive Information Security management function, internal controls and processes to mitigate IT risks
• [Must] Review implemented controls and processes periodically for efficacy in changing risk environments
• [Must] Define roles and responsibilities of stakeholders including third-party personnel to eliminate role conflicts and accountability gaps</t>
  </si>
  <si>
    <t>• [Must] Identify critical information systems and fortify their security environment
• [Must] Define and implement systems, procedures and controls for secure storage, transmission and processing of data</t>
  </si>
  <si>
    <t>REs shall establish a robust IT and Information Security Risk Management Framework covering, inter alia, the following aspects: (a) Implementation of comprehensive Information Security management function, internal controls and processes (including applicable insurance covers) to mitigate/ manage identified risks. The implemented controls and processes must be reviewed periodically on their efficacy in a risk environment characterised by change; (b) Definition of roles and responsibilities of stakeholders (including third-party personnel) involved in IT risk management. Areas of possible role conflicts and accountability gaps must be specifically identified and eliminated or managed; (c) Identification of critical information systems of the organisation and fortification of the security environment of such systems; and (d) Definition and implementation of necessary systems, procedures and controls to ensure secure storage/ transmission/ processing of data/ information.</t>
  </si>
  <si>
    <t>Information Security and Cyber Security Policy Framework</t>
  </si>
  <si>
    <t>Financial institutions must establish an Information Security Policy and Cyber Security Policy including a Cyber Crisis Management Plan. They must form an Information Security Committee (ISC) under ITSC oversight with a Chief Information Security Officer (CISO) who reports directly to risk management. The CISO must have technical expertise, be appointed for a reasonable term, and ensure adequate staffing and budget for security operations.</t>
  </si>
  <si>
    <t>Requires a dedicated CISO with specific responsibilities for cyber security, critical for DTIA when handling cross-border data transfers due to enhanced oversight of security protocols.</t>
  </si>
  <si>
    <t>• [Must] Establish Information Security Policy and Cyber Security Policy including Cyber Crisis Management Plan
• [Must] Form Information Security Committee (ISC) under ITSC oversight with CISO and other representatives
• [Must] Designate CISO as senior executive with technical expertise, reasonable term, adequate staffing, and budget aligned with threat landscape</t>
  </si>
  <si>
    <t>• [Must] CISO must report directly to Executive Director or equivalent risk management executive
• [Must] CISO must review cyber security risks at least quarterly before Board/RMCB/ITSC</t>
  </si>
  <si>
    <t>REs shall also put in place a Cyber Security Policy and Cyber Crisis Management Plan (CCMP). An Information Security Committee (ISC), under the oversight of the ITSC, shall be formed for managing cyber/ information security. The constitution of the ISC, with Chief Information Security Officer (CISO) and other representatives from business and IT functions, etc., shall be decided by the ITSC. The head of the ISC shall be from risk management vertical. Major responsibilities of the ISC, inter alia, shall include: (i) Development of information/ cyber security policies, implementation of policies, standards and procedures to ensure that all identified risks are managed within the RE's risk appetite; (ii) Approving and monitoring information security projects and security awareness initiatives; (iii) Reviewing cyber incidents, information systems audit observations, monitoring and mitigation activities; and (iv) Updating ITSC and CEO periodically on the activities of ISC. A senior level executive (preferably in the rank of a General Manager or an equivalent position) shall be designated as the Chief Information Security Officer (CISO). The CISO shall not have any direct reporting relationship with the Head of IT Function and shall not be given any business targets.</t>
  </si>
  <si>
    <t>Risk Assessment for Information Assets</t>
  </si>
  <si>
    <t>Financial institutions must conduct risk assessments for all information assets using appropriate security standards and frameworks. They must ensure staff and service providers comply with security policies and review their security infrastructure and policies annually, including addressing emerging threats like phishing and spoofing attacks.</t>
  </si>
  <si>
    <t>Requires annual review of security infrastructure and policies to address evolving threats, critical for DTIA when assessing data transfer risks across borders.</t>
  </si>
  <si>
    <t>• [Must] Conduct risk assessment for each information asset using appropriate security standards/ IT control frameworks
• [Must] Ensure staff and service providers comply with information security and acceptable-use policies</t>
  </si>
  <si>
    <t>• [Must] Review security infrastructure and policies annually, factoring in emerging threats and risks
• [Must] Take steps to tackle cyber-attacks including phishing and spoofing attacks</t>
  </si>
  <si>
    <t>The risk assessment for each information asset within the RE's scope shall be guided by appropriate security standards/ IT control frameworks. REs shall ensure that all staff members and service providers comply with the extant information security and acceptable-use policies as applicable to them. REs shall review their security infrastructure and security policies at least annually, factoring in their own experiences and emerging threats and risks. REs shall take steps to adequately tackle cyber-attacks including phishing, spoofing attacks and mitigate their adverse effects.</t>
  </si>
  <si>
    <t>Vulnerability and Penetration Testing Requirements</t>
  </si>
  <si>
    <t>Financial institutions must conduct vulnerability assessments (VA) and penetration testing (PT) at least every six months for critical systems and annually for non-critical systems. Testing must be performed by independent experts, and vulnerabilities must be fixed within a time-bound manner to prevent recurrence.</t>
  </si>
  <si>
    <t>Mandates regular vulnerability and penetration testing for critical systems, essential for DTIA when assessing data security during cross-border transfers.</t>
  </si>
  <si>
    <t>• [Must] Conduct vulnerability assessments (VA) at least once every six months for critical information systems and DMZ systems with customer interface
• [Must] Conduct penetration testing (PT) at least once every twelve months for critical information systems and DMZ systems with customer interface
• [Must] Conduct VA/PT throughout the lifecycle of information systems (pre-implementation, post-implementation, after major changes)</t>
  </si>
  <si>
    <t>• [Must] Conduct VA/PT by appropriately trained and independent information security experts/auditors
• [Must] Ensure production environment for post-implementation VA/PT; test environment must resemble production environment with documented deviations
• [Must] Fix identified vulnerabilities and associated risks in a time-bound manner to prevent recurrence</t>
  </si>
  <si>
    <t>For critical information systems and/or those in the De-Militarized Zone (DMZ) having customer interface, VA shall be conducted at least once in every six months and PT at least once in 12 months. Also, REs shall conduct VA/ PT of such information systems throughout their lifecycle (pre-implementation, post implementation, after major changes, etc.). For non-critical information systems, a risk-based approach shall be adopted to decide the requirement and periodicity of conduct of VA/ PT. VA/ PT shall be conducted by appropriately trained and independent information security experts/ auditors. In the post implementation (of IT project/ system upgrade, etc.) scenario, the VA/ PT shall be performed on the production environment. Under unavoidable circumstances, if the PT is conducted in test environment, REs shall ensure that the version and configuration of the test environment resembles the production environment. Any deviation should be documented and approved by the ISC. REs shall ensure to fix the identified vulnerabilities and associated risks in a time-bound manner by undertaking requisite corrective measures and ensure that the compliance is sustained to avoid recurrence of known vulnerabilities such as those available in Common Vulnerabilities and Exposures (CVE) database.</t>
  </si>
  <si>
    <t>Cyber Incident Response and Recovery Management</t>
  </si>
  <si>
    <t>Financial institutions must establish incident response and recovery procedures including classification, communication strategies, root cause analysis, and corrective actions. They must report incidents to CERT-In and RBI, and conduct periodic drills to improve response capabilities.</t>
  </si>
  <si>
    <t>Requires incident response procedures and reporting to regulatory bodies, critical for DTIA when data breaches occur across borders.</t>
  </si>
  <si>
    <t>• [Must] Address classification and assessment of cyber incidents with clear communication strategy and plan to contain exposures and achieve timely recovery
• [Must] Analyze cyber incidents for severity, impact and root cause; take corrective and preventive measures to mitigate adverse effects
• [Must] Have written incident response and recovery procedures including identification of key roles for staff and outsourced staff</t>
  </si>
  <si>
    <t>• [Must] Establish clear communication plans for escalation and reporting incidents to Board, Senior Management, and customers
• [Must] Proactively notify CERT-In and RBI regarding incidents as per regulatory requirements</t>
  </si>
  <si>
    <t>The cyber incident response and recovery management policy shall address the classification and assessment of incidents; include a clear communication strategy and plan to manage such incidents, contain exposures and achieve timely recovery. REs shall analyse cyber incidents (including through forensic analysis, if necessary) for their severity, impact and root cause. REs shall take measures, corrective and preventive, to mitigate the adverse impact of incidents on business operations. REs shall have written incident response and recovery procedures including identification of key roles of staff/ outsourced staff handling such incidents. REs shall have clear communication plans for escalation and reporting the incidents to the Board and Senior Management as well as to customers, as required. REs shall pro-actively notify CERT-In and RBI regarding incidents, as per regulatory requirements.</t>
  </si>
  <si>
    <t>Business continuity and disaster recovery policy requirements</t>
  </si>
  <si>
    <t>The Reserve Bank of India requires regulated entities (REs) to develop a Business Continuity Plan (BCP) and Disaster Recovery (DR) policy that follows best practices to reduce disruption impacts and maintain operations. The policy must be updated based on risk assessments and major developments. REs must design their BCP/DR capabilities to ensure rapid recovery and secure resumption of critical operations after cyber-attacks or incidents.</t>
  </si>
  <si>
    <t>This section mandates that financial institutions maintain robust BCP/DR policies to ensure continuity during disruptions, directly impacting cross-border data transfer resilience and operational continuity in financial systems.</t>
  </si>
  <si>
    <t>• [Must] BCP and DR policy shall adopt best practices to reduce disruptive incidents and maintain business continuity
• [Must] BCP/DR policy shall be updated based on major developments or risk assessment</t>
  </si>
  <si>
    <t>• [Must] REs' BCP/DR capabilities must support resilience objectives and enable rapid recovery of critical operations post-incident</t>
  </si>
  <si>
    <t>28. Business Continuity Plan (BCP) and Disaster Recovery (DR) Policy (a) The BCP and DR policy shall adopt best practices to guide its actions in reducing the likelihood or impact of the disruptive incidents and maintaining business continuity. The policy shall be updated based on major developments/ risk assessment.</t>
  </si>
  <si>
    <t>Disaster recovery management procedures</t>
  </si>
  <si>
    <t>Regulated entities must conduct DR drills at least half-yearly for critical systems and as per risk assessment for others. Any issues during drills must be resolved before the next cycle. DR testing requires switching to alternate sites for full business operations. REs must test BCP/DR under varied scenarios, back up data with integrity checks, ensure identical configurations at primary and DR sites, and prioritize minimal RTO and near-zero RPO for critical systems.</t>
  </si>
  <si>
    <t>This section specifies technical requirements for DR testing and data integrity that impact data transfer resilience, particularly for financial data stored in alternate locations during disruptions.</t>
  </si>
  <si>
    <t>• [Must] DR drills for critical information systems must be conducted at least half-yearly
• [Must] DR drills for other information systems must align with RE's risk assessment
• [Must] Major issues observed during DR drills must be resolved and retested before next cycle
• [Must] DR testing must involve switching to alternate site for full business operations
• [Must] REs must regularly test BCP/DR under different contingency scenarios
• [Must] REs must back up data and periodically restore it to verify usability</t>
  </si>
  <si>
    <t>• [Must] Backup data integrity must be preserved and protected from unauthorized access
• [Must] DR architecture and procedures must meet defined RTO and RPO for recovery operations
• [Must] REs must prioritize minimal RTO and near-zero RPO for critical information systems
• [Must] REs must have documented methodology for reconciling data during non-zero RPO scenarios
• [Must] Configurations and security patches at primary and DR sites must be identical
• [Must] REs must ensure BCP/DR capabilities in critical interconnected systems and networks</t>
  </si>
  <si>
    <t>29. Disaster Recovery Management (a) Periodicity of DR drills for critical information systems shall be at least on a half-yearly basis and for other information systems, as per RE's risk assessment.</t>
  </si>
  <si>
    <t>Information systems audit oversight</t>
  </si>
  <si>
    <t>The Audit Committee of the Board (ACB) must oversee IS audits for REs. REs must establish an IS Audit Policy approved by the ACB and reviewed annually. The ACB must review critical IT/security issues and provide guidance to management. REs must have dedicated IS audit resources or external auditors with accountability within Internal Audit.</t>
  </si>
  <si>
    <t>This section ensures financial institutions have robust internal audit mechanisms to validate data transfer and processing resilience, critical for DTIA compliance in high-risk environments.</t>
  </si>
  <si>
    <t>• [Must] Audit Committee of the Board (ACB) shall exercise oversight of IS Audit for RE
• [Must] REs must establish an IS Audit Policy approved by ACB and reviewed annually</t>
  </si>
  <si>
    <t>• [Must] ACB must review critical IT/security issues and provide guidance to management
• [Must] REs must have dedicated IS audit resources or external auditors with accountability within Internal Audit</t>
  </si>
  <si>
    <t>30. Information Systems (IS) Audit (a) The Audit Committee of the Board (ACB) shall be responsible for exercising oversight of IS Audit of the RE.</t>
  </si>
  <si>
    <t>Application of other laws</t>
  </si>
  <si>
    <t>These Directions complement existing laws without overriding them, ensuring REs comply with all applicable regulations while implementing the new framework.</t>
  </si>
  <si>
    <t>This section confirms that DTIA requirements are additive to existing legal obligations, not conflicting with other financial regulations.</t>
  </si>
  <si>
    <t>• [Must] Provisions of these Directions shall be in addition to, and not in derogation of, any other laws, rules, regulations or directions</t>
  </si>
  <si>
    <t>31. Application of other laws not barred The provisions of these Directions shall be in addition to, and not in derogation of the provisions of any other laws, rules, regulations or directions, for the time being in force.</t>
  </si>
  <si>
    <t>Interpretation and clarifications</t>
  </si>
  <si>
    <t>The Reserve Bank of India may issue clarifications on any matter covered in these Directions, and its interpretations will be final and binding.</t>
  </si>
  <si>
    <t>This section allows for regulatory flexibility in interpreting DTIA requirements but does not directly impact data transfer assessments.</t>
  </si>
  <si>
    <t>• [May] RBI may issue clarifications on matters covered in these Directions</t>
  </si>
  <si>
    <t>32. Interpretation For the purpose of giving effect to the provisions of these Directions or in order to remove any difficulties in the application or interpretation of the provisions of these Directions, the Reserve Bank of India may, if it considers necessary, issue necessary clarifications in respect of any matter covered herein and the interpretation of any provision of these Directions given by the Reserve Bank of India shall be final and binding.</t>
  </si>
  <si>
    <t>2023</t>
  </si>
  <si>
    <t>Effective date and scope of Directions</t>
  </si>
  <si>
    <t>This section states that the Directions incorporate, consolidate and update guidelines on IT Governance, Risk, Controls, Assurance Practices and Business Continuity/Disaster Recovery Management. It also specifies that the Directions come into effect from April 1, 2024.</t>
  </si>
  <si>
    <t>• [Definition] These Directions incorporate, consolidate and update the guidelines, instructions and circulars on IT Governance, Risk, Controls, Assurance Practices and Business Continuity/Disaster Recovery Management</t>
  </si>
  <si>
    <t>• [Condition] These Directions shall come into effect from April 1, 2024</t>
  </si>
  <si>
    <t>2023. These Directions incorporate, consolidate and update the guidelines, instructions and circulars on IT Governance, Risk, Controls, Assurance Practices and Business Continuity/Disaster Recovery Management. The list of circulars repealed is given in Chapter VII of this Master Direction. These Directions shall come into effect from April 1, 2024.</t>
  </si>
  <si>
    <t>SEBI Master Circular for Alternative Investment Funds (India - Row 25)</t>
  </si>
  <si>
    <t>Online filing requirement for AIF registration</t>
  </si>
  <si>
    <t>SEBI</t>
  </si>
  <si>
    <t>All applicants seeking registration as an Alternative Investment Fund (AIF) must submit applications exclusively online via the SEBI Intermediary Portal at https://siportal.sebi.gov.in. Similarly, all SEBI-registered AIFs must file compliance reports and submit applications for requests under AIF Regulations and circulars through this portal. This section establishes the mandatory online filing system for AIF registration and ongoing compliance.</t>
  </si>
  <si>
    <t>Mandates exclusive online filing for AIF registration and compliance reports through SEBI's portal, requiring data transfers to be handled via this secure channel. This impacts data transfer mechanisms for AIFs.</t>
  </si>
  <si>
    <t>• [Must] All applicants seeking registration as an AIF must submit applications only online through SEBI Intermediary Portal</t>
  </si>
  <si>
    <t>• [Must] All SEBI-registered AIFs must file compliance reports and submit applications for requests under AIF Regulations through SEBI Intermediary Portal</t>
  </si>
  <si>
    <t>All applicants desirous of seeking registration as an Alternative Investment Fund (‘AIF') are required to submit their applications only online, through the SEBI Intermediary Portal at https://siportal.sebi.gov.in. Further, all SEBI registered AIFs are required to file their compliance reports and submit applications for any request under the provisions of AIF Regulations and circulars issued thereunder, only through the SEBI Intermediary Portal.</t>
  </si>
  <si>
    <t>PPM template and disclosure requirements</t>
  </si>
  <si>
    <t>7–11</t>
  </si>
  <si>
    <t>AIFs must use a standardized Private Placement Memorandum (PPM) template with two parts: minimum disclosures (Part A) and supplementary sections (Part B). The template varies by AIF category (I, II, III) and requires detailed fee structures, disciplinary histories, and compliance disclosures. AIFs must include disciplinary histories of sponsors, managers, directors, and trustees for the last 5 years, with specific monetary thresholds for penalties.</t>
  </si>
  <si>
    <t>Requires standardized PPM templates with detailed disclosure requirements, including disciplinary histories and fee structures, impacting data transfer for AIFs. The disciplinary history disclosures may involve cross-border data transfers.</t>
  </si>
  <si>
    <t>• [Must] PPM must have two parts: Part A for minimum disclosures and Part B for supplementary information
• [Must] PPM template varies by AIF category (I, II, III) with specific annexures
• [Must] PPM must include detailed tabular example of fees and charges applicable to investors including distribution waterfall
• [Must] PPM must include disciplinary history of AIF, sponsor, manager, directors/partners/promoters and associates for the last 5 years</t>
  </si>
  <si>
    <t>• [Must] Disciplinary history must include details of outstanding/pending cases, criminal/civil prosecutions, non-payment of statutory dues, defaults against banks, contingent liabilities, economic offences, civil offences, compliance findings, penalties, disputed tax liabilities
• [Must] Disciplinary history must include disciplinary actions taken by Board or regulatory authorities
• [Must] Disciplinary history must be applicable for the last 5 years and where monetary penalty is greater than 5 lakh rupees
• [Must] Disciplinary history does not apply to personal capacity liabilities for individuals</t>
  </si>
  <si>
    <t>Private Placement Memorandum (‘PPM') is a primary document in which all the necessary information about the AIF is disclosed to prospective investors. To ensure that a minimum standard of disclosure is made available in the PPM, a template has been mandated for the PPM, providing certain minimum level of information in a simple and comparable format.</t>
  </si>
  <si>
    <t>Operational and prudential norms for Category III AIFs</t>
  </si>
  <si>
    <t>16–21</t>
  </si>
  <si>
    <t>Category III Alternative Investment Funds (AIFs) must disclose the basis for calculating investment concentration norms in their Placement Prospects Memorandum (PPM). The basis cannot be changed during the scheme's term. If using NAV for calculations, they must adhere to specific rules: use NAV from the business day before investment, exclude borrowed funds, and rectify passive breaches within 30 days. These norms ensure transparency and stability in investment concentration.</t>
  </si>
  <si>
    <t>This section imposes specific calculation rules for investment concentration norms using NAV or investable funds, with strict timeframes for breach rectification. It affects cross-border data transfers by requiring precise calculation methods and timely breach reporting.</t>
  </si>
  <si>
    <t>• [Must] Category III AIFs must disclose the basis for calculating investment concentration norm in the PPM
• [Must Not] The basis for calculating investment concentration norm shall not be changed during the term of the scheme
• [Must] Category III AIFs using NAV must calculate investment limits based on NAV from the business day before investment</t>
  </si>
  <si>
    <t>• [Must] NAV of the AIF must exclude any funds borrowed by the AIF
• [Must] Passive breaches of concentration norms must be rectified within 30 days</t>
  </si>
  <si>
    <t>All Category III AIFs shall disclose the basis for calculation of investment concentration norm in the PPM of their schemes.</t>
  </si>
  <si>
    <t>Special Situation Funds (SSF) norms</t>
  </si>
  <si>
    <t>Cross-border Transfer, Financial Data, KYC, AML</t>
  </si>
  <si>
    <t>Special Situation Funds (SSFs) must maintain a minimum corpus of ₹100 crore. They require minimum investments of ₹10 crore from non-accredited investors, ₹5 crore from accredited investors, and ₹2.5 lakh from employees/directors. SSFs acting as resolution applicants must comply with Insolvency and Bankruptcy Code requirements. They also face restrictions on acquiring stressed loans from specific jurisdictions.</t>
  </si>
  <si>
    <t>This section sets minimum capital requirements and investor eligibility for SSFs, which impacts cross-border data transfers through investment in offshore entities and stressed loans.</t>
  </si>
  <si>
    <t>• [Must] SSFs must have a corpus of at least ₹100 crore
• [Must] SSFs must accept minimum investment of ₹10 crore from non-accredited investors
• [Must] SSFs must accept minimum investment of ₹5 crore from accredited investors</t>
  </si>
  <si>
    <t>• [Must] SSFs must accept minimum investment of ₹2.5 lakh from employees/directors
• [Must] SSFs acting as resolution applicants must comply with Insolvency and Bankruptcy Code requirements</t>
  </si>
  <si>
    <t>Each scheme of SSF shall have a corpus of at least one hundred crore rupees.</t>
  </si>
  <si>
    <t>Overseas investment guidelines for AIFs</t>
  </si>
  <si>
    <t>22–25</t>
  </si>
  <si>
    <t>Cross-border Transfer, Financial Data, AML, KYC</t>
  </si>
  <si>
    <t>AIFs may invest in offshore venture capital undertakings up to 25% of their investable funds, subject to a combined USD 1.5 billion limit. Investments must be in countries with securities regulators that are FATF signatories or have bilateral agreements with SEBI. AIFs cannot invest in countries with strategic AML/CTF deficiencies or insufficient progress on FATF requirements. They must comply with FEMA regulations and cannot form joint ventures while making overseas investments.</t>
  </si>
  <si>
    <t>This section defines strict conditions for AIFs to invest abroad, including FATF compliance checks and restrictions on jurisdictions with AML/CTF deficiencies, directly impacting cross-border data transfers.</t>
  </si>
  <si>
    <t>• [Must] AIFs may invest in offshore venture capital undertakings up to 25% of investable funds
• [Must] Investments must be in countries with securities regulators that are FATF signatories or have bilateral agreements with SEBI
• [Must Not] AIFs cannot invest in countries with strategic AML/CTF deficiencies or insufficient progress on FATF requirements</t>
  </si>
  <si>
    <t>• [Must] AIFs must comply with FEMA regulations
• [Must Not] AIFs cannot form joint ventures while making overseas investments</t>
  </si>
  <si>
    <t>AIFs may invest in equity and equity linked instruments only of off-shore venture capital undertakings, subject to overall limit of USD 1500 million</t>
  </si>
  <si>
    <t>Investment in units of AIFs</t>
  </si>
  <si>
    <t>AIFs may invest in units of other AIFs without labeling themselves as Fund of AIFs. Existing AIFs can simultaneously invest in securities and AIF units with at least two-thirds approval from unit holders. They must disclose proposed allocations, fee attributions, compliance processes, and relationships with other AIFs in their PPMs. Pooling vehicles must be registered as AIFs if created solely for AIF investments.</t>
  </si>
  <si>
    <t>This section governs cross-border investment in AIF units, requiring disclosures and approvals that affect data transfer mechanisms between funds.</t>
  </si>
  <si>
    <t>• [Must] AIFs may invest in units of other A's without labeling themselves as Fund of AIFs
• [Must] Existing AIFs may invest in securities and AIF units with two-thirds approval from unit holders
• [Must] AIFs must disclose proposed allocation of investment in other AIF units
• [Must] AIFs must disclose portion of fees and expenses attributable to AIF unit investments</t>
  </si>
  <si>
    <t>• [Must] AIFs must disclose compliance processes for investment conditions
• [Must] AIFs must disclose relationships with other AIFs managed by the same sponsor
• [Must] Pooling vehicles must be registered as AIFs if created solely for AIF investments</t>
  </si>
  <si>
    <t>AIFs may invest in an investee company up to a specified limit, directly or through investment in the units of other AIFs.</t>
  </si>
  <si>
    <t>CDS trading restrictions for Alternative Investment Funds</t>
  </si>
  <si>
    <t>26–28</t>
  </si>
  <si>
    <t>Cross-border Transfer, Data Storage, Security, Financial Data, KYC, AML</t>
  </si>
  <si>
    <t>Category I and II AIFs may only buy CDS for hedging purposes. Category III AIFs may buy CDS for hedging or other purposes within permissible leverage limits. Category III AIFs may sell CDS using earmarked government bonds to cover exposure without counting as leverage. Total exposure to any investee company must comply with concentration norms. AIFs must report CDS transactions to custodians within one business day. Custodians must monitor compliance with leverage and exposure limits. Category III AIFs must follow specific breach remediation procedures if leverage limits are exceeded. Unhedged positions exceeding 25% of investable funds require unit holder notification. Category I and II AIFs must maintain a 30-day cooling-off period between leverage activities. CDS transactions must occur on SEBI or RBI-regulated platforms. AIFs must comply with RBI's Credit Derivatives Directions.</t>
  </si>
  <si>
    <t>CDS trading imposes specific leverage limits, exposure caps, and reporting requirements for AIFs. These restrictions affect cross-border data flows if CDS transactions involve international entities or data from foreign markets.</t>
  </si>
  <si>
    <t>• [Must] Category I and II AIFs may buy CDS on debt securities only for hedging
• [Must] Category III AIFs may buy CDS for hedging or other purposes within permissible leverage
• [Must] Category III AIFs may sell CDS using earmarked government bonds equal to CDS exposure
• [Must] Total exposure to any investee company must comply with concentration norms
• [Must] AIFs must report CDS transactions to custodians within one business day
• [Must] Custodians must monitor compliance with leverage and exposure limits
• [Must] Category III AIFs must report breach of leverage limits within one business day</t>
  </si>
  <si>
    <t>• [Must] Category III AIFs must rectify breach by end of next trading day and report
• [Must] Custodians must report breach to SEBI within one business day
• [Must] Unhedged positions exceeding 25% of investable funds require unit holder notification
• [Must] Category I and II AIFs must maintain 30-day cooling-off period between leverage activities
• [Must] CDS transactions must occur on SEBI or RBI-regulated platforms
• [Must] AIFs must comply with RBI's Credit Derivatives Directions</t>
  </si>
  <si>
    <t>9.1.1. Category I AIFs and Category II AIFs may buy CDS on underlying investment in debt securities, only for the purpose of hedging.</t>
  </si>
  <si>
    <t>RFQ platform requirements for Corporate Bond trades</t>
  </si>
  <si>
    <t>Cross-border Transfer, Data Storage, Financial Data</t>
  </si>
  <si>
    <t>AIFs must conduct at least 10% of their monthly secondary market trades in Corporate Bonds via RFQ platform. Transactions can be placed in one-to-one or one-to-many modes, but trades where AIFs are on both sides must use one-to-one mode. One-to-many trades with other AIFs count as one-to-many, not one-to-one.</t>
  </si>
  <si>
    <t>RFQ platform mandates affect data transfer by requiring specific trade execution mechanisms for Corporate Bonds, impacting cross-border data flows in financial transactions.</t>
  </si>
  <si>
    <t>• [Must] AIFs must undertake at least 10% of monthly secondary market trades in Corporate Bonds via RFQ platform
• [Must] AIFs must use one-to-one mode for trades where they are on both sides of the trade</t>
  </si>
  <si>
    <t>• [Must] One-to-many trades with other AIFs count as one-to-many, not one-to-one</t>
  </si>
  <si>
    <t>10.1. AIFs shall undertake at least 10% of their total secondary market trades in Corporate Bonds by value in a month by placing/seeking quotes on the RFQ platform.</t>
  </si>
  <si>
    <t>Investment and distribution clarifications for AIFs</t>
  </si>
  <si>
    <t>29–31</t>
  </si>
  <si>
    <t>Cross-border Transfer, Data Storage, Financial Data, KYC, AML</t>
  </si>
  <si>
    <t>Sponsor/manager loss sharing must be pro rata to their holding in AIF. Continuing interest must be maintained pro rata to funds raised. Real estate/infrastructure investments require at least one project per investee. Prior approval from investors required for investments in associates or other AIFs. Category II AIFs must have more unlisted securities in portfolio. Schemes with priority distribution models cannot accept new commitments until SEBI clarifies.</t>
  </si>
  <si>
    <t>Investment and distribution rules affect data transfer by specifying loss sharing, portfolio composition, and investor approval mechanisms for cross-border financial data flows.</t>
  </si>
  <si>
    <t>• [Must] Sponsor/manager loss sharing must be pro rata to their holding in AIF
• [Must] Continuing interest must be maintained pro rata to funds raised
• [Must] Real estate/infrastructure investments require at least one project per investee</t>
  </si>
  <si>
    <t>• [Must] Prior approval from investors required for investments in associates or other AIFs
• [Must] Category II AIFs must have more unlisted securities in portfolio
• [Must] Schemes with priority distribution models cannot accept new commitments until SEBI clarifies</t>
  </si>
  <si>
    <t>11.1.1. With respect to investment by the sponsor/manager in the AIF, the sharing of loss by the sponsor/manager shall not be less than pro rata to their holding in the AIF vis-à-vis other unit holders.</t>
  </si>
  <si>
    <t>Accredited Investors framework for AIFs</t>
  </si>
  <si>
    <t>31–34</t>
  </si>
  <si>
    <t>Accreditation agencies must verify KYC and financial information for investors. Accredited investors may access lower ticket sizes and regulatory concessions. Accreditation certificates are valid for two or three years depending on financial history. LVF schemes can launch without filing placement memoranda with SEBI through merchant bankers.</t>
  </si>
  <si>
    <t>Accredited Investors framework impacts data transfer by enabling specific investor types to access financial data with reduced regulatory burdens, affecting cross-border data flows.</t>
  </si>
  <si>
    <t>• [Must] Accreditation agencies must verify KYC and financial information for investors
• [May] Accredited investors may access lower ticket sizes and regulatory concessions</t>
  </si>
  <si>
    <t>• [Must] Accreditation certificates are valid for two or three years depending on financial history
• [Must] LVF schemes can launch without filing placement memoranda with SEBI through merchant bankers</t>
  </si>
  <si>
    <t>12.2. Under the aforesaid framework, AIs may avail flexibility in minimum investment amount or concessions from specific regulatory requirements applicable to investment products, subject to conditions applicable for specific products/services under SEBI (Alternative Investment Funds) Regulations, 2012, SEBI (Portfolio Managers) Regulations, 2.2020 and SEBI (Investment Advisers) Regulations, 2013.</t>
  </si>
  <si>
    <t>Obligations of AIF managers, sponsors and trustees</t>
  </si>
  <si>
    <t>34–37</t>
  </si>
  <si>
    <t>Cross-border Transfer, International Processing, Data Storage, Security, Consent, Customer Information, Financial Data, KYC, AML, Governance, Record Keeping</t>
  </si>
  <si>
    <t>AIFs must designate a Compliance Officer who is not the CEO or equivalent role, responsible for monitoring compliance with SEBI regulations. Key management personnel include members of the investment team, decision-makers, and persons declared by the AIF through trustee or board. AIFs must disclose key management personnel in PPMs and notify investors of changes. Custodians must be appointed prior to first investment, with specific timelines for Category I and II AIFs with corpus under INR 500 crore. Managers must ensure compliance with Regulation 20(11A) for custodians who are associates of the sponsor or manager. AIFs must submit quarterly reports to SEBI through the intermediary portal and maintain records for compliance.</t>
  </si>
  <si>
    <t>Requires AIFs to designate compliance officers, disclose key personnel, appoint custodians with specific timelines, and submit quarterly reports to SEBI. These obligations impact data transfer and storage by mandating personnel disclosures and custodian appointments for cross-border AIF operations.</t>
  </si>
  <si>
    <t>• [Must] AIFs shall ensure Manager designates Compliance Officer who is not CEO or equivalent role
• [Must] Compliance Officer must monitor compliance with SEBI Act, AIF Regulations and circulars
• [Must] Key management personnel include members of investment team, decision-makers, and persons declared by AIF
• [Must] AIFs must disclose key management personnel in PPMs
• [Must] Changes in key management personnel must be intimated to investors and Board</t>
  </si>
  <si>
    <t>• [Must] Custodian for AIF must be appointed prior to first investment
• [Must] Category I and II AIFs with corpus ≤ INR 500 crore must appoint custodian by Jan 31, 2025
• [Must] Managers must ensure compliance with Regulation 20(11A) for custodians who are associates of sponsor/manager
• [Must] Information for compliance must be incorporated in quarterly reporting format on SEBI Intermediary Portal</t>
  </si>
  <si>
    <t>Chapter 13 – Obligations of manager, sponsor and trustee of AIFs</t>
  </si>
  <si>
    <t>Investment committee constitution for AIFs</t>
  </si>
  <si>
    <t>Managers may form Investment Committees to approve AIF decisions with certain conditions. Investors do not need consent for changes in ex-officio external members. SEBI requires clarification on applicability of foreign exchange rules for Investment Committees with non-resident Indian members. Applications with external non-resident Indian members must wait for clarification before processing.</t>
  </si>
  <si>
    <t>Specifies conditions for Investment Committee formation, including requirements for non-resident Indian members, which may impact data transfer and storage across borders for AIFs.</t>
  </si>
  <si>
    <t>• [Must] Manager may constitute Investment Committee to approve AIF decisions
• [Must] Investment Committee must have waiver for compliance with Regulation 20(8)</t>
  </si>
  <si>
    <t>• [Must] Investor consent not required for changes in ex-officio external members
• [Must] Applications with external non-resident Indian members require SEBI clarification before processing</t>
  </si>
  <si>
    <t>Chapter 14 – Constitution of investment committee</t>
  </si>
  <si>
    <t>Quarterly reporting and compliance testing for AIFs</t>
  </si>
  <si>
    <t>38–40</t>
  </si>
  <si>
    <t>AIFs must submit quarterly reports to SEBI via the intermediary portal within 15 days of quarter-end. Managers must prepare and submit Compliance Test Reports (CTRs) within 30 days of financial year-end to trustees/sponsors. CTRs must be revised within 15 days if observations are received, and violations must be reported to SEBI immediately.</t>
  </si>
  <si>
    <t>Mandates quarterly reporting and annual compliance testing for AIFs, which impacts data transfer and storage by requiring detailed reporting on investment activities and compliance status.</t>
  </si>
  <si>
    <t>• [Must] AIFs must submit quarterly activity reports to SEBI within 15 days of quarter-end
• [Must] Reports must be submitted online through SEBI Intermediary Portal
• [Must] Manager must prepare Compliance Test Report (CTR) within 30 days of financial year-end</t>
  </si>
  <si>
    <t>• [Must] CTR must be submitted to trustee/sponsor within 30 days of financial year-end
• [Must] Manager must revise CTR within 15 days of receiving observations/comments
• [Must] Violations must be reported to SEBI immediately by trustee/sponsor</t>
  </si>
  <si>
    <t>Chapter 15 – Reporting by AIFs</t>
  </si>
  <si>
    <t>Performance benchmarking for AIFs</t>
  </si>
  <si>
    <t>40–42</t>
  </si>
  <si>
    <t>AIFs must participate in industry benchmarking to compare performance against other investments and global opportunities. Associations representing at least 33% of AIFs may select Benchmarking Agencies to collect data on scheme performance. AIFs must report scheme-wise valuation and cash flow data after one year from 'First Close' and provide performance reports to investors.</t>
  </si>
  <si>
    <t>Requires AIFs to benchmark performance, which may impact data transfer and storage by mandating detailed reporting on investment activities and performance metrics.</t>
  </si>
  <si>
    <t>• [Must] Association representing ≥33% of AIFs may notify Benchmarking Agencies</t>
  </si>
  <si>
    <t>• [Must] Performance versus benchmark reports must be provided to investors</t>
  </si>
  <si>
    <t>Chapter 16 – Performance Benchmarking of AIFs</t>
  </si>
  <si>
    <t>Investor charter and complaint disclosure for AIFs</t>
  </si>
  <si>
    <t>42–43</t>
  </si>
  <si>
    <t>AIFs must disclose Investor Charter in PPMs, including grievance redressal mechanisms and investor responsibilities. AIFs must also disclose data on investor complaints and redressal status in PPMs and maintain complaint data for 7 days after quarter-end.</t>
  </si>
  <si>
    <t>Requires AIFs to disclose investor complaint data and redressal mechanisms, which impacts data transfer and storage by mandating detailed reporting on investor interactions.</t>
  </si>
  <si>
    <t>• [Must] AIFs must disclose Investor Charter in PPMs
• [Must] AIFs must disclose investor complaint data and redressal status in PPMs</t>
  </si>
  <si>
    <t>• [Must] AIFs must maintain complaint data for 7 days after quarter-end</t>
  </si>
  <si>
    <t>Chapter 17 – Investor Charter and Disclosure of complaints by AIFs</t>
  </si>
  <si>
    <t>Stamp duty collection for AIF units</t>
  </si>
  <si>
    <t>43–44</t>
  </si>
  <si>
    <t>AIFs must collect stamp duty on issue, transfer and sale of units through RTAs as per Indian Stamp Act, 1899. RTAs appointed by AIFs are responsible for collecting stamp duty in demat mode transactions through stock exchanges or depositories.</t>
  </si>
  <si>
    <t>Requires AIFs to collect stamp duty on unit transactions, which impacts data transfer and storage by mandating specific collection mechanisms for financial transactions.</t>
  </si>
  <si>
    <t>• [Must] AIFs must collect stamp duty on issue, transfer and sale of units through RTAs</t>
  </si>
  <si>
    <t>Chapter 18 – Collection of stamp duty on issue, transfer and sale of units of AIFs</t>
  </si>
  <si>
    <t>Fee for changes in AIF manager or sponsor control</t>
  </si>
  <si>
    <t>44–46</t>
  </si>
  <si>
    <t>Cross-border Transfer, Financial Data, KYC</t>
  </si>
  <si>
    <t>This section mandates that AIFs obtain prior SEBI approval for changes in manager or sponsor control, subject to fees. The fee equals the registration fee for the relevant AIF category. The fee must be paid within 15 days of the change and cannot be passed to investors. Simultaneous changes in manager and sponsor control incur a single registration fee. Specific exemptions apply for certain scenarios like manager acquiring control or sponsor exits in multi-sponsor schemes. The approval is valid for six months from SEBI communication.</t>
  </si>
  <si>
    <t>This section imposes specific fee structures and timelines for changes in AIF manager/sponsor control, requiring SEBI approval and fee payment within 15 days. It affects cross-border data transfers if AIFs operate internationally, as fee structures and approval processes may impact data handling across borders.</t>
  </si>
  <si>
    <t>• [Must] AIF must obtain prior SEBI approval for changes in manager or sponsor control
• [Must] Fee equivalent to registration fee for relevant AIF category must be levied
• [Must] Fee must be paid within 15 days of proposed change
• [Must Not] Fee cannot be passed to AIF investors</t>
  </si>
  <si>
    <t>• [Must] Single registration fee applies for simultaneous changes in manager and sponsor control
• [Must Not] Fee exemption applies when manager acquires control or replaces sponsor in multi-sponsor schemes
• [Must] SEBI approval valid for 6 months from communication date
• [Must] Changes must comply with provisions in sections 2.5.4 and 2.5.5</t>
  </si>
  <si>
    <t>In terms of Regulation 20(13) of AIF Regulations, in case of change of Sponsor or Manager, or change in control of the AIF, Sponsor or Manager, prior approval from the Board shall be taken by the AIF, subject to levy of fees and any other conditions as may be specified by SEBI from time to time.</t>
  </si>
  <si>
    <t>Dematerialisation of AIF units and credit to demat accounts</t>
  </si>
  <si>
    <t>46–50</t>
  </si>
  <si>
    <t>Data Storage, Financial Data, KYC</t>
  </si>
  <si>
    <t>This section specifies timelines for dematerialising AIF units, requiring units to be issued in dematerialised form by specific dates. It establishes an 'Aggregate Escrow Demat Account' for investors who haven't provided demat details, with rules for transferring units to investors' accounts within 5 working days. Managers must report compliance to SEBI via the Intermediary Portal. The process ensures units are held in dematerialised form for investors with demat accounts, while temporarily holding units in escrow for those without.</t>
  </si>
  <si>
    <t>This section mandates dematerialisation of AIF units and establishes an escrow account for investors without demat details, impacting data storage and transfer mechanisms. It requires specific timelines for credit to demat accounts and reporting to SEBI, affecting data handling across borders.</t>
  </si>
  <si>
    <t>• [Must] Schemes with corpus ≥ INR 500 crore must dematerialise all units by October 31, 2023
• [Must] Schemes with corpus &lt; INR 500 crore must dematerialise all units by April 30, 2024
• [Must] Units issued after November 1, 2023 must be in dematerialised form
• [Must] Units issued after April 30, 2024 must be in dematerialised form
• [Must] Investors without demat details must be placed in Aggregate Escrow Demat Account</t>
  </si>
  <si>
    <t>• [Must] Units in Aggregate Escrow Demat Account must be transferred to investors' accounts within 5 working days
• [Must] Manager must submit compliance reports to SEBI via Intermediary Portal
• [Must] Schemes must credit units to Aggregate Escrow Demat Account by January 31, 2024
• [Must] Schemes must credit units to Aggregate Escrow Demat Account by May 10, 2024</t>
  </si>
  <si>
    <t>All schemes of AIFs shall dematerialise their units in the following time frame: Schemes of AIFs with corpus ≥ INR 500 Crore - dematerialise all units by October 31, 2023.</t>
  </si>
  <si>
    <t>Dematerialised form for AIF investments</t>
  </si>
  <si>
    <t>50–51</t>
  </si>
  <si>
    <t>This section requires AIFs to hold investments in dematerialised form starting October 1, 2024, with exemptions for certain investments. Investments made before this date must be converted to dematerialised form by January 31, 2025, unless exempted under specific conditions. The requirement does not apply to schemes with tenure ending by January 31, 2025, or schemes in extended tenure as of January 12, 2024.</t>
  </si>
  <si>
    <t>This section mandates dematerialised form for AIF investments with specific timelines and exemptions, affecting data storage and transfer mechanisms. It requires conversion of pre-October 2024 investments to dematerialised form by January 31, 2025, with exemptions for certain schemes.</t>
  </si>
  <si>
    <t>• [Must] All investments made by AIF on or after October 1, 2024 must be held in dematerialised form
• [Must] Investments made before October 1, 2024 must be converted to dematerialised form by January 31, 2025
• [Must Not] Exemptions apply for investments where investee company mandates dematerialisation</t>
  </si>
  <si>
    <t>• [Must Not] Exemptions apply for AIFs exercising control over investee companies
• [Must Not] Schemes with tenure ending by January 31, 2025 are exempt
• [Must Not] Schemes in extended tenure as of January 12, 2024 are exempt</t>
  </si>
  <si>
    <t>Any investment made by an AIF on or after October 01, 2024 shall be held in dematerialised form only, irrespective of whether the investment is made directly in the investee company or is acquired from another entity.</t>
  </si>
  <si>
    <t>Valuation of AIF investments</t>
  </si>
  <si>
    <t>51–54</t>
  </si>
  <si>
    <t>This section outlines valuation methodologies for AIF investments, requiring managers to follow SEBI-approved valuation norms. It mandates disclosure of valuation methodologies in PPM, ensures independent valuers meet specific criteria, and requires reporting of valuation changes to investors and SEBI. Managers must disclose significant deviations in valuation (20% between consecutive valuations or 33% in a financial year) and any changes in valuation methodologies.</t>
  </si>
  <si>
    <t>This section specifies valuation methodologies for AIF investments, requiring disclosure of valuation changes and independent valuer criteria. It impacts data storage and transfer mechanisms by mandating specific valuation processes and reporting requirements.</t>
  </si>
  <si>
    <t>• [Must] Valuation of securities with prescribed norms must follow SEBI (Mutual Funds) Regulations
• [Must] Valuation of other securities must follow industry association guidelines endorsed by SEBI
• [Must] Manager must disclose valuation methodology in PPM for each asset class
• [Must] Independent valuer must not be an associate of manager or sponsor</t>
  </si>
  <si>
    <t>• [Must] Independent valuer must have at least three years of experience in unlisted securities valuation
• [Must] Manager must inform investors of valuation deviations exceeding 20% between consecutive valuations
• [Must] Manager must inform investors of valuation deviations exceeding 33% in a financial year
• [Must] Manager must report changes in valuation methodology to SEBI and investors</t>
  </si>
  <si>
    <t>In terms of Regulation 23(1), AIFs are inter-alia required to carry out valuation of their investments in the manner specified by SEBI from time to time.</t>
  </si>
  <si>
    <t>Liquidation and in-specie distribution of unliquidated investments in AIFs</t>
  </si>
  <si>
    <t>54–59</t>
  </si>
  <si>
    <t>Cross-border Transfer, Data Storage, Data Sharing, Financial Data</t>
  </si>
  <si>
    <t>During an AIF's liquidation period, the AIF must obtain 75% investor consent by value to launch a liquidation scheme or distribute unliquidated investments in-specie. The scheme must name 'Liquidation Scheme', arrange bids for at least 25% of unliquidated investments, disclose bid valuations to investors, and provide exit options to dissenting investors. If the bid fails, unliquidated investments are valued at one rupee. The AIF must distribute units to investors in-specie and report to Performance Benchmarking Agencies.</t>
  </si>
  <si>
    <t>Requires specific consent thresholds, bid mechanisms, and valuation rules for cross-border data transfers during AIF liquidation, impacting data transfer safeguards and financial reporting.</t>
  </si>
  <si>
    <t>• [Must] AIF must obtain consent of 75% of investors by value for liquidation scheme or in-specie distribution
• [Must] Liquidation scheme must contain 'Liquidation Scheme' in its name
• [Must] AIF must arrange bid for minimum 25% of unliquidated investments value
• [Must] AIF must disclose bid value and valuation by two independent valuers to investors
• [Must] Dissenting investors must be offered exit option from 25% bid
• [Must] Unsubscribed bid portion must provide pro-rata exit to non-dissenting investors</t>
  </si>
  <si>
    <t>• [Must Not] Bidder or related parties cannot exit from Original Scheme
• [Must] Unliquidated investments valued at one rupee if bid fails to secure 25%
• [Must] AIF must distribute Liquidation Scheme units in-specie to investors
• [Must] Liquidation Scheme must be launched before Original Scheme expiry
• [Must] Value of sale must be reported to Performance Benchmarking Agencies</t>
  </si>
  <si>
    <t>23.1.1. During the Liquidation Period of a scheme of an AIF (‘Original Scheme'), if the AIF decides to launch Liquidation Scheme, the AIF shall obtain consent of 75% of investors by value of their investment in the Original Scheme.</t>
  </si>
  <si>
    <t>Excusing or excluding investors from AIF investments</t>
  </si>
  <si>
    <t>59–60</t>
  </si>
  <si>
    <t>An AIF may excuse an investor from participating in an investment if the investor confirms participation would violate law or internal policy. The AIF may exclude an investor if participation would violate law or cause material adverse effect. The manager must record rationale and supporting documents for exclusions. Investors in other AIFs may be partially excused or excluded based on their underlying investors' status.</t>
  </si>
  <si>
    <t>Provides mechanisms for investor exclusion based on legal compliance, relevant for data transfer impact assessments involving investor data.</t>
  </si>
  <si>
    <t>• [May] AIF may excuse investor if participation violates applicable law
• [May] AIF may excuse investor if participation violates investor's internal policy
• [Must] Manager must ensure agreement with investor includes reporting policy changes within 15 days</t>
  </si>
  <si>
    <t>• [May] AIF may exclude investor if participation would violate law or cause material adverse effect
• [Must] Manager must record rationale and supporting documents for exclusions</t>
  </si>
  <si>
    <t>24.1.1. If the investor, based on the opinion of a legal professional/legal advisor, confirms that its participation in the investment opportunity would be in violation of an applicable law or regulation</t>
  </si>
  <si>
    <t>Direct plans and distribution fee models for AIFs</t>
  </si>
  <si>
    <t>60–69</t>
  </si>
  <si>
    <t>Financial Data, Data Sharing</t>
  </si>
  <si>
    <t>AIFs must offer a Direct Plan without distribution fees. Investors approached through intermediaries must be onboarded via Direct Plan. AIFs must disclose distribution fees at onboarding. Category III AIFs charge fees only on equal trail basis with no upfront fees, while Category I and II AIFs may pay up to one-third of fees upfront to distributors.</t>
  </si>
  <si>
    <t>Requires transparent fee structures and direct investment options, impacting data transfer costs and financial reporting for AIFs.</t>
  </si>
  <si>
    <t>• [Must] Schemes must offer Direct Plan without distribution fees
• [Must] Investors through intermediaries must be onboarded via Direct Plan
• [Must] AIFs must disclose distribution fees at onboarding</t>
  </si>
  <si>
    <t>• [Must] Category III AIFs charge fees only on equal trail basis with no upfront fees
• [May] Category I and II AIFs may pay up to one-third of fees upfront to distributors</t>
  </si>
  <si>
    <t>25.1.1. Schemes of AIFs shall have an option of 'Direct Plan' for investors. Such Direct Plan shall not entail any distribution fee/placement fee.</t>
  </si>
  <si>
    <t>25 (part 2)</t>
  </si>
  <si>
    <t>Disclosure requirements for AIF investment terms and timelines</t>
  </si>
  <si>
    <t>69–75</t>
  </si>
  <si>
    <t>Cross-border Transfer, Data Storage, Data Residency, Security, Encryption, Access Control, Processing, Collection, Retention, Deletion, Data Sharing, Third Party Processing, Outsourcing, Cloud Services, Incident Reporting, Breach Notification, Consent, Customer Information, Employee Information, Special Personal Information, Children, Financial Data, KYC, AML</t>
  </si>
  <si>
    <t>This section mandates disclosure of specific investment terms, timelines for warehousing and transferring investments, and mechanisms for handling defaults. It requires AIFs to disclose differential rights, impact on other investors, investment timelines, default procedures, in-specie distribution instances, co-investment compliance, and conflict management policies. These disclosures apply to Alternative Investment Funds (AIFs) seeking to provide investment opportunities to investors.</t>
  </si>
  <si>
    <t>This section imposes disclosure obligations on AIFs regarding investment terms and timelines, which are critical for assessing the transparency and risk management of cross-border investments. It ensures investors understand the structure and potential impacts of AIF investments before committing capital.</t>
  </si>
  <si>
    <t>• [Must] Disclose list of commercial and non-commercial terms for differential rights through side letter arrangements or additional units
• [Must] Disclose whether differential rights affect economic or other rights of other investors
• [Must] Disclose timelines for warehousing and transferring investments
• [Must] Disclose timelines for intimation of warehoused investments to investors</t>
  </si>
  <si>
    <t>• [Must] Disclose mechanisms for handling defaulting investors who fail to meet drawdown timelines
• [Must] Disclose specific instances where in-specie distribution may occur
• [Must] Disclose compliance with AIF Regulations and PMS Regulations for co-investments
• [Must] Establish written down conflict management policy with specified timeline</t>
  </si>
  <si>
    <t>Whether the list of commercial and non-commercial terms, on which differential rights may be offered through side letter arrangement or issuance of additional class of units, is disclosed</t>
  </si>
  <si>
    <t>25 (part 3)</t>
  </si>
  <si>
    <t>Overseas investment eligibility and regulatory compliance requirements</t>
  </si>
  <si>
    <t>75–80</t>
  </si>
  <si>
    <t>This section specifies eligibility criteria for overseas investments by AIFs, including requirements for offshore venture capital undertakings, compliance with FATF standards, prohibition on joint ventures, adherence to FEMA regulations, and conditions for selling stakes in overseas investments. These requirements apply to AIFs conducting overseas investments and must be met to ensure regulatory compliance and mitigate financial risks.</t>
  </si>
  <si>
    <t>This section defines critical eligibility criteria for overseas investments, including FATF compliance, prohibition on joint ventures, and adherence to FEMA regulations, which are essential for assessing the risks and regulatory alignment of cross-border investments.</t>
  </si>
  <si>
    <t>• [Must] Manager must exercise due diligence on investment decisions
• [Must] Investment must be in equity or equity-linked instruments
• [Must] Overseas investee company must be an offshore venture capital undertaking
• [Must] Overseas investee company must be in a country with securities market regulator signatory to MOU with SEBI
• [Must] Overseas investee company must not be in a FATF-listed jurisdiction with money laundering deficiencies</t>
  </si>
  <si>
    <t>• [Must] AIF shall not invest in joint ventures or wholly owned subsidiaries while making overseas investments
• [Must] AIF must adhere to FEMA, 1999 and its regulations
• [Must] AIF must comply with RBI guidelines for overseas investments by NBFCs
• [Must] Entity receiving transferred stake must be eligible for overseas investments per FEMA guidelines</t>
  </si>
  <si>
    <t>The manager has exercised due diligence with respect to the investment decision.</t>
  </si>
  <si>
    <t>25 (part 4)</t>
  </si>
  <si>
    <t>Investor consent withdrawal and grandfathering for alternative investment funds</t>
  </si>
  <si>
    <t>80–87</t>
  </si>
  <si>
    <t>Cross-border Transfer, Consent</t>
  </si>
  <si>
    <t>Investors who withdraw consent after benefiting from lower ticket size must increase investment to the minimum amount stipulated by regulatory frameworks within the client agreement timeframe. Withdrawn consent before client agreement expiry grandfathering existing investments while new transactions follow standard investor regulations. Investors in pooled products with regulatory concessions cannot withdraw consent. Client agreements must specify withdrawal modalities and consequences.</t>
  </si>
  <si>
    <t>Requires specific conditions for investor consent withdrawal affecting data transfer mechanisms in alternative investment funds, including grandfathering provisions for existing investments and regulatory compliance for new transactions.</t>
  </si>
  <si>
    <t>• [Must] Investor withdrawing consent after lower ticket size benefit must increase investment to minimum regulatory amount within client agreement timeframe
• [Must] Investor withdrawing consent before client agreement expiry grandfathering existing investments
• [Must] Investor withdrawing consent before client agreement expiry must follow standard investor regulatory framework for new transactions</t>
  </si>
  <si>
    <t>• [Must Not] Investors in pooled products with regulatory concessions cannot withdraw consent
• [Must] Client agreements must specify withdrawal modalities and consequences</t>
  </si>
  <si>
    <t>An investor who withdraws ‘Consent' after availing the benefit of lower ticket size shall be required to increase the investment to the minimum amount that is stipulated under the applicable regulatory framework for the particular investment product, within the timeframe specified in the client agreement.</t>
  </si>
  <si>
    <t>25 (part 6)</t>
  </si>
  <si>
    <t>Compliance with SEBI regulations for AIFs</t>
  </si>
  <si>
    <t>95–103</t>
  </si>
  <si>
    <t>This section mandates that AIFs comply with SEBI regulations by maintaining records of compliance with specific sections of the placement memorandum and other regulatory requirements. It requires AIFs to ensure that their investment committees, custodians, and compliance officers adhere to defined standards, including fiduciary responsibilities, conflict of interest management, and transparent reporting to investors. The section also specifies annual audits, valuation procedures, and reporting obligations to SEBI.</t>
  </si>
  <si>
    <t>This section requires AIFs to maintain detailed records of compliance with SEBI regulations, including specific disclosures in the placement memorandum and adherence to valuation procedures. These requirements impact data transfer impact assessments by mandating transparency in financial reporting and investor communications.</t>
  </si>
  <si>
    <t>• [Must] AIF must inform SEBI of material changes in information provided at application
• [Must] AIF must obtain SEBI prior approval for changes in control of Sponsor or Manager
• [Must] AIF books of accounts must be audited annually by a qualified auditor
• [Must] Manager must appoint registered custodian for safekeeping of securities
• [Must] Category III AIF must keep custody of securities for physical settlement of commodity derivatives
• [May] Associate of sponsor/manager may act as custodian subject to specified conditions
• [Must] Manager must appoint compliance officer meeting specified eligibility criteria</t>
  </si>
  <si>
    <t>• [Must] Compliance officer must report non-compliance to SEBI within 7 days
• [Must] Sponsor and Manager must act in fiduciary capacity towards investors
• [Must] Manager must establish written policies to mitigate conflict of interest
• [Must] Manager and Sponsor must abide by high-level principles on conflict of interest avoidance
• [Must] AIF must provide annual financial information to investors within 180 days of year-end
• [Must] Category III AIF must provide quarterly reports on financial information within 60 days of quarter-end
• [Must] Manager must ensure independent valuation of investments by qualified valuer</t>
  </si>
  <si>
    <t>20(12) AIF to inform SEBI in case of any material change in information provided at the time of application. 20(13) AIF to obtain prior approval from SEBI in case of change in control of AIF Sponsor or Manager or change of Sponsor or Manager. 20(14) The books of accounts of AIF to be audited annually by a qualified auditor</t>
  </si>
  <si>
    <t>25 (part 8)</t>
  </si>
  <si>
    <t>Voting policy and disclosure requirements for institutional investors</t>
  </si>
  <si>
    <t>108–115</t>
  </si>
  <si>
    <t>Institutional investors must establish comprehensive voting policies detailing mechanisms for voting, circumstances for voting decisions, and disclosure requirements. These policies must include voting mechanisms, internal voting guidelines, disclosure protocols, and specific disclosures for proxy voting services. Investors must publicly disclose voting decisions, rationales, and proxy voting activities to ensure transparency in their stewardship activities.</t>
  </si>
  <si>
    <t>Requires institutional investors to establish and disclose voting policies that impact cross-border data transfers by mandating transparency in voting decisions and proxy voting activities, which may affect data sharing with foreign entities.</t>
  </si>
  <si>
    <t>• [Must] Institutional investors must establish comprehensive voting policies including mechanisms for voting
• [Must] Voting policies must detail circumstances for voting decisions (for/against/abstain)
• [Must] Voting policies must include guidelines for assessing proposals and taking decisions
• [Must] Voting policies must specify voting guidelines for specific matters/circumstances
• [Must] Voting policies must establish oversight committees as escalation mechanisms
• [Must] Voting policies must include use of proxy advisors</t>
  </si>
  <si>
    <t>• [Must] Voting policies must address conflict of interest issues
• [Must] Investors must publicly disclose voting decisions including rationale
• [Must] Investors must disclose voting activities through annual reports or websites
• [Must] Investors must disclose proxy voting service scope, providers, and reliance levels
• [Must] Institutional investors must report periodically on stewardship activities</t>
  </si>
  <si>
    <t>Institutional investors shall report to their clients/ beneficiaries periodically on how they have fulfilled their stewardship responsibilities as per their policy in an easy-to-understand format.</t>
  </si>
  <si>
    <t>25 (part 9)</t>
  </si>
  <si>
    <t>Compliance with operational and reporting norms for alternative investment funds</t>
  </si>
  <si>
    <t>115–121</t>
  </si>
  <si>
    <t>Alternative Investment Funds must comply with operational, prudential, and reporting norms including risk management, redemption norms, and prudential requirements. This involves adherence to SEBI circulars, disclosure requirements in placement memorandums, and compliance with additional circulars issued by SEBI. Funds must maintain detailed records of compliance with specific regulations and submit reports to SEBI as required.</t>
  </si>
  <si>
    <t>Mandates compliance with operational and reporting norms that affect cross-border data transfers by requiring detailed records and disclosures related to fund operations, which may impact data sharing with foreign entities.</t>
  </si>
  <si>
    <t>• [Must] Alternative Investment Funds must comply with risk management and compliance norms
• [Must] Alternative Investment Funds must adhere to redemption norms
• [Must] Alternative Investment Funds must meet prudential requirements</t>
  </si>
  <si>
    <t>• [Must] Alternative Investment Funds must comply with SEBI circular No. CIR/IMD/DF/14/2014
• [Must] Alternative Investment Funds must comply with any other circulars issued by SEBI</t>
  </si>
  <si>
    <t>Compliance with respect to: Risk management and compliance, redemption norms, prudential requirements</t>
  </si>
  <si>
    <t>25 (part 10)</t>
  </si>
  <si>
    <t>Disclosure requirements for alternative investment funds</t>
  </si>
  <si>
    <t>121–126</t>
  </si>
  <si>
    <t>This section mandates specific disclosures for Alternative Investment Funds (AIFs) including net asset value, financial information of investees, performance data, material risks, and non-material operational changes. AIFs must provide timely updates on conflicts of interest, legal actions, liabilities, and breaches of agreements. The disclosures must be made within defined timelines to ensure investor transparency and compliance with regulatory requirements.</t>
  </si>
  <si>
    <t>This section imposes specific disclosure obligations that impact data transfer impact assessments by requiring detailed reporting on financial information, risks, and operational changes. The need for timely and accurate disclosures affects how data is shared across borders with investors and regulators.</t>
  </si>
  <si>
    <t>• [Must] Disclose net asset value of fund/scheme at least every six months
• [Must] Disclose financial information of investee companies within 180 days from year end
• [Must] Disclose material risks including concentration risk, foreign exchange risk, leverage risk, etc.
• [Must] Intimate any non-material changes in fund operations within 30 days
• [Must] Redress investor complaints within 30 days of receipt</t>
  </si>
  <si>
    <t>• [Must] Provide detailed grievance redressal mechanism for investors
• [Must] Disclose any legal actions by regulatory bodies in any jurisdiction
• [Must] Disclose any material liabilities arising during fund tenure
• [Must] Disclose any breaches of placement memorandum or fund agreements
• [Must] Intimate any conflicts of interest in transactions</t>
  </si>
  <si>
    <t>3. Dissemination of financial information of Fund. 3.1. Net Asset Value of Fund/ Scheme. 3.2. Financial information of investee companies. 3.3. Information on performance of scheme/fund.</t>
  </si>
  <si>
    <t>guidelines-on-cyber-security-and-cyber-resilience-for-regulated-entities-in-ifscs-1-10032025064412 (India - Row 5)</t>
  </si>
  <si>
    <t>Cyber security as foundational for financial stability in IFSC</t>
  </si>
  <si>
    <t>IFSCA</t>
  </si>
  <si>
    <t>This section establishes that cyber security is fundamental for financial entities operating in the GIFT IFSC, emphasizing its role in maintaining trust and stability. It mandates that regulated entities (REs) must implement cyber security measures to protect against threats like fraud, data breaches, and infrastructure disruptions. The guidelines require REs to align their security practices with the principle of proportionality based on operational scale, activity nature, ecosystem interconnectedness, and cyber risk exposure.</t>
  </si>
  <si>
    <t>Cyber security is foundational for financial stability in IFSC; REs must implement proportionate security measures to protect against cross-border threats and ensure trust in financial services.</t>
  </si>
  <si>
    <t>• [Must] Cyber security is fundamental for financial entities in GIFT IFSC
• [Must] Regulated entities must implement cyber security measures to protect against fraud, data breaches, and infrastructure disruptions</t>
  </si>
  <si>
    <t>• [Condition] Cyber security practices must align with proportionality based on operational scale, activity nature, ecosystem interconnectedness, and cyber risk exposure</t>
  </si>
  <si>
    <t>As the IFSC continues to evolve as a global financial hub, the sophistication of cyber threats targeting financial entities is also expected to grow. In such an international jurisdiction, where institutions cater to a diverse global client base, maintaining robust cyber security becomes fundamental.</t>
  </si>
  <si>
    <t>Guidelines structured into five key components</t>
  </si>
  <si>
    <t>This section categorizes the guidelines into five key components: Governance, Cyber Security and Cyber Resilience Framework, Third Party Risk Management, Communication &amp; Awareness, and Audit. It does not impose specific obligations but outlines the structural framework for the guidelines.</t>
  </si>
  <si>
    <t>• [Must] Guidelines are categorized into five key components: Governance, Cyber Security and Cyber Resilience Framework, Third Party Risk Management, Communication &amp; Awareness, and Audit</t>
  </si>
  <si>
    <t>The key components of the Guidelines are categorized into: I. Governance II. Cyber security and cyber resilience framework III. Third party risk management IV. Communication &amp; awareness V. Audit</t>
  </si>
  <si>
    <t>Oversight Body for cyber risk management</t>
  </si>
  <si>
    <t>This section mandates that regulated entities (REs) must establish an Oversight Body comprising stakeholders such as the Governing Board, senior management (including MD, CEO, CISO, CTO, etc.), or committees designated for cyber risk management. The Oversight Body is responsible for collectively managing cyber risk within the entity.</t>
  </si>
  <si>
    <t>REs must establish an Oversight Body for cyber risk management, which includes governance structures to ensure cross-border data security and compliance.</t>
  </si>
  <si>
    <t>• [Must] REs shall have adequate governance mechanisms with clear roles and responsibilities for cyber risk management</t>
  </si>
  <si>
    <t>• [Must] Oversight Body includes Governing Board, senior management (MD, CEO, CISO, CTO, etc.), or committees designated for cyber risk management</t>
  </si>
  <si>
    <t>The REs shall have adequate governance mechanisms, with a clear set of roles and responsibilities to manage cyber risk. The set of stakeholders involved in the governance of an RE's cyber risk management mechanism shall collectively be referred to as the 'Oversight Body' of the RE</t>
  </si>
  <si>
    <t>Senior management must cultivate cyber risk culture</t>
  </si>
  <si>
    <t>This section requires that the Governing Board and senior management must possess sufficient expertise to understand and manage cyber risks, and they must set the tone for a strong culture of cyber risk awareness across all staff levels within the entity.</t>
  </si>
  <si>
    <t>REs must ensure senior management cultivates a culture of cyber risk awareness to protect cross-border financial data.</t>
  </si>
  <si>
    <t>• [Must] Governing Board and senior management must possess sufficient expertise to understand and manage cyber risk</t>
  </si>
  <si>
    <t>• [Must] Governing Board and senior management must set the tone for a strong culture of cyber risk awareness across all staff levels</t>
  </si>
  <si>
    <t>The REs shall ensure that their Governing Board and the senior management possesses sufficient expertise and knowledge to effectively understand and manage cyber risk.</t>
  </si>
  <si>
    <t>Designated Officer for cyber risk management</t>
  </si>
  <si>
    <t>This section mandates that REs must appoint a Chief Information Security Officer (CISO) or designate a senior employee to assess, identify, reduce cyber security risks, respond to incidents, establish standards and controls, and direct the implementation of processes approved by the Oversight Body.</t>
  </si>
  <si>
    <t>REs must appoint a Designated Officer to manage cyber risks, ensuring cross-border data security and compliance with IFSCA requirements.</t>
  </si>
  <si>
    <t>• [Must] REs shall appoint a CISO or designate a senior employee to assess, identify and reduce cyber security risks
• [Must] Designated Officer must respond to incidents, establish appropriate standards and controls</t>
  </si>
  <si>
    <t>• [Must] Designated Officer must direct the establishment and implementation of processes approved by the Oversight Body</t>
  </si>
  <si>
    <t>The REs shall appoint a CISO or alternatively, designate a senior employee/ management personnel to assess, identify and reduce cyber security risks, respond to incidents, establish appropriate standards and controls, and direct the establishment and implementation of processes and procedures as approved by the Oversight Body of the RE</t>
  </si>
  <si>
    <t>Designated Officer designation</t>
  </si>
  <si>
    <t>This section defines the 'Designated Officer' as the CISO or senior employee designated under Section 5, who is responsible for implementing cyber security measures as approved by the Oversight Body.</t>
  </si>
  <si>
    <t>• [Must] Designated Officer refers to the CISO or senior employee designated under Section 5</t>
  </si>
  <si>
    <t>The CISO or senior employee/ management personnel so designated shall henceforth be referred to as the 'Designated Officer'.</t>
  </si>
  <si>
    <t>Cyber Security Framework for IT Asset Protection</t>
  </si>
  <si>
    <t>Security, Incident Reporting, Third Party Processing</t>
  </si>
  <si>
    <t>Regulated entities must create a Cyber Security and Cyber Resilience Framework to ensure confidentiality, integrity, and availability of their IT assets. This framework must include capabilities to anticipate and recover from cyber-attacks, assess cyber threats including third-party risks, define cyber risk appetite, outline people/process/technology requirements for risk management, establish roles during incidents, and be periodically reviewed for relevance. The framework applies to all regulated entities in the IFSC.</t>
  </si>
  <si>
    <t>This section mandates a comprehensive cyber resilience framework that directly impacts data transfer security by requiring entities to maintain robust incident response, third-party risk management, and continuous framework updates for cross-border data handling.</t>
  </si>
  <si>
    <t>• [Must] The REs shall formulate the Cyber Security and Cyber Resilience Framework to maintain the Conϐidentiality, Integrity and Availability of their IT assets
• [Must] The framework shall aim to maintain and promote the RE's ability to anticipate, withstand, contain, and recover from cyber-attacks
• [Must] The framework shall take an integrated and comprehensive view of potential cyber threats, including third party risks
• [Must] The framework shall define the RE's cyber risk appetite and cyber resilience objectives</t>
  </si>
  <si>
    <t>• [Must] The framework shall outline the RE's people, process and technology requirements for managing cyber risks
• [Must] The framework shall establish roles and responsibilities of the Oversight Body, Designated Officer, employees and stakeholders during cyber incidents
• [Must] The framework shall be reviewed and updated periodically to ensure relevance</t>
  </si>
  <si>
    <t>7. The REs shall formulate the Cyber Security and Cyber Resilience Framework to maintain the Conϐidentiality, Integrity and Availability of their IT assets.</t>
  </si>
  <si>
    <t>Information Security Policy with Risk-Based Controls</t>
  </si>
  <si>
    <t>4–6</t>
  </si>
  <si>
    <t>Security, Access Control, Incident Reporting, Third Party Processing</t>
  </si>
  <si>
    <t>Regulated entities must develop an Information Security Policy as part of their cyber resilience framework with specific principles: maintain detailed IT asset inventories, conduct risk assessments and classify assets by business criticality, implement security controls aligned with international standards like NIST and ISO 27000, enforce least privilege access controls, ensure physical security, conduct annual vulnerability assessments, establish recovery policies, and define incident management procedures. The policy applies to all regulated entities in the IFSC.</t>
  </si>
  <si>
    <t>This section requires detailed security policies that directly affect data transfer by mandating asset classification, risk assessments, and third-party risk management for cross-border data flows.</t>
  </si>
  <si>
    <t>• [Must] The REs shall maintain a detailed inventory of IT assets, including logical and physical components
• [Must] The REs shall carry out a risk assessment of assets and classify them based on business criticality, data sensitivity, and potential impact
• [Must] The REs shall identify and classify business functions and processes based on criticality to operations
• [Must] The REs shall implement security controls aligned with international best practices and standards like NIST, ISO 27000
• [Must] The REs shall ensure security controls are proportional to threat landscape and risk appetite
• [Must] The REs shall manage access rights on a 'need-to-know' basis following least privilege and segregation of duties principles
• [Must] The REs shall enforce robust authentication methods to ensure access control compliance</t>
  </si>
  <si>
    <t>• [Must] The REs shall ensure adequate physical security for IT assets
• [Must] The REs shall conduct Vulnerability Assessment and Penetration Testing (VAPT) at least once a year
• [Must] The REs shall have recovery policies and procedures to maximize service continuity and limit losses during disruptions
• [Must] The REs shall define 'cyber incident' and develop processes for preventing, detecting, analyzing and responding to incidents
• [Must] The REs shall establish mechanisms for fulfilling disclosure and reporting requirements during cyber incidents
• [Must] The REs shall ensure audit trails exist for IT assets to satisfy business continuity, regulatory obligations, forensic evidence, and dispute resolution</t>
  </si>
  <si>
    <t>9. The REs shall formulate an Information Security (IS) Policy as part of their cyber security and cyber resilience framework with the following basic principles.</t>
  </si>
  <si>
    <t>Collaborative Third-Party Security Approach</t>
  </si>
  <si>
    <t>Third Party Processing, Security, Incident Reporting</t>
  </si>
  <si>
    <t>Regulated entities must establish collaborative security practices with third-party vendors by clearly defining shared expectations for data security, incident reporting, and adherence to relevant security standards. This applies to all third-party relationships within the IFSC.</t>
  </si>
  <si>
    <t>This section requires explicit communication protocols for third-party data transfers, directly impacting cross-border data flows by mandating security standards and incident reporting mechanisms.</t>
  </si>
  <si>
    <t>• [Must] The REs shall adopt a collaborative security approach with third-party vendors/external partners</t>
  </si>
  <si>
    <t>• [Must] The REs shall clearly outline shared expectations for data security, incident reporting and adherence to relevant security standards</t>
  </si>
  <si>
    <t>10. The REs shall adopt a collaborative security approach with their third-party vendors/external partners, by clearly outlining shared expectations for data security, incident reporting and adherence to relevant security standards.</t>
  </si>
  <si>
    <t>Risk-Based Third-Party Vendor Reviews</t>
  </si>
  <si>
    <t>Regulated entities must implement a risk-based approach for periodic review of third-party vendors, identifying critical dependencies and conducting vulnerability assessments every six months for core operations. Less critical vendors may have flexible review frequencies.</t>
  </si>
  <si>
    <t>This section directly impacts data transfer by requiring regular third-party risk assessments for critical systems, which is essential for cross-border data transfers involving third parties.</t>
  </si>
  <si>
    <t>• [Must] The REs shall identify third-party service providers critical to core operations or with access to critical systems
• [Must] The REs shall carry out vulnerability assessments or compliance gap detection every six months for critical third parties</t>
  </si>
  <si>
    <t>• [May] The REs shall determine appropriate review frequency for non-critical third parties</t>
  </si>
  <si>
    <t>11. The REs shall adopt a risk-based approach for periodic review of third-party vendors/external partners.</t>
  </si>
  <si>
    <t>Third-Party Risk Communication Channels</t>
  </si>
  <si>
    <t>Regulated entities must establish clear communication channels and escalation procedures for addressing risks or non-compliance with third parties promptly and effectively.</t>
  </si>
  <si>
    <t>This section ensures timely resolution of third-party data transfer issues, which is critical for maintaining data integrity in cross-border transfers.</t>
  </si>
  <si>
    <t>• [Must] The REs shall establish clear communication channels and escalation procedures for addressing identified risks or non-compliance with partners</t>
  </si>
  <si>
    <t>12. The REs should establish clear communication channels and escalation procedures for addressing any identified risks or non-compliance with partners, promptly and effectively.</t>
  </si>
  <si>
    <t>Third-Party Risk Responsibility</t>
  </si>
  <si>
    <t>Regulated entities bear ultimate responsibility for mitigating cyber risks arising from third parties, ensuring comprehensive risk management across all vendor relationships.</t>
  </si>
  <si>
    <t>This section clarifies that regulated entities are solely responsible for third-party cyber risks, which directly affects data transfer security and compliance for cross-border data flows.</t>
  </si>
  <si>
    <t>• [Must] The ultimate responsibility to mitigate cyber risks arising from third parties shall be on the REs</t>
  </si>
  <si>
    <t>13. The ultimate responsibility to mitigate the cyber risks arising from the third parties shall be on the REs.</t>
  </si>
  <si>
    <t>Employee cyber security training requirements</t>
  </si>
  <si>
    <t>Regulated entities must conduct regular cybersecurity training for employees covering phishing awareness, social engineering, password hygiene, and incident reporting procedures. This training is mandatory to ensure staff can identify and respond to cyber threats effectively. The training must be ongoing and address specific cyber risks relevant to the entity's operations.</t>
  </si>
  <si>
    <t>Requires regular employee training on cybersecurity to mitigate risks during data transfers and processing activities. This impacts DTIA by emphasizing staff awareness as a critical control for secure data handling.</t>
  </si>
  <si>
    <t>• [Must] Provide regular training to employees on cyber security topics
• [Must] Include phishing awareness in training
• [Must] Include social engineering awareness in training</t>
  </si>
  <si>
    <t>• [Must] Include password hygiene in training
• [Must] Include incident reporting procedures in training</t>
  </si>
  <si>
    <t>14. The REs shall provide regular training to its employees on topics pertaining to cyber security, including but not limited to, phishing awareness, social engineering, password hygiene and incident reporting procedures.</t>
  </si>
  <si>
    <t>Employee incident reporting channels</t>
  </si>
  <si>
    <t>Regulated entities must establish clear and accessible methods for employees to report suspicious activities, vulnerabilities, and potential cyber incidents. This ensures timely identification and response to security threats. Employees can use these channels to escalate issues before they escalate into major breaches.</t>
  </si>
  <si>
    <t>Requires mechanisms for employees to report cyber incidents, which is critical for DTIA as it ensures early detection and mitigation of data transfer risks.</t>
  </si>
  <si>
    <t>• [Must] Establish clear and accessible channels for employees to report suspicious activity
• [Must] Establish clear and accessible channels for employees to report vulnerabilities</t>
  </si>
  <si>
    <t>• [Must] Establish clear and accessible channels for employees to report potential cyber incidents</t>
  </si>
  <si>
    <t>15. The REs shall establish clear and accessible channels for employees to report suspicious activity, vulnerabilities, and potential cyber incidents.</t>
  </si>
  <si>
    <t>Cybersecurity audit requirements</t>
  </si>
  <si>
    <t>Regulated entities must undergo periodic cybersecurity audits by a certified auditor to ensure their security measures are effective. The audit must be conducted annually or more frequently based on cyber risk levels. The auditor must certify that security controls align with the entity's risk profile and submit findings to the IFSCA Governing Board and senior management.</t>
  </si>
  <si>
    <t>Mandates periodic cybersecurity audits to validate security controls, which is essential for DTIA as it ensures data transfer mechanisms are robust and compliant with security standards.</t>
  </si>
  <si>
    <t>• [Must] Conduct periodic audits of RE's cyber risk management measures
• [Must] Audit by a CERT-In empanelled auditor
• [Must] Audit by an independent auditor with CISA certification
• [Must] Audit by an independent auditor with CISM certification</t>
  </si>
  <si>
    <t>• [Must] Audit by an independent auditor with GSNA certification
• [Must] Audit by an independent auditor with CISSP certification
• [Must] Audit by an auditor with prior experience in cybersecurity for similar entities
• [Must] Certify that security controls align with RE's cyber risks</t>
  </si>
  <si>
    <t>16. The aim of the audit is to provide an independent assurance of the effectiveness of RE's measures to its Governing Board and the senior management. Towards this effect, the governance, systems and processes established by the REs for managing their cyber risks shall be audited on a periodic basis by either of the following: a. a CERT-In empanelled auditor, b. an independent auditor possessing the following certiϐications: i. Certiϐied Information Security Auditor (CISA) or ii. Certiϐied Information Security Manager (CISM) or iii. GIAC Systems and Network Auditor (GSNA) or iv. Certiϐied Information Systems Security Professional (CISSP)</t>
  </si>
  <si>
    <t>Auditor conflict of interest and reporting</t>
  </si>
  <si>
    <t>The auditor engaged by a regulated entity must not have a conflict of interest with the entity. The audit report must be submitted to IFSCA within 90 days of the financial year-end. Entities may conduct audits more frequently than annually based on their cyber risk levels and system criticality.</t>
  </si>
  <si>
    <t>Requires auditor independence and timely reporting of audit results, which is vital for DTIA to ensure ongoing compliance with security standards during data transfers.</t>
  </si>
  <si>
    <t>• [Must] Auditor must not have any conflict of interest with RE
• [Must] Submit audit report to IFSCA within 90 days of financial year-end
• [Must] Submit audit report to IFSCA's corresponding department/division</t>
  </si>
  <si>
    <t>• [Must] Conduct audits at least annually
• [May] Conduct audits more frequently than annually based on cyber risk levels</t>
  </si>
  <si>
    <t>17. The auditor engaged by an RE shall not have any conϐlict of interest with the RE. The audit shall be conducted annually and a report in this regard shall be submitted to IFSCA by the REs within 90 days from the end of the ϕinancial year.</t>
  </si>
  <si>
    <t>Audit report submission for market participants</t>
  </si>
  <si>
    <t>Regulated entities registered as Broker Dealers, Bullion Trading Members, Clearing Members, or Depository Participants must submit their cybersecurity audit reports to IFSCA within 7 days of submitting to a Market Infrastructure Institution or Bullion Exchange. This ensures timely compliance with IFSCA's cybersecurity standards.</t>
  </si>
  <si>
    <t>Allows for streamlined audit reporting for market participants, which is relevant for DTIA as it ensures consistent security practices across financial entities during data transfers.</t>
  </si>
  <si>
    <t>• [Must] Submit cybersecurity audit report to IFSCA within 7 days of submission to Market Infrastructure Institution/Bullion Exchange</t>
  </si>
  <si>
    <t>18. In case the RE is registered with IFSCA as a Broker Dealer/Bullion Trading Member, Clearing Member/Bullion Clearing Member or as a Depository Participant, and is required to submit cyber security audit report to a recognised Market Infrastructure Institution/Bullion Exchange, such REs may submit the same audit report to IFSCA within 7 days of submission of the audit report to the Market Infrastructure Institution/Bullion Exchange.</t>
  </si>
  <si>
    <t>Cyber incident reporting timeline</t>
  </si>
  <si>
    <t>Regulated entities must report cyber incidents to IFSCA's cyber incidents email address within six hours of detection. This includes details of the incident, its impact, and any mitigating actions taken. The reporting requirement ensures rapid response to incidents that could affect data security.</t>
  </si>
  <si>
    <t>Mandates immediate reporting of cyber incidents, which is critical for DTIA to address data transfer risks and ensure timely mitigation of breaches.</t>
  </si>
  <si>
    <t>• [Must] Report cyber incidents to cyber-incidents@ifsca.gov.in within six hours of detection</t>
  </si>
  <si>
    <t>• [Must] Copy report to IFSCA's CISO</t>
  </si>
  <si>
    <t>19. In case of occurrence of any cyber incident, the REs are required to report the particulars of the incident to the Authority on cyber-incidents@ifsca.gov.in with a copy to CISO, IFSCA, not later than six (6) hours from the detection of the incident.</t>
  </si>
  <si>
    <t>Interim reports and root cause analysis within deadlines</t>
  </si>
  <si>
    <t>Regulated entities (REs) must submit an interim report within 3 days of an incident, followed by a detailed root cause analysis report within 30 days. REs must implement mitigation measures for the incident within 7 days. These obligations apply to REs operating in International Financial Services Centres (IFSCs) as per the guidelines.</t>
  </si>
  <si>
    <t>Requires timely reporting and mitigation actions for incidents, which impacts DTIA by mandating specific timelines for root cause analysis and corrective measures across borders.</t>
  </si>
  <si>
    <t>• [Must] REs shall submit interim report within 3 days
• [Must] REs shall submit detailed root cause analysis report within 30 days</t>
  </si>
  <si>
    <t>• [Must] REs shall take mitigation measures within 7 days</t>
  </si>
  <si>
    <t>20. Additionally, the REs shall submit the interim report within 3 days followed by a detailed root cause analysis report within 30 days. The REs shall take mitigation measures for the same within 7 days.</t>
  </si>
  <si>
    <t>Exempted categories of regulated entities</t>
  </si>
  <si>
    <t>The following categories of regulated entities (REs) are exempt from the guidelines: REs operating as branches of regulated Indian or foreign entities; REs providing services to group entities only (e.g., Global In-House Centres); REs with fewer than 10 employees; and foreign universities established in IFSCs. These exemptions apply to REs operating in International Financial Services Centres.</t>
  </si>
  <si>
    <t>Identifies specific REs exempt from compliance, which affects DTIA by reducing the scope of reporting and security requirements for certain entities operating in IFSCs.</t>
  </si>
  <si>
    <t>• [Exempt] REs operating as branches of regulated Indian or foreign entities
• [Exempt] REs providing services to group entities only (e.g., Global In-House Centres)</t>
  </si>
  <si>
    <t>• [Exempt] REs with fewer than 10 employees
• [Exempt] Foreign universities set up in IFSCs</t>
  </si>
  <si>
    <t>21. The following categories of REs are exempted from the requirements mentioned in these Guidelines: a. The REs operating in the form of a branch of a regulated Indian or foreign entity. b. The REs providing services to their group entities only e.g. Global In-House Centres (GICs). c. The REs which have less than 10 employees. d. Foreign universities set up in IFSCs.</t>
  </si>
  <si>
    <t>Conditions for exemptions from requirements</t>
  </si>
  <si>
    <t>Exemptions granted under Section 21 are conditional on REs adopting the parent entity's Cyber Security and Cyber Resilience framework; designating the parent entity's CISO as the Designated Officer; ensuring the parent entity is regulated by a financial-sector regulator; and submitting certification within 90 days of each financial year. These exemptions are valid for three years from the guidelines' issuance date.</t>
  </si>
  <si>
    <t>Sets conditions for exemption from compliance, which impacts DTIA by requiring specific alignment with parent entities' frameworks and timely certification for entities operating in IFSCs.</t>
  </si>
  <si>
    <t>• [Must] REs shall adopt Cyber Security and Cyber Resilience framework and IS Policy of parent entity
• [Must] CISO of parent entity shall act as Designated Officer for REs in IFSC
• [Must] Parent entity shall be regulated by financial-sector regulator in home jurisdiction
• [Must] Parent entity's cyber security framework shall include REs in IFSC within scope</t>
  </si>
  <si>
    <t>• [Must] Designated Officer shall certify systems/processes in line with guidelines within 90 days of financial year end
• [Must] Undertaking shall be submitted to IFSCA supervision division
• [Condition] Exemptions valid for three years from guidelines issuance</t>
  </si>
  <si>
    <t>22. The exemptions to the REs provided vide para 21, are subject to fulϐilment of the following conditions: a. REs shall adopt the Cyber Security and Cyber Resilience framework and IS Policy of its parent entity. b. The CISO of the parent entity shall act as the Designated Ofϐicer for the REs in IFSC. c. The parent entity of REs, in India or overseas, shall be regulated by a financial-sector regulator in its home jurisdiction and cyber security and cyber resilience framework of the parent entity shall include within its scope, the REs in IFSC. The Designated Ofϐicer of the RE shall certify that all the necessary systems/processes have been put in place, which are in line with these Guidelines within 90 days of the end of each financial year. The said undertaking shall be submitted to the respective Department/ Division of IFSCA responsible for supervision of the RE. These exemptions have been granted for a period of three years from the date of the issuance of these guidelines.</t>
  </si>
  <si>
    <t>Kenya</t>
  </si>
  <si>
    <t>BankingActOct2015</t>
  </si>
  <si>
    <t>Citation and scope of Banking (Penalties) Regulations 1999</t>
  </si>
  <si>
    <t>71–72</t>
  </si>
  <si>
    <t>These regulations are titled the Banking (Penalties) Regulation 1999 and apply to all banks and other institutions licensed under the Banking Act to conduct business in Kenya. The regulations establish the legal framework for penalties related to banking activities.</t>
  </si>
  <si>
    <t>• [Must] These Regulations may be cited as the Banking (Penalties) Regulation 1999</t>
  </si>
  <si>
    <t>• [Must] The Regulations apply to all banks and other institutions licensed under the Act to conduct business in Kenya</t>
  </si>
  <si>
    <t>1. These Regulations may be cited as the Banking (Penalties) Regulation 1999 and shall apply to all banks and other institutions licensed under the Act to conduct business in Kenya</t>
  </si>
  <si>
    <t>Penalties for non-compliance with Central Bank directions</t>
  </si>
  <si>
    <t>6–12</t>
  </si>
  <si>
    <t>Institutions or individuals who fail to comply with Central Bank directions under the Act face monetary penalties. Institutions may be fined up to one million shillings, while natural persons face fines up to one hundred thousand shillings. Additional penalties of up to ten thousand shillings per day may be imposed for continued non-compliance.</t>
  </si>
  <si>
    <t>• [Must] Any institution failing to comply with Central Bank directions is liable to a penalty not exceeding one million shillings
• [Must] Any natural person failing to comply with Central Bank directions is liable to a penalty not exceeding one hundred thousand shillings</t>
  </si>
  <si>
    <t>• [May] Additional penalties not exceeding ten thousand shillings per day may be imposed for continued non-compliance</t>
  </si>
  <si>
    <t>2. (a) Any institution or other person who fails or refuses to comply with any directions given by the Central Bank under the Act shall be liable to a penalty not exceeding one million shillings in the case of an institution, or one hundred thousand shillings in the case of a natural person.</t>
  </si>
  <si>
    <t>2 (part 2)</t>
  </si>
  <si>
    <t>Definitions of relationship terms for institutions</t>
  </si>
  <si>
    <t>Financial Data, Customer Information, Employee Information, Special Personal Information, Children</t>
  </si>
  <si>
    <t>Personal Information, Financial Data, Customer Data</t>
  </si>
  <si>
    <t>This section defines terms related to the relationships between institutions and their stakeholders, including 'associate', 'control', and their specific applications in the context of institutional management and ownership. It specifies how control is determined, including voting rights, influence over boards, and agreements that may grant dominant influence over management.</t>
  </si>
  <si>
    <t>These definitions clarify the relationships between institutions and their stakeholders, which is critical for understanding data sharing and transfer mechanisms involving related entities. They help determine when data transfers between related entities require specific regulatory oversight.</t>
  </si>
  <si>
    <t>• [Definition] For the purposes of this Act, 'associate' in relation to a company or other body corporate means its holding company or its subsidiary, a subsidiary of its holding company, a holding company of its subsidiary, its non-operating holding company as its subsidiary, a subsidiary of a non-operating holding company, and any person who controls the compa…
• [Definition] In relation to an individual, 'associate' means any member of his family, any company or other body corporate controlled directly or indirectly by him, and any person who is deemed to be a member of a family</t>
  </si>
  <si>
    <t>• [Definition] For purposes of subsection (2), the term 'control' includes the ability to influence board decisions, failure to comply with this Act, the Central Bank of Kenya Act, or any rules, regulations, orders or directions issued under those Acts, or any condition of a licence</t>
  </si>
  <si>
    <t>2 (part 2) For the purposes of this Act, 'associate' in relation to a company or other body corporate means its holding company or its subsidiary, a subsidiary of its holding company, a holding company of its subsidiary, its non-operating holding company as its subsidiary, a subsidiary of a non-operating holding company, and any person who controls the company or body corporate</t>
  </si>
  <si>
    <t>Specific violations subject to monetary penalties</t>
  </si>
  <si>
    <t>This section lists specific violations by institutions that can be subject to monetary penalties. These include lending beyond 25% of core capital, unsecured advances to employees or associates, loans to officers without proper approval, and failure to submit annual audited accounts to the Central Bank within specified timelines.</t>
  </si>
  <si>
    <t>• [Must] Loans exceeding 25% of the institution's core capital to any person
• [Must] Unsecured advances to employees or their associates
• [Must] Unsecured loans to officers or their associates
• [Must] Loans to persons with whom officers have an interest as agents, principals, directors, managers, or shareholders
• [Must] Loans to persons with whom officers are guarantors
• [Must] Loans to directors or other management participants without board approval
• [Must] Loans to directors or management participants not made on terms similar to ordinary customers</t>
  </si>
  <si>
    <t>• [Must] Loans to directors or management participants not reported to the Central Bank within seven days
• [Must] Aggregate credit facilities to shareholders, directors, officers, or employees exceeding 20% of core capital
• [Must] Aggregate loans to shareholders, directors, officers, and employees exceeding 100% of core capital
• [Must] Failure to exhibit annual audited accounts in conspicuous places in every office and branch
• [Must] Failure to publish annual audited accounts in a national newspaper within prescribed months
• [Must] Failure to submit annual audited accounts and auditor's report to the Central Bank within three months of financial year end
• [Must] Failure to provide information to the Central Bank as required</t>
  </si>
  <si>
    <t>3. (1) The following shall constitute specific violations by an institution of the directions given by the Central Bank which shall be subject to assessment of monetary penalties under these Regulations:-</t>
  </si>
  <si>
    <t>Central Bank notification of penalty assessment</t>
  </si>
  <si>
    <t>The Central Bank must notify an institution in writing after reviewing information and determining violations. The notification specifies the penalty assessment and provides a reasonable time frame for rectifying the violation. This ensures transparency in penalty enforcement procedures.</t>
  </si>
  <si>
    <t>• [Must] The Central Bank notifies the institution in writing of its findings and penalty decision</t>
  </si>
  <si>
    <t>• [Must] The notification specifies a reasonable time frame for rectifying the violation</t>
  </si>
  <si>
    <t>4. (a) The Central Bank, after reviewing all available information and determining the existence of the contravention or violations of one or more of the provisions referred to herein, shall notify the institution in writing advising it of its findings and its decision to assess the penalties. (b) A notification under (a) above shall advise the institution of a reasonable time frame within which the violation shall be rectified.</t>
  </si>
  <si>
    <t>Penalty assessment and payment procedures</t>
  </si>
  <si>
    <t>Following notification and the expiration of the rectification period, the Central Bank instructs the institution on the penalty amount and payment method. If the institution fails to rectify the violation, daily penalties continue to accrue until rectification is complete.</t>
  </si>
  <si>
    <t>• [Must] The Central Bank instructs the institution on the penalty amount and payment method after rectification period
• [Must] Daily penalties continue to accrue if the institution fails to rectify the violation</t>
  </si>
  <si>
    <t>• [Condition] Daily penalties cease once the Central Bank is satisfied the violation has been rectified</t>
  </si>
  <si>
    <t>5. Following the notification and expiration of the time frame designated in (4) above, or sooner if advised by the institution of the correction of the violation, Director of Bank Supervision of the Central Bank shall instruct the institution, in writing, as to the amount of monetary penalties assessed and the manner in which such monies shall be paid to the Central Bank.</t>
  </si>
  <si>
    <t>Transfer of pending legal proceedings during liquidation</t>
  </si>
  <si>
    <t>Cross-border Transfer, Data Sharing, Financial Data</t>
  </si>
  <si>
    <t>High Court</t>
  </si>
  <si>
    <t>Pending legal proceedings in other courts must be transferred to the High Court during an institution's liquidation, except for appeals. The liquidator must submit a report within three months listing all pending proceedings, and the High Court may order transfers of proceedings to itself.</t>
  </si>
  <si>
    <t>Requires transfer of pending legal proceedings to the High Court during liquidation, which may affect data transfers if international proceedings are involved.</t>
  </si>
  <si>
    <t>• [Must Not] No pending legal proceedings may proceed except under High Court rules
• [Must] Liquidator must submit report of pending proceedings within three months</t>
  </si>
  <si>
    <t>• [May] High Court may transfer proceedings to itself for disposal
• [Must] Proceedings not transferred remain in original court</t>
  </si>
  <si>
    <t>6. (1) Where an institution is being wound-up, no suit or other legal proceeding, whether civil or criminal, in respect of which the High Court has jurisdiction under the Act or these Regulations and which is pending in any other court immediately before the commencement of the Act or the commencement of the winding-up of the institution, whichever is later, shall be proceeded with except in the manner provided under these Regulations.</t>
  </si>
  <si>
    <t>Public examination of officers during liquidation</t>
  </si>
  <si>
    <t>The liquidator must determine if any loss was caused to the institution by acts or omissions of promoters, officers, or auditors. If so, the High Court may order public examinations of those individuals, with the liquidator taking part and allowing creditors to attend.</t>
  </si>
  <si>
    <t>Requires public examinations of officers during liquidation, which may impact data transfers if international officers are involved.</t>
  </si>
  <si>
    <t>• [Must] Liquidator determines if loss was caused by acts or omissions of promoters or officers
• [May] High Court may order public examination of officers
• [Must] Liquidator takes part in examination and may employ legal representative</t>
  </si>
  <si>
    <t>• [May] Creditors may attend examination
• [Must] Examination conducted on oath</t>
  </si>
  <si>
    <t>7. (1) In the winding-up of an institution, the liquidator shall determine whether, in his opinion, any loss has been caused to the institution since its formation by any act or omission (whether or not a fraud has been committed by such act or omission) of a person in the promotion or formation of the institution or of any officer or auditor of the institution.</t>
  </si>
  <si>
    <t>Special provisions for examination evidence</t>
  </si>
  <si>
    <t>73–74</t>
  </si>
  <si>
    <t>Examinations under section 7 may be used in civil proceedings, and records are open to creditors for inspection. No person can be excused from examination due to ongoing legal proceedings.</t>
  </si>
  <si>
    <t>Allows examination records to be used in civil proceedings, which may affect data transfer assessments if cross-border litigation occurs.</t>
  </si>
  <si>
    <t>• [May] Examination records may be used in civil proceedings
• [Must] Examination records open to creditors for inspection</t>
  </si>
  <si>
    <t>• [Must Not] No person excused from examination due to ongoing legal proceedings</t>
  </si>
  <si>
    <t>8. (1) This regulation shall apply to any examination under regulation 7 and also to any examination under section 263 or section 265 of the Companies Act which is conducted in the course of the winding-up of any institution whether such winding-up commenced before or after the commencement of the Act.</t>
  </si>
  <si>
    <t>Recovery of funds from promoters during liquidation</t>
  </si>
  <si>
    <t>18–24</t>
  </si>
  <si>
    <t>The High Court may order repayment of funds from promoters or officers if they are liable for losses during an institution's winding-up. Property belonging to promoters or officers may be attached if the High Court deems it necessary.</t>
  </si>
  <si>
    <t>Allows recovery of funds from promoters during liquidation, which may impact data transfers if international promoters are involved.</t>
  </si>
  <si>
    <t>• [May] High Court orders repayment of funds from promoters or officers
• [Must] Jointly liable persons repay funds jointly and severally</t>
  </si>
  <si>
    <t>• [May] High Court may attach property of promoters or officers</t>
  </si>
  <si>
    <t>9. (1) Where an application is made to the High Court under section 323 of the Companies Act against any person for repayment of restoration of any money or property of an institution and the applicant makes out prima facie case against such person, the High Court shall make an order against such person to repay and restore the money or property unless he proves that he is not liable to make the repayment or restoration either wholly or in part.</t>
  </si>
  <si>
    <t>Resignation of liquidator by Board upon notice to Official Receiver</t>
  </si>
  <si>
    <t>The Board can resign as liquidator of an institution by providing written notice to the Official Receiver. Upon receiving this notice, the Official Receiver automatically becomes the institution's liquidator unless a new liquidator is appointed by the Court under the Companies Act. This provision outlines the process for transitioning liquidation responsibilities.</t>
  </si>
  <si>
    <t>• [Must] The Board may resign as liquidator of an institution by giving written notice to the Official Receiver
• [Must] The Official Receiver becomes the liquidator of the institution upon receiving written notice from the Board</t>
  </si>
  <si>
    <t>• [Condition] The Court may appoint another liquidator if the Official Receiver is not the liquidator</t>
  </si>
  <si>
    <t>10. The Board may, at any time, resign as liquidator of an institution upon giving written notice to the Official Receiver whereupon the Official Receiver shall become the liquidator of the institution unless and until another liquidator is appointed by the Court in accordance with the provisions of the Companies Act.</t>
  </si>
  <si>
    <t>Liquidator's duty to pay depositor excess after insolvency payment</t>
  </si>
  <si>
    <t>26–31</t>
  </si>
  <si>
    <t>Board</t>
  </si>
  <si>
    <t>The liquidator of an insolvent banking institution must pay the Board the amount specified in regulation (8) instead of depositors. If this payment equals the insolvency payment made to depositors by the Board, the liquidator must then pay any excess amount to depositors. This applies to liquidators handling insolvent banking institutions.</t>
  </si>
  <si>
    <t>This section specifies how liquidators handle excess funds after insolvency payments, which may impact data transfer assessments when liquidators manage depositor data across borders.</t>
  </si>
  <si>
    <t>• [Must] Liquidator must pay Board the amount specified in regulation (8) instead of depositor</t>
  </si>
  <si>
    <t>• [Must] If payment equals insolvency payment to depositor, liquidator must pay excess to depositor</t>
  </si>
  <si>
    <t>The duty of the liquidator of an insolvent contributory institution shall be to pay to the Board instead of the depositor the amount referred to under regulation (8), and if the amount paid to the Board equals the insolvency payment made to the depositor by the Board, the liquidator shall thereafter pay to the depositor instead of the Board any excess amount.</t>
  </si>
  <si>
    <t>Board's authority to require financial information from institutions</t>
  </si>
  <si>
    <t>The Board can issue written notices to banking institutions or their liquidators requiring them to provide specific information, books, papers, or records to carry out its functions under the Act. This applies to the Board inspecting financial records during insolvency proceedings.</t>
  </si>
  <si>
    <t>This section allows the Board to inspect financial records during insolvency, which may affect data transfer assessments when institutions share data across borders.</t>
  </si>
  <si>
    <t>• [May] Board may require institution or liquidator to furnish information and books, papers or records</t>
  </si>
  <si>
    <t>The Board may, by notice in writing served on a contributory institution or the liquidator of an insolvent institution, require him or such institution at such place as may be specified in the notice to furnish to the Board information and such books, papers or records as the Board may require to carry out its functions under the Act.</t>
  </si>
  <si>
    <t>Permitted access to financial records during liquidation</t>
  </si>
  <si>
    <t>84</t>
  </si>
  <si>
    <t>When financial records come into the possession of an official receiver or liquidator due to an institution's insolvency, they must allow authorized Board personnel to inspect these records. This applies to liquidators managing financial data during insolvency proceedings.</t>
  </si>
  <si>
    <t>This section ensures access to financial records during liquidation, which may impact data transfer assessments when liquidators handle cross-border data.</t>
  </si>
  <si>
    <t>• [Must] Liquidator must permit authorized Board personnel to inspect books, papers or records</t>
  </si>
  <si>
    <t>Where as a result of a contributory institution having become insolvent any books, papers or records have come into the possession of the official receiver, or liquidator he shall permit any person duly authorized by the Board to inspect such books, papers or records.</t>
  </si>
  <si>
    <t>Mortgage finance company loan requirements</t>
  </si>
  <si>
    <t>Central Bank of Kenya</t>
  </si>
  <si>
    <t>This section requires mortgage finance companies to make loans secured by land in Kenya for acquisition, construction, improvement, development, alteration, or adaptation purposes, with repayment secured by first mortgage or charge over land.</t>
  </si>
  <si>
    <t>Restricts cross-border data transfers by mandating land-related loans to be secured by property, reducing data transfer risk for real estate transactions.</t>
  </si>
  <si>
    <t>• [Must] Mortgage finance companies must make loans for acquisition, construction, improvement, development, alteration, or adaptation of land in Kenya</t>
  </si>
  <si>
    <t>• [Must] Mortgage finance company loans must be secured by first mortgage or charge over land</t>
  </si>
  <si>
    <t>A mortgage finance company shall make loans: for the purpose of the acquisition, construction, improvement, development, alteration or adaptation for a particular purpose of land in Kenya</t>
  </si>
  <si>
    <t>Deposit-taking business restrictions</t>
  </si>
  <si>
    <t>This section defines deposit-taking businesses, prohibits non-institutions from accepting deposits, and mandates interest payments on savings accounts. It specifies that deposits must be repayable with or without interest and not referable to property/services or security.</t>
  </si>
  <si>
    <t>Restricts cross-border data transfers by defining deposit-taking activities, impacting data storage and processing for financial transactions.</t>
  </si>
  <si>
    <t>• [Must Not] No person other than licensed institutions or approved agencies may invite or accept deposits
• [Must] Deposits must be repayable with or without interest and on demand or at agreed terms</t>
  </si>
  <si>
    <t>• [Must Not] Deposits must not be referable to property/services or security</t>
  </si>
  <si>
    <t>No person, other than an institution which holds a valid licence, or a duly approved agency conducting banking business on behalf of an institution shall invite or accept deposits in the course of carrying on a deposit-taking business</t>
  </si>
  <si>
    <t>Core capital requirement</t>
  </si>
  <si>
    <t>This section mandates that banking institutions maintain core capital at least 8% of total deposit liabilities to ensure financial stability and regulatory compliance.</t>
  </si>
  <si>
    <t>Requires institutions to maintain minimum core capital, impacting data storage and processing capacity for financial transactions.</t>
  </si>
  <si>
    <t>• [Must] Core capital of an institution must be at least 8% of total deposit liabilities</t>
  </si>
  <si>
    <t>The core capital of an institution shall at all times be not less than eight per cent of its total deposit liabilities</t>
  </si>
  <si>
    <t>Central Bank's authority to set capital ratio minimums</t>
  </si>
  <si>
    <t>The Central Bank of Kenya has the authority to establish minimum capital ratios for banking institutions and groups, measured as core capital to total capital and risk-weighted assets. These ratios can be adjusted based on the institution's risk profile. Non-operating holding companies must maintain adequate capital and liquidity to support their institutions and comply with Central Bank regulations.</t>
  </si>
  <si>
    <t>This section establishes regulatory capital requirements that impact cross-border banking operations by mandating minimum liquidity and capital ratios for institutions operating in Kenya, affecting data storage and financial stability.</t>
  </si>
  <si>
    <t>• [Must] The Central Bank may prescribe minimum ratios for core capital to total capital and risk-weighted assets
• [Must] The Central Bank may determine the method of classifying and evaluating assets
• [Must] The Central Bank may prescribe higher minimum ratios based on an institution's risk profile</t>
  </si>
  <si>
    <t>• [Must] Non-operating holding companies must maintain adequate capital and liquidity to demonstrate they are a source of strength for the institution
• [Must] Non-operating holding companies must comply with Central Bank regulations on minimum ratios or capital requirements</t>
  </si>
  <si>
    <t>18. (1) The Central Bank may prescribe the minimum ratios which shall be maintained by institutions and banking groups as between their core capital and total capital on one hand and their risk weighted assets (including their total loans and advances) and risk-weighted off balance sheet items on the other and for that purpose, may also determine the method of classifying and evaluating assets: Provided that the Central Bank may prescribe higher minimum ratios based on its assessment of an institution's or banking group's risk profile.</t>
  </si>
  <si>
    <t>Minimum liquid assets requirement for banking institutions</t>
  </si>
  <si>
    <t>Banking institutions in Kenya must maintain a minimum holding of liquid assets as determined by the Central Bank. Liquid assets include legal tender, balances at the Central Bank, balances at other Kenyan banks, foreign bank balances, treasury bills, and other assets specified by the Central Bank. Non-compliance incurs a penalty interest charge of up to 1% per day on the deficiency.</t>
  </si>
  <si>
    <t>This section mandates specific liquid asset holdings that impact data storage and financial stability, requiring institutions to maintain certain types of assets to ensure liquidity for cross-border operations.</t>
  </si>
  <si>
    <t>• [Must] An institution shall maintain such minimum holding of liquid assets as the Central Bank may determine
• [Must] Liquid assets include legal tender in Kenya
• [Must] Liquid assets include balances held at the Central Bank
• [Must] Liquid assets include balances at other banks in Kenya after deducting balances owed to those banks
• [Must] Liquid assets include balances at banks abroad withdrawable on demand or short notice</t>
  </si>
  <si>
    <t>• [Must] Liquid assets include money at call abroad after deducting balances owed to banks abroad
• [Must] Liquid assets include Kenya treasury bills and bonds with maturity not exceeding ninety-one days
• [Must] Liquid assets include other assets specified by the Central Bank
• [Must] Failure to comply with liquid asset requirements incurs a penalty interest charge of up to 1% per day on the deficiency</t>
  </si>
  <si>
    <t>19. (1) An institution shall maintain such minimum holding of liquid assets as the Central Bank may from time to time determine.</t>
  </si>
  <si>
    <t>Dividend restrictions and capital provisions for banking institutions</t>
  </si>
  <si>
    <t>Banking institutions in Kenya cannot pay dividends or distribute profits to shareholders until all capitalized expenditure has been written off and provisions for loans, advances, and other assets have been made. Institutions must make provisions for loans and advances before declaring profits and ensure these provisions are adequate according to Central Bank guidelines.</t>
  </si>
  <si>
    <t>This section imposes restrictions on dividend payments and requires capital provisions, impacting financial stability and data storage practices for institutions operating across borders.</t>
  </si>
  <si>
    <t>• [Must Not] No institution incorporated in Kenya shall pay dividends on shares or make distributions to shareholders until all capitalized expenditure has been written off
• [Must] Every institution must make provisions for loans, advances and other assets before declaring profits or losses</t>
  </si>
  <si>
    <t>• [Must] Every institution must ensure provisions for loans, advances and other assets are adequate according to Central Bank guidelines</t>
  </si>
  <si>
    <t>20. (1) No institution incorporated in Kenya shall pay any dividend on its shares or make any other form of distribution to its shareholders until all its capitalized expenditure (including preliminary expenses, share-selling commission, brokerage, amount of losses incurred and items of expenditure not represented by tangible assets) has been written off and provision has been made for loans, advances and other assets in accordance with subsection (2).</t>
  </si>
  <si>
    <t>Language and accounting standards for financial records</t>
  </si>
  <si>
    <t>Banking institutions in Kenya must record all financial entries in English using government numerals. The Central Bank may require additional books and records as needed. Financial statements must comply with international financial reporting standards (IFRS) and consolidated accounting principles for groups. The Central Bank may require additional accounting consolidations excluding insurance subsidiaries.</t>
  </si>
  <si>
    <t>This section mandates specific accounting standards and language requirements for financial records, impacting data storage and reporting practices for institutions operating across borders.</t>
  </si>
  <si>
    <t>• [Must] All entries in books and accounts must be recorded and kept in English using government numerals
• [May] The Central Bank may issue directions to maintain additional books, records or information as necessary</t>
  </si>
  <si>
    <t>• [Must] Financial statements must comply with international financial reporting standards
• [May] The Central Bank may require additional accounting consolidation excluding insurance and other subsidiaries</t>
  </si>
  <si>
    <t>21. (1) All entries in any books and all accounts kept by an institution shall be recorded and kept in the English language, using the system of numerals employed in Government accounts.</t>
  </si>
  <si>
    <t>Public disclosure of financial statements for banking institutions</t>
  </si>
  <si>
    <t>Banking institutions in Kenya must display audited financial statements in conspicuous positions in all offices and branches. They must publish balance sheets and income statements in newspapers with wide circulation within three months of the financial year end. Financial statements must comply with international financial reporting standards.</t>
  </si>
  <si>
    <t>This section requires public disclosure of financial statements, impacting data storage and transparency for institutions operating across borders.</t>
  </si>
  <si>
    <t>• [Must] Institutions must exhibit audited financial statements in conspicuous positions in every office and branch in Kenya</t>
  </si>
  <si>
    <t>• [Must] Institutions must publish balance sheets and last audited income statements in newspapers with wide circulation within three months of financial year end</t>
  </si>
  <si>
    <t>22. (1) Every institution shall: (c) exhibit throughout the year in a conspicuous position in every office and branch in Kenya a copy of its last audited financial statements which shall be in conformity with the minimum financial disclosure requirements prescribed from time to time by the Central Bank together with the full and correct names of all persons who are officers of the institution in Kenya; and (d) within three months of the end of each financial year, cause a copy of the balance sheet and last audited income statements for that financial year to be published in a newspaper with wide circulation.</t>
  </si>
  <si>
    <t>Submission of audited financial statements to Central Bank</t>
  </si>
  <si>
    <t>Banking institutions in Kenya must submit audited balance sheets and profit and loss accounts to the Central Bank within three months of the financial year end. Institutions incorporated outside Kenya or with subsidiaries/branches abroad must submit consolidated financial statements to the Central Bank.</t>
  </si>
  <si>
    <t>This section mandates the submission of audited financial statements to the Central Bank, impacting data storage and reporting practices for institutions operating across borders.</t>
  </si>
  <si>
    <t>• [Must] Institutions must submit audited balance sheets and profit and loss accounts to the Central Bank within three months of financial year end
• [Must] Institutions incorporated outside Kenya must submit consolidated financial statements to the Central Bank</t>
  </si>
  <si>
    <t>• [Must] Institutions incorporated in Kenya with subsidiaries or branches abroad must submit consolidated financial statements to the Central Bank</t>
  </si>
  <si>
    <t>23. (1) An institution shall, not later than three months after the end of its financial year, submit to the Central Bank an audited balance sheet, showing its assets and liabilities in Kenya, and an audited profit and loss account covering its activities in Kenya together with a copy of the auditor's report, in the prescribed form.</t>
  </si>
  <si>
    <t>Auditor appointment and reporting duties for financial institutions</t>
  </si>
  <si>
    <t>40–43</t>
  </si>
  <si>
    <t>Financial institutions must appoint an auditor qualified under section 161 and approved by the Central Bank. The auditor must audit annual financial statements and submit reports to the Central Bank. If an institution fails to appoint an auditor, the Central Bank may appoint one. Auditors must report serious breaches, criminal offenses, significant capital losses, or security risks to the Central Bank. The Central Bank may require additional duties from auditors including special investigations and reports. Auditors who fail to comply may be removed by the Central Bank.</t>
  </si>
  <si>
    <t>Requires auditors to report critical financial risks to the Central Bank, impacting data transfer assessments for financial institutions by mandating robust internal controls and reporting mechanisms.</t>
  </si>
  <si>
    <t>• [Must] Every institution shall appoint annually an auditor qualified under section 161 of the Banking Act and approved by the Central Bank
• [Must] Auditor must audit and submit annual balance sheet and profit and loss account report to Central Bank
• [May] If institution fails to appoint auditor, Central Bank may appoint one and fix remuneration
• [Must] Auditor must report serious breaches of the Act or regulations to Central Bank
• [Must] Auditor must report criminal offenses involving fraud to Central Bank
• [Must] Auditor must report significant capital losses (50% or more) to Central Bank</t>
  </si>
  <si>
    <t>• [Must] Auditor must report security risks to depositors or creditors to Central Bank
• [May] Central Bank may require additional duties from auditors including special investigations
• [Must] Auditor must submit reports on special investigations to Central Bank
• [May] Central Bank may arrange trilateral meetings with institution and auditor
• [May] Auditor who fails to comply may be removed by Central Bank</t>
  </si>
  <si>
    <t>24. (1) Subject to subsection (7), every institution shall appoint annually an auditor qualified under section 161 of the Banking Act and approved by the Central Bank, whose duty shall be to audit and make a report upon the annual balance sheet and profit and loss account which are to be submitted to the Central Bank under section 23(1).</t>
  </si>
  <si>
    <t>Auditor change and notification requirements</t>
  </si>
  <si>
    <t>Financial institutions must obtain Central Bank approval before removing or changing auditors. Auditors must notify the Central Bank immediately if they resign, do not seek reappointment, or include new qualifications in reports. Institutions can appeal Central Bank decisions within 14 days, and the Minister's decision is final.</t>
  </si>
  <si>
    <t>Mandates approval process for auditor changes, affecting data transfer assessments by requiring institutional oversight of auditor continuity and reporting.</t>
  </si>
  <si>
    <t>• [Must Not] No institution may remove or change auditors without prior written approval from Central Bank
• [Must] Auditor must give written notice to Central Bank if resigning
• [Must] Auditor must notify Central Bank if not seeking reappointment</t>
  </si>
  <si>
    <t>• [Must] Auditor must notify Central Bank if report includes new qualifications
• [May] Institution may appeal Central Bank decision within 14 days</t>
  </si>
  <si>
    <t>25. (1) No institution shall remove or change its auditors except with the prior written approval of the Central Bank.</t>
  </si>
  <si>
    <t>Auditor's duty of confidentiality</t>
  </si>
  <si>
    <t>Auditors may communicate information to the Central Bank without it being considered a breach of duty, even if the information relates to the institution's business or affairs. This applies to any information relevant to the Central Bank's functions under the Act.</t>
  </si>
  <si>
    <t>Protects auditor confidentiality, ensuring data transfers to the Central Bank are not subject to breach reporting requirements.</t>
  </si>
  <si>
    <t>• [Must] No duty is contravened by auditor communicating information to Central Bank in good faith</t>
  </si>
  <si>
    <t>26. (1) No duty to which an auditor of an institution may be subject shall be regarded as contravened by reason of his communicating in good faith to the Central Bank, whether or not in response to a request made by it, any information or opinion on a matter to which this part applies and which is relevant to any function of the Central Bank under this Act.</t>
  </si>
  <si>
    <t>Central Bank data collection requirements</t>
  </si>
  <si>
    <t>The Central Bank must collect data necessary for supervising institutions and protecting depositors. Institutions must submit statistical and other returns periodically to the Central Bank for this purpose.</t>
  </si>
  <si>
    <t>Requires institutions to provide data to the Central Bank, impacting data transfer assessments by mandating data sharing with regulatory authorities.</t>
  </si>
  <si>
    <t>• [Must] Central Bank must collect data necessary for supervision and protection of depositors</t>
  </si>
  <si>
    <t>• [Must] Institutions must submit statistical and other returns periodically to Central Bank</t>
  </si>
  <si>
    <t>27. The Central Bank shall collect such data and other information as may be necessary to enable it to maintain supervision and surveillance of the affairs of institutions or their duly authorized agencies and the protection of their depositors and, for this purpose, may require institutions or their duly authorized agencies to submit statistical and other returns on a periodic basis in addition to any other returns required by law.</t>
  </si>
  <si>
    <t>Central Bank information requirements for institutions</t>
  </si>
  <si>
    <t>The Central Bank may require institutions to provide information for supervision purposes. This includes information from affiliates, associates, and subsidiaries, as well as financial statements and records to assess compliance with the Act.</t>
  </si>
  <si>
    <t>Mandates comprehensive data sharing with the Central Bank, affecting data transfer assessments through extensive information requirements for financial institutions.</t>
  </si>
  <si>
    <t>• [May] Central Bank may require institutions to furnish information for supervision
• [May] Information may include affiliates, associates, and subsidiaries</t>
  </si>
  <si>
    <t>• [May] Central Bank may require financial statements and records to assess compliance
• [May] Central Bank must determine group structure, risk profile, and internal risk management</t>
  </si>
  <si>
    <t>28. (1) The Central Bank may require any institution and their agencies to furnish to it, at such time and in such manner as it may direct, such information as the Central Bank may reasonably require for the proper discharge of its functions under this Act.</t>
  </si>
  <si>
    <t>Minister's information requirements</t>
  </si>
  <si>
    <t>Minister</t>
  </si>
  <si>
    <t>The Minister may require the Central Bank or an institution to provide information for the Minister's purposes, including financial data and records.</t>
  </si>
  <si>
    <t>Allows the Minister to access institution data, potentially impacting data transfer assessments through additional regulatory information flows.</t>
  </si>
  <si>
    <t>• [May] Minister may require Central Bank or institution to furnish information</t>
  </si>
  <si>
    <t>29. The Minister may require the Central Bank or an institution to furnish to him, at such time and in such manner as he may direct, such information as the Minister may require.</t>
  </si>
  <si>
    <t>Furnishing information within specified timeframes</t>
  </si>
  <si>
    <t>Institutions must provide information required by the Central Bank within the timeframe specified in the Act or relevant direction, or within a reasonable period thereafter as agreed. This includes any supplemental materials needed for the information. The obligation applies to institutions subject to the Act.</t>
  </si>
  <si>
    <t>Requires timely sharing of data with regulators; relevant for DTIA timelines and data sharing protocols with authorities.</t>
  </si>
  <si>
    <t>• [Must] Furnish information required by the Central Bank within the timeframe specified in the Act or relevant direction
• [Must] Furnish any supplemental materials as required by the information</t>
  </si>
  <si>
    <t>• [Must] Provide information within a reasonable period after the specified timeframe if agreed</t>
  </si>
  <si>
    <t>Where the Central Bank or an institution is required to furnish information under this Part, it shall furnish that information and any supplemental material that may be required as a result of that information within the period specified in this Part or the relevant direction or within such reasonable period thereafter as may be agreed.</t>
  </si>
  <si>
    <t>Publication of information with consent and restrictions</t>
  </si>
  <si>
    <t>45–47</t>
  </si>
  <si>
    <t>Financial Data, Personal Information</t>
  </si>
  <si>
    <t>The Central Bank or Minister may publish information received under the Act, but only with written consent from the person whose financial affairs are disclosed. No person may publish information obtained through their duties under the Act without consent, except for specific disclosures to monetary authorities, financial regulators, tax agencies, fraud investigations, licensed institutions, and credit reference bureaus as permitted under the Act. Violations of these rules constitute contraventions.</t>
  </si>
  <si>
    <t>Sets conditions for publishing sensitive financial data; critical for DTIA to ensure compliance with data sharing and publication restrictions across borders.</t>
  </si>
  <si>
    <t>• [May] Central Bank or Minister may publish information received under the Act
• [Must] Publish information only with written consent from the person whose financial affairs are disclosed
• [Must Not] No person may publish information obtained through duties under the Act without consent
• [May] Central Bank may disclose information to monetary authorities, financial regulators, tax agencies, fraud investigations agencies within or outside Kenya where reasonably required
• [Condition] Disclosure to institutions outside Kenya requires a reciprocal arrangement</t>
  </si>
  <si>
    <t>• [Must] Licensed institutions must exchange non-performing loan information as specified by the Central Bank
• [May] Central Bank and licensed institutions may exchange other information reasonably required for their functions
• [May] Credit reference bureaus may collect and disseminate credit information for licensed institutions
• [Must] No action lies against institutions for disclosing information in good faith to authorized entities</t>
  </si>
  <si>
    <t>(1) The Central Bank or the Minister may publish in whole or in part, at such times and in such manner as it or he thinks fit, any information furnished to it or him under this Act: Provided that the information so furnished shall not be published if it would disclose the financial affairs of any person, unless the consent in writing of that person has first been given.</t>
  </si>
  <si>
    <t>Inspection powers and reporting requirements</t>
  </si>
  <si>
    <t>47–50</t>
  </si>
  <si>
    <t>Data Storage, Data Sharing, Security</t>
  </si>
  <si>
    <t>The Central Bank may conduct inspections of institutions and their records, requiring institutions to produce all relevant documents within seven days. Inspections must be conducted by authorized personnel, and all information obtained must be confidential. The Central Bank must submit reports highlighting breaches, irregularities, or management issues. The Central Bank may also assist investigative agencies in fraud cases and coordinate group supervision.</t>
  </si>
  <si>
    <t>Requires detailed inspections and reporting; critical for DTIA to assess data access, confidentiality, and compliance during cross-border data handling.</t>
  </si>
  <si>
    <t>• [May] Central Bank may conduct inspections of institutions and their agencies and books, accounts, and records
• [Must] Institutions must produce all books, accounts, records, and documents within seven days
• [Must] Books and documents cannot be removed from the institution's premises during inspections
• [May] Central Bank may make copies of required documents for reports</t>
  </si>
  <si>
    <t>• [Must] All information obtained during inspections must be confidential and used solely for the Act and Central Bank of Kenya Act
• [Must] Central Bank must submit reports highlighting breaches, irregularities, and management issues
• [May] Central Bank may assist investigative agencies in fraud or malfeasance cases
• [May] Central Bank coordinates supervision of groups and may appoint competent authorities for inspections</t>
  </si>
  <si>
    <t>The Central Bank may, at any time and from time to time ... cause an inspection to be made by any person authorized by it, in writing, of any institution and its agencies and of their books, accounts and records.</t>
  </si>
  <si>
    <t>Central Bank's powers to issue directions and enforce compliance</t>
  </si>
  <si>
    <t>50–54</t>
  </si>
  <si>
    <t>Data Sharing, Data Storage, Security</t>
  </si>
  <si>
    <t>The Central Bank may issue directions to institutions to improve compliance, cease practices, or appoint advisors if it believes an institution is acting contrary to the Act or in the public's best interest. The Central Bank may also restrict dividends, prohibit profit conversions, remove officers, reconstitute boards, and require capital restoration plans if an institution is undercapitalized or non-compliant. Failure to comply with directions results in penalties.</t>
  </si>
  <si>
    <t>Provides extensive enforcement powers; critical for DTIA to assess regulatory oversight and corrective actions for data handling failures.</t>
  </si>
  <si>
    <t>• [May] Central Bank may issue directions to improve management or compliance with the Act
• [May] Central Bank may issue directions to cease practices likely to contravene the Act
• [May] Central Bank may appoint advisors to assist institutions in implementing directions
• [May] Central Bank may restrict dividends if an institution is non-compliant
• [May] Central Bank may prohibit profit conversions into capital
• [May] Central Bank may remove officers involved in contraventions</t>
  </si>
  <si>
    <t>• [May] Central Bank may require reconstitution of boards of directors
• [May] Central Bank may withhold branch approvals
• [May] Central Bank may order capital restoration plans to meet capital adequacy standards
• [May] Central Bank may impose restrictions on asset growth
• [May] Central Bank may restrict interest rates on deposits</t>
  </si>
  <si>
    <t>The Central Bank may issue directions to institutions generally for the better carrying out of its functions under this Act and in particular, with respect to the standards to be adhered to by an institution in the conduct of its business in Kenya or in any country where a branch or subsidiary of the institution is located.</t>
  </si>
  <si>
    <t>Central Bank's intervention powers in financial distress</t>
  </si>
  <si>
    <t>54–57</t>
  </si>
  <si>
    <t>The Central Bank may intervene in institutions that fail financial obligations, are wound up, or are undercapitalized. It may appoint the Kenya Deposit Insurance Corporation to manage the institution, remove officers, restrict foreign exchange business, prohibit off-balance sheet transactions, and terminate agency arrangements. The Central Bank may also approve voluntary liquidations if institutions meet all liabilities.</t>
  </si>
  <si>
    <t>Provides intervention powers for financial distress; critical for DTIA to assess data handling during institutional failures.</t>
  </si>
  <si>
    <t>• [May] Central Bank may appoint Kenya Deposit Insurance Corporation to manage an institution
• [May] Central Bank may remove officers who caused contraventions or deteriorated financial stability
• [May] Central Bank may restrict new foreign exchange business
• [May] Central Bank may prohibit new off-balance sheet transactions</t>
  </si>
  <si>
    <t>• [May] Central Bank may prohibit new agents or direct termination of agency arrangements
• [May] Institutions may voluntarily liquidate with Central Bank approval if they meet all liabilities
• [May] Central Bank may approve voluntary liquidations if satisfied with the institution's solvency</t>
  </si>
  <si>
    <t>The Central Bank may appoint Kenya Deposit Insurance Corporation to assume the management, control and conduct of the affairs and business of an institution and to exercise all the powers of the institution to the exclusion of its board of directors including the use of its corporate seal.</t>
  </si>
  <si>
    <t>Central Bank authorization for foreign representative offices</t>
  </si>
  <si>
    <t>The Central Bank may authorize foreign financial institutions to establish representative offices in Kenya under specific conditions. The authorization requires written application, information submission, and compliance with Central Bank directives regarding business activities. The Central Bank can also close the office if it breaches conditions.</t>
  </si>
  <si>
    <t>This section governs foreign entities establishing representative offices in Kenya, which may involve cross-border data transfers. The Central Bank's oversight ensures compliance with local financial regulations for foreign entities operating in Kenya.</t>
  </si>
  <si>
    <t>• [Must] The Central Bank may authorize a bank or financial institution incorporated outside Kenya to open a representative office in Kenya
• [Must] The Central Bank may require a representative office to furnish information as directed
• [Must] The representative office must furnish information within the specified period or agreed reasonable period</t>
  </si>
  <si>
    <t>• [Must] The Central Bank may issue directions to the representative office to take corrective action if it engages in banking or financial business contrary to conditions
• [Must] The Central Bank may order the closure of a representative office if it fails to comply with directions</t>
  </si>
  <si>
    <t>43. (1) The Central Bank may, in writing and subject to such conditions as the Central Bank may consider necessary, authorize a bank or a financial institution incorporated outside Kenya which does not propose to transact banking or financial business in Kenya but which proposes and applies in writing to the Central Bank to establish a representative office in Kenya to open an office in a place in Kenya approved by the Central Bank.</t>
  </si>
  <si>
    <t>Limitation on interest recovery for non-performing loans</t>
  </si>
  <si>
    <t>60–62</t>
  </si>
  <si>
    <t>Institutions are limited in the interest they can recover from debtors on non-performing loans. The maximum amount includes principal, interest not exceeding principal, and recovery expenses. The limit applies to loans that became non-performing before the section came into effect, with specific calculations for such cases.</t>
  </si>
  <si>
    <t>This section sets limits on interest recovery for non-performing loans, which may impact financial data handling and cross-border loan operations involving Kenyan institutions.</t>
  </si>
  <si>
    <t>• [Must] An institution shall be limited in what it may recover from a debtor with respect to a non-performing loan to the maximum amount under subsection (2)
• [Must] The maximum amount includes the principal owing when the loan becomes non-performing, interest not exceeding the principal, and expenses incurred in recovery
• [Must] If a loan becomes non-performing again after resuming payments, the limitation applies to the time the loan last became non-performing
• [Must Not] This section does not apply to interest under court orders made after the order is issued</t>
  </si>
  <si>
    <t>• [Definition] The definition of 'debtor' includes persons indebted through guarantees
• [Definition] The definition of 'loan' includes advances, credit facilities, financial guarantees, and other liabilities
• [Definition] A loan becomes non-performing in a manner stipulated by Central Bank guidelines</t>
  </si>
  <si>
    <t>44. No institution shall increase its rate of banking or other charges except with the prior approval of the Minister. 44A. (1) An institution shall be limited in what it may recover from a debtor with respect to a non-performing loan to the maximum amount under subsection (2)</t>
  </si>
  <si>
    <t>Minister consults Central Bank on functions</t>
  </si>
  <si>
    <t>62</t>
  </si>
  <si>
    <t>The Minister must consult with the Central Bank before exercising any functions under the Banking Act. Applications for Ministerial approval must be submitted through the Central Bank. This section establishes the Central Bank as the primary channel for Ministerial approvals and consultations.</t>
  </si>
  <si>
    <t>• [Must] The Minister shall consult with the Central Bank in the exercise of his functions under this Act</t>
  </si>
  <si>
    <t>• [Must] Where the approval of the Minister is required under any provision of this Act, the application for such approval shall be submitted through the Central Bank</t>
  </si>
  <si>
    <t>45. (1) The Minister shall consult with the Central Bank in the exercise of his functions under this Act. (2) Where the approval of the Minister is required under any provision of this Act, the application for such approval shall be submitted through the Central Bank.</t>
  </si>
  <si>
    <t>Minister declares bank holidays for non-public holidays</t>
  </si>
  <si>
    <t>62–63</t>
  </si>
  <si>
    <t>The Minister may declare non-public holidays as bank holidays through the Gazette if it serves the public interest. The Central Bank can also authorize specific banks or branches to close on non-public holidays under certain conditions. This section provides mechanisms for temporary bank closures during non-public holidays.</t>
  </si>
  <si>
    <t>• [May] The Minister may by notice in the Gazette declare that day to be a bank holiday for all banks, or for that particular bank, or for that particular branch</t>
  </si>
  <si>
    <t>• [May] The Central Bank may authorize an institution or branch to remain closed on such day or part thereof, subject to terms and conditions</t>
  </si>
  <si>
    <t>46. (1) Where the Minister considers that it is in the public interest that banks, or a particular bank, or a particular branch of a bank, should remain closed on a day which is not a public holiday, he may by notice in the Gazette, declare that day to be a bank holiday for all banks, or for that particular bank, or for that particular branch, as the case may be, and every licensed bank, or that particular bank, or that particular branch, as the case may be, shall remain closed on that day.</t>
  </si>
  <si>
    <t>High Court orders for depositor protection</t>
  </si>
  <si>
    <t>The High Court can order a bank to cease business or stay legal proceedings against it for up to six months if it serves depositors' interests. Such orders are made ex-parte by the Minister or a Central Bank-appointed manager/liquidator. The bank's license is suspended during such orders.</t>
  </si>
  <si>
    <t>• [Must] The High Court may prohibit the institution from carrying on business</t>
  </si>
  <si>
    <t>• [Must] The High Court may stay the commencement or continuance of any actions or proceedings against the institution for a specified period up to six months</t>
  </si>
  <si>
    <t>47. (1) The High Court, on application made ex-parte by the Minister or, where a manager or liquidator has been appointed by the Central Bank, may, if it considers it to be in the interests of the depositors of an institution, make an order: (a) prohibiting the institution from carrying on business; or (b) staying the commencement or continuance of any actions or proceedings against the institution in regard to any business for a specified period of time on such terms and conditions as it considers reasonable, and may from time to time extend the specified period up to a total of six months from the beginning of the stay.</t>
  </si>
  <si>
    <t>Officers disqualified for bankruptcy or fraud</t>
  </si>
  <si>
    <t>63–64</t>
  </si>
  <si>
    <t>Officers of financial institutions lose eligibility to hold office if they become bankrupt, suspend payment, compound with creditors, are convicted of dishonesty or fraud, or are disqualified under section 32A. Continuing to act after disqualification is an offence.</t>
  </si>
  <si>
    <t>• [Must] A person who is an officer of an institution shall cease to hold office and shall not thereafter be eligible to hold office in any institution if he becomes bankrupt or suspends payment or compounds with his creditors
• [Must] A person who is an officer of an institution shall cease to hold office and shall not thereafter be eligible to hold office in any institution if he is convicted of an offence involving dishonesty or fraud</t>
  </si>
  <si>
    <t>• [Must] A person who is an officer of an institution shall cease to hold office and shall not thereafter be eligible to hold office in any institution if he is disqualified from holding office under section 32A
• [Must] A person who is an officer of an institution shall cease to hold office and shall not thereafter be eligible to hold office in any institution if he is removed from office under the provisions of section 34</t>
  </si>
  <si>
    <t>48. (1) A person who is an officer of an institution shall cease to hold office and shall not thereafter be eligible to hold office in any institution if he: (a) becomes bankrupt or suspends payment or compounds with his creditors; or (b) is convicted of an offence involving dishonesty or fraud; or (bb) is disqualified from holding office under section 32A; or (c) is removed from office under the provisions of section 34.</t>
  </si>
  <si>
    <t>Penalties for contravening Banking Act</t>
  </si>
  <si>
    <t>64</t>
  </si>
  <si>
    <t>Institutions and officers face fines and imprisonment for contravening the Banking Act. Bodies corporate can be fined up to 100,000 shillings, while officers face fines up to 50,000 shillings or imprisonment for two years. Officers may claim ignorance as a defense if they took reasonable steps to prevent contraventions.</t>
  </si>
  <si>
    <t>• [Must] If it is a body corporate, it shall be guilty of an offence and liable to a fine not exceeding one hundred thousand shillings
• [Must] Every officer of that institution or person shall be guilty of an offence and liable to a fine not exceeding fifty thousand shillings or to imprisonment for a term not exceeding two years or to both</t>
  </si>
  <si>
    <t>• [Condition] Unless he proves that, through no act or omission on his part, he was not aware that the contravention was taking place or was intended or about to take place, or that he took all reasonable steps to prevent it taking place</t>
  </si>
  <si>
    <t>49. Where any institution or other person contravenes any of the provisions of this Act: (a) if it is a body corporate, it shall be guilty of an offence and liable to a fine not exceeding one hundred thousand shillings; and (b) every officer of that institution or person shall be guilty of an offence and liable to a fine not exceeding fifty thousand shillings or to imprisonment for a term not exceeding two years or to both unless he proves that, through no act or omission on his part, he was not aware that the contravention was taking place or was intended or about to take place, or that he took all reasonable steps to prevent it taking place.</t>
  </si>
  <si>
    <t>Officers liable for non-compliance</t>
  </si>
  <si>
    <t>Officers of institutions face imprisonment up to one year or fines up to 20,000 shillings for failing to ensure compliance with the Act, inaccurate statements, or supplying required information. An officer may claim ignorance if they reasonably believed another competent person was responsible.</t>
  </si>
  <si>
    <t>• [Must] Any officer of an institution who fails to take all reasonable steps to secure the compliance of the institution with this Act shall be guilty of an offence and liable to imprisonment for a term not exceeding one year or to a fine not exceeding twenty thousand shillings or to both
• [Must] Any officer of an institution who fails to take all reasonable steps to secure the accuracy and correctness of any statement submitted under this Act or any other written law applicable to banks or financial institutions shall be guilty of an offence and liable to imprisonment for a term not exceeding one year or to a fine not exceeding twenty tho…</t>
  </si>
  <si>
    <t>• [Must] Any officer of an institution who fails to supply any information required under this Act shall be guilty of an offence and liable to imprisonment for a term not exceeding one year or to a fine not exceeding twenty thousand shillings or to both
• [Condition] It shall be a defense to a charge under subsection (1) for an officer to show that he reasonably thought that another competent person had been charged with the responsibility or duty in respect of which the default arose</t>
  </si>
  <si>
    <t>50. (1) Any officer of an institution who: (a) fails to take all reasonable steps to secure the compliance of the institution with this Act; or (b) fails to take all reasonable steps to secure the accuracy and correctness of any statement submitted under this Act or any other written law applicable to banks or financial institutions; or (c) fails to supply any information required under this Act, shall be guilty of an offence and liable to imprisonment for a term not exceeding one year or to a fine not exceeding twenty thousand shillings or to both. (2) It shall be a defence to a charge under subsection (1) for an officer to show that he reasonably thought that another competent person had been charged with the responsibility or duty in respect of which the default arose.</t>
  </si>
  <si>
    <t>Prohibition on misleading deposit advertisements</t>
  </si>
  <si>
    <t>64–65</t>
  </si>
  <si>
    <t>Cross-border Transfer, Financial Data, Customer Information</t>
  </si>
  <si>
    <t>Central Bank</t>
  </si>
  <si>
    <t>Any institution or person advertising deposits must not falsely claim authorization to accept deposits or be licensed under the Act. Violators face criminal penalties. The Central Bank may direct withdrawal or amendment of misleading deposit advertisements. This section applies to all entities promoting deposit products in Kenya.</t>
  </si>
  <si>
    <t>Prohibits misleading deposit advertising that could mislead customers about authorization status, relevant for assessing whether deposit promotions comply with local licensing requirements before cross-border data transfers involving financial services.</t>
  </si>
  <si>
    <t>• [Must] Any institution or other person who issues any advertisement, brochure, circular or other document inviting any person to make a deposit must not falsely represent that he is authorized to accept deposits or is otherwise licensed under the provisions of this Act</t>
  </si>
  <si>
    <t>• [Must] Any institution or other person who issues any advertisement, brochure, circular or other document inviting any person to make a deposit must not be issued contrary to any direction given by the Central Bank under the provisions of subsection (2)</t>
  </si>
  <si>
    <t>51. (1) Any institution or other person who issues any advertisement, brochure, circular or other document inviting any person to make a deposit which:- (a) falsely represents that he is authorized to accept deposits or is otherwise licensed under the provisions of this Act; or (b) is issued contrary to any direction given by the Central Bank under the provisions of subsection (2), shall be guilty of an offence.</t>
  </si>
  <si>
    <t>Contractual obligations prevail over conflicting laws</t>
  </si>
  <si>
    <t>65</t>
  </si>
  <si>
    <t>Contractual obligations between institutions and other persons remain valid even if they conflict with this Act or the Central Bank of Kenya Act. This section applies retroactively to repealed laws and prevents institutions from recovering interest exceeding legal limits. It also specifies that this Act prevails over other written laws applicable to licensed institutions, excluding certain specific laws.</t>
  </si>
  <si>
    <t>Clarifies that contractual obligations are protected from being invalidated by this Act, relevant for assessing whether cross-border data transfers are covered by existing contracts that might conflict with local data regulations.</t>
  </si>
  <si>
    <t>• [Must] No contravention of the provisions of this Act or the Central Bank of Kenya Act shall affect or invalidate any contractual obligation between an institution and any other person
• [Must] The provisions of subsection (1) shall apply with retrospective effect to the Banking Act (now repealed) and the Central Bank of Kenya Act
• [Must] This section shall not permit any institution to recover in any court of law interest and other charges which exceed the maximum permitted under the provisions of this Act or the Central Bank of Kenya Act</t>
  </si>
  <si>
    <t>• [Must] Where there is a conflict between the provisions of this Act and the provisions of any other written law applicable to an institution licensed under this Act, the provisions of this Act shall prevail
• [Must] For the purposes of subsection (1), the expression 'written law' does not include the Central Bank of Kenya Act, Income Tax Act, the East African Community Customs Management Act, the Value Added Tax Act or any of the other laws set out in the First Schedule to the Kenya Revenue Authority Act</t>
  </si>
  <si>
    <t>52. (1) For the avoidance of doubt, no contravention of the provisions of this Act or the Central Bank of Kenya Act shall affect or invalidate in any way any contractual obligation between an institution and any other person.</t>
  </si>
  <si>
    <t>Exemptions for specific institutions</t>
  </si>
  <si>
    <t>65–66</t>
  </si>
  <si>
    <t>The Minister may exempt institutions from Sections 12, 13, or 14 of the Act by Gazette notice, subject to conditions the Minister deems necessary. Exemptions remain in force for the period specified in the notice. This section applies to institutions seeking relief from specific regulatory requirements.</t>
  </si>
  <si>
    <t>Allows for exemptions from certain regulatory requirements, relevant for assessing whether specific institutions are exempt from data transfer obligations when handling financial data.</t>
  </si>
  <si>
    <t>• [Must] The Minister may, by notice in the Gazette, exempt an institution from the provisions of Section 12, 13 or 14 subject to such conditions as the Minister considers necessary</t>
  </si>
  <si>
    <t>• [Must] An exemption granted under subsection (1) shall remain in force for such period specified in the notice as the Minister shall deem fit</t>
  </si>
  <si>
    <t>53. (1) The Minister may, by notice in the Gazette, exempt an institution from the provisions of Section 12, 13 or 14 subject to such conditions as the Minister considers necessary.</t>
  </si>
  <si>
    <t>Excluded institutions from the Act</t>
  </si>
  <si>
    <t>This Act does not apply to the Kenya Post Office Savings Bank, Agricultural Finance Corporation, co-operative societies, and microfinance banks licensed under the Microfinance Act, 2006. However, if these entities act as agents for institutions providing banking services, the Act applies to them for the services contracted.</t>
  </si>
  <si>
    <t>Identifies specific institutions exempt from the Act, relevant for determining whether data transfers involving these entities require additional compliance measures.</t>
  </si>
  <si>
    <t>• [Must] This Act does not apply to the Kenya Post Office Savings Bank established under the Kenya Post Office Savings Bank Act
• [Must] This Act does not apply to the Agricultural Finance Corporation established under the Agricultural Finance Corporation Act
• [Must] This Act does not apply to a society registered as a co-operative society under the Co-operative Societies Act</t>
  </si>
  <si>
    <t>• [Must] This Act does not apply to a microfinance bank licensed under the Microfinance Act, 2006
• [Must] Where any of the bodies referred to in subsection (1) is contracted by an institution as an agent to provide banking services on behalf of the institution, this Act shall apply to such body to the extent of the services contracted</t>
  </si>
  <si>
    <t>54. (1) This Act does not apply to:- (a) the Kenya Post Office Savings Bank established under the Kenya Post Office Savings Bank Act; (b) the Agricultural Finance Corporation established under the Agricultural Finance Corporation Act; (d) a society registered as a co-operative society under the Co-operative Societies Act. (e) a microfinance bank licensed under the Microfinance Act, 2006.</t>
  </si>
  <si>
    <t>55</t>
  </si>
  <si>
    <t>Regulations and penalties for non-compliance</t>
  </si>
  <si>
    <t>66–67</t>
  </si>
  <si>
    <t>The Central Bank may make regulations to implement this Act, including prescribing penalties for institutions or credit reference bureaus that fail to comply with Central Bank directions. Penalties for institutions range up to five million Kenyan shillings, while natural persons face penalties up to two hundred thousand shillings, with additional penalties for each day of non-compliance.</t>
  </si>
  <si>
    <t>Specifies penalties for non-compliance with Central Bank directions, relevant for assessing the financial impact of regulatory breaches in data transfer contexts.</t>
  </si>
  <si>
    <t>• [Must] The Central Bank may make regulations generally for carrying out the purposes and provisions of this Act
• [Must] The Central Bank may, in regulations, prescribe penalties to be paid by institutions or credit reference bureaus (or any other person) that fail or refuse to comply with any directions of the Central Bank under this Act or Prudential Guidelines
• [Must] Penalties for institutions or credit reference bureaus shall not exceed five million Kenya shillings</t>
  </si>
  <si>
    <t>• [Must] Penalties for natural persons shall not exceed two hundred thousand shillings
• [Must] Additional penalties not exceeding twenty thousand shillings in each case for each day or part thereof during which such failure or refusal continues</t>
  </si>
  <si>
    <t>55. (1) The Central Bank may make regulations generally for carrying out the purposes and provisions of this Act. (2) Without prejudice to the generality of subsection (1), the Central Bank may, in regulations, prescribe penalties to be paid by institutions or credit reference bureaus (or any other person) that fail or refuse to comply with any directions of the Central Bank under this Act or Prudential Guidelines, which shall not exceed five million Kenya shillings in the case of an institution or credit reference bureau or two hundred thousand shillings in the case of a natural person, and may prescribe additional penalties not exceeding twenty thousand shillings in each case for each day or part thereof during which such failure or refusal continues.</t>
  </si>
  <si>
    <t>Repeal of the 1989 Banking Act</t>
  </si>
  <si>
    <t>67–71</t>
  </si>
  <si>
    <t>The Banking Act (1989) is repealed, but existing licenses granted under it continue to be effective as if granted under Section 5 of this Act. This section ensures continuity for institutions licensed before the new Act came into effect.</t>
  </si>
  <si>
    <t>Repeals the 1989 Banking Act, relevant for determining the applicability of the current Act to historical data transfers and institutional licenses.</t>
  </si>
  <si>
    <t>• [Must] The Banking Act (1989) is repealed</t>
  </si>
  <si>
    <t>• [Must] Where upon the commencement of this Act any bank or financial institution is licensed to transact banking business or the business of a financial institution in Kenya, that licence shall have effect as if granted under section 5 of this Act</t>
  </si>
  <si>
    <t>56. (1) The Banking Act (1989) is repealed. (2) Notwithstanding subsection (1), where upon the commencement of this Act any bank or financial institution is licensed to transact banking business or the business of a financial institution in Kenya, that licence shall have effect as if granted under section 5 of this Act.</t>
  </si>
  <si>
    <t>Capital Markets Act</t>
  </si>
  <si>
    <t>2 (part 3)</t>
  </si>
  <si>
    <t>Definitions of key financial terms in capital markets</t>
  </si>
  <si>
    <t>This section defines critical terms used in the Capital Markets Act, including 'information' related to securities trading, 'substantial shareholder', 'trading participant', 'trustee', 'underwriting', and 'unit trust'. These definitions establish the legal framework for understanding securities transactions, ownership structures, and trust arrangements within Kenya's capital markets.</t>
  </si>
  <si>
    <t>• [Must] Information is regularly provided concerning prices at which particular persons or classes propose to sell, purchase or exchange securities
• [Must] Substantial shareholder means any person who is the beneficial owner of or in a position to exert control over not less than fifteen per cent of shares of a body corporate
• [Must] Trading participant means a licensed person with rights to trade at an approved securities exchange</t>
  </si>
  <si>
    <t>• [Must] Trustee in relation to real estate investment trust or collective investment scheme means a person appointed under a trust deed as trustee
• [Must] Underwriting means the purchase or commitment to purchase or distribute by dealers or other persons of issue or offer of securities for immediate or prompt public distribution
• [Must] Unit trust means any scheme or arrangement in the nature of a trust where members of the public are invited to acquire an interest in specified securities</t>
  </si>
  <si>
    <t>Capital Markets Act (Cap. 485A) Kenya (c) information is regularly provided concerning the prices at which, or the consideration for which, particular persons, or particular classes of persons, propose, or may reasonably be expected, to sell, purchase or exchange securities; "substantial shareholder" means any person who is the beneficial owner of, or is in a position to exert control over, not less than fifteen per cent of the shares of a body corporate; "trading participant" means a licensed person with rights to trade at an approved securities exchange; "trustee" in relation to real estate investment trust or a collective investment scheme, means a person appointed under a trust deed of a real estate investment trust or a collective investment scheme, as the case may be, as its trustee; "underwriting" means the purchase or commitment to purchase or distribute by dealers or other persons of issue or offer of securities for immediate or prompt public distribution by or through them; "unit trust" means any scheme or arrangement in the nature of a trust in pursuance whereof members of the public are invited or permitted, as beneficiaries under the trust, to acquire an interest or undivided share (unit of investment) in one or more groups or blocks of specified securities and to participate proportionately in the income or profits derived therefrom.</t>
  </si>
  <si>
    <t>Definition of interest in securities</t>
  </si>
  <si>
    <t>This section defines when a person is deemed to have an interest in securities, including situations where a body corporate has an interest in a security and the person has control over the body corporate, or where the person has rights to transfer securities, options, or joint holdings. It also specifies exceptions where interests are disregarded, such as bare trusteeship or lending transactions.</t>
  </si>
  <si>
    <t>• [Must] Where any property held in trust consists of securities in which a person knows or has reasonable grounds to believe he or she has an interest, he or she shall be deemed to have an interest in those securities
• [Must] A person shall be deemed to have an interest in a security where a body corporate has an interest and the body corporate is accustomed or under obligation to act in accordance with directions of that person
• [Must] A person shall be deemed to have an interest in a security where a person has a controlling interest in the body corporate
• [Must] A person shall be deemed to have an interest in a security where a person is entitled to exercise or control the exercise of not less than fifteen per cent of the votes attached to voting shares in the body corporate
• [Must] A person shall be deemed to have an interest in a security where he or she has entered into a contract to purchase a security
• [Must] A person shall be deemed to have an interest in a security where he or she has a right to have a security transferred to himself or to his order
• [Must] A person shall be deemed to have an interest in a security where he or she has the right to acquire a security or interest in a security under an option</t>
  </si>
  <si>
    <t>• [Must] A person shall be deemed to have an interest in a security where he or she is entitled to exercise or control the exercise of a right attached to a security, not being a security of which he or she is the registered holder
• [Must] A person shall be deemed to have an interest in a security if the security is held jointly with another person
• [Must] An interest in a security shall not be disregarded by reason of remoteness, manner of arising, or the exercise of rights being subject to restraint or restriction
• [Must Not] An interest in a security shall be disregarded if it is that of a person who holds the security as bare trustee
• [Must Not] An interest in a security shall be disregarded if it is held by a person whose ordinary business includes lending money for security purposes
• [Must Not] An interest in a security shall be disregarded if it is an interest held by a person in a prescribed office
• [Must Not] An interest in a security shall be disregarded if it is a prescribed interest in a security</t>
  </si>
  <si>
    <t>4. Definition of "interest in securities" (1) Where any property held in trust consists of or includes securities in which a person knows, or has reasonable grounds for believing, that he or she has an interest, he or she shall be deemed to have an interest in those securities. (2) A person shall be deemed to have an interest in a security where a body corporate has an interest in a security and— (a) the body corporate is, or its directors are, accustomed or under an obligation, whether formal or informal, to act in accordance with directions, instructions or wishes of that person in relation to that security; (b) that person has a controlling interest in the body corporate; or (c) that person is, or the associates of that person or that person and his associates are, entitled to exercise or control the exercise of not less than fifteen per cent of the votes attached to the voting shares in the body corporate. (3) A person shall be deemed to have an interest in a security in any one or more of the following circumstances— (a) where he or she has entered into a contract to purchase a security; (b) where he or she has a right, otherwise than by reason of having an interest under a trust, to have a security transferred to himself or to his order, whether the right is exercisable presently or in the future and whether on the fulfillment of a condition or not; (c) where he or she has the right to acquire a security, or an interest in a security, under an option, whether on the fulfillment of a condition or not; or (d) where he or she is entitled, otherwise than by reason of his having been appointed a proxy or representative to vote at a meeting of members of a body corporate or of a class of its members, to exercise or control the exercise of a right attached to a security, not being a security of which he or she is the registered holder. (4) A person shall be deemed to have an interest in a security if that security is held jointly with another person. (5) For the purpose of determining whether a person has an interest in a security, it is immaterial that the interest cannot be related to a particular security. (6) There shall be disregarded— (a) an interest in a security if the interest is that of a person who holds the security as bare trustee; (b) an interest in a security of a person whose ordinary business includes the lending of money if he or she holds the interest only by way of security for the purposes of a transaction entered into in the ordinary course of business in connection with the lending of money; (c) an interest of a person in a security being an interest held by him or her by reason of his holding a prescribed office; and (d) a prescribed interest in a security being an interest of such person, or of the persons included in such class of persons as is prescribed. (7) An interest in a security shall not be disregarded by reason only of— (a) its remoteness; (b) the manner in which it arose; or (c) the fact that the exercise of a right conferred by the interest is, or is capable of being made, subject to restraint or restriction.</t>
  </si>
  <si>
    <t>Establishment of Capital Markets Authority</t>
  </si>
  <si>
    <t>This section establishes the Capital Markets Authority as a body corporate with perpetual succession, defining its powers to sue and be sued, acquire property, borrow money, enter contracts, and its composition. It specifies the appointment of a Chairperson and six members by the Cabinet Secretary, with requirements for expertise in legal, financial, banking, accounting, economics, or insurance matters.</t>
  </si>
  <si>
    <t>• [Must] There is hereby established an authority to be known as the Capital Markets Authority
• [Must] The Authority shall be a body corporate with perpetual succession and a common seal
• [Must] The Authority shall be capable in its corporate name of suing and being sued
• [Must] The Authority shall be capable in its corporate name of taking, purchasing or otherwise acquiring, holding, charging and disposing of both movable and immovable property
• [Must] The Authority shall be capable in its corporate name of borrowing and lending money
• [Must] The Authority shall be capable in its corporate name of entering into contracts</t>
  </si>
  <si>
    <t>• [Must] The Authority shall consist of a Chairperson appointed by the President on the recommendation of the Cabinet Secretary
• [Must] The Authority shall consist of six other members appointed by the Cabinet Secretary
• [Must] The Authority shall consist of the Principal Secretary to the National Treasury or a person deputed by him or her in writing
• [Must] The Authority shall consist of the Governor of the Central Bank of Kenya or a person deputed by him or her in writing
• The Authority shall consist of the Governor of the Central Bank of Kenya or a person deputed by him or her in writing</t>
  </si>
  <si>
    <t>5. Establishment of Capital Markets Authority (1) There is hereby established an authority to be known as the Capital Markets Authority. (2) The Authority shall be a body corporate with perpetual succession and a common seal. (3) The Authority shall be capable in its corporate name of suing and being sued, taking, purchasing or otherwise acquiring, holding, charging and disposing of both movable and immovable property, borrowing and lending money, and entering into contracts. (4) The Authority shall consist of a Chairperson appointed by the President on the recommendation of the Cabinet Secretary, six other members appointed by the Cabinet Secretary, the Principal Secretary to the National Treasury or a person deputed by him or her in writing, and the Governor of the Central Bank of Kenya or a person deputed by him or her in writing.</t>
  </si>
  <si>
    <t>Powers and functions of Capital Markets Authority</t>
  </si>
  <si>
    <t>19–21</t>
  </si>
  <si>
    <t>This section outlines the powers and functions of the Capital Markets Authority, including advising the Cabinet Secretary on capital markets, implementing government policies, employing officers, imposing sanctions, granting licenses, regulating collective investment schemes, and ensuring compliance with data protection principles under the Data Protection Act.</t>
  </si>
  <si>
    <t>• [Must] The Authority may advise the Cabinet Secretary on all aspects of the development and operation of capital markets
• [Must] The Authority may implement policies and programmes of the Government with respect to the capital markets
• [Must] The Authority may employ such officers and servants as may be necessary for the proper discharge of the functions of the Authority
• [Must] The Authority may impose sanctions for breach of the provisions of this Act or the regulations made thereunder
• [Must] The Authority may levy financial penalties proportional to the gravity or severity of the breach
• [Must] The Authority may order a person to remedy or mitigate the effect of the breach, make restitution or pay compensation to any person aggrieved by the breach
• [Must] The Authority may publish findings of malfeasance by any person
• [Must] The Authority may suspend or cancel the listing of any securities or exchange-traded derivatives contracts for the protection of investors
• [Must] The Authority may issue guidelines and notices on all matters within the jurisdiction of the Authority under this Act
• [Must] The Authority may grant a licence to any person to operate as a stockbroker, derivatives broker, dealer or investment adviser
• [Must] The Authority may grant approval to any person to operate as a securities exchange, commodity exchange, derivatives exchange
• [Must] The Authority may regulate spot commodity markets
• [Must] The Authority may recognize any person duly licensed by a prescribed foreign authority to carry on any licensed activity in Kenya which requires a license or an approval under this Act
• [Must] The Authority may register, approve and regulate collective investment schemes</t>
  </si>
  <si>
    <t>• [Must] The Authority may license, approve and regulate private equity and venture capital companies that have access to public funds
• [Must] The Authority may inquire into the affairs of any person which the Authority has approved or to which it has granted a licence
• [Must] The Authority may give directions to any person which the Authority has approved or to which it has granted a licence
• [Must] The Authority may conduct inspection of the activities, books and records of any persons approved or licensed by the Authority
• [Must] The Authority may grant compensation to any investor who suffers pecuniary loss resulting from the failure of a licensed broker or dealer to meet his contractual obligations
• [Must] The Authority may have recourse against any person whose act or omission has resulted in a payment from the Compensation Fund
• [Must] The Authority may act as an appellate body in respect of appeals against any self regulatory organization securities or exchange-traded derivatives contracts exchange, derivatives exchange or central depository in actions by parties aggrieved thereby
• [Must] The Authority may co-operate or enter into agreements for mutual co-operation with other regulatory authorities for the development and regulation of cross-border activities in capital markets
• [Must] The Authority may regulate and oversee the issue and subsequent trading, both in primary and secondary markets, of capital market instruments
• [Must] The Authority may regulate the use of electronic commerce for dealing in securities or offer services ordinarily carried out by a licensed person
• [Must] The Authority may trace any assets, including bank accounts, of any person who, upon investigation by the Authority, is found to have engaged in any fraudulent dealings in an issuer and its securities or insider trading
• [Must] The Authority may order caveats to be placed against the title to such assets or prohibit any such person from operating any such bank accounts as may be directed by the Authority, pending determination of any charges instituted against that person
• [Must] The Authority may prescribe notices or guidelines on corporate governance of a company whose securities have been issued to the public or a section of the public
• [Must] The Authority may ensure processing of personal data in the operations of capital markets is in accordance with principles set out under the Data Protection Act (Cap. 411C)</t>
  </si>
  <si>
    <t>11. Powers and functions of Capital Markets Authority (3) The Authority may, at any time revoke a delegation made under this section. (4) A delegation made under this section shall not prevent the Authority from performing the delegated function. (1) The Authority may delegate any of its functions under this Act to— (a) a committee of the Board; (b) a recognized self regulatory organization; or (c) an authorized person. (2) The Authority may, at any time revoke a delegation made under this section. (3) A delegation made under this section shall not prevent the Authority from performing the delegated function. (1) The Authority may delegate any of its functions under this Act to— (a) a committee of the Board; (b) a recognized self regulatory organization; or (c) an authorized person. (2) The Authority may, at any time revoke a delegation made under this section. (3) A delegation made under this section shall not prevent the Authority from performing the delegated function.</t>
  </si>
  <si>
    <t>Cabinet Secretary's power to issue capital markets rules</t>
  </si>
  <si>
    <t>Cross-border Transfer, International Processing, Data Storage, Security, Financial Data, KYC, AML</t>
  </si>
  <si>
    <t>Cabinet Secretary</t>
  </si>
  <si>
    <t>The Cabinet Secretary may issue rules regulating securities listing, disclosures by market participants, record-keeping, capital market operations, foreign investor participation, investment schemes, venture capital, credit ratings, securities trading, clearing, forex activities, fund managers, and financial penalties. Rules must promote an effective securities market and be publicly exposed for 30 days for stakeholder feedback.</t>
  </si>
  <si>
    <t>Rules require public consultation before implementation and define regulatory oversight for capital markets activities, impacting cross-border data flows through market participant requirements.</t>
  </si>
  <si>
    <t>• [Must] Cabinet Secretary shall formulate rules for securities listing and de-listing
• [Must] Cabinet Secretary shall formulate rules for disclosures by stockbrokers, derivatives brokers, and persons acquiring/disposing securities
• [Must] Cabinet Secretary shall formulate rules for record-keeping by licensed persons
• [Must] Cabinet Secretary shall formulate rules for capital market operations
• [Must] Cabinet Secretary shall formulate rules for foreign investor participation
• [Must] Cabinet Secretary shall formulate rules for collective investment schemes
• [Must] Cabinet Secretary shall formulate rules for registered venture capital companies
• [Must] Cabinet Secretary shall formulate rules for credit rating agencies
• [Must] Cabinet Secretary shall formulate rules for securities trading in Kenya
• [Must] Cabinet Secretary shall formulate rules for securities clearing and settlement organizations</t>
  </si>
  <si>
    <t>• [Must] Cabinet Secretary shall formulate rules for online forex trading activities
• [Must] Cabinet Secretary shall formulate rules for fund managers
• [Must] Cabinet Secretary shall formulate rules for investment banks
• [Must] Cabinet Secretary shall formulate rules for authorized securities dealers
• [Must] Cabinet Secretary shall formulate rules for self-regulatory organizations
• [Must] Cabinet Secretary shall formulate rules for use of funds from securities issues
• [Must] Cabinet Secretary shall formulate rules for financial penalties for non-compliance
• [Must] Cabinet Secretary shall formulate rules for annual fees by exchanges
• [Must] Cabinet Secretary shall formulate rules for disclosure requirements on listings</t>
  </si>
  <si>
    <t>The Cabinet Secretary shall formulate such rules and regulations as may be required to regulate—</t>
  </si>
  <si>
    <t>Information disclosure to Authority</t>
  </si>
  <si>
    <t>Data Sharing, Cross-border Transfer, Data Storage, Security, Financial Data, KYC, AML</t>
  </si>
  <si>
    <t>The Authority may require persons to provide information via written notice within specified timeframes. The Authority may not disclose information except for its objectives unless required by court. The Authority may share information with foreign regulatory bodies under specific conditions including public interest and reciprocal assistance.</t>
  </si>
  <si>
    <t>Requires data sharing with regulatory authorities and cross-border cooperation with foreign regulators under defined conditions, impacting data transfer impact assessments.</t>
  </si>
  <si>
    <t>• [May] Authority may require persons to furnish information via written notice
• [Must Not] Authority may not disclose information except for its objectives unless court requires
• [May] Authority may share information with foreign regulatory bodies for investigations</t>
  </si>
  <si>
    <t>• [Must] Foreign regulatory bodies must demonstrate public interest for assistance requests
• [Must] Foreign regulatory bodies must be willing to reciprocate assistance</t>
  </si>
  <si>
    <t>The Authority or any person officially authorized in that behalf by the Authority may, by notice in writing, require any person to furnish to the Authority or to the authorized person, within such period as is specified in the notice, all such returns or information as specified in such notice.</t>
  </si>
  <si>
    <t>Authority's financial year</t>
  </si>
  <si>
    <t>The Authority's financial year runs from July 1 to June 30 of each calendar year. This section defines the accounting period for the Authority's financial reporting.</t>
  </si>
  <si>
    <t>Defines the financial year for the Authority, which may impact data retention and reporting timelines for financial data.</t>
  </si>
  <si>
    <t>• [Must] Authority's financial year commences on July 1</t>
  </si>
  <si>
    <t>The financial year of the Authority shall be the period of twelve months commencing on the first day of July in each year.</t>
  </si>
  <si>
    <t>Authority's accounts</t>
  </si>
  <si>
    <t>Record Keeping</t>
  </si>
  <si>
    <t>The Authority must maintain proper books of accounts for its income, expenditures, assets, liabilities, and all transactions. This ensures transparency in financial operations.</t>
  </si>
  <si>
    <t>Requires detailed financial records, impacting data retention and reporting for financial data.</t>
  </si>
  <si>
    <t>• [Must] Authority shall keep proper books of accounts for income, expenditures, assets, liabilities, and transactions</t>
  </si>
  <si>
    <t>The Authority shall cause proper books of accounts to be kept of its income and expenditures, assets and liabilities and all other transactions of the Authority.</t>
  </si>
  <si>
    <t>Investor Compensation Fund establishment for stockbroker failures</t>
  </si>
  <si>
    <t>This section establishes the Investor Compensation Fund to compensate investors who suffer financial loss due to licensed stockbrokers or dealers failing to meet contractual obligations. The Fund is funded by contributions from licensed persons, fines, penalties, interest, recovered sums, and approved sources. The Authority may reward individuals who provide timely information leading to Fund recovery, with rewards capped at five million shillings. Offenses related to fraudulently obtaining rewards can result in fines up to five million shillings or imprisonment for five years.</t>
  </si>
  <si>
    <t>This section establishes a fund for compensating investors affected by stockbroker failures, which may impact data transfer DTIAs if the Fund's operations involve cross-border data handling or international investor compensation mechanisms.</t>
  </si>
  <si>
    <t>• [Must] There shall be established a Fund to be known as the Investor Compensation Fund for the purposes of granting compensation to investors who suffer pecuniary loss resulting from the failure of a licensed stockbroker or dealer to meet his contractual obligations.
• [Must] The Compensation Fund shall consist of such moneys as are required to be paid into the Compensation Fund by licensed persons
• [Must] The Compensation Fund shall consist of such sums of money as are paid under this Act as fines or penalties or under section 34 as ill-gotten gains where those harmed are not specifically identifiable
• [Must] The Compensation Fund shall consist of such sums of money as accrue from interest and profits from investing Compensation Fund moneys
• [Must] The Compensation Fund shall consist of such sums of money recovered by or on behalf of the Authority from entities whose failure to meet their obligations to investors result in payments from the Compensation Fund
• [May] The Authority may reward any person who provides new and timely information leading to the recovery of sums of money referred to in subsection (2)</t>
  </si>
  <si>
    <t>• [Must] The reward payable under this subsection shall be three per cent of the amount recovered subject to a maximum of five million shillings
• [Must] The reward referred to in paragraph (a) shall be paid before the recovered sums of money are transferred to the Fund
• [Must] A person who colludes with an officer of the Authority for the purpose of collecting the reward under subsection (2A) commits an offence
• [Must] A person who while working at the Authority aids another person to get and provide information under subsection (2A) commits an offence
• [Must] A person who provides false information under subsection (2A) commits an offence
• [Must] A person who commits an offence under subsection (2C) shall on conviction be liable to a fine not exceeding five million shillings or to imprisonment for a term not exceeding five years</t>
  </si>
  <si>
    <t>18. Establishment of the Investor Compensation Fund (1) There shall be established a Fund to be known as the Investor Compensation Fund for the purposes of granting compensation to investors who suffer pecuniary loss resulting from the failure of a licensed stockbroker or dealer to meet his contractual obligations.</t>
  </si>
  <si>
    <t>Changes in securities exchange rules</t>
  </si>
  <si>
    <t>This section outlines the process for securities exchanges to amend their rules. Amendments require prior approval from the Authority, and the Authority must provide written notice within thirty days of receiving the amendments. Certain rule changes, such as fee adjustments or administrative matters, may take effect immediately upon filing with the Authority.</t>
  </si>
  <si>
    <t>This section governs rule changes for securities exchanges, which may impact DTIAs through their influence on data handling practices and regulatory compliance.</t>
  </si>
  <si>
    <t>• [Must] The rules of an approved securities exchange, commodities exchange or a derivatives exchange, in so far as they have been approved by the Authority, shall not be amended, varied or rescinded without the prior approval of the Authority
• [Must] Where the board of directors of an approved securities exchange, commodities exchange or a derivatives exchange wishes to amend its rules, it shall forward the amendments to the Authority for approval
• [Must] The Authority shall, after hearing from the securities exchange, commodities exchange or a derivatives exchange, and within thirty days of receipt of a notice under subsection (2) give written notice to the securities exchange, commodities exchange or a derivatives exchange stating whether such amendments to the rules are allowed or disallowed and…
• [May] Notwithstanding the provisions of paragraph (2), a proposed rule change may take effect upon filing with the Authority if designated by the exchanges as a stated policy, practice or interpretation with respect to the meaning, administration or enforcement of an existing rule</t>
  </si>
  <si>
    <t>• [May] Notwithstanding the provisions of paragraph (2), a proposed rule change may take effect upon filing with the Authority if designated by the exchanges as a proposal establishing or changing a fee or other charge
• [May] Notwithstanding the provisions of paragraph (2), a proposed rule change may take effect upon filing with the Authority if designated by the exchanges as a proposal dealing solely with the administration of the exchange or other matters which the Authority may specify
• [May] In addition to the provisions of subsection (4), the Authority may add other items which it determines to be appropriate in fulfilling its objective under this Act
• [May] Subject to section 21B, the Authority may abrogate any rules made under section 21A if there exists risks that have not been adequately mitigated in the rules</t>
  </si>
  <si>
    <t>20. Changes in securities exchange, commodities exchange rules (1) The rules of an approved securities exchange, commodities exchange or a derivatives exchange, in so far as they have been approved by the Authority, shall not be amended, varied or rescinded without the prior approval of the Authority.</t>
  </si>
  <si>
    <t>Disciplinary action by securities exchanges</t>
  </si>
  <si>
    <t>Capital Markets Authority</t>
  </si>
  <si>
    <t>Securities exchanges must notify the Authority within seven days of taking disciplinary action against trading participants or listed companies. The Authority may review such actions, affirm or set aside decisions after providing opportunities for hearing. The Authority can also take disciplinary action itself if an exchange fails to act, but must give prior notice.</t>
  </si>
  <si>
    <t>Requires exchanges to report disciplinary actions to the regulator; regulator can override exchange decisions; regulator may directly discipline participants if exchanges fail to act.</t>
  </si>
  <si>
    <t>• [Must] Securities exchanges must notify Authority within seven days of disciplinary action against trading participants or listed companies
• [May] Authority may review disciplinary actions taken by exchanges after providing opportunity for hearing</t>
  </si>
  <si>
    <t>• [May] Authority may take disciplinary action if exchange fails to act against participants</t>
  </si>
  <si>
    <t>Where a securities exchange or a derivatives exchange reprimands, fines, suspends or expels, or otherwise takes disciplinary action against a trading participant or a listed company, it shall within seven days give notice to the Authority in writing, giving particulars including the name of the person, the reason for and nature of the action taken.</t>
  </si>
  <si>
    <t>Licences required for financial activities</t>
  </si>
  <si>
    <t>Individuals and entities must hold valid licenses from the Authority to operate as stockbrokers, dealers, fund managers, or other financial intermediaries. Exchanges and other entities must be approved by the Authority. License holders must comply with requirements and pay annual fees.</t>
  </si>
  <si>
    <t>Regulator requires licenses for financial activities; license holders must comply with regulatory requirements and pay fees.</t>
  </si>
  <si>
    <t>• [Must] Individuals must hold valid licenses to operate as stockbrokers, dealers, fund managers, etc.
• [Must] Exchanges and other entities must be approved by the Authority</t>
  </si>
  <si>
    <t>• [Must] License holders must comply with Authority requirements and pay annual fees</t>
  </si>
  <si>
    <t>No person shall carry on business as a stockbroker, derivatives broker, REIT manager, trustee, dealer, investment adviser, fund manager, investment bank, central depository, authorised securities dealer, authorized depository, online forex broker, commodity dealer, commodity broker or hold himself out as carrying on such a business unless he or she holds a valid licence issued under this Act or under the authority of this Act.</t>
  </si>
  <si>
    <t>Application for licence procedures</t>
  </si>
  <si>
    <t>37–39</t>
  </si>
  <si>
    <t>Applications for licenses must be submitted in prescribed forms with fees; the Authority may require additional information. Licenses are granted only if applicants meet financial and other requirements. The Authority may impose conditions, vary conditions, or revoke licenses without prior hearing.</t>
  </si>
  <si>
    <t>Regulator sets procedures for license applications; licenses require financial and operational compliance; licenses can be revoked without prior hearing.</t>
  </si>
  <si>
    <t>• [Must] Applications for licenses must be submitted in prescribed forms with fees
• [May] Authority may require additional information on applications
• [Must] Licenses granted only if applicants meet financial and other requirements</t>
  </si>
  <si>
    <t>• [May] Authority may impose conditions on licenses
• [May] Authority may vary conditions on licenses
• [May] Authority may revoke licenses without prior hearing</t>
  </si>
  <si>
    <t>Applications for licenses must be submitted in prescribed forms with fees; the Authority may require additional information. Licenses are granted only if applicants meet financial and other requirements.</t>
  </si>
  <si>
    <t>Imposition of sanctions and penalties</t>
  </si>
  <si>
    <t>The Authority may impose sanctions including public reprimands, suspensions, restrictions on licenses, recovery of benefits, financial penalties, and restitution orders for breaches of the Act. Penalties are recoverable summarily as civil debts.</t>
  </si>
  <si>
    <t>Regulator can impose sanctions including suspensions, financial penalties, and restitution orders for breaches; penalties are recoverable as civil debts.</t>
  </si>
  <si>
    <t>• [May] Authority may impose public reprimands for breaches
• [May] Authority may suspend trading for specified periods
• [May] Authority may restrict license use
• [May] Authority may recover benefits from breaches</t>
  </si>
  <si>
    <t>• [May] Authority may impose financial penalties up to ten million shillings
• [May] Authority may order restitution for losses
• [Must] Penalties are recoverable summarily as civil debts</t>
  </si>
  <si>
    <t>The Authority may impose the following sanctions or levy financial penalties in accordance with this Act, for the breach of any provisions of this Act, the regulations, rules, guidelines, notices or directions made thereunder, or the rules of procedure of a securities, commodities or derivatives exchange, by a licensed or approved person, issuer, employee or a director of a licensed or approved person or employee director of a issuer as provided under section 11(3)(cc)</t>
  </si>
  <si>
    <t>Conditions for suspending or revoking a license</t>
  </si>
  <si>
    <t>The Authority may suspend or revoke a license for a licensed person who goes into liquidation, engages in unauthorized activities, has a receiver appointed, ceases business without approval, has directors not performing duties honestly, contravenes license conditions, fails to comply with directions, fails to provide information, provides false information, or is no longer fit to hold a license. Suspension cannot exceed three months and may be extended. The Authority must lift suspension after expiry or revoke the license. Failure to pay annual fees suspends the license, and non-payment within thirty days after suspension revokes it. The Authority must publish suspended or revoked licenses and provide an opportunity to be heard.</t>
  </si>
  <si>
    <t>This section defines conditions under which a license may be suspended or revoked, impacting data transfer operations by requiring licensees to maintain compliance with regulatory conditions before transferring data across borders.</t>
  </si>
  <si>
    <t>• [Must] The Authority may suspend or revoke a license if a licensed person goes into liquidation or an order is issued for winding up
• [Must] The Authority may suspend or revoke a license if a licensed person carries out activities outside the scope of licensed activities
• [Must] The Authority may suspend or revoke a license if a licensed person has a receiver or manager appointed on all or substantial part of company property
• [Must] The Authority may suspend or revoke a license if a licensed person ceases business for more than thirty days without Authority approval
• [Must] The Authority may suspend or revoke a license if any director or key employee has not performed duties honestly and fairly in the Authority's opinion
• [Must] The Authority may suspend or revoke a license if a licensed person contravenes or fails to comply with license conditions
• [Must] The Authority may suspend or revoke a license if a licensed person fails to comply with Authority directions
• [Must] The Authority may suspend or revoke a license if a licensed person fails to provide required information to the Authority
• [Must] The Authority may suspend or revoke a license if a licensed person provides false or misleading information</t>
  </si>
  <si>
    <t>• [Must] The Authority may suspend or revoke a license if a licensed person is no longer fit and proper to hold a license
• [Must] The Authority may suspend or revoke a license if a licensed person breaches any other provision under the Act
• [Condition] Suspension of a license may not exceed three months, but may be extended by the Authority for up to three months
• [Must] The Authority must lift suspension or revoke the license at the end of the suspension period
• [Must] Failure to pay the prescribed annual fee suspends the license
• [Must] If a license is suspended and the licensee does not pay the fee within thirty days, the license is revoked
• [Must] The Authority must publish suspended or revoked licenses in the Gazette
• [Must] The Authority must provide an opportunity to be heard to persons affected by license suspension or revocation</t>
  </si>
  <si>
    <t>26. Suspension or revocation of a licence (1) The Authority may suspend or revoke a license, for such period or until the occurrence of such event as the Authority may specify, if a licensed person— (a) goes into liquidation or an order is issued for the winding up of the licensed person; (b) carries out any activity outside the scope of the licensed or approved activities; (c) has a receiver or a manager appointed on all or a substantial part of the property of the company; (d) ceases to carry on the licensed business for a period of more than thirty days unless it has obtained the approval of the Authority to do so; (e) any of its directors or key employees has not, in the opinion of the Authority, performed their duties honestly and fairly; (f) has contravened or failed to comply with any condition applicable in respect of the licence; (g) fails to comply with a direction of the Authority; (h) fails to provide the Authority with such information as it may require; (i) provides false or misleading information; (j) for any other reason, is no longer fit and proper person to hold a license; or (k) is in breach of any other provision under this Act.</t>
  </si>
  <si>
    <t>Reporting changes to license registration</t>
  </si>
  <si>
    <t>A licensed person must report to the Authority within fourteen days if they cease carrying on the business for which they were licensed or if there is a change in any particulars required to be entered in their license register. This ensures the Authority maintains up-to-date records of licensed entities and their activities.</t>
  </si>
  <si>
    <t>This section requires timely reporting of changes to license status, which impacts data transfer operations by ensuring licensees maintain compliance with regulatory requirements before transferring data across borders.</t>
  </si>
  <si>
    <t>• [Must] A licensed person must report to the Authority within fourteen days if they cease carrying on the business for which they were licensed</t>
  </si>
  <si>
    <t>• [Must] A licensed person must report to the Authority within fourteen days if there is a change in any particulars required to be entered in their license register</t>
  </si>
  <si>
    <t>28. Obligation to report changes Where— (a) the holder of a licence ceases to carry on the business to which the licence relates; or (b) a change occurs in any particulars which are required by section 27 to be entered in a register of licence holders with respect to the holder of a licence, the holder of the licence shall within fourteen days of the occurrence of the event concerned, give to the Authority, particulars of such event.</t>
  </si>
  <si>
    <t>Licensing requirements for financial entities</t>
  </si>
  <si>
    <t>42–44</t>
  </si>
  <si>
    <t>Before granting a license, the Authority must ensure the applicant is a legally constituted entity, has qualified directors, meets specific security requirements for stockbrokers, has administrative capacity, operates solely for clients (for stockbrokers), solely for their own benefit (for dealers), or both (for derivatives brokers), and complies with shareholding and director appointment limits to prevent undue control. The Authority also requires applicants to meet exchange admission criteria and pay admission fees.</t>
  </si>
  <si>
    <t>This section establishes licensing requirements that impact data transfer operations by mandating specific governance and operational standards for entities handling financial data across borders.</t>
  </si>
  <si>
    <t>• [Must] The Authority must ensure the applicant is a legally constituted entity as prescribed in the Regulations or is duly constituted as a collective investment scheme
• [Must] The Authority must ensure at least one director, chief executive officer, or person directing, conducting, managing, or supervising the business has satisfied minimum qualification requirements
• [Must] In the case of a stockbroker, the applicant company must have lodged security in a prescribed sum with the securities exchange or Authority
• [Must] The applicant company must have necessary administrative capacity to carry on business for which the license is required
• [Must] In the case of a stockbroker's license, the applicant must carry on business solely on behalf of clients
• In the case of a dealer's license, the applicant must carry on business solely on their own behalf
• [Must] In the case of a derivatives broker license, the applicant may carry on business either on behalf of clients or on their own behalf, or both
• [Must] A securities exchange or derivatives exchange must admit an applicant who fulfils all requirements imposed by the Authority and relevant exchange or self-regulatory organization
• [Must] A securities broker, derivatives broker, or dealer whose license is revoked under section 26 must cease to be a trading participant of the securities exchange</t>
  </si>
  <si>
    <t>• [Must] An individual or corporate person shall not control or be beneficially entitled to more than thirty-three and a third percent of issued share capital or voting rights in a company
• [Must] An individual or corporate person shall not appoint more than one-third of the members of the Board of directors
• [Must] An individual or corporate person shall not receive more than thirty-three and a third percent of aggregate dividends and interest on shareholders loans in any given financial year
• [Condition] The provisions of subsection (4) shall not apply to a corporate entity licensed by a banking, insurance, pensions or securities regulator in Kenya
• [Condition] The provisions of subsection (4) shall not apply where the ownership structure of that corporate shareholder is diverse and no person holds or controls more than twenty-five percent of shares, votes, directorship appointments, dividends or interest on shareholder loans
• [Must] A person who exercises control or is beneficially entitled to more than twenty-five percent of listed share capital or voting rights shall not be appointed as key personnel
• [Must] A person who exercises control or is beneficially entitled to more than one quarter of the members of the Board of Directors shall not be appointed as key personnel
• [Must] A person who exercises control or is beneficially entitled to more than twenty-five percent of aggregate dividends and interest on shareholders loans shall not be appointed as key personnel</t>
  </si>
  <si>
    <t>29. Licensing requirements (1) Before granting any licence or approval, the Authority in respect of a business that requires to be licensed or approved shall satisfy itself— (a) that the applicant is such legal entity as may be prescribed in the Regulations as the Authority may prescribe or is duly constituted as a collective investment scheme; (b) deleted by , s. 7; (c) that at least one the director, chief executive officer or such other person who directs, conducts, manages or supervises the business of the applicant has satisfied such minimum qualification requirements as may be prescribed; (d) in the case of a stockbroker, dealer or other person prescribed by the Authority that the applicant company has lodged security in such sum as may be determined by the Authority or an equivalent bank guarantee or bond with the securities exchange in which it is a trading participant or with the Authority or other person approved by the Authority as the case may be; (e) that the applicant company has the necessary administrative capacity to carry on business for which the licence is required; (f) in the case of an application for a stockbroker's licence, that the applicant shall carry on business solely on behalf of clients; (g) in the case of an application for a dealer's licence, that the applicant shall carry on business solely on their own behalf; (h) in the case of an application for a derivatives broker license, that the applicant may carry on business either on behalf of clients or on their own behalf, or both; (i) that the applicant is not a corporate entity licensed by a banking, insurance, pensions or securities regulator in Kenya; (j) that the ownership structure of that corporate shareholder is diverse and no person holds or controls more than twenty-five percent of shares, votes, directorship appointments, dividends or interest on shareholder loans.</t>
  </si>
  <si>
    <t>Procedure for collective investment schemes</t>
  </si>
  <si>
    <t>This section outlines the procedural requirements for collective investment schemes. It specifies the steps that must be followed when launching such schemes, including disclosure obligations and regulatory approvals. The process ensures transparency and compliance with capital markets regulations.</t>
  </si>
  <si>
    <t>• [Must] Collective investment schemes must follow specified procedures</t>
  </si>
  <si>
    <t>30. Procedure for collective investment schemes</t>
  </si>
  <si>
    <t>30 (part 2)</t>
  </si>
  <si>
    <t>Procedures for listed company misconduct and corrective actions</t>
  </si>
  <si>
    <t>48–52</t>
  </si>
  <si>
    <t>Cross-border Transfer, International Processing, Data Storage, Security, Consent, Financial Data, KYC, AML, Incident Reporting, Breach Notification, Governance, Record Keeping</t>
  </si>
  <si>
    <t>This section outlines specific contraventions by listed companies that trigger corrective actions from the Authority. It covers failures to comply with the Act, providing false information, breaches of listing agreements, and contraventions of the Act itself. The Authority may issue cease and desist orders, specify actions to take or avoid, or address other matters it deems necessary. These provisions apply to listed companies and their obligations under the Capital Markets Act.</t>
  </si>
  <si>
    <t>This section establishes conditions under which the Authority may intervene in listed companies' operations, relevant to DTIA for financial institutions involved in securities markets.</t>
  </si>
  <si>
    <t>• [Must] A listed company contravening, has contravened or is about to contravene any provision or requirement under this Act
• [Must] A listed company has failed to comply with any provision of or requirement under this Act or rules of its listing exchange
• [Must] A listed company has furnished the Authority with false, inaccurate or misleading information
• [Must] There is a breach of the listing agreement in respect of any other securities</t>
  </si>
  <si>
    <t>• [Must] An issuer or other obligated party has furnished the Authority with false, inaccurate or misleading information
• [Must] An issuer or offeror has contravened or is about to contravene a provision of this Act
• [Must] The Authority may issue cease and desist orders to address breaches
• [Must] The Authority may specify actions to take or avoid as part of corrective measures</t>
  </si>
  <si>
    <t>Capital Markets Act (Cap. 485A) Kenya (c) a listed company is contravening, has contravened or is about to contravene any provision or requirement under this Act; (d) a listed company has failed to comply with any provision of or requirement under this Act or rules of its listing exchange; (e) a listed company has furnished the Authority with false, inaccurate or misleading information; (f) there is a breach of the listing agreement in respect of any other securities; (g) an issuer or other obligated party has furnished the Authority with false, inaccurate or misleading information; or (h) an issuer or offeror has contravened or is about to contravene a provision of this Act</t>
  </si>
  <si>
    <t>30 (part 4)</t>
  </si>
  <si>
    <t>Obligations for restricted offers in securitisation transactions</t>
  </si>
  <si>
    <t>56–59</t>
  </si>
  <si>
    <t>This section mandates that false statements or omissions in prospectuses or applications for asset-backed securities must include all statements in prospectuses, offering memoranda, transaction documents, and credit rating agency communications. It also requires that continuing disclosure obligations apply to restricted offers. The provisions of sections 30D, 30E, 30F, 30JM, 30K, and 33O apply to restricted offers involving asset-backed securities. The Authority may exercise powers to make court applications for unfair prejudice or require records under this section.</t>
  </si>
  <si>
    <t>Restricted offers involving asset-backed securities must comply with specific disclosure and continuing obligations, requiring thorough verification of statements and omissions to prevent misleading information across borders.</t>
  </si>
  <si>
    <t>• [Must] False statements or omissions in prospectuses or applications for asset-backed securities must include all statements in prospectuses, offering memoranda, transaction documents, and credit rating agency communications
• [Must] False statements or omissions in prospectuses or applications for asset-backed securities must include continuing disclosure obligations under this Act
• [Must] Sections 30D, 30E, 30F, 30JM, 30K, and 33O apply to applications for asset-backed securities in restricted offers</t>
  </si>
  <si>
    <t>• [Must] The Authority may make court applications for unfair prejudice under section 33C
• [Must] The Authority may require production of records and documents under section 33D
• [Must] The Authority may issue directions under section 30G</t>
  </si>
  <si>
    <t>A reference in this Act to a false, untrue, misleading or deceptive statement in a prospectus or to the omission of information or a statement when making an application relating to or in connection with any securitisation transaction or any issue or offer of asset backed securities shall—</t>
  </si>
  <si>
    <t>Register of interest in securities</t>
  </si>
  <si>
    <t>This section requires the maintenance of a register of interests in securities. It mandates that entities track and disclose ownership interests to prevent insider trading and market manipulation. The register serves as a transparency mechanism for market participants.</t>
  </si>
  <si>
    <t>• [Must] Register of interest in securities must be maintained</t>
  </si>
  <si>
    <t>32. Register of interest in securities</t>
  </si>
  <si>
    <t>32 (part 2)</t>
  </si>
  <si>
    <t>Fraudulent gain and insider trading penalties</t>
  </si>
  <si>
    <t>64–67</t>
  </si>
  <si>
    <t>This section establishes offences for obtaining financial or personal gain through fraud, deceit, or intentional concealment. It prohibits collusion with others to commit fraud and imposes penalties including fines and imprisonment for individuals, with companies facing higher penalties. The offences apply to any person who engages in fraudulent activities targeting the public, issuers, or regulated persons.</t>
  </si>
  <si>
    <t>This section defines specific fraudulent activities that could impact data transfers involving financial institutions, requiring robust safeguards to prevent misuse of sensitive financial information across borders.</t>
  </si>
  <si>
    <t>• [Must Not] Any person who on his own action or conspires with another by deceit, intentional concealment, omission or any fraudulent means to obtain financial or personal gain from the public, an issuer or a regulated person commits an offence.</t>
  </si>
  <si>
    <t>32KA. Obtaining gain by fraud Any person who on his own action or conspires with another by deceit, intentional concealment, omission or any fraudulent means to obtain financial or personal gain from the public, an issuer or a regulated person commits an offence.</t>
  </si>
  <si>
    <t>32 (part 3)</t>
  </si>
  <si>
    <t>Statutory manager powers for financial institutions</t>
  </si>
  <si>
    <t>67–68</t>
  </si>
  <si>
    <t>This section grants the Capital Markets Authority the power to appoint a statutory manager to oversee a licensed person's affairs during crises, including financial instability or misconduct. The statutory manager must act diligently, preserve assets, recover debts, evaluate capital structure, and manage contracts. They also have authority to declare a moratorium on payments and report monthly to the Authority, with protections against liability for acts done in good faith.</t>
  </si>
  <si>
    <t>This section mandates specific financial oversight mechanisms that could affect data transfers by requiring robust governance and accountability for financial institutions handling cross-border data.</t>
  </si>
  <si>
    <t>• [Must] The Authority may appoint a statutory manager to assume management, control and conduct of a licensed person's affairs to the exclusion of its board of directors.
• [Must] The statutory manager must discharge duties with diligence and in accordance with sound investment and financial principles.
• [Must] The statutory manager must trace and preserve all property and assets of the licensed person or its customers.
• [Must] The statutory manager must recover all debts and other sums due to and owing to the licensed person.
• [Must] The statutory manager must evaluate the capital structure and management of the licensed person and recommend restructuring.
• [May] The statutory manager may enter into contracts in the ordinary course of the business.
• [Must] The statutory manager must obtain documents, records, accounts, statements or information relating to the licensed person's business.</t>
  </si>
  <si>
    <t>• [May] The statutory manager may declare a moratorium on payment by the licensed person to all creditors equally.
• [May] The statutory manager may offset liabilities owed by the licensed person to any creditor against debts owed by that creditor.
• [May] The statutory manager may suspend the running of time for limitation of actions in respect of claims by creditors.
• [Must] The statutory manager must furnish monthly reports to the Authority on activities.
• [May] The statutory manager may petition the High Court for winding up the licensed person if it is just and equitable.
• [Must] The statutory manager must pay all costs and expenses out of the licensed person's assets in priority to other claims.</t>
  </si>
  <si>
    <t>33A. Powers of the Authority to intervene in management of a licence (1) This section shall apply and the powers conferred by subsection (2) may be exercised in the following circumstances—</t>
  </si>
  <si>
    <t>Other offences under capital markets regulations</t>
  </si>
  <si>
    <t>68–70</t>
  </si>
  <si>
    <t>This section defines additional offences related to capital markets, including contravening provisions of the Act, publishing misleading information, or obstructing regulators. Offences are punishable by fines and imprisonment, with penalties increasing for subsequent offences. The section also covers compensation for losses caused by offences.</t>
  </si>
  <si>
    <t>This section outlines offences that could impact data transfers by requiring accurate and transparent reporting of financial information.</t>
  </si>
  <si>
    <t>• [Must Not] Any person who contravenes provisions of this Act or rules, publishes misleading information, or obstructs regulators in their duties commits an offence.</t>
  </si>
  <si>
    <t>34. Other offences (1) Any person who— (a) contravenes any provision of this Act or any requirement imposed under the provision of this Act or any rule or regulation made thereunder; ...</t>
  </si>
  <si>
    <t>Appeals from Authority decisions on securities licenses and compensation</t>
  </si>
  <si>
    <t>70–73</t>
  </si>
  <si>
    <t>Capital Markets Tribunal</t>
  </si>
  <si>
    <t>Any person aggrieved by an Authority decision regarding license refusal, restrictions, suspension, revocation, public offer approval, securities listing, or compensation can appeal to the Capital Markets Tribunal within fifteen days. The Tribunal may require the Authority to show cause, affirm or set aside decisions after hearing, and award costs. The Tribunal has powers similar to the High Court for evidence and proceedings.</t>
  </si>
  <si>
    <t>Provides a mechanism for challenging Authority decisions on securities licenses and compensation, relevant for DTIAs involving cross-border disputes over securities licenses or investor compensation.</t>
  </si>
  <si>
    <t>• [Must] Any person aggrieved by Authority decisions on license refusal, restrictions, suspension, revocation, public offer approval, securities listing, or compensation may appeal to the Capital Markets Tribunal within fifteen days.
• [May] The Tribunal may require the Authority to show cause for its action or decision.</t>
  </si>
  <si>
    <t>• [May] The Tribunal may affirm or set aside an Authority decision after affording the Authority an opportunity to be heard.
• [Must] The Tribunal shall award costs of proceedings before it and direct costs to be taxed according to a prescribed scale.</t>
  </si>
  <si>
    <t>Any person aggrieved by any direction given by the Authority to such person or by a decision of the Authority or by the Investor Compensation Fund Board—refusing to grant a licence; imposing limitations or restrictions on a licence; suspending or revoking a licence; refusing to approve a public offer of securities; refusing to admit a security to the official list of a securities exchange; suspending trading of a security on a securities exchange; or requiring the removal of a security from the official list of a securities exchange—may appeal to the Capital Markets Tribunal against such directions, refusal, limitations or restrictions, cancellations, suspension or removal, as the case may be, within fifteen days from the date on which the decision was communicated to such person.</t>
  </si>
  <si>
    <t>Authority reporting obligations</t>
  </si>
  <si>
    <t>The Cabinet Secretary may direct the Authority to provide returns, accounts, and information on its work. The Authority must submit annual reports with audited accounts within six months of the financial year-end, and the Cabinet Secretary must table these reports in Parliament within three months of submission.</t>
  </si>
  <si>
    <t>Requires regular reporting from the Authority on its operations, relevant for DTIAs involving transparency and accountability in cross-border financial data handling.</t>
  </si>
  <si>
    <t>• [May] The Cabinet Secretary may direct the Authority to furnish returns, accounts, and any other information with respect to the work of the Authority.
• [Must] The Authority shall submit to the Cabinet Secretary a report of its operations and activities within six months after the close of each financial year, along with audited accounts.</t>
  </si>
  <si>
    <t>• [Must] The Cabinet Secretary shall table the report before Parliament within three months of its submission.</t>
  </si>
  <si>
    <t>The Authority shall, within six months after the close of each financial year, submit to the Cabinet Secretary a report of its operations and activities throughout the year together with audited accounts in such form and detail as the Cabinet Secretary shall, from time to time, determine.</t>
  </si>
  <si>
    <t>Exemption from Cap. 446</t>
  </si>
  <si>
    <t>This section provides an exemption from Cap. 446, which is likely a reference to another act or regulation. The specific exemption details are not elaborated in the text, indicating a general exemption clause without further conditions or scope.</t>
  </si>
  <si>
    <t>• [Exemption] Exemption from Cap. 446</t>
  </si>
  <si>
    <t>39. Exemption from Cap. 446</t>
  </si>
  <si>
    <t>Computer Misuse and Cybercrimes</t>
  </si>
  <si>
    <t>Act's official name</t>
  </si>
  <si>
    <t>This section defines the Act's official title as the Computer Misuse and Cybercrimes Act. It establishes the legal citation for the legislation without imposing any obligations or conditions.</t>
  </si>
  <si>
    <t>• [Authority] This Act may be cited as the Computer Misuse and Cybercrimes Act.</t>
  </si>
  <si>
    <t>This Act may be cited as the Computer Misuse and Cybercrimes Act.</t>
  </si>
  <si>
    <t>Key terms defined</t>
  </si>
  <si>
    <t>6–9</t>
  </si>
  <si>
    <t>This section provides detailed definitions for 30+ terms critical to the Act, including 'computer system', 'data', 'interception', 'critical infrastructure', and 'mobile money'. These definitions establish the legal framework for understanding computer-related offenses and cybercrimes in Kenya.</t>
  </si>
  <si>
    <t>• [Definition] In this Act, unless the context otherwise requires—
• [Definition] "access" means gaining entry into or intent to gain entry by a person to a program or data stored in a computer system and the person either—
• [Definition] (a) alters, modifies or erases a program or data or any aspect related to the program or data in the computer system;
• [Definition] (b) copies, transfers or moves a program or data to—
• [Definition] (i) any computer system, device or storage medium other than that in which it is stored; or
• [Definition] (ii) to a different location in the same computer system, device or storage medium in which it is stored;
• [Definition] (c) causes it to be output from the computer in which it is held, whether by having it displayed or in any other manner; or
• [Definition] (d) uses it by causing the computer to execute a program or is itself a function of the program;
• [Definition] "Authority" means the Communications Authority of Kenya;
• [Definition] "authorised person" means an officer in a law enforcement agency or a cybersecurity expert designated by the Cabinet Secretary responsible for matters relating to national security by notice in the Gazette for the purposes of Part III of this Act;
• [Definition] "blockchain technology" means a digitized, decentralized, public ledger of all crypto currency transactions;
• [Definition] "Cabinet Secretary" means the Cabinet Secretary responsible for matters relating to internal security;
• [Definition] "Central Authority" means the Office of the Attorney-General and Department of Justice;
• [Definition] "Committee" means the National Computer and Cybercrimes Co-ordination Committee established under section 4;
• [Definition] "computer data storage medium" means a device, whether physical or virtual, containing or designed to contain, or enabling or designed to enable storage of data, whether available in a single or distributed form for use by a computer, and from which data is capable of being reproduced;
• [Definition] "computer system" means a physical or virtual device, or a set of associated physical or virtual devices, which use electronic, magnetic, optical or other technology, to perform logical, arithmetic storage and communication functions on data or which perform control functions on physical or virtual devices including mobile devices and reference to…
• [Definition] "content data" means the substance, its meaning or purport of a specified communication;
• [Definition] "critical information infrastructure system or data" means an information system, program or data that supports or performs a function with respect to a national critical information infrastructure;
• [Definition] "critical infrastructure" means the processes, systems, facilities, technologies, networks, assets and services essentials to the health, safety, security or economic well-being of Kenyans and the effective functioning of Government;
• [Definition] "cybersquatting" means the acquisition of a domain name over the internet in bad faith to profit, mislead, destroy reputation, or deprive another from registering the same, if the domain name is—
• [Definition] (a) similar, identical or confusingly similar to an existing trademark registered with the appropriate government agency at the time of registration;
• [Definition] (b) identical or in any way similar with the name of a person other than the registrant, in case of a personal name; or
• [Definition] (c) acquired without right or intellectual property interests in it;
• [Definition] "data" means any representation of facts, information or concepts in a form suitable for processing in a computer system, including a program suitable to cause a computer system to perform a function;
• [Definition] "interception" means the monitoring, modifying, viewing or recording of non-public transmissions of data to or from a computer system over a telecommunications system, and includes, in relation to a function of a computer system, listening to or recording a function of a computer system or acquiring the substance, its meaning or purport of such fu…
• [Definition] "interference" means any impairment to the confidentiality, integrity or availability of a computer system, or any program or data on a computer system, or any act in relation to the computer system which impairs the operation of the computer system, program or data;
• [Definition] "mobile money" means electronic transfer of funds between banks or accounts' deposit or withdrawal of funds or payment of bills by mobile phone;
• [Definition] "national critical information infrastructure" means a vital virtual asset, facility, system, network or process whose incapacity, destruction or modification would have—
• [Definition] (a) a debilitating impact on the availability, integrity or delivery of essential services including those services, whose integrity, if compromised, could result in significant loss of life or casualties; or
• [Definition] (b) significant impact on national security, national defense, or the functioning of the state;</t>
  </si>
  <si>
    <t>• [Definition] "network" means a collection of hardware components and computers interconnected by communications channels that allow sharing of resources and information;
• [Definition] "password" means any data by which a computer service or a computer system is capable of being obtained or used;
• [Definition] "pornography" includes the representation in books, magazines, photographs, films, and other media, telecommunication apparatus of scenes of sexual behaviour that are erotic or lewd and are designed to arouse sexual interest;
• [Definition] "premises" includes land, buildings, movable structures, a physical or virtual space in which data is maintained, managed, backed up remotely and made available to users over a network, vehicles, vessels or aircraft;
• [Definition] "program" means data representing instructions or statements that, if executed in a computer system, causes the computer system to perform a function and reference to a program includes a reference to a part of a program;
• [Definition] "requested State" means a state being requested to provide legal assistance under the terms of this Act;
• [Definition] "requesting State" means a state requesting for legal assistance and may for the purposes of this Act include an international entity to which Kenya is obligated;
• [Definition] "seize" with respect to a program or data includes to—
• [Definition] (a) secure a computer system or part of it or a device;
• [Definition] (b) make and retain a digital image or secure a copy of any program or data, including using an on-site equipment;
• [Definition] (c) render the computer system inaccessible;
• [Definition] (d) remove data in the accessed computer system; or
• [Definition] (e) obtain output of data from a computer system;
• [Definition] "service provider" means—
• [Definition] (a) a public or private entity that provides to users of its services the means to communicate by use of a computer system; and
• [Definition] (b) any other entity that processes or stores computer data on behalf of that entity or its users;
• [Definition] "subscriber information" means any information contained in the form of data or any form that is held by a service provider, relating to subscribers of its services, other than traffic data or content data, by which can be established—
• [Definition] (a) the type of communication service used, the technical provisions taken thereto and the period of service;
• [Definition] (b) the subscriber's identity, postal, geographic location, electronic mail address, telephone and other access number, billing and payment information, available on the basis of the service agreement or arrangement; or
• [Definition] (c) any other information on the site of the installation of telecommunication apparatus, available on the basis of the service agreement or arrangement;
• [Definition] "telecommunication apparatus" means an apparatus constructed or adapted for use in transmitting anything which is transmissible by a telecommunication system or in conveying anything which is transmitted through such a system;
• [Definition] "telecommunication system" means a system for the conveyance, through the use of electric, magnetic, electro-magnetic, electro-chemical or electro-mechanical energy, of—
• [Definition] (a) speech, music or other sounds;
• [Definition] (b) visual images;
• [Definition] (c) data;
• [Definition] (d) signals serving for the impartation, whether as between persons and persons, things and things or persons and things, of any matter otherwise than in the form of sound, visual images or data; or
• [Definition] (e) signals serving for the activation or control of machinery or apparatus and includes any cable for the distribution of anything falling within paragraphs (a), (b), (c) or (d);
• [Definition] "traffic data" means computer data relating to a communication by means of a computer system, generated by a computer system that formed a part in the chain of communication, indicating the communication's origin, destination, route, time, date, size, duration or the type of underlying service;
• [Definition] and
• [Definition] "trust accounts" means an account where a bank or trust company is holding funds in relation to mobile money on behalf of the public depositors.</t>
  </si>
  <si>
    <t>In this Act, unless the context otherwise requires—"access" means gaining entry into or intent to gain entry by a person to a program or data stored in a computer system and the person either—(a) alters, modifies or erases a program or data or any aspect related to the program or data in the computer system; (b) copies, transfers or moves a program or data to—(i) any computer system, device or storage medium other than that in which it is stored; or (ii) to a different location in the same computer system, device or storage medium in which it is stored; (c) causes it to be output from the computer in which it is held, whether by having it displayed or in any other manner; or (d) uses it by causing the computer to execute a program or is itself a function of the program;"Authority" means the Communications Authority of Kenya;"authorised person" means an officer in a law enforcement agency or a cybersecurity expert designated by the Cabinet Secretary responsible for matters relating to national security by notice in the Gazette for the purposes of Part III of this Act;"blockchain technology" means a digitized, decentralized, public ledger of all crypto currency transactions;"Cabinet Secretary" means the Cabinet Secretary responsible for matters relating to internal security;"Central Authority" means the Office of the Attorney-General and Department of Justice;"Committee" means the National Computer and Cybercrimes Co-ordination Committee established under section 4;"computer data storage medium" means a device, whether physical or virtual, containing or designed to contain, or enabling or designed to enable storage of data, whether available in a single or distributed form for use by a computer, and from which data is capable of being reproduced;"computer system" means a physical or virtual device, or a set of associated physical or virtual devices, which use electronic, magnetic, optical or other technology, to perform logical, arithmetic storage and communication functions on data or which perform control functions on physical or virtual devices including mobile devices and reference to a computer system includes a reference to part of a computer system;"content data" means the substance, its meaning or purport of a specified communication;"critical information infrastructure system or data" means an information system, program or data that supports or performs a function with respect to a national critical information infrastructure;"critical infrastructure" means the processes, systems, facilities, technologies, networks, assets and services essentials to the health, safety, security or economic well-being of Kenyans and the effective functioning of Government;"cybersquatting" means the acquisition of a domain name over the internet in bad faith to profit, mislead, destroy reputation, or deprive another from registering the same, if the domain name is—(a) similar, identical or confusingly similar to an existing trademark registered with the appropriate government agency at the time of registration; (b) identical or in any way similar with the name of a person other than the registrant, in case of a personal name; or (c) acquired without right or intellectual property interests in it;"data" means any representation of facts, information or concepts in a form suitable for processing in a computer system, including a program suitable to cause a computer system to perform a function;"interception" means the monitoring, modifying, viewing or recording of non-public transmissions of data to or from a computer system over a telecommunications system, and includes, in relation to a function of a computer system, listening to or recording a function of a computer system or acquiring the substance, its meaning or purport of such function;"interference" means any impairment to the confidentiality, integrity or availability of a computer system, or any program or data on a computer system, or any act in relation to the computer system which impairs the operation of the computer system, program or data;"mobile money" means electronic transfer of funds between banks or accounts' deposit or withdrawal of funds or payment of bills by mobile phone;"national critical information infrastructure" means a vital virtual asset, facility, system, network or process whose incapacity, destruction or modification would have—(a) a debilitating impact on the availability, integrity or delivery of essential services including those services, whose integrity, if compromised, could result in significant loss of life or casualties; or (b) significant impact on national security, national defense, or the functioning of the state;"network" means a collection of hardware components and computers interconnected by communications channels that allow sharing of resources and information;"password" means any data by which a computer service or a computer system is capable of being obtained or used;"pornography" includes the representation in books, magazines, photographs, films, and other media, telecommunication apparatus of scenes of sexual behaviour that are erotic or lewd and are designed to arouse sexual interest;"premises" includes land, buildings, movable structures, a physical or virtual space in which data is maintained, managed, backed up remotely and made available to users over a network, vehicles, vessels or aircraft;"program" means data representing instructions or statements that, if executed in a computer system, causes the computer system to perform a function and reference to a program includes a reference to a part of a program;"requested State" means a state being requested to provide legal assistance under the terms of this Act;"requesting State" means a state requesting for legal assistance and may for the purposes of this Act include an international entity to which Kenya is obligated;"seize" with respect to a program or data includes to—(a) secure a computer system or part of it or a device; (b) make and retain a digital image or secure a copy of any program or data, including using an on-site equipment; (c) render the computer system inaccessible; (d) remove data in the accessed computer system; or (e) obtain output of data from a computer system;"service provider" means—(a) a public or private entity that provides to users of its services the means to communicate by use of a computer system; and (b) any other entity that processes or stores computer data on behalf of that entity or its users;"subscriber information" means any information contained in the form of data or any form that is held by a service provider, relating to subscribers of its services, other than traffic data or content data, by which can be established—(a) the type of communication service used, the technical provisions taken thereto and the period of service; (b) the subscriber's identity, postal, geographic location, electronic mail address, telephone and other access number, billing and payment information, available on the basis of the service agreement or arrangement; or (c) any other information on the site of the installation of telecommunication apparatus, available on the basis of the service agreement or arrangement;"telecommunication apparatus" means an apparatus constructed or adapted for use in transmitting anything which is transmissible by a telecommunication system or in conveying anything which is transmitted through such a system;"telecommunication system" means a system for the conveyance, through the use of electric, magnetic, electro-magnetic, electro-chemical or electro-mechanical energy, of—(a) speech, music or other sounds; (b) visual images; (c) data; (d) signals serving for the impartation, whether as between persons and persons, things and things or persons and things, of any matter otherwise than in the form of sound, visual images or data; or (e) signals serving for the activation or control of machinery or apparatus and includes any cable for the distribution of anything falling within paragraphs (a), (b), (c) or (d);"traffic data" means computer data relating to a communication by means of a computer system, generated by a computer system that formed a part in the chain of communication, indicating the communication's origin, destination, route, time, date, size, duration or the type of underlying service; and"trust accounts" means an account where a bank or trust company is holding funds in relation to mobile money on behalf of the public depositors.</t>
  </si>
  <si>
    <t>Committee functions for cybersecurity and critical infrastructure</t>
  </si>
  <si>
    <t>Committee</t>
  </si>
  <si>
    <t>The Committee advises the Government on blockchain, critical infrastructure, mobile money, and trust accounts. It advises the National Security Council on cybercrimes, coordinates national security organs, receives cybercrime reports, develops critical information infrastructure frameworks, coordinates cyber threat analysis, cooperates with incident response teams, establishes cybersecurity standards, manages public key infrastructure, and trains on cybercrime prevention. The Committee may also perform other functions as granted by law or other statutes.</t>
  </si>
  <si>
    <t>This section establishes the Committee's role in critical infrastructure security, which impacts data transfer assessments for systems designated as critical infrastructure due to their role in essential services, financial stability, and national security.</t>
  </si>
  <si>
    <t>• [Must] Advise the Government on security related aspects touching on blockchain technology, critical infrastructure, mobile money and trust accounts
• [Must] Advise the National Security Council on computer and cybercrimes
• [Must] Co-ordinate national security organs in matters relating to computer and cybercrimes
• [Must] Receive and act on reports relating to computer and cybercrimes
• [Must] Develop a framework to facilitate the availability, integrity and confidentiality of critical national information infrastructure
• [Must] Co-ordinate collection and analysis of cyber threats, and response to cyber incidents that threaten cyberspace belonging to Kenya</t>
  </si>
  <si>
    <t>• [Must] Co-operate with computer incident response teams and other relevant bodies on response to threats of computer and cybercrime and incidents
• [Must] Establish codes of cyber security practice and standards of performance for implementation by owners of critical national information infrastructure
• [Must] Develop and manage a national public key infrastructure framework
• [Must] Develop a framework for training on prevention, detection and mitigation of computer and cybercrimes
• [Must] Perform any other function conferred on it by this Act or any other written law</t>
  </si>
  <si>
    <t>The Committee shall— (a) advise the Government on security related aspects touching on matters relating to blockchain technology, critical infrastructure, mobile money and trust accounts; (b) advise the National Security Council on computer and cybercrimes; (c) co-ordinate national security organs in matters relating to computer and cybercrimes; (d) receive and act on reports relating to computer and cybercrimes; (e) develop a framework to facilitate the availability, integrity and confidentiality of critical national information infrastructure including telecommunications and information systems of Kenya; (f) co-ordinate collection and analysis of cyber threats, and response to cyber incidents that threaten cyberspace belonging to Kenya, whether such threats or incidents of computer and cybercrime occur within or outside Kenya; (g) co-operate with computer incident response teams and other relevant bodies, locally and internationally on response to threats of computer and cybercrime and incidents; (h) establish codes of cyber security practice and standards of performance for implementation by owners of critical national information infrastructure; (i) develop and manage a national public key infrastructure framework; (j) develop a framework for training on prevention, detection and mitigation of computer and cybercrimes and matters connected thereto; and (k) perform any other function conferred on it by this Act or any other written law.</t>
  </si>
  <si>
    <t>Secretariat structure and responsibilities</t>
  </si>
  <si>
    <t>The Secretariat consists of a Director and public officers approved by the Cabinet Secretaries. The Director is responsible for day-to-day administration, implementation of Committee decisions, staff management, financial record-keeping, budget preparation, and reporting to the Committee. The Director serves a four-year term without reappointment.</t>
  </si>
  <si>
    <t>This section defines the Secretariat's role in implementing critical infrastructure security frameworks, which affects data transfer assessments for systems requiring compliance with national cybersecurity standards.</t>
  </si>
  <si>
    <t>• [Must] There shall be a Secretariat which shall comprise of the Director and such number of public officers that, subject to the approval of the Committee, the Cabinet Secretary responsible for matters relating to internal security in consultation with the Cabinet Secretary responsible for matters relating to information, communications and technology ma…
• [Must] The Director shall be the head of the Secretariat
• [Must] The Director shall be responsible to the Committee for the day to day administration of the affairs of the Secretariat and implementation of the decisions arising from the Committee
• [Must] The Director shall be responsible for the implementation of the decisions of the Committee
• [Must] The Director shall be responsible for the efficient administration of the Secretariat</t>
  </si>
  <si>
    <t>• [Must] The Director shall be responsible for the management of staff of the Secretariat
• [Must] The Director shall maintain accurate records on financial matters and resource use
• [Must] The Director shall prepare and approve the budget for the required funding of the operational expenses of the Secretariat
• [Must] The Director shall be appointed for a single term of four years and shall not be eligible for reappointment</t>
  </si>
  <si>
    <t>There shall be a Secretariat which shall comprise of the Director and such number of public officers that, subject to the approval of the Committee, the Cabinet Secretary responsible for matters relating to internal security in consultation with the Cabinet Secretary responsible for matters relating to information, communications and technology may deploy to the Secretariat.</t>
  </si>
  <si>
    <t>Critical information infrastructure designation and protection</t>
  </si>
  <si>
    <t>Data Storage, Incident Reporting</t>
  </si>
  <si>
    <t>Director</t>
  </si>
  <si>
    <t>The Director designates systems as critical infrastructure if disruption would cause life-sustaining service interruptions, economic harm, massive casualties, money market failures, or security threats. The Director must inform owners of designation reasons and issue directives on data classification, storage, incident management, disaster recovery, security measures, compliance timelines, and other necessary cyber security actions.</t>
  </si>
  <si>
    <t>This section mandates critical infrastructure designation and security directives, directly impacting data transfer assessments for systems handling essential services, financial stability, and national security data.</t>
  </si>
  <si>
    <t>• [Must] The Director shall, by notice in the Gazette, designate certain systems as critical infrastructure
• [Must] The Director shall designate a system as critical infrastructure if disruption would result in interruption of life sustaining services including water, health services and energy
• [Must] The Director shall designate a system as critical infrastructure if disruption would result in adverse effect on the economy of the Republic
• [Must] The Director shall designate a system as critical infrastructure if disruption would result in massive casualties or fatalities
• [Must] The Director shall designate a system as critical infrastructure if disruption would result in failure or substantial disruption of the money market of the Republic
• [Must] The Director shall designate a system as critical infrastructure if disruption would result in adverse and severe effect on the security of the Republic including intelligence and military services
• [Must] The Director shall, within a reasonable time of designating a system as critical infrastructure, inform the owner or operator of the system the reasons for the designation</t>
  </si>
  <si>
    <t>• [Must] The Director shall issue directives to regulate classification of data held by critical information infrastructure
• [Must] The Director shall issue directives to regulate protection, storing and archiving of data held by critical information infrastructure
• [Must] The Director shall issue directives to regulate cyber security incident management by critical information infrastructure
• [Must] The Director shall issue directives to regulate disaster contingency and recovery measures for critical information infrastructure
• [Must] The Director shall issue directives to regulate minimum physical and technical security measures for critical information infrastructure
• [Must] The Director shall specify the period within which the owner or person in control of critical information infrastructure must comply with directives
• [Must] The Director shall issue directives on any other relevant matter necessary or expedient to promote cyber security in respect of critical information infrastructure</t>
  </si>
  <si>
    <t>The Director shall, by notice in the Gazette, designate certain systems as critical infrastructure.</t>
  </si>
  <si>
    <t>Critical information infrastructure assessment and recommendations</t>
  </si>
  <si>
    <t>Cross-border Transfer, Security</t>
  </si>
  <si>
    <t>The Committee must consult critical infrastructure owners to recommend entities for gazettment as critical information infrastructure. It then assesses cyber threats, economic harm from attacks, preparedness levels, and identifies security risks to protect public health and safety. These recommendations are made to critical infrastructure owners for securing systems against cyber threats.</t>
  </si>
  <si>
    <t>This section requires assessments of critical infrastructure vulnerabilities and economic impacts, which are relevant for DTIAs when transferring data across borders involving critical infrastructure systems.</t>
  </si>
  <si>
    <t>• [Must] The Committee shall submit recommendations of entities to be gazetted as critical information infrastructures within reasonable time after consulting with owners.
• [Must] The Committee shall assess threats, vulnerabilities, risks, and cyberattack probabilities across critical infrastructure sectors.
• [Must] The Committee shall determine economic harm from damage or unauthorized access to critical infrastructure.</t>
  </si>
  <si>
    <t>• [Must] The Committee shall measure preparedness of each sector against damage or unauthorized access.
• [Must] The Committee shall identify risk-based security factors to protect public health, safety, or national socio-economic security.
• [Must] The Committee shall recommend methods to secure critical infrastructure systems against cyber threats.</t>
  </si>
  <si>
    <t>The Committee shall within reasonable time and in consultation with the owner or a person in control of an identified critical information infrastructure, submit to the National Security Council its recommendations of entities to be gazetted as critical information infrastructures.</t>
  </si>
  <si>
    <t>Critical infrastructure incident reporting and response</t>
  </si>
  <si>
    <t>National Security Council</t>
  </si>
  <si>
    <t>Critical infrastructure owners must report cyber threats to the Committee, which then provides technical assistance to mitigate threats. The Director may independently investigate cybercrime attacks and secure critical infrastructure without entity reference. The Committee must periodically report on threats to the National Security Council.</t>
  </si>
  <si>
    <t>This section mandates incident reporting and technical assistance for critical infrastructure, relevant for DTIAs when data transfers involve critical infrastructure systems.</t>
  </si>
  <si>
    <t>• [Must] Critical infrastructure owners must report incidents likely to constitute cyber threats to the Committee.
• [Must] The National Security Council must provide technical assistance to mitigate threats after receiving reports.</t>
  </si>
  <si>
    <t>• [May] The Director may investigate cybercrime attacks independently and secure critical infrastructure without entity reference.
• [Must] The Director must submit periodic reports on cyber threats to the National Security Council.</t>
  </si>
  <si>
    <t>The owner or operator of a system designated as critical infrastructure shall report to the Committee any incidents likely to constitute a threat in the nature of an attack that amounts to a computer and cybercrime and the action the owner or operator intends to take to prevent the threat.</t>
  </si>
  <si>
    <t>Information sharing agreements for critical infrastructure</t>
  </si>
  <si>
    <t>Private entities may share information with public entities on critical infrastructure for cyber security, crime investigations, life/property protection, or national security. Information sharing must exclude personal details identifying specific persons not directly related to cyber threats, and requires prior consent for health status information.</t>
  </si>
  <si>
    <t>This section governs information sharing agreements for critical infrastructure, relevant for DTIAs when data transfers involve critical infrastructure systems.</t>
  </si>
  <si>
    <t>• [May] Private entities may enter information sharing agreements with public entities on critical information infrastructure.
• [Must] Agreements must only be for cyber security, crime investigations, life/property protection, or national security.</t>
  </si>
  <si>
    <t>• [Must] Parties must review information to remove personal details identifying specific persons not directly related to cyber threats.
• [Must Not] No sharing of health status information without prior written consent of the person.</t>
  </si>
  <si>
    <t>A private entity may enter into an information sharing agreement with a public entity on critical information infrastructure.</t>
  </si>
  <si>
    <t>Annual compliance reporting for critical information infrastructure audits</t>
  </si>
  <si>
    <t>Critical information infrastructure owners must annually submit compliance reports to the Committee using a critical infrastructure framework. The Director must notify owners of audit dates and contact details before audits. The Director monitors audit effectiveness and may request additional information. Failure to comply with reporting, audits, or providing information constitutes an offence with fines up to KES 200,000 or imprisonment up to five years.</t>
  </si>
  <si>
    <t>Requires annual compliance reporting for critical infrastructure audits, which impacts data transfer assessments by mandating structured reporting mechanisms for infrastructure security.</t>
  </si>
  <si>
    <t>• [Must] Critical information infrastructure owners must annually submit compliance reports to the Committee using a critical infrastructure framework
• [Must] Director must notify owners of audit dates and contact details before audits
• [Must] Director must monitor and report on audit adequacy and effectiveness
• [May] Director may request additional information from owners within a specified period
• [Must Not] Failure to file compliance reports or cooperate with audits constitutes an offence</t>
  </si>
  <si>
    <t>• [Must Not] Failure to provide additional information within specified period constitutes an offence
• [Must Not] Hindering audits or influencing committee members constitutes an offence
• [Must Not] Failure to cooperate with auditors constitutes an offence
• [Must Not] Failure to provide technical assistance to auditors constitutes an offence</t>
  </si>
  <si>
    <t>The owner or person in control of a critical information infrastructure shall annually submit a compliance report on the critical information infrastructure to the Committee in line with a critical infrastructure framework in order to evaluate compliance.</t>
  </si>
  <si>
    <t>Unauthorised computer system access</t>
  </si>
  <si>
    <t>Access Control, Security</t>
  </si>
  <si>
    <t>Unauthorised access to computer systems is prohibited if the person lacks entitlement to control access or consent from entitled persons. Such access with intent to gain entry constitutes an offence with fines up to KES 5 million or imprisonment up to three years. The definition of unauthorised access is broad but immaterial whether the access targets specific programs, data, or systems.</t>
  </si>
  <si>
    <t>Defines unauthorised access as a security breach that impacts data transfer assessments by establishing clear thresholds for when access constitutes a violation.</t>
  </si>
  <si>
    <t>• [Must Not] Access to a computer system is unauthorised if the person lacks entitlement to control access
• [Must Not] Access to a computer system is unauthorised if the person lacks consent from entitled persons</t>
  </si>
  <si>
    <t>• [Must] Unauthorised access with intent to gain entry constitutes an offence
• [Must] Fines up to KES 5 million or imprisonment up to three years for unauthorised access</t>
  </si>
  <si>
    <t>A person who causes, whether temporarily or permanently, a computer system to perform a function, by infringing security measures, with intent to gain access, and knowing such access is unauthorised, commits an offence and is liable on conviction, to a fine not exceeding five million shillings or to imprisonment for a term not exceeding three years, or to both.</t>
  </si>
  <si>
    <t>Access with intent to commit further offences</t>
  </si>
  <si>
    <t>Unauthorised access that is intended to facilitate further offences constitutes a more severe offence with fines up to KES 10 million or imprisonment up to ten years. The definition of 'further offence' is broad but immaterial whether the intended offence occurs simultaneously with the access or later.</t>
  </si>
  <si>
    <t>Increases penalties for data transfers involving malicious intent, relevant for DTIAs assessing risks of intentional data breaches.</t>
  </si>
  <si>
    <t>• [Must] Unauthorised access with intent to commit further offences constitutes an offence</t>
  </si>
  <si>
    <t>• [Must] Fines up to KES 10 million or imprisonment up to ten years for such access</t>
  </si>
  <si>
    <t>A person who commits an offence under section 14 with intent to commit a further offence under any law, or to facilitate the commission of a further offence by that person or any other person, commits an offence and is liable, on conviction, to a fine not exceeding ten million shillings or to imprisonment for a term not exceeding ten years, or to both.</t>
  </si>
  <si>
    <t>Unauthorised interference with computer systems</t>
  </si>
  <si>
    <t>Intentional unauthorised interference with computer systems is prohibited and carries fines up to KES 10 million or imprisonment up to five years. More severe penalties apply if interference causes significant financial loss, threatens national security, causes physical injury, or threatens public health/safety. The definition of interference is broad but immaterial whether it targets specific systems or data.</t>
  </si>
  <si>
    <t>Requires specific safeguards for data transfers involving interference, relevant for DTIAs assessing risks of system disruptions.</t>
  </si>
  <si>
    <t>• [Must Not] Intentional unauthorised interference with computer systems constitutes an offence
• [Must] Fines up to KES 10 million or imprisonment up to five years for unauthorised interference
• [Must] More severe penalties apply if interference causes significant financial loss</t>
  </si>
  <si>
    <t>• [Must] More severe penalties apply if interference threatens national security
• [Must] More severe penalties apply if interference causes physical injury or death
• [Must] More severe penalties apply if interference threatens public health or safety</t>
  </si>
  <si>
    <t>A person who intentionally and without authorisation does any act which causes an unauthorised interference to a computer system, program or data, commits an offence and is liable on conviction, to a fine not exceeding ten million shillings or to imprisonment for a term not exceeding five years, or to both.</t>
  </si>
  <si>
    <t>Unauthorised interception of data transmissions</t>
  </si>
  <si>
    <t>Intentional unauthorised interception of data transmissions over telecommunication systems is prohibited and carries fines up to KES 10 million or imprisonment up to five years. More severe penalties apply if interception causes significant financial loss, threatens national security, causes physical/psychological injury, or threatens public health/safety. The definition of interception is broad but immaterial whether it targets specific systems or data.</t>
  </si>
  <si>
    <t>Requires specific safeguards for data transfers involving interception, relevant for DTIAs assessing risks of data eavesdropping.</t>
  </si>
  <si>
    <t>• [Must Not] Intentional unauthorised interception of data transmissions constitutes an offence
• [Must] Fines up to KES 10 million or imprisonment up to five years for unauthorised interception
• [Must] More severe penalties apply if interception causes significant financial loss</t>
  </si>
  <si>
    <t>• [Must] More severe penalties apply if interception threatens national security
• [Must] More severe penalties apply if interception causes physical or psychological injury or death
• [Must] More severe penalties apply if interception threatens public health or safety</t>
  </si>
  <si>
    <t>A person who intentionally and without authorisation does any act which intercepts or causes to be intercepted, directly or indirectly and causes the transmission of data to or from a computer system over a telecommunication system commits an offence and is liable, on conviction, to a fine not exceeding ten million shillings or to imprisonment for a term not exceeding five years, or to both.</t>
  </si>
  <si>
    <t>Illegal devices and access codes for cybercrime</t>
  </si>
  <si>
    <t>Security, Access Control</t>
  </si>
  <si>
    <t>Manufacturing, selling, or distributing devices, programs, passwords, or access codes designed for cybercrime is prohibited with fines up to KES 20 million or imprisonment up to ten years. Receiving or possessing such tools with intent to use them for cybercrime also constitutes an offence. Exceptions include authorised training, testing, or protection activities and compliance with judicial orders.</t>
  </si>
  <si>
    <t>Addresses tools used in data transfers, relevant for DTIAs assessing risks of malicious tools in data handling processes.</t>
  </si>
  <si>
    <t>• [Must Not] Manufacturing, selling, or distributing cybercrime tools constitutes an offence
• [Must Not] Receiving or possessing cybercrime tools with intent to use them constitutes an offence
• [Must] Fines up to KES 20 million or imprisonment up to ten years for manufacturing tools</t>
  </si>
  <si>
    <t>• [Must] Fines up to KES 10 million or imprisonment up to five years for receiving tools
• [Condition] Exceptions include authorised training, testing, or protection activities
• [Condition] Exceptions include compliance with judicial orders</t>
  </si>
  <si>
    <t>A person who knowingly manufactures, adapts, sells, procures for use, imports, offers to supply, distributes or otherwise makes available a device, program, computer password, access code or similar data designed or adapted primarily for the purpose of committing any offence under this Part, commits an offence and is liable, on conviction, to a fine not exceeding twenty million shillings or to imprisonment for a term not exceeding ten years, or to both.</t>
  </si>
  <si>
    <t>Unauthorised disclosure of computer access credentials</t>
  </si>
  <si>
    <t>Access Control</t>
  </si>
  <si>
    <t>A person commits an offence if they knowingly and without authority disclose a password, access code, or other means to gain access to a computer system. The offence carries a maximum fine of five million shillings or imprisonment for up to three years. If the disclosure causes wrongful gain, unlawful purpose, or loss, the penalty increases to a maximum fine of ten million shillings or imprisonment for up to five years.</t>
  </si>
  <si>
    <t>• [Must] A person who knowingly and without authority discloses any password, access code or other means of gaining access to any program or data held in any computer system commits an offence
• [Must] A person liable on conviction to a fine not exceeding five million shillings or imprisonment for up to three years</t>
  </si>
  <si>
    <t>• [Must] For wrongful gain, unlawful purpose, or loss, liable on conviction to a fine not exceeding ten million shillings or imprisonment for up to five years</t>
  </si>
  <si>
    <t>Unauthorised disclosure of password or access code (1) A person who knowingly and without authority discloses any password, access code or other means of gaining access to any program or data held in any computer system commits an offence and is liable, on conviction, to a fine not exceeding five million shillings or to imprisonment for a term not exceeding three years, or to both.</t>
  </si>
  <si>
    <t>Enhanced penalties for protected computer system offences</t>
  </si>
  <si>
    <t>Offences involving protected computer systems carry enhanced penalties. A person who commits offences under sections 14, 15, 16, or 17 on a protected computer system faces a maximum fine of twenty-five million shillings or imprisonment for up to twenty years. Protected computer systems include critical infrastructure, national security systems, and essential public services.</t>
  </si>
  <si>
    <t>• [Must] Where a person commits any of the offences specified under sections 14, 15, 16 and 17 on a protected computer system, that person shall be liable, on conviction, to a fine not exceeding twenty five million shillings or imprisonment for a term not exceeding twenty years or both
• [Definition] Protected computer system means a computer system used directly in connection with, or necessary for, security, defence or international relations of Kenya</t>
  </si>
  <si>
    <t>• [Definition] Protected computer system includes systems used for critical infrastructure, banking and financial services, payment systems, public utilities, and public transportation</t>
  </si>
  <si>
    <t>Enhanced penalty for offences involving protected computer system (1) Where a person commits any of the offences specified under sections 14, 15, 16 and 17 on a protected computer system, that person shall be liable, on conviction, to a fine not exceeding twenty five million shillings or imprisonment for a term not exceeding twenty years or both.</t>
  </si>
  <si>
    <t>Cyber espionage against Kenya</t>
  </si>
  <si>
    <t>Cyber espionage involves unlawfully accessing or intercepting critical data or national critical information infrastructure with the intent to benefit a foreign state against Kenya. Offenders face up to twenty years imprisonment or a fine of ten million shillings. Possession of data for such purposes also constitutes an offence with similar penalties.</t>
  </si>
  <si>
    <t>• [Must] A person who unlawfully and intentionally performs or authorizes another person to perform a prohibited act to gain access to critical data or national critical information infrastructure for the benefit of a foreign state against Kenya commits an offence
• [Must] A person who unlawfully and intentionally possesses, communicates, delivers or makes available data to benefit a foreign state against Kenya commits an offence</t>
  </si>
  <si>
    <t>• [Must] A person who unlawfully and intentionally accesses or intercepts state-owned exempt information for the benefit of a foreign state against Kenya commits an offence</t>
  </si>
  <si>
    <t>Cyber espionage (1) A person who unlawfully and intentionally performs or authorizes or allows another person to perform a prohibited act envisaged in this Act, in order to— (a) gain access, as provided under section 14, to critical data, a critical database or a national critical information infrastructure; or (b) intercept data, as provided under section 17, to, from or within a critical database or a national critical information infrastructure, with the intention to directly or indirectly benefit a foreign state against the Republic of Kenya, commits an offence and is liable, on conviction, to imprisonment for a period not exceeding twenty years or to a fine not exceeding ten million shillings, or to both.</t>
  </si>
  <si>
    <t>False publications with malicious intent</t>
  </si>
  <si>
    <t>Publishing false, misleading, or fictitious data with intent to be considered authentic constitutes an offence. Offenders face a maximum fine of five million shillings or imprisonment for up to two years. The offence is limited under constitutional freedom of expression when the false information propagates war, incites violence, constitutes hate speech, or negatively affects others' rights or reputations.</t>
  </si>
  <si>
    <t>• [Must] A person who intentionally publishes false, misleading or fictitious data or misinforms with intent that the data shall be considered or acted upon as authentic, with or without financial gain, commits an offence</t>
  </si>
  <si>
    <t>• [Definition] The freedom of expression under Article 33 of the Constitution is limited for intentional publication of false data that propagates war, incites violence, constitutes hate speech, or negatively affects others' rights or reputations</t>
  </si>
  <si>
    <t>False publications (1) A person who intentionally publishes false, misleading or fictitious data or misinforms with intent that the data shall be considered or acted upon as authentic, with or without any financial gain, commits an offence and shall, on conviction, be liable to a fine not exceeding five million shillings or to imprisonment for a term not exceeding two years, or to both.</t>
  </si>
  <si>
    <t>Publication of false information causing public disorder</t>
  </si>
  <si>
    <t>Publishing false information that causes panic, chaos, or violence among citizens or discredits the reputation of a person is an offence. Offenders face a maximum fine of five million shillings or imprisonment for up to ten years.</t>
  </si>
  <si>
    <t>• [Must] A person who knowingly publishes information that is false in print, broadcast, data or over a computer system, that is calculated or results in panic, chaos, or violence among citizens of the Republic, or which is likely to discredit the reputation of any person commits an offence</t>
  </si>
  <si>
    <t>Publication of false information A person who knowingly publishes information that is false in print, broadcast, data or over a computer system, that is calculated or results in panic, chaos, or violence among citizens of the Republic, or which is likely to discredit the reputation of any person commits an offence and shall on conviction, be liable to a fine not exceeding five million shillings or to imprisonment for a term not exceeding ten years, or to both.</t>
  </si>
  <si>
    <t>Child pornography offences</t>
  </si>
  <si>
    <t>Publishing, producing, distributing, or possessing child pornography through computer systems is an offence. Offenders face a maximum fine of twenty million shillings or imprisonment for up to twenty-five years. Child pornography includes visual or audio material depicting children in sexually explicit conduct, with exceptions for works justified as public interest.</t>
  </si>
  <si>
    <t>• [Must] A person who intentionally publishes child pornography through a computer system commits an offence
• [Must] A person who produces child pornography for publication through a computer system commits an offence
• [Must] A person who downloads, distributes, transmits, disseminates, circulates, delivers, exhibits, lends for gain, exchanges, bars, sells or offers for sale child pornography through a computer system commits an offence
• [Must] A person who possesses child pornography in a computer system or on a computer data storage medium commits an offence</t>
  </si>
  <si>
    <t>• [Must] It is a defence if the publication is justified as being for the public good in the interest of science, literature, learning or other objects of general concerns
• [Definition] Child means a person under eighteen years
• [Definition] Child pornography includes data depicting a child engaged in sexually explicit conduct
• [Definition] Child pornography includes data representing a child engaged in sexually explicit conduct</t>
  </si>
  <si>
    <t>Child pornography (1) A person who intentionally— (a) publishes child pornography through a computer system; (b) produces child pornography for the purpose of its publication through a computer system; (c) downloads, distributes, transmits, disseminates, circulates, delivers, exhibits, lends for gain, exchanges, barter, sells or offers for sale, lets on hire or offers to let on hire, offers in another way, or make available in any way from a telecommunications apparatus pornography; or (d) possesses child pornography in a computer system or on a computer data storage medium, commits an offence and is liable, on conviction, to a fine not exceeding twenty million or to imprisonment for a term not exceeding twenty five years, or both.</t>
  </si>
  <si>
    <t>Intentional computer data manipulation for legal purposes</t>
  </si>
  <si>
    <t>This section defines computer forgery as intentionally altering, deleting, or suppressing computer data to create inauthentic data that is treated as genuine for legal purposes. The offender faces fines up to ten million shillings or imprisonment for up to five years. If the act is dishonest or for economic gain, the penalties increase to fines up to twenty million shillings or imprisonment for up to ten years.</t>
  </si>
  <si>
    <t>• [Must] A person who intentionally inputs, alters, deletes, or suppresses computer data resulting in inauthentic data that is considered or acted upon for legal purposes as if authentic commits an offence
• [Must] Offender liable to fine not exceeding ten million shillings or imprisonment for up to five years or both</t>
  </si>
  <si>
    <t>• [Must] Dishonest or similar intent for wrongful gain, wrongful loss to another, or economic benefit results in fines up to twenty million shillings or imprisonment for up to ten years</t>
  </si>
  <si>
    <t>25. Computer forgery (1) A person who intentionally inputs, alters, deletes, or suppresses computer data, resulting in inauthentic data with the intent that it be considered or acted upon for legal purposes as if it were authentic, regardless of whether or not the data is directly readable and intelligible commits an offence and is liable, on conviction, to fine not exceeding ten million shillings or to imprisonment for a term not exceeding five years, or to both.</t>
  </si>
  <si>
    <t>Unlawful computer system access and data manipulation</t>
  </si>
  <si>
    <t>This section defines computer fraud as gaining unlawful access to computer systems, modifying data, or causing harm through unauthorized actions. The offender faces fines up to twenty million shillings or imprisonment for up to ten years. It specifies that 'means' includes unauthorized access, data manipulation, system interference, data transfer, and other actions that facilitate fraud.</t>
  </si>
  <si>
    <t>• [Must] A person who unlawfully gains, occasions unlawful loss to another, or obtains economic benefit through means defined in subsection (2) commits an offence
• [Must] For purposes of subsection (1), 'means' includes unauthorized access to computer systems, programs, or data
• [Must] Means also includes input, alteration, modification, deletion, suppression, or generation of programs or data</t>
  </si>
  <si>
    <t>• [Must] Means includes interference, hindrance, impairment, or obstruction of computer system functioning
• [Must] Means includes copying, transferring, or moving data to other systems or storage media
• [Must] Means includes using data or program output from a computer system in any manner</t>
  </si>
  <si>
    <t>26. Computer fraud (1) A person who, with fraudulent or dishonest intent— (a) unlawfully gains; (b) occasions unlawful loss to another person; or (c) obtains an economic benefit for oneself or for another person, through any of the means described in subsection (2), commits an offence and is liable, on conviction, to a fine not exceeding twenty million shillings or imprisonment for a term not exceeding ten years, or to both.</t>
  </si>
  <si>
    <t>Cyber harassment and protective orders</t>
  </si>
  <si>
    <t>This section addresses cyber harassment by defining conduct that causes apprehension, fear of violence, property damage, or detrimental effects. Offenders face fines up to twenty million shillings or imprisonment for up to ten years. It allows courts to issue restraining orders, provide interim orders, and require service providers to share subscriber information for identification purposes.</t>
  </si>
  <si>
    <t>• [Must] A person who wilfully communicates with another person knowing or ought to know their conduct causes apprehension or fear of violence, property damage, or detrimental effects commits an offence
• [Must] Offender liable to fine not exceeding twenty million shillings or imprisonment for up to ten years
• [Must] Court may issue interim orders to compel refraining from communications</t>
  </si>
  <si>
    <t>• [Must] Court must hear and determine applications within fourteen days
• [Must] Intermediaries may apply for orders on behalf of complainants
• [Must] Court may order service providers to provide subscriber information for identification</t>
  </si>
  <si>
    <t>27. Cyber harassment (1) A person who, individually or with other persons, wilfully communicates, either directly or indirectly, with another person or anyone known to that person commits an offence, if they know or ought to know that their conduct— (a) is likely to cause those persons apprehension or fear of violence to them or damage or loss on that persons' property; or (b) detrimentally affects that person; or (c) is in whole or part, of an indecent or grossly offensive nature and affects the person.</t>
  </si>
  <si>
    <t>Unauthorised domain name registration</t>
  </si>
  <si>
    <t>This section prohibits taking or using another person's name, business name, trademark, domain name, or other words/phrases without authority. Offenders face fines up to two hundred thousand shillings or imprisonment for up to two years.</t>
  </si>
  <si>
    <t>• [Must] A person who intentionally takes or makes use of a name, business name, trademark, domain name or other word or phrase registered, owned or in use by another person on the internet without authority commits an offence</t>
  </si>
  <si>
    <t>• [Must] Offender liable to fine not exceeding two hundred thousand shillings or imprisonment for up to two years</t>
  </si>
  <si>
    <t>28. Cybersquatting A person who, intentionally takes or makes use of a name, business name, trademark, domain name or other word or phrase registered, owned or in use by another person on the internet or any other computer network, without authority or right, commits an offence and is liable on conviction to a fine not exceeding two hundred thousand shillings or imprisonment for a term not exceeding two years or both.</t>
  </si>
  <si>
    <t>Fraudulent use of electronic identifiers</t>
  </si>
  <si>
    <t>This section prohibits fraudulently using another person's electronic signature, password, or unique identification feature. Offenders face fines up to two hundred thousand shillings or imprisonment for up to three years.</t>
  </si>
  <si>
    <t>• [Must] A person who fraudulently or dishonestly makes use of the electronic signature, password or any other unique identification feature of any other person commits an offence</t>
  </si>
  <si>
    <t>• [Must] Offender liable to fine not exceeding two hundred thousand shillings or imprisonment for up to three years</t>
  </si>
  <si>
    <t>29. Identity theft and impersonation A person who fraudulently or dishonestly makes use of the electronic signature, password or any other unique identification feature of any other person commits an offence and is liable, on conviction, to a fine not exceeding two hundred thousand shillings or to imprisonment for a term not exceeding three years or both.</t>
  </si>
  <si>
    <t>Unlawful phishing for personal information</t>
  </si>
  <si>
    <t>This section prohibits creating or operating websites or sending messages to induce users to disclose personal information for unlawful purposes or gain unauthorized access to computer systems. Offenders face fines up to three hundred thousand shillings or imprisonment for up to three years.</t>
  </si>
  <si>
    <t>• [Must] A person who creates or operates a website or sends a message with the intention to induce users to disclose personal information for unlawful purposes or gain unauthorized access to a computer system commits an offence</t>
  </si>
  <si>
    <t>• [Must] Offender liable to fine not exceeding three hundred thousand shillings or imprisonment for up to three years</t>
  </si>
  <si>
    <t>30. Phishing A person who creates or operates a website or sends a message through a computer system with the intention to induce the user of a website or the recipient of the message to disclose personal information for an unlawful purpose or to gain unauthorized access to a computer system, commits an offence and is liable upon conviction to a fine not exceeding three hundred thousand shillings or to imprisonment for a term not exceeding three years or both.</t>
  </si>
  <si>
    <t>Unlawful destruction or abortion of electronic messages and money transfers</t>
  </si>
  <si>
    <t>This section prohibits the unlawful destruction or abortion of electronic messages or money transfers. Offenders face fines up to 200,000 Kenyan shillings or imprisonment up to seven years. The offence applies to any person who intentionally interferes with electronic communications carrying financial or information content.</t>
  </si>
  <si>
    <t>• [Must Not] A person who unlawfully destroys or aborts any electronic mail or processes through which money or information is being conveyed commits an offence
• [Must] Offenders are liable on conviction to a fine not exceeding two hundred thousand shillings</t>
  </si>
  <si>
    <t>• [Must] Offenders are liable on conviction to imprisonment not exceeding seven years</t>
  </si>
  <si>
    <t>31. Interception of electronic messages or money transfers A person who unlawfully destroys or aborts any electronic mail or processes through which money or information is being conveyed commits an offence and is liable on conviction to a fine not exceeding two hundred thousand shillings or to a term of imprisonment not exceeding seven years or to both.</t>
  </si>
  <si>
    <t>Willful misdirection of electronic messages</t>
  </si>
  <si>
    <t>Data Storage, Cross-border Transfer</t>
  </si>
  <si>
    <t>This section prohibits willful misdirection of electronic messages. Offenders face fines up to 100,000 Kenyan shillings or imprisonment up to two years. The offence applies to anyone who intentionally redirects electronic communications without authorization.</t>
  </si>
  <si>
    <t>• [Must Not] A person who willfully misdirects electronic messages commits an offence
• [Must] Offenders are liable on conviction to a fine not exceeding one hundred thousand shillings</t>
  </si>
  <si>
    <t>• [Must] Offenders are liable on conviction to imprisonment for a term not exceeding two years</t>
  </si>
  <si>
    <t>32. Willful misdirection of electronic messages A person who willfully misdirects electronic messages commits an offence and is liable on conviction to a fine not exceeding one hundred thousand shillings or to imprisonment for a term not exceeding two years or to both.</t>
  </si>
  <si>
    <t>Cyber terrorism involving computer systems</t>
  </si>
  <si>
    <t>This section criminalizes accessing computer systems for terrorist purposes. Offenders face fines up to 5 million Kenyan shillings or imprisonment up to ten years. The term 'terrorist act' is defined under the Prevention of Terrorism Act (Cap. 59B).</t>
  </si>
  <si>
    <t>• [Must Not] A person who accesses or causes to be accessed a computer or computer system or network for purposes of carrying out a terrorist act commits an offence
• [Must] Offenders are liable on conviction to a fine not exceeding five million shillings</t>
  </si>
  <si>
    <t>• [Must] Offenders are liable on conviction to imprisonment for a term not exceeding ten years
• [Definition] For the purpose of this section, 'terrorist act' shall have the same meaning as assigned under the Prevention of Terrorism Act (Cap. 59B)</t>
  </si>
  <si>
    <t>33. Cyber terrorism (1) A person who accesses or causes to be accessed a computer or computer system or network for purposes of carrying out a terrorist act, commits an offence and shall on conviction, be liable to a fine not exceeding five million shillings or to imprisonment for a term not exceeding ten years, or to both. (2) For the purpose of this section, "terrorist act" shall have the same meaning as assigned under the Prevention of Terrorism Act (Cap. 59B).</t>
  </si>
  <si>
    <t>Inducing delivery of electronic messages</t>
  </si>
  <si>
    <t>This section prohibits inducing someone to deliver electronic messages not intended for them. Offenders face fines up to 200,000 Kenyan shillings or imprisonment up to two years. The offence applies to anyone who deliberately causes electronic messages to be delivered to unintended recipients.</t>
  </si>
  <si>
    <t>• [Must Not] A person who induces any person in charge of electronic devices to deliver any electronic messages not specifically meant for him commits an offence
• [Must] Offenders are liable on conviction to a fine not exceeding two hundred thousand shillings</t>
  </si>
  <si>
    <t>34. Inducement to deliver electronic message A person who induces any person in charge of electronic devices to deliver any electronic messages not specifically meant for him commits an offence and is liable on conviction to a fine not exceeding two hundred thousand shillings or imprisonment for a term not exceeding two years or to both.</t>
  </si>
  <si>
    <t>Intentionally withholding erroneously delivered messages</t>
  </si>
  <si>
    <t>This section prohibits intentionally hiding or detaining electronic messages delivered in error. Offenders face fines up to 200,000 Kenyan shillings or imprisonment up to two years. The offence applies to anyone who knowingly retains messages intended for others but mistakenly received.</t>
  </si>
  <si>
    <t>• [Must Not] A person who intentionally hides or detains any electronic mail, message, electronic payment, credit and debit card which was found by the person or delivered to the person in error and which ought to be delivered to another person commits an offence
• [Must] Offenders are liable on conviction to a fine not exceeding two hundred thousand shillings</t>
  </si>
  <si>
    <t>35. Intentionally withholding message delivered erroneously A person who intentionally hides or detains any electronic mail, message, electronic payment, credit and debit card which was found by the person or delivered to the person in error and which ought to be delivered to another person, commits an offence and is liable on conviction a fine not exceeding two hundred thousand shillings or imprisonment for a term not exceeding two years or to both.</t>
  </si>
  <si>
    <t>Unlawful destruction of electronic messages</t>
  </si>
  <si>
    <t>This section prohibits unlawful destruction or abortion of electronic messages or money transfers. Offenders face fines up to 200,000 Kenyan shillings or imprisonment up to two years. The offence applies to anyone who intentionally destroys electronic communications carrying financial or information content.</t>
  </si>
  <si>
    <t>36. Unlawful destruction of electronic messages A person who unlawfully destroys or aborts any electronic mail or processes through which money or information is being conveyed commits an offence and is liable on conviction to a fine not exceeding two hundred thousand shillings or imprisonment for a term not exceeding two years, or to both.</t>
  </si>
  <si>
    <t>Wrongful distribution of intimate or obscene images</t>
  </si>
  <si>
    <t>Cross-border Transfer, Data Sharing, Third Party Processing</t>
  </si>
  <si>
    <t>A person who transfers, publishes, or disseminates intimate or obscene images of another person commits an offence. They face a fine up to 200,000 shillings or imprisonment for up to two years, or both penalties.</t>
  </si>
  <si>
    <t>• [Must Not] A person who transfers, publishes, or disseminates intimate or obscene images of another person commits an offence</t>
  </si>
  <si>
    <t>A person who transfers, publishes, or disseminates, including making a digital depiction available for distribution or downloading through a telecommunications network or though any other means of transferring data to a computer, the intimate or obscene image of another person commits an offence and is liable, on conviction to a fine not exceeding two hundred thousand shillings or imprisonment for a term not exceeding two years, or to both.</t>
  </si>
  <si>
    <t>Fraudulent use of electronic data</t>
  </si>
  <si>
    <t>Data Storage, Data Sharing, Third Party Processing, Financial Data</t>
  </si>
  <si>
    <t>A person who knowingly alters, erases, inputs, or suppresses data stored in a computer without authority causes property loss and commits an offence. They face a fine up to 200,000 shillings or imprisonment for up to two years, or both. Similarly, sending materially misleading electronic messages that cause damage or loss, or manipulating electronic payments to short or overpay, also constitutes offences with similar penalties.</t>
  </si>
  <si>
    <t>• [Must Not] A person who knowingly and without authority causes any loss of property to another by altering, erasing, inputting or suppressing any data stored in a computer commits an offence
• [Must Not] A person who sends an electronic message which materially misrepresents any fact upon which reliance by another person is caused to suffer any damage or loss commits an offence</t>
  </si>
  <si>
    <t>• [Must Not] A person who with intent to defraud, franks electronic messages, instructions, subscribes any electronic messages or instructions commits an offence
• [Must Not] A person who manipulates a computer or other electronic payment device with the intent to short pay or overpay commits an offence</t>
  </si>
  <si>
    <t>A person who knowingly and without authority causes any loss of property to another by altering, erasing, inputting or suppressing any data stored in a computer, commits an offence and is liable on conviction to a fine not exceeding two hundred thousand shillings or imprisonment for a term not exceeding two years, or to both.</t>
  </si>
  <si>
    <t>Issuance of false e-instructions</t>
  </si>
  <si>
    <t>Financial Data, Data Sharing, Third Party Processing</t>
  </si>
  <si>
    <t>An employee authorized to use computers for financial transactions who issues false electronic instructions for debit, credit, or fund transfers commits an offence. They face a fine up to 200,000 shillings or imprisonment for up to two years, or both.</t>
  </si>
  <si>
    <t>• [Must Not] A person authorized to use a computer or other electronic devices for financial transactions including posting of debit and credit transactions, issuance of electronic instructions as they relate to sending of electronic debit and credit messages or confirmation of electronic fund transfer, issues false electronic instructions commits an offence</t>
  </si>
  <si>
    <t>A person authorized to use a computer or other electronic devices for financial transactions including posting of debit and credit transactions, issuance of electronic instructions as they relate to sending of electronic debit and credit messages or confirmation of electronic fund transfer, issues false electronic instructions, commits an offence and is liable, on conviction, a fine not exceeding two hundred thousand shillings or imprisonment for a term not exceeding two years, or to both.</t>
  </si>
  <si>
    <t>Reporting of cyber threats</t>
  </si>
  <si>
    <t>Incident Reporting, Breach Notification, Data Sharing</t>
  </si>
  <si>
    <t>Computer system operators must report cyber attacks, intrusions, or disruptions to the Committee within 24 hours. Reports must include breach details, affected individuals, risk assessment, and delays in informing affected persons. The Committee may isolate systems under suspicion of attacks. Non-compliance results in fines up to 200,000 shillings or imprisonment for up to two years.</t>
  </si>
  <si>
    <t>Requires timely reporting of cyber incidents to regulators, which impacts data breach response and cross-border incident coordination.</t>
  </si>
  <si>
    <t>• [Must] A person who operates a computer system or a computer network shall immediately inform the Committee of any attacks, intrusions and other disruptions to the functioning of another computer system or network within twenty four hours of such attack, intrusion or disruption
• [Must] A report made under subsection (1) shall include information about the breach, including a summary of how the breach occurred
• [Must] A report made under subsection (1) shall include an estimate of the number of people affected by the breach</t>
  </si>
  <si>
    <t>• [Must] A report made under subsection (1) shall include an assessment of the risk of harm to the affected individuals
• [Must] A report made under subsection (1) shall include an explanation of any circumstances that would delay or prevent the affected persons from being informed of the breach
• [Condition] The Committee may propose the isolation of any computer systems or network suspected to have been attacked or disrupted pending the resolution of the issues</t>
  </si>
  <si>
    <t>(1) A person who operates a computer system or a computer network, whether public or private, shall immediately inform the Committee of any attacks, intrusions and other disruptions to the functioning of another computer system or network within twenty four hours of such attack, intrusion or disruption.</t>
  </si>
  <si>
    <t>Employee responsibility to relinquish access codes</t>
  </si>
  <si>
    <t>Employees must relinquish all access codes and rights to their employer's computer network immediately upon termination of employment, unless a contractual agreement specifies otherwise. Non-compliance results in fines up to 200,000 shillings or imprisonment for up to two years.</t>
  </si>
  <si>
    <t>• [Must] An employee shall, subject to any contractual agreement between the employer and the employee, relinquish all codes and access rights to their employer's computer network or system immediately upon termination of employment</t>
  </si>
  <si>
    <t>An employee shall, subject to any contractual agreement between the employer and the employee, relinquish all codes and access rights to their employer's computer network or system immediately upon termination of employment.</t>
  </si>
  <si>
    <t>Aiding or abetting in commission of offences</t>
  </si>
  <si>
    <t>Third Party Processing, Data Sharing</t>
  </si>
  <si>
    <t>A person who knowingly aids or abets any offence under this Act commits an offence. They face a fine up to 7 million shillings or imprisonment for up to four years, or both. Similarly, attempting to commit an offence or taking preparatory acts in furtherance of an offence also constitutes an offence with similar penalties.</t>
  </si>
  <si>
    <t>• [Must Not] A person who knowingly and willfully aids or abets the commission of any offence under this Act commits an offence</t>
  </si>
  <si>
    <t>• [Must Not] A person who knowingly and willfully attempts to commit an offence or does any act preparatory to or in furtherance of the commission of any offence under this Act commits an offence</t>
  </si>
  <si>
    <t>A person who knowingly and willfully aids or abets the commission of any offence under this Act commits an offence and is liable, on conviction, to a fine not exceeding seven million shillings or to imprisonment for a term not exceeding four years, or to both.</t>
  </si>
  <si>
    <t>Corporate liability for cyber offences and principal officer responsibilities</t>
  </si>
  <si>
    <t>A body corporate is liable to a fine up to fifty million shillings if convicted of a cyber offence. Principal officers or those acting similarly are deemed to have committed the offence unless they prove they acted without consent/knowledge and exercised sufficient diligence to prevent it, facing fines up to five million shillings or imprisonment for up to three years.</t>
  </si>
  <si>
    <t>• [Must] Body corporate liable to fine not exceeding fifty million shillings on conviction for cyber offence
• [Must Not] Principal officers or similar acting persons deemed to have committed offence unless they prove lack of consent/knowledge and sufficient diligence</t>
  </si>
  <si>
    <t>• [Must] Principal officers liable to fine up to five million shillings or imprisonment up to three years on conviction</t>
  </si>
  <si>
    <t>Where any offence under this Act has been committed by a body corporate– (a) the body corporate is liable, on conviction, to a fine not exceeding fifty million shillings; and (b) every person who at the time of the commission of the offence was a principal officer of the body corporate, or anyone acting in a similar capacity, is also deemed to have committed the offence, unless they prove that the offence was committed without their consent or knowledge and that they exercised such diligence to prevent the commission of the offence as they ought to have exercised having regard to the nature of their functions and to prevailing circumstances, and is liable, on conviction, to a fine not exceeding five million shillings or imprisonment for a term not exceeding three years, or to both.</t>
  </si>
  <si>
    <t>Confiscation of assets derived from cyber offences</t>
  </si>
  <si>
    <t>Courts can order confiscation or forfeiture of assets acquired using proceeds from cyber offences. Courts may also order restitution of assets gained from such offences in accordance with the Proceeds of Crime and Anti-Money Laundering Act.</t>
  </si>
  <si>
    <t>• [Must] Court may order confiscation or forfeiture of monies, proceeds, properties and assets purchased or obtained by a person with proceeds derived from or in the commission of an offence</t>
  </si>
  <si>
    <t>• [Must] Court may order restitution of assets gained from commission of offence in accordance with Proceeds of Crime and Anti-Money Laundering Act</t>
  </si>
  <si>
    <t>A court may order the confiscation or forfeiture of monies, proceeds, properties and assets purchased or obtained by a person with proceeds derived from or in the commission of an offence under this Act.</t>
  </si>
  <si>
    <t>Compensation orders for cyber offence victims</t>
  </si>
  <si>
    <t>Courts may order compensation payments to victims of cyber offences for resultant losses. Claims for damages are deemed satisfied to the extent of compensation paid, but civil remedies beyond compensation remain unaffected. Compensation orders are recoverable as civil debts.</t>
  </si>
  <si>
    <t>• [Must] Court may make order for payment of compensation to any person for resultant loss caused by cyber offence
• [Must] Claims for damages are deemed satisfied to the extent of compensation paid</t>
  </si>
  <si>
    <t>• [Must] Compensation order is recoverable as a civil debt</t>
  </si>
  <si>
    <t>Where the court convicts a person for any offence under this Part, or for an offence under any other law committed through the use of a computer system, the court may make an order for the payment by that person of a sum to be fixed by the court as compensation to any person for any resultant loss caused by the commission of the offence for which the sentence is passed.</t>
  </si>
  <si>
    <t>Additional penalties for computer system offences</t>
  </si>
  <si>
    <t>Offences committed through computer systems may incur penalties similar to other laws. Courts must consider the impact of computer use on the offence, commercial advantage, financial gain, breach of trust, number of victims, and other relevant factors when sentencing.</t>
  </si>
  <si>
    <t>• [Must] Person committing offence through computer system liable to penalty similar to that provided under other law
• [Must] Court must consider manner in which computer use enhanced offence impact
• [Must] Court must consider whether offence resulted in commercial advantage or financial gain</t>
  </si>
  <si>
    <t>• [Must] Court must consider value involved in consequential loss or damage or profit gained
• [Must] Court must consider breach of trust or responsibility
• [Must] Court must consider number of victims or persons affected by offence</t>
  </si>
  <si>
    <t>A person who commits an offence under any other law through the use of a computer system commits an offence and shall be liable on conviction to a penalty similar to the penalty provided under that law.</t>
  </si>
  <si>
    <t>Applicability of procedural provisions to cyber offences</t>
  </si>
  <si>
    <t>Procedural powers under this Act apply to cyber offences, other criminal offences using computer systems, and electronic evidence collection. Electronic evidence generated during investigations remains admissible regardless of its digital origin.</t>
  </si>
  <si>
    <t>• [Must] All powers and procedures under this Act applicable to cyber offences
• [Must] All powers and procedures applicable to other criminal offences committed via computer systems</t>
  </si>
  <si>
    <t>• [Must] All powers and procedures applicable to collection of electronic evidence in criminal investigations
• [Must] Electronic evidence generated during investigations remains admissible regardless of digital origin</t>
  </si>
  <si>
    <t>All powers and procedures under this Act are applicable to and may be exercised with respect to any — (a) criminal offences provided under this Act; (b) other criminal offences committed by means of a computer system established under any other law; and (c) the collection of evidence in electronic form of a criminal offence under this Act or any other law.</t>
  </si>
  <si>
    <t>Search and seizure of computer data for investigations</t>
  </si>
  <si>
    <t>Police may apply for warrants to search computer systems for evidence related to cyber offences. Warrants specify who may access data, where searches occur, and who may be searched. Obstructing, compromising integrity, or misusing these powers constitutes an offence.</t>
  </si>
  <si>
    <t>• [Must] Police or authorized person may apply for warrant to enter premises to access, search and seize computer data for criminal investigation
• [Must] Warrant must identify police officer or authorized person
• [Must] Warrant must direct police to seize data in question
• [Must] Warrant may direct police to search persons identified in warrant
• [Must] Warrant may direct police to enter and search premises identified in warrant
• [Must] Warrant may direct police to search persons found on or at premises</t>
  </si>
  <si>
    <t>• [Must] Warrant valid until executed or cancelled by issuing court
• [Must] Police must present warrant copy to person against whom it is issued
• [Must] Obstructing lawful exercise of powers constitutes an offence
• [Must] Compromising integrity or confidentiality of computer system constitutes an offence
• [Must] Misusing powers granted under this section constitutes an offence</t>
  </si>
  <si>
    <t>Where a police officer or an authorised person has reasonable grounds to believe that there may be in a specified computer system or part of it, computer data storage medium, program, data that— (a) is reasonably required for the purpose of a criminal investigation or criminal proceedings which may be material as evidence; or (b) has been acquired by a person as a result of the commission of an offence, the police officer or the authorised person may apply to the court for issue of a warrant to enter any premises to access, search and similarly seize such data.</t>
  </si>
  <si>
    <t>Seized data access and record-keeping for law enforcement</t>
  </si>
  <si>
    <t>Record Keeping, Access Control</t>
  </si>
  <si>
    <t>Police officer or authorised person</t>
  </si>
  <si>
    <t>After a search or seizure under section 48, the searcher must create a list of seized data with seizure date and provide it to the premises occupier or system controller. Law enforcement may permit access to seized data for specified individuals under certain conditions, but can refuse access if it risks criminal activity or undermines investigations. Courts may override refusal to allow access for qualified individuals.</t>
  </si>
  <si>
    <t>Requires law enforcement to maintain records of seized data and permits access under strict conditions, relevant for assessing data access during investigations involving cross-border data transfers.</t>
  </si>
  <si>
    <t>• [Must] Make a list of seized data with seizure date and provide to premises occupier or system controller
• [May] Law enforcement may permit access to seized data for individuals with custody or control of the system</t>
  </si>
  <si>
    <t>• [Must Not] Law enforcement may refuse access if it risks criminal activity or undermines investigations
• [Condition] Court may allow access for qualified individuals despite refusal by law enforcement</t>
  </si>
  <si>
    <t>Where a computer system or data has been removed or rendered inaccessible, following a search or a seizure under section 48, the person who made the search shall, at the time of the search or as soon as practicable after the search—(a) make a list of what has been seized or rendered inaccessible, and shall specify the date and time of seizure; and (b) provide a copy of the list to the occupier of the premises or the person in control of the computer system referred to under paragraph (a).</t>
  </si>
  <si>
    <t>Court-ordered data production for investigations</t>
  </si>
  <si>
    <t>Law enforcement may request court orders to compel specified persons or service providers to submit computer data or subscriber information necessary for investigations. The court directs the submission of data held by the person or service provider within their control, ensuring data is relevant to the investigation.</t>
  </si>
  <si>
    <t>Provides a mechanism for law enforcement to obtain data from service providers for investigations, relevant for assessing data access and transfer during cross-border investigations.</t>
  </si>
  <si>
    <t>• [May] Law enforcement may apply to court for order to compel data submission from persons or service providers
• [Must] Court directs specified person to submit computer data in their possession or control</t>
  </si>
  <si>
    <t>• [Must] Court directs service provider to submit subscriber information in their possession or control</t>
  </si>
  <si>
    <t>Where a police officer or an authorised person has reasonable grounds to believe that specified data stored in a computer system or a computer data storage medium is in the possession or control of a person in its territory; and specified subscriber information relating to services offered by a service provider in Kenya are in that service provider's possession or control and is necessary or desirable for the purposes of the investigation, the police officer or the authorised person may apply to court for an order.</t>
  </si>
  <si>
    <t>Expedited traffic data preservation for investigations</t>
  </si>
  <si>
    <t>Law enforcement must issue notices requiring expeditious preservation of traffic data or partial disclosure to identify service providers when data is at risk of modification or loss. Preserved data must be maintained for up to thirty days, with possible extensions if the court deems preservation necessary for investigations without excessive cost.</t>
  </si>
  <si>
    <t>Requires immediate preservation of traffic data during investigations, relevant for assessing data retention and transfer risks in cross-border communications.</t>
  </si>
  <si>
    <t>• [Must] Law enforcement must issue notice requiring expeditious preservation of traffic data or partial disclosure to identify service providers
• [Must] Preserved data must be maintained for up to thirty days</t>
  </si>
  <si>
    <t>• [Condition] Court may extend preservation period if necessary for investigations without excessive cost</t>
  </si>
  <si>
    <t>Where a police officer or an authorised person has reasonable grounds to believe that any specified traffic data stored in any computer system or computer data storage medium or by means of a computer system is reasonably required for the purposes of a criminal investigation; and there is a risk or vulnerability that the traffic data may be modified, lost, destroyed or rendered inaccessible, the police officer or an authorised person shall serve a notice on the person who is in possession or control of the computer system, requiring the person to—(i) undertake expeditious preservation of such available traffic data regardless of whether one or more service providers were involved in the transmission of that communication; or (ii) disclose sufficient traffic data concerning any communication in order to identify the service providers and the path through which communication was transmitted.</t>
  </si>
  <si>
    <t>Real-time traffic data collection for investigations</t>
  </si>
  <si>
    <t>Law enforcement may request court orders to collect traffic data in real-time from service providers for specific investigations. The court requires detailed explanations on data types, users, offenses, and privacy measures before issuing orders. Real-time collection is limited to six months, with possible extensions if necessary for investigations without excessive cost.</t>
  </si>
  <si>
    <t>Allows real-time data collection for investigations, relevant for assessing data transfer timing and privacy during cross-border investigations.</t>
  </si>
  <si>
    <t>• [May] Law enforcement may apply to court for real-time traffic data collection order
• [Must] Court requires detailed explanations on data types, users, offenses, and privacy measures</t>
  </si>
  <si>
    <t>• [Must] Real-time collection limited to six months
• [Condition] Court may extend order if necessary for investigations without excessive cost</t>
  </si>
  <si>
    <t>Where a police officer or an authorised person has reasonable grounds to believe that traffic data associated with specified communications and related to the person under investigation is required for the purposes of a specific criminal investigation, the police officer or authorised person may apply to the court for an order to—(a) permit the police officer or authorised person to collect or record through the application of technical means traffic data, in real-time; (b) compel a service provider, within its existing technical capability—(i) to collect or record through application of technical means traffic data in real time; or (ii) to cooperate and assist a police officer or an authorised person in the collection or recording of traffic data, in real-time, associated with specified communications in its jurisdiction transmitted by means of a computer system.</t>
  </si>
  <si>
    <t>Real-time content data interception for investigations</t>
  </si>
  <si>
    <t>Law enforcement may request court orders to intercept content data in real-time for specific investigations. The court requires detailed explanations on content data types, offenses, and privacy measures before issuing orders. Real-time collection is limited to nine months, with possible extensions if necessary for investigations without excessive cost.</t>
  </si>
  <si>
    <t>Allows real-time content data interception for investigations, relevant for assessing data transfer timing and privacy during cross-border communications.</t>
  </si>
  <si>
    <t>• [May] Law enforcement may apply to court for real-time content data interception order
• [Must] Court requires detailed explanations on content data types, offenses, and privacy measures</t>
  </si>
  <si>
    <t>• [Must] Real-time collection limited to nine months
• [Condition] Court may extend order if necessary for investigations without excessive cost</t>
  </si>
  <si>
    <t>Where a police officer or an authorised person has reasonable grounds to believe that the content of any specifically identified electronic communications is required for the purposes of a specific investigation in respect of an offence, the police officer or authorised person may apply to the court for an order to—(a) permit the police officer or authorised person to collect or record through the application of technical means; (b) compel a service provider, within its existing technical capability—(i) to collect or record through the application of technical means; or (ii) to co-operate and assist the competent authorities in the collection or recording of, content data, in real-time, of specified communications within the jurisdiction transmitted by means of a computer system.</t>
  </si>
  <si>
    <t>Penalties for obstruction and misuse of law enforcement powers</t>
  </si>
  <si>
    <t>Persons obstructing lawful exercise of powers or failing to comply with requirements face fines up to five million shillings or imprisonment for three years. Police officers misusing powers also face similar penalties.</t>
  </si>
  <si>
    <t>Sets penalties for obstruction and misuse of law enforcement powers, relevant for assessing compliance with data transfer regulations.</t>
  </si>
  <si>
    <t>• [Must Not] Obstruction of lawful exercise of powers or failure to comply with requirements is punishable by fine up to five million shillings or imprisonment for three years</t>
  </si>
  <si>
    <t>• [Must Not] Misuse of powers by police officers is punishable by fine up to five million shillings or imprisonment for three years</t>
  </si>
  <si>
    <t>A person who obstructs the lawful exercise of the powers under this Part, including destruction of data, or fails to comply with the requirements of this Part is liable, on conviction, to a fine not exceeding five million shillings or to imprisonment for a term not exceeding three years, or to both.</t>
  </si>
  <si>
    <t>Appeal rights for court decisions</t>
  </si>
  <si>
    <t>Any individual affected by a court decision under this Part can appeal to the High Court or Court of Appeal within thirty days of the decision. The appeal must be filed within this timeframe to be valid. This section establishes the procedural mechanism for challenging court rulings related to cybercrime matters.</t>
  </si>
  <si>
    <t>• [Must] Any person aggrieved by a court decision may appeal to the High Court or Court of Appeal within thirty days</t>
  </si>
  <si>
    <t>Any person aggrieved by any decision or order of the Court made under this Part, may appeal to the High Court or Court of Appeal as the case may be within thirty days from the date of the decision or order.</t>
  </si>
  <si>
    <t>Service provider liability exemptions</t>
  </si>
  <si>
    <t>Service providers are exempt from civil or criminal liability if they lack actual notice, knowledge, or willful intent regarding contraventions. They also cannot be held liable for service provision or data disclosures made in compliance with this Act or legal powers. This section defines when service providers are protected from liability.</t>
  </si>
  <si>
    <t>• [Must Not] Service provider not liable unless established to have actual notice, knowledge, or willful intent
• [Must Not] Service provider not liable for maintaining and making available their service</t>
  </si>
  <si>
    <t>• [Must Not] Service provider not liable for data disclosures made only as required by this Act or compliance with powers</t>
  </si>
  <si>
    <t>A service provider shall not be subject to any civil or criminal liability, unless it is established that the service provider had actual notice, actual knowledge, or willful and malicious intent, and not merely through omission or failure to act, had thereby facilitated, aided or abetted the use by any person of any computer system controlled or managed by a service provider in connection with a contravention of this Act or any other written law.</t>
  </si>
  <si>
    <t>International legal cooperation principles</t>
  </si>
  <si>
    <t>Central Authority</t>
  </si>
  <si>
    <t>This section outlines procedures for mutual legal assistance between Kenya and foreign states in cybercrime investigations. It specifies that requests for cooperation can be made for investigations, evidence collection, or traffic data preservation. The Central Authority may grant or refuse requests while ensuring confidentiality and specific usage conditions for the data shared.</t>
  </si>
  <si>
    <t>This section establishes international data transfer mechanisms for law enforcement cooperation, requiring that data shared for investigations be used solely for the specified criminal matter and kept confidential.</t>
  </si>
  <si>
    <t>• [Condition] Mutual legal assistance requests apply in addition to Mutual Legal Assistance Act and Extradition Act
• [Must] Requests for mutual legal assistance may be made for investigations, evidence collection, or traffic data preservation
• [Must] Central Authority may grant or refuse legal assistance requests</t>
  </si>
  <si>
    <t>• [Must] Requested State must keep information confidential
• [Must] Requested State must use information only for the specified criminal matter</t>
  </si>
  <si>
    <t>The Central Authority may make a request for mutual legal assistance in any criminal matter to a requested State for purposes of— (a) undertaking investigations or proceedings concerning offences related to computer systems, electronic communications or data; (b) collecting evidence of an offence in electronic form; or (c) obtaining expeditious preservation and disclosure of traffic data, real-time collection of traffic data associated with specified communications or interception of content data or any other means, power, function or provisions under this Act.</t>
  </si>
  <si>
    <t>58</t>
  </si>
  <si>
    <t>Spontaneous information sharing with foreign states</t>
  </si>
  <si>
    <t>The Central Authority can share information with foreign states without prior request if it believes the disclosure will assist in criminal investigations or lead to cooperation requests. The information may be kept confidential or subject to specific conditions, and the foreign state must notify the Central Authority if it cannot comply with these conditions.</t>
  </si>
  <si>
    <t>This section allows for spontaneous sharing of information across borders for law enforcement purposes, with conditions to ensure confidentiality and specific use of data.</t>
  </si>
  <si>
    <t>• [Must] Central Authority may forward information to foreign states without prior request
• [Must] Central Authority may request information be kept confidential or subject to conditions</t>
  </si>
  <si>
    <t>• [Must] Foreign state must notify Central Authority if unable to comply with specified conditions</t>
  </si>
  <si>
    <t>The Central Authority may, subject to this Act and other relevant law, without prior request, forward to a foreign State information obtained within the framework of its own investigations when it considers that the disclosure of such information might assist the foreign State in initiating or carrying out investigations or proceedings concerning criminal offences or might lead to a request for co-operation by the foreign State under this Act.</t>
  </si>
  <si>
    <t>59</t>
  </si>
  <si>
    <t>Expedited preservation of computer data</t>
  </si>
  <si>
    <t>A foreign state may request the Central Authority to preserve computer data within Kenya for criminal investigations. The request must specify the authority, offence details, data to preserve, custodian information, necessity, and intent to seek further assistance. Preserved data remains for at least 120 days to allow the foreign state to submit additional requests.</t>
  </si>
  <si>
    <t>This section enables expedited data preservation across borders for law enforcement, with strict requirements for data preservation duration and purpose.</t>
  </si>
  <si>
    <t>• [Must] Requesting State may request expedited preservation of computer data within Kenya
• [Must] Request must specify authority, offence, data to preserve, custodian information, necessity, and intent for further assistance</t>
  </si>
  <si>
    <t>• [Must] Preserved data remains for at least 120 days</t>
  </si>
  <si>
    <t>Subject to section 57, a requesting State which has the intention to make a request for mutual legal assistance for the search or similar access, seizure or similar securing or the disclosure of data, may request the Central Authority to obtain the expeditious preservation of data stored by means of a computer system, located within the territory of Kenya.</t>
  </si>
  <si>
    <t>Expedited disclosure of traffic data</t>
  </si>
  <si>
    <t>When a foreign state is involved in a communication, the Central Authority may quickly disclose traffic data to identify the service provider and transmission path. This facilitates cross-border investigations by providing necessary technical information without delay.</t>
  </si>
  <si>
    <t>This section enables rapid disclosure of traffic data across borders to identify service providers involved in communications, supporting international law enforcement cooperation.</t>
  </si>
  <si>
    <t>• [Must] Central Authority discloses traffic data to identify service provider and transmission path</t>
  </si>
  <si>
    <t>Where during the course of executing a request under section 57 with respect to a specified communication, the investigating agency discovers that a service provider in another State was involved in the transmission of the communication, the Central Authority shall expeditiously disclose to the requesting State a sufficient amount of traffic data to identify that service provider and the path through which the communication was transmitted.</t>
  </si>
  <si>
    <t>Cross-border access to computer data via mutual assistance</t>
  </si>
  <si>
    <t>A requesting State can request Kenya's Central Authority to search, seize, or disclose computer data stored within Kenya, including data preserved under section 60. The request must include specific details about the criminal matter, purpose, relevant facts, and requested actions. The Central Authority must obtain necessary authorisation, including warrants, before executing the request. The Central Authority may then seek cooperation from the requesting State during the search and seizure.</t>
  </si>
  <si>
    <t>Requires specific information to be provided by a requesting State for cross-border data access, including criminal context and data details. The Central Authority must obtain authorisation before executing the request, creating a framework for international data sharing with safeguards.</t>
  </si>
  <si>
    <t>• [Must] Requesting State must provide name of authority conducting investigation
• [Must] Requesting State must describe nature of criminal matter and relevant facts
• [Must] Requesting State must state purpose of request and type of assistance sought
• [Must] Requesting State must provide details of offence, investigation, and relevant orders for asset restraint
• [Must] Requesting State must specify procedures for the requested State to follow
• [Must] Requesting State must include confidentiality wishes and reasons
• [Must] Requesting State must state period within which request must be complied with
• [Must] Requesting State must provide details of property, computer, or electronic device to be traced</t>
  </si>
  <si>
    <t>• [Must] Requesting State must specify stored computer data and its relationship to the offence
• [Must] Requesting State must provide custodian details or location of computer system
• [Must] Requesting State must include agreement on payment of damages or costs
• [Must] Requesting State must provide any other information assisting request execution
• [Must] Central Authority must obtain necessary authorisation including warrants
• [May] Central Authority may seek support and cooperation from requesting State
• [Must] Central Authority must provide search and seizure results to requesting State</t>
  </si>
  <si>
    <t>Mutual assistance regarding accessing of stored computer data (1) Subject to section 57, a requesting State may request the Central Authority to search or similarly access, seize or similarly secure, and disclose data stored by means of a computer system located within the territory of Kenya, including data that has been preserved in accordance with section 60.</t>
  </si>
  <si>
    <t>Cross-border access to publicly available computer data</t>
  </si>
  <si>
    <t>Police officer or authorized person</t>
  </si>
  <si>
    <t>Police officers or authorized persons may access publicly available computer data located anywhere globally without restriction. They may also access computer data in another territory if the person with lawful authority to disclose the data provides lawful and voluntary consent through a computer system in Kenya.</t>
  </si>
  <si>
    <t>Allows cross-border access to publicly available data without restrictions, but requires consent for data in other territories. This section is relevant for DTIAs involving public data transfers.</t>
  </si>
  <si>
    <t>• [May] Police officer or authorized person may access publicly available stored computer data regardless of geographic location</t>
  </si>
  <si>
    <t>• [May] Police officer or authorized person may access computer data in another territory if person with lawful authority provides lawful and voluntary consent</t>
  </si>
  <si>
    <t>A police officer or authorised person may, subject to any applicable provisions of this Act—(a) access publicly available stored computer data, regardless of where the data is located geographically; or (b) access or receive, through a computer system in Kenya, stored computer data located in another territory, if such police officer or authorised person obtains the lawful and voluntary consent of the person who has the lawful authority to disclose the data through that computer system.</t>
  </si>
  <si>
    <t>Real-time cross-border traffic data collection</t>
  </si>
  <si>
    <t>A requesting State may request Kenya's Central Authority to provide real-time traffic data collection assistance for specified communications in Kenya. The request must include details about the authority, offence, data location, purpose, and identification of traffic data. The Central Authority must obtain authorisation before executing the request and may seek cooperation from the requesting State.</t>
  </si>
  <si>
    <t>Requires specific information for real-time traffic data collection across borders, with the Central Authority needing authorisation before execution. This section is relevant for DTIAs involving real-time data transfers.</t>
  </si>
  <si>
    <t>• [Must] Requesting State must specify authority seeking use of powers
• [Must] Requesting State must specify offence and brief summary of related facts
• [Must] Requesting State must name authority with access to relevant traffic data
• [Must] Requesting State must specify location where traffic data may be held
• [Must] Requesting State must state intended purpose for required traffic data
• [Must] Requesting State must provide sufficient information to identify traffic data</t>
  </si>
  <si>
    <t>• [Must] Requesting State must provide any further details relevant to traffic data
• [Must] Requesting State must specify necessity for use of powers
• [Must] Requesting State must state terms for use and disclosure of traffic data to third parties
• [Must] Central Authority must obtain necessary authorisation including warrants
• [May] Central Authority may seek support and cooperation from requesting State
• [Must] Central Authority must provide results of measures to requesting State</t>
  </si>
  <si>
    <t>Mutual assistance in the real-time collection of traffic data (1) Subject to section 57, a requesting State may request the Central Authority to provide assistance in real-time collection of traffic data associated with specified communications in Kenya transmitted by means of a computer system.</t>
  </si>
  <si>
    <t>Real-time cross-border content data interception</t>
  </si>
  <si>
    <t>A requesting State may request Kenya's Central Authority to provide real-time collection or recording of content data for specified communications in Kenya. The request must include details about the authority, offence, communication, purpose, and data identification. The Central Authority must obtain authorisation before executing the request and may seek cooperation from the requesting State.</t>
  </si>
  <si>
    <t>Requires specific information for real-time content data interception across borders, with the Central Authority needing authorisation before execution. This section is relevant for DTIAs involving real-time data transfers.</t>
  </si>
  <si>
    <t>• [Must] Requesting State must specify authority seeking use of powers
• [Must] Requesting State must specify offence and brief summary of related facts
• [Must] Requesting State must name authority with access to relevant communication
• [Must] Requesting State must specify location or nature of communication
• [Must] Requesting State must state intended purpose for required communication
• [Must] Requesting State must provide sufficient information to identify communications
• [Must] Requesting State must provide details of relevant interception data</t>
  </si>
  <si>
    <t>• [Must] Requesting State must specify recipient of communication
• [Must] Requesting State must state intended duration for use of communication
• [Must] Requesting State must specify necessity for use of powers
• [Must] Requesting State must state terms for use and disclosure of communication to third parties
• [Must] Central Authority must obtain necessary authorisation including warrants
• [May] Central Authority may seek support and cooperation from requesting State
• [Must] Central Authority must provide results of measures to requesting State</t>
  </si>
  <si>
    <t>Mutual assistance regarding the interception of content data (1) Subject to section 57, a requesting State may request the Central Authority to provide assistance in the real-time collection or recording of content data of specified communications in the territory of Kenya transmitted by means of a computer system.</t>
  </si>
  <si>
    <t>24/7 point of contact for cybercrime investigations</t>
  </si>
  <si>
    <t>The Central Authority must designate a 24/7 point of contact for cybercrime investigations to provide technical advice, preserve data, and collect evidence. The point of contact must be resourced to securely communicate with international counterparts and coordinate access to mutual assistance under this Act.</t>
  </si>
  <si>
    <t>Establishes a dedicated international point of contact for cybercrime investigations, enabling real-time coordination of cross-border data assistance. This is relevant for DTIAs involving international cooperation.</t>
  </si>
  <si>
    <t>• [Must] Central Authority must designate 24/7 point of contact for cybercrime investigations
• [Must] Point of contact must provide technical advice
• [Must] Point of contact must preserve data pursuant to sections 59 and 60</t>
  </si>
  <si>
    <t>• [Must] Point of contact must collect evidence and locate suspects within expeditious timelines
• [Must] Point of contact must be resourced with capacity to securely communicate internationally
• [Must] Point of contact must coordinate and enable access to international mutual assistance</t>
  </si>
  <si>
    <t>The Central Authority shall ensure that the investigation agency responsible for investigating cybercrime, shall designate a point of contact available on a twenty-four hour, seven-day-a-week basis, in order to ensure the provision of immediate assistance for the purpose of investigations or proceedings concerning criminal offences related to computer systems and data, or for the collection of evidence in electronic form of a criminal offence, including carrying out the following measures—(a) the provision of technical advice; (b) the preservation of data pursuant to sections 59 and 60; (c) the collection of evidence, the provision of legal information, and locating of suspects, within expeditious timelines to be defined by regulations under this Act.</t>
  </si>
  <si>
    <t>Territorial jurisdiction for cybercrime offences</t>
  </si>
  <si>
    <t>Offences under this Act are tried in Kenyan courts if committed in Kenya. Acts or omissions outside Kenya that would constitute offences in Kenya are deemed committed in Kenya if the perpetrator is a Kenyan citizen, ordinarily resident in Kenya, or the act targets Kenyan citizens, government property, or compels Kenyan government action, or the perpetrator is present in Kenya.</t>
  </si>
  <si>
    <t>Defines when cybercrime offences are subject to Kenyan jurisdiction, relevant for data transfers involving Kenyan citizens or government property. This section impacts data residency and jurisdictional considerations.</t>
  </si>
  <si>
    <t>• [Must] Offences under this Act are tried in Kenyan courts if committed in Kenya
• [Must] Acts or omissions outside Kenya deemed committed in Kenya if perpetrator is Kenyan citizen
• [Must] Acts or omissions outside Kenya deemed committed in Kenya if perpetrator is ordinarily resident in Kenya
• [Must] Acts or omissions outside Kenya deemed committed in Kenya if act targets Kenyan citizens</t>
  </si>
  <si>
    <t>• [Must] Acts or omissions outside Kenya deemed committed in Kenya if act targets government property outside Kenya
• [Must] Acts or omissions outside Kenya deemed committed in Kenya if act compels Kenyan government action
• [Must] Acts or omissions outside Kenya deemed committed in Kenya if perpetrator is present in Kenya</t>
  </si>
  <si>
    <t>Territorial jurisdiction (1) Any court of competent jurisdiction shall try any offence under this Act where the act or omission constituting the offence is committed in Kenya. (2) For the purposes of subsection (1), an act or omission committed outside Kenya which would if committed in Kenya constitute an offence under this Act is deemed to have been committed in Kenya if—(a) the person committing the act or omission is–(i) a citizen of Kenya; or (ii) ordinarily resident in Kenya; and (b) the act or omission is committed–(i) against a citizen of Kenya; (ii) against property belonging to the Government of Kenya outside Kenya; or (iii) to compel the Government of Kenya to do or refrain from doing any act; or (c) the person who commits the act or omission is, after its commission or omission, present in Kenya.</t>
  </si>
  <si>
    <t>67</t>
  </si>
  <si>
    <t>Forfeiture of apparatus used in cybercrime</t>
  </si>
  <si>
    <t>Courts can order the forfeiture of apparatus, devices, or items used in cybercrime offenses to the designated authority as an additional penalty. This applies to individuals convicted under this Act. The forfeiture covers items directly related to the offense or its commission.</t>
  </si>
  <si>
    <t>• [Must] The court may order forfeiture of any apparatus, device or thing used in connection with the commission of cybercrime offenses</t>
  </si>
  <si>
    <t>67. Forfeiture The court before which a person is convicted of any offence may, in addition to any other penalty imposed, order the forfeiture of any apparatus, device or thing to the Authority which is the subject matter of the offence or is used in connection with the commission of the offence.</t>
  </si>
  <si>
    <t>Cybercrime laws override other laws</t>
  </si>
  <si>
    <t>This section states that cybercrime provisions in this Act take precedence over conflicting provisions in other laws. It ensures that the Act's rules are the primary authority for cybercrime matters, even if other laws address similar issues.</t>
  </si>
  <si>
    <t>• [Must] Provisions of this Act supersede any other law regarding cybercrimes in case of conflict</t>
  </si>
  <si>
    <t>68. Prevailing Clause Whenever there is a conflict between this Act and any other law regarding cybercrimes, the provisions of this Act shall supersede any such other law.</t>
  </si>
  <si>
    <t>70</t>
  </si>
  <si>
    <t>Regulations for critical information infrastructure</t>
  </si>
  <si>
    <t>The Cabinet Secretary can issue regulations to implement this Act's provisions. These regulations may cover critical information infrastructure designations, protection measures, data transfer controls, storage protocols, audits, disaster recovery, electronic evidence procedures, and mutual legal assistance. The regulations must align with constitutional objectives and statutory instruments.</t>
  </si>
  <si>
    <t>• [Must] Cabinet Secretary may make regulations for better implementation of this Act
• [May] Regulations may provide for designation of computer systems as national critical information infrastructure
• [May] Regulations may provide for protection and preservation of critical information infrastructure
• [May] Regulations may provide for access, transfer and control of data in critical information infrastructure
• [May] Regulations may provide for storage and archiving of critical data</t>
  </si>
  <si>
    <t>• [May] Regulations may provide for audit and inspection of national critical information infrastructure
• [May] Regulations may provide for recovery plans in case of disaster, breach or loss of critical infrastructure
• [May] Regulations may provide for standard operating procedures for electronic evidence collection
• [May] Regulations may provide for mutual legal assistance</t>
  </si>
  <si>
    <t>70. Regulations (1) The Cabinet Secretary may make regulations generally for the better carrying into effect of any provisions under this Act. (2) Without prejudice to the foregoing, regulations made under this section may provide for— (a) designation of computer systems, networks, programs, data as national critical information infrastructure; (b) protection, preservation and management of critical information infrastructure; (c) access to, transfer and control of data in any critical information infrastructure; (d) storage and archiving of critical data or information; (e) audit and inspection of national critical information infrastructure; (f) recovery plans in the event of disaster, breach or loss of national critical information infrastructure or any part of it; (g) standard operating procedures for the conduct, search, seizure and collection of electronic evidence; and (h) mutual legal assistance.</t>
  </si>
  <si>
    <t>GUIDANCE-NOTE-ON-CYBERSECURITY-FOR-THE-BANKING-SECTOR</t>
  </si>
  <si>
    <t>Policy statement for cybersecurity in banking sector</t>
  </si>
  <si>
    <t>Central Bank of Kenya (CBK)</t>
  </si>
  <si>
    <t>This section outlines the purpose and scope of the Guidance Note on Cybersecurity for the Banking Sector. It establishes minimum standards for cybersecurity governance and risk management frameworks that institutions must adopt. The Guidance Note aims to create a secure cyberspace, combat cybercrime, protect critical information infrastructure, and maintain public trust in the financial system without replacing existing regulatory obligations.</t>
  </si>
  <si>
    <t>This section sets the foundational policy for cybersecurity governance in banking institutions, requiring robust oversight mechanisms and risk management frameworks that must be integrated into the institution's overall risk management strategy. It establishes the baseline for assessing cyber risks and ensuring alignment with regulatory expectations.</t>
  </si>
  <si>
    <t>• [Must] Create a safer and more secure cyberspace that underpins information system security priorities and promote stability of the Kenyan banking sector
• [Must] Establish a coordinated approach to the prevention and combating of cybercrime
• [Must] Up-scaling of identification and protection of critical information infrastructure</t>
  </si>
  <si>
    <t>• [Must] Promotion of compliance with appropriate technical and operational cybersecurity standards
• [Must] Development of requisite skills, continuous building of capacity and promote a culture of fostering a strong interplay between policy, leveraging on technology to do business and risk management
• [Must] Maintenance of public trust and confidence in the financial system</t>
  </si>
  <si>
    <t>This Guidance Note outlines the minimum requirements that institutions shall build upon in the development and implementation of strategies, policies, procedures and related activities aimed at mitigating cyber risk.</t>
  </si>
  <si>
    <t>Specific cybersecurity requirements for banking institutions</t>
  </si>
  <si>
    <t>2–7</t>
  </si>
  <si>
    <t>This section details specific cybersecurity requirements including governance structures, regular independent assessments, outsourcing protocols, and training programs. It mandates that institutions establish robust cybersecurity frameworks with clear responsibilities across the board, conduct annual independent threat assessments, and ensure third-party service providers meet regulatory standards. The requirements cover both technical and organizational aspects of cybersecurity.</t>
  </si>
  <si>
    <t>This section provides detailed technical and organizational requirements for cybersecurity, including mandatory annual threat assessments, clear governance structures, and third-party risk management protocols that directly impact data transfer and processing security across borders.</t>
  </si>
  <si>
    <t>• [Must] Board of Directors should understand the nature of their institution's business and cyber threats
• [Must] Board should oversee cultivation of ethical governance and management culture
• [Must] Board should engage management in establishing cybersecurity vision and risk appetite
• [Must] Board should allocate adequate cybersecurity budget based on institution structure
• [Must] Board should review management's determination of cybersecurity preparedness alignment with cyber risks
• [Must] Board should establish cybersecurity risk ownership and management accountability
• [Must] Board should approve and continuously review cybersecurity strategy, governance charter, policy and framework
• [Must] Board should ensure cybersecurity policy applies to all operating entities including subsidiaries
• [Must] Board should review implementation of cybersecurity framework at least once every 12 months
• [Must] Board should incorporate cybersecurity as a standard agenda in board meetings
• [Must] Senior Management should implement board-approved cybersecurity strategy
• [Must] Senior Management should understand cyber organizational scope and identify cyber threats
• [Must] Senior Management should ensure mitigation and recovery procedures for cyber risk incidents
• [Must] Senior Management should continuously improve collection and analysis of cybercrime information
• [Must] Senior Management should oversee deployment of strong authentication measures
• [Must] Senior Management should ensure provision of skilled staff for cybersecurity with enhanced background checks
• [Must] Senior Management should ensure timely reporting to the board on cyber risk status
• [Must] Senior Management should establish cybersecurity benchmarking framework with board endorsement
• [Must] Senior Management should incorporate cybersecurity as a standard agenda in senior management meetings
• [Must] Institutions should provide regular reports of cybersecurity posture to the board
• [Must] Institutions should document cybersecurity incident response plan with roles, responsibilities, incident detection and assessment
• [Must] Institutions should collaborate with other institutions and security agencies to share cyber threats
• [Must] Institutions should create post-incident analysis framework for corrective actions
• [Must] Institutions should oversee evaluation and management of risks introduced by third-party service providers
• [Must] CISO should oversee implementation of cybersecurity program and enforce cybersecurity policy
• [Must] CISO should ensure institution maintains current enterprise-wide knowledge base of users, devices, applications
• [Must] CISO should ensure information systems meet institution's needs and ICT strategy
• [Must] CISO should design cybersecurity controls with consideration of users at all levels
• [Must] CISO should organize professional cyber-related trainings to improve staff technical proficiency
• [Must] CISO should ensure regular and comprehensive cyber risk assessments
• [Must] CISO should ensure processes for monitoring IT systems to detect cybersecurity events</t>
  </si>
  <si>
    <t>• [Must] CISO should report to CEO on cybersecurity assessment, exceptions, effectiveness of program, and material events
• [Must] CISO should ensure timely update of incident response mechanism and Business Continuity Plan
• [Must] CISO should incorporate scenario analysis to consider material cyber-attacks
• [Must] CISO should ensure frequent data backups of critical IT systems to separate storage locations
• [Must] CISO should ensure roles and responsibilities for managing cyber risks are clearly defined
• [Must] CISO should continuously test disaster recovery and Business Continuity Plans
• [Must] Institutions should engage external consultants with sufficient cybersecurity expertise
• [Must] Institutions should carry out independent cyber threat test at least once a year
• [Must] Institutions should incorporate qualified ICT auditors within Internal Audit team
• [Must] Internal ICT auditors should continuously review and report on cyber risks and controls
• [Must] Internal ICT auditors should assess design and effectiveness of cybersecurity framework
• [Must] Internal ICT auditors should conduct regular independent threat and vulnerability assessments
• [Must] Internal ICT auditors should report to board findings of assessments
• [Must] Internal ICT auditors should conduct comprehensive penetration tests
• [Must] Risk management function should assess cybersecurity risks and determine alignment with risk appetite
• [Must] Risk management function should monitor current and emerging cybersecurity risks
• [Must] Risk management function should collaborate with system administrators to ensure appropriate control design
• [Must] Risk management function should maintain comprehensive cyber risk registers
• [Must] Risk management function should ensure implementation of cyber risk management strategy
• [Must] Risk management function should safeguard confidentiality, integrity and availability of information
• [Must] Risk management function should establish comprehensive inventory of IT assets
• [Must] Risk management function should quantify potential impact by assessing residual cyber risk
• [Must] Risk management function should report all enterprise risks consistently to the board
• [Must] Risk management function should conduct red team exercises
• [Must] External auditors should ensure IT audit scope includes understanding institution's IT infrastructure
• [Must] External auditors should understand extent of institution's automated controls
• [Must] External auditors should conduct independent threat and vulnerability assessment
• [Must] External auditors should conduct comprehensive review of approved cybersecurity strategy
• [Must] External auditors should conduct comprehensive penetration tests
• [Must] External auditors should report annually to board and CBK on assessment findings</t>
  </si>
  <si>
    <t>Institutions should carry out an independent cyber threat test at least once a year.</t>
  </si>
  <si>
    <t>3 (part 3)</t>
  </si>
  <si>
    <t>Outsourcing and Third-Party Cybersecurity Requirements</t>
  </si>
  <si>
    <t>Third Party Processing, Outsourcing</t>
  </si>
  <si>
    <t>Financial institutions must implement robust governance for outsourcing agreements, including due diligence on service providers, documented contracts, and monitoring of service delivery. They must treat outsourcing agreements as critical infrastructure, select vendors based on compliance and risk assessments, ensure computing resources are secured, and require service providers to comply with all applicable legal and regulatory frameworks. Institutions must also assess third-party risks, perform analytics on their outsourcing portfolio, collaborate with third parties to mitigate risks, and monitor for changes in third parties' business and cyber posture.</t>
  </si>
  <si>
    <t>This section mandates specific cybersecurity controls for third-party relationships, requiring institutions to assess and manage risks from outsourcing agreements to ensure data security during cross-border or international transfers involving third parties.</t>
  </si>
  <si>
    <t>• [Must] Have in place adequate governance of outsourcing agreements including due diligence on prospective service providers, documented outsourcing agreements and adequate monitoring of service delivery
• [Must] Consider all outsourcing agreements as critical infrastructure for regulation and protection for purposes of security of the banking sector and the economy at large
• [Must] Select their vendors based on compliance and risk assessments
• [Must] Ensure all computing resources are secured including registrations, licensing, compliance and verification
• [Must] Ensure all outsourcing contracts require service providers to comply with applicable legal and regulatory frameworks
• [Must] Understand the inherent risk arising from each third party</t>
  </si>
  <si>
    <t>• [Must] Perform analytics on an institution's outsourcing portfolio to understand which pose the most relative risk to an institution
• [Must] Work collaboratively with third parties to mitigate risks that pose the most risk to an institution
• [Must] Monitor contracted third parties for changes in their business and cyber posture including expansions, divestitures, breaches and new attacks that may alter the third parties' exposure
• [Must] Service Level Agreements should have robust provisions in relation to security, service availability, performance metrics or penalties
• [Must] Develop exit management strategies and contingency plans</t>
  </si>
  <si>
    <t>Have in place adequate governance of outsourcing agreements including due diligence on prospective service providers, documented outsourcing agreements and adequate monitoring of service delivery.</t>
  </si>
  <si>
    <t>GuidelinesonCybersecurityforPSPs (Kenya - Row19)</t>
  </si>
  <si>
    <t>Policy statement for payment service providers' cybersecurity</t>
  </si>
  <si>
    <t>Governance, Incident Reporting, Breach Notification</t>
  </si>
  <si>
    <t>This section establishes the purpose and scope of cybersecurity requirements for Payment Service Providers (PSPs) in Kenya. It mandates that PSPs develop cybersecurity strategies, frameworks, and policies to mitigate cyber risks while ensuring business continuity and financial stability. The guidelines require PSPs to align cybersecurity practices with their overall risk management and business objectives, with the Central Bank of Kenya (CBK) overseeing compliance.</t>
  </si>
  <si>
    <t>This section defines the foundational cybersecurity governance framework for PSPs, requiring them to implement risk-based cybersecurity programs that protect critical payment systems. It directly impacts DTIAs by mandating specific risk assessments and incident response protocols for cross-border data transfers involving payment systems.</t>
  </si>
  <si>
    <t>• [Must] PSPs must develop cybersecurity strategies, frameworks, and policies to mitigate cyber risks
• [Must] PSPs must align cybersecurity practices with overall business risk management objectives</t>
  </si>
  <si>
    <t>• [Must] PSPs must maintain business continuity capabilities during cyber incidents
• [Must] PSPs must ensure cybersecurity programs address critical payment system risks</t>
  </si>
  <si>
    <t>The Guidelines outline the minimum requirements that PSPs shall build upon in the development and implementation of strategies, frameworks, policies, procedures and related activities aimed at mitigating cyber risk.</t>
  </si>
  <si>
    <t>Specific cybersecurity governance requirements for payment service providers</t>
  </si>
  <si>
    <t>This section details specific governance requirements for Payment Service Providers (PSPs) in Kenya, including board responsibilities, senior management roles, and the Chief Information Security Officer (CISO) function. It mandates that PSPs establish clear accountability structures, implement robust cybersecurity programs, and conduct regular risk assessments to ensure the security of payment systems and customer data.</t>
  </si>
  <si>
    <t>This section requires PSPs to implement comprehensive cybersecurity governance structures that directly impact data transfer assessments by mandating specific risk management protocols for cross-border payment systems and third-party data handling.</t>
  </si>
  <si>
    <t>• [Must] Board of directors must oversee cybersecurity strategy development and implementation
• [Must] Board must review cybersecurity preparedness against cyber risk profile quarterly
• [Must] Senior management must implement cybersecurity strategy and monitor cyber threats</t>
  </si>
  <si>
    <t>• [Must] CISO must report cybersecurity posture to board quarterly
• [Must] PSPs must maintain a cybersecurity incident response plan
• [Must] PSPs must conduct post-incident analysis to prevent future breaches</t>
  </si>
  <si>
    <t>The board of directors is ultimately responsible for the cybersecurity of the PSP.</t>
  </si>
  <si>
    <t>Transitional periods and reporting requirements for cybersecurity</t>
  </si>
  <si>
    <t>2–8</t>
  </si>
  <si>
    <t>Incident Reporting, Breach Notification, Record Keeping</t>
  </si>
  <si>
    <t>This section outlines transitional periods and reporting requirements for Payment Service Providers (PSPs) in Kenya, including the need to maintain cybersecurity incident records and templates. It mandates that PSPs document and report cybersecurity incidents in specific formats to ensure timely regulatory oversight and compliance with national payment system security standards.</t>
  </si>
  <si>
    <t>This section requires PSPs to maintain detailed incident records for cybersecurity events, which is critical for DTIAs as it establishes baseline reporting requirements for cross-border data transfers involving payment systems.</t>
  </si>
  <si>
    <t>• [Must] PSPs must maintain immediate cybersecurity incident records</t>
  </si>
  <si>
    <t>• [Must] PSPs must maintain quarterly cybersecurity incident records</t>
  </si>
  <si>
    <t>Cybersecurity incident record template (Immediate) and Cybersecurity incident record template (Quarterly)</t>
  </si>
  <si>
    <t>4 (part 3)</t>
  </si>
  <si>
    <t>Cybersecurity training, monitoring, and reporting requirements for PSPs</t>
  </si>
  <si>
    <t>12–16</t>
  </si>
  <si>
    <t>CBK</t>
  </si>
  <si>
    <t>PSPs must conduct regular cybersecurity training for staff and users to improve technical proficiency and cyber hygiene. They must implement processes to monitor IT systems for timely detection of cybersecurity events and incidents. PSPs must report to the CEO quarterly on information system confidentiality, integrity, availability, policy exceptions, cybersecurity program effectiveness, and material cyber events. They must also report to the Board quarterly on cybersecurity management capabilities and strategy implementation progress. Additionally, PSPs must update incident response mechanisms and business continuity plans based on threat intelligence, incorporate scenario analysis for cyber-attacks, ensure critical backups with disaster recovery objectives, define cyber risk management roles, implement business continuity plans, assess cybersecurity program effectiveness, and report cybersecurity posture to senior management, board, and audit committees.</t>
  </si>
  <si>
    <t>PSPs must maintain robust cybersecurity monitoring, reporting, and incident response mechanisms to ensure data protection across borders. These requirements directly impact cross-border data transfers by mandating timely incident reporting and business continuity planning for critical systems.</t>
  </si>
  <si>
    <t>• [Must] Organize professional cyber-related trainings to improve staff technical proficiency and user awareness for cyber hygiene
• [Must] Ensure adequate processes for monitoring IT systems to detect cybersecurity events and incidents timely
• [Must] Report to CEO quarterly on information system confidentiality, integrity, and availability assessments
• [Must] Report to CEO quarterly on detailed exceptions to approved cybersecurity policies and procedures
• [Must] Report to CEO quarterly on effectiveness of approved cybersecurity program
• [Must] Report to CEO quarterly on all material cybersecurity events affecting PSP during period
• [Must] Report to Board quarterly on PSP's capability to manage cybersecurity and progress in implementation of cybersecurity strategy and goals</t>
  </si>
  <si>
    <t>• [Must] Ensure timely update of incident response mechanism and Business Continuity Plan based on latest cyber threat intelligence
• [Must] Incorporate scenario analysis to consider material cyber-attacks, mitigating actions, and identify control gaps
• [Must] Ensure adequate backups of critical IT systems and data with recovery objectives to sites unlikely affected by disasters
• [Must] Define, document, and communicate roles and responsibilities for managing cyber risks including emergency decision-making
• [Must] Implement Business Continuity Plan and disaster recovery test plans to ensure PSP functions post cyber-attack
• [Must] Assess overall effectiveness of PSP's cybersecurity program
• [Must] Periodically report on organization's cybersecurity posture to senior management, board, and audit committee</t>
  </si>
  <si>
    <t>e) Organizing professional cyber related trainings to improve technical proficiency of staff and user awareness trainings for improved cyber hygiene. f) Ensure that adequate processes are in place for monitoring IT systems to detect cybersecurity events and incidents in a timely manner. g) Reporting to the CEO on an agreed interval but not less than once per quarter on the following: ... h) Reporting to the Board on an agreed interval but not less than once per quarter on the PSP's capability to manage cybersecurity and progress in implementation of the cybersecurity strategy and goals. i) Ensure timely update of the incident response mechanism and Business Continuity Plan (BCP) based on the latest cyber threat intelligence gathered. j) Incorporate the utilization of scenario analysis to consider a material cyber-attack, mitigating actions, and identify potential control gaps. k) Ensure adequate backups of critical IT systems and data in line with predetermined recovery objectives (e.g. real time back up of changes made to critical data) are carried out to a site that is unlikely to be affected by a disaster event at the main processing site. l) Ensure the roles and responsibilities of managing cyber risks, including in emergency or crisis decision-making, are clearly defined, documented and communicated to relevant staff. m) Put in place BCP and disaster recovery test plans to ensure that the PSP can continue to function and meet its regulatory obligations in the event of an unforeseen attack through cyber-crime. n) Assessing the overall effectiveness of the PSP's cybersecurity program. o) Periodically reporting on the organization's cybersecurity posture to senior management, board and audit committee.</t>
  </si>
  <si>
    <t>4 (part 4)</t>
  </si>
  <si>
    <t>Cyber incident response and resilience requirements for payment systems</t>
  </si>
  <si>
    <t>16–20</t>
  </si>
  <si>
    <t>Payment service providers must notify CBK or credible sources of malware infections, data breaches, or unauthorized system access. They must develop incident response plans covering internal processes, roles, communications, remediation requirements, documentation, and plan revisions. PSPs must also maintain situational awareness, secure offline storage of financial records, and conduct tests to prevent significant customer service disruptions.</t>
  </si>
  <si>
    <t>Requires PSPs to have robust incident response capabilities and resilience planning for cross-border data transfers involving payment systems, ensuring timely breach detection and recovery.</t>
  </si>
  <si>
    <t>• [Must] PSPs must report malware infections or unauthorized system access to CBK or credible sources
• [Must] PSPs must notify CBK of data breaches or potential breaches
• [Must] PSPs must develop incident response plans covering internal processes, roles, communications, remediation, documentation, and plan revisions</t>
  </si>
  <si>
    <t>• [Must] PSPs must maintain situational awareness to predict and respond to environmental changes
• [Must] PSPs must store critical financial records securely offline for restoration after disruptions
• [Must] PSPs must conduct tests to prevent significant customer service disruptions from cyber events</t>
  </si>
  <si>
    <t>a) a PSP or its agent is informed, through any source, of the installation or existence of any malware in any of its systems or environments, or any system or environment of one of its agents, no matter where such malware is located or how it was introduced; b) a PSP or its agent receives notification from CBK, or any other credible source that the PSP or its agent(s) has experienced a data breach or a potential data breach; or c) a PSP or its agent discovers or, in the exercise of reasonable diligence, should have discovered a data breach or unauthorized penetration of its own system or environment or the system or environment of its agent(s).</t>
  </si>
  <si>
    <t>4 (part 5)</t>
  </si>
  <si>
    <t>Cybersecurity incident reporting requirements</t>
  </si>
  <si>
    <t>PSPs must notify CBK within 24 hours and SWIPS/SIPS within 2 hours of significant cybersecurity incidents affecting services, reputation, or financial condition. They must also submit comprehensive incident reports quarterly.</t>
  </si>
  <si>
    <t>Mandates immediate reporting of critical incidents to regulators, ensuring timely intervention for data transfers and financial stability.</t>
  </si>
  <si>
    <t>• [Must] PSPs must notify CBK within 24 hours of significant cybersecurity incidents impacting services, reputation, or financial condition.
• [Must] SWIPS and SIPS must notify CBK within 2 hours of significant cybersecurity incidents.</t>
  </si>
  <si>
    <t>• [Must] PSPs must submit quarterly cybersecurity incident reports to CBK by the 10th day after each quarter end.</t>
  </si>
  <si>
    <t>PSPs should notify CBK within 24 hours, and SWIPS and SIPS within 2 hours, of any Cybersecurity incident(s) that could have a significant and adverse impact on the PSP's ability to provide adequate services to its customers, its reputation or financial condition in the format set out as Annex II (Immediate) to this Guideline. This should be followed by a comprehensive report on the incident. On a quarterly basis, PSPs shall provide Central Bank of Kenya with a report in the format set out as Annex III (Quarterly) to this Guideline, concerning its occurrence and handling of Cybersecurity incidents.</t>
  </si>
  <si>
    <t>THE-DATA-PROTECTION-COMPLAINTS-HANDLING-AND-ENFORCEMENT (Kenya - Row 15)</t>
  </si>
  <si>
    <t>Regulation citation</t>
  </si>
  <si>
    <t>These Regulations are formally named the Data Protection (Complaints Handling Procedure and Enforcement) Regulations, 2021. They establish the citation for the regulations within the legal framework. The citation is used to reference the regulations in subsequent legal proceedings and communications.</t>
  </si>
  <si>
    <t>• [Must] These Regulations may be cited as the Data Protection (Complaints Handling Procedure and Enforcement) Regulations, 2021</t>
  </si>
  <si>
    <t>These Regulations may be cited as the Data Protection (Complaints Handling Procedure and Enforcement) Regulations, 2021.</t>
  </si>
  <si>
    <t>This section defines critical terms used throughout the Regulations. It specifies that 'data subject' refers to a person who has lodged a complaint, 'Data Protection Commissioner' refers to the appointed official, and 'Office' refers to the Data Protection Commissioner's office. The definitions ensure clarity in interpreting the regulations.</t>
  </si>
  <si>
    <t>• [Must] means a data subject or a person who has lodged a complaint pursuant to regulation 4
• [Must] means the person appointed under section 6 of the Act
• [Must] means the office of the Data Protection Commissioner
• [Must] Commissioner under regulation 16</t>
  </si>
  <si>
    <t>• [Must] Commissioner under regulation 20
• [Must] lodged
• [Must] writing, directing a person to appear before the Office</t>
  </si>
  <si>
    <t>In these Regulations, unless the context otherwise requires means a data subject or a person who has lodged a complaint pursuant to regulation 4; means the person appointed under section 6 of the Act; means the office of the Data Protection Commissioner; Commissioner under regulation 16; Commissioner under regulation 20; lodged; and writing, directing a person to appear before the Office.</t>
  </si>
  <si>
    <t>Complaint lodging procedures</t>
  </si>
  <si>
    <t>Complaints can be lodged with the Data Commissioner either orally, electronically, or via other means. The complaint must be filed in Form DPC 1, and the Data Commissioner must acknowledge receipt within seven days. Lodging complaints is free of charge, and the complainant may lodge the complaint in person, by a representative, or anonymously.</t>
  </si>
  <si>
    <t>• [Must] A complaint lodged under sub-regulation (1) may be lodged in Form DPC 1 set out in the Schedule
• [Must] A complaint may be lodged orally, subject to section 56(3) of the Act
• [Must] A complaint may be lodged through electronic means, including email, web posting, complaint management information system
• [Must] A complaint may be lodged by the complainant in person
• [Must] A complaint may be lodged by a person acting on behalf of the complainant</t>
  </si>
  <si>
    <t>• [Must] A complaint may be lodged by any other person authorized by law to act on behalf of a data subject
• [Must] A complaint may be lodged anonymously
• [Must] The Data Commissioner shall acknowledge receipt of the complaint within seven days of receipt
• [Must] The complaint shall be lodged free of charge</t>
  </si>
  <si>
    <t>(1) Pursuant to section 56 of the Act, a data subject or any person aggrieved on any matter under the Act may lodge a complaint with the Data Commissioner. (2) A complaint lodged under sub-regulation (1) may be lodged in Form DPC 1 set out in the Schedule (a) orally, subject to section 56(3) of the Act; (b) through electronic means, including email, web posting, complaint management information system; or (c) by any other appropriate means. (3) A complaint under sub-regulation (1) may be lodged (a) by the complainant in person; (b) by a person acting on behalf of the complainant; (c) by any other person authorized by law to act on behalf of a data subject; or (d) anonymously. (4) The Data Commissioner shall acknowledge receipt of the complaint within seven days of receipt of the complaint under sub-regulation (1). (5) The complaint under sub-regulation (1) shall be lodged free of charge.</t>
  </si>
  <si>
    <t>Register of complaints</t>
  </si>
  <si>
    <t>The Data Commissioner must maintain an up-to-date Register of Complaints that includes the complainant's details and the complaint filed. The Commissioner must protect the complainant's identity if requested, ensuring privacy and confidentiality in complaint handling.</t>
  </si>
  <si>
    <t>• [Must] The Data Commissioner shall keep and maintain an up to date Register of Complaints
• [Must] An entry into the register of complaints shall state the particulars of the complainant and the complaint filed with the Data Commissioner</t>
  </si>
  <si>
    <t>• [Must] The Data Commissioner shall protect the identity of the complainant where the request to protect the identity is sought by the complainant</t>
  </si>
  <si>
    <t>(1) The Data Commissioner shall keep and maintain an up to date Register of Complaints. (2) An entry into the register of complaints shall state the particulars of the complainant and the complaint filed with the Data Commissioner. (3) The Data Commissioner shall protect the identity of the complainant where the request to protect the identity is sought by the complainant.</t>
  </si>
  <si>
    <t>Complaint admission procedures</t>
  </si>
  <si>
    <t>The Data Commissioner must conduct a preliminary review of complaints upon receipt. The Commissioner may admit the complaint, advise the complainant that the matter is outside their mandate, or refer the complaint to another body. If the complaint is declined, it may be re-admitted within six months if new issues arise under the Act.</t>
  </si>
  <si>
    <t>• [Must] The Data Commissioner shall undertake a preliminary review of a complaint, upon receipt of the complaint by the Office
• [Must] The Data Commissioner may, upon undertaking a preliminary review of the complaint, admit the complaint
• [Must] The Data Commissioner may, upon undertaking a preliminary review of the complaint, advise the complainant in writing that the matter is not within the mandate of the Data Commissioner
• [Must] The Data Commissioner may, upon undertaking a preliminary review of the complaint, advise the complainant that the matter lies for determination by another body or institution and refer the complainant to that body or institution
• [Must] Despite sub-regulation (2), the Data Commissioner may decline to admit a complaint where the complaint does not raise any issue under the Act</t>
  </si>
  <si>
    <t>• [Must] Upon admission of a complaint, the Data Commissioner may conduct an inquiry into the complaint
• [Must] Upon admission of a complaint, the Data Commissioner may conduct investigations
• [Must] Upon admission of a complaint, the Data Commissioner may facilitate mediation, conciliation or negotiation in accordance with the Act and these Regulations
• [Must] Upon admission of a complaint, the Data Commissioner may use any other mechanisms to resolve the complaint
• [Must] Where a complaint is declined for admission under sub-regulation (3), the complaint may be re-admitted within six months from the date of decline, where the complaint raises new issues for determination under the Act</t>
  </si>
  <si>
    <t>(1) The Data Commissioner shall undertake a preliminary review of a complaint, upon receipt of the complaint by the Office. (2) The Data Commissioner may, upon undertaking a preliminary review of the complaint (a) admit the complaint; (b) where applicable, advise the complainant in writing that the matter is not within the mandate of the Data Commissioner; or (c) advise the complainant that the matter lies for determination by another body or institution and refer the complainant to that body or institution. (3) Despite sub-regulation (2), the Data Commissioner may decline to admit a complaint where the complaint does not raise any issue under the Act. (4) Upon admission of a complaint, the Data Commissioner may (a) conduct an inquiry into the complaint; (b) conduct investigations; (c) facilitate mediation, conciliation or negotiation in accordance with the Act and these Regulations; or (d) use any other mechanisms to resolve the complaint. (5) Where a complaint is declined for admission under sub-regulation (3), the complaint may be re-admitted within six months from the date of decline, where the complaint raises new issues for determination under the Act.</t>
  </si>
  <si>
    <t>Discontinuation of complaints</t>
  </si>
  <si>
    <t>Data Commissioner</t>
  </si>
  <si>
    <t>The Data Commissioner can terminate a complaint if it lacks merit or the complainant fails to engage without justifiable cause. The Commissioner must provide written reasons within fourteen days and allow the complainant to re-institute the complaint with new grounds.</t>
  </si>
  <si>
    <t>• [Must] The Data Commissioner may discontinue an existing complaint in Form DPC 2 where the complaint does not merit further consideration
• [Must] The Data Commissioner may discontinue an existing complaint in Form DPC 2 where the complainant refuses, fails or neglects to communicate without justifiable cause</t>
  </si>
  <si>
    <t>• [Must] The Data Commissioner shall provide written reasons for discontinuation within fourteen days of the decision
• [May] A complainant may re-institute a discontinued complaint by providing grounds for restitution to the Data Commissioner</t>
  </si>
  <si>
    <t>7. (1) The Data Commissioner may discontinue an existing complaint in Form DPC 2 set out in the Schedule, where (a) a complaint does not merit further consideration; or (b) a complainant refuses, fails or neglects to communicate without justifiable cause. (2) The Data Commissioner shall provide the reasons for discontinuation on any of the grounds specified under sub-regulation (1) (a) or (b) and shall, in writing, notify the complainant and respondent within fourteen days from the date the decision to discontinue a complaint is made. (3) A complainant may, where a complaint has been discontinued pursuant to these Regulations, re-institute a complaint upon providing grounds for the restitution to the Data Commissioner.</t>
  </si>
  <si>
    <t>Withdrawal of complaints</t>
  </si>
  <si>
    <t>Complaints can be withdrawn at any stage before determination. Withdrawn complaints may be re-lodged within six months, and re-lodged complaints follow the same processing procedures as original complaints.</t>
  </si>
  <si>
    <t>• [May] A complaint may be withdrawn at any stage during its consideration but before a determination is made
• [May] A complainant may withdraw a complaint at any time during consideration before determination
• [Must] Withdrawal applications must be in Form DPC 2 set out in the Schedule</t>
  </si>
  <si>
    <t>• [May] A withdrawn complaint may be re-lodged within six months from the date of withdrawal
• [Must] A re-lodged complaint shall be processed in accordance with the provisions of this Part</t>
  </si>
  <si>
    <t>8. (1) A complaint may be withdrawn at any stage during its consideration but before a determination is made. (2) A complainant may, at any time during the consideration of a complaint lodged pursuant to regulation 4 and before its determination, withdraw the complaint. (3) An application for a withdrawal under sub-regulation (1) shall be in Form DPC 2 set out in the Schedule. (4) A withdrawn complaint under sub-regulation (1) may be re-lodged, within six months from the date of withdrawal of such complaint. (5) A complaint re-lodged under this regulation shall be processed in accordance with the provisions of this Part.</t>
  </si>
  <si>
    <t>Joint consideration of complaints</t>
  </si>
  <si>
    <t>The Data Commissioner may consolidate similar complaints with complainant consent or treat one as a test complaint to stay other complaints pending resolution. Consolidated complaints are treated as a single complaint for determination.</t>
  </si>
  <si>
    <t>• [May] The Data Commissioner may consolidate complaints with complainant consent to make a determination
• [May] The Data Commissioner may treat one complaint as a test complaint and stay further action on other complaints pending resolution
• [Must] The Data Commissioner shall apply the decision of a test complaint to all stayed complaints</t>
  </si>
  <si>
    <t>• [Must] The Data Commissioner shall communicate the decision to complainants and all parties in writing
• [Must] Consolidated complaints shall be treated as a single complaint for determination</t>
  </si>
  <si>
    <t>9. (1) Where two or more complaints are lodged in which similar issues are raised against a respondent, the Data Commissioner may, with the consent of the complainants (a) consolidate the complaints and make a determination; or (b) treat one complaint as a test complaint and stay further action on the other complaints pending resolution of the test complaint. (2) The Data Commissioner shall, with necessary modifications, apply the decision of a test complaint to all the complaints stayed under sub-regulation (1)(b). (3) The Data Commissioner shall, in writing, communicate to the complainants and all the parties the decision made under this regulation. (4) Where complaints are consolidated in accordance with this regulation, the complaint shall be treated as a single complaint and shall be determined in accordance with the provisions of these Regulations.</t>
  </si>
  <si>
    <t>Language of proceedings</t>
  </si>
  <si>
    <t>Proceedings before the Office must be conducted in Kiswahili, English, or Kenyan Sign Language. The Office may provide interpreters for parties who cannot communicate in the language of proceedings.</t>
  </si>
  <si>
    <t>• [Must] Proceedings before the Office shall be conducted in Kiswahili, English or Kenyan Sign Language</t>
  </si>
  <si>
    <t>• [May] The Office may ensure a party who cannot speak, hear or understand the language of proceedings receives an interpreter</t>
  </si>
  <si>
    <t>10. (1) Proceedings before the Office shall be conducted in Kiswahili, English or Kenyan Sign Language. (2) The Office may ensure that a party who cannot speak, hear or understand the language of proceedings receives the services of an interpreter provided for by the Office.</t>
  </si>
  <si>
    <t>Notification of complaint to respondent</t>
  </si>
  <si>
    <t>Upon complaint admission, the Data Commissioner notifies the respondent in Form DPC 3, requiring them to respond within twenty-one days by making representations, reviewing the complaint, or providing a response. If the respondent takes no action, the Commissioner proceeds to determine the complaint.</t>
  </si>
  <si>
    <t>• [Must] The Data Commissioner shall notify the respondent of the complaint lodged against him in Form DPC 3
• [Must] The Data Commissioner shall require the respondent to make representations and provide relevant material within twenty-one days
• [Must] The Data Commissioner shall require the respondent to review the complaint to summarize resolution with the complainant</t>
  </si>
  <si>
    <t>• [Must] The Data Commissioner shall require the respondent to provide a response with required information
• [Must] Where the respondent takes no action, the Data Commissioner shall proceed to determine the complaint</t>
  </si>
  <si>
    <t>11. (1) Upon admission of a complaint, the Data Commissioner shall notify the respondent of the complaint lodged against him, in Form DPC 3 set out in the Schedule and shall require the respondent to within twenty-one days (a) make representations and provide any relevant material or evidence in support of its representations; (b) review the complaint with a view of summarily resolving the complaint to the satisfaction of the complainant; or (c) provide a response with the required information. (2) Where a respondent does not take any action as contemplated under sub-regulation (1), the Data Commissioner shall proceed to determine the complaint in accordance with the Act and these Regulations. (3) The notice referred to under sub-regulation (1) shall specify options available to resolve a complaint including determining the complaint through alternative dispute resolution mechanisms specified in the Act and these Regulations.</t>
  </si>
  <si>
    <t>Joinder of parties</t>
  </si>
  <si>
    <t>The Data Commissioner may order a person to be a party to a complaint if necessary. A person with sufficient interest may apply to be enjoined as a party before the hearing.</t>
  </si>
  <si>
    <t>• [May] The Data Commissioner may order a person to be enjoined as a party to a complaint if it appears necessary
• [May] A person with sufficient interest may apply to the Office for leave to be enjoined in proceedings prior to hearing</t>
  </si>
  <si>
    <t>• [Must] An application to be enjoined shall include the names of parties, address for service, grounds for enjoining, relevant documents, and relief sought</t>
  </si>
  <si>
    <t>12. (1) Where it appears to the Data Commissioner, or by an application by either the complainant or the respondent, that it is necessary that a person becomes a party to a complaint, the Data Commissioner may order that person to be enjoined as a party. (2) A person who has sufficient interest in the outcome of a complaint may apply to the Office for leave to be enjoined in the proceedings prior to the hearing of the complaint. (3) An application under sub-regulation (1) shall include (a) the names of the parties to which that application relates; (b) the name and address for service of the person wishing to be enjoined; (c) the grounds the applicant relies on to be enjoined; (d) a copy of any relevant document in support of the application; and (e) the relief sought.</t>
  </si>
  <si>
    <t>Data Commissioner's investigative powers during complaints</t>
  </si>
  <si>
    <t>The Data Commissioner may issue summons, examine individuals, administer oaths, require documents, and conduct searches with warrants during complaint investigations. The Commissioner must prepare a written report after completion and follow the Fair Administrative Action Act for procedural guidance. This section outlines specific investigative authority without imposing direct data transfer obligations.</t>
  </si>
  <si>
    <t>• [Must] Issue summons in Form DPC 4 requiring attendance for examination
• [Must] Examine any person in relation to a complaint
• [Must] Administer an oath or affirmation during proceedings
• [Must] Require production of documents or information from persons or institutions</t>
  </si>
  <si>
    <t>• [Must] Enter establishments with court warrants to conduct searches and seize relevant material
• [Must] Prepare a written investigation report upon completion
• [Must] Follow Fair Administrative Action Act 2015 procedures</t>
  </si>
  <si>
    <t>13. (1) In investigating a complaint, the Data Commissioner may, subject to section 57 of the Act (a) issue summons in Form DPC 4 set out in the Schedule requiring the attendance of any person at a specified date, time and place for examination; (b) examine any person in relation to a complaint; (c) administer an oath or affirmation on any person during the proceedings; (d) require any person to produce any document or information from a person or institution; and (e) on obtaining warrants from the court, enter into any establishment or premises and conduct a search and may seize any material relevant to the investigation.</t>
  </si>
  <si>
    <t>Data Commissioner's determination and enforcement of complaints</t>
  </si>
  <si>
    <t>The Data Commissioner must issue written determinations based on investigation findings, detailing complaint nature, facts, decisions, remedies, and other relevant matters. Remedies include enforcement notices, penalties, dismissal, prosecution recommendations, or compensation orders. The determination is binding and enforceable as a court order within seven days of issuance.</t>
  </si>
  <si>
    <t>• [Must] Make written determination based on investigation findings
• [Must] State nature of complaint in determination
• [Must] Include summary of relevant facts and evidence in determination
• [Must] State decision and reasons for decision in determination
• [Must] Specify remedy entitled to complainant in determination
• [Must] Issue enforcement notice to respondent for compliance</t>
  </si>
  <si>
    <t>• [Must] Impose administrative fine for non-compliance with enforcement notice
• [Must] Dismiss complaint if lacks merit
• [Must] Recommend prosecution for violations
• [Must] Order compensation to data subject by respondent
• [Must] Communicate decision within seven days to parties in writing
• [Must] Determination is binding on parties and enforceable as court order</t>
  </si>
  <si>
    <t>14. (1) The Data Commissioner shall, upon the conclusion of the investigations, make a determination based on the findings of the investigations. (2) A determination under sub-regulation (1) shall be in writing and shall state (a) the nature of the complaint; (b) a summary of the relevant facts and evidence adduced; (c) the decision and the reasons for the decision; (d) the remedy to which the complainant is entitled; and (e) any other relevant matter.</t>
  </si>
  <si>
    <t>Complaint resolution through negotiation, mediation or conciliation</t>
  </si>
  <si>
    <t>Complaints may be resolved through negotiation, mediation, or conciliation with the Data Commissioner facilitating the process. The Commissioner may apply appropriate procedures, and parties must sign agreements in Form DPC 5. Such agreements are binding determinations enforceable as court orders. Parties may withdraw from proceedings within seven days if they choose to exit early.</t>
  </si>
  <si>
    <t>• [Must] Resolve complaints through negotiation, mediation, or conciliation
• [Must] Data Commissioner may facilitate negotiation, mediation, or conciliation process
• [Must] Data Commissioner may apply procedures beneficial to parties
• [Must] Parties must sign negotiation, mediation, or conciliation agreement in Form DPC 5</t>
  </si>
  <si>
    <t>• [Must] Negotiation, mediation, or conciliation agreements are deemed binding determinations
• [Must] Parties may withdraw from proceedings within seven days
• [Must] Parties must act in good faith to amicably resolve disputes</t>
  </si>
  <si>
    <t>15. (1) Where the complaint is to be determined through negotiation, mediation or conciliation, the provisions of these Regulations shall apply. (2) Where parties to a complaint agree to negotiation, mediation or conciliation, the Data Commissioner may in consultation with the parties facilitate the process. (3) During the negotiations, mediation or conciliation, the Data Commissioner may apply such procedures as may, in the interest of the parties, deem appropriate in the circumstances. (4) At the conclusion of the negotiations, mediation or conciliation process, the parties shall sign a negotiation, mediation or conciliation agreement in the manner specified in Form DPC 5 set out in the Schedule. (5) A negotiation, mediation or conciliation agreement entered into under this regulation shall be deemed to be a determination of the Data Commissioner, and shall be enforceable as such. (6) Despite this regulation, a party to dispute who is subject to a negotiation, mediation or conciliation may withdraw from the proceedings at any stage and shall notify the Data Commissioner and other parties of such withdrawal within seven days from the date of making such a decision. (7) Parties to a dispute shall take all reasonable measures to amicably determine a dispute and act in good faith.</t>
  </si>
  <si>
    <t>Enforcement notice issuance authority</t>
  </si>
  <si>
    <t>The Data Commissioner may issue enforcement notices under these regulations or section 58 of the Act. Enforcement notices must specify consequences of non-compliance, including potential penalty notices under section 62(1) of the Act.</t>
  </si>
  <si>
    <t>• [Must] Issue enforcement notices under regulations or section 58 of the Act</t>
  </si>
  <si>
    <t>• [Must] Enforcement notices must specify consequences of non-compliance</t>
  </si>
  <si>
    <t>16. (1) The Data Commissioner may pursuant these Regulations or section 58 of the Act issue an enforcement notice. (2) An enforcement notice shall specify the consequences of failure to comply with the notice including issuance of a penalty notice as provided under section 62 (1) of the Act.</t>
  </si>
  <si>
    <t>Service of enforcement notices</t>
  </si>
  <si>
    <t>An enforcement notice is deemed served electronically if sent to the person's electronic address or physically delivered to their registered office. The notice takes effect from the date of service.</t>
  </si>
  <si>
    <t>• [Must] Enforcement notice deemed served electronically if sent to electronic address
• [Must] Enforcement notice deemed served physically if delivered to registered office</t>
  </si>
  <si>
    <t>• [Must] Enforcement notice takes effect from date of service</t>
  </si>
  <si>
    <t>17. (1) An enforcement notice shall be deemed to have been duly served on the concerned person where (a) an electronic copy of enforcement notice is sent to the (b) the enforcement notice is posted or physically delivered to the registered offices of the concerned person, in the absence of an electronic address.</t>
  </si>
  <si>
    <t>Review of enforcement notices</t>
  </si>
  <si>
    <t>A person receiving an enforcement notice may apply for review within the specified period or if new facts arise, to challenge the notice. The review application must be made before the deadline or on grounds of changed circumstances or non-compliance necessity.</t>
  </si>
  <si>
    <t>• [Must] Apply for review of enforcement notice in Form DPC 6
• [Must] Apply for review before end of period specified in notice</t>
  </si>
  <si>
    <t>• [Must] Apply for review on grounds of changed circumstances or new facts
• [Must] Apply for review if one or more provisions of notice need not be complied with</t>
  </si>
  <si>
    <t>18. (1) A person to whom an enforcement notice is given may apply in Form DPC 6 set out in the Schedule to the Data Commissioner for a review of the enforcement notice. (2) An application under sub-regulation (1) may be made (a) before the end of the period specified in the enforcement notice; and (b) on the ground that (i) a change of circumstances or new facts have arisen; or (ii) one or more of the provisions of that notice need not be complied with in order to remedy the failure identified in the notice.</t>
  </si>
  <si>
    <t>Appeal against enforcement notice within 30 days</t>
  </si>
  <si>
    <t>A person may appeal to the High Court within thirty days of receiving an enforcement notice if the enforcement notice decision is contested. The appeal is subject to sections 58(2)(d) and 64 of the Act. This section establishes a time limit for challenging enforcement decisions in court.</t>
  </si>
  <si>
    <t>Provides a time-bound appeal mechanism for enforcement notices, relevant to DTIA as it affects how data protection violations are resolved across borders through judicial channels.</t>
  </si>
  <si>
    <t>• [Must] A person may appeal to the High Court against a decision arising from the enforcement of the notice within thirty days of service of the enforcement notice</t>
  </si>
  <si>
    <t>Subject to sections 58 (2) (d) and 64 of the Act, a person may before the lapse of thirty days from the date of service of the enforcement notice, appeal to the High Court against a decision arising out of the enforcement of the notice.</t>
  </si>
  <si>
    <t>Penalty notice issuance and content requirements</t>
  </si>
  <si>
    <t>The Data Commissioner must issue penalty notices for breaches identified in enforcement notices. Each penalty notice must include the person's name and address, reasons for the penalty, the penalty amount, payment details, and appeal rights. The penalty amount must consider individual circumstances and may impose daily fines up to KES 10,000 per breach until rectification.</t>
  </si>
  <si>
    <t>Defines penalty notice requirements for data breaches, relevant to DTIA as it specifies how penalties are calculated and enforced across borders for non-compliance.</t>
  </si>
  <si>
    <t>• [Must] The Data Commissioner shall issue a penalty notice for each breach identified in the enforcement notice
• [Must] A penalty notice shall contain the name and address of the concerned person
• [Must] A penalty notice shall contain the reasons why the Data Commissioner proposes to impose the penalty and the amount thereof
• [Must] A penalty notice shall contain an administrative fine imposed as contemplated under section 63 of the Act</t>
  </si>
  <si>
    <t>• [Must] A penalty notice shall contain details of how the penalty is to be paid
• [Must] A penalty notice shall contain details of the rights of appeal under section 64 of the Act
• [Must] The administrative fine levied under sub-regulation (2)(c) shall consider each individual case and have due regard to factors or reasons outlined under section 62 (2) of the Act
• [May] A penalty notice may impose a daily fine of not more than ten thousand shillings for each breach identified until the breach is rectified</t>
  </si>
  <si>
    <t>(1) The Data Commissioner shall, where any of the circumstances specified under section 62 of the Act and these Regulations arises, issue a penalty notice for each breach identified in the enforcement notice.</t>
  </si>
  <si>
    <t>Enforcement of penalty notices</t>
  </si>
  <si>
    <t>10–16</t>
  </si>
  <si>
    <t>The Data Commissioner may enforce penalties by recovering the penalty amount upon the expiration of the payment period in the penalty notice, upon final determination of an appeal against the penalty notice, or upon the expiration of the appeal period. This section outlines the conditions under which penalties can be enforced.</t>
  </si>
  <si>
    <t>Specifies enforcement mechanisms for penalties, relevant to DTIA as it details when and how penalties are recovered across borders for data protection violations.</t>
  </si>
  <si>
    <t>• [Must] The Data Commissioner shall enforce or take action to recover a penalty upon the lapse of the period specified in the penalty notice for payment of the penalty
• [Must] The Data Commissioner shall enforce or take action to recover a penalty on the final determination of any appeal against the penalty notice</t>
  </si>
  <si>
    <t>• [Must] The Data Commissioner shall enforce or take action to recover a penalty on the lapse of the period given to appeal against the penalty</t>
  </si>
  <si>
    <t>The Data Commissioner shall enforce or take action to recover a penalty (a) upon the lapse of the period specified in the penalty notice for payment of the penalty; (b) on the final determination of any appeal against the penalty notice; or (c) on the lapse of the period given to appeal against the penalty.</t>
  </si>
  <si>
    <t>THE-DATA-PROTECTION-REGISTRATION-OF-DATA-CONTROLLERS-AND-DATA-PROCESSORS-REGULATIONS-2021 (Kenya = row17)</t>
  </si>
  <si>
    <t>These Regulations are formally named the Data Protection (Registration of Data Controllers and Data Processors) Regulations, 2021. They establish the legal framework for data controller and processor registration in Kenya under the Data Protection Act.</t>
  </si>
  <si>
    <t>• [Definition] These Regulations may be cited as the Data Protection (Registration of Data Controllers and Data Processors) Regulations, 2021</t>
  </si>
  <si>
    <t>These Regulations may be cited as the Data Protection (Registration of Data Controllers and Data Processors) Regulations, 2021</t>
  </si>
  <si>
    <t>Definitions of establishment documents</t>
  </si>
  <si>
    <t>This section defines 'establishment' as including statutory instruments, registration certificates, trust deeds, and other instruments that establish a body. It clarifies the scope of documents required for registration purposes.</t>
  </si>
  <si>
    <t>• [Definition] establishment means (a) a Statute, Charter or statutory instrument in which a body is established; (b) registration certificate; (c) trust deeds in which a trust has been established; and (d) other instruments by which a body is established including its governing and administrative structure</t>
  </si>
  <si>
    <t>establishment means (a) a Statute, Charter or statutory instrument in which a body is established; (b) registration certificate; (c) trust deeds in which a trust has been established; and (d) other instruments by which a body is established including its governing and administrative structure</t>
  </si>
  <si>
    <t>Registration procedure scope</t>
  </si>
  <si>
    <t>These Regulations outline the registration procedure for data controllers and processors as per the Act. They explicitly exclude civil registration entities from this registration requirement, which are governed by separate Data Protection (Civil Registration) Regulations.</t>
  </si>
  <si>
    <t>• [Must] These Regulations provide for the procedure for registration of data controllers and data processors as provided under section 18 of the Act</t>
  </si>
  <si>
    <t>• [Must Not] These Regulations shall not apply to civil registration entities specified under the Data Protection (Civil Registration) Regulations</t>
  </si>
  <si>
    <t>These Regulations provide for the procedure for registration of data controllers and data processors as provided under section 18 of the Act. These Regulations shall not apply to civil registration entities specified under the Data Protection (Civil Registration) Regulations</t>
  </si>
  <si>
    <t>Registration requirements for data controllers and processors</t>
  </si>
  <si>
    <t>Data controllers and processors must register with the Data Protection Authority. A data controller determines data processing purposes, while a data processor must have a contractual relationship with the controller and no decision-making power over processing purposes. A controller may apply for dual registration, and a processor acting outside instructions becomes a controller for that activity.</t>
  </si>
  <si>
    <t>• [Must] Subject to regulation 13 (1), every data controller and data processor shall be required to register in accordance with the provisions of the Act and these Regulations
• [Must] For purposes of registration, a person shall register as a data controller where the person determines the purpose and means for processing personal data
• [Must] For purposes of registration, a person shall register as a data processor where the person processes personal data on behalf of the data controller but excludes employees of the data controller and has (i) a contractual relationship with the data controller; and (ii) no decision making power on the purpose and means of processing personal data</t>
  </si>
  <si>
    <t>• [Must] Despite sub-regulation (2) (a), a data controller may apply for registration as both a data controller and a data processor with regards to any processing operations and shall be required to pay the requisite fees applicable for both a data controller and a data processor thereto
• [Must] Despite sub-regulation (2) (b), where a data processor processes personal data other than as instructed by the data controller, the data processor shall be considered to be a data controller in respect of that processing activity, for purposes of assessing liability</t>
  </si>
  <si>
    <t>Subject to regulation 13 (1), every data controller and data processor shall be required to register in accordance with the provisions of the Act and these Regulations. For purposes of registration, a person shall register as a data controller, where the person determines the purpose and means for processing personal data; or a data processor, where the person processes personal data on behalf of the data controller but excludes employees of the data controller and has (i) a contractual relationship with the data controller; and (ii) no decision making power on the purpose and means of processing personal data.</t>
  </si>
  <si>
    <t>Application for registration requirements</t>
  </si>
  <si>
    <t>Applications for registration must be submitted in Form DPR1 and include registration fees, establishment documents, data controller/processor particulars, and descriptions of processing purposes and data categories. This ensures comprehensive information is provided for regulatory review.</t>
  </si>
  <si>
    <t>• [Must] An application for registration of a data controller or data processor shall be in Form DPR1 set out in the First Schedule
• [Must] An application for registration shall be accompanied by the registration fees specified in the Second Schedule
• [Must] An application for registration shall be accompanied by a copy of the establishment documents</t>
  </si>
  <si>
    <t>• [Must] An application for registration shall be accompanied by particulars of the data controllers or data processors including name and contact details
• [Must] An application for registration shall be accompanied by a description of the purpose for which personal data is processed
• [Must] An application for registration shall be accompanied by a description of categories of personal data being processed</t>
  </si>
  <si>
    <t>An application for registration of a data controller or data processor shall be in Form DPR1 set out in the First Schedule; and be accompanied by the registration fees specified in the Second Schedule. An application for registration under sub-regulation (1) shall be accompanied by (a) a copy of the establishment documents; (b) particulars of the data controllers or data processors including name and contact details; (c) a description of the purpose for which personal data is processed; and (d) a description of categories of personal data being processed.</t>
  </si>
  <si>
    <t>Public entities registration</t>
  </si>
  <si>
    <t>State and county departments must register and pay fees for public entities that operate within their departments, are funded from the Consolidated Fund, and provide public services. State and county corporations must also register as data controllers or processors for their processing activities.</t>
  </si>
  <si>
    <t>• [Must] A state department or county department shall register and pay the fees on behalf of their respective entities
• [Must] The entities referred to under sub-regulation (1) shall be the public entities at national or county government which (a) operates within a state department or county department; (b) is wholly funded from the Consolidated Fund; and (c) provides a public service</t>
  </si>
  <si>
    <t>• [Must] The fees paid by the state department or county department under sub-regulation (1) shall cater for the specified entities registered under the concerned state department or county department
• [Must] Despite this regulation, a State Corporation or a County Corporation shall be required to register as a data controller or a data processor in respect of their processing activity, in the manner specified under these Regulations</t>
  </si>
  <si>
    <t>A state department or county department shall register and pay the fees on behalf of their respective entities. The entities referred to under sub-regulation (1) shall be the public entities at national or county government which operates within a state department or county department; is wholly funded from the Consolidated Fund; and provides a public service. The fees paid by the state department or county department under sub-regulation (1) shall cater for the specified entities registered under the concerned state department or county department. Despite this regulation, a State Corporation or a County Corporation shall be required to register as a data controller or a data processor in respect of their processing activity, in the manner specified under these Regulations.</t>
  </si>
  <si>
    <t>Registration approval and certificate issuance</t>
  </si>
  <si>
    <t>The Data Commissioner must issue a certificate of registration for the duration specified under regulation 9 and enter the applicant's particulars in the register within fourteen days if satisfied with the application. This applies to data controllers and data processors seeking registration under the Data Protection Regulations.</t>
  </si>
  <si>
    <t>• [Must] Issue certificate of registration for duration specified under regulation 9</t>
  </si>
  <si>
    <t>• [Must] Enter applicant's particulars in the register</t>
  </si>
  <si>
    <t>Where the Data Commissioner is satisfied that the applicant fulfills the requirements for registration under these Regulations, the Data Commissioner shall, within fourteen days (a) issue the applicant with a certificate of registration for the duration specified under regulation 9; and (b) enter the particulars of the successful applicant in the register.</t>
  </si>
  <si>
    <t>Certificate validity period</t>
  </si>
  <si>
    <t>A certificate of registration issued under regulation 8(a) remains valid for twenty-four months from the date of issuance. This applies to data controllers and data processors registered under the Data Protection Regulations.</t>
  </si>
  <si>
    <t>• [Must] Certificate of registration is valid for twenty-four months from date of issuance</t>
  </si>
  <si>
    <t>A certificate of registration issued under regulation 8 (a) shall be valid for a period of twenty-four months from the date of issuance.</t>
  </si>
  <si>
    <t>Registration refusal procedures</t>
  </si>
  <si>
    <t>The Data Commissioner must notify applicants in writing of refusal within twenty-one days and provide reasons for refusal. Refusal may occur if application particulars are insufficient, appropriate privacy safeguards are not provided, or the applicant violates the Act or Regulations. Applicants may reapply after complying with refusal requirements.</t>
  </si>
  <si>
    <t>• [Must] Notify applicant in writing of refusal within twenty-one days
• [Must] Provide reasons for refusal
• [Must Not] Refusal may occur if application particulars are insufficient</t>
  </si>
  <si>
    <t>• [Must Not] Refusal may occur if appropriate privacy safeguards are not provided
• [Must Not] Refusal may occur if data controller or processor violates Act or Regulations
• [May] Applicant may reapply after complying with refusal requirements</t>
  </si>
  <si>
    <t>(1) Where the Data Commissioner declines to approve an application for registration, the Data Commissioner shall within twenty-one days from the date of such decision (a) notify, in writing, the applicant of the refusal; and (b) provide reasons for such refusal.</t>
  </si>
  <si>
    <t>Registration renewal process</t>
  </si>
  <si>
    <t>Registered data controllers or processors must apply for renewal of registration after their certificate expires. Renewal applications must be made in Form PR 2 and accompanied by the appropriate renewal fee. The Data Commissioner may require verification if renewal is for distinct purposes or data categories.</t>
  </si>
  <si>
    <t>• [Must] Apply for renewal of registration after certificate expiry
• [Must] Make renewal application in Form PR 2</t>
  </si>
  <si>
    <t>• [Must] Accompany renewal application with appropriate renewal fee
• [May] Data Commissioner may require verification if renewal is for distinct purposes or data categories</t>
  </si>
  <si>
    <t>Pursuant to section 20 of the Act, a registered data controller or data processor shall apply for a renewal of registration as a data controller or data processor, after the expiry of the certificate of registration.</t>
  </si>
  <si>
    <t>Genetic Data Processing Registration</t>
  </si>
  <si>
    <t>This section specifies that businesses processing genetic data must register with the Data Commissioner as data controllers or processors. It serves as a threshold for mandatory registration under the Data Protection Act.</t>
  </si>
  <si>
    <t>Requires genetic data processing activities to be registered, which impacts DTIAs by necessitating specific safeguards for highly sensitive data transfers.</t>
  </si>
  <si>
    <t>• [Must] Businesses processing genetic data must register with Data Commissioner</t>
  </si>
  <si>
    <t>12. Businesses that process genetic data.</t>
  </si>
  <si>
    <t>Exemptions from mandatory registration</t>
  </si>
  <si>
    <t>Data controllers or processors with annual turnover below five million shillings and fewer than ten employees are exempt from mandatory registration. However, exemptions do not apply if processing personal data for purposes specified in the Third Schedule, and exempt entities must comply with Part IV and Part VI of the Act.</t>
  </si>
  <si>
    <t>• [Must Not] Exempt from mandatory registration if annual turnover below five million shillings and fewer than ten employees
• [Must Not] Exemptions do not apply if processing personal data for purposes specified in Third Schedule</t>
  </si>
  <si>
    <t>• [Must] Exempt entities must comply with Part IV and Part VI of the Act</t>
  </si>
  <si>
    <t>A data controller or data processor is exempt from mandatory registration under these Regulations where the data controller or data processor (a) has an annual turnover of below five million shillings or annual revenue of below five million shillings; and (b) has less than ten employees.</t>
  </si>
  <si>
    <t>Data Controller and Processor Registration Register Maintenance</t>
  </si>
  <si>
    <t>The Data Commissioner must maintain an up-to-date register containing registered data controllers and processors, their categories of personal data processed, business addresses, data protection officer details, and other relevant particulars. The register must be updated within 14 days of any changes to registration details by the data controller or processor. The Data Commissioner publishes a list of registered entities on the official website every 30 days.</t>
  </si>
  <si>
    <t>Requires maintaining a real-time register of data controllers and processors with their data processing activities, which impacts cross-border data transfers by ensuring entities are properly registered before handling personal data internationally.</t>
  </si>
  <si>
    <t>• [Must] Data Commissioner shall keep and maintain an up-to-date register containing names and particulars of registered data controllers and data processors
• [Must] Register must include categories of personal data processed by data controllers and processors
• [Must] Register must contain addresses of principal business locations of data controllers and processors</t>
  </si>
  <si>
    <t>• [Must] Register must include details of data protection officers where applicable
• [Must] Register must include any other relevant particulars
• [Must] Data Commissioner must publish a list of registered data controllers or processors on official website every 30 days</t>
  </si>
  <si>
    <t>14. (1) Subject to section 21 of the Act, the Data Commissioner shall keep and maintain an up to date register which shall contain (a) the names and particulars of registered data controllers and data processors; (b) categories of personal data being processed by the data controllers and data processors; (c) the address of the principal places of business of the data controllers and data processors; (d) where applicable, details of data protection officers; and (e) any other relevant particular. (2) The Office shall, once every thirty days, publish on the official website a list of registered data controllers or data processors.</t>
  </si>
  <si>
    <t>Registration Details Notification Requirements</t>
  </si>
  <si>
    <t>Data controllers and processors must notify the Data Commissioner in writing within 14 days of any changes to their registration particulars. The Data Commissioner must update the register upon receiving such notifications and may request additional documentation before making changes. Failure to comply constitutes an offence with penalties under section 73 of the Act.</t>
  </si>
  <si>
    <t>Mandates timely notification of registration changes, which is critical for DTIAs to ensure current registration status before cross-border data transfers.</t>
  </si>
  <si>
    <t>• [Must] Data controller or processor must notify Data Commissioner in writing within 14 days of any changes to registration particulars
• [Must] Data Commissioner must update register after receiving notification</t>
  </si>
  <si>
    <t>• [May] Data Commissioner may request necessary documents or proof before updating register
• [Must Not] Failure to comply with this regulation constitutes an offence with penalties under section 73 of the Act</t>
  </si>
  <si>
    <t>15. (1) Subject to section 19(2) of the Act, a data controller or data processor shall, within fourteen days of the occurrence of any changes in the particulars of a data controller or a data processor, notify the Data Commissioner in writing. (2) The Data Commissioner shall, on receiving the notification make the necessary changes on the register, where necessary. (3) The Data Commissioner may prior to making any change on the register, request for any necessary documents or proof thereof. (4) A data controller or data processor who contravenes this regulation commits an offence and shall, on conviction, be liable to the penalty specified under section 73 of the Act.</t>
  </si>
  <si>
    <t>Registration Certificate Cancellation or Variation</t>
  </si>
  <si>
    <t>The Data Commissioner may cancel or vary registration conditions for data controllers or processors if they provide false information, willfully or negligently fail to comply with the Act and regulations, or apply for cancellation/variation. The Commissioner must follow the Fair Administrative Actions Act, 2015 when making such decisions.</t>
  </si>
  <si>
    <t>Provides mechanisms for revoking registration where data controllers/processors fail to meet compliance requirements, which affects DTIAs by requiring thorough vetting of entities before cross-border data transfers.</t>
  </si>
  <si>
    <t>• [May] Data Commissioner may cancel certificate of registration or vary conditions for registration
• [Condition] Cancellation or variation may occur if data controller or processor applies for cancellation or variation
• [Condition] Cancellation or variation may occur if Data Commissioner establishes false or misleading information was provided</t>
  </si>
  <si>
    <t>• [Condition] Cancellation or variation may occur if data controller or processor willfully or negligently fails to comply with Act and regulations
• [Must] Data Commissioner must follow Fair Administrative Actions Act, 2015 when cancelling or varying registration</t>
  </si>
  <si>
    <t>16. (1) Subject to section 22 of the Act, the Data Commissioner may cancel a certificate of registration or vary the conditions for registration, where (a) the data controller or data processor applies for cancellation or variation; (b) the Data Commissioner establishes that the data controller or data processor provided false or misleading information in relation to any registration particulars; or (c) the data controller or data processor willfully or negligently, fails to comply with provisions of the Act and any Regulations made thereunder. (2) The Data Commissioner shall, before cancelling or varying the conditions of registration, be guided by the provisions of the Fair Administrative Actions Act, 2015.</t>
  </si>
  <si>
    <t>Registration Offences</t>
  </si>
  <si>
    <t>6–13</t>
  </si>
  <si>
    <t>Data controllers or processors who fail to register personal data processing activities, provide false information during registration, or fail to renew their certificate of registration after expiry commit offences under this regulation. Penalties are specified in section 73 of the Act.</t>
  </si>
  <si>
    <t>Defines specific offences related to registration compliance, which are critical for DTIAs to assess whether entities meet registration requirements before cross-border data transfers.</t>
  </si>
  <si>
    <t>• [Must Not] Data controller or processor who processes personal data without registering commits an offence
• [Must Not] Data controller or processor who provides false or misleading information for registration commits an offence</t>
  </si>
  <si>
    <t>• [Must Not] Data controller or processor who fails to renew certificate of registration and continues processing after expiry commits an offence
• [Must] Offenders face penalties specified under section 73 of the Act</t>
  </si>
  <si>
    <t>18. A data controller or a data processor who (a) processes personal data without registering in accordance with these Regulations; (b) provides false or misleading information for the purpose of registration; or (c) fails to renew a certificate of registration and continues to process personal data after the expiry of the certificate, commits an offence and shall, upon conviction, be liable to penalty specified under section 73 of the Act.</t>
  </si>
  <si>
    <t>The Capital Markets (Corporate Governance) (Market Intermediaries) Regulations-1</t>
  </si>
  <si>
    <t>Conflict of interest disclosures for employees</t>
  </si>
  <si>
    <t>Employee Data</t>
  </si>
  <si>
    <t>Kenya Capital Markets Authority</t>
  </si>
  <si>
    <t>Employees must disclose outside business activities that conflict with market intermediary interests, including financial interests in clients, part-time employment, corporate directorships, and trusteeships. Approval from management or board is required before engaging in such activities.</t>
  </si>
  <si>
    <t>Requires conflict of interest disclosures to ensure data transfers and processing are not compromised by employee conflicts.</t>
  </si>
  <si>
    <t>• [Must] Directors, management and staff must disclose business activities that compete or conflict with market intermediary's interests
• [Must] Financial interest in client must be disclosed immediately to management and client
• [Must] Affected director must not be involved in client dealings while financial interest exists
• [Must] Business activities outside market intermediary during office hours constitute conflict of interest</t>
  </si>
  <si>
    <t>• [Must] Part-time employment must be discussed with manager and approved by board or chief executive
• [Must] Employees must not solicit corporate directorships without board approval
• [May] Employees may act as directors of non-profit public service corporations with board approval
• [Must] Employees must not solicit appointments as executors, administrators or trustees of clients' estates</t>
  </si>
  <si>
    <t>Directors, management and staff should not engage directly or indirectly in any business activity that competes or conflicts with the market intermediary's interest or those of its clients unless fully disclosed to the clients.</t>
  </si>
  <si>
    <t>Prohibition on using market intermediary facilities for personal gain</t>
  </si>
  <si>
    <t>Directors, management, and staff must not use the market intermediary's name or facilities for personal advantage in political, investment, or retail transactions. They also cannot use their connection to borrow from or become indebted to clients. Additionally, they are prohibited from using their position to obtain preferential treatment in purchasing goods, shares, or securities. This prohibition may lead to dismissal and prosecution.</t>
  </si>
  <si>
    <t>Prohibits misuse of market intermediary facilities for personal gain, which could impact cross-border data transfers if client financial data is involved in such transactions.</t>
  </si>
  <si>
    <t>• [Must] Directors, management and staff must not use the market intermediary's name or facilities for personal advantage in political, investment or retail purchasing transactions
• [Must] Directors, management and staff must not use their connection with the market intermediary to borrow from or become indebted to clients</t>
  </si>
  <si>
    <t>• [Must] Directors, management and staff must not use their position to obtain preferential treatment in purchasing goods, shares and other securities</t>
  </si>
  <si>
    <t>Directors, management and staff must not use the market intermediary's name or facilities for personal advantage in political, investment or retail purchasing transactions, or in similar types of activities.</t>
  </si>
  <si>
    <t>Prohibition on insider trading and misuse of confidential information</t>
  </si>
  <si>
    <t>Directors, management, and staff are prohibited from trading securities when they possess non-public information that could materially affect the market price. They also cannot influence others to trade or share such information, which is considered insider dealing and is a crime. This section applies to market intermediaries in Kenya.</t>
  </si>
  <si>
    <t>Prohibits insider trading and misuse of confidential information, which could affect data transfers involving client financial information across borders.</t>
  </si>
  <si>
    <t>• [Must] Directors, management and staff should not deal in securities when in possession of non-public information that could materially affect market prices</t>
  </si>
  <si>
    <t>• [Must] Directors, management and staff prohibited from influencing others to deal in securities or communicating insider information</t>
  </si>
  <si>
    <t>Directors, management and staff should not deal in the securities of any company listed or pending listing on a stock exchange at any time when in possession of information... which would likely bring a material change in the market price of the shares or other securities of the company concerned.</t>
  </si>
  <si>
    <t>Requirement for accurate and complete financial records</t>
  </si>
  <si>
    <t>Financial Data, Data Storage</t>
  </si>
  <si>
    <t>Accounting records and reports must be complete and accurate, with no false entries that obscure transaction nature or mislead authorization limits. All records and computer files must be used only for their intended management purposes to ensure integrity and prevent fraud.</t>
  </si>
  <si>
    <t>Ensures accurate financial records, which is critical for data transfers involving financial information to prevent misrepresentation or fraud.</t>
  </si>
  <si>
    <t>• [Must] Accounting records and reports must be complete and accurate
• [Must] No false entries or entries that obscure the true nature of transactions or mislead authorization limits</t>
  </si>
  <si>
    <t>• [Must] All records and computer files must be accessed and used only for management purposes for which they were originally intended</t>
  </si>
  <si>
    <t>Accounting records and reports must be complete and accurate. Directors, management and staff should never make entries or allow entries to be made for any account, record or document of the market intermediary that are false and would obscure the true nature of the transaction...</t>
  </si>
  <si>
    <t>Confidentiality of client information and transactions</t>
  </si>
  <si>
    <t>Directors, management, and staff must protect client information and transactions from disclosure, except in the proper course of duty or with written consent. They cannot use client information for financial gain. Business information may be shared with third parties only with client consent or as required by law.</t>
  </si>
  <si>
    <t>Requires strict confidentiality of client data, which is essential for data transfers to prevent unauthorized access or breaches.</t>
  </si>
  <si>
    <t>• [Must] Directors, management and staff must take precautions to protect client information and transactions
• [Must] No staff, management or director may disclose or use secrets, copyright material, or client correspondence without written consent or proper duty</t>
  </si>
  <si>
    <t>• [Must] No staff, management or director may use information obtained for financial gain
• [Must] Business and financial information about clients may be shared with third parties only with prior written consent or as required by law</t>
  </si>
  <si>
    <t>Confidentiality of relations and dealings between the market intermediary and its clients is paramount... No member of staff, management or director should during, or upon and after termination of employment... divulge or make use of any secrets, copyright material, or any correspondence...</t>
  </si>
  <si>
    <t>Fair and equitable treatment of clients and staff</t>
  </si>
  <si>
    <t>All business dealings with clients, staff, and those relying on the market intermediary must be conducted fairly and equitably without influence from friendship or association. Decisions must be arms-length business decisions, avoiding preferential transactions with insiders unless fully documented and authorized by the Board.</t>
  </si>
  <si>
    <t>Ensures fair treatment in transactions, which is critical for data transfers to prevent bias or preferential handling of client data.</t>
  </si>
  <si>
    <t>• [Must] All business dealings with clients, staff, and those relying on the market intermediary must be conducted fairly and equitably
• [Must] Staff, management and directors must not be influenced by friendship or association in meeting client requirements or recommendations</t>
  </si>
  <si>
    <t>• [Must] Decisions must be made on a strictly arms-length business basis
• [Must] Preferential transactions with insiders must be avoided or, if transacted, must be fully documented and authorized by the Board</t>
  </si>
  <si>
    <t>All business dealing on behalf of the market intermediary with the current potential clients, with other members of staff and with those who may have cause to rely upon the market intermediary should be conducted fairly and equitably.</t>
  </si>
  <si>
    <t>Prohibition on insider loans and credit facilities</t>
  </si>
  <si>
    <t>Market intermediaries in Kenya cannot grant unsecured advances to employees or their associates. Loans to officers, significant shareholders, or their associates must be fully secured, approved by the Board, and on terms similar to ordinary clients. Any loans must not be made in a fraudulent or reckless manner.</t>
  </si>
  <si>
    <t>Restricts insider loans, which is critical for data transfers involving financial information to prevent conflicts of interest.</t>
  </si>
  <si>
    <t>• [Must Not] Market intermediary shall not grant or permit unsecured advances to employees or their associates
• [Must Not] Market intermediary shall not grant unsecured or non-fully secured advances to officers, significant shareholders, or their associates
• [Must] Loans to directors or other management participants must be approved by the full board of directors</t>
  </si>
  <si>
    <t>• [Must] Loans must be made in the normal course of business on terms similar to ordinary clients
• [Must] Market intermediary must notify the Authority within seven days of approval for loans to directors
• [Must Not] Loans must not be made in a fraudulent or reckless manner or otherwise than in compliance with the Act and regulations</t>
  </si>
  <si>
    <t>Directors, management and staff should not use their positions to further their personal interests. A market intermediary shall not in Kenya therefore—</t>
  </si>
  <si>
    <t>Code of conduct for market intermediary staff</t>
  </si>
  <si>
    <t>Capital Markets Authority (Kenya)</t>
  </si>
  <si>
    <t>The board may adopt or develop a code of conduct for directors, management and staff that addresses issues specified in the Schedule, but the Schedule's code of conduct takes precedence if the developed code omits issues or is inconsistent with it. This applies to market intermediaries in Kenya.</t>
  </si>
  <si>
    <t>This section requires market intermediaries to establish codes of conduct that may impact data handling practices and employee data management during data transfers.</t>
  </si>
  <si>
    <t>• [May] The Board may adopt the code of conduct set out in the Schedule or develop a code of conduct for directors, management and staff</t>
  </si>
  <si>
    <t>• [Condition] Where the code of conduct developed by a market intermediary does not address all issues or is inconsistent with the Schedule, the Schedule shall apply to the extent of omission or inconsistency</t>
  </si>
  <si>
    <t>The Board may adopt the code of conduct set out in the Schedule or develop a code of conduct for the directors, management and staff that addresses the issues specified in the code of conduct set out in the Schedule: Provided that where the code of conduct developed by a market intermediary does not address all the issues specified or is inconsistent with the code of conduct set out in the Schedule, the code of conduct set out in the Schedule shall apply to the extent of the omission or inconsistency.</t>
  </si>
  <si>
    <t>Board charter requirements for market intermediaries</t>
  </si>
  <si>
    <t>The board must prepare a charter confirming responsibility for strategic plans, operational performance monitoring, policy determination for risk management and internal controls, delegation of powers, conflict of interest management, and identification of key risk areas requiring regular monitoring. This applies to market intermediaries in Kenya.</t>
  </si>
  <si>
    <t>This section mandates board charters that impact data transfer impact assessments by requiring specific risk management and internal control frameworks for financial data handling.</t>
  </si>
  <si>
    <t>• [Must] Confirm responsibility for adoption of strategic plans, monitoring operational performance, and determination of policy for risk management and internal controls
• [Must] Reserve specific powers for itself and delegate other matters to management</t>
  </si>
  <si>
    <t>• [Must] Provide a corporate code of conduct addressing conflict of interest for directors and management, regularly reviewed and updated
• [Must] Identify key risk areas requiring regular monitoring</t>
  </si>
  <si>
    <t>(1) In order to discharge its responsibilities, the board shall prepare and write a charter that— (a) confirms its responsibility for the adoption of strategic plans, monitoring the operational performance, the determination of policy and processes that ensure that the integrity of the market intermediary's risk management and internal controls; (b) reserves specific powers to itself and delegates other matters to the management of a market intermediary; (c) provides a corporate code of conduct that addresses conflict of interest, relating to directors and management, which shall be regularly reviewed and updated as necessary; and (d) identifies key risk areas, that require regular monitoring.</t>
  </si>
  <si>
    <t>Board accountability for market intermediaries</t>
  </si>
  <si>
    <t>The board must be responsible for the performance and conduct of the market intermediary's business, maintain a schedule of matters reserved for its decision, and not be discharged from duties for matters delegated to committees or management. This applies to market intermediaries in Kenya.</t>
  </si>
  <si>
    <t>This section establishes board accountability that impacts data transfer impact assessments by requiring oversight of data handling practices and decision-making processes.</t>
  </si>
  <si>
    <t>• [Must] Be responsible and accountable for the performance and conduct of the market intermediary's business
• [Must] Keep and maintain a schedule of matters reserved for its decision</t>
  </si>
  <si>
    <t>• [Must] Direct and control matters delegated to committees or management</t>
  </si>
  <si>
    <t>The board shall be responsible and accountable for the performance and conduct of the business of the market intermediary. The board shall keep and maintain a schedule of the matters reserved for its decision and ensure that it directs and controls. The board shall not be discharged from its duties and responsibilities for matters or authority delegated to committees of the board or to the management of a market intermediary.</t>
  </si>
  <si>
    <t>Board meeting frequency for market intermediaries</t>
  </si>
  <si>
    <t>The board must meet at least once every three calendar months to review market intermediaries' processes, procedures, and internal control effectiveness, and prepare an annual schedule of meetings at the beginning of each financial year. This applies to market intermediaries in Kenya.</t>
  </si>
  <si>
    <t>This section requires regular board meetings that impact data transfer impact assessments by ensuring periodic reviews of data handling and control mechanisms.</t>
  </si>
  <si>
    <t>• [Must] Meet at least once in every three calendar months to review market intermediary's processes and procedures and effectiveness of internal systems of control</t>
  </si>
  <si>
    <t>• [Must] Prepare an annual schedule of meetings at the beginning of each financial year</t>
  </si>
  <si>
    <t>The board shall meet at least once in every three calendar months to review the market intermediary's processes and procedures and the effectiveness of its internal systems of control. The board shall, at the beginning of each financial year, prepare an annual schedule of the meetings of the market intermediary.</t>
  </si>
  <si>
    <t>Director remuneration standards for market intermediaries</t>
  </si>
  <si>
    <t>The remuneration of directors and chief executives must be commensurate with the market intermediary's operations and the remuneration offered for similar positions in the market. This applies to market intermediaries in Kenya.</t>
  </si>
  <si>
    <t>This section sets remuneration standards that may indirectly impact data transfer impact assessments through governance structures affecting data handling practices.</t>
  </si>
  <si>
    <t>• [Must] Remuneration of directors and chief executive must be commensurate with the nature and size of operations and remuneration for similar positions in the market</t>
  </si>
  <si>
    <t>The remuneration of directors and the chief executive of a market intermediary shall be commensurate with the nature and size of operations of the market intermediary and the remuneration offered for similar positions in the market.</t>
  </si>
  <si>
    <t>Board committees and reporting procedures</t>
  </si>
  <si>
    <t>Kenya Securities and Exchange Commission</t>
  </si>
  <si>
    <t>Market intermediaries must establish an audit committee and other committees with written terms of reference, reporting procedures, and authority scope. The audit committee reviews internal audit reports, financial statements, risk management policies, internal controls, external auditors' work, compliance with codes of conduct, and conducts special investigations. Committee decisions require board ratification to be binding.</t>
  </si>
  <si>
    <t>Requires internal governance structures that impact data handling through committee oversight of financial and operational controls, which may affect data processing and storage practices across borders.</t>
  </si>
  <si>
    <t>• [Must] Board shall establish audit committee and other committees as necessary
• [Must] Committees must specify terms of reference, reporting procedures, and authority scope in writing
• [Must] Audit committee must review internal audit reports for management and management's response
• [Must] Audit committee must review periodical financial statements and financial reports
• [Must] Audit committee must review audited and unaudited financial statements before public release
• [Must] Audit committee must review effectiveness of risk management policy
• [Must] Audit committee must review internal controls affecting financial performance and reporting</t>
  </si>
  <si>
    <t>• [Must] Audit committee must review external auditors' proposed audit scope and approach
• [Must] Audit committee must monitor compliance with code of conduct and ethics
• [Must] Audit committee must consider compliance work plan
• [Must] Audit committee must regularly report to board on activities, issues, and recommendations
• [Must] Audit committee must institute and oversee special investigations when necessary
• [May] Board may refer matters to committees for consideration and determination
• [Condition] Committee decisions do not bind market intermediary unless presented to board for ratification</t>
  </si>
  <si>
    <t>13. Committees (1) The board shall establish an audit committee and such other committees, as it considers necessary and specify their terms of reference, in writing, including the reporting procedures and a written scope of authority.</t>
  </si>
  <si>
    <t>Corporate governance framework requirements</t>
  </si>
  <si>
    <t>Market intermediaries must establish a corporate governance framework providing strategic guidance for board accountability and timely documentation of financial, ownership, and governance information. Boards must review management, operations, accounts, capital expenditure, and corporate performance quarterly, and review governance structures annually, documenting review outcomes.</t>
  </si>
  <si>
    <t>Mandates robust governance frameworks that influence data handling practices, particularly through quarterly financial reviews and documentation requirements affecting data storage and processing.</t>
  </si>
  <si>
    <t>• [Must] Market intermediary shall establish corporate governance framework providing strategic guidance for board accountability
• [Must] Corporate governance framework must ensure timely and accurate documentation of financial structure, performance, ownership, and governance
• [Must] Board shall review management, operations, accounts, major capital expenditure, and corporate performance quarterly</t>
  </si>
  <si>
    <t>• [Must] Board shall review corporate governance structure annually
• [Must] Board shall document results of reviews conducted quarterly and annually</t>
  </si>
  <si>
    <t>14. Corporate governance framework (1) A market intermediary shall establish a corporate governance framework that provides— (a) strategic guidance of the market intermediary that promotes the effective monitoring of the management and accountability of the board; and (b) for availability and documentation of timely and accurate information relating to the market intermediary, including its financial structure, performance, ownership and governance.</t>
  </si>
  <si>
    <t>Shareholder responsibilities and oversight</t>
  </si>
  <si>
    <t>Shareholders must jointly and severally protect and exercise authority over market intermediaries in general meetings. They must elect qualified directors, ensure board accountability, and change board composition when necessary. Shareholders must also approve acquisitions or transfers resulting in control over five percent or more of shares, and market intermediaries cannot appoint shareholders with over 25% shareholding as executives.</t>
  </si>
  <si>
    <t>Shareholder oversight mechanisms impact data governance through board accountability and restrictions on executive appointments, which may affect data processing and storage practices.</t>
  </si>
  <si>
    <t>• [Must] Shareholders shall jointly and severally protect and exercise authority over market intermediary in general meetings
• [Must] Shareholders must elect or appoint persons with relevant experience and qualifications to board of directors
• [Must] Shareholders must ensure board is held accountable through general meetings
• [Must] Shareholders must use powers to change board composition when directors fail to perform</t>
  </si>
  <si>
    <t>• [Must] Shareholders must apply for Authority approval for acquisitions or transfers resulting in control over five percent or more of shares
• [Must] Market intermediary must obtain approvals before share allotment
• [Must Not] Market intermediary cannot appoint shareholders with more than twenty-five percent shareholding as executive directors or senior management</t>
  </si>
  <si>
    <t>15. Responsibilities of shareholders (1) The shareholders of a market intermediary shall, jointly and severally, protect, preserve and actively exercise the authority over the institution in general meetings.</t>
  </si>
  <si>
    <t>Employee appointment policies</t>
  </si>
  <si>
    <t>Market intermediaries must establish and obtain approval from the Authority for employee appointment policies. The board must review these policies at least every three years and submit any changes to the Authority for approval.</t>
  </si>
  <si>
    <t>Employee appointment policies influence data handling through governance requirements that affect data processing and storage practices.</t>
  </si>
  <si>
    <t>• [Must] Board shall formulate employee appointment policy approved by Authority
• [Must] Board shall review employee appointment policy at least every three years</t>
  </si>
  <si>
    <t>• [Must] Board shall submit policy changes to Authority for approval</t>
  </si>
  <si>
    <t>16. Appointment of employees (1) The board shall formulate a policy for the appointment of employees, which shall be approved the Authority.</t>
  </si>
  <si>
    <t>Chief executive officer responsibilities</t>
  </si>
  <si>
    <t>The chief executive officer must implement board policies, recommend competent officers, coordinate departments, establish internal controls, design management information systems, appraise the board on operations, and ensure compliance with laws. Market intermediaries cannot change shareholders, directors, CEOs, or key personnel without Authority approval.</t>
  </si>
  <si>
    <t>CEO responsibilities impact data handling through internal control systems and compliance requirements, which may affect data processing and storage practices.</t>
  </si>
  <si>
    <t>• [Must] CEO must implement board policies and corporate strategy
• [Must] CEO must identify and recommend competent officers for market intermediary operations
• [Must] CEO must coordinate operations of departments within market intermediary
• [Must] CEO must establish and maintain efficient internal control systems</t>
  </si>
  <si>
    <t>• [Must] CEO must design and implement management information systems
• [Must] CEO must regularly appraise board on market intermediary operations
• [Must] CEO must ensure market intermediary complies with Act and other relevant laws
• [Must Not] Market intermediary cannot change shareholders, directors, CEOs, or key personnel without Authority approval</t>
  </si>
  <si>
    <t>17. Chief executive officer (1) The chief executive officer of a market intermediary shall be responsible to the board for the day to day running of the market intermediary and shall— (a) implement the policies and the corporate strategy developed by the board; ...</t>
  </si>
  <si>
    <t>Employee duty separation</t>
  </si>
  <si>
    <t>Market intermediaries must maintain adequate separation of employee duties, particularly between those responsible for incurring commitments, making payments, and preparing accounts. They must also implement internal controls, functional lines, and systems to restrict information flow between key departments.</t>
  </si>
  <si>
    <t>Duty separation requirements impact data handling through internal control mechanisms that affect data processing and storage practices.</t>
  </si>
  <si>
    <t>• [Must] Market intermediary must maintain adequate separation of employee duties between commitment incurring, payment making, and account preparation</t>
  </si>
  <si>
    <t>• [Must] Market intermediary must maintain internal controls, functional lines, and systems to restrict information flow between key departments</t>
  </si>
  <si>
    <t>18. Separation of employees' duties (1) The management of a market intermediary shall maintain adequate separation of employee duties, particularly between— (a) those responsible for incurring commitment; (b) those responsible for making payments; and (c) those responsible for preparing accounts.</t>
  </si>
  <si>
    <t>Employee fitness and proper qualifications for market intermediaries</t>
  </si>
  <si>
    <t>Employee Information, Security, Processing</t>
  </si>
  <si>
    <t>The Authority</t>
  </si>
  <si>
    <t>Market intermediaries must ensure all employees possess necessary qualifications, experience, and integrity. The board must verify employees' fitness for roles, including no evidence of lack of integrity or issues affecting their financial management. Management must document specific qualifications for each position and meet regulatory requirements.</t>
  </si>
  <si>
    <t>Requires employee vetting and documentation to ensure staff are fit for roles, relevant to internal controls and risk management in financial operations.</t>
  </si>
  <si>
    <t>• [Must] Board ensures all employees are fit and proper for roles with necessary qualifications and experience
• [Must] Management determines and documents experience and qualifications for each post</t>
  </si>
  <si>
    <t>• [Must] Management ensures all employees have documented training program based on needs and regulatory requirements</t>
  </si>
  <si>
    <t>The board shall ensure that all employees are fit and proper for their roles, including having the necessary qualifications and experience for their responsibilities and that there is no evidence of lack of integrity or other matters likely to raise concerns over their probity and capacity in managing their own financial affairs or those of clients.</t>
  </si>
  <si>
    <t>Market intermediary management responsibilities</t>
  </si>
  <si>
    <t>Processing, Security, Record Keeping</t>
  </si>
  <si>
    <t>Market intermediaries must operate daily, implement board policies, adhere to operational systems, follow planning processes, promote HR development, comply with conduct codes, and maintain records. Management must ensure employees have job descriptions, understand conduct codes, possess necessary knowledge, and have defined areas of discretion with oversight.</t>
  </si>
  <si>
    <t>Sets operational and compliance standards for market intermediaries, ensuring internal controls and oversight mechanisms are in place for financial risk management.</t>
  </si>
  <si>
    <t>• [Must] Management operates and manages market intermediary on day-to-day basis
• [Must] Management implements and adheres to board-developed policies, practices and standards
• [Must] Management adheres to systems for efficient operations and communications
• [Must] Management adheres to planning processes for achieving targets and objectives
• [Must] Management promotes human resource development and staff issues
• [Must] Management complies with code of conduct, the Act and relevant laws
• [Must] Management keeps and maintains records and complies with reporting requirements</t>
  </si>
  <si>
    <t>• [Must] Each employee has a job description defining duties and responsibilities
• [Must] All employees familiarize themselves with and adhere to the code of conduct
• [Must] Employees collectively have necessary knowledge, skills, information and authority to establish, operate and monitor internal controls
• [Must] Areas of discretion and action criteria for employees are adequately defined with oversight by another employee
• [Must] Employees' ability to commit market intermediary to expenditure or trading matters is sufficiently defined
• [Must] There are adequate financial controls including dual signatures for material payments</t>
  </si>
  <si>
    <t>The management of a market intermediary shall— (a) implement and adhere to the policies, practices and standards developed by the board; (b) adhere to the systems established to facilitate efficient operations and communications; (c) adhere to the planning process that has been developed to facilitate achievement of targets and objectives; (d) promote human resource development and training and deal with other issues relating to staff; (e) comply with the code of conduct, the Act and any other relevant laws; and (f) keep and maintain record, and comply with all the reporting requirements.</t>
  </si>
  <si>
    <t>Finance officers and internal auditors must be ICPAK members</t>
  </si>
  <si>
    <t>The chief finance officer and internal audit function responsible persons must be members of the Institute of Certified Public Accountants of Kenya (ICPAK). This ensures financial and audit personnel meet professional standards.</t>
  </si>
  <si>
    <t>Requires finance and internal audit staff to hold specific professional qualifications relevant to financial controls and risk management.</t>
  </si>
  <si>
    <t>• [Must] Chief finance officer or internal audit function responsible person must be ICPAK member</t>
  </si>
  <si>
    <t>The chief finance officer or any other person who is responsible for the finance department of a market intermediary and the person responsible for the internal audit function, shall be required to be members of the Institute of Certified Public Accountants of Kenya (ICPAK).</t>
  </si>
  <si>
    <t>Internal audit function establishment and charter</t>
  </si>
  <si>
    <t>Market intermediaries must establish an effective internal audit function. The board must create an internal audit charter that defines the purpose, authority, and responsibilities of the function, ensuring it evaluates and improves risk management, control, and governance processes.</t>
  </si>
  <si>
    <t>Requires a formal internal audit function to assess and improve risk management and control systems, critical for financial oversight.</t>
  </si>
  <si>
    <t>• [Must] Market intermediary establishes an effective internal audit function
• [Must] Board formulates internal audit charter to evaluate and improve risk management, control and governance processes
• [Must] Internal audit charter provides assurance on management processes identifying significant risks</t>
  </si>
  <si>
    <t>• [Must] Internal audit charter confirms effective operation of internal control system
• [Must] Internal audit charter provides credible processes for risk management and assurance feedback
• [Must] Internal audit charter ensures board receives reliable information from management</t>
  </si>
  <si>
    <t>The market intermediary shall establish an effective internal audit function. The board shall formulate an internal audit charter to bring a systematic, disciplined approach to evaluate and improve the effectiveness of risk management, control and governance processes and define the purpose, authority and responsibility of the internal audit function.</t>
  </si>
  <si>
    <t>Internal auditor appointment and responsibilities</t>
  </si>
  <si>
    <t>The board must appoint an internal auditor who is not the compliance officer, has sufficient authority, direct access to the board, and develops an internal audit program under audit committee oversight. The auditor must submit quarterly reports to the committee.</t>
  </si>
  <si>
    <t>Specifies internal auditor qualifications and reporting requirements to ensure independent oversight of financial and operational controls.</t>
  </si>
  <si>
    <t>• [Must] Internal auditor not be the compliance officer and not involved in audited functions
• [Must] Internal auditor has sufficient authority to carry out functions
• [Must] Internal auditor has direct access to the board</t>
  </si>
  <si>
    <t>• [Must] Internal auditor develops internal audit program under audit committee oversight
• [Must] Internal auditor submits quarterly reports to audit committee</t>
  </si>
  <si>
    <t>The board shall appoint an internal auditor who shall— (a) not be the compliance officer and shall not be involved in any function that is being audited; (b) have sufficient authority to carry out his function as an internal auditor; (c) have direct access to the board; (d) subject to the oversight of the audit committee, develop an internal audit programme; and (e) submit quarterly reports to the audit committee.</t>
  </si>
  <si>
    <t>Risk management responsibilities</t>
  </si>
  <si>
    <t>11–13</t>
  </si>
  <si>
    <t>The board must develop and implement risk assessment and management processes, regularly review effectiveness. Management must be accountable for designing, implementing, monitoring and integrating risk management into daily operations. The process must address compliance, payment systems, operational, human resource, technology, business continuity, credit, market, reputational, political and other risks. The board and management must document policies, communicate to employees, maintain contingency plans, and evaluate them regularly.</t>
  </si>
  <si>
    <t>Requires comprehensive risk management frameworks addressing financial and operational risks, critical for data security and regulatory compliance in financial services.</t>
  </si>
  <si>
    <t>• [Must] Board develops and implements risk assessment and management process, regularly reviews effectiveness
• [Must] Management accountable to board for designing, implementing, monitoring and integrating risk management into daily operations
• [Must] Risk assessment process addresses compliance, payment systems, operational, human resource, technology, business continuity, credit, market, reputational, political and other risks
• [Must] Board and management develop documented risk management policies and processes
• [Must] Management communicates risk management policies to all employees</t>
  </si>
  <si>
    <t>• [Must] Management maintains backup and contingency plans for information technology failure, record loss and business premises loss
• [Must] Management makes arrangements for business continuity in case of key personnel loss
• [Must] Management evaluates contingency plans on a regular basis
• [Must] Board appoints risk management officer to assist in risk management, review integrity of risk control systems, define risk management function, monitor external developments, provide independent oversight and review information presented by management</t>
  </si>
  <si>
    <t>The board shall be responsible for the development and implementation of the process of risk assessment and management and shall regularly review the effectiveness of the process.</t>
  </si>
  <si>
    <t>Board's information management system requirements</t>
  </si>
  <si>
    <t>The board must develop an information management system that tracks implementation of policies, risk realization, market positions, and financial status of market intermediaries. This system must provide real-time insights into the intermediary's operational health and risk exposure. The requirement applies to all market intermediaries operating under this regulation.</t>
  </si>
  <si>
    <t>This section mandates a board-level information system that monitors financial and risk data, requiring market intermediaries to maintain robust internal reporting mechanisms for cross-border data flows and financial transparency.</t>
  </si>
  <si>
    <t>• [Must] Board develops and implements an information management system
• [Must] System provides information on policy implementation
• [Must] System tracks risk realization</t>
  </si>
  <si>
    <t>• [Must] System monitors substantial market positions
• [Must] System reflects financial position of market intermediary</t>
  </si>
  <si>
    <t>The board shall develop and implement an information management system that provides information relating to its implementation, the effect of the board's policies and procedures, the realisation of risks, substantial market positions and the financial position of the market intermediary.</t>
  </si>
  <si>
    <t>Board's internal control responsibilities</t>
  </si>
  <si>
    <t>The board must establish and monitor internal control systems that ensure effective operation. This includes developing policies, verifying system functionality, and maintaining procedure manuals for internal controls. The requirement applies to market intermediaries to ensure their internal controls meet regulatory standards.</t>
  </si>
  <si>
    <t>This section requires market intermediaries to maintain robust internal controls that impact data handling practices, particularly for financial data and risk management across borders.</t>
  </si>
  <si>
    <t>• [Must] Board is responsible for market intermediary's internal control system
• [Must] Board establishes and monitors internal control policies</t>
  </si>
  <si>
    <t>• [Must] Board verifies system effectiveness</t>
  </si>
  <si>
    <t>The board shall be responsible for the market intermediary's system of internal controls. The board shall establish and monitor appropriate policies on internal controls and satisfy itself that the system is functioning effectively.</t>
  </si>
  <si>
    <t>Management and employee roles in internal controls</t>
  </si>
  <si>
    <t>Market intermediary management must implement board policies on risk and internal controls. Employees must participate in internal control activities to ensure objectives are met. This section emphasizes accountability across all levels of the organization for maintaining effective internal controls.</t>
  </si>
  <si>
    <t>This section mandates clear roles for management and employees in internal controls, which affects how data is handled and protected within market intermediaries.</t>
  </si>
  <si>
    <t>• [Must] Management implements board policies on risk and internal controls
• [Must] Management identifies and evaluates risks for board consideration</t>
  </si>
  <si>
    <t>• [Must] Management designs, operates and monitors internal control system
• [Must] Employees are responsible for internal control as part of their accountability</t>
  </si>
  <si>
    <t>The management of a market intermediary shall implement the board's policies on risk and internal controls. The employees shall be responsible for internal control as part of their accountability towards the achievement of the objectives of the market intermediary.</t>
  </si>
  <si>
    <t>Periodic internal control reviews</t>
  </si>
  <si>
    <t>Management must report internal control monitoring activities to the board. The board must periodically review internal control effectiveness based on management's reports and document findings and actions taken. This ensures ongoing oversight of internal controls.</t>
  </si>
  <si>
    <t>This section requires regular internal control reviews that impact data handling practices, particularly for financial data and risk management across borders.</t>
  </si>
  <si>
    <t>• [Must] Management reports internal control monitoring activities to board
• [Must] Board periodically reviews internal control effectiveness</t>
  </si>
  <si>
    <t>• [Must] Board documents results and conclusions of reviews</t>
  </si>
  <si>
    <t>The board shall periodically review and enquire, based on the information and assurances provided to it by management of a market intermediary, to determine the effectiveness of internal controls established by the management of a market intermediary.</t>
  </si>
  <si>
    <t>Compliance officer responsibilities</t>
  </si>
  <si>
    <t>The board must appoint a compliance officer with specific powers to monitor regulatory compliance, access information, report non-compliance, and ensure accountability. The officer may be personally liable for non-compliance with regulatory requirements.</t>
  </si>
  <si>
    <t>This section mandates a compliance officer role that ensures regulatory adherence, which impacts data handling practices and cross-border data transfers for market intermediaries.</t>
  </si>
  <si>
    <t>• [Must] Board appoints compliance officer who monitors regulatory compliance
• [Must] Compliance officer has sufficient authority to carry out functions
• [Must] Compliance officer has unfettered access to information
• [Must] Compliance officer has direct access to board
• [Must] Compliance officer takes action to rectify non-compliance</t>
  </si>
  <si>
    <t>• [Must] Compliance officer reports non-compliance issues to board
• [Must] Compliance officer reports material regulatory breaches to board
• [Must] Compliance officer submits annual corporate governance report to board
• [Should] Officer in charge of compliance may be personally liable for non-compliance</t>
  </si>
  <si>
    <t>The board shall appoint a compliance officer who shall— (a) monitor compliance with the regulatory requirements prescribed by the Authority, and shall not be involved with any function that is the subject of compliance; (b) have sufficient authority to carry out such function; (c) have unfettered access to information; (d) have direct access to the board; (e) take necessary action to rectify any non-compliance; (f) report any non-compliance issues that cannot be rectified to the board; (g) report to the board any material breaches of the regulatory requirements; and (h) submit an annual corporate governance report to the board.</t>
  </si>
  <si>
    <t>Client funds receipt procedures</t>
  </si>
  <si>
    <t>Market intermediaries must implement systems to deposit client funds directly into client bank accounts, avoiding cash handling by employees. This ensures proper financial segregation and reduces fraud risks.</t>
  </si>
  <si>
    <t>This section mandates direct client fund deposits, which impacts data handling practices for financial transactions and cross-border transfers.</t>
  </si>
  <si>
    <t>• [Must] Market intermediary establishes systems for direct client fund deposits
• [Must] All client funds must be deposited in intermediary's client bank account</t>
  </si>
  <si>
    <t>• [Must Not] Employees must not handle client cash</t>
  </si>
  <si>
    <t>A market intermediary shall establish and implement systems that ensure that all funds received on behalf of clients are deposited directly in the intermediary's client bank account to ensure employees avoid the receipt of cash.</t>
  </si>
  <si>
    <t>Employee records must demonstrate qualification and fitness assessments</t>
  </si>
  <si>
    <t>Employee Information</t>
  </si>
  <si>
    <t>Market intermediaries must maintain records proving each employee's qualifications, experience, fitness, and propriety. These records include job applications with verification, job descriptions, qualifications, remuneration details, securities transactions with permission, conflict of interest declarations, and holdings of publicly traded securities. The records must be kept to demonstrate effective assessment of employee suitability.</t>
  </si>
  <si>
    <t>Requires detailed employee records to ensure compliance with qualification and fitness standards before data transfers or processing involving employees.</t>
  </si>
  <si>
    <t>• [Must] Market intermediary shall keep records demonstrating effective assessment of employee qualifications, experience, fitness and propriety
• [Must] Employee records must include job application with copy of documentation verifying qualifications and experience
• [Must] Employee records must include job description
• [Must] Employee records must include qualifications, experience and training</t>
  </si>
  <si>
    <t>• [Must] Employee records must include remuneration details
• [Must] Employee records must include securities transactions with details of permission received
• [Must] Employee records must include declarations of existing or potential conflicts of interest
• [Must] Employee records must include details of all publicly traded securities owned</t>
  </si>
  <si>
    <t>A market intermediary shall keep and maintain records relating to each of its employees demonstrating that it has effectively assessed all relevant qualification, experience, fitness and propriety.</t>
  </si>
  <si>
    <t>Third party records for contracted services</t>
  </si>
  <si>
    <t>Market intermediaries must maintain records for third parties they contract with, including the contract details, third party's legal status and verification documents, and qualifications of employees engaged. The records must ensure the market intermediary remains responsible for the delegated functions.</t>
  </si>
  <si>
    <t>Requires third-party records to ensure accountability in data transfers and processing with external entities, critical for cross-border data transfers involving third parties.</t>
  </si>
  <si>
    <t>• [Must] Market intermediary shall maintain appropriate records for third parties undertaking functions on its behalf
• [Must] Records must include the contract specifying services to be provided
• [Must] Records must include details of third party's legal status, verification documents and financial viability documentation</t>
  </si>
  <si>
    <t>• [Must] Records must include qualifications and experience of employees to be engaged
• [Condition] Delegation of functions does not discharge market intermediary from responsibility for proper execution of delegated functions</t>
  </si>
  <si>
    <t>Where the market intermediary contracts with a third party to undertake any functions on its behalf, it shall maintain appropriate records, including—</t>
  </si>
  <si>
    <t>Exemptions and variations from regulatory requirements</t>
  </si>
  <si>
    <t>The Authority may exempt or vary the application of specific regulations for market intermediaries if it considers it appropriate in special circumstances. Market intermediaries must provide reasons for seeking exemptions and alternative arrangements. They must comply with regulations until the Authority formally exempts them, and the Authority must publish exemptions and variations.</t>
  </si>
  <si>
    <t>Allows for regulatory exemptions but requires ongoing compliance and reporting, relevant for data transfers where specific conditions are met.</t>
  </si>
  <si>
    <t>• [May] Authority may exempt or vary application of regulations 13, 15(5), 18, 21, 22, 23, 24(6) and 30
• [Condition] Exemptions must specify the period for which they are valid
• [Must] Market intermediary must provide reasons for seeking exemption or variation
• [Must] Market intermediary must specify alternative arrangements to comply with regulatory requirements
• [Must] Market intermediary must comply with regulations until Authority formally exempts it</t>
  </si>
  <si>
    <t>• [Must] Authority must give written reasons for granting exemption or variation
• [Must] Authority must publish exemption or variation
• [Must] Market intermediary must report changes in circumstances relevant to exemption or variation
• [May] Authority may revoke exemption or variation if circumstances change</t>
  </si>
  <si>
    <t>The Authority may, upon an application made in writing by a market intermediary, where it considers it appropriate in the special circumstances of the market intermediary, exempt from or vary the application of regulations 13, l5(5), 18, 21, 22, 23, 24(6) and 30 to the market intermediary</t>
  </si>
  <si>
    <t>Remedial measures for unfit directors or officers</t>
  </si>
  <si>
    <t>Market intermediaries must terminate services of directors or officers found unfit and proper, implement mitigation mechanisms for client or business losses, and inform the Authority immediately. Directors are jointly liable for losses from contraventions, and non-compliance with regulations constitutes a disciplinary offence.</t>
  </si>
  <si>
    <t>Requires immediate action for unfit personnel, critical for data transfer integrity and risk mitigation in financial services.</t>
  </si>
  <si>
    <t>• [Must] Market intermediary must terminate services of director or officer found unfit and proper
• [Must] Market intermediary must implement mechanisms to mitigate losses from termination
• [Must] Market intermediary must inform Authority immediately of termination actions</t>
  </si>
  <si>
    <t>• [Must] Directors are jointly liable to indemnify market intermediary for losses from contraventions
• [Condition] Market intermediary contravening regulations commits a disciplinary offence</t>
  </si>
  <si>
    <t>When a director or an officer is assessed and found not to be fit and proper to work for a market intermediary, the affected market intermediary shall: (a) be required to terminate the services of such a director or officer</t>
  </si>
  <si>
    <t>One-year transition period for licensed intermediaries</t>
  </si>
  <si>
    <t>Market intermediaries licensed before these regulations commenced must comply with the regulations within one year of the regulations' commencement. This ensures a smooth transition without immediate disruption.</t>
  </si>
  <si>
    <t>Provides a transition period for data transfers and processing compliance, relevant for historical data handling.</t>
  </si>
  <si>
    <t>• [Must] Market intermediary licensed before regulations commenced must comply within one year of regulations' commencement</t>
  </si>
  <si>
    <t>A market intermediary that was licensed before the commencement of these Regulations shall comply with these Regulations within one year of the commencement of these Regulations.</t>
  </si>
  <si>
    <t>The Capital Markets (Licensing Requirements) (General) Regulations-2</t>
  </si>
  <si>
    <t>Required disclosures in income statement</t>
  </si>
  <si>
    <t>This section specifies the items that must be disclosed in the income statement, including listing fees, transaction fees, finance income, other income, personnel costs, staff training, rent and maintenance, investor education, directors' fees, annual fees payable to the Capital Markets Authority, committee members' expenses, audit fees, depreciation, and general administrative expenses. These disclosures are required for financial transparency and regulatory oversight.</t>
  </si>
  <si>
    <t>• [Must] Disclose income including listing fees, transaction fees, finance income, and other income</t>
  </si>
  <si>
    <t>• [Must] Disclose expenditure including personnel costs, staff training, rent and maintenance, investor education, directors' fees, annual fees payable to Capital Markets Authority, committee members' expenses, audit fees, depreciation, and general administrative expenses</t>
  </si>
  <si>
    <t>1. The following shall be disclosed in the income statement— (a) Income— (i) listing fees; (ii) transaction fees; (iii) finance income; (iv) other income; (b) Expenditure— (i) personnel costs including separate disclosure of consolidated pay, pension and gratuity; (ii) staff training; (iii) rent and maintenance; (iv) investor education; (v) directors' fees; (vi) annual fees payable to Capital Markets Authority;</t>
  </si>
  <si>
    <t>Balance sheet disclosures for licensed entities</t>
  </si>
  <si>
    <t>Capital Markets Authority (CMA)</t>
  </si>
  <si>
    <t>This section mandates that specific financial items must be disclosed in the balance sheet of licensed entities. It requires disclosure of property, plant and equipment, motor vehicles, investments, deposits and prepayments, share capital, revenue reserves, directors' loans, shareholders loans, and amounts due to clients. These disclosures apply to entities operating under the Capital Markets (Licensing Requirements) (General) Regulations.</t>
  </si>
  <si>
    <t>This section specifies financial data that must be disclosed in the balance sheet, which is relevant for DTIAs as it defines the scope of financial data that must be accounted for in financial reporting.</t>
  </si>
  <si>
    <t>• [Must] Disclose property, plant and equipment in the balance sheet
• [Must] Disclose motor vehicles in the balance sheet
• [Must] Disclose investments in the balance sheet
• [Must] Disclose deposits and prepayments in the balance sheet
• [Must] Disclose share capital in the balance sheet</t>
  </si>
  <si>
    <t>• [Must] Disclose revenue reserves in the balance sheet
• [Must] Disclose directors' loans in the balance sheet
• [Must] Disclose shareholders loans in the balance sheet
• [Must] Disclose amounts due to clients in the balance sheet</t>
  </si>
  <si>
    <t>2. The following shall be disclosed in the balance sheet— (a) property, plant and equipment; (b) motor vehicles; (c) investments; (d) deposits and prepayments; (e) share capital; (f) revenue reserves; (g) directors' loans; (h) shareholders loans; (i) amounts due to clients.</t>
  </si>
  <si>
    <t>Transaction fee structures for secondary market instruments</t>
  </si>
  <si>
    <t>This section outlines the transaction fee structures for corporate debt and government debt instruments traded in the secondary market. It specifies the brokerage commission percentages and other fees payable by investors, including the CMA's percentage contribution to the investor compensation fund. These fees apply to market intermediaries such as stockbrokers and authorized securities dealers.</t>
  </si>
  <si>
    <t>This section details fee structures for secondary market transactions, which may impact data transfer costs and financial reporting requirements for cross-border data flows involving financial instruments.</t>
  </si>
  <si>
    <t>• [Must] Market intermediaries trading in secondary market must charge 0.024% brokerage commission on corporate debt instruments
• [Must] Market intermediaries must charge 0.0035% CMA fee on corporate debt instruments
• [Must] Market intermediaries must charge 0.0015% CDSC fee on corporate debt instruments
• [Must] Market intermediaries must charge 0.002% ICF fee on corporate debt instruments
• [Must] Market intermediaries must charge 0.004% total transaction fees on corporate debt instruments</t>
  </si>
  <si>
    <t>• [Must] Market intermediaries must charge 0.0055% brokerage commission on government debt instruments
• [Must] Market intermediaries must charge 0.015% CMA fee on government debt instruments
• [Must] Market intermediaries must charge 0.004% ICF fee on government debt instruments
• [Must] Market intermediaries must charge 0.035% total transaction fees on government debt instruments
• [Must] Market intermediaries must contribute 0.004% of transaction value to the investor compensation fund</t>
  </si>
  <si>
    <t>3. (1) FOR CORPORATE DEBT INSTRUMENTS (SECONDARY MARKET) Transaction fee Total transaction fees payable by investor Brokerage commission % NSE% CMA% CDSC% ICF% Total 0.024 0.0035 0.0015 0.002 0.004 0.0035 (2) FOR GOVERNMENT DEBT INSTRUMENTS (SECONDARY MARKET) Brokerage commission % Transaction fee Total transaction fees payable by investor NSE% CMA% ICF% Total 0.024 0.0055 0.015 0.004 0.035 Market intermediaries trading in the secondary market (stockbrokers, investment banks and authorized securities dealers) Commission is net of contribution by the stockbroker of 0.004% to the investor compensation fund.</t>
  </si>
  <si>
    <t>Private transfer fee structures for securities transactions</t>
  </si>
  <si>
    <t>This section specifies private transfer fee structures for certificated and immobilized securities transactions. It details the fee percentages for different types of transactions, including the application fees and the regulatory requirements for transfers involving changes in beneficial interest in share capital. These fees apply to market intermediaries and are subject to specific conditions and maximum limits.</t>
  </si>
  <si>
    <t>This section defines fee structures for securities transfers, which may impact data transfer costs and financial reporting requirements for cross-border data flows involving financial instruments.</t>
  </si>
  <si>
    <t>• [Must] Certificated securities transactions must charge 55% fee to brokers and 45% to investment banks
• [Must] Immobilized securities transactions must charge 55% fee to brokers and 45% to investment banks
• [Must] Regulation 57(a) fees levied at 2.1% of transaction value (maximum 1.7%) for transactions below Kshs. 100,000</t>
  </si>
  <si>
    <t>• [Must] Regulation 57(b) or (e) fees of Kshs. 1,500 per application (minimum fee of Kshs. 1,500 for transactions above Kshs. 10,000)
• [Must] Regulation 57(c) requires 0.1% fee on nominal value of shares for transfers without change in beneficial interest
• [Must] Regulation 57(c) or (d) requires 0.5% fee on market value of shares for transfers with change in beneficial interest</t>
  </si>
  <si>
    <t>4. Private Transfer Fees BROKERS &amp; INVESTMENT BANKS. NSE CDSC Certificated Securities 55% 45% NIL Immobilized Securities 55% NIL 45% Regulation 57(a) fees levied at 2.1% of the value of transaction (being prescribed brokerage commission) where transaction value is below Kshs. 100. 000 (subject to a maximum of 1.7%) and shared as follows# Certificated Securities 55% 45% NIL Immobilized Securities 55% NIL 45% Regulation 57(b) or (e) Kshs. 1,500 per application (including an application relating to a portfolio of securities), (provided that where the total value of securities in the application is below Kshs. 10,000, no fee shall be payable) and shared as follows# Regulation 57(c) ............... Transfer arising out of the re-organisation of the share capital of a listed company that does not result in change of beneficial interest in such share capital ........ 0.1% (percentage of the nominal value of the shares) and payable to the Authority. Regulation 57 (c) or (d) .......... Any other transfer that results in change of beneficial interest in the shares capital of a listed company, including any transfer under a take-over scheme, merger or acquisition, approved by the Authority at 0.5% (percentage of the market value of the shares) and payable to the Authority.</t>
  </si>
  <si>
    <t>Membership requirements for securities exchanges</t>
  </si>
  <si>
    <t>Financial Data, Customer Information, Employee Information, Special Personal Information, KYC, AML, Governance, Record Keeping</t>
  </si>
  <si>
    <t>This section specifies that trading participants must be licensed by the Authority with rights to trade. It outlines admission requirements, limits on ownership by trading participants, and restrictions on holding beneficial interests in multiple trading participants to prevent conflicts of interest.</t>
  </si>
  <si>
    <t>• [Must] (1) Trading participants of a securities exchange shall be licensees of the Authority with rights to trade at an approved securities exchange.
• [Condition] (1A) The Authority may prescribe limits on the ownership of a securities exchange by its trading participants.
• [Must] (2) A securities exchange may, in accordance with the procedures prescribed in its rules, admit as a trading participant, any person who has been licensed by the Authority to exercise rights to trade—
• [Must] (a) if that person satisfies any admission requirements of the securities exchange; and</t>
  </si>
  <si>
    <t>• [Must] (b) on payment of admission fee approved by the Authority under section 29(2) of the Act, and accord that person the applicable rights to the relevant category of admission:
• [Condition] Provided that, a securities exchange may assess an application for admission by a person seeking a licence from the Authority and issue a confirmation that that person shall be admitted upon securing a license from the Authority.
• [Must] (3) A trading participant of a securities exchange or a director or a shareholder of a trading participant shall not be a director or hold beneficial interest either directly or indirectly in more than one trading participant of a securities exchange unless the trading participants has been exempted by the Authority on the basis of evidence of ade…
• [Condition] (4) In case of a listed trading participant of a securities exchange, an interest of fifteen per cent or more of the voting shares held directly or indirectly shall be deemed to be a person's beneficial interest for purpose of these Regulations.</t>
  </si>
  <si>
    <t>5. Membership of securities exchange</t>
  </si>
  <si>
    <t>Chief executive qualifications and board structure requirements</t>
  </si>
  <si>
    <t>Securities exchanges must appoint a chief executive with at least ten years of senior management experience in law, finance, accounting, economics, banking, or insurance, and expertise in money, capital markets, or finance. The chief executive must have a fixed term of office (three years renewable once for chairman, four years renewable once for chief executive). Exchanges must establish a board with independent non-executive directors representing investors and public interest, elected by shareholders from trading participants, and ensure appointments are confirmed by the Authority.</t>
  </si>
  <si>
    <t>Requires specific qualifications for exchange leadership and board composition, impacting governance structures that affect data handling and oversight in financial markets.</t>
  </si>
  <si>
    <t>• [Must] Chief executive must have at least ten years' experience in senior management roles related to law, finance, accounting, economics, banking, or insurance
• [Must] Chief executive must have expertise in money, capital markets, or finance
• [Must] Chairman and chief executive must have fixed terms of office (three years renewable once for chairman, four years renewable once for chief executive)
• [Must] Board must include at least one third independent non-executive directors representing investors and public interest</t>
  </si>
  <si>
    <t>• [Must] Maximum of two board members elected from trading participants
• [Must] Independent non-executive directors must have knowledge and experience in investments, public service, and corporate governance
• [Must] Board members must be confirmed by the Authority before appointment
• [Must] Two board members elected by shareholders from listed companies</t>
  </si>
  <si>
    <t>No person shall be qualified for appointment as a chief executive of a securities exchange, unless such person has— (a) at least ten years' experience at a senior management level in matters relating to law, finance, accounting, economics, banking or insurance; and (b) expertise in matters relating to money, capital markets or finance.</t>
  </si>
  <si>
    <t>Trading system approval requirements</t>
  </si>
  <si>
    <t>Securities exchanges must obtain Authority approval before implementing a trading system that provides transparent pricing mechanisms, automatic matching, transaction audit trails, security measures, integration with central depositories, and transaction records. The system must ensure public access to trading and maintain comprehensive transaction records for regulatory oversight.</t>
  </si>
  <si>
    <t>Requires trading systems to have robust audit trails and transaction records, critical for data transfer impact assessments involving financial market data.</t>
  </si>
  <si>
    <t>• [Must] Trading system must provide a public trading facility where bids and offers are exposed
• [Must] Trading system must have a transparent pricing mechanism displaying best offer and bid prices
• [Must] Trading system must provide automatic matching of bids and offers
• [Must] Trading system must display highest and lowest prices, latest transactions, and trading volume</t>
  </si>
  <si>
    <t>• [Must] Trading system must maintain an audit trail and trace back mechanism for all transactions
• [Must] Trading system must have internal controls and security measures to restrict access to authorized persons
• [Must] Trading system must integrate with a central depository system
• [Must] Trading system must maintain records of all transactions and retrieve them as necessary</t>
  </si>
  <si>
    <t>A trading system to be adopted by a securities exchange shall be approved by the Authority before such system is implemented.</t>
  </si>
  <si>
    <t>Annual budget submission requirements</t>
  </si>
  <si>
    <t>Securities exchanges must submit annual budgets to the Authority within thirty days before the financial year starts, with revisions due within fifteen days. Budgets must disclose revenue and expenditure details and allocate at least twenty percent of annual listing fees to infrastructure development and investor education programs.</t>
  </si>
  <si>
    <t>Budget submission requirements impact financial data handling and transparency, relevant for DTIAs involving financial institutions.</t>
  </si>
  <si>
    <t>• [Must] Submit annual budget to Authority within thirty days before financial year starts
• [Must] Submit budget revisions to Authority within fifteen days before financial year starts</t>
  </si>
  <si>
    <t>• [Must] Budget must disclose revenue and expenditure details as prescribed
• [Must] Budget must allocate at least twenty percent of annual listing fees to infrastructure and investor education</t>
  </si>
  <si>
    <t>A securities exchange shall submit its annual budget to the Authority not later than thirty days before the commencement of its financial year.</t>
  </si>
  <si>
    <t>Self-regulation framework for securities exchanges</t>
  </si>
  <si>
    <t>Securities exchanges must establish self-regulatory procedures, codes of conduct, trading surveillance, dispute resolution mechanisms, and ensure compliance with approved rules and securities laws. The self-regulatory system must promote investor protection, fair treatment, fitness of participants, and conflict of interest management while requiring timely reporting of rule breaches.</t>
  </si>
  <si>
    <t>Self-regulation requirements ensure robust oversight of data handling practices, critical for DTIAs involving financial market participants.</t>
  </si>
  <si>
    <t>• [Must] Implement self-regulation procedures for trading participants
• [Must] Establish a code of conduct for trading participants
• [Must] Maintain adequate trading surveillance and compliance capacity
• [Must] Provide a dispute resolution procedure
• [Must] Ensure trading activities comply with approved exchange rules and securities laws
• [Must] Promote investor protection through self-regulatory functions
• [Must] Ensure fair treatment of trading participants and applicants
• [Must] Exclude unfit persons from trading participant roles
• [Must] Promote proper regulation and supervision of trading participants</t>
  </si>
  <si>
    <t>• [Must] Ensure trading participants follow securities laws and exchange rules
• [Must] Manage conflicts of interest between exchange interests and investors
• [Must] Require trading participants to report rule breaches promptly
• [Must] Prevent trading participants from using information for unfair gain
• [Must] Expel, suspend, or sanction trading participants for rule violations
• [Must] Require trading participants to report external operational restrictions
• [Must] Allow trading participants to appeal exchange decisions
• [Must] Establish independent management and budgetary structures for regulatory functions</t>
  </si>
  <si>
    <t>Every securities exchange shall have a procedure and appropriate system of exercising self-regulation over its trading participants</t>
  </si>
  <si>
    <t>Seven-year record retention requirements</t>
  </si>
  <si>
    <t>Securities exchanges must retain records for seven years, including meeting minutes, trading participant registers, transaction records, market statistics, shareholder information, compensation fund records, audited accounts, and financial transaction data in electronic form. This ensures long-term compliance and transparency for regulatory oversight.</t>
  </si>
  <si>
    <t>Seven-year record retention impacts data storage and handling practices, critical for DTIAs involving financial data.</t>
  </si>
  <si>
    <t>• [Must] Maintain meeting minutes for shareholders, board of directors, and committees for seven years
• [Must] Preserve trading participant member registers with full names and physical addresses for seven years
• [Must] Keep records of trading participants' authorized personnel for seven years
• [Must] Maintain sector-specific transaction records for seven years
• [Must] Retain monthly market turnover and capitalization statistics for seven years
• [Must] Preserve listed securities registers with issuers and share details for seven years
• [Must] Maintain substantial shareholder registers for seven years</t>
  </si>
  <si>
    <t>• [Must] Keep notifiable interest records for seven years
• [Must] Retain investors' compensation fund records for seven years
• [Must] Maintain audited accounts of trading participants for seven years
• [Must] Preserve annual reports of listed companies for seven years
• [Must] Retain trading limits and margin requirements records for seven years
• [Must] Maintain electronic financial transaction records including ledgers, journals, and bank statements for seven years</t>
  </si>
  <si>
    <t>Every securities exchange shall for a period of seven years maintain and preserve the following records and documents</t>
  </si>
  <si>
    <t>Reporting obligations for securities exchanges</t>
  </si>
  <si>
    <t>Securities exchanges must report financial year summaries to the Authority and investors within four months, including company accounts, share details, transaction data, and market statistics. They must also provide quarterly transaction reports, daily market activity reports, and immediate notifications for operational disruptions or regulatory violations.</t>
  </si>
  <si>
    <t>Reporting obligations ensure transparency in financial data handling, critical for DTIAs involving market data and regulatory compliance.</t>
  </si>
  <si>
    <t>• [Must] Submit annual summary of listed companies to Authority and investors within four months of financial year end
• [Must] Include published accounts, incorporation dates, listing details, and share capital information in annual reports
• [Must] Provide transaction price data (high, low, mid-market) for listed securities
• [Must] Report earnings per share, dividends, and shareholder structure in annual summaries
• [Must] Maintain electronic records of listed companies in print and digital formats</t>
  </si>
  <si>
    <t>• [Must] Furnish Authority with annual activity reports by March 31st
• [Must] Submit daily transaction reports including price movements and volumes
• [Must] Provide quarterly reports of all transactions including private transactions
• [Must] Include names of parties and transaction values in quarterly reports
• [Must] Report operational disruptions to Authority immediately</t>
  </si>
  <si>
    <t>A securities exchange shall within four months after the end of each financial year make available to the Authority, and to the investors, a summary of information on companies listed at the securities exchange.</t>
  </si>
  <si>
    <t>Check for bankruptcy or receivership history</t>
  </si>
  <si>
    <t>This section requires applicants to disclose whether any director, secretary, or senior management has been placed under receivership, declared bankrupt, or compounded with creditors in Kenya or elsewhere. If yes, applicants must provide details of such events. This is a verification step to assess the financial stability and legal history of the applicant.</t>
  </si>
  <si>
    <t>• [Must] Disclose if applicant or directors/secretary/senior management have been placed under receivership, declared bankrupt, or compounded with creditors in Kenya or elsewhere</t>
  </si>
  <si>
    <t>13. Has the applicant or any of its directors, secretary or members of senior management at any time been placed under receivership, declared bankrupt, or compounded with or made an assignment for the benefit of his creditors, in Kenya or elsewhere? Yes/ No. If 'yes', give details</t>
  </si>
  <si>
    <t>Check for prior disciplinary actions or revoked licenses</t>
  </si>
  <si>
    <t>This section requires applicants to disclose whether any director, secretary, or senior management has been involved with companies that have been denied licenses under the Capital Markets Act in other jurisdictions, had their licenses revoked by authorities, or faced disciplinary actions from professional bodies. If yes, applicants must provide details of such events. This is a verification step to assess the compliance history and regulatory standing of the applicant.</t>
  </si>
  <si>
    <t>• [Must] Disclose if any director, secretary or senior management has been a director of a company denied license under Capital Markets Act in another jurisdiction
• [Must] Disclose if any director, secretary or senior management has been a director of a company with revoked banking, insurance, financial or investment advisory licenses</t>
  </si>
  <si>
    <t>• [Must] Disclose if any director, secretary or senior management has been subjected to disciplinary actions by professional bodies</t>
  </si>
  <si>
    <t>14. Has any director, secretary or senior management of the applicant been a director of a company that has been: (a) denied any licence or approval under the Capital Markets Act or equivalent legislation in any other jurisdiction: Yes/No. If Yes, give details.</t>
  </si>
  <si>
    <t>Stockbroker and dealer license application requirements</t>
  </si>
  <si>
    <t>Financial Data, KYC, AML</t>
  </si>
  <si>
    <t>Applications for stockbroker or dealer licenses must include certificate of incorporation, memorandum and articles of association, un-audited accounts for the past six months and audited accounts for the previous two years, prescribed fees, business plan detailing management structure, directors' qualifications, shareholding structure, minimum capital requirements, financial projections, IT infrastructure compliance, business references, and a declaration of no overlapping directorships across trading participants. The Authority may require additional security or guarantees.</t>
  </si>
  <si>
    <t>Sets detailed requirements for license applications, including financial and operational data collection, which affects data transfer and storage practices for financial institutions.</t>
  </si>
  <si>
    <t>• [Must] The application under regulation 14 shall be submitted together with the certificate of incorporation
• [Must] The application under regulation 14 shall be submitted together with the memorandum and articles of association
• [Must] The application under regulation 14 shall be submitted together with a statement of the un-audited accounts for the period of the accounting year ending not earlier than six months prior to the date of application and audited accounts for the preceding two years (where applicable)
• [Must] The application under regulation 14 shall be submitted together with the prescribed fees set out in the Second Schedule
• [Must] The application under regulation 14 shall be submitted together with a business plan containing the particulars on the management structure
• [Must] The application under regulation 14 shall be submitted together with a business plan containing the particulars on the directors, including one or more executive directors, their qualifications, addresses and details of other directorships
• [Must] The application under regulation 14 shall be submitted together with a business plan containing the particulars on the shareholding structure which shall disclose whether any of the shareholders will have an executive role to oversee the day to day operations of the business
• [Must] The application under regulation 14 shall be submitted together with a business plan containing the particulars on the shareholding structure of a dealer
• [Must] The application under regulation 14 shall be submitted together with a business plan containing the particulars on the evidence of paid up share capital of a minimum amount of fifty million shillings in the case of a stockbroker and twenty million shillings in the case of a dealer
• [Must] The application under regulation 14 shall be submitted together with a business plan containing the particulars on the qualifications, experience and expertise of the chief executive must be relevant to effectively manage or operate the business of a stockbroker or dealer
• [Must] The application under regulation 14 shall be submitted together with a business plan containing the particulars on the proposed management and qualifications of key personnel</t>
  </si>
  <si>
    <t>• [Must] The application under regulation 14 shall be submitted together with a business plan containing the particulars on the financial projections for three years
• [Must] The application under regulation 14 shall be submitted together with a business plan containing the particulars on the proposed information technology and access to the trading network in compliance with the trading, clearing, delivery and settlement requirements of the securities exchange to which the applicant intends to be admitted as a trading…
• [Must] The application under regulation 14 shall be submitted together with one bank reference
• [Must] The application under regulation 14 shall be submitted together with two business references
• [Must] The application under regulation 14 shall be submitted together with the proposed independent auditor
• [Must] The application under regulation 14 shall be submitted together with a declaration that no person is a director or holds beneficial interest either directly or indirectly in more than one trading participant of a securities exchange
• [Must] Every person who is, or is to be, a director, chief executive, manager or floor dealer of a stockbroker or dealer shall be fit and proper to hold the particular position that he holds or is to hold
• [Must] The applicant under paragraph (1) shall lodge a security of one million, five hundred thousand shillings or such higher amount with a securities exchange or a central depository as the Authority may determine, taking into account the financial position and settlement record of the applicant
• [Must] The applicant under paragraph (1) shall provide a guarantee or a security to a securities exchange or a central depository in a form acceptable or approved by the Authority in respect of which it is a trading participant or has applied for admission as a trading participant
• [Must] The eligibility of a dealer's licence shall be restricted to institutions committing funds for investment as principals in securities dealings</t>
  </si>
  <si>
    <t>The application under in regulation 14 shall be submitted together with— (a) the certificate of incorporation; (b) the memorandum and articles of association; (c) a statement of the un-audited accounts for the period of the accounting year ending not earlier than six months prior to the date of application and audited accounts for the preceding two years (where applicable); (d) the prescribed fees set out in the Second Schedule; (e) a business plan containing the particulars on— (i) the management structure; (ii) the directors, including one or more executive directors, their qualifications, addresses and details of other directorships; (iii) the shareholding structure which shall disclose whether any of the shareholders will have an executive role to oversee the day to day operations of the business; (iv) the shareholding structure of a dealer; (v) the evidence of paid up share capital of a minimum amount of fifty million shillings in the case of a stockbroker and twenty million shillings in the case of a dealer; (vi) the qualifications, experience and expertise of the chief executive must be relevant to effectively manage or operate the business of a stockbroker or dealer; (vii) the proposed management and qualifications of key personnel; (viii) the financial projections for three years; (ix) the proposed information technology and access to the trading network in compliance with the trading, clearing, delivery and settlement requirements of the securities exchange to which the applicant intends to be admitted as a trading participant under these Regulations; (x) one bank reference; (xi) two business references; (xii) the proposed premises suitably located and equipped to provide satisfactory service to clients in the field of activity to which the licence relates or evidence acceptable to the Authority that such premises will be available; (xiii) the staff capable of providing professional services to clients in the field of activity to which the licence relates or evidence acceptable to the Authority that such staff will be available; (xiv) the proposed independent auditor; and (xv) a declaration that no person is a director or holds beneficial interest either directly or indirectly in more than one trading participant of a securities exchange.</t>
  </si>
  <si>
    <t>Stockbrokers' financial capital requirements</t>
  </si>
  <si>
    <t>Financial Data, Data Storage, Security</t>
  </si>
  <si>
    <t>Stockbrokers must maintain shareholders' funds (paid-up share capital and reserves) of at least fifty million shillings at all times during their license period. Their paid-up share capital must remain unimpaired and cannot be advanced to directors or associates. They must also maintain a liquid capital of thirty million shillings or eight percent of total liabilities, whichever is higher.</t>
  </si>
  <si>
    <t>Sets minimum financial capital requirements for stockbrokers, which directly impact data storage and processing capabilities and financial stability.</t>
  </si>
  <si>
    <t>• [Must] The level of shareholders' funds (paid up share capital and reserves) for stock brokers shall not fall below fifty million shillings at any time during the license period
• [Must] The minimum paid-up share capital shall always be unimpaired and shall not be advanced to the directors or associates of the stockbroker</t>
  </si>
  <si>
    <t>• [Must] A stock broker shall maintain a liquid capital of thirty million shillings or eight per cent of its total liabilities, whichever is higher</t>
  </si>
  <si>
    <t>The level of shareholders' funds (paid up share capital and reserves) for stock brokers shall not fall below fifty million shillings at any time during the license period. The minimum paid-up share capital shall always be unimpaired and shall not be advanced to the directors or associates of the stockbroker. A stock broker shall maintain a liquid capital of thirty million shillings or eight per cent of its total liabilities, whichever is higher.</t>
  </si>
  <si>
    <t>Dealers' financial requirements and investment limits</t>
  </si>
  <si>
    <t>Dealers must maintain shareholders' funds of at least twenty million shillings during their license period. They must set aside investment capital of at least twenty million shillings in cash or listed securities, with exceptions for subsidiaries promoted by stockbrokers. Dealers must also maintain a liquid capital of thirty million shillings or eight percent of total liabilities, whichever is higher, and maintain investment portfolios with a minimum monthly average of fifty percent in listed equities (adjustable to sixty percent within twelve months).</t>
  </si>
  <si>
    <t>Defines financial and investment requirements for dealers, which affect data storage, processing, and risk management practices.</t>
  </si>
  <si>
    <t>• [Must] The level of shareholders funds (paid-up share capital and reserves) shall not be below twenty million shillings, at any time during the licence period
• [Must] A dealer shall set aside investment capital of not less than twenty million shillings (except as provided under paragraph (3)) in cash or portfolio of listed securities, or such higher amount as may be prescribed by the Authority
• [Must] Where a dealer is promoted by a stockbroker through a subsidiary, the minimum investment capital committed to dealing operations by the subsidiary shall not be less than five million shillings in cash or listed securities portfolio at market value or such higher amount as may be prescribed by the Authority
• [Must] A dealer shall maintain a liquid capital of thirty million shillings or eight per cent of its total liabilities, whichever is higher</t>
  </si>
  <si>
    <t>• [Must] A dealer shall maintain an investment portfolio out of its investment capital equivalent to a minimum monthly average of fifty per cent in listed equities and the remainder in listed fixed income securities provided that within twelve months from the date of these Regulations, the investment of the minimum monthly average in listed equities shall…
• [Must] At least an average of twenty-five per cent of the portfolio of securities held by a dealer shall be turned over every quarter and seventy-five per cent of the portfolio be turned over every twelve months
• [Must] Every security held by a dealer shall be turned over at least once every eighteen months</t>
  </si>
  <si>
    <t>The level of shareholders funds (paid-up share capital and reserves) shall not be below twenty million shillings, at any time during the licence period. A dealer shall— (a) set aside investment capital of not less than twenty million shillings (except as provided under paragraph (3)) in cash or portfolio of listed securities, or such higher amount as may be prescribed by the Authority; (b) deleted by L.N. 112/2013, r. 4. Where a dealer is promoted by a stockbroker through a subsidiary, the minimum investment capital committed to dealing operations by the subsidiary shall not be less than five million shillings in cash or listed securities portfolio at market value or such higher amount as may be prescribed by the Authority. A dealer shall maintain a liquid capital of thirty million shillings or eight per cent of its total liabilities, whichever is higher. A dealer shall maintain an investment portfolio out of its investment capital equivalent to a minimum monthly average of fifty per cent in listed equities and the remainder in listed fixed income securities provided that within twelve months from the date of these Regulations, the investment of the minimum monthly average in listed equities shall be adjusted to sixty per cent. (a) At least an average of twenty-five per cent of the portfolio of securities held by a dealer shall be turned over every quarter and seventy-five per cent of the portfolio be turned over every twelve months. (b) Every security held by a dealer shall be turned over at least once every eighteen months.</t>
  </si>
  <si>
    <t>Client account management requirements</t>
  </si>
  <si>
    <t>Stockbrokers must deposit clients' funds in dedicated bank accounts marked 'clients' accounts', which cannot be overdrawn. They must maintain separate records for each client account showing bank details, deposit/withdrawal history, and beneficial interest. Regular reconciliations are required to ensure account balances match client funds, and client orders for advance payments must be executed within one month of fund receipt.</t>
  </si>
  <si>
    <t>Requires strict client account management practices to ensure data security and compliance with financial transactions.</t>
  </si>
  <si>
    <t>• [Must] A stockbroker shall deposit clients' funds in one or more bank account(s), which account(s) shall contain only clients' funds and be clearly marked 'clients' accounts'. Such client accounts shall not be overdrawn for any reason
• [Must] A stockbroker shall maintain a separate record for each account showing the name and address of the bank where the account is maintained, the dates, amounts of deposits and withdrawals and also the exact amount of each client's beneficial interest in the account</t>
  </si>
  <si>
    <t>• [Must] A stockbroker shall reconcile such accounts on a regular basis to ensure the amount indicated corresponds with the balances in the client account at any given time
• [Must] A stockbroker shall ensure that clients' orders for payments made in advance shall be executed according to clients' instructions and in any event not later that one month from the date of receipt of the clients' funds. Orders not executed within one month for whatever reason shall be renewed by fresh instructions from the client</t>
  </si>
  <si>
    <t>A stockbroker shall— (a) deposit clients' funds in one or more bank account(s), which account(s) shall contain only clients' funds and be clearly marked "clients' accounts". Such client accounts shall not be overdrawn for any reason; (b) maintain a separate record for each account showing the name and address of the bank where the account is maintained, the dates, amounts of deposits and withdrawals and also the exact amount of each client's beneficial interest in the account; (c) reconcile such accounts on a regular basis to ensure the amount indicated corresponds with the balances in the client account at any given time; and (d) ensure that clients' orders for payments made in advance shall be executed according to clients' instructions and in any event not later that one month from the date of receipt of the clients' funds. Orders not executed within one month for whatever reason shall be renewed by fresh instructions from the client.</t>
  </si>
  <si>
    <t>Quarterly and annual financial reporting for stockbrokers</t>
  </si>
  <si>
    <t>Stockbrokers and dealers must submit quarterly, half-yearly, and audited annual financial reports to the Authority and their respective securities exchanges within strict timeframes. These reports include financial statements and accounts that comply with specific disclosure requirements outlined in the Fourth Schedule. The reporting obligations ensure transparency and accountability in financial operations.</t>
  </si>
  <si>
    <t>Mandates timely financial reporting for stockbrokers and dealers, which impacts data transfer assessments by requiring structured financial data to be maintained and reported within defined periods.</t>
  </si>
  <si>
    <t>• [Must] Stockbrokers and dealers must submit quarterly reports within fifteen days of each calendar quarter's end
• [Must] Stockbrokers and dealers must submit half-yearly reports within thirty days of each half-year's end
• [Must] Stockbrokers and dealers must submit audited annual accounts within three months following their financial year-end</t>
  </si>
  <si>
    <t>• [Must] Stockbrokers and dealers must submit financial statements complying with Fourth Schedule disclosures
• [Must] Stockbrokers and dealers must prepare monthly reports within fifteen days of each calendar month's end</t>
  </si>
  <si>
    <t>21. Every stockbroker and dealer shall submit to the Authority and to the securities exchange of which they are trading participants— (a) quarterly reports and accounts within fifteen days of the end of each calendar quarter; (b) half yearly reports and accounts within thirty days of the end of each half year; and (c) audited annual accounts within three months following the end of the stockbroker and dealer's financial year; (d) a financial statement complying with the disclosures prescribed under the Fourth Schedule of these Regulations.</t>
  </si>
  <si>
    <t>Conduct standards for stockbrokers and dealers</t>
  </si>
  <si>
    <t>Stockbrokers and dealers must operate independently, conduct business efficiently and honestly, avoid conflicts of interest, and maintain robust internal controls. They must also ensure their organizational structure supports compliance with securities laws and risk management. This section establishes ethical conduct standards to protect investors and maintain market integrity.</t>
  </si>
  <si>
    <t>Sets conduct standards that influence data transfer assessments by requiring stockbrokers to maintain independent operations and robust internal controls, which affect data handling practices.</t>
  </si>
  <si>
    <t>• [Must] Stockbrokers and dealers must operate independently of other stockbrokers or dealers
• [Must] Stockbrokers and dealers must conduct business efficiently, honestly, and fairly with appropriate professional skills</t>
  </si>
  <si>
    <t>• [Must Not] Stockbrokers and dealers must not have formal or informal agreements with trading participants of the same exchange that undermine fair trade practices
• [Must] Stockbrokers and dealers must maintain management and organizational structures that support compliance with securities laws</t>
  </si>
  <si>
    <t>22. Stockbrokers and dealers shall— (a) operate independently of any other stockbroker or dealer; (b) conduct the business efficiently, honestly, and fairly, with the integrity and professional skills appropriate to the nature and scale of activities; (c) have no formal or informal agreement with a trading participant of the same securities exchange whether through an association or not, relating to the stockbroker's or dealer's trading activity, personnel, commissions or any joint activity that is likely to undermine the competitiveness or fair trade practices and service to clients.</t>
  </si>
  <si>
    <t>Order execution and client protection standards</t>
  </si>
  <si>
    <t>Stockbrokers must execute client orders in chronological sequence, maintain detailed order records, ensure client suitability for recommendations, and verify client funds before executing trades. This section emphasizes client protection and transparency in order processing to prevent misrepresentation and ensure fair trading practices.</t>
  </si>
  <si>
    <t>Requires precise order execution and client record-keeping, which affects data transfer assessments by mandating detailed transaction records for client data.</t>
  </si>
  <si>
    <t>• [Must] Stockbrokers must execute client orders in chronological sequence
• [Must] Stockbrokers must maintain daily records of client orders including names, specific orders, and times
• [Must] Stockbrokers must exercise due diligence to avoid misinforming or misdirecting clients</t>
  </si>
  <si>
    <t>• [Must] Stockbrokers must inform clients of all order components before execution and obtain written confirmation
• [Must] Stockbrokers must provide factual and accurate information through newsletters and advertisements
• [Must Not] Stockbrokers must not recommend securities without reasonable grounds for suitability</t>
  </si>
  <si>
    <t>23. A stockbroker shall— (a) execute an order only where the client has made sufficient arrangements for funds or securities with the stockbroker; (b) only accept written orders and ensure clients can honour orders before acting; (c) execute clients' orders in chronological sequence and give priority to client orders over internal orders; (d) maintain a daily record of orders received from clients showing name, specific order, and time; (e) exercise due diligence to avoid misinforming or misdirecting clients; (f) inform clients of all order components prior to execution and obtain written confirmation; (g) provide factual and accurate information through newsletters and advertisements; (h) not recommend securities without reasonable grounds for suitability.</t>
  </si>
  <si>
    <t>Prohibited market manipulation activities</t>
  </si>
  <si>
    <t>Stockbrokers and dealers are prohibited from creating false markets, establishing corners, engaging in floor trading, participating in price manipulative schemes, making public securities recommendations, or selling unregistered securities. This section aims to prevent market abuse and ensure fair trading practices by restricting specific high-risk activities.</t>
  </si>
  <si>
    <t>Prohibits market manipulation activities that could impact data transfer assessments by restricting certain trading practices and ensuring transparency in market operations.</t>
  </si>
  <si>
    <t>• [Must Not] Stockbrokers and dealers must not create false markets through artificial devices
• [Must Not] Stockbrokers and dealers must not establish corners in listed securities
• [Must Not] Stockbrokers and dealers must not negotiate on trading floor issues with other persons</t>
  </si>
  <si>
    <t>• [Must Not] Stockbrokers and dealers must not participate in price manipulative schemes
• [Must Not] Stockbrokers and dealers must not make general public recommendations on securities
• [Must Not] Stockbrokers and dealers must not sell securities not registered in client's name</t>
  </si>
  <si>
    <t>24. No stockbroker or dealer shall— (a) create a false market in any listed security by way of any artificial device including but not limited to advising clients to buy or sell a particular security while selling or buying through its dealing or related party transactions, without disclosing that fact to the investors; (b) establish a corner or trade where a corner has developed in a listed security; (c) negotiate on any issue relating to trading with any other person on the trading floor of the securities exchange; (d) be party to any trading and price manipulative scheme or device which may directly or indirectly influence or interfere with the market price formation and fair trading process with respect to any listed security; (e) make general recommendations to the public on particular securities through publications or statements; or (f) sell securities which are not registered in the name of the stockbrokers' client or central depository in the case of a depository environment.</t>
  </si>
  <si>
    <t>Valid securities sales conditions</t>
  </si>
  <si>
    <t>Stockbrokers and dealers can only sell securities if they or their clients have an existing, unconditional right to vest the securities in a purchaser. This includes verifying client eligibility and ensuring that rights are not conditional on pledges or charges. The regulation ensures that securities sales are legitimate and not based on unsuitable or unenforceable rights.</t>
  </si>
  <si>
    <t>Defines conditions for valid securities sales, which impacts data transfer assessments by requiring verification of client rights before data transfer for securities transactions.</t>
  </si>
  <si>
    <t>• [Must] Stockbrokers and dealers must have or believe they have an existing exercisable and unconditional right to vest securities in a purchaser
• [Must] A person with an existing exercisable and unconditional right to vest securities may transfer those rights to another person</t>
  </si>
  <si>
    <t>• [Must] A right to vest securities is not deemed conditional if securities are charged or pledged to secure repayment of money</t>
  </si>
  <si>
    <t>25. No stockbroker or dealer shall sell securities unless, at the time of the sale— (a) the stockbroker or dealer has or, in the case of a stockbroker, its client has; or (b) the stockbroker or dealer believes on reasonable grounds, that it has, or in the case of a stockbroker, its client has, an existing exercisable and unconditional right to vest the securities in a purchaser of the securities.</t>
  </si>
  <si>
    <t>Transaction and compensation fund fee payments</t>
  </si>
  <si>
    <t>Stockbrokers and dealers must pay transaction fees to the Authority and securities exchanges within fifteen days of a transaction and contribute to the Investor Compensation Fund. This ensures funds are available for investor compensation in case of market failures or misconduct.</t>
  </si>
  <si>
    <t>Requires timely payment of transaction fees and contributions to the Investor Compensation Fund, which impacts data transfer assessments by mandating financial data reporting for regulatory compliance.</t>
  </si>
  <si>
    <t>• [Must] Stockbrokers and dealers must pay transaction fees to the Authority and securities exchanges within fifteen days of a transaction</t>
  </si>
  <si>
    <t>• [Must] Stockbrokers and dealers must pay Investor Compensation Fund fees within fifteen days of a transaction</t>
  </si>
  <si>
    <t>27. All stockbrokers and dealers shall pay to the Authority and to the securities exchange of which they are trading participants the fees prescribed as payable by every buyer and seller of a security and shall pay to the Investor Compensation Fund the fees prescribed as payable by each buying and selling stockbroker, or dealer within fifteen days following a transaction.</t>
  </si>
  <si>
    <t>Application for investment advisory or fund management license</t>
  </si>
  <si>
    <t>Sole proprietors, companies, partnerships, or limited liability partnerships may apply to the Authority for an investment advisory license. Companies may apply for a fund management license. Applications must be submitted in duplicate using Form 1 as specified in the First Schedule.</t>
  </si>
  <si>
    <t>Defines who can apply for licenses and the required application format for investment advisors and fund managers, relevant for assessing eligibility and documentation needs in cross-border financial services.</t>
  </si>
  <si>
    <t>• [Must] Sole proprietor, company, partnership or limited liability partnership may apply to the Authority for a licence to operate as an investment advisor
• [Must] Company may apply to the Authority for a licence to operate as a fund manager</t>
  </si>
  <si>
    <t>• [Must] Application for a license in paragraphs (1) or (2) shall be submitted to the Authority, in duplicate, in Form 1 as set out in the First Schedule</t>
  </si>
  <si>
    <t>28. Application for license (1) A sole proprietor, company, partnership or limited liability partnership may apply to the Authority for a licence to operate as an investment advisor. (2) A company may apply to the Authority for a licence to operate as a fund manager.</t>
  </si>
  <si>
    <t>Application documentation and fit and proper requirements</t>
  </si>
  <si>
    <t>Applications for licenses must include certificates of incorporation, memorandum and articles of association, un-audited accounts, business plans detailing management structure, directors' qualifications, shareholding structure, minimum paid-up share capital for fund managers, chief executive qualifications, key personnel details, financial projections, IT systems, bank and business references, premises, staff, and independent auditors. Directors, chief executives, and managers must be fit and proper. Fund managers must be licensed to manage venture capital companies.</t>
  </si>
  <si>
    <t>Specifies detailed documentation required for license applications, including financial and operational records, which impacts data transfer assessments for financial institutions operating across borders.</t>
  </si>
  <si>
    <t>• [Must] Application under regulation 28 shall be submitted together with certificate of incorporation or registration
• [Must] Application under regulation 28 shall be submitted together with memorandum and articles of association in case of a company
• [Must] Application under regulation 28 shall be submitted together with a statement of un-audited accounts for the period of the accounting year ending not earlier than six months prior to the date of application and audited accounts for the preceding two years
• [Must] Application under regulation 28 shall be submitted together with a business plan containing particulars on management structure
• [Must] Application under regulation 28 shall be submitted together with particulars on directors, including one or more executive directors, their qualifications, addresses and details of other directorships
• [Must] Application under regulation 28 shall be submitted together with shareholding structure disclosing whether any shareholders will have executive roles
• [Must] Application under regulation 28 shall be submitted together with evidence of minimum paid-up share capital of not less than ten million shillings for fund managers
• [Must] Application under regulation 28 shall be submitted together with qualifications, experience and expertise of the chief executive
• [Must] Application under regulation 28 shall be submitted together with proposed management and qualifications of key personnel</t>
  </si>
  <si>
    <t>• [Must] Application under regulation 28 shall be submitted together with financial projections for three years
• [Must] Application under regulation 28 shall be submitted together with particulars of proposed operating and information technology system
• [Must] Application under regulation 28 shall be submitted together with one bank reference
• [Must] Application under regulation 28 shall be submitted together with two business references
• [Must] Application under regulation 28 shall be submitted together with proposed premises suitably located and equipped to provide satisfactory service to clients
• [Must] Application under regulation 28 shall be submitted together with staff capable of providing professional services to clients
• [Must] Every person who is, or is to be, a director, chief executive or manager of an investment adviser or fund manager shall be fit and proper to hold the particular position
• [Must Not] A person shall not carry on or hold out himself as carrying on the business of a fund manager of a registered venture capital company unless that person is a fund manager licensed by the Authority</t>
  </si>
  <si>
    <t>29. Specific requirements for approval (1) The application under regulation 28 shall be submitted together with— (a) certificate of incorporation or registration; (b) memorandum and articles of association in case of a company; (c) a statement of the un-audited accounts for the period of the accounting year ending not earlier than six months prior to the date of application and the applicant's audited accounts for the preceding two years (where applicable); (d) a business plan containing the particulars on— (i) the management structure; (ii) the directors, including one or more executive directors, their qualifications, addresses and details of other directorships; (iii) the shareholding structure, disclosing whether any of the shareholders will have an executive role to oversee the day-to-day operations of the business; (iv) the evidence of a minimum paid-up share capital of not less than ten million shillings for fund managers; (v) the qualifications, experience and expertise of the chief executive; (vi) the proposed management and qualifications of key personnel; (vii) the financial projections for three years; (viii) the particulars of the proposed operating and information technology system; (ix) one bank reference; (x) two business references; (xi) the proposed premises suitably located and equipped to provide satisfactory service to clients in the field of activity to which the licence relates or evidence acceptable to the Authority that such premises will be available; (xii) the staff capable of providing professional services to clients in the field of activity to which the licence relates or evidence acceptable to the Authority that such staff will be available; (xiii) the proposed independent auditor where applicable; (e) the fees prescribed in the Second Schedule.</t>
  </si>
  <si>
    <t>Financial capital requirements for fund managers</t>
  </si>
  <si>
    <t>Fund managers must maintain a minimum paid-up share capital of ten million shillings, ensure this capital remains unimpaired and not advanced to directors or associates, and maintain a liquid capital of five million shillings or eight percent of total liabilities, whichever is higher.</t>
  </si>
  <si>
    <t>Sets minimum financial capital requirements for fund managers, critical for assessing financial stability and risk in cross-border fund management operations.</t>
  </si>
  <si>
    <t>• [Must] The level of shareholders funds (paid-up share capital and reserves) for fund managers shall not fall below ten million shillings at any time during the licence period
• [Must] The paid-up share capital fund manager shall always be unimpaired and shall not be advanced to the directors or associates fund manager</t>
  </si>
  <si>
    <t>• [Must] A fund manager shall maintain a liquid capital of five million shillings or eight per cent of its total liabilities, whichever is higher</t>
  </si>
  <si>
    <t>30. Financial requirements (2) The level of shareholders funds (paid-up share capital and reserves) for fund managers, shall not fall below ten million shillings at any time during the licence period. (3) The paid-up share capital fund manager shall always be unimpaired and shall not be advanced to the directors or associates fund manager. (4) A fund manager shall maintain a liquid capital of five million shillings or eight per cent of its total liabilities, whichever is higher.</t>
  </si>
  <si>
    <t>Records and documentation retention for investment advisors and fund managers</t>
  </si>
  <si>
    <t>25–27</t>
  </si>
  <si>
    <t>Record Keeping, Data Storage</t>
  </si>
  <si>
    <t>Investment advisors and fund managers must maintain records for seven years, including journals, ledgers, transaction records, client communications, financial statements, and other business documentation. Records must be accessible for inspection by the Authority without notice.</t>
  </si>
  <si>
    <t>Requires detailed record-keeping for seven years, impacting data retention and compliance in cross-border financial services operations.</t>
  </si>
  <si>
    <t>• [Must] Every investment adviser and fund manager shall maintain and preserve for a period of seven years the following records— journals, including cash receipts and disbursement records
• [Must] Every investment adviser and fund manager shall maintain and preserve for a period of seven years the following records— general and auxiliary ledgers, or other comparable records reflecting assets, liabilities, reserves, capital, income and expense accounts
• [Must] Every investment adviser and fund manager shall maintain and preserve for a period of seven years the following records— a record or memorandum of each order given by the investment adviser or fund manager for the purchase or sale of securities
• [Must] Every investment adviser and fund manager shall maintain and preserve for a period of seven years the following records— all cheque books, bank statements, cancelled cheques and cash reconciliation
• [Must] Every investment adviser and fund manager shall maintain and preserve for a period of seven years the following records— all bills, statements or copies thereof, paid or unpaid relating to the business
• [Must] Every investment adviser and fund manager shall maintain and preserve for a period of seven years the following records— originals of all written communication received from clients and copies of all written communication sent by the investment adviser or fund manager relating to recommendations, receipts, disbursements, and orders
• [Must] Every investment adviser and fund manager shall maintain and preserve for a period of seven years the following records— all written agreements or copies thereof entered into with clients</t>
  </si>
  <si>
    <t>• [Must] Every investment adviser and fund manager shall maintain and preserve for a period of seven years the following records— a copy of each notice, circular, advertisement, etc. recommending purchase or sale of securities
• [Must] Every investment adviser and fund manager shall maintain and preserve for a period of seven years the following records— a record of every transaction in a security in which the investment adviser or fund manager or any employee acquires beneficial ownership
• [Must] Every investment adviser and fund manager shall maintain and preserve for a period of seven years the following records— a copy of each written statement, amendment or revision given to clients
• [Must] The records specified under paragraph (1) shall be subject to inspection from time to time and without notice by the Authority
• [Must] Each investment adviser and fund manager shall preserve and maintain clients' records of securities or funds and if required produce for inspection by the Authority such books, records and ledgers
• [Must] Each investment adviser and fund manager shall notify the Authority of the custodian appointed
• [Must] Each investment adviser and fund manager shall segregate the securities of each client and mark such securities to identify the particular client having the beneficial interest therein</t>
  </si>
  <si>
    <t>31. Records to be maintained (1) Every investment adviser and fund manager shall maintain and preserve for a period of seven years, the following records— (a) journals, including cash receipts and disbursement records and any other records or original entry, forming the basis of entries in any ledger; (b) general and auxiliary ledgers, or other comparable records reflecting assets, liabilities, reserves, capital, income and expense accounts; (c) a record or memorandum of each order given by the investment adviser or fund manager for the purchase or sale of securities, or any instruction received by the investment adviser or fund manager from the client concerning the purchase, sale, receipt or delivery of a particular security and of any modification or cancellation or any such order or instruction, and the record shall— (i) show the terms and conditions of the order, instruction, modification or cancellation; (ii) identify the person connected with the investment adviser or fund manager who recommended the transaction to the client and the person who placed such order; (iii) show the account for which the order was entered, the date of entry, and the stockbroker by or through whom the order was executed, where appropriate; and (iv) show orders entered pursuant to the exercise of discretionary power on account of management of investment portfolios in which case a record of details of such contracts with clients, constituents of the portfolio, transaction fees agreed with the client and value of the portfolio shall be included; (d) all cheque books, bank statements, cancelled cheques and cash reconciliation of the investment adviser or fund manager; (e) all bills, statements or copies thereof, paid or unpaid relating to the business of the investment adviser or the fund manager; (f) originals of all written communication received from clients and copies of all written communication sent by the investment adviser or fund manager relating to— (i) any recommendations made or proposed to be given; (ii) any receipts, disbursement or delivery of funds or securities; and (iii) the placing or execution of any order to purchase or sell any security; provided, that if the investment adviser or fund manager sends any notice, circular or other advertisement offering any report, analysis, publication or other investment advisory services to more than ten persons, the investment adviser or fund manager shall not be required to keep a record of the names and addresses of the persons to whom it was sent except that if such notice, circular or advertisement is distributed to persons named on any list, the investment adviser or fund manager shall retain a copy of such notice, circular or advertisement, a record or memorandum describing the list and the source; (g) all written agreements or copies thereof entered into with clients; (h) a copy of each notice, circular, advertisement, etc. recommending purchase or sale of securities; (i) a record of every transaction in a security in which the investment adviser or fund manager or any employee acquires beneficial ownership; (j) a copy of each written statement, amendment or revision given to clients; (k) the custodian appointed; (l) the securities of each client segregated and marked to identify the particular client having the beneficial interest therein.</t>
  </si>
  <si>
    <t>Prohibited activities and conduct for investment advisors and fund managers</t>
  </si>
  <si>
    <t>Investment advisors and fund managers must not loan money to clients unless they are financial institutions or the client is an affiliate. They must not subcontract services without client approval, remain liable for subcontracted activities, and ensure all communications are factual and accurate.</t>
  </si>
  <si>
    <t>Outlines prohibited activities and conduct, critical for assessing compliance and risk in cross-border financial services operations.</t>
  </si>
  <si>
    <t>• [Must Not] No investment adviser or fund manager shall loan money to a client unless the investment adviser or fund manager is a financial institution engaged in the business of loaning funds or the client is an affiliate of the investment adviser or fund manager
• [Must] An investment adviser or fund manager may not contract or engage any advisory or management services on behalf of an investment portfolio without prior written approval of its clients
• [Must] The investment adviser or fund manager shall remain liable for any act or omission of the sub-contracted investment adviser or fund manager</t>
  </si>
  <si>
    <t>• The investment adviser or fund manager shall remain liable for the fees and expenses of any such person, which shall not be payable out of the fund of the portfolio investments
• [Must] The investment adviser or fund manager shall remain liable for any expenses incurred by any such person which if incurred by the investment adviser or the fund manager would have been payable out of the fund of the investment portfolio
• [Must] Any information provided by investment advisers or fund managers to clients through newsletters and advertisements shall be factual and accurate</t>
  </si>
  <si>
    <t>32. Prohibited activities and conduct for investment advisors and fund managers (3) No investment adviser or fund manager shall loan money to a client unless the investment adviser or fund manager is a financial institution engaged in the business of loaning funds or the client is an affiliate of the investment adviser or fund manager. (4) An investment adviser or fund manager may not contract or engage any advisory or management services on behalf of an investment portfolio without prior written approval of its clients. The investment adviser or fund manager shall remain liable hereunder— (a) for any act or omission of the sub-contracted investment adviser or fund manager; (b) the fees and expenses of any such person, which shall not be payable out of the fund of the portfolio investments; and (c) any expenses incurred by any such person which if incurred by the investment adviser or the fund manager would have been payable out of the fund of the investment portfolio. (5) When accepting an order from a client the investment adviser or fund manager shall inform the client of all constituent parts of the service agreement prior to executing the order and get the client to give it a written declaration to confirm the same. (6) The investment adviser or fund manager shall be fair and equitable in the event of any conflict of interest that may arise in the course of its duties.</t>
  </si>
  <si>
    <t>Custodian appointment for discretionary funds</t>
  </si>
  <si>
    <t>Financial Data, Cross-border Transfer</t>
  </si>
  <si>
    <t>Fund managers handling discretionary funds must appoint a custodian for their assets. The custodian may be a holding company or subsidiary within the Companies Act, or deemed to be under control of substantially the same persons or shareholders, but investments in related companies cannot exceed ten percent of total funds managed. The Authority can revoke custodian approval if they cease to meet regulatory requirements.</t>
  </si>
  <si>
    <t>Requires custodian appointment for discretionary funds with specific ownership and investment limits, relevant for cross-border custody arrangements involving financial assets.</t>
  </si>
  <si>
    <t>• [Must] Fund managers handling discretionary funds must appoint a custodian for their assets
• [May] Custodian may be a holding company or subsidiary within Companies Act</t>
  </si>
  <si>
    <t>• [Must Not] Investments in related companies cannot exceed ten percent of total funds managed
• [May] Authority may revoke custodian approval if they cease to meet regulatory requirements</t>
  </si>
  <si>
    <t>A fund manager that manages discretionary funds shall appoint a custodian for the assets of the Fund.</t>
  </si>
  <si>
    <t>Custodian duties for investment portfolios</t>
  </si>
  <si>
    <t>Custodians must provide custodial services to investment portfolios in accordance with written agreements. Duties include holding client assets in trust, maintaining title documents, opening client accounts, transferring securities, and providing information to fund managers. Custodians must exercise prudent care and may engage overseas sub-custodians for offshore investments with Authority approval.</t>
  </si>
  <si>
    <t>Details custodian obligations for financial assets, including trust management and client account handling, critical for data custody and cross-border financial transfers.</t>
  </si>
  <si>
    <t>• [Must] Custodians must hold client assets in trust per written service agreement
• [Must] Custodians must maintain title documents, securities, and cash amounts
• [Must] Custodians must open client accounts for exclusive benefit of investment portfolios
• [Must] Custodians must transfer securities upon proper instructions from fund managers</t>
  </si>
  <si>
    <t>• [Must] Custodians must provide necessary information to fund managers for their functions
• [Must] Custodians must deliver copies of notices, proxies, financial reports, and communications
• [Must] Custodians must exercise prudent care expected of a professional custodian
• [May] Custodians may engage overseas sub-custodians for offshore investments with Authority approval</t>
  </si>
  <si>
    <t>A custodian shall render custodial services to the investment portfolio managed by the investment adviser or fund manager in accordance with the written service agreement between the custodian and the investment adviser or fund manager as the case may be</t>
  </si>
  <si>
    <t>Custodian records and reporting obligations</t>
  </si>
  <si>
    <t>Custodians must maintain records to track fund portfolios and transactions. Records must be accessible to fund managers or authorized Authority agents. Custodians must provide annual financial statements, client account statements, transfer notifications, and audit reports to the Authority. These records support transparency and regulatory oversight of financial assets.</t>
  </si>
  <si>
    <t>Mandates detailed custodian records for financial assets, essential for data storage, transfer, and compliance in cross-border financial contexts.</t>
  </si>
  <si>
    <t>• [Must] Custodians must keep records to ascertain entire fund of investment portfolio
• [Must] Custodians must keep records of all transactions carried out on behalf of fund managers
• [Must] Records must be subject to inspection by fund managers or authorized Authority agents</t>
  </si>
  <si>
    <t>• [Must] Custodians must provide written statements listing client assets and transactions
• [Must] Custodians must provide transfer notifications indicating securities acquired and physical possession
• [Must] Custodians must submit annual reports demonstrating compliance with regulations</t>
  </si>
  <si>
    <t>A custodian shall keep such records as may be necessary to ascertain the entire fund of the investment portfolio held by the custodian</t>
  </si>
  <si>
    <t>Custodian retirement procedures</t>
  </si>
  <si>
    <t>Custodians cannot retire voluntarily without Authority approval of a successor. If a custodian wishes to retire or ceases registration, the fund manager or investment adviser may appoint another eligible custodian with Authority approval to replace them.</t>
  </si>
  <si>
    <t>Requires custodian succession planning with regulatory approval, relevant for data custody continuity in cross-border financial operations.</t>
  </si>
  <si>
    <t>• [Must Not] Custodians cannot retire voluntarily without Authority approval of a successor</t>
  </si>
  <si>
    <t>• [May] Fund manager or investment adviser may appoint another eligible custodian with Authority approval</t>
  </si>
  <si>
    <t>A custodian shall not retire voluntarily except upon the appointment of a successor approved by the Authority.</t>
  </si>
  <si>
    <t>Custodian removal conditions</t>
  </si>
  <si>
    <t>Custodians may be removed by fund managers if they go into liquidation, cease banking activities, fail to fulfill duties, or if directors resolve to terminate the agreement with Authority approval. Upon removal, custodians must hand over assets within thirty days to a new custodian approved by the Authority.</t>
  </si>
  <si>
    <t>Defines custodian removal scenarios with strict asset handover timelines, critical for data transfer continuity and regulatory compliance in cross-border financial contexts.</t>
  </si>
  <si>
    <t>• [May] Custodians may be removed if they go into liquidation other than voluntary reconstruction
• [May] Custodians may be removed if they cease to be authorized depositories or banks
• [May] Custodians may be removed if they fail to fulfill duties after reasonable notice</t>
  </si>
  <si>
    <t>• [Must] Custodians must hand over all assets within thirty days to approved Authority custodian
• [Must] Custodians must submit audit reports within twenty days after termination</t>
  </si>
  <si>
    <t>A custodian may be removed by the investment adviser of fund manager by notice in writing where — (a) the custodian goes into liquidation other than a voluntary liquidation for the purpose of reconstruction or amalgamation</t>
  </si>
  <si>
    <t>Investment bank licensing requirements</t>
  </si>
  <si>
    <t>Investment banks must submit detailed applications to the Authority including certificates of incorporation, audited accounts, business plans, and staff qualifications. Applications require proof of minimum paid-up share capital of 250 million shillings and evidence of professional staff capable of handling client services. Banks seeking exchange admission must provide exchange confirmation.</t>
  </si>
  <si>
    <t>Sets strict licensing criteria for investment banks, relevant for data handling and cross-border financial operations involving client data.</t>
  </si>
  <si>
    <t>• [Must] Investment banks must submit application in Form 1 with certificate of incorporation
• [Must] Investment banks must submit audited accounts for the preceding two years
• [Must] Investment banks must provide business plan with management structure and staff qualifications</t>
  </si>
  <si>
    <t>• [Must] Investment banks must demonstrate minimum paid-up share capital of 250 million shillings
• [Must] Investment banks must have staff capable of providing professional services to clients
• [May] Investment banks seeking exchange admission must provide exchange confirmation</t>
  </si>
  <si>
    <t>An application for a licence to operate as an investment bank shall be submitted to the Authority in Form 1 set out in the First Schedule.</t>
  </si>
  <si>
    <t>Investment banks' permitted financial services</t>
  </si>
  <si>
    <t>Financial Data, Cross-border Transfer, Data Sharing, Data Storage</t>
  </si>
  <si>
    <t>Investment banks must operate as non-deposit-taking institutions and provide specific financial services including advisory services on public offerings, corporate restructuring, financing, stockbroking, dealing, underwriting, fund management, and investment advisory services. These functions are subject to regulation under the Capital Markets (Licensing Requirements) (General) Regulations.</t>
  </si>
  <si>
    <t>Defines permissible financial activities for investment banks, which impacts cross-border data transfers related to financial services operations and client data handling.</t>
  </si>
  <si>
    <t>• [Must] An investment bank shall be a non-deposit taking institution
• [Must] An investment bank shall offer advisory services on public offering of securities
• [Must] An investment bank shall offer advisory services on corporate financial restructuring, takeovers, mergers, acquisitions and privatization
• [Must] An investment bank shall offer advisory services on corporate financing, options including issuance of equity or debt securities or loan syndication
• [Must] An investment bank shall engage in the business of a stockbroker subject to regulation 42</t>
  </si>
  <si>
    <t>• [Must] An investment bank shall engage in the business of a dealer
• [Must] An investment bank shall promote or arrange underwriting or issuance of securities
• [Must] An investment bank shall promote and act as a fund manager of collective investment schemes
• [Must] An investment bank shall provide investment advisory services and contractual portfolio management</t>
  </si>
  <si>
    <t>An investment banks shall be a non-deposit taking institution and shall carry out all or any of the following functions—</t>
  </si>
  <si>
    <t>Eligibility for securities exchange admission</t>
  </si>
  <si>
    <t>Investment banks licensed by the Capital Markets Authority are eligible to apply for admission as trading participants at securities exchanges, provided they meet the exchange's eligibility requirements. This section establishes a pathway for licensed investment banks to participate in exchange activities.</t>
  </si>
  <si>
    <t>Specifies conditions for investment banks to engage in cross-border securities trading, affecting data transfer for exchange operations and client information handling.</t>
  </si>
  <si>
    <t>• [Must] A person licensed by the Authority as an investment bank shall be eligible to apply for admission as a trading participant with a securities exchange</t>
  </si>
  <si>
    <t>• [Condition] The licensed investment bank complies with the eligibility requirements of the admitting securities exchange</t>
  </si>
  <si>
    <t>A person licensed by the Authority as an investment bank shall be eligible to apply for admission as a trading participant with a securities exchange: Provided that the licensed investment bank complies with the eligibility requirements of the admitting securities exchange.</t>
  </si>
  <si>
    <t>Investment banks' conduct obligations</t>
  </si>
  <si>
    <t>Financial Data, Data Storage, Data Sharing</t>
  </si>
  <si>
    <t>Investment banks must comply with client account provisions, record-keeping requirements, reporting obligations, conduct standards, prohibited dealings, investment requirements, custodian appointments, and fee payment rules for stockbrokers, broking agents, dealers, investment advisers, and fund managers as specified in the Regulations.</t>
  </si>
  <si>
    <t>Imposes conduct and record-keeping requirements on investment banks, impacting data storage, sharing, and retention practices for financial clients.</t>
  </si>
  <si>
    <t>• [Must] An investment bank shall comply with provisions on client accounts
• [Must] An investment bank shall comply with record-keeping requirements
• [Must] An investment bank shall comply with reporting obligations
• [Must] An investment bank shall comply with conduct standards</t>
  </si>
  <si>
    <t>• [Must] An investment bank shall comply with prohibited dealings and associations
• [Must] An investment bank shall comply with investment requirements
• [Must] An investment bank shall comply with appointment of custodian</t>
  </si>
  <si>
    <t>An investment bank shall comply with the provisions on client accounts, records to be maintained, reporting obligations, conduct, prohibited dealings and associations, investment requirements and appointment of custodian, relating to stockbrokers, broking agents, dealers, investment advisers and fund managers and payment of transaction and investor compensation fees relating to stockbrokers, stockbroking agents and dealers as set out in these Regulations, where applicable.</t>
  </si>
  <si>
    <t>Financial capital requirements for investment banks</t>
  </si>
  <si>
    <t>Investment banks must maintain a minimum paid-up share capital of 250 million shillings, shareholders' funds (paid-up share capital and reserves) of at least 250 million shillings, unimpaired capital not advanced to directors or associates, and a liquid capital of 30 million shillings or 8% of total liabilities, whichever is higher. These requirements apply during the license period with specific compliance timelines.</t>
  </si>
  <si>
    <t>Sets financial capital thresholds that influence data storage and processing capabilities for investment banks, affecting cross-border data transfer feasibility.</t>
  </si>
  <si>
    <t>• [Must] The level of paid-up share capital shall not fall below two hundred and fifty million shillings at any time during the licence period
• [Must] Shareholders' funds (paid up share capital and Reserves) shall at no time fall below two hundred and fifty million shillings
• [Condition] Any investment bank whose paid-up share capital is below the required amount at the time of commencement of this paragraph shall comply by the 31st December 2010</t>
  </si>
  <si>
    <t>• [Must] The minimum paid-up share capital shall always be unimpaired and shall not be advanced to the directors or associates of the investment bank
• [Must] An investment bank shall maintain a liquid capital of thirty million or eight per cent of its total liabilities, whichever is higher</t>
  </si>
  <si>
    <t>(1) The level of paid-up share capital shall not fall below two hundred and fifty million shillings at any time during the licence period and in addition, shareholders' funds (paid up share capital and Reserves) shall at no time fall below two hundred and fifty million shillings: Provided that any investment bank whose paid-up share capital is below the required amount at the time of commencement of this paragraph shall comply by the 31st December 2010.</t>
  </si>
  <si>
    <t>Application requirements for securities dealers</t>
  </si>
  <si>
    <t>Financial Data, Data Sharing, Data Storage</t>
  </si>
  <si>
    <t>To apply for a license as an authorized securities dealer, applicants must be licensed banks, investment banks, fund managers, or insurance companies meeting specific criteria, including demonstrating effective capacity and expertise in securities dealing. Applicants must also provide evidence of financial resources and submit a business plan detailing management structure, directors, and operational infrastructure.</t>
  </si>
  <si>
    <t>Outlines application criteria for securities dealers, impacting data transfer requirements for financial institutions operating across borders.</t>
  </si>
  <si>
    <t>• [Must] An application for a licence to operate as an authorized securities dealer shall be submitted to the Authority in Form 1
• [Must] An applicant shall be a bank licensed under the Banking Act (Cap. 488)
• [Must] An applicant shall be an investment bank or a fund manager</t>
  </si>
  <si>
    <t>• [Must] An applicant shall be an insurance company licensed under the Insurance Act (Cap. 487)
• [Must] An applicant shall demonstrate effective capacity and expertise in dealing in securities
• [Must] An authorized securities dealer who intends to be admitted as a trading participant at a securities exchange shall submit a letter from the securities exchange confirming admission</t>
  </si>
  <si>
    <t>An application for a licence to operate as an authorized securities dealer shall be submitted to the Authority in Form 1 set out in the First Schedule.</t>
  </si>
  <si>
    <t>Application documentation for securities dealers</t>
  </si>
  <si>
    <t>Applications for securities dealer licenses require submission of incorporation certificates, memorandum and articles of association, evidence of minimum paid-up share capital, financial capability evidence, un-audited accounts, and a business plan detailing management structure, directors, qualifications, and proposed operational infrastructure.</t>
  </si>
  <si>
    <t>Specifies documentation requirements for securities dealers, influencing data storage and processing capabilities for cross-border financial operations.</t>
  </si>
  <si>
    <t>• [Must] The application shall be submitted together with the certificate of incorporation
• [Must] The application shall be submitted together with the memorandum and articles of association
• [Must] The application shall be submitted together with evidence of the minimum paid up share capital prescribed by the Authority
• [Must] The application shall be submitted together with evidence of the minimum financial resources and financial capability prescribed by the Authority
• [Must] The application shall be submitted together with a statement of the un-audited accounts for the period of the accounting year ending not earlier than six months prior to the date of application and the applicant's audited accounts for the preceding two years (where applicable)</t>
  </si>
  <si>
    <t>• [Must] The application shall be submitted together with a business plan containing the particulars on management and shareholding structure of the applicant
• [Must] The application shall be submitted together with a business plan containing the particulars on directors, including their qualifications, addresses and details of other directorships
• [Must] The application shall be submitted together with a business plan containing the particulars on qualifications, experience and expertise of the chief dealer relevant to managing fixed income securities
• [Must] The application shall be submitted together with a business plan containing the particulars on the proposed operating system including dealing infrastructure</t>
  </si>
  <si>
    <t>The application under regulation 45 shall be submitted together with— (a) the certificate of incorporation; (b) the memorandum and articles of association; (c) evidence of the minimum paid up share capital prescribed by the Authority;</t>
  </si>
  <si>
    <t>Securities dealer functions and exchange membership eligibility</t>
  </si>
  <si>
    <t>Financial Data, Cross-border Transfer, Data Storage, Security</t>
  </si>
  <si>
    <t>Authorized securities dealers must trade only in fixed income securities, trade on behalf of others and self, and implement operational procedures to minimize settlement and counterparty risk while managing conflicts of interest. Eligible dealers must meet exchange-specific requirements to apply for trading participant status. Dealers must comply with client account and conduct of business regulations applicable to stockbrokers and dealers.</t>
  </si>
  <si>
    <t>Requires dealers to restrict trading to fixed income securities and implement risk management systems, impacting cross-border data transfers involving securities transactions.</t>
  </si>
  <si>
    <t>• [Must] Restricted to dealing in fixed income securities whether listed on an approved exchange or not
• [Must] Entitled to trade on behalf of others as well as on their own account in such segment
• [Must] Required to implement necessary operational, trading and settlement procedures and systems to minimize settlement and counterparty risk and manage conflicts of interest</t>
  </si>
  <si>
    <t>• [Must] Meet eligibility requirements of the admitting securities exchange to apply for trading participant status
• [Must] Comply with client accounts, conduct of business, prohibited dealings and associations and investment requirements regulations</t>
  </si>
  <si>
    <t>48. Functions and membership on a securities exchange (1) An authorized securities dealer shall be— (a) restricted to dealing in fixed income securities whether listed on an approved exchange or not; (b) entitled to trade on behalf of others as well as on their own account in such segment; and (c) required to implement necessary operational, trading and settlement procedures and systems necessary to minimize settlement and counterparty risk and manage conflicts of interest.</t>
  </si>
  <si>
    <t>Transaction records maintenance for securities dealers</t>
  </si>
  <si>
    <t>Authorized securities dealers must maintain daily records of transactions including security type, trade value, counterparty, and account nature. These records supplement existing client account and conduct of business compliance requirements.</t>
  </si>
  <si>
    <t>Mandates detailed transaction records that could impact data storage and transfer requirements for cross-border securities transactions.</t>
  </si>
  <si>
    <t>• [Must] Maintain a record of daily dealing transactions including particulars on type of security
• [Must] Include value of trade in records</t>
  </si>
  <si>
    <t>• [Must] Include counterparty details in records
• [Must] Include nature of account details in records</t>
  </si>
  <si>
    <t>49. Records of transactions In addition to the requirements specified under regulation 48(3) every authorized securities dealer shall maintain a record of its daily dealing transactions which shall include particulars on— (a) type of security; (b) value of trade; (c) counter party; and (d) nature of account.</t>
  </si>
  <si>
    <t>Securities transaction reporting obligations</t>
  </si>
  <si>
    <t>Authorized securities dealers must submit monthly, quarterly, half-yearly, and annual financial reports to the Capital Markets Authority within specified timeframes. Reports must include security type, trade value, and average yield metrics for the relevant period.</t>
  </si>
  <si>
    <t>Requires regular financial reporting that impacts data retention and transfer for cross-border securities transactions.</t>
  </si>
  <si>
    <t>• [Must] Submit monthly reports and accounts within fifteen days of the end of each calendar month
• [Must] Submit quarterly reports and accounts within fifteen days of the end of each calendar quarter
• [Must] Submit half yearly reports and accounts within thirty days of the end of each year
• [Must] Submit audited annual accounts within three months following the end of the authorized securities dealer financial year</t>
  </si>
  <si>
    <t>• [Must] Submit a financial statement complying with disclosures prescribed under the Fourth Schedule
• [Must] Include particulars on type of securities in reports
• [Must] Include total value of securities traded in terms of sales and purchases during the relevant period
• [Must] Include average yield of total value of securities traded during the relevant period</t>
  </si>
  <si>
    <t>50. Report of dealing transactions (1) Every authorised securities dealer shall, in respect of all its transactions in securities, whether or not such securities are traded on an approved exchange, submit to the Authority— (a) monthly reports and accounts within fifteen days of the end of each calendar month; (b) quarterly reports and accounts within fifteen days of the end of each calendar quarter; (c) half yearly reports and accounts within thirty days of the end of each year; (d) audited annual accounts within three months following the end of the authorized securities dealer financial year; and (e) a financial statement complying with the disclosures prescribed under the Fourth Schedule of these Regulations.</t>
  </si>
  <si>
    <t>Renewal of licence application requirements</t>
  </si>
  <si>
    <t>Licensed securities dealers must submit renewal applications to the Authority by November 30 each year using Form 1. Applications require payment of specified fees and management accounts for the period up to November 30, submitted no later than December 15. Annual accounts must be submitted by March 31, and financial years end on December 31. Licensed persons may adjust their financial year within twelve months of the regulation's commencement.</t>
  </si>
  <si>
    <t>• [Must] Submit renewal application to Authority by November 30 each year using Form 1
• [Must] Submit fees specified in Second Schedule with application
• [Must] Submit management accounts for period up to November 30 by December 15</t>
  </si>
  <si>
    <t>• [Must] Submit audited annual accounts by March 31
• [Condition] Financial year ends on December 31
• [Condition] May adjust financial year within twelve months of commencement</t>
  </si>
  <si>
    <t>51. Renewal of licence (1) An application for the renewal of a licence shall be submitted to the Authority in Form 1 set out in the First Schedule by the 30th of November of each year.</t>
  </si>
  <si>
    <t>Fit and proper determination criteria</t>
  </si>
  <si>
    <t>The Authority determines suitability for positions by assessing probity, competence, sound judgment, diligence in fulfilling responsibilities, potential threats to customer interests, contraventions of laws protecting against financial loss, involvement in irregularities, convictions for economic crimes, and history with liquidated brokerage firms.</t>
  </si>
  <si>
    <t>• [Must] Assess probity, competence and soundness of judgment in fulfilling responsibilities
• [Must] Assess diligence in fulfilling or likely to fulfil responsibilities
• [Must] Assess whether customer interests are threatened by holding position due to past convictions, irregularities, misappropriation or market manipulation
• [Must] Assess contraventions of laws protecting against financial loss due to dishonesty or incompetence</t>
  </si>
  <si>
    <t>• [Must] Assess history with liquidated or liquidating brokerage firms
• [Must] Assess involvement in fraudulent, prejudicial or improper business practices
• [Must] Assess whether competence and soundness of judgment are compromised
• [Must] Assess convictions for economic crimes under Anti-Corruption and Economic Crimes Act</t>
  </si>
  <si>
    <t>52. Determination of suitability In determining whether a person is fit and proper to hold any particular position, regard shall be had to—</t>
  </si>
  <si>
    <t>Key personnel registration requirements</t>
  </si>
  <si>
    <t>Trading participants must register key personnel annually with the Authority, including any changes. Key personnel includes employees and directors who have direct client dealings and carry out trading activities on behalf of clients.</t>
  </si>
  <si>
    <t>• [Must] Register key personnel annually with Authority including any changes</t>
  </si>
  <si>
    <t>• [Definition] Key personnel includes employees and directors with direct client dealings and trading activities</t>
  </si>
  <si>
    <t>53. Key personnel of full and associate members (1) All trading participants of a securities exchange shall register with the Authority all key personnel annually including any changes thereto.</t>
  </si>
  <si>
    <t>Submission of memorandum or articles alterations within 30 days</t>
  </si>
  <si>
    <t>Processing</t>
  </si>
  <si>
    <t>Licensed persons must submit any alterations to their memorandum or articles of association to the Authority within thirty days of approving such changes. This requirement applies to all licensed entities operating under the Capital Markets (Licensing Requirements) (General) Regulations. The Authority is the regulatory body responsible for this submission process.</t>
  </si>
  <si>
    <t>• [Must] Every licensed person shall submit to the Authority any alterations to its memorandum or articles of association within thirty days of passing the resolution approving such alteration.</t>
  </si>
  <si>
    <t>Every licensed person shall submit to the Authority any alterations to its memorandum or articles of association within thirty days of passing the resolution approving such alteration.</t>
  </si>
  <si>
    <t>Secretary qualification under Certified Public Secretaries Act</t>
  </si>
  <si>
    <t>Licensed persons cannot engage a Secretary who is not qualified under the Institute of Certified Public Secretaries of Kenya Act (Cap. 534). This requirement applies to all licensed entities operating under the Capital Markets (Licensing Requirements) (General) Regulations. The Authority is the regulatory body responsible for this qualification process.</t>
  </si>
  <si>
    <t>• [Must Not] No licensed person shall engage as a Secretary a person who is not qualified under the Institute of Certified Public Secretaries of Kenya Act (Cap. 534).</t>
  </si>
  <si>
    <t>No licensed person shall engage as a Secretary a person who is not qualified under the Institute of Certified Public Secretaries of Kenya Act (Cap. 534).</t>
  </si>
  <si>
    <t>Eligible private transactions for approval</t>
  </si>
  <si>
    <t>Private transactions are eligible for Authority approval if they involve transfers to close relations as gifts, settlement of wills or estates, restructuring/mergers/acquisitions approved by the Authority, transfers of exceptional listed securities for strategic investors, or transfers that do not change beneficial ownership except as specified.</t>
  </si>
  <si>
    <t>• [Condition] A private transaction is eligible for Authority approval if it involves a transfer to a close relation in the form of a gift.
• [Condition] A private transaction is eligible for Authority approval if it involves settlement of a will or estate of a deceased person.
• [Condition] A private transaction is eligible for Authority approval if it involves restructuring, mergers or acquisitions in a scheme approved by the Authority.</t>
  </si>
  <si>
    <t>• [Condition] A private transaction is eligible for Authority approval if it involves a transfer of an exceptional nature of a listed security that the Authority considers proper and acceptable for a strategic investor serving public interest.
• [Condition] A private transaction is eligible for Authority approval if it does not result in any change in beneficial ownership otherwise than for purposes of regulation 57(c), (d) or section 31(1A)(ii) of the Act.</t>
  </si>
  <si>
    <t>An application to the Authority for approval of a private transaction shall be considered if the transaction is for the— (a) transfer to a close relation in the form of a gift; (b) settlement of a will or estate of a deceased person; (c) restructuring, mergers or acquisitions in a scheme which has been approved by the Authority; (d) transfer of an exceptional nature of a listed security that the Authority considers to be proper and acceptable with respect to a strategic investor and serves the investor or public interest; or (e) transfer not resulting in any change in beneficial ownership otherwise than for purposes of regulation 57(c), (d) or section 31(1A)(ii) of the Act.</t>
  </si>
  <si>
    <t>Application for private transfer approval</t>
  </si>
  <si>
    <t>Processing, Third Party Processing</t>
  </si>
  <si>
    <t>For private transactions of listed securities, stockbrokers must submit applications to exchanges or depositories with supporting documents. Exchanges/depositories must notify the Authority within seven days whether they object to the transaction. The Authority approves applications for transactions under regulation 57(a) or (b) after exchanges/depositories confirm eligibility.</t>
  </si>
  <si>
    <t>• [Must] Where it is intended to effect a private transaction of a listed security under regulation 57(a), (b) and (e), a stockbroker representing the proposed transferee shall assess, endorse and submit a written application with required information and supporting documents.
• [Must] The securities exchange or central depository shall notify the stockbroker within seven days of receiving the application whether it objects to the private transaction.</t>
  </si>
  <si>
    <t>• [Must] The securities exchange or central depository shall approve and notify the Authority that the application complies with regulation 57(a) or (b).
• [Must] The securities exchange and central depository shall forward applications under regulation 57(e) to the Authority for approval.</t>
  </si>
  <si>
    <t>Where it is intended to effect a private transaction of a listed security under regulation 57(a), (b) and (e), a stockbroker representing the proposed transferee shall assess, endorse and submit a written application with the required information and supporting documents— (a) in the case of certificated securities, to the securities exchange where the security is listed, and (b) in the case of immobilized securities, to the central depository at which the security is immobilized, stating reasons why the proposed transaction is eligible to be transferred in a private transaction.</t>
  </si>
  <si>
    <t>Application for private transactions under section 31(1A) of the Act</t>
  </si>
  <si>
    <t>For private transactions under section 31(1A)(ii) of the Act, applicants must submit detailed draft information memorandums or circulars to shareholders containing specific information about the applicant, core activities, directors, management, shareholders, agreements, financial adviser statements, merger details, and director declarations.</t>
  </si>
  <si>
    <t>• [Must] The applicant shall submit to the Authority a detailed draft information memorandum or circular to shareholders containing information on the name and address of the applicant, date of incorporation, core activities, directors, management, major shareholders, agreements, financial adviser statements, merger details, and director declarations.</t>
  </si>
  <si>
    <t>• [Must] The applicant shall make a public announcement of its intention to apply to the Authority for approval of the proposed transfer and reasons therein.</t>
  </si>
  <si>
    <t>With respect to an application for approval of a private transaction, falling under regulation 57(c) or (d) or section 31(1A)(ii) of the Act, the applicant shall submit to the Authority for approval a detailed draft information memorandum or a circular to be distributed to the shareholders containing information on— (a) the name and address of the applicant; (b) the date of incorporation; (c) the particulars of core activities, directors, management and major shareholders; (d) the details of any agreements entered or proposed to be entered into and the cost; (e) a statement by the financial adviser managing the transaction that to the best of its knowledge and belief the application constitutes full and true disclosure of all material facts about the offer and issuer and where appropriate it has satisfied itself that the profit forecasts have been stated by the directors after due and careful inquiry; (f) the details of any proposed merger, takeover, acquisitions, share, swap, reorganization or restructure scheme and the relevant shareholders and/or board resolutions; (g) a declaration by the directors of the applicant in the following form: "This application has been approved by the directors of the company all of whom jointly and severally accept responsibility for the accuracy of the information given and confirm that after making all reasonable inquiries and to the best of their knowledge and belief, there are no facts the omission of which would make any statement herein misleading."; (h) any other matters as may be requested by the Authority.</t>
  </si>
  <si>
    <t>Content requirements for public communications</t>
  </si>
  <si>
    <t>41–42</t>
  </si>
  <si>
    <t>Circulars to shareholders and public communications must be factual and serve to assist in security evaluation, promote the industry, or provide accurate information about listed companies. No material fact may be omitted if such omission would cause the communication to be misleading. Licensed persons must disclose price, recommendations, risk factors, and sources of facts in their communications.</t>
  </si>
  <si>
    <t>• [Must] All circulars to shareholders and the public including advertisements, offer documents and any other communication by listed companies, professionals and persons licensed under the Act shall be factual and statements made shall be for the purpose of assisting in the evaluation of a particular security, promoting the industry, or providing accurate…
• [Must] No material fact or qualification may be omitted if such omission would cause a shareholders' circular, advertisement or offer document to be misleading.
• [Must] In making a recommendation with respect to any security, a licensed person, issuer or analyst shall disclose the price at the time of the recommendation and whether they make a market in the securities.</t>
  </si>
  <si>
    <t>• [Must] In making a recommendation with respect to any security, a licensed person, issuer or analyst shall recommend a buy or sell action and disclose the basic facts and assumptions in support of such recommendation.
• [Must] In making a recommendation with respect to any security, a licensed person, issuer or analyst shall highlight all risk factors that such licensed person or analyst has taken into consideration in the recommendation.
• [Must] In making a recommendation with respect to any security, a licensed person, issuer or analyst shall state the source of the facts and the recommended time frame for the validity of assumptions.</t>
  </si>
  <si>
    <t>All circulars to shareholders and the public including advertisements, offer documents and any other communication by listed companies, professionals and persons licensed under the Act shall be factual and statements made shall be for the purpose of— (a) assisting in the evaluation of a particular security, or type of securities; (b) promoting the industry, the service offered or the desirability of investing in securities in general; or (c) providing shareholders or the public with accurate and adequate information about the listed company or securities transaction and market activity.</t>
  </si>
  <si>
    <t>Stockbrokers and dealers must contribute to Compensation Fund</t>
  </si>
  <si>
    <t>Trading participants in securities exchanges must contribute to the Compensation Fund in amounts prescribed by the Authority. Contributions are credited to a dedicated bank account managed by the Authority. This obligation applies to stockbrokers and dealers licensed to trade on securities exchanges.</t>
  </si>
  <si>
    <t>Contribution requirements establish a financial safeguard mechanism for investor compensation, relevant to cross-border financial data transfers involving stockbrokers and dealers.</t>
  </si>
  <si>
    <t>• [Must] Every buying or selling stockbroker or dealer that is a trading participant of a securities exchange shall contribute to the Compensation Fund such amount as shall be prescribed from time to time by the Authority</t>
  </si>
  <si>
    <t>• [Must] All monies contributed to the Compensation Fund shall be credited to a bank account established by the Authority for that purpose</t>
  </si>
  <si>
    <t>64. Contribution by licensees (1) Every buying or selling stockbroker or dealer that is a trading participant of a securities exchange shall contribute to the Compensation Fund such amount as shall be prescribed from time to time by the Authority.</t>
  </si>
  <si>
    <t>Compensation Fund management and audit requirements</t>
  </si>
  <si>
    <t>The Authority must manage the Compensation Fund as a separate entity, disclose it in annual financial statements, maintain proper accounts, and prepare statements of accounts showing fund movements. The Fund's accounts must include all contributions, expenses, and management fees. The Authority must also audit the Fund annually.</t>
  </si>
  <si>
    <t>Clear financial safeguards for investor compensation, relevant to data transfer impact assessments involving financial institutions and cross-border fund management.</t>
  </si>
  <si>
    <t>• [Must] The Compensation Fund shall be managed by the Authority as a separate fund and disclosed as such in the Authority's annual balance sheet as an asset and liability
• [Must] The Authority shall keep proper accounts and records of the Compensation Fund and in every financial year, prepare a statement of accounts showing the movement and financial position of the Fund in the Authority's annual report</t>
  </si>
  <si>
    <t>• [Must] The accounts referred to in paragraph (2) shall include the income and all sources of contribution to and expenses or disbursements of the Compensation Fund including the fees charged by the Authority for the management of the Fund and any investments of the Fund
• [Must] The accounts and records of the Compensation Fund shall be audited by the auditor appointed by the Authority for the Authority's annual accounts</t>
  </si>
  <si>
    <t>65. Management and audit of the Compensation Fund (1) The Compensation Fund shall be managed by the Authority as a separate fund and disclosed as such in the Authority's annual balance sheet as an asset and liability.</t>
  </si>
  <si>
    <t>Annual report inclusion of Compensation Fund details</t>
  </si>
  <si>
    <t>The Authority must include information about the Compensation Fund in its annual report to the Cabinet Secretary responsible for Finance. This requirement ensures transparency and accountability in fund management to stakeholders.</t>
  </si>
  <si>
    <t>Relevant for financial data transfers as it mandates reporting of compensation fund details to government authorities, impacting data retention and disclosure requirements.</t>
  </si>
  <si>
    <t>• [Must] The Authority shall include information relating to the Compensation Fund in its annual report to the Cabinet Secretary for the time being responsible for Finance</t>
  </si>
  <si>
    <t>68. Report to the Cabinet Secretary The Authority shall include information relating to the Compensation Fund in its annual report to the Cabinet Secretary for the time being responsible for Finance.</t>
  </si>
  <si>
    <t>69</t>
  </si>
  <si>
    <t>Investor compensation from Compensation Fund</t>
  </si>
  <si>
    <t>Investors who suffer pecuniary loss due to a licensed stockbroker or dealer's failure to meet obligations may claim compensation from the Compensation Fund. The claim process requires the investor to apply to the Authority for payment equal to the net loss after exhausting other remedies like bank guarantees or statutory manager payments.</t>
  </si>
  <si>
    <t>Directly relevant to data transfer impact assessments as it establishes a compensation mechanism for financial data breaches, affecting cross-border investor data handling.</t>
  </si>
  <si>
    <t>• [Must] Whenever an investor has suffered pecuniary loss due to the failure of a stockbroker, dealer or on investment bank carrying out stockbroking business or dealing, operations, to meet its contractual obligations, which loss has not been compensated— the investor shall apply to the Authority for compensation from the Compensation Fund in cash or secu…</t>
  </si>
  <si>
    <t>69. Compensation of investors Whenever an investor has suffered pecuniary loss due to the failure of a stockbroker, dealer or on investment bank carrying out stockbroking business or dealing, operations, to meet its contractual obligations, which loss has not been compensated— the investor shall apply to the Authority for compensation from the Compensation Fund in cash or securities equal to the net loss.</t>
  </si>
  <si>
    <t>71</t>
  </si>
  <si>
    <t>Investor Compensation Committee operations</t>
  </si>
  <si>
    <t>The Authority must establish an Investor Compensation Committee to handle investor claims. The Committee includes the Chairman and Chief Executive of the Nairobi Stock Exchange, and may appoint additional members. It evaluates claims, recommends compensation amounts, and considers the fund's available balance before making final decisions.</t>
  </si>
  <si>
    <t>Critical for DTIAs as it outlines a structured process for compensating investors, impacting data transfer safeguards for financial institutions.</t>
  </si>
  <si>
    <t>• [Must] The Authority shall establish an Investor Compensation Committee to deal with claims from investors
• [Must] The Compensation Committee shall include the Chairman and the Chief Executive of the Nairobi Stock Exchange and any other persons who may be appointed by the Authority to be members of the Committee
• [Must] The Compensation Committee shall, after examination of the evidence produced in support of a claim, make any recommendation to the Authority with respect to whether to allow or disallow such claim and, if the recommendation is to allow the claim, an assessment of the amount payable including any pro rata allocation of any such limit prescribed for…</t>
  </si>
  <si>
    <t>• [Must] While determining the amount to be paid in compensation to an Investor, the Compensation Committee shall take into account the total amount available in the Compensation Fund
• [Must] The Authority shall give notice of its decision to the investors in writing or by other means of appropriate notification</t>
  </si>
  <si>
    <t>71. Investor Compensation Committee (1) The Authority shall establish an Investor Compensation Committee to deal with claims from investors.</t>
  </si>
  <si>
    <t>72</t>
  </si>
  <si>
    <t>Notification of pecuniary loss to statutory manager</t>
  </si>
  <si>
    <t>Statutory manager</t>
  </si>
  <si>
    <t>Investors who suffer pecuniary loss must notify the statutory manager of the liable licensed person within sixty days of the manager's appointment. The statutory manager must pay all valid claims within six months of appointment.</t>
  </si>
  <si>
    <t>Relevant for DTIAs as it establishes timelines for reporting financial losses, impacting data transfer and breach notification procedures.</t>
  </si>
  <si>
    <t>• [Must] Every investor who has suffered a pecuniary loss shall notify the statutory manager of the licensed person liable for the loss within sixty days of the appointment of the statutory manager</t>
  </si>
  <si>
    <t>• [Must] The statutory manager shall pay all valid claims within six months of its appointment</t>
  </si>
  <si>
    <t>72. Notification of pecuniary loss (1) Every investor who has suffered a pecuniary loss shall notify the statutory manager of the licensed person liable for the loss within sixty days of the appointment of the statutory manager.</t>
  </si>
  <si>
    <t>74</t>
  </si>
  <si>
    <t>Compensation fund liability for payments made to investors</t>
  </si>
  <si>
    <t>Financial Data, Record Keeping</t>
  </si>
  <si>
    <t>Compensation Fund</t>
  </si>
  <si>
    <t>Licensed persons must repay the Compensation Fund for any payments made from it to investors. If a licensed person goes insolvent, their liquidator must return any funds the Fund paid to investors. This section establishes financial accountability for compensation fund disbursements and ensures investor protection through fund recovery mechanisms.</t>
  </si>
  <si>
    <t>Requires licensed entities to maintain financial liability for compensation fund payments, impacting cross-border financial data transfers involving investor protection mechanisms.</t>
  </si>
  <si>
    <t>• [Must] Licensed person must repay Compensation Fund for payments made from it to investors</t>
  </si>
  <si>
    <t>• [Must] Liquidator must return funds paid by Fund to investors during liquidation</t>
  </si>
  <si>
    <t>Where payment has been made out of the Compensation Fund on behalf of a licensed person, such licensed person shall be liable to the Compensation Fund for an amount equal to the payment made out of the Fund. In the event of liquidation of a licensed person, the liquidator shall pay the Compensation Fund any money paid by the Fund to investors on behalf of the insolvent person under these Regulations to the extent of such payment.</t>
  </si>
  <si>
    <t>75</t>
  </si>
  <si>
    <t>Share interest disclosure obligations for listed companies</t>
  </si>
  <si>
    <t>Securities Exchange</t>
  </si>
  <si>
    <t>Shareholders must notify listed companies of notifiable share interests (3% or more) when acquiring or ceasing to hold shares. Listed companies must report monthly to exchanges on notified interests, director holdings, and cumulative director shares. Certain individuals (employees, directors, spouses, children, and related entities) are automatically considered interested parties without requiring active notification.</t>
  </si>
  <si>
    <t>Requires disclosure of share interests for listed companies, impacting data sharing and cross-border financial transparency in securities markets.</t>
  </si>
  <si>
    <t>• [Must] Shareholders must notify listed companies of notifiable share interests (3% or more) when acquiring or ceasing to hold shares
• [Must] Listed companies must report monthly to exchanges on notified interests, director holdings, and cumulative director shares</t>
  </si>
  <si>
    <t>• [Must] Employees, directors, spouses, children, and related entities are automatically considered interested parties without requiring active notification</t>
  </si>
  <si>
    <t>Where any person—(a) by his knowledge acquires a notifiable interest in shares in a listed company's relevant share capital, or ceases to be interested in such shares; or (b) becomes aware that he has acquired a notifiable interest in the relevant shares of a listed company or that he has ceased to be interested in such shares in which he was previously interested, such person is under an obligation to notify the listed company of the interest which he has, or had in its shares.</t>
  </si>
  <si>
    <t>76</t>
  </si>
  <si>
    <t>Information sharing with regulatory authorities</t>
  </si>
  <si>
    <t>45–46</t>
  </si>
  <si>
    <t>Regulated entities must provide specified information to the Authority in written form within specified timeframes, including sworn statements. The Authority may verify information and share it with other regulatory agencies under bilateral or multilateral agreements for enforcement and compliance purposes. Information obtained must be used for regulatory purposes and may be shared with other agencies as per agreements.</t>
  </si>
  <si>
    <t>Requires regulated entities to share financial information with authorities, impacting data transfer and cross-border compliance with regulatory requirements.</t>
  </si>
  <si>
    <t>• [Must] Regulated entities must provide specified information to the Authority in written form within specified timeframes, including sworn statements
• [May] Authority may verify information and share it with other regulatory agencies under bilateral or multilateral agreements</t>
  </si>
  <si>
    <t>• [Must] Information obtained must be used for regulatory purposes and may be shared with other agencies as per agreements</t>
  </si>
  <si>
    <t>Every person notified by the Authority pursuant to section 13 of the Act shall provide any specified information in the form and content as required by the Authority, with regards to the information on orders, purchases, sales or trading and settlement of securities including documentation relating to such transactions and disclosure of beneficial ownership of securities and such information may be shared with other regulatory agencies for the sole purpose of ensuring compliance, enforcement and any other matters pursuant to a bilateral or multilateral memorandum of understanding.</t>
  </si>
  <si>
    <t>77</t>
  </si>
  <si>
    <t>Preservation of financial records for seven years</t>
  </si>
  <si>
    <t>Securities issuers and licensed persons must preserve all financial and transaction records in electronic or manual form for seven years, including daily, weekly, monthly, quarterly, and annual transactions, meeting minutes, and security registers. This requirement applies to all transactions conducted by licensees or issuers.</t>
  </si>
  <si>
    <t>Mandates seven-year record retention for financial data, impacting data storage and cross-border data transfer compliance with retention periods.</t>
  </si>
  <si>
    <t>• [Must] Securities issuers and licensed persons must preserve all financial and transaction records in electronic or manual form for seven years</t>
  </si>
  <si>
    <t>Every issuer of securities to the public or a section thereof approved by the Authority and every person licensed by the Authority, shall preserve all financial and other records whether such records are maintained in an electronic or manual form, relating to transactions conducted by the licensee or to the offer of securities by an issuer, including daily, weekly, monthly, quarterly and annual transactions and other relevant records including minutes of all meetings on account of such transactions and registers of securities, for a period of seven years.</t>
  </si>
  <si>
    <t>78</t>
  </si>
  <si>
    <t>Prohibition on destruction of financial records</t>
  </si>
  <si>
    <t>No person may interfere, deface, or destroy financial records during the seven-year retention period, including records related to transactions by licensees or issuers, auditors, or professionals involved in transactions. This prohibition applies to all entities subject to record preservation requirements.</t>
  </si>
  <si>
    <t>Prohibits destruction of financial records for seven years, impacting data storage and cross-border data transfer compliance with record retention.</t>
  </si>
  <si>
    <t>• [Must Not] No person may interfere, deface, or destroy financial records during the seven-year retention period</t>
  </si>
  <si>
    <t>No person shall at any time within the prescribed period interfere, deface or destroy the records referred to in regulation 77, in any manner that will lead to the alteration of any facts or content therein including the date, amount and names of all persons party to the transactions whether such person is a licensee of the Authority; an issuer of securities to the public or a section thereof, an auditor of such licensee or issuer or any professional who is or will be involved directly or indirectly in the transactions.</t>
  </si>
  <si>
    <t>80</t>
  </si>
  <si>
    <t>Client due diligence for money laundering prevention</t>
  </si>
  <si>
    <t>46–47</t>
  </si>
  <si>
    <t>Financial Data, Record Keeping, KYC, AML</t>
  </si>
  <si>
    <t>Licensed persons must obtain client information through questionnaires covering identity, business activities, fund origins, and declarations of non-illicit sources. They must maintain client information linked to beneficial owners and may rely on financial institutions for beneficial ownership data if they comply with customer due diligence requirements.</t>
  </si>
  <si>
    <t>Requires comprehensive client due diligence for money laundering prevention, impacting data sharing and cross-border financial data transfers with third parties.</t>
  </si>
  <si>
    <t>• [Must] Licensed persons must obtain client information through questionnaires covering identity, business activities, fund origins, and declarations of non-illicit sources
• [Must] Licensed persons must maintain client information linked to beneficial owners</t>
  </si>
  <si>
    <t>• [May] Licensed persons may rely on financial institutions for beneficial ownership data if they comply with customer due diligence requirements</t>
  </si>
  <si>
    <t>Every licensed person shall obtain through a client information questionnaire details from a client or a potential client with respect to the following—(a) the identity of the client or a potential client supported by documentary evidence; (b) nature of business activities of the client or potential client; (c) origin and sources of funds used or to be used for investment in securities.</t>
  </si>
  <si>
    <t>83</t>
  </si>
  <si>
    <t>Application for securities business licence submission requirements</t>
  </si>
  <si>
    <t>47–48</t>
  </si>
  <si>
    <t>This section specifies the application form for a licence to conduct business in securities, including stockbrokers, dealers, investment advisers, fund managers, investment banks, and authorized securities dealers. Applicants must provide a completed form with specific documents such as memorandum and articles of association, certificate of incorporation, business plan, financial statements, bank guarantee, and a declaration by directors. The form requires detailed financial information and compliance with the Capital Markets Authority's regulations.</t>
  </si>
  <si>
    <t>• [Must] Submit memorandum and articles of association
• [Must] Submit certificate of incorporation
• [Must] Submit business plan complying with specific regulations
• [Must] Submit un-audited accounts for the period ending six months prior to application and audited annual accounts for the preceding two years</t>
  </si>
  <si>
    <t>• [Must] Submit a declaration by directors on business maintenance and financial circumstances
• [Must] Submit a bank guarantee to be lodged with the securities exchange or central depository
• [Must] Submit a declaration by authorized persons accompanying the application form
• [Must] Pay application fee of Kshs. 2,500</t>
  </si>
  <si>
    <t>83. Application is made for a securities exchange/stockbroker/ dealer/ investment adviser/ fund manager /investment bank/authorized securities dealer (tick as appropriate) licence/renewal of licence (delete where inapplicable) under the Act and the following stacements are made in respect thereof: The Capital Markets (Licensing Requirements) (General) Regulations (Legal Notice 125 of 2002)</t>
  </si>
  <si>
    <t>TheDataProtectionAct__No24of2019 (Kenya - Row 18)</t>
  </si>
  <si>
    <t>Object and purpose of the Data Protection Act</t>
  </si>
  <si>
    <t>This section defines the overarching goals of the Data Protection Act. It mandates the regulation of personal data processing, adherence to specific principles for data processing, protection of individual privacy, establishment of legal mechanisms for data protection, and provision of data subjects with rights and remedies against improper processing.</t>
  </si>
  <si>
    <t>• [Must] Regulate the processing of personal data
• [Must] Ensure processing of personal data is guided by principles in section 25
• [Must] Protect the privacy of individuals</t>
  </si>
  <si>
    <t>• [Must] Establish legal and institutional mechanisms to protect personal data
• [Must] Provide data subjects with rights and remedies to protect personal data from improper processing</t>
  </si>
  <si>
    <t>3. The object and purpose of this Act is— (a) to regulate the processing of personal data; (b) to ensure that the processing of personal data of a data subject is guided by the principles set out in section 25; (c) to protect the privacy of individuals; (d) to establish the legal and institutional mechanism to protect personal data; and (e) to provide data subjects with rights and remedies to protect their personal data from processing that is not in accordance with this Act.</t>
  </si>
  <si>
    <t>Application of the Data Protection Act to personal data processing</t>
  </si>
  <si>
    <t>This section specifies when the Data Protection Act applies to personal data processing. It covers processing entered in records by data controllers or processors using automated or non-automated means, and applies to entities established or resident in Kenya processing data within Kenya, or entities outside Kenya processing data of individuals located in Kenya.</t>
  </si>
  <si>
    <t>• [Must] Applies to processing of personal data entered in a record by or for a data controller or processor using automated or non-automated means
• [Must] Applies when recorded personal data processed by non-automated means forms a whole or part of a filing system</t>
  </si>
  <si>
    <t>• [Must] Applies to data controllers or processors established or ordinarily resident in Kenya processing personal data within Kenya
• [Must] Applies to data controllers or processors not established or ordinarily resident in Kenya but processing personal data of data subjects located in Kenya</t>
  </si>
  <si>
    <t>4. This Act applies to the processing of personal data (a) entered in a record, by or for a data controller or processor, by making use of automated or non-automated means: Provided that when the recorded personal data is processed by non-automated means, it forms a whole or part of a filing system; (b) by a data controller or data processor who — (i) is established or ordinarily resident in Kenya and processes personal data while in Kenya; or (ii) not established or ordinarily resident in Kenya, but processing personal data of data subjects located in Kenya.</t>
  </si>
  <si>
    <t>Establishment of the Office of the Data Protection Commissioner</t>
  </si>
  <si>
    <t>This section establishes the Office of the Data Protection Commissioner as a body corporate with perpetual succession and a common seal. It grants the Office the authority to sue and be sued, acquire and dispose of property, enter into contracts, and perform other legal acts necessary for its functions. The Office is designated as a State Office under the Constitution and includes the Data Commissioner as its head.</t>
  </si>
  <si>
    <t>• [Must] Establish the office of the Data Protection Commissioner as a body corporate with perpetual succession and a common seal
• [Must] Be capable of suing and being sued
• [Must] Take, purchase or otherwise acquire, hold, charge or dispose of movable and immovable property
• [Must] Enter into contracts</t>
  </si>
  <si>
    <t>• [Must] Do such other legal acts necessary for proper performance of functions
• [Must] Designated as a State Office in accordance with Article 260 (q) of the Constitution
• [Must] Comprise the Data Commissioner as head and accounting officer, and other staff appointed by the Data Commissioner
• [Must] Ensure reasonable access to services in all parts of the Republic</t>
  </si>
  <si>
    <t>5. (1) There is established the office of the Data Protection Commissioner which shall be a body corporate with perpetual succession and a common seal and shall in its corporate name, be capable of — (a) suing and being sued; (b) taking, purchasing or otherwise acquiring, holding, charging or disposing of movable and immovable property; (c) entering into contracts; and (d) doing such other legal acts necessary for the proper performance of the functions of the Office. (2) The Office is designated as a State Office in accordance with Article 260 (q) of the Constitution. (3) The Office shall comprise the Data Commissioner as its head and accounting officer, and other staff appointed by the Data Commissioner. (4) The Office shall ensure reasonable access to its services in all parts of the Republic. (5) The Data Commissioner shall in consultation with the Cabinet Secretary, establish such directorates as may be necessary for the better carrying of the functions of the Office.</t>
  </si>
  <si>
    <t>Appointment process for the Data Commissioner</t>
  </si>
  <si>
    <t>This section outlines the appointment process for the Data Commissioner. The Public Service Commission initiates recruitment for vacancies, invites applications within seven days, considers applications, shortlists qualified candidates, publishes names, conducts interviews, and nominates three candidates to the President for appointment after approval by the National Assembly.</t>
  </si>
  <si>
    <t>• [Must] Public Service Commission initiates recruitment process for Data Commissioner vacancies
• [Must] Public Service Commission invites applications within seven days of vacancy notification
• [Must] Public Service Commission considers applications to determine compliance with the Act within twenty-one days
• [Must] Public Service Commission shortlists qualified applicants</t>
  </si>
  <si>
    <t>• [Must] Public Service Commission publishes and publicises names of applicants and shortlisted applicants
• [Must] Public Service Commission conducts interviews of shortlisted persons in an open and transparent process
• [Must] Public Service Commission nominates three qualified applicants in order of merit for Data Commissioner
• [Must] President nominates and appoints Data Commissioner with approval of National Assembly</t>
  </si>
  <si>
    <t>6. (1) The Public Service Commission shall, whenever a vacancy arises in the position of the Data Commissioner, initiate the recruitment process. (2) The Public Service Commission shall, within seven days of being notified of a vacancy under subsection (1), invite applications from persons who qualify for nomination and appointment for the position of the Data Commissioner. (3) The Public Service Commission shall within twenty-one days of receipt of applications under subsection (2)— (a) consider the applications received to determine their compliance with this Act; (b) shortlist qualified applicants; (c) publish and publicise the names of the applicants and the shortlisted applicants; (d) conduct interviews of the shortlisted persons in an open and transparent process; (e) nominate three qualified applicants in the order of merit for the position of Data Commissioner; and (f) submit the names of the persons nominated under paragraph (e) to the President. (4) The President shall nominate and, with approval of the National Assembly, appoint the Data Commissioner.</t>
  </si>
  <si>
    <t>Qualifications for the Data Commissioner</t>
  </si>
  <si>
    <t>This section specifies the qualifications required for appointment as Data Commissioner. Candidates must hold a degree from a recognized Kenyan university in data science, law, information technology, or another related field, have at least ten years of relevant experience, meet constitutional requirements, and hold a master's degree. The Data Commissioner serves a single six-year term without reappointment.</t>
  </si>
  <si>
    <t>• [Must] Must hold a degree from a university recognized in Kenya in data science, law, information technology, or another related field
• [Must] Must have knowledge and relevant experience of not less than ten years
• [Must] Must meet requirements of Chapter Six of the Constitution</t>
  </si>
  <si>
    <t>• [Must] Must hold a master's degree
• [Must] Serves a single term of six years without reappointment</t>
  </si>
  <si>
    <t>7. (1) A person shall be qualified for appointment as the Data Commissioner if that person — (a) holds a degree from a university recognized in Kenya in — (i) data science; (ii) law; (iii) information technology; or (iv) any other related field; (b) has knowledge and relevant experience of not less than ten years; (c) meets the requirements of Chapter Six of the Constitution; and (d) holds a master's degree. (2) The Data Commissioner shall be appointed for a single term of six years and shall not be eligible for a re-appointment.</t>
  </si>
  <si>
    <t>Functions of the Office of the Data Protection Commissioner</t>
  </si>
  <si>
    <t>This section details the functions of the Office of the Data Protection Commissioner, including overseeing implementation and enforcement of the Act, maintaining a register of data controllers and processors, exercising oversight on data processing operations, promoting self-regulation, conducting assessments, receiving and investigating complaints, taking measures to publicize the Act, carrying out inspections, promoting international cooperation, undertaking research on data processing developments, and performing other functions as prescribed by law.</t>
  </si>
  <si>
    <t>• [Must] Oversee implementation and enforcement of this Act
• [Must] Establish and maintain a register of data controllers and data processors
• [Must] Exercise oversight on data processing operations, either of own motion or at request of a data subject
• [Must] Verify whether processing of data is done in accordance with this Act
• [Must] Promote self-regulation among data controllers and data processors
• [Must] Conduct assessments to ascertain whether information is processed according to provisions of this Act or other relevant laws</t>
  </si>
  <si>
    <t>• [Must] Receive and investigate complaints on infringements of rights under this Act
• [Must] Take measures to bring provisions of this Act to knowledge of the general public
• [Must] Carry out inspections of public and private entities to evaluate processing of personal data
• [Must] Promote international cooperation in data protection matters and ensure compliance with international conventions and agreements
• [Must] Undertake research on developments in data processing to ensure no significant risk or adverse effect on privacy of individuals
• [Must] Perform such other functions as may be prescribed by any other law or necessary for promotion of Act's object</t>
  </si>
  <si>
    <t>8. (1) The Office shall— (a) oversee the implementation of and be responsible for the enforcement of this Act; (b) establish and maintain a register of data controllers and data processors; (c) exercise oversight on data processing operations, either of own motion or at the request of a data subject, and verify whether the processing of data is done in accordance with this Act; (d) promote self-regulation among data controllers and data processors; (e) conduct an assessment, on its own initiative of a public or private body, or at the request of a private or public body for the purpose of ascertaining whether information is processed according to the provisions of this Act or any other relevant law; (f) receive and investigate any complaint by any person on infringements of the rights under this Act; (g) take such measures as may be necessary to bring the provisions of this Act to the knowledge of the general public; (h) carry out inspections of public and private entities with a view to evaluating the processing of personal data; (i) promote international cooperation in matters relating to data protection and ensure country's compliance on data protection obligations under international conventions and agreements; (j) undertake research on developments in data processing of personal data and ensure that there is no significant risk or adverse effect of any developments on the privacy of individuals; and (k) perform such other functions as may be prescribed by any other law or as necessary for the promotion of object of this Act. (2) The Office of the Data Commissioner may, in the performance of its functions collaborate with the national security organs. (3) The Data Commissioner shall act independently in exercise of powers and carrying out of functions under this Act.</t>
  </si>
  <si>
    <t>Data Commissioner's investigative and enforcement powers</t>
  </si>
  <si>
    <t>The Data Commissioner can independently investigate data breaches or complaints, seek expert advice, facilitate dispute resolution, issue witness summons, compel explanations from data subjects, impose administrative fines, and exercise other powers granted by law. These powers apply to the Data Commissioner and any person subject to the Data Protection Act.</t>
  </si>
  <si>
    <t>This section establishes the Data Commissioner's authority to investigate and enforce compliance, which is critical for conducting Data Transfer Impact Assessments as it defines the regulatory oversight mechanisms for cross-border data transfers.</t>
  </si>
  <si>
    <t>• [Must] Conduct investigations on own initiative or based on a complaint
• [Must] Obtain professional assistance or consultancy from persons or organisations
• [Must] Facilitate conciliation, mediation and negotiation on disputes
• [Must] Issue summons to witnesses for investigations</t>
  </si>
  <si>
    <t>• [Must] Require persons subject to the Act to provide explanations and information in person and in writing
• [Must] Impose administrative fines for non-compliance with the Act
• [Must] Undertake activities necessary for fulfilling functions of the Office
• [Must] Exercise powers prescribed by other legislation</t>
  </si>
  <si>
    <t>9. (1) The Data Commissioner shall have power to— (a) conduct investigations on own initiative, or on the basis of a complaint made by a data subject or a third party; (b) obtain professional assistance, consultancy or advice from such persons or organisations whether within or outside public service as considered appropriate; (c) facilitate conciliation, mediation and negotiation on disputes arising from this Act; (d) issue summons to a witness for the purposes of investigation; (e) require any person that is subject to this Act to provide explanations, information and assistance in person and in writing; (f) impose administrative fines for failures to comply with this Act; (g) undertake any activity necessary for the fulfilment of any of the functions of the Office; and (h) exercise any powers prescribed by any other legislation.</t>
  </si>
  <si>
    <t>Data Commissioner's delegation authority</t>
  </si>
  <si>
    <t>The Data Commissioner can delegate powers under the Data Protection Act to other regulators established by Parliament, subject to conditions imposed by the Data Commissioner. This delegation is limited to powers granted by the Act or other written laws.</t>
  </si>
  <si>
    <t>This section allows the Data Commissioner to delegate enforcement powers, which may impact cross-border data transfers by enabling other regulators to oversee compliance in international contexts.</t>
  </si>
  <si>
    <t>• [May] Delegate any power conferred under this Act or other written law to a regulator established through an Act of Parliament</t>
  </si>
  <si>
    <t>10. The Data Commissioner may, subject to such conditions as the Data Commissioner may impose, delegate any power conferred under this Act or any other written law to a regulator established through an Act of Parliament.</t>
  </si>
  <si>
    <t>Vacancy conditions for Data Commissioner</t>
  </si>
  <si>
    <t>The Data Commissioner's office becomes vacant if the Commissioner dies, resigns, is convicted of an offence with imprisonment exceeding six months, is removed for reasons including inability to perform duties, constitutional non-compliance, bankruptcy, incompetence, or gross misconduct. The Public Service Commission handles removal complaints.</t>
  </si>
  <si>
    <t>This section defines scenarios where the Data Commissioner's office becomes vacant, which is relevant for DTIAs as it affects the regulatory authority overseeing data transfers.</t>
  </si>
  <si>
    <t>• [Condition] The Data Commissioner's office becomes vacant if the Commissioner dies
• [Condition] The Data Commissioner may resign from office by written notice to the President
• [Condition] The Data Commissioner is removed from office if convicted of an offence and sentenced to imprisonment exceeding six months without a fine option
• [Condition] The Data Commissioner is removed for inability to perform functions due to mental or physical infirmity</t>
  </si>
  <si>
    <t>• [Condition] The Data Commissioner is removed for non-compliance with Chapter Six of the Constitution
• [Condition] The Data Commissioner is removed for bankruptcy
• [Condition] The Data Commissioner is removed for incompetence
• [Condition] The Data Commissioner is removed for gross misconduct</t>
  </si>
  <si>
    <t>11. The Office of the Data Commissioner shall become vacant, if the Data Commissioner— (a) dies; (b) resigns from office by notice in writing addressed to the President; (c) is convicted of an offence and sentenced to imprisonment for a term exceeding six months without the option of a fine; (d) is removed from office on the grounds of— (i) inability to perform the functions of office arising from mental or physical infirmity; (ii) non-compliance with Chapter Six of the Constitution; (iii) bankruptcy; (iv) incompetence; or (v) gross misconduct.</t>
  </si>
  <si>
    <t>Removal process for Data Commissioner</t>
  </si>
  <si>
    <t>Public Service Commission</t>
  </si>
  <si>
    <t>A person can remove the Data Commissioner by presenting a complaint to the Public Service Commission, which must investigate, report on facts, and recommend to the Cabinet Secretary if the complaint meets the grounds specified in section 11(d). The Data Commissioner must be informed and given a chance to defend before removal.</t>
  </si>
  <si>
    <t>This section outlines the removal process for the Data Commissioner, which is relevant for DTIAs as it defines the regulatory oversight mechanisms for cross-border data transfers.</t>
  </si>
  <si>
    <t>• [May] A person desiring removal may present a complaint to the Public Service Commission
• [Must] The Public Service Commission must investigate the complaint expeditiously
• [Must] The Public Service Commission must report on the facts</t>
  </si>
  <si>
    <t>• [Must] The Public Service Commission must make a recommendation to the Cabinet Secretary
• [Must] The Data Commissioner must be informed in writing of reasons for intended removal
• [Must] The Data Commissioner must be offered an opportunity to defend allegations</t>
  </si>
  <si>
    <t>12. (1) A person desiring the removal of Data Commissioner on any ground specified under section 11 (d) may present a complaint to the Public Service Commission setting out the alleged facts constituting that ground. (2) Subject to Article 47 of the Constitution, the Public Service Commission shall consider the complaint and, if satisfied that the complaint discloses a ground under section 11 (d), shall — (a) investigate the matter expeditiously; (b) report on the facts; and (c) make a recommendation to the Cabinet Secretary. (3) Prior to any action under sub-section (2), the Data Commissioner shall be — (a) informed, in writing, of the reasons for the intended removal; and (b) offered an opportunity to put in a defence against any such allegations.</t>
  </si>
  <si>
    <t>Staff appointment for Data Commissioner</t>
  </si>
  <si>
    <t>The Data Commissioner must consult with the Public Service Commission to appoint the necessary staff for the Office to efficiently discharge functions under the Data Protection Act or other relevant laws.</t>
  </si>
  <si>
    <t>This section ensures the Data Commissioner has adequate staff to oversee data transfers, which is critical for DTIAs as it affects the capacity to enforce compliance across borders.</t>
  </si>
  <si>
    <t>• [Must] The Data Commissioner shall consult with the Public Service Commission to appoint staff necessary for the proper and efficient discharge of functions</t>
  </si>
  <si>
    <t>13. The Data Commissioner shall in consultation with the Public Service Commission, appoint such number of staff as may be necessary for the proper and efficient discharge of the functions under this Act or any other relevant law.</t>
  </si>
  <si>
    <t>Confidentiality of data obtained</t>
  </si>
  <si>
    <t>The Data Commissioner or any staff of the Office shall not disclose information obtained for the purposes of the Data Protection Act unless authorized by law. This ensures confidentiality of data collected during investigations or enforcement activities.</t>
  </si>
  <si>
    <t>This section ensures that data obtained during DTIAs remains confidential, which is critical for maintaining the integrity of cross-border data transfers and preventing unauthorized disclosures.</t>
  </si>
  <si>
    <t>• [Must Not] The Data Commissioner or any staff of the Office shall not disclose any information obtained for the purposes of this Act unless with lawful authority</t>
  </si>
  <si>
    <t>16. The Data Commissioner, or any staff of the Office, shall not, unless with lawful authority, disclose any information obtained for the purposes of this Act.</t>
  </si>
  <si>
    <t>Liability exemption for Data Commissioner and staff</t>
  </si>
  <si>
    <t>The Data Commissioner and their staff are exempt from liability for performing functions in good faith and in accordance with the Data Protection Act. This provision ensures that officials are protected from legal consequences when acting within their statutory duties as defined by the Act.</t>
  </si>
  <si>
    <t>This section establishes that Data Commissioner and staff are not liable for lawful actions, which is relevant for DTIAs as it clarifies the regulatory authority's accountability without imposing additional cross-border transfer constraints.</t>
  </si>
  <si>
    <t>• [Must] The Data Commissioner or any staff of the Office shall not be held liable for having performed any of their functions in good faith and in accordance with this Act.</t>
  </si>
  <si>
    <t>17. The Data Commissioner or any staff of the Office shall not be held liable for having performed any of their functions in good faith and in accordance with this Act.</t>
  </si>
  <si>
    <t>Mandatory registration for data controllers and processors</t>
  </si>
  <si>
    <t>Data controllers and processors must register with the Data Commissioner unless exempted. Registration thresholds are determined by the Data Commissioner based on industry type, data volumes, sensitive data processing, and other criteria. This ensures that entities handling personal data are properly vetted before commencing operations.</t>
  </si>
  <si>
    <t>Mandatory registration with defined thresholds affects DTIAs by requiring entities to assess and meet specific criteria before transferring data internationally, ensuring compliance with local data governance.</t>
  </si>
  <si>
    <t>• [Must] No person shall act as a data controller or data processor unless registered with the Data Commissioner.
• [Must] The Data Commissioner shall prescribe thresholds required for mandatory registration of data controllers and data processors.</t>
  </si>
  <si>
    <t>• [Must] The Data Commissioner shall consider the nature of industry, volumes of data processed, whether sensitive personal data is being processed, and any other criteria when prescribing thresholds.</t>
  </si>
  <si>
    <t>18. (1) Subject to sub-section (2), no person shall act as a data controller or data processor unless registered with the Data Commissioner. (2) The Data Commissioner shall prescribe thresholds required for mandatory registration of data controllers and data processors, and in making such determination, the Data Commissioner shall consider — (a) the nature of industry; (b) the volumes of data processed; (c) whether sensitive personal data is being processed; and (d) any other criteria the Data Commissioner may specify.</t>
  </si>
  <si>
    <t>Application and registration process for data controllers and processors</t>
  </si>
  <si>
    <t>Data controllers and processors must submit detailed applications to the Data Commissioner, including descriptions of data processed, purposes, data subjects, contact details, risk assessments, security measures, and indemnification mechanisms. Applications must be truthful; false information constitutes an offence. The Data Commissioner issues certificates upon meeting requirements and requires updates for changes.</t>
  </si>
  <si>
    <t>This section mandates detailed registration applications, which are critical for DTIAs as they require thorough assessment of data handling practices before international transfers, including security and risk management.</t>
  </si>
  <si>
    <t>• [Must] A data controller or data processor required to register shall apply to the Data Commissioner.
• [Must] An application shall provide a description of the personal data to be processed.
• [Must] An application shall provide a description of the purpose for which the personal data is to be processed.
• [Must] An application shall provide the category of data subjects to which the personal data relates.
• [Must] An application shall provide contact details of the data controller or data processor.
• [Must] An application shall provide a general description of the risks, safeguards, security measures, and mechanisms to ensure the protection of personal data.
• [Must] An application shall provide any measures to indemnify the data subject from unlawful use of data by the data processor or data controller.</t>
  </si>
  <si>
    <t>• [Must] An application shall provide any other details as may be prescribed by the Data Commissioner.
• [Must] A data controller or data processor who knowingly supplies false or misleading detail commits an offence.
• [Must] The Data Commissioner shall issue a certificate of registration where a data controller or data processor meets the requirements for registration.
• [Must] A data controller or data processor shall notify the Data Commissioner of a change in any particular outlined under subsection (2).
• [Must] On receipt of a notification under sub-section (5), the Data Commissioner shall amend the respective entry in the Register.
• [Must] A data controller or data processor who fails to comply with the provisions of this section commits an offence.</t>
  </si>
  <si>
    <t>19. (1) A data controller or data processor required to register under section 18 shall apply to the Data Commissioner. (2) An application under sub-section (1) shall provide the following particulars — (a) a description of the personal data to be processed by the data controller or data processor; (b) a description of the purpose for which the personal data is to be processed; (c) the category of data subjects, to which the personal data relates; (d) contact details of the data controller or data processor; (e) a general description of the risks, safeguards, security measures and mechanisms to ensure the protection of personal data; (f) any measures to indemnify the data subject from unlawful use of data by the data processor or data controller; and (g) any other details as may be prescribed by the Data Commissioner.</t>
  </si>
  <si>
    <t>Validity and renewal of registration certificates</t>
  </si>
  <si>
    <t>Registration certificates issued under section 19 are valid for a period determined by the Data Commissioner, considering the need for the certificate and the holder's circumstances. The certificate may be renewed after expiry, ensuring ongoing compliance without permanent registration.</t>
  </si>
  <si>
    <t>This section ensures that registration certificates have defined validity periods, which is relevant for DTIAs as it requires entities to maintain valid registration status for international data transfers.</t>
  </si>
  <si>
    <t>• [Must] A registration certificate issued under section 19 shall be valid for a period determined at the time of the application after taking into account the need for the certificate.</t>
  </si>
  <si>
    <t>• [Must] The holder may apply for a renewal of the certificate after expiry of the certificate.</t>
  </si>
  <si>
    <t>20. A registration certificate issued under section 19 shall be valid for a period determined at the time of the application after taking into account the need for the certificate, and the holder may apply for a renewal of the certificate after expiry of the certificate.</t>
  </si>
  <si>
    <t>Public register of registered data controllers and processors</t>
  </si>
  <si>
    <t>Data Storage, Record Keeping</t>
  </si>
  <si>
    <t>The Data Commissioner maintains a public register of registered data controllers and processors, which is accessible for inspection by any person. The register can be amended upon request and certified copies can be obtained, ensuring transparency and accountability.</t>
  </si>
  <si>
    <t>This section establishes a public register for registered entities, which is critical for DTIAs as it allows for verification of data controller and processor registration status before international data transfers.</t>
  </si>
  <si>
    <t>• [Must] The Data Commissioner shall keep and maintain a register of the registered data controllers and data processors.
• [Must] The Data Commissioner may, at the request of a data controller or data processor, remove any entry in the register which has ceased to be applicable.</t>
  </si>
  <si>
    <t>• [Must] The register shall be a public document and available for inspection by any person.
• [Must] A person may request the Data Commissioner for a certified copy of any entry in the register.</t>
  </si>
  <si>
    <t>21. (1) The Data Commissioner shall keep and maintain a register of the registered data controllers and data processors. (2) The Data Commissioner may, at the request of a data controller or data processor, remove any entry in the register which has ceased to be applicable. (3) The register shall be a public document and available for inspection by any person. (4) A person may request the Data Commissioner for a certified copy of any entry in the register.</t>
  </si>
  <si>
    <t>Cancellation or variation of registration certificates</t>
  </si>
  <si>
    <t>The Data Commissioner may cancel or vary registration certificates if an applicant provides false information or fails to comply with the Act's requirements. This ensures that only compliant entities maintain registration status.</t>
  </si>
  <si>
    <t>This section allows for the cancellation of registration certificates based on non-compliance, which is relevant for DTIAs as it requires entities to maintain ongoing compliance with data protection standards before international transfers.</t>
  </si>
  <si>
    <t>• [Must] The Data Commissioner may, on issuance of a notice to show cause, vary terms and conditions of the certificate of registration or cancel the registration where any information given by the applicant is false or misleading.</t>
  </si>
  <si>
    <t>• [Must] The Data Commissioner may, on issuance of a notice to show cause, vary terms and conditions of the certificate of registration or cancel the registration where the holder of the registration certificate, without lawful excuse, fails to comply with any requirement of this Act.</t>
  </si>
  <si>
    <t>22. The Data Commissioner may, on issuance of a notice to show cause, vary terms and conditions of the certificate of registration or cancel the registration where — (a) any information given by the applicant is false or misleading; or (b) the holder of the registration certificate, without lawful excuse, fails to comply with any requirement of this Act.</t>
  </si>
  <si>
    <t>Designation of data protection officers under specific conditions</t>
  </si>
  <si>
    <t>Data controllers or processors may appoint a data protection officer if their core activities involve systematic monitoring of data subjects, processing sensitive personal data, or operating as public bodies. The officer must avoid conflicts of interest, be accessible across entities, and possess relevant qualifications. They must publish contact details publicly and notify the Data Commissioner, and fulfill duties including compliance advice, impact assessments, and cooperation with regulators.</t>
  </si>
  <si>
    <t>Requires data protection officers for entities handling sensitive data or systematic monitoring, ensuring compliance with data protection laws and facilitating assessments for cross-border data transfers.</t>
  </si>
  <si>
    <t>• [Must] Designate or appoint a data protection officer on terms and conditions determined by the data controller or processor
• [Condition] The data controller or processor must be a public body or private body (except courts in judicial capacity)
• [Condition] The core activities must require regular and systematic monitoring of data subjects
• [Condition] The core activities must involve processing sensitive categories of personal data
• [Must] The data protection officer may be a staff member without conflict of interest
• [Must] A group of entities may appoint a single data protection officer accessible to each entity
• [Must] Public bodies may designate a single data protection officer for multiple bodies considering organizational structures</t>
  </si>
  <si>
    <t>• [Must] The person designated must have relevant academic or professional qualifications in data protection
• [Must] Publish contact details of the data protection officer on the website and communicate to the Data Commissioner
• [Must] The data protection officer must advise on data processing requirements
• [Must] The data protection officer must ensure compliance with this Act
• [Must] The data protection officer must facilitate capacity building for staff
• [Must] The data protection officer must provide advice on data protection impact assessments
• [Must] The data protection officer must cooperate with the Data Commissioner on data protection matters</t>
  </si>
  <si>
    <t>24. (1) A data controller or data processor may designate or appoint a data protection officer on such terms and conditions as the data controller or data processor may determine, where — (a) the processing is carried out by a public body or private body, except for courts acting in their judicial capacity; (b) the core activities of the data controller or data processor consist of processing operations which, by virtue of their nature, their scope or their purposes, require regular and systematic monitoring of data subjects; or (c) the core activities of the data controller or data processor consist of processing of sensitive categories of personal data.</t>
  </si>
  <si>
    <t>Personal data processing principles for data controllers and processors</t>
  </si>
  <si>
    <t>Data controllers and processors must process personal data lawfully, fairly, transparently, for explicit and legitimate purposes, with minimal collection, accuracy, and retention periods. Data must not be transferred outside Kenya without adequate safeguards or consent from the data subject.</t>
  </si>
  <si>
    <t>Requires data transfers outside Kenya to have adequate safeguards or explicit consent, directly impacting cross-border data transfers.</t>
  </si>
  <si>
    <t>• [Must] Process personal data in accordance with the right to privacy of the data subject
• [Must] Process personal data lawfully, fairly, and transparently in relation to the data subject
• [Must] Collect personal data for explicit, specified, and legitimate purposes and not further process in a manner incompatible with those purposes
• [Must] Ensure personal data is adequate, relevant, and limited to what is necessary for the purposes</t>
  </si>
  <si>
    <t>• [Must] Collect personal data only where a valid explanation is provided for family or private affairs
• [Must] Ensure personal data is accurate and kept up to date, with steps to rectify or erase inaccurate data without delay
• [Must] Keep personal data in a form that identifies data subjects for no longer than necessary for the purposes
• [Must] Not transfer personal data outside Kenya unless there is proof of adequate data protection safeguards or consent from the data subject</t>
  </si>
  <si>
    <t>25. Every data controller or data processor shall ensure that personal data is — (a) processed in accordance with the right to privacy of the data subject; (b) processed lawfully, fairly and in a transparent manner in relation to any data subject; (c) collected for explicit, specified and legitimate purposes and not further processed in a manner incompatible with those purposes; (d) adequate, relevant, limited to what is necessary in relation to the purposes for which it is processed; (e) collected only where a valid explanation is provided whenever information relating to family or private affairs is required; (f) accurate and, where necessary, kept up to date, with every reasonable step being taken to ensure that any inaccurate personal data is erased or rectified without delay; (g) kept in a form which identifies the data subjects for no longer than is necessary for the purposes which it was collected; and (h) not transferred outside Kenya, unless there is proof of adequate data protection safeguards or consent from the data subject.</t>
  </si>
  <si>
    <t>Data subject rights to access, correct, delete, and object to data processing</t>
  </si>
  <si>
    <t>Data subjects have the right to be informed about the use of their personal data, access their data, object to processing, correct false or misleading data, and request deletion of such data.</t>
  </si>
  <si>
    <t>Directly impacts data transfer impact assessments by requiring data subjects to have control over their data, including deletion rights, which may affect data retention and transfer decisions.</t>
  </si>
  <si>
    <t>• [Must] Be informed of the use to which their personal data is to be put
• [Must] Access their personal data held by the data controller or processor
• [Must] Object to the processing of all or part of their personal data</t>
  </si>
  <si>
    <t>• [Must] Correct false or misleading data
• [Must] Delete false or misleading data about them</t>
  </si>
  <si>
    <t>26. A data subject has a right — (a) to be informed of the use to which their personal data is to be put; (b) to access their personal data in custody of data controller or data processor; (c) to object to the processing of all or part of their personal data; (d) to correction of false or misleading data; and (e) to deletion of false or misleading data about them.</t>
  </si>
  <si>
    <t>Exercise of data subject rights by authorized representatives</t>
  </si>
  <si>
    <t>Data subject rights may be exercised by a person with parental authority, a guardian, or a person duly authorized by the data subject, depending on the data subject's status.</t>
  </si>
  <si>
    <t>Relevant for data transfer impact assessments as it defines who can exercise data subject rights, which may affect data sharing and consent mechanisms.</t>
  </si>
  <si>
    <t>• [Must] Where the data subject is a minor, the right may be exercised by a person with parental authority or a guardian
• [Must] Where the data subject has a mental or other disability, the right may be exercised by a person duly authorized as their guardian or administrator</t>
  </si>
  <si>
    <t>• [Must] In any other case, the right may be exercised by a person duly authorized by the data subject</t>
  </si>
  <si>
    <t>27. A right conferred on a data subject may be exercised— (a) where the data subject is a minor, by a person who has parental authority or by a guardian; (b) where the data subject has a mental or other disability, by a person duly authorised to act as their guardian or administrator; or (c) in any other case, by a person duly authorised by the data subject.</t>
  </si>
  <si>
    <t>Direct and indirect collection of personal data with lawful purposes</t>
  </si>
  <si>
    <t>Data controllers or processors must collect personal data directly from data subjects unless specific exceptions apply, such as public records, public disclosure, consent from another source, or legal requirements for crime prevention, penalties, or protection of interests.</t>
  </si>
  <si>
    <t>Defines when indirect data collection is permissible, which affects data transfer impact assessments by allowing data from public records or other sources without direct consent.</t>
  </si>
  <si>
    <t>• [Must] Collect personal data directly from the data subject
• [May] May collect indirectly where data is in public records
• [May] May collect indirectly where the data subject has made the data public
• [May] May collect indirectly where the data subject has consented to collection from another source
• [May] May collect indirectly where the data subject has incapacity and the guardian has consented to collection from another source</t>
  </si>
  <si>
    <t>• [May] May collect indirectly where collection from another source would not prejudice the data subject's interests
• [May] May collect indirectly where collection is necessary for crime prevention, detection, investigation, prosecution, punishment, or enforcement of penalties
• [May] May collect indirectly where collection is necessary for enforcement of laws imposing pecuniary penalties
• [May] May collect indirectly where collection is necessary for protection of the data subject or another person
• [Must] Collect, store, or use personal data for a lawful, specific, and explicitly defined purpose</t>
  </si>
  <si>
    <t>28. (1) A data controller or data processor shall collect personal data directly from the data subject. (2) Despite sub-section (1), personal data may be collected indirectly where — (a) the data is contained in a public record; (b) the data subject has deliberately made the data public; (c) the data subject has consented to the collection from another source; (d) the data subject has an incapacity, the guardian appointed has consented to the collection from another source; (e) the collection from another source would not prejudice the interests of the data subject; (f) collection of data from another source is necessary — (i) for the prevention, detection, investigation, prosecution and punishment of crime; (ii) for the enforcement of a law which imposes a pecuniary penalty; or (iii) for the protection of the interests of the data subject or another person. (3) A data controller or data processor shall collect, store or use personal data for a purpose which is lawful, specific and explicitly defined.</t>
  </si>
  <si>
    <t>Informed consent and disclosure requirements before data collection</t>
  </si>
  <si>
    <t>Before collecting personal data, data controllers or processors must inform data subjects of their rights, the purpose of collection, third parties receiving data, security measures, legal basis, and consequences of non-compliance.</t>
  </si>
  <si>
    <t>Requires detailed disclosure of data transfer mechanisms and security measures, which is critical for assessing cross-border data transfers and ensuring compliance with international standards.</t>
  </si>
  <si>
    <t>• [Must] Inform the data subject of the rights specified under section 26
• [Must] Inform the data subject that personal data is being collected
• Inform the data subject of the purpose for which personal data is being collected
• [Must] Inform the data subject of third parties whose personal data has been or will be transferred, including details of safeguards</t>
  </si>
  <si>
    <t>• [Must] Inform the data subject of the contacts of the data controller or processor and whether other entities may receive the data
• [Must] Inform the data subject of technical and organizational security measures for data integrity and confidentiality
• [Must] Inform the data subject of whether the data collection is pursuant to any law and whether it is voluntary or mandatory
• [Must] Inform the data subject of consequences if they fail to provide all or any part of requested data</t>
  </si>
  <si>
    <t>29. A data controller or data processor shall, before collecting personal data, in so far as practicable, inform the data subject of — (a) the rights of data subject specified under section 26; (b) the fact that personal data is being collected; (c) the purpose for which the personal data is being collected; (d) the third parties whose personal data has been or will be transferred to, including details of safeguards adopted; (e) the contacts of the data controller or data processor and on whether any other entity may receive the collected personal data; (f) a description of the technical and organizational security measures taken to ensure the integrity and confidentiality of the data; (g) the data being collected pursuant to any law and whether such collection is voluntary or mandatory; and (h) the consequences if any, where the data subject fails to provide all or any part of the requested data.</t>
  </si>
  <si>
    <t>Consent requirements for personal data processing</t>
  </si>
  <si>
    <t>Consent, Processing</t>
  </si>
  <si>
    <t>Data Protection Act</t>
  </si>
  <si>
    <t>Data controllers and processors must obtain explicit consent from data subjects for specific purposes or rely on lawful bases such as contractual necessity, legal obligations, vital interests, public interest tasks, public authority functions, legitimate interests, or research activities. This section establishes the conditions under which processing is lawful without consent. The requirement applies to all data processing operations.</t>
  </si>
  <si>
    <t>Requires explicit consent for cross-border data transfers where consent is the lawful basis, ensuring data transfers align with data subject consent and purpose limitation.</t>
  </si>
  <si>
    <t>• [Must] Data controller or data processor shall not process personal data without data subject consent for specified purposes</t>
  </si>
  <si>
    <t>• [Must] Data controller or data processor shall not process personal data without lawful basis including contractual necessity, legal obligations, vital interests, public interest tasks, public authority functions, legitimate interests, or research activities</t>
  </si>
  <si>
    <t>30. (1) A data controller or data processor shall not process personal data, unless — (a) the data subject consents to the processing for one or more specified purposes; or (b) the processing is necessary — (i) for the performance of a contract to which the data subject is a party or in order to take steps at the request of the data subject before entering into a contract; (ii) for compliance with any legal obligation to which the controller is subject; (iii) in order to protect the vital interests of the data subject or another natural person; (iv) for the performance of a task carried out in the public interest or in the exercise of official authority vested in the controller; (v) for the performance of any task carried out by a public authority; (vi) for the exercise, by any person in the public interest, of any other functions of a public nature; (vii) for the legitimate interests pursued by the data controller or data processor by a third party to whom the data is disclosed, except if the processing is unwarranted in any particular case having regard to the harm and prejudice to the rights and freedoms or legitimate interests of the data subject; or (viii) for the purpose of historical, statistical, journalistic, literature and art or scientific research.</t>
  </si>
  <si>
    <t>High-risk data processing requires impact assessments</t>
  </si>
  <si>
    <t>Data controllers and processors must conduct data protection impact assessments before processing personal data that poses high risk to data subjects' rights and freedoms. The assessment must detail processing operations, necessity/proportionality, risks, and risk mitigation measures. Consultation with the Data Commissioner is required if the assessment indicates high risk. Reports must be submitted 60 days prior to processing.</t>
  </si>
  <si>
    <t>Mandates data protection impact assessments for high-risk data processing, ensuring safeguards are in place before cross-border or sensitive data transfers.</t>
  </si>
  <si>
    <t>• [Must] Data controller or data processor shall carry out data protection impact assessment prior to processing if likely to result in high risk to data subject rights and freedoms
• [Must] Data protection impact assessment must include systematic description of processing operations, necessity/proportionality assessment, risk assessment, and risk mitigation measures</t>
  </si>
  <si>
    <t>• [Must] Data controller or data processor must consult Data Commissioner before processing if impact assessment indicates high risk to data subject rights
• [Must] Data impact assessment reports must be submitted sixty days prior to processing</t>
  </si>
  <si>
    <t>31. (1) Where a processing operation is likely to result in high risk to the rights and freedoms of a data subject, by virtue of its nature, scope, context and purposes, a data controller or data processor shall, prior to the processing, carry out a data protection impact assessment.</t>
  </si>
  <si>
    <t>Consent burden and withdrawal rights</t>
  </si>
  <si>
    <t>Data controllers and processors must prove data subject consent for specific purposes. Data subjects can withdraw consent at any time without affecting prior lawful processing. Consent must be freely given, considering whether contractual performance is conditional on consent for non-essential data processing.</t>
  </si>
  <si>
    <t>Defines consent requirements for cross-border data transfers, ensuring data subjects retain control over their data and can withdraw consent without invalidating prior lawful transfers.</t>
  </si>
  <si>
    <t>• [Must] Data controller or data processor shall bear burden of proof for establishing data subject consent
• [May] Data subject may withdraw consent at any time unless otherwise provided</t>
  </si>
  <si>
    <t>• [Must] Withdrawal of consent does not affect lawfulness of prior processing
• [Must] Consent must be freely given, considering whether contractual performance is conditional on consent for non-essential data processing</t>
  </si>
  <si>
    <t>32. (1) A data controller or data processor shall bear the burden of proof for establishing a data subject's consent to the processing of their personal data for a specified purpose.</t>
  </si>
  <si>
    <t>Child data processing consent requirements</t>
  </si>
  <si>
    <t>Children</t>
  </si>
  <si>
    <t>Children's Data</t>
  </si>
  <si>
    <t>Data controllers and processors must obtain parental or guardian consent for children's personal data processing and ensure it protects and advances the child's rights and best interests. Age verification mechanisms must be implemented based on technology, data volume, child proportion, potential harm, and Data Commissioner guidelines.</t>
  </si>
  <si>
    <t>Requires specific consent mechanisms for children's data, ensuring cross-border transfers comply with child data protection standards.</t>
  </si>
  <si>
    <t>• [Must] Data controller or data processor shall not process children's personal data without parental or guardian consent
• [Must] Data controller or data processor shall ensure processing protects and advances child's rights and best interests</t>
  </si>
  <si>
    <t>• [Must] Data controller or data processor must implement age verification and consent mechanisms
• [Must] Age verification mechanisms must be determined based on available technology, data volume, child proportion, potential harm, and Data Commissioner guidelines</t>
  </si>
  <si>
    <t>33. (1) Every data controller or data processor shall not process personal data relating to a child unless — (a) consent is given by the child's parent or guardian; and (b) the processing is in such a manner that protects and advances the rights and best interests of the child.</t>
  </si>
  <si>
    <t>Data subject right to restrict processing</t>
  </si>
  <si>
    <t>Data subjects can restrict processing of their personal data if accuracy is contested, data is no longer needed, processing is unlawful, or they object pending verification of legitimate interests. Restricted data may only be processed with consent, legal claims, protection of others' rights, or public interest. Data controllers must implement mechanisms to ensure time limits for restrictions are observed.</t>
  </si>
  <si>
    <t>Allows data subjects to restrict data processing across borders, ensuring data transfers comply with data subject rights and time-bound restrictions.</t>
  </si>
  <si>
    <t>• [Must] Data subject may restrict processing if accuracy is contested for verification period
• [Must] Data subject may restrict processing if data is no longer required for processing purposes
• [Must] Data subject may restrict processing if processing is unlawful and they oppose erasure
• [Must] Data subject may restrict processing if they object pending verification of legitimate interests</t>
  </si>
  <si>
    <t>• [Must] Restricted data may only be processed with consent, legal claims, protection of others' rights, or public interest
• [Must] Data controller must inform data subject before withdrawing restriction on processing
• [Must] Data controller must implement mechanisms to ensure time limits for restrictions are observed</t>
  </si>
  <si>
    <t>34. (1) A data controller or data processor shall, at the request of a data subject, restrict the processing of personal data where— (a) accuracy of the personal data is contested by the data subject, for a period enabling the data controller to verify the accuracy of the data; (b) personal data is no longer required for the purpose of the processing, unless the data controller or data processor requires the personal data for the establishment, exercise or defence of a legal claim; (c) processing is unlawful and the data subject opposes the erasure of the personal data and requests the restriction of their use instead; or (d) data subject has objected to the processing, pending verification as to whether the legitimate interests of the data controller or data processor overrides those of the data subject.</t>
  </si>
  <si>
    <t>Right to opt out of automated decisions</t>
  </si>
  <si>
    <t>Data subjects have the right not to be subject to decisions based solely on automated processing that produce legal effects or significantly affect them. Exceptions include contractual necessity, legally authorized measures, and consent. Data controllers must notify data subjects of automated decisions and allow them to request reconsideration or alternative decisions.</t>
  </si>
  <si>
    <t>Requires transparency and opt-out mechanisms for automated decisions, ensuring cross-border data transfers do not violate data subject rights through automated profiling.</t>
  </si>
  <si>
    <t>• [Must] Data subject has right not to be subject to decisions based solely on automated processing that produce legal effects or significantly affect them
• [Must] Automated decisions may be exempt if necessary for contracts, authorized by law, or based on consent
• [Must] Data controller must notify data subject in writing of automated decision within reasonable time</t>
  </si>
  <si>
    <t>• [Must] Data subject may request reconsideration or alternative decision after notification
• [Must] Data controller must consider request and provide written notice of actions taken</t>
  </si>
  <si>
    <t>35. (1) Every data subject has a right not to be subject to a decision based solely on automated processing, including profiling, which produces legal effects concerning or significantly affects the data subject.</t>
  </si>
  <si>
    <t>Right to object data processing with exceptions</t>
  </si>
  <si>
    <t>A data subject can object to the processing of their personal data. The data controller or processor must demonstrate compelling legitimate interest that overrides the data subject's interests or is necessary for legal claims. This right applies to all data controllers and processors handling personal data.</t>
  </si>
  <si>
    <t>Data transfer requires demonstrating compelling legitimate interest to override data subject objections. This impacts cross-border transfers where data subject rights must be respected.</t>
  </si>
  <si>
    <t>• [Must] A data subject has the right to object to the processing of their personal data
• [Must] The data controller or data processor must demonstrate compelling legitimate interest that overrides the data subject's interests</t>
  </si>
  <si>
    <t>• [Must] The data controller or data processor must demonstrate compelling legitimate interest for the processing which is necessary for the establishment, exercise or defence of a legal claim</t>
  </si>
  <si>
    <t>A data subject has a right to object to the processing of their personal data, unless the data controller or data processor demonstrates compelling legitimate interest for the processing which overrides the data subject's interests, or for the establishment, exercise or defence of a legal claim.</t>
  </si>
  <si>
    <t>Commercial use of personal data restrictions</t>
  </si>
  <si>
    <t>Personal data used for commercial purposes must be obtained with express consent from the data subject or authorized under written law with prior notification. Data controllers must anonymize data to ensure non-identifiability where possible. The Cabinet Secretary may prescribe practice guidelines for commercial use of personal data.</t>
  </si>
  <si>
    <t>Commercial data use requires consent or legal authorization with anonymization for cross-border transfers to ensure data subject rights are protected.</t>
  </si>
  <si>
    <t>• [Must] A person shall not use personal data for commercial purposes unless the person has sought and obtained express consent from a data subject
• [Must] A person shall not use personal data for commercial purposes unless the person is authorized under written law and the data subject has been informed of such use</t>
  </si>
  <si>
    <t>• [Must] A data controller or data processor shall anonymize personal data in a manner ensuring the data subject is no longer identifiable
• [Authority] The Cabinet Secretary may prescribe practice guidelines for commercial use of personal data</t>
  </si>
  <si>
    <t>(1) A person shall not use, for commercial purposes, personal data obtained pursuant to the provisions of this Act unless the person — (a) has sought and obtained express consent from a data subject; or (b) is authorised to do so under any written law and the data subject has been informed of such use when collecting the data from the data subject.</t>
  </si>
  <si>
    <t>Right to data portability and transfer</t>
  </si>
  <si>
    <t>Data subjects have the right to receive personal data in a structured, machine-readable format and transmit it to another controller or processor without hindrance. Technical direct transfer is preferred where possible. Data controllers must comply with portability requests within thirty days at reasonable cost, with extensions for complex requests. The right does not apply for public interest tasks or when rights of others are affected.</t>
  </si>
  <si>
    <t>Data portability rights require controllers to provide data in machine-readable format and facilitate transfer, impacting cross-border data transfers where data subjects may request transfers.</t>
  </si>
  <si>
    <t>• [Must] A data subject has the right to receive personal data concerning them in a structured, commonly used and machine-readable format
• [Must] A data subject has the right to transmit the data obtained to another data controller or data processor without any hindrance
• [Must] Where technically possible, the data subject shall have the right to have the personal data transmitted directly from one data controller or processor to another</t>
  </si>
  <si>
    <t>• [Condition] The Data Commissioner may make a determination on the technical capacity of the data controller or data processor if they decline to comply with sub-section (3)
• [Must] A data controller or data processor shall comply with data portability requests at reasonable cost and within thirty days
• [Condition] Where portability request is complex or numerous, the period may be extended for a further period as determined with the Data Commissioner</t>
  </si>
  <si>
    <t>A data subject has the right to receive personal data concerning them in a structured, commonly used and machine-readable format. A data subject has the right to transmit the data obtained under sub-section (1), to another data controller or data processor without any hindrance.</t>
  </si>
  <si>
    <t>Data retention and deletion requirements</t>
  </si>
  <si>
    <t>Data Storage, Retention</t>
  </si>
  <si>
    <t>Data controllers must retain personal data only as long as reasonably necessary for the purpose of processing, unless required by law, necessary for a lawful purpose, authorized by the data subject, or for historical, statistical, journalistic literature, or research purposes. Data controllers must delete, erase, anonymize, or pseudonymize data no longer necessary to retain.</t>
  </si>
  <si>
    <t>Data retention periods impact cross-border transfers as controllers must ensure data is not retained longer than necessary, affecting data transfer compliance.</t>
  </si>
  <si>
    <t>• [Must] A data controller or data processor shall retain personal data only as long as reasonably necessary to satisfy the purpose for which it is processed
• [Must] Retention may be required or authorized by law
• [Must] Retention may be reasonably necessary for a lawful purpose</t>
  </si>
  <si>
    <t>• [Must] Retention may be authorized or consented by the data subject
• [Must] Retention may be for historical, statistical, journalistic literature and research purposes
• [Must] A data controller or data processor shall delete, erase, anonymise or pseudonymise personal data not necessary to be retained under sub-section (1)</t>
  </si>
  <si>
    <t>A data controller or data processor shall retain personal data only as long as may be reasonably necessary to satisfy the purpose for which it is processed unless the retention is — (a) required or authorised by law; (b) reasonably necessary for a lawful purpose; (c) authorised or consented by the data subject; or (d) for historical, statistical, journalistic literature and research purposes.</t>
  </si>
  <si>
    <t>Right to rectification and erasure</t>
  </si>
  <si>
    <t>Data subjects may request rectification of inaccurate, outdated, incomplete, or misleading personal data or erasure of irrelevant, excessive, or unlawfully obtained data. Data controllers must inform third parties when a data subject requests rectification or erasure. If data is required for evidence, processing must be restricted instead of erasure.</t>
  </si>
  <si>
    <t>Rectification and erasure rights require controllers to notify third parties and restrict processing for evidence, impacting cross-border data transfers where data subjects may request corrections.</t>
  </si>
  <si>
    <t>• [Must] A data subject may request a data controller or data processor to rectify inaccurate, outdated, incomplete or misleading personal data
• [Must] A data subject may request a data controller or data processor to erase or destroy irrelevant, excessive or unlawfully obtained personal data</t>
  </si>
  <si>
    <t>• [Must] Where a data controller has shared personal data with a third party, the data controller or processor shall inform third parties of the data subject's request for rectification or erasure
• [Must] Where data is required for evidence, the data controller or processor shall restrict processing instead of erasing or rectifying</t>
  </si>
  <si>
    <t>A data subject may request a data controller or data processor — (a) to rectify without undue delay personal data in its possession or under its control that is inaccurate, out-dated, incomplete or misleading; or (b) to erase or destroy without undue delay personal data that the data controller or data processor is no longer authorised to retain, irrelevant, excessive or obtained unlawfully.</t>
  </si>
  <si>
    <t>Data protection by design and default</t>
  </si>
  <si>
    <t>Data controllers must implement technical and organizational measures to ensure data protection principles are effective and necessary safeguards are integrated into processing. Controllers must ensure only necessary data is processed by default, considering data amount, processing extent, storage period, accessibility, and processing costs. Controllers must identify risks, establish safeguards, pseudonymize or encrypt data, ensure availability, verify safeguards, and update them continuously.</t>
  </si>
  <si>
    <t>Data protection by design requires technical and organizational measures for cross-border transfers, including pseudonymization and encryption to ensure data security during international transfers.</t>
  </si>
  <si>
    <t>• [Must] Data controllers must implement appropriate technical and organizational measures to implement data protection principles effectively
• [Must] Data controllers must integrate necessary safeguards into processing
• [Must] Data controllers must ensure only necessary personal data is processed by default
• [Must] Data controllers must consider data amount, processing extent, storage period, accessibility, and processing costs
• [Must] Data controllers must identify reasonably foreseeable internal and external risks to personal data</t>
  </si>
  <si>
    <t>• [Must] Data controllers must establish and maintain appropriate safeguards against identified risks
• [Must] Data controllers must pseudonymize and encrypt personal data
• [Must] Data controllers must ensure timely availability and access to personal data after a physical or technical incident
• [Must] Data controllers must verify that safeguards are effectively implemented
• [Must] Data controllers must ensure safeguards are continually updated in response to new risks or deficiencies</t>
  </si>
  <si>
    <t>Every data controller or data processor shall implement appropriate technical and organisational measures which are designed to implement the data protection principles in an effective manner; and to integrate necessary safeguards for that purpose into the processing.</t>
  </si>
  <si>
    <t>Organisational measures for cross-border data transfers</t>
  </si>
  <si>
    <t>Data controllers must consider technological development, security measure costs, special risks, and data nature when determining organisational measures for cross-border transfers. Data controllers must select processors providing sufficient guarantees and enter written contracts ensuring processors act only on controller instructions. Processors acting outside controller instructions become controllers for that processing. All personnel must comply with security measures.</t>
  </si>
  <si>
    <t>Requires specific organisational measures for cross-border transfers, including cost-benefit analysis and processor safeguards. Critical for assessing adequacy of transfer mechanisms.</t>
  </si>
  <si>
    <t>• [Must] Data controller shall consider state of technological development
• [Must] Data controller shall consider cost of implementing security measures
• [Must] Data controller shall consider special risks in data processing
• [Must] Data controller shall consider nature of data being processed</t>
  </si>
  <si>
    <t>• [Must] Data controller shall select processor providing sufficient guarantees for section 41(1)
• [Must] Data controller and processor shall enter written contract ensuring processor acts only on controller instructions
• [Must] Data processor acting outside controller instructions becomes controller for that processing
• [Must] Data controller or processor shall take reasonable steps to ensure personnel comply with security measures</t>
  </si>
  <si>
    <t>42. (1) In determining the appropriate measures referred to in section 41, in particular, where the processing involves the transmission of data over an information and communication network, a data controller shall have regard to — (a) the state of technological development available; (b) the cost of implementing any of the security measures; (c) the special risks that exist in the processing of the data; and (d) the nature of the data being processed.</t>
  </si>
  <si>
    <t>Breach notification requirements for personal data</t>
  </si>
  <si>
    <t>Breach Notification, Incident Reporting, Data Sharing, Security</t>
  </si>
  <si>
    <t>Data controllers must notify the Data Commissioner within 72 hours of unauthorized access causing real harm risk. They must communicate breach details to data subjects within a reasonable period unless identity cannot be established. Processors must notify controllers within 48 hours. Notifications must include breach nature, remedial actions, and protective measures for data subjects. Controllers may delay communication for legal investigations. Breach records must include facts, effects, and remedial actions.</t>
  </si>
  <si>
    <t>Mandates specific breach notification timelines and content for cross-border data transfers, critical for assessing breach response adequacy in international contexts.</t>
  </si>
  <si>
    <t>• [Must] Data controller must notify Data Commissioner within 72 hours of unauthorized access causing real harm risk
• [Must] Data controller must communicate breach details to data subject within reasonable period unless identity cannot be established
• [Must] Data processor must notify data controller within 48 hours of breach</t>
  </si>
  <si>
    <t>• [Must] Breach notification must include nature of breach, remedial actions, and protective measures for data subjects
• [May] Data controller may delay communication for legal investigations
• [Must] Breach records must include facts, effects, and remedial actions</t>
  </si>
  <si>
    <t>43. (1) Where personal data has been accessed or acquired by an unauthorised person, and there is a real risk of harm to the data subject whose personal data has been subjected to the unauthorised access, a data controller shall— (a) notify the Data Commissioner without delay, within seventy-two hours of becoming aware of such breach; and (b) subject to subsection (3), communicate to the data subject in writing within a reasonably practical period, unless the identity of the data subject cannot be established.</t>
  </si>
  <si>
    <t>Sensitive personal data processing requirements</t>
  </si>
  <si>
    <t>No sensitive personal data may be processed unless section 25 applies. This section establishes that sensitive data processing requires specific legal grounds under section 25.</t>
  </si>
  <si>
    <t>Sets baseline for sensitive data processing, requiring specific legal grounds for cross-border transfers involving sensitive information.</t>
  </si>
  <si>
    <t>• [Must Not] No category of sensitive personal data may be processed unless section 25 applies</t>
  </si>
  <si>
    <t>44. No category of sensitive personal data shall be processed unless section 25 applies to that processing.</t>
  </si>
  <si>
    <t>Permitted grounds for sensitive personal data processing</t>
  </si>
  <si>
    <t>Sensitive personal data may be processed for legitimate activities by non-profits with specific safeguards, where data is publicly made available by the data subject, or for legal claims, rights exercise, or vital interests protection where the data subject is incapable of consent.</t>
  </si>
  <si>
    <t>Defines specific conditions under which sensitive data may be transferred internationally without additional safeguards.</t>
  </si>
  <si>
    <t>• [May] Sensitive personal data may be processed by non-profits with safeguards for members only
• [May] Sensitive personal data may be processed where data is manifestly made public by data subject</t>
  </si>
  <si>
    <t>• [May] Sensitive personal data may be processed for legal claims, rights exercise, or vital interests protection</t>
  </si>
  <si>
    <t>45. Without prejudice to section 44, sensitive personal data of a data subject may be processed where — (a) the processing is carried out in the course of legitimate activities with appropriate safeguards by a foundation, association or any other not-for-profit body with a political, philosophical, religious or trade union aim and on condition that — (i) the processing relates solely to the members of the body or to persons who have regular contact with it in connection with its purposes; and (ii) the personal data is not disclosed outside that body without the consent of the data subject; (b) the processing relates to personal data which is manifestly made public by the data subject; or (c) processing is necessary for— (i) the establishment, exercise or defence of a legal claim; (ii) the purpose of carrying out the obligations and exercising specific rights of the controller or of the data subject; or (iii) protecting the vital interests of the data subject or another person where the data subject is physically or legally incapable of giving consent.</t>
  </si>
  <si>
    <t>Health data processing restrictions</t>
  </si>
  <si>
    <t>Health Data</t>
  </si>
  <si>
    <t>Health data may only be processed by healthcare providers or persons under professional secrecy obligations. Processing is permitted for public health reasons or where confidentiality duties exist under law.</t>
  </si>
  <si>
    <t>Restricts health data transfers to authorized entities, critical for assessing health data cross-border compliance.</t>
  </si>
  <si>
    <t>• [Must] Health data may only be processed by healthcare providers
• [Must] Health data may only be processed by persons under professional secrecy obligations</t>
  </si>
  <si>
    <t>• [May] Processing is permitted for public health reasons
• [May] Processing is permitted where confidentiality duties exist under law</t>
  </si>
  <si>
    <t>46. (1) Personal data relating to the health of a data subject may only be processed — (a) by or under the responsibility of a health care provider; or (b) by a person subject to the obligation of professional secrecy under any law.</t>
  </si>
  <si>
    <t>Sensitive data classification and safeguards</t>
  </si>
  <si>
    <t>Data Commissioner may prescribe additional sensitive data categories and processing grounds based on risk, confidentiality expectations, potential harm, and existing protections.</t>
  </si>
  <si>
    <t>Allows regulators to define sensitive data categories and additional safeguards for cross-border transfers involving sensitive information.</t>
  </si>
  <si>
    <t>• [May] Data Commissioner may prescribe further categories of sensitive personal data
• [May] Data Commissioner may specify grounds for processing sensitive data based on risk, confidentiality, potential harm, and existing protections</t>
  </si>
  <si>
    <t>• [May] Data Commissioner may specify additional categories requiring extra safeguards</t>
  </si>
  <si>
    <t>47. (1) The Data Commissioner may prescribe further categories of personal data which may be classified as sensitive personal data.</t>
  </si>
  <si>
    <t>Cross-border transfer of personal data: adequacy and safeguards</t>
  </si>
  <si>
    <t>A data controller or processor may transfer personal data to another country only if they provide proof of appropriate security safeguards to the Data Commissioner. These safeguards must cover security and protection of personal data, and include jurisdictions with commensurate data protection laws. The transfer must also be necessary for specific purposes such as contractual obligations, legal claims, public interest, or vital interests of the data subject.</t>
  </si>
  <si>
    <t>Cross-border transfers require proof of adequate security safeguards and commensurate data protection laws in the destination country. The transfer must be necessary for specific legal or contractual purposes.</t>
  </si>
  <si>
    <t>• [Must] Data controller or processor must provide proof of appropriate safeguards for security and protection of personal data to the Data Commissioner
• [Must] Safeguards must include jurisdictions with commensurate data protection laws
• [Must] Transfer must be necessary for performance of contract between data subject and controller/processor
• [Must] Transfer must be necessary for conclusion or performance of contract in data subject's interest</t>
  </si>
  <si>
    <t>• [Must] Transfer must be necessary for matters of public interest
• [Must] Transfer must be necessary for legal claims
• [Must] Transfer must be necessary to protect vital interests of data subject or others when data subject is incapable of consent
• [Must] Transfer must be necessary for compelling legitimate interests not overridden by data subjects' rights</t>
  </si>
  <si>
    <t>A data controller or data processor may transfer personal data to another country only where — (a) the data controller or data processor has given proof to the Data Commissioner on the appropriate safeguards with respect to the security and protection of the personal data; (b) the data controller or data processor has given proof to the Data Commissioner of the appropriate safeguards with respect to the security and protection of personal data, and the appropriate safeguards including jurisdictions with commensurate data protection laws; (c) the transfer is necessary — (i) for the performance of a contract between the data subject and the data controller or data processor or implementation of pre-contractual measures taken at the data subject's request; (ii) for the conclusion or performance of a contract concluded in the interest of the data subject between the controller and another person; (iii) for any matter of public interest; (iv) for the establishment, exercise or defence of a legal claim; (v) in order to protect the vital interests of the data subject or of other persons, where the data subject is physically or legally incapable of giving consent; or (vi) for the purpose of compelling legitimate interests pursued by the data controller or data processor which are not overridden by the interests, rights and freedoms of the data subjects.</t>
  </si>
  <si>
    <t>Sensitive data transfers: consent and safeguards</t>
  </si>
  <si>
    <t>Sensitive personal data transfers out of Kenya require explicit consent from the data subject and proof of appropriate safeguards. The Data Commissioner can request demonstrations of security safeguards or compelling legitimate interests. The Commissioner may prohibit, suspend, or impose conditions on transfers to protect data subjects' rights.</t>
  </si>
  <si>
    <t>Sensitive data transfers require explicit consent and proof of adequate safeguards. The Data Commissioner has authority to restrict transfers for data protection reasons.</t>
  </si>
  <si>
    <t>• [Must] Sensitive personal data transfers out of Kenya require explicit consent from data subject
• [Must] Sensitive personal data transfers out of Kenya require confirmation of appropriate safeguards
• [May] Data Commissioner may request proof of security safeguards effectiveness</t>
  </si>
  <si>
    <t>• [May] Data Commissioner may request proof of compelling legitimate interests
• [May] Data Commissioner may prohibit, suspend, or impose conditions on transfers to protect data subjects' rights</t>
  </si>
  <si>
    <t>The processing of sensitive personal data out of Kenya shall only be effected upon obtaining consent of a data subject and on obtaining confirmation of appropriate safeguards. The Data Commissioner may request a person who transfers data to another country to demonstrate the effectiveness of the security safeguards or the existence of compelling legitimate interests. The Data Commissioner may, in order to protect the rights and fundamental freedoms of data subjects, prohibit, suspend or subject the transfer to such conditions as may be determined.</t>
  </si>
  <si>
    <t>Data residency for strategic interests</t>
  </si>
  <si>
    <t>Data Storage, Data Residency</t>
  </si>
  <si>
    <t>The Cabinet Secretary may require certain data processing activities to occur within Kenya based on strategic state interests or revenue protection. This applies to specific types of processing that must use servers or data centers located in Kenya.</t>
  </si>
  <si>
    <t>Certain processing activities must be hosted within Kenya for strategic state interests or revenue protection, requiring data residency.</t>
  </si>
  <si>
    <t>• [May] Cabinet Secretary may prescribe processing that must use servers or data centers in Kenya for strategic state interests or revenue protection</t>
  </si>
  <si>
    <t>The Cabinet Secretary may prescribe, based on grounds of strategic interests of the state or protection of revenue, certain nature of processing that shall only be effected through a server or a data centre located in Kenya.</t>
  </si>
  <si>
    <t>General exemptions for data processing</t>
  </si>
  <si>
    <t>Processing of personal data is exempt from this Act if it relates to purely personal/household activities, national security/public interest, or is required by law or court order. Data controllers must still comply with data protection principles for non-exempt processing.</t>
  </si>
  <si>
    <t>Certain processing activities are exempt from data protection requirements, including personal/household use, national security, and legal obligations.</t>
  </si>
  <si>
    <t>• [Must] Processing of personal data is exempt if it relates to purely personal or household activity
• [Must] Processing of personal data is exempt for national security or public interest</t>
  </si>
  <si>
    <t>• [Must] Processing of personal data is exempt if disclosure is required by law or court order
• [Must] Data controllers must comply with data protection principles for non-exempt processing</t>
  </si>
  <si>
    <t>The processing of personal data is exempt from the provisions of this Act if — (a) it relates to processing of personal data by an individual in the course of a purely personal or household activity; (b) if it is necessary for national security or public interest; or (c) disclosure is required by or under any written law or by an order of the court.</t>
  </si>
  <si>
    <t>Journalism, literature and art exemptions</t>
  </si>
  <si>
    <t>Processing for journalism, literature, and art is exempt from data protection requirements if it serves public interest, is in compliance with self-regulatory codes, and the Data Commissioner approves practical guidance. Data controllers must demonstrate public interest and compliance with ethical standards.</t>
  </si>
  <si>
    <t>Journalism, literature, and art processing may be exempt from data protection requirements with specific conditions.</t>
  </si>
  <si>
    <t>• [Must] Processing for journalism, literature, and art is exempt if it serves public interest
• [Must] Data controller must reasonably believe publication is in public interest</t>
  </si>
  <si>
    <t>• [Must] Data controller must reasonably believe compliance is incompatible with special purposes
• [Must] Processing must comply with self-regulatory or issued codes of ethics</t>
  </si>
  <si>
    <t>(1) The principles of processing personal data shall not apply where — (a) processing is undertaken by a person for the publication of a literary or artistic material; (b) data controller reasonably believes that publication would be in the public interest; and (c) data controller reasonably believes that, in all the circumstances, compliance with the provision is incompatible with the special purposes. (2) Subsection (1) (b) shall only apply where it can be demonstrated that the processing is in compliance with any self-regulatory or issued code of ethics in practice and relevant to the publication in question.</t>
  </si>
  <si>
    <t>Research data processing exemptions</t>
  </si>
  <si>
    <t>Research data processing is exempt from data protection requirements if it is for historical, statistical, or research purposes and results are not identifiable. Data controllers must ensure data is not published in identifiable form and take measures to prevent misuse.</t>
  </si>
  <si>
    <t>Research data processing may be exempt from data protection requirements if results are not identifiable and used solely for research purposes.</t>
  </si>
  <si>
    <t>• [Must] Research data must be used solely for historical, statistical, or research purposes
• [Must] Data controller must ensure further processing does not publish data in identifiable form</t>
  </si>
  <si>
    <t>• [Must] Data controller must take measures to prevent records from being used for other purposes
• [Must] Research data is exempt if results are not made available in identifiable form</t>
  </si>
  <si>
    <t>The further processing of personal data shall be compatible with the purpose of collection if the data is used for historical, statistical or research purposes and the data controller or data processor shall ensure that the further processing is carried out solely for such purposes and will not be published in an identifiable form.</t>
  </si>
  <si>
    <t>Data sharing code for government data exchange</t>
  </si>
  <si>
    <t>The Data Commissioner may issue a data sharing code that includes practical guidance for sharing personal data in compliance with data protection laws and additional guidance to promote good practices. This code must specify lawful exchange mechanisms between government departments and public sector agencies. The code serves as a framework for ensuring consistent and lawful data sharing across public institutions.</t>
  </si>
  <si>
    <t>Provides a mechanism for standardized data sharing practices between government entities, which may impact cross-border data transfers if public sector agencies share data internationally.</t>
  </si>
  <si>
    <t>• [May] The Data Commissioner may issue a data sharing code containing practical guidance for sharing personal data in accordance with data protection legislation</t>
  </si>
  <si>
    <t>• [Must] The data sharing code must specify lawful exchange of personal data between government departments or public sector agencies</t>
  </si>
  <si>
    <t>55. (1) The Data Commissioner may issue a data sharing code which shall contain — (a) practical guidance in relation to the sharing of personal data in accordance with the requirements of the data protection legislation; and (b) such other guidance as the Commissioner considers appropriate to promote good practice in the sharing of personal data.</t>
  </si>
  <si>
    <t>Complaint procedures for data subjects</t>
  </si>
  <si>
    <t>Data subjects can lodge complaints with the Data Commissioner if they are aggrieved by decisions made under the Act. Complaints must be made orally or in writing, with oral complaints being recorded in writing. Complaints must include prescribed particulars and be investigated within ninety days. The Data Commissioner has authority to investigate and conclude complaints within this timeframe.</t>
  </si>
  <si>
    <t>Defines complaint procedures that may be relevant for data transfers involving government entities, ensuring accountability in data handling practices.</t>
  </si>
  <si>
    <t>• [May] A data subject aggrieved by a decision under this Act may lodge a complaint with the Data Commissioner
• [Must] Complaints must be made orally or in writing
• [Must] Oral complaints must be recorded in writing by the Data Commissioner</t>
  </si>
  <si>
    <t>• [Must] Complaints must contain such particulars as the Data Commissioner prescribes
• [Must] Complaints must be investigated and concluded within ninety days</t>
  </si>
  <si>
    <t>56. (1) A data subject who is aggrieved by a decision of any person under this Act may lodge a complaint with the Data Commissioner in accordance with this Act.</t>
  </si>
  <si>
    <t>Compliance with complaint investigations</t>
  </si>
  <si>
    <t>The Data Commissioner may order individuals to attend examinations, produce documents, or provide sworn statements during complaint investigations. The Data Commissioner may require access to electronic data for investigations. Failure to comply with these orders constitutes an offense.</t>
  </si>
  <si>
    <t>Provides investigative powers for data compliance checks that may impact data handling practices during cross-border transfers involving government entities.</t>
  </si>
  <si>
    <t>• [May] The Data Commissioner may order a person to attend for oral examination in relation to a complaint
• [May] The Data Commissioner may order a person to produce documents, records, or articles relevant to the investigation
• [May] The Data Commissioner may require a person to furnish a written statement under oath or affirmation</t>
  </si>
  <si>
    <t>• [May] The Data Commissioner may require electronic data to be produced in a visible and legible form
• [Must Not] Failure to comply with investigation orders without reasonable excuse constitutes an offense</t>
  </si>
  <si>
    <t>57. (1) The Data Commissioner may, for the purpose of the investigation of a complaint, order any person to — (a) attend at a specified time and place for the purpose of being examined orally in relation to the complaint; (b) produce such book, document, record or article as may be required with respect to any matter relevant to the investigation, which the person is not prevented by any other enactment from disclosing; or (c) furnish a statement in writing made under oath or on affirmation setting out all information which may be required under the notice.</t>
  </si>
  <si>
    <t>Enforcement notices for non-compliance</t>
  </si>
  <si>
    <t>The Data Commissioner may issue enforcement notices requiring persons to take corrective actions for non-compliance with the Act. These notices must specify the violated provision, required remedial steps, a minimum twenty-one-day implementation period, and appeal rights. Failure to comply with enforcement notices is an offense punishable by fines up to five million shillings or imprisonment for two years.</t>
  </si>
  <si>
    <t>Establishes enforcement mechanisms that may be triggered during data transfers involving government entities, requiring corrective actions for non-compliance.</t>
  </si>
  <si>
    <t>• [May] The Data Commissioner may serve an enforcement notice requiring a person to take steps to comply with the Act
• [Must] An enforcement notice must specify the provision of the Act that has been contravened
• [Must] An enforcement notice must specify measures to remedy or eliminate contraventions</t>
  </si>
  <si>
    <t>• [Must] An enforcement notice must specify a minimum twenty-one-day period for implementation
• [Must] An enforcement notice must state any right of appeal
• [Must Not] Failure to comply with an enforcement notice without reasonable excuse constitutes an offense</t>
  </si>
  <si>
    <t>58. (1) Where the Data Commissioner is satisfied that a person has failed, or is failing, to comply with any provision of this Act, the Data Commissioner may serve an enforcement notice on that person requiring that person to take such steps and within such period as may be specified in the notice.</t>
  </si>
  <si>
    <t>Data Commissioner's assistance requests</t>
  </si>
  <si>
    <t>The Data Commissioner may seek assistance from persons or authorities to gather information or conduct investigations under the Act. This provision enables the Data Commissioner to obtain necessary support for fulfilling their functions related to data protection.</t>
  </si>
  <si>
    <t>Allows the Data Commissioner to access external resources for investigations, which may impact data handling practices during cross-border transfers involving government entities.</t>
  </si>
  <si>
    <t>• [May] The Data Commissioner may seek assistance from persons or authorities for gathering information or investigations</t>
  </si>
  <si>
    <t>59. For the purpose of gathering information or for any investigation under this Act, the Data Commissioner may seek the assistance of such person or authority as they deem fit and as is reasonably necessary to assist the Data Commissioner in the discharge of their functions.</t>
  </si>
  <si>
    <t>Search powers for Data Commissioner</t>
  </si>
  <si>
    <t>The Data Commissioner may enter and search premises with a court warrant to discharge functions or exercise powers under the Act. This provision grants the Data Commissioner authority to conduct physical searches for data-related purposes.</t>
  </si>
  <si>
    <t>Provides search powers that may be relevant for data transfers involving government entities, ensuring compliance with data protection requirements.</t>
  </si>
  <si>
    <t>• [May] The Data Commissioner may enter and search any premises with a court warrant for the purpose of discharging functions under this Act</t>
  </si>
  <si>
    <t>60. The Data Commissioner, upon obtaining a warrant from a Court, may enter and search any premises for the purpose of discharging any function or exercising any power under this Act.</t>
  </si>
  <si>
    <t>Obstruction of Data Commissioner's powers</t>
  </si>
  <si>
    <t>A person commits an offence if they obstruct the Data Commissioner in exercising powers under section 9, fail to provide requested assistance, refuse entry to premises, or give false/misleading information. The offence carries a fine of up to five million shillings or imprisonment for two years.</t>
  </si>
  <si>
    <t>This section establishes penalties for non-compliance with Data Commissioner's investigations, relevant for DTIAs involving obstruction of data protection authorities.</t>
  </si>
  <si>
    <t>• [Must Not] Obstructs or impedes the Data Commissioner in the exercise of their powers
• [Must Not] Fails to provide assistance or information requested by the Data Commissioner</t>
  </si>
  <si>
    <t>• [Must Not] Refuses to allow the Data Commissioner to enter any premises or take any person
• [Must Not] Gives to the Data Commissioner any information which is false or misleading in any material aspect</t>
  </si>
  <si>
    <t>A person who, in relation to the exercise of a power conferred by section 9— (a) obstructs or impedes the Data Commissioner in the exercise of their powers; (b) fails to provide assistance or information requested by the Data Commissioner; (c) refuses to allow the Data Commissioner to enter any premises or to take any person with them in the exercise of their functions; (d) gives to the Data Commissioner any information which is false or misleading in any material aspect, commits an offence and is liable on conviction to a fine not exceeding five million shillings or to imprisonment for a term not exceeding two years, or to both.</t>
  </si>
  <si>
    <t>Penalty notices for data protection breaches</t>
  </si>
  <si>
    <t>The Data Commissioner may issue penalty notices requiring payment to the Office for failures described in section 58. The penalty amount is determined based on factors including the nature of the failure, intent, mitigation efforts, responsibility, prior failures, cooperation, data categories affected, notification history, compliance with previous notices, adherence to codes of conduct, and financial impacts.</t>
  </si>
  <si>
    <t>This section details penalty calculation criteria for data breaches, critical for DTIAs assessing financial penalties and enforcement risks.</t>
  </si>
  <si>
    <t>• [May] If the Data Commissioner is satisfied that a person has failed or is failing as described in section 58, the Data Commissioner may issue a penalty notice requiring the person to pay to the Office of the Data Commissioner an amount specified in the notice
• [Must] In deciding whether to give a penalty notice and determining the amount, the Data Commissioner shall consider the nature, gravity and duration of the failure
• [Must] In deciding whether to give a penalty notice and determining the amount, the Data Commissioner shall consider the intentional or negligent character of the failure
• [Must] In deciding whether to give a penalty notice and determining the amount, the Data Commissioner shall consider any action taken by the data controller or data processor to mitigate damage or distress
• [Must] In deciding whether to give a penalty notice and determining the amount, the Data Commissioner shall consider the degree of responsibility of the data controller or data processor
• [Must] In deciding whether to give a penalty notice and determining the amount, the Data Commissioner shall consider any relevant previous failures by the data controller or data processor</t>
  </si>
  <si>
    <t>• [Must] In deciding whether to give a penalty notice and determining the amount, the Data Commissioner shall consider the degree of co-operation with the Data Commissioner to remedy the failure
• [Must] In deciding whether to give a penalty notice and determining the amount, the Data Commissioner shall consider the categories of personal data affected by the failure
• [Must] In deciding whether to give a penalty notice and determining the amount, the Data Commissioner shall consider the manner in which the infringement became known to the Data Commissioner
• [Must] In deciding whether to give a penalty notice and determining the amount, the Data Commissioner shall consider the extent to which the data controller or data processor has complied with previous enforcement notices or penalty notices
• [Must] In deciding whether to give a penalty notice and determining the amount, the Data Commissioner shall consider adherence to approved codes of conduct or certification mechanisms
• [Must] In deciding whether to give a penalty notice and determining the amount, the Data Commissioner shall consider any other aggravating or mitigating factor applicable to the case</t>
  </si>
  <si>
    <t>If the Data Commissioner is satisfied that a person has failed or is failing as described in section 58, the Data Commissioner may issue a penalty notice requiring the person to pay to the Office of the Data Commissioner an amount specified in the notice.</t>
  </si>
  <si>
    <t>Maximum penalty amounts for data breaches</t>
  </si>
  <si>
    <t>The maximum penalty for a data breach is five million shillings or one percent of the data controller's annual turnover from the previous financial year, whichever is lower. This cap ensures penalties are proportionate to the entity's size.</t>
  </si>
  <si>
    <t>This section sets the upper limit for penalties, critical for DTIAs to assess financial risks and ensure penalties are proportionate.</t>
  </si>
  <si>
    <t>• [Must] The maximum amount of the penalty that may be imposed by the Data Commissioner in a penalty notice is up to five million shillings</t>
  </si>
  <si>
    <t>• [Must] In the case of an undertaking, the maximum penalty is up to one per centum of its annual turnover of the preceding financial year</t>
  </si>
  <si>
    <t>In relation to an infringement of a provision of this Act, the maximum amount of the penalty that may be imposed by the Data Commissioner in a penalty notice is up to five million shillings, or in the case of an undertaking, up to one per centum of its annual turnover of the preceding financial year, whichever is lower.</t>
  </si>
  <si>
    <t>Compensation for data breach victims</t>
  </si>
  <si>
    <t>A data controller or processor liable for damage caused by a breach must compensate victims. The data controller is liable for all damage, while the processor is liable only if they failed to comply with specific obligations or acted contrary to the controller's lawful instructions. Compensation includes financial loss and non-financial harm like distress.</t>
  </si>
  <si>
    <t>This section defines liability for data breaches and compensation, essential for DTIAs assessing financial and reputational impacts on data transfers.</t>
  </si>
  <si>
    <t>• [May] A person who suffers damage by reason of a contravention of a requirement of this Act is entitled to compensation for that damage from the data controller or the data processor
• [Must] A data controller involved in processing of personal data is liable for any damage caused by the processing
• [Must] A data processor involved in processing of personal data is liable for damage caused by the processing only if the processor has not complied with an obligation under the Act specifically directed at data processors</t>
  </si>
  <si>
    <t>• [Must] A data processor involved in processing of personal data is liable for damage caused by the processing only if the processor has acted outside or contrary to the data controller's lawful instructions
• [Must] A data controller or data processor is not liable in the manner specified in subsection (2) if they prove they are not responsible for the event causing damage
• [Definition] In this section, 'damage' includes financial loss and damage not involving financial loss, including distress</t>
  </si>
  <si>
    <t>A person who suffers damage by reason of a contravention of a requirement of this Act is entitled to compensation for that damage from the data controller or the data processor.</t>
  </si>
  <si>
    <t>Preservation orders for vulnerable data</t>
  </si>
  <si>
    <t>The Data Commissioner can request a court to preserve personal data, including traffic data, if there's reasonable grounds that it's vulnerable to loss or modification. This ensures critical data remains intact during investigations.</t>
  </si>
  <si>
    <t>This section allows for data preservation during investigations, relevant for DTIAs involving data storage and handling during breaches.</t>
  </si>
  <si>
    <t>• [May] The Data Commissioner may apply to a court for a preservation order for the expeditious preservation of personal data including traffic data</t>
  </si>
  <si>
    <t>• [Condition] Where there is reasonable ground to believe that the data is vulnerable to loss or modification</t>
  </si>
  <si>
    <t>The Data Commissioner may apply to a court for a preservation order for the expeditious preservation of personal data including traffic data, where there is reasonable ground to believe that the data is vulnerable to loss or modification.</t>
  </si>
  <si>
    <t>Funds for the Data Protection Office</t>
  </si>
  <si>
    <t>The Data Protection Office's funds consist of allocations from the National Assembly, grants, gifts, donations, and funds accrued through its functions under the Act. This ensures the Office has sufficient resources for enforcement activities.</t>
  </si>
  <si>
    <t>This section is not directly relevant to data transfers but ensures the Data Commissioner has adequate resources for enforcement.</t>
  </si>
  <si>
    <t>The funds and assets of the Office shall consist of— (a) monies allocated by the National Assembly for purposes of the Office; (b) any grants, gifts, donations or other endowments given to the Office; and (c) such funds as may vest in or accrue to the Office in the performance of its functions under this Act or any other written law.</t>
  </si>
  <si>
    <t>Annual financial estimates preparation for Office</t>
  </si>
  <si>
    <t>The Data Commissioner must prepare annual financial estimates at least three months before each financial year starts. These estimates cover all expected expenditures including staff salaries, retirement benefits, equipment maintenance, training, reserve funds, and other office-related costs. The estimates must be submitted to the Cabinet Secretary for tabling in the National Assembly.</t>
  </si>
  <si>
    <t>• [Must] The Data Commissioner shall cause to be prepared estimates of the revenue and expenditure of the Office for each financial year
• [Must] The annual estimates shall make provision for all estimated expenditure of the Office for the financial year
• [Must] The annual estimates shall provide for payment of salaries, allowances and other charges for staff
• [Must] The annual estimates shall provide for payment of pensions, gratuities and other retirement benefits
• [Must] The annual estimates shall cover acquisition, maintenance, repair and replacement of equipment and movable property</t>
  </si>
  <si>
    <t>• [Must] The annual estimates shall fund training, research and development activities
• [Must] The annual estimates shall create reserve funds for future or contingent liabilities
• [Must] The annual estimates shall cover any other expenditure for purposes of this Act
• [Must] The annual estimates shall be submitted to the Cabinet Secretary for tabling in the National Assembly</t>
  </si>
  <si>
    <t>68. (1) At least three months before the commencement of each financial year, the Data Commissioner shall cause to be prepared estimates of the revenue and expenditure of the Office for that year.</t>
  </si>
  <si>
    <t>Annual accounts preparation and audit requirements</t>
  </si>
  <si>
    <t>The Office must prepare, audit and report its annual accounts following constitutional provisions, the Public Finance Management Act, 2012, or other applicable audit laws. This includes compliance with specific financial reporting standards for public entities to ensure transparency and accountability in financial management.</t>
  </si>
  <si>
    <t>• [Must] The annual accounts of the Office shall be prepared, audited and reported in accordance with Articles 226 and 229 of the Constitution
• [Must] The annual accounts of the Office shall be prepared, audited and reported in accordance with the Public Finance Management Act, 2012</t>
  </si>
  <si>
    <t>• [Must] The annual accounts of the Office shall be prepared, audited and reported in accordance with any other law relating to audit of public entities</t>
  </si>
  <si>
    <t>69. The annual accounts of the Office shall be prepared, audited and reported in accordance with the provisions of Articles 226 and 229 of the Constitution, the Public Finance Management Act, 2012, or any other law relating to audit of public entities.</t>
  </si>
  <si>
    <t>Annual operational reports submission requirements</t>
  </si>
  <si>
    <t>The Data Commissioner must submit an annual report within three months after each financial year ends. This report includes financial statements, activity descriptions, statistical information, impact assessments of mandates, impediments to the Act's objectives, and other necessary information related to the Office's functions.</t>
  </si>
  <si>
    <t>• [Must] The Data Commissioner shall prepare and submit to the Cabinet Secretary a report of the operations of the Office for the immediately preceding year
• [Must] The Cabinet Secretary shall submit the annual report before the National Assembly within three months of receipt of the report
• [Must] The annual report shall contain financial statements and description of activities of the Office
• [Must] The annual report shall contain statistical information as the Data Commissioner considers appropriate</t>
  </si>
  <si>
    <t>• [Must] The annual report shall contain impact of exercise of Data Commissioner's mandate or function
• [Must] The annual report shall contain impediments to achievements of the object and purpose of this Act
• [Must] The annual report shall contain any other information relating to functions that the Data Commissioner considers necessary</t>
  </si>
  <si>
    <t>70. (1) The Data Commissioner shall, within three months after the end of each financial year, prepare and submit to the Cabinet Secretary a report of the operations of the Office for the immediately preceding year.</t>
  </si>
  <si>
    <t>Regulations for implementing Data Protection Act</t>
  </si>
  <si>
    <t>The Cabinet Secretary may make regulations to implement this Act and prescribe necessary matters including data controller/processor requirements, certification programs, notice/registration contents, data subject information provisions, fee levies, data protection safeguards, data center processing in Kenya, and codes of practice. These regulations must follow statutory instruments and constitutional principles.</t>
  </si>
  <si>
    <t>• [May] The Cabinet Secretary may make regulations generally for giving effect to this Act
• [May] Regulations may provide for requirements imposed on data controllers or data processors when processing personal data
• [May] Regulations may provide for mechanisms of conducting certification programs
• [May] Regulations may specify contents for notices or registrations by data controllers or data processors
• [May] Regulations may specify information to be provided to data subjects and how such information shall be provided</t>
  </si>
  <si>
    <t>• [May] Regulations may provide for levying fees and taking charges
• [May] Regulations may provide for measures to safeguard data subjects' rights, freedoms and legitimate interests
• [May] Regulations may provide for processing of data through data servers or data centres in Kenya
• [May] Regulations may issue and approve codes of practice and guidelines</t>
  </si>
  <si>
    <t>71. The Cabinet Secretary may, make regulations generally for giving effect to this Act, and for prescribing anything required or necessary to be prescribed by or under this Act.</t>
  </si>
  <si>
    <t>Unlawful disclosure of personal data offences</t>
  </si>
  <si>
    <t>Disclosing personal data in a manner incompatible with the purpose of collection constitutes an offence for data controllers without lawful excuse. Data processors who disclose data without data controller's prior authority also commit offences. Unauthorized access to personal data or disclosure to third parties without authorization is prohibited, except for employees/agents acting within their mandate.</t>
  </si>
  <si>
    <t>• [Must Not] A data controller who discloses personal data in any manner incompatible with the purpose for which such data was collected commits an offence
• [Must Not] A data processor who discloses personal data without prior authority of the data controller commits an offence
• [Must Not] A person who obtains access to personal data without prior authority of the data controller or data processor commits an offence
• [Must Not] A person who discloses personal data to third party commits an offence</t>
  </si>
  <si>
    <t>• [Condition] Subsection (3) does not apply to employees or agents of data controllers or processors acting within the scope of their mandate
• [Must Not] A person who offers to sell personal data obtained in breach of subsection (1) commits an offence
• [Must Not] An advertisement indicating personal data is or may be for sale constitutes an offer to sell the personal data</t>
  </si>
  <si>
    <t>72. (1) A data controller who, without lawful excuse, discloses personal data in any manner that is incompatible with the purpose for which such data has been collected commits an offence.</t>
  </si>
  <si>
    <t>73</t>
  </si>
  <si>
    <t>Penalties for data protection offences</t>
  </si>
  <si>
    <t>Persons who commit offences under this Act without specific penalties or contravene the Act may be liable to a fine of up to three million shillings or imprisonment of up to ten years, or both. Courts may also order forfeiture of equipment used in offences or prohibit continuing contraventions.</t>
  </si>
  <si>
    <t>• [Must] A person who commits an offence under this Act for which no specific penalty is provided or contravenes this Act shall be liable to a fine not exceeding three million shillings
• [Must] A person who commits an offence under this Act for which no specific penalty is provided or contravenes this Act shall be liable to imprisonment not exceeding ten years
• [Must] A person who commits an offence under this Act for which no specific penalty is provided or contravenes this Act may be liable to both a fine and imprisonment</t>
  </si>
  <si>
    <t>• [May] Courts may order forfeiture of equipment or articles used in commission of an offence
• [May] Courts may order or prohibit acts to stop continuing contraventions</t>
  </si>
  <si>
    <t>73. (1) A person who commits an offence under this Act for which no specific penalty is provided or who otherwise contravenes this Act shall, on conviction, be liable to a fine not exceeding three million shillings or to an imprisonment term not exceeding ten years, or to both.</t>
  </si>
  <si>
    <t>Data Commissioner's authority to issue guidelines and certification standards</t>
  </si>
  <si>
    <t>Cross-border Transfer, International Processing, Third Party Processing, Cloud Services</t>
  </si>
  <si>
    <t>The Data Commissioner may issue guidelines or codes of practice for data controllers, processors, and data protection officers. The Commissioner can also establish certification standards and seals to encourage compliance with the Data Protection Act. Additionally, the Commissioner may require third parties to certify or adhere to codes of practice. The Commissioner may develop sector-specific guidelines in consultation with stakeholders in areas like health, financial services, education, and social protection. Certification does not alter the data controller or processor's responsibility for compliance with the Act.</t>
  </si>
  <si>
    <t>This section empowers the Data Commissioner to create certification standards and sector-specific guidelines that may influence cross-border data processing requirements and third-party data handling practices.</t>
  </si>
  <si>
    <t>• [Must] The Data Commissioner may issue guidelines or codes of practice for data controllers, data processors and data protection officers
• [Must] The Data Commissioner may offer data protection certification standards and data protection seals to encourage compliance with this Act
• [Must] The Data Commissioner may require certification or adherence to code of practice by a third party</t>
  </si>
  <si>
    <t>• [Must] The Data Commissioner may develop sector specific guidelines in consultation with relevant stakeholders in areas such as health, financial services, education, social protection and any other area as the Data Commissioner may determine
• [Condition] Certification issued under this section shall not alter the responsibility of the data controller or data processor for compliance with this Act</t>
  </si>
  <si>
    <t>74. (1) The Data Commissioner may, for the purpose of this Act — (a) issue guidelines or codes of practice for the data controllers, data processors and data protection officers; (b) offer data protection certification standards and data protection seals and marks in order to encourage compliance of processing operations with this Act; (c) require certification or adherence to code of practice by a third party; (d) develop sector specific guidelines in consultation with relevant stakeholders in areas such as health, financial services, education, social protection and any other area as the Data Commissioner may determine. (2) A certification issued under this section shall not alter the responsibility of the data controller or data processor for compliance with this Act.</t>
  </si>
  <si>
    <t>Consequential amendments to laws for data protection compliance</t>
  </si>
  <si>
    <t>This section amends multiple laws to incorporate data protection principles from the Data Protection Act. It requires various laws to align their processing of personal data with the Data Protection Act's principles, including financial services, employment, education, and other sectors. Specific amendments include adding new sections to ensure data protection principles apply to capital markets, electoral commissions, and other institutions. These amendments mandate that personal data be handled in accordance with data protection principles across different regulatory frameworks.</t>
  </si>
  <si>
    <t>This section mandates that multiple laws be amended to align with data protection principles, which may impact cross-border data transfers and processing by third parties in financial and other regulated sectors.</t>
  </si>
  <si>
    <t>• [Must] The Register shall be maintained in accordance with the principles of data protection set out in the Data Protection Act
• [Must] Ensure processing of personal data in the operations of capital markets is in accordance with principles set out under the Data Protection Act
• [Must] The principles of personal data protection as set out in the Data Protection Act shall apply to the collection and processing of personal data by the Authority or any person authorized by the Authority
• [Must] Mechanisms of protecting personal data of the data subjects in compliance with the Data Protection Act
• [Must] The principles of personal data protection as set out in the Data Protection Act shall apply to the processing of personal data of voters
• [Must] The Commission shall ensure the management of personal data is in accordance with the principles of personal data protection as set out in the Data Protection Act
• [Must] Align Regulations on the collection and processing of information which consists of personal data with the Data Protection Act
• [Must] Where an employer maintains such a register, the register shall be maintained in accordance with the principles of data protection as set out in the Data Protection Act
• [Must] Personal data of individuals obtained under this Act shall be held and maintained in accordance with the principles of data protection set out in the Data Protection Act</t>
  </si>
  <si>
    <t>• [Must] The Board shall deal with any relevant personal data collected and so held in the register according to the data principles set out in the Data Protection Act
• [Must] Any information containing personal data presented to the Commission shall be handled in accordance with data protection principles set out in the Data Protection Act
• [Must] A record of depositors required by an issuer under sub-section (1) shall be issued and maintained in accordance with the principles of data protection set out in the Data Protection Act
• [Must] The disclosure of information under this Act shall be done according to the data principles set out in the Data Protection Act
• [Must] The sharing of information by the Centre shall be with adherence to the data principles set out in the Data Protection Act
• [Must] The information collected on natural persons under this section shall be dealt according to the data principles set out in the Data Protection Act
• [Must] Ensure necessary steps are taken to secure the integrity of personal data through technical and organizational measures
• [Must] The principles of personal data protection set out in the Data Protection Act shall apply with necessary modifications to the processing and handling of bankrupt's personal data</t>
  </si>
  <si>
    <t>75. The laws specified under the Second Schedule are amended in the manner specified. The Data Protection Act 2019: CONSEQUENTIAL AMENDMENTS: Insert the following new section immediately after section 13B — 13C. The principles of personal data protection as set out in the Data Protection Act shall apply to the collection and processing of personal data by the Authority or any person authorized by the Authority.</t>
  </si>
  <si>
    <t>Mauritius</t>
  </si>
  <si>
    <t>Guideline-on-Incident-Handling-and-Reporting (Mauritius - Row 8)</t>
  </si>
  <si>
    <t>Incident response policy structure for IT professionals</t>
  </si>
  <si>
    <t>This section establishes the purpose and scope of incident response guidelines, specifically for computer security-related incidents. It defines the target audience as IT professionals and managers responsible for incident handling, and outlines the document's structure including incident response policies, plans, procedures, and teams. The scope excludes natural disasters and power failures.</t>
  </si>
  <si>
    <t>This section provides foundational structure for incident response policies but does not directly impact data transfer assessments as it focuses on internal incident handling rather than cross-border data flows.</t>
  </si>
  <si>
    <t>• [Must] This document provides basis for incident response policies, plans, procedures, and teams
• [Must] Document includes incident handler's checklist template</t>
  </si>
  <si>
    <t>• [Must] Addresses only computer security-related incidents</t>
  </si>
  <si>
    <t>The purpose of this guideline is to provide the basis for the creation of incident response policies, plans, procedures, and teams to handle incidents within an organisation.</t>
  </si>
  <si>
    <t>Definition of security incidents and serious incidents</t>
  </si>
  <si>
    <t>7–9</t>
  </si>
  <si>
    <t>This section defines key terms including events, adverse events, incidents, and serious incidents. It specifies that serious incidents involve potential unauthorized disclosure of personal information, serious legal issues, severe service disruption, active threats, widespread impact, or public interest concerns. The definition focuses on computer security incidents rather than natural disasters or power failures.</t>
  </si>
  <si>
    <t>This section defines serious incidents that could impact data transfer assessments by establishing criteria for incidents involving unauthorized disclosure of personal information, which may affect cross-border data flows.</t>
  </si>
  <si>
    <t>• [Must] An incident is defined as attempted or successful unauthorized access, use, disclosure, modification or destruction of information
• [Must] Incidents include unauthorized access of systems or data
• [Must] Serious incidents involve potential unauthorized disclosure of personal information
• [Must] Serious incidents involve serious legal issues</t>
  </si>
  <si>
    <t>• [Must] Serious incidents cause severe disruption to critical services
• [Must] Serious incidents involve active threats
• [Must] Serious incidents are widespread beyond a single unit
• [Must] Serious incidents are likely to raise public interest</t>
  </si>
  <si>
    <t>An incident is defined as an attempted or successful unauthorised access, use, disclosure, modification or destruction of information; interference with information technology operation; or violation of explicit or implied acceptable usage policy.</t>
  </si>
  <si>
    <t>Incident response capabilities and third-party communication</t>
  </si>
  <si>
    <t>9–14</t>
  </si>
  <si>
    <t>Incident Reporting, Third Party Processing</t>
  </si>
  <si>
    <t>This section details incident response policies, plans, procedures, and teams. It emphasizes the need for formal incident response plans with specific elements including mission, strategies, senior management approval, communication protocols, and metrics. It also outlines requirements for sharing incident information with third parties such as law enforcement, media, ISPs, and other organizations, with specific procedures for each type of communication.</t>
  </si>
  <si>
    <t>This section requires organizations to establish incident response capabilities and communication protocols with third parties, which may impact data transfer assessments through requirements for incident reporting and coordination with external entities.</t>
  </si>
  <si>
    <t>• [Must] Organisations should have formal incident response plans with mission, strategies, and goals
• [Must] Incident response plans require senior management approval
• [Must] Organisations must document all contacts and communications with outside parties for liability and evidentiary purposes</t>
  </si>
  <si>
    <t>• [Must] Incident response teams should establish media communications procedures with designated contacts
• [Must] Organisations must contact law enforcement through designated individuals
• [Must] Organisations should create policies for reporting incidents to CSIRTs</t>
  </si>
  <si>
    <t>Organisations should have a formal, focused, and coordinated approach to responding to incidents, including an incident response plan that provides the roadmap for implementing the incident response capability.</t>
  </si>
  <si>
    <t>Incident response lifecycle phases and requirements</t>
  </si>
  <si>
    <t>Mauritius Data Protection Authority</t>
  </si>
  <si>
    <t>This section outlines the incident handling process with five distinct phases: preparation, detection and analysis, containment, eradication and recovery, and post-incident activity. Organizations must establish an incident response team, acquire necessary tools and resources, conduct risk assessments, implement security controls, and document all activities. The process requires continuous monitoring, evidence preservation, and regular lessons learned to prevent future incidents and ensure business continuity.</t>
  </si>
  <si>
    <t>This section establishes the incident response lifecycle that requires organizations to document evidence, implement containment measures, and conduct post-incident reviews. These activities are critical for data breach investigations and must be considered when assessing cross-border data incidents involving security breaches.</t>
  </si>
  <si>
    <t>• [Must] Organizations must establish and train an incident response team
• [Must] Organizations must acquire necessary tools and resources for incident handling
• [Must] Organizations must implement security controls based on risk assessments
• [Must] Organizations must detect security breaches to alert the organization
• [Must] Organizations must contain incidents to limit impact
• [Must] Organizations must eradicate incidents by removing malicious content</t>
  </si>
  <si>
    <t>• [Must] Organizations must recover systems after eradication
• [Must] Organizations must document all activities to answer Who, What, Where, Why, and How
• [Must] Organizations must conduct post-incident lessons learned within two weeks
• [Must] Organizations must create forensic images of affected systems
• [Must] Organizations must implement security patches on affected systems</t>
  </si>
  <si>
    <t>The incident handling process has several phases. The initial phase involves establishing and training an incident response team, and acquiring the necessary tools and resources.</t>
  </si>
  <si>
    <t>Incident response checklist for preparation, detection, containment, eradication, recovery and lessons learned</t>
  </si>
  <si>
    <t>25–28</t>
  </si>
  <si>
    <t>This section mandates that incident handlers complete a detailed checklist covering preparation, detection, analysis, containment, eradication, recovery, and post-incident activities. It requires organizations to verify security policies, ensure incident response team awareness, confirm access to response tools, and conduct regular drills. The checklist also specifies procedures for identifying incident scope, impact, sources, and implementing short-term and long-term containment measures. It mandates documentation of all actions taken and preparation for lessons learned meetings within two weeks of incident resolution.</t>
  </si>
  <si>
    <t>This section provides a structured framework for incident response that impacts DTIAs by requiring detailed documentation of incident handling steps, which is critical for assessing the security posture of data transfers and third-party interactions during cross-border incidents.</t>
  </si>
  <si>
    <t>• [Must] All members must be aware of the organisation's security policies
• [Must] All CSIRT members must know whom to contact
• [Must] All incident responders must have access to journals and incident response toolkits
• [Must] All members must have participated in incident response drills regularly
• [Must] Incident handlers must determine where the incident occurred
• [Must] Incident handlers must identify who reported or discovered the incident
• [Must] Incident handlers must determine how the incident was discovered
• [Must] Incident handlers must identify if other areas were compromised and when
• [Must] Incident handlers must assess the scope of impact
• [Must] Incident handlers must evaluate business impact
• [Must] Incident handlers must locate incident sources and their details
• [Must] Incident handlers must isolate affected systems if possible
• [Must] Incident handlers must ensure affected systems are isolated from non-affected systems
• [Must] Incident handlers must create forensic copies of affected systems</t>
  </si>
  <si>
    <t>• [Must] Incident handlers must keep commands and documentation updated since the incident
• [Must] Incident handlers must store forensic copies in a secure location
• [Must] Incident handlers must remove malware and artifacts from affected systems
• [Must] Incident handlers must patch and harden systems against future attacks
• [Must] Incident handlers must determine feasible restoration time for affected systems
• [Must] Incident handlers must specify tools for testing restored systems
• [Must] Incident handlers must define monitoring duration for restored systems
• [Must] Incident handlers must establish benchmarks for monitoring restored systems
• [Must] Incident handlers must document all necessary incident information
• [Must] Incident handlers must generate incident response reports for lessons learned meetings
• [Must] Incident handlers must ensure incident reports answer who, what, where, why, and how
• [Must] Incident handlers must schedule lessons learned meetings within two weeks
• [Must] Incident handlers must review incident response process with CSIRT members
• [Must] Incident handlers must identify mistakes or areas for improvement in response process</t>
  </si>
  <si>
    <t>5.0 Incident Handler's Checklist: 1. Preparation a) Are all members aware of the security policies of the organisation? b) Do all members of the Computer Security Incident Response Team know whom to contact? c) Do all incident responders have access to journals and access to incident response toolkits to perform the actual incident response process? d) Have all members participated in incident response drills to practice the incident response process and to improve overall proficiency on a regularly established basis? 2. Detection and Analysis a) Where did the incident occur? b) Who reported or discovered the incident? c) How was it discovered? d) Are there any other areas that have been compromised by the incident? If so what are they and when were they discovered? e) What is the scope of the impact? f) What is the business impact? g) Have the source(s) of the incident been located? If so, where, when, and what are they? 3. Containment a) Short-term containment i. Can the problem be isolated? 1. If so, then proceed to isolate the affected systems. 2. If not, then work with system owners and/or managers to determine further action necessary to contain the problem. ii. Are all affected systems isolated from non-affected systems? 1. If so, then continue to the next step. 2. If not, then continue to isolate affected systems until short-term containment has been accomplished to prevent the incident from escalating any further. b) System-backup</t>
  </si>
  <si>
    <t>Incident response policy requirements for financial institutions</t>
  </si>
  <si>
    <t>This section emphasizes the importance of having realistic incident response policies and procedures for financial institutions to prevent operational disruption. It requires organizations to maintain trained incident response teams and proper documentation for interactions with third parties. The section stresses that incidents can have serious impacts, and organizations must be prepared to respond effectively to minimize disruption and financial consequences.</t>
  </si>
  <si>
    <t>This section is relevant for DTIAs as it mandates incident response policies that affect how financial data is handled during cross-border incidents, particularly in terms of third-party interactions and documentation requirements.</t>
  </si>
  <si>
    <t>• [Must] Organizations must have realistic incident response policies, plans and procedures
• [Must] Organizations must have a dedicated incident response team trained to handle incidents</t>
  </si>
  <si>
    <t>• [Must] Organizations must maintain proper documentation for interactions with third parties</t>
  </si>
  <si>
    <t>6.0 Conclusion: Organisations should always be concerned about "when", and not "if" an incident will occur. Incidents can sometimes have serious impact or very low effect on organisations. In any case, it is imperative that we have realistic incident response policies, plans and procedures in place to ensure that each of the incident handling steps are being followed during an incident to prevent further disruption to an organisation's operations. Thus, a dedicated incident response team should be trained to deal with incidents as and when they occur and proper documentation should be in place for any interactions with third parties.</t>
  </si>
  <si>
    <t>Incident response references and phishing case study</t>
  </si>
  <si>
    <t>29–35</t>
  </si>
  <si>
    <t>This section provides references to incident response standards and includes a case study of a phishing attack on Mauritius Commercial Bank. It details how customers were tricked into entering banking details via phishing emails, resulting in financial losses. The case study outlines the proposed phishing incident response plan, including preparation, detection, containment, eradication, recovery, and post-incident activities. It emphasizes customer education and technical measures like multi-factor authentication to prevent future phishing attacks.</t>
  </si>
  <si>
    <t>• [Must] Organizations should develop a phishing incident response plan
• [Must] Organizations must create a centralized CSIRT team with necessary resources
• [Must] Organizations must gather phishing email details, TCP-IP information, URLs, and screenshots
• [Must] Organizations must alert employees to unusual activity
• [Must] Organizations must block phishing websites or block access to them</t>
  </si>
  <si>
    <t>• [Must] Organizations must implement multi-factor authentication for customer logins
• [Must] Organizations must track weblogs to detect suspicious IP addresses
• [Must] Organizations must educate customers on recognizing phishing attempts
• [Must] Organizations must establish sender policy framework (SPF) for email validation
• [Must] Organizations must implement digitally signed emails for high-value communications</t>
  </si>
  <si>
    <t>7.0 References: SANS, The Incident Handler's Handbook; The University of Arizona, Incident Response Standard; NIST, Computer Security Incident Handling Guide</t>
  </si>
  <si>
    <t>Mauritius_Emerging_Technologies_Council_Act_2021 (Mauritius - Row 24)</t>
  </si>
  <si>
    <t>Definitions of key terms for the Council</t>
  </si>
  <si>
    <t>This section defines critical terms used throughout the Act, including 'Chairperson', 'Council', 'Executive Director', 'Intellectual property', 'member', 'Minister', 'Ministry', and 'research and development'. These definitions establish the scope and meaning of key entities and concepts for the Mauritius Emerging Technologies Council.</t>
  </si>
  <si>
    <t>• [Definition] Chairperson means the Chairperson of the Council
• [Definition] Council means the Mauritius Emerging Technologies Council established under section 3
• [Definition] Executive Director means the Executive Director of the Council, appointed under section 10
• [Definition] Intellectual property includes any knowledge, know-how, technique, technology, design or trade secret, invented, developed or acquired as a result of research and development and innovation activities</t>
  </si>
  <si>
    <t>• [Definition] Member means a member of the Council
• [Definition] Minister means the Minister to whom responsibility for the subject of information technology is assigned
• [Definition] Ministry means the Ministry responsible for the subject of information technology
• [Definition] Research and development means systematic, investigative and experimental activities which involve emerging technologies and are carried out, wholly or partly, within Mauritius for the purpose of creating new or improved materials, products, devices, processes or services</t>
  </si>
  <si>
    <t>Interpretation In this Act – "Chairperson" means the Chairperson of the Council; "Council" means the Mauritius Emerging Technologies Council established under section 3; "Executive Director" means the Executive Director of the Council, appointed under section 10; "Intellectual property" includes any knowledge, know-how, technique, technology, design or trade secret, invented, developed or acquired as a result of research and development and innovation activities undertaken; "member" – (a) means a member of the Council; and (b) includes the Chairperson; "Minister" means the Minister to whom responsibility for the subject of information technology is assigned; "Ministry" means the Ministry responsible for the subject of information technology; "research and development" means systematic, investigative and experimental activities which involve emerging technologies and are carried out, wholly or partly, within Mauritius for the purpose of creating new or improved materials, products, devices, processes or services.</t>
  </si>
  <si>
    <t>Composition and term of Council members</t>
  </si>
  <si>
    <t>This section specifies the composition of the Council, requiring a Chairperson appointed by the Minister, representatives from the Ministry, the Ministry of Finance, the Ministry of Industrial Development, the Attorney-General's Office, the Economic Development Board, the private sector, and four technology experts appointed by the Minister. It also outlines disqualifications for members, term lengths, resignation procedures, and conditions for ceasing office.</t>
  </si>
  <si>
    <t>• [Must] The Council shall consist of a Chairperson, to be appointed by the Minister
• [Must] The Council shall consist of a representative of the Ministry
• [Must] The Council shall consist of a representative of the Ministry responsible for the subject of finance
• [Must] The Council shall consist of a representative of the Ministry responsible for the subject of industrial development
• [Must] The Council shall consist of a representative of the Attorney-General's Office
• [Must] The Council shall consist of a representative from the Economic Development Board
• [Must] The Council shall consist of a representative from the private sector
• [Must] The Council shall consist of 4 technology experts, to be appointed by the Minister
• [Must Not] No person shall be qualified to be a member where he is a member of the Assembly
• [Must Not] No person shall be qualified to be a member where he is a member of a local authority
• [Must Not] No person shall be qualified to be a member where he is otherwise actively engaged in politics</t>
  </si>
  <si>
    <t>• [Must] Subject to subsection (4), a member, other than an ex officio member, shall hold office for a period of 3 years and may be eligible for reappointment
• [Must] A member, other than an ex officio member, shall cease to hold office on the completion of his term of office
• [Must] A member, other than an ex officio member, shall cease to hold office on his resignation
• [Must] A member, other than an ex officio member, shall cease to hold office where he becomes a member of the Assembly or a local authority, or otherwise actively engages in politics
• [Must] A member, other than an ex officio member, shall cease to hold office where, without sufficient cause, he fails to attend 3 consecutive meetings of the Council
• [Must] Every member shall be paid such fees or allowances as the Minister may determine
• [Must] The names of the members of the Council shall be published in the Gazette
• [May] The Council may co-opt any person who may be of assistance in relation to any matter before it and the co-opted member shall not have the right to vote at any meeting of the Council
• [May] The Council may co-opt any person who may be of assistance in relation to any matter before it and the co-opted member shall be paid such fees or allowances as the Council may determine
• [Must Not] A member shall not engage in any activity which may undermine the reputation or the integrity of the Council</t>
  </si>
  <si>
    <t>The Council shall consist of – (a) a Chairperson, to be appointed by the Minister; (b) a representative of the Ministry; (c) a representative of the Ministry responsible for the subject of finance; (d) a representative of the Ministry responsible for the subject of industrial development; (e) a representative of the Attorney-General's Office; (f) a representative of the Economic Development Board; (g) a representative from the private sector; and (h) 4 technology experts, to be appointed by the Minister. No person shall be qualified to be a member where he is – (a) a member of the Assembly; (b) a member of a local authority; or (c) otherwise actively engaged in politics. Subject to subsection (4), a member, other than an ex officio member, shall hold office for a period of 3 years and may be eligible for reappointment. A member, other than an ex officio member, shall cease to hold office – (a) on the completion of his term of office; (b) on his resignation; (c) where he becomes a member of the Assembly or a local authority, or otherwise actively engages in politics; or (d) where, without sufficient cause, he fails to attend 3 consecutive meetings of the Council. Every member shall be paid such fees or allowances as the Minister may determine. The names of the members of the Council shall be published in the Gazette. The Council may co-opt any person who may be of assistance in relation to any matter before it and the co-opted member shall – (a) not have the right to vote at any meeting of the Council; and (b) be paid such fees or allowances as the Council may determine. A member shall not engage in any activity which may undermine the reputation or the integrity of the Council.</t>
  </si>
  <si>
    <t>Disclosure of conflicts of interest</t>
  </si>
  <si>
    <t>This section requires members or their relatives to disclose any pecuniary or material interest in matters before the Council, and prohibits them from participating in deliberations on those matters. Disclosures must be recorded in meeting minutes to ensure transparency and accountability.</t>
  </si>
  <si>
    <t>• [Must] Where any member, or any person related to the member by blood or marriage, has any pecuniary or other material interest in, or in relation to, any matter before the Council or a committee, that member shall disclose the nature of the interest before or at the meeting convened to discuss the matter
• [Must Not] Where any member, or any person related to the member by blood or marriage, has any pecuniary or other material interest in, or in relation to, any matter before the Council or a committee, that member shall not take part in any deliberations relating to that matter</t>
  </si>
  <si>
    <t>• [Must] A disclosure of interest made under subsection (1) shall be recorded in the minutes of proceedings of the meeting of the Council or committee, as the case may be</t>
  </si>
  <si>
    <t>Where any member, or any person related to the member by blood or marriage, has any pecuniary or other material interest in, or in relation to, any matter before the Council or a committee, that member shall – (a) disclose the nature of the interest before or at the meeting convened to discuss the matter; and (b) not take part in any deliberations relating to that matter. A disclosure of interest made under subsection (1) shall be recorded in the minutes of proceedings of the meeting of the Council or committee, as the case may be.</t>
  </si>
  <si>
    <t>Establishment of General Fund</t>
  </si>
  <si>
    <t>This section mandates the Council to establish a General Fund that receives funds from the Consolidated Fund, loans, and other lawful sources, and uses these funds to make all required payments. It ensures financial accountability by specifying the fund's purpose and sources.</t>
  </si>
  <si>
    <t>• [Must] The Council shall set up a General Fund into which shall be paid any amount allocated out of the Consolidated Fund
• [Must] The Council shall set up a General Fund into which shall be paid any loan granted or other sum which may lawfully accrue to the Council</t>
  </si>
  <si>
    <t>• [Must] The Council shall set up a General Fund into which shall be paid any sum received by the Council from any other source
• [Must] Out of which all payments required to be made by it shall be effected</t>
  </si>
  <si>
    <t>The Council shall set up a General Fund – (a) into which shall be paid – (i) any amount allocated out of the Consolidated Fund; (ii) any loan granted or other sum which may lawfully accrue to the Council; and (iii) any sum received by the Council from any other source; and (b) out of which all payments required to be made by it shall be effected.</t>
  </si>
  <si>
    <t>Annual reporting obligations</t>
  </si>
  <si>
    <t>This section requires the Council to publish an annual report within six months of the financial year-end, including audited accounts. It also specifies the first financial year's definition, excludes certain accounting provisions, designates the Director of Audit as auditor, and mandates reporting to the Minister and the Assembly.</t>
  </si>
  <si>
    <t>• [Must] The Council shall, not later than 6 months after the close of every financial year, cause to be published a report on the activities of the Council, including its audited accounts, in respect of that financial year
• [Must] For the purposes of the Statutory Bodies (Accounts and Audit) Act, the period extending from the commencement of this Act to 30 June of the following year shall be deemed to be the first financial year of the Council
• [Must] Section 7 (1) of the Statutory Bodies (Accounts and Audit) Act shall not apply to the first financial year of the Council
• [Must] The auditor to be appointed under section 5 (1) of the Statutory Bodies (Accounts and Audit) Act shall be the Director of Audit</t>
  </si>
  <si>
    <t>• [Must] The Council shall forward a copy of the report referred to in subsection (1) to the Minister
• [Must] The Council shall furnish to the Minister such information with respect to its activities, in such manner and at such time, as he may specify
• [Must] The Minister shall, at the earliest available opportunity, lay a copy of the annual report and audited accounts of the Council before the Assembly</t>
  </si>
  <si>
    <t>The Council shall, not later than 6 months after the close of every financial year, cause to be published a report on the activities of the Council, including its audited accounts, in respect of that financial year. For the purposes of the Statutory Bodies (Accounts and Audit) Act, the period extending from the commencement of this Act to 30 June of the following year shall be deemed to be the first financial year of the Council. Section 7 (1) of the Statutory Bodies (Accounts and Audit) Act shall not apply to the first financial year of the Council. The auditor to be appointed under section 5 (1) of the Statutory Bodies (Accounts and Audit) Act shall be the Director of Audit. The Council shall forward a copy of the report referred to in subsection (1) to the Minister. The Council shall furnish to the Minister such information with respect to its activities, in such manner and at such time, as he may specify. The Minister shall, at the earliest available opportunity, lay a copy of the annual report and audited accounts of the Council before the Assembly.</t>
  </si>
  <si>
    <t>National-Identity-Card-Act-Consolidated- (Mauritius - Row 23)</t>
  </si>
  <si>
    <t>Staff appointments for National Identity Card Unit</t>
  </si>
  <si>
    <t>This section outlines the procedures for appointing staff to the National Identity Card Unit, including the authority to designate a head and staff members, and the power to employ contract staff under specific conditions. It establishes the framework for personnel management within the Unit.</t>
  </si>
  <si>
    <t>• [Must] The Secretary to Cabinet and Head of the Civil Service may designate a suitably qualified public officer or person to head the Unit
• [Must] The Secretary to Cabinet and Head of the Civil Service may designate such public officers or persons as may be necessary to assist the Unit</t>
  </si>
  <si>
    <t>• [Must] The Secretary to Cabinet and Head of the Civil Service may employ on contract suitably qualified persons to assist the Unit</t>
  </si>
  <si>
    <t>2B. Staff of National Identity Card Unit (1) (a) The Secretary to Cabinet and Head of the Civil Service may, subject to the approval of the Public Service Commission, designate – (i) a suitably qualified public officer or person to head the Unit; (ii) such public officers or persons as may be necessary to assist the Unit. (b) The Secretary to Cabinet and Head of the Civil Service may employ on contract, on such terms and conditions as he may determine, such suitably qualified persons, as may be necessary to assist the Unit in the proper discharge of its functions.</t>
  </si>
  <si>
    <t>Mandatory identity card registration for citizens</t>
  </si>
  <si>
    <t>Biometric Data, Personal Information</t>
  </si>
  <si>
    <t>This section requires citizens of Mauritius to apply for an identity card within six months of turning 18, with exceptions for non-residents or those with serious health conditions. It specifies the documents required for application, including birth certificates, naturalization certificates, and biometric information collection.</t>
  </si>
  <si>
    <t>• [Must] Every citizen must apply for an identity card within six months of attaining 18 years of age
• [Must] Non-residents may apply for an identity card within a period determined by the Head of the Unit
• [Must] Persons unable to comply due to serious illness may apply for an identity card within a period determined by the Head of the Unit
• [Must] Applicants must produce birth certificate or certificate of registration/naturalisation as a citizen</t>
  </si>
  <si>
    <t>• [Must] Applicants must produce other documents as required by the Head of the Unit
• [Must] Applicants must allow fingerprints and other biometric information to be taken and recorded
• [Must] Applicants must allow themselves to be photographed for the identity card
• [Must] Applicants certified as unable to provide biometric information due to permanent infirmity may be exempt from biometric collection</t>
  </si>
  <si>
    <t>4. Duty to be registered (1) (a) Subject to paragraph (b), every person who is a citizen of Mauritius shall, within 6 months of attaining the age of 18 and on such form as may be prescribed, apply for an identity card at any office designated by the Head of the Unit. (b) Where a person – (i) is not a resident of Mauritius; or (ii) is unable to comply with paragraph (a) on account of serious illness, as certified by a medical practitioner in the public service, or on any other compelling and reasonable ground, he may apply for an identity card in such manner and within such period of attaining the age of 1:8 as the Head of the Unit may determine. (2) Every person who applies for an identity card shall — (a) produce his birth certificate or his certificate of registration or naturalisation as a citizen of Mauritius, as the case may be; (b) produce such other documents as the Head of the Unit may require; (c) allow his fingerprints, and other biornetric information about himself, to be taken and recorded; and (d) allow himself to be photographed, for the purpose of the identity card.</t>
  </si>
  <si>
    <t>Mandatory residence change notification</t>
  </si>
  <si>
    <t>This section requires individuals who change their residence to notify the National Identity Card Unit within 28 days. It specifies that the notification must be submitted in the form prescribed by the Unit, ensuring timely updates to the identity card records.</t>
  </si>
  <si>
    <t>• [Must] Any person who changes residence must notify the National Identity Card Unit within 28 days</t>
  </si>
  <si>
    <t>• [Must] The change of residence notification must be submitted in the form prescribed by the Head of the Unit</t>
  </si>
  <si>
    <t>6. Change of residence (1) Where any person issued with an identity card changes his residence, he shall, within 28 days of the occurrence, notify the change at any office designated by the Head of the Unit or in such manner as may be prescribed. (2) Any change of residence reported under subsection (1) shall be in such form as may be prescribed.</t>
  </si>
  <si>
    <t>Data collection and processing must comply with Data Protection Act</t>
  </si>
  <si>
    <t>This section states that all data collection and processing activities under the National Identity Card Act must comply with the Data Protection Act. It establishes that personal data, including biometric information, collected through this Act is subject to the broader Data Protection Act's requirements for data handling, privacy, and security.</t>
  </si>
  <si>
    <t>This section mandates that all identity card data processing must follow Data Protection Act standards, which could impact cross-border data transfers if the Data Protection Act has international data transfer requirements.</t>
  </si>
  <si>
    <t>• [Must] The collection and processing of personal data, including biometric information, under this Act shall be subject to the provisions of the Data Protection Act</t>
  </si>
  <si>
    <t>12. Collection and processing of data to be subject to Data Protection Act The collection and processing of personal data, including biometric information, under this Act shall be subject to the provisions of the Data Protection Act.</t>
  </si>
  <si>
    <t>Data collection subject to Data Protection Act</t>
  </si>
  <si>
    <t>This section explicitly states that all personal data, including biometric information, collected and processed under the National Identity Card Act must comply with the Data Protection Act. This ensures that identity card data handling adheres to broader privacy and data protection standards.</t>
  </si>
  <si>
    <t>This section mandates that identity card data processing must follow Data Protection Act standards, which could impact cross-border data transfers if the Data Protection Act has international data transfer requirements.</t>
  </si>
  <si>
    <t>code-of-business-conduct_final (Mauritius - Row 14)</t>
  </si>
  <si>
    <t>Scope of the Code of Business Conduct</t>
  </si>
  <si>
    <t>Financial Services Commission (FSC)</t>
  </si>
  <si>
    <t>This section defines the scope of the Code of Business Conduct, stating it is part of the Fair Market Conduct Programme implemented by the Financial Services Commission (FSC). It outlines that the Code has 9 Guiding Principles which set general obligations for licensees to ensure sound business conduct. The objectives include promoting sound conduct in financial services, instilling confidence, preserving Mauritius' reputation as an international financial centre, and ensuring fair treatment of consumers and the public.</t>
  </si>
  <si>
    <t>• [Must] The Code of Business Conduct is part of the Fair Market Conduct Programme implemented by the Financial Services Commission</t>
  </si>
  <si>
    <t>• [Must] The Code has 9 Guiding Principles which set out general obligations for licensees to ensure sound business conduct</t>
  </si>
  <si>
    <t>The Code of Business Conduct (the "Code") is part of the Fair Market Conduct Programme which the Financial Services Commission (the "Commission") is implementing.</t>
  </si>
  <si>
    <t>Effective Date of the Code</t>
  </si>
  <si>
    <t>This section specifies that the Code of Business Conduct comes into effect on 01 January 2016. It does not impose ongoing obligations but establishes a clear timeline for when the Code becomes operational for financial service licensees in Mauritius.</t>
  </si>
  <si>
    <t>• [Must] The Code shall come into effect on 01 January 2016</t>
  </si>
  <si>
    <t>The Code shall come into effect on 01 January 2016.</t>
  </si>
  <si>
    <t>Nine Guiding Principles for Financial Service Licensees</t>
  </si>
  <si>
    <t>Customer Information, Record Keeping</t>
  </si>
  <si>
    <t>This section details nine Guiding Principles that licensees must follow to ensure sound business conduct. Each principle includes specific obligations such as acting with due skill and care, maintaining business integrity, avoiding conflicts of interest, communicating with customers, protecting customer assets, ensuring compliance with regulations, maintaining adequate financial resources, managing internal affairs responsibly, and cooperating with the Financial Services Commission.</t>
  </si>
  <si>
    <t>• [Must] Licensees must act with due skill, care and diligence towards their customers and other stakeholders
• [Must] Licensees must observe high standards of honesty, integrity and fairness and ensure all business transactions are carried out and recorded fairly and accurately
• [Must] Licensees must avoid situations of conflict of interests and ensure fair treatment of all customers if a conflict arises
• [Must] Licensees must seek necessary information about customers' individual circumstances and financial objectives
• [Must] Licensees must provide customers with accurate, timely and comprehensible information to enable informed decisions</t>
  </si>
  <si>
    <t>• [Must] Licensees must ensure client assets are properly segregated and identifiable at all times
• [Must] Licensees must observe high standards of market conduct and comply with all regulatory requirements applicable to their business activities
• [Must] Licensees must maintain adequate financial resources to meet financial obligations and implement appropriate risk management policies
• [Must] Licensees must manage business in a responsible and sustainable manner while ensuring adequate controls and proper systems and procedures
• [Must] Licensees must deal with the Commission in a cooperative manner and comply with disclosure obligations promptly</t>
  </si>
  <si>
    <t>The Guiding Principles are intended to ensure that licensees conduct their business in a way that promotes the best interests of consumers and the integrity of the financial services industry.</t>
  </si>
  <si>
    <t>Compliance with the Code of Business Conduct</t>
  </si>
  <si>
    <t>Record Keeping, Governance</t>
  </si>
  <si>
    <t>This section mandates that all financial service licensees must comply with the Code of Business Conduct. It specifies that the Board and other officers are responsible for setting the tone and guiding business practices to ensure employees and third parties contribute to sound business conduct. Licensees must also maintain records of compliance arrangements for inspection by the Financial Services Commission.</t>
  </si>
  <si>
    <t>• [Must] All licensees must comply with the Code
• [Must] The Board and other officers of licensees are responsible for setting the tone and guiding business practices to ensure employees and third parties contribute to sound business conduct</t>
  </si>
  <si>
    <t>• [Must] Licensees must keep appropriate records of arrangements made to comply with the Code for inspection by the Commission upon request
• [Must] Non-compliance with the Code will expose the licensee to regulatory actions in accordance with relevant Acts</t>
  </si>
  <si>
    <t>All licensees must comply with the Code.</t>
  </si>
  <si>
    <t>code-of-business-conduct_final (Mauritius - Row 18)</t>
  </si>
  <si>
    <t>• [Must] Licensees must act with due skill, care and diligence towards their customers and other stakeholders
• [Must] Licensees must observe high standards of honesty, integrity and fairness and ensure all business transactions are carried out and recorded fairly and accurately
• [Must] Licensees must avoid situations of conflict of interests and ensure fair treatment of all customers if a conflict arises
• [Must] Licensees must seek necessary information about customers' individual circumstances and financial objectives
• [Must] Licensees must ensure customers are provided with accurate, timely and comprehensible information to make informed decisions</t>
  </si>
  <si>
    <t>This section mandates that all financial service licensees must comply with the Code of Business Conduct. It specifies that the Board and other officers are responsible for setting the tone and guiding business practices to ensure employees and third parties contribute to sound conduct. Licensees must also maintain records of compliance arrangements for inspection by the Financial Services Commission.</t>
  </si>
  <si>
    <t>• [Must] Licensees must keep appropriate records of arrangements made to comply with the Code for inspection by the Commission upon request
• [Condition] Non-compliance with the Code will expose the licensee to regulatory actions in accordance with relevant Acts</t>
  </si>
  <si>
    <t>final-guideline-on-cloud-computing (Mauritius - Row 17)</t>
  </si>
  <si>
    <t>Cloud computing service usage by financial licensees</t>
  </si>
  <si>
    <t>The Financial Services Commission (FSC) of Mauritius issues guidelines for financial licensees using cloud computing services. These guidelines aim to ensure compliance with data protection and cybersecurity laws while addressing the risks associated with cloud adoption. Licensees must consider their specific business environment and risk profile when implementing cloud solutions.</t>
  </si>
  <si>
    <t>This section establishes the need for financial licensees to develop cloud strategies that address their specific risks and compliance requirements before adopting cloud services.</t>
  </si>
  <si>
    <t>• [Must] Licensees must implement a risk-based cloud strategy and policy addressing IT assets, cloud services, deployment models, rationale, risks, and staff expertise</t>
  </si>
  <si>
    <t>The Financial Services Commission, Mauritius (‘FSC') has, during its offsite and onsite monitoring, noted that licensees are increasingly using cloud computing services (as defined in the Appendix to this document) to access various types of software/hardware tools and applications.</t>
  </si>
  <si>
    <t>Cloud strategy and policy formulation requirements</t>
  </si>
  <si>
    <t>Financial licensees must develop a risk-based cloud strategy and policy that covers IT assets, cloud services, deployment models, rationale, risks, and staff expertise. This policy must be approved by the Board of Directors and reviewed annually or as needed to address evolving risks.</t>
  </si>
  <si>
    <t>This section mandates that financial institutions create detailed cloud strategies that address specific risks and compliance needs before deploying cloud services.</t>
  </si>
  <si>
    <t>• [Must] Licensees must determine suitability of privately managed cloud infrastructure for hosting customer information
• [Must] Licensees must assess anticipated benefits, costs, and associated risks of cloud adoption</t>
  </si>
  <si>
    <t>• [Must] Licensees must establish a cloud risk management framework aligned with legal and regulatory requirements
• [Must] Licensees must ensure internal staff have appropriate skills and ongoing training for cloud services</t>
  </si>
  <si>
    <t>Licensees which are making use of cloud computing services shall implement a risk-based cloud strategy and policy which addresses the following aspects: i. the Information Technology (IT) assets under consideration, the cloud-based service being acquired and the cloud deployment model being used.</t>
  </si>
  <si>
    <t>Cloud risk management framework requirements</t>
  </si>
  <si>
    <t>Financial licensees must maintain a robust risk management framework that identifies, assesses, manages, mitigates, and reports risks associated with cloud computing services. This framework must cover vulnerabilities, cybersecurity risks, data sensitivity, staff expertise, roles and responsibilities, potential disruptions, and legal compliance.</t>
  </si>
  <si>
    <t>This section requires financial institutions to implement comprehensive risk management for cloud services, including cybersecurity, data protection, and business continuity.</t>
  </si>
  <si>
    <t>• [Must] Licensees must establish a risk management framework to identify, assess, manage, mitigate and report cloud-related risks
• [Must] Risk management framework must consider vulnerabilities and benefits of cloud services
• [Must] Risk management framework must address cybersecurity, IT and concentration risks of cloud providers
• [Must] Risk management framework must evaluate criticality of IT assets and sensitivity of personal data</t>
  </si>
  <si>
    <t>• [Must] Risk management framework must identify roles and responsibilities of licensee and cloud provider
• [Must] Risk management framework must assess impact of service disruptions and provider failures
• [Must] Risk management framework must ensure adequate business contingency plans and data portability
• [Must] Risk management framework must align with relevant legal and regulatory frameworks</t>
  </si>
  <si>
    <t>Licensees shall establish and maintain, at all times, a robust risk management framework to inter-alia identify, assess, manage, mitigate and report the risks associated with the adoption of cloud computing services.</t>
  </si>
  <si>
    <t>Cloud materiality assessment process</t>
  </si>
  <si>
    <t>Financial licensees must assess the materiality of cloud computing services by evaluating costs, impact on financial stability, migration costs, potential disruptions, and ability to maintain regulatory compliance. This assessment must be completed before deploying significant cloud services and reported to the FSC.</t>
  </si>
  <si>
    <t>This section requires financial institutions to evaluate the materiality of cloud services to determine appropriate regulatory oversight and risk management measures.</t>
  </si>
  <si>
    <t>• [Must] Licensees must assess costs of cloud services as part of total operational costs
• [Must] Licensees must evaluate potential impact on earnings, solvency, liquidity, funding and capital
• [Must] Licensees must consider costs of migrating services in-house or to alternate providers</t>
  </si>
  <si>
    <t>• [Must] Licensees must assess potential impact of service disruptions or data breaches
• [Must] Licensees must ensure ability to maintain internal controls and meet regulatory requirements</t>
  </si>
  <si>
    <t>Licensees shall assess the materiality of the cloud computing services, taking into consideration the following factors: i. the costs of the cloud computing services and IT assets, as part of total operational cost;</t>
  </si>
  <si>
    <t>Contractual obligations for cloud service providers</t>
  </si>
  <si>
    <t>Financial licensees must enter written contracts with cloud service providers that define roles and responsibilities, data access rights, notification requirements for data location changes, termination rights, and compliance with Mauritian laws. Licensees must also ensure subcontractors meet due diligence requirements.</t>
  </si>
  <si>
    <t>This section establishes contractual safeguards for cloud services, including data access, location changes, and exit strategies, critical for data transfer impact assessments.</t>
  </si>
  <si>
    <t>• [Must] Contract must define roles and responsibilities of licensee and cloud provider including incident management
• [Must] Cloud provider must provide adequate information and access to data storage
• [Must] Cloud provider must provide reasonable notice of changes in data storage location
• [Must] Licensee has right to terminate contract with concerns about provider and agreed exit strategy</t>
  </si>
  <si>
    <t>• [Must] Contract must ensure compliance with Mauritian laws and regulations
• [Must] Cloud provider must notify licensee of new subcontracting agreements within reasonable notice
• [Must] Subcontractors must meet due diligence, controls, and security requirements</t>
  </si>
  <si>
    <t>Licensees shall enter into a written contractual arrangement with the selected cloud service provider/s regarding the cloud computing services being acquired.</t>
  </si>
  <si>
    <t>Due diligence on cloud service providers</t>
  </si>
  <si>
    <t>Financial licensees must conduct thorough due diligence on cloud service providers before outsourcing functions, including background checks, risk management systems, compliance with Mauritian laws, cybersecurity capabilities, and recovery time objectives. Due diligence must be commensurate with the materiality of the services.</t>
  </si>
  <si>
    <t>This section requires financial institutions to perform detailed due diligence on cloud providers to ensure data protection and compliance, critical for assessing transfer risks.</t>
  </si>
  <si>
    <t>• [Must] Licensees must conduct due diligence to ensure cloud provider is fit and proper
• [Must] Licensees must verify cloud provider's capacity to fulfill delegated functions
• [Must] Licensees must ensure cloud provider complies with data protection and confidentiality requirements
• [Must] Due diligence must include background screening of cloud provider</t>
  </si>
  <si>
    <t>• [Must] Due diligence must assess cloud provider's risk management and information security capabilities
• [Must] Due diligence must verify compliance with Mauritian laws and international standards
• [Must] Due diligence must evaluate cloud provider's ability to handle cyberattacks or data theft
• [Must] Due diligence must assess cloud provider's recovery time objectives</t>
  </si>
  <si>
    <t>Whenever any function is being outsourced to a cloud service provider, licensees are required to conduct appropriate due diligence to ensure that the delegated cloud service provider is fit and proper, has the capacity to fulfil the delegated/outsourced function and has the ability to comply with data protection and confidentiality requirements set out in the laws prevailing in Mauritius.</t>
  </si>
  <si>
    <t>Cloud security framework for mitigating cyber risks</t>
  </si>
  <si>
    <t>Cloud Services, Security, Encryption, Data Storage</t>
  </si>
  <si>
    <t>FSC</t>
  </si>
  <si>
    <t>Licensees must establish and maintain a cloud security management framework to mitigate cyber risks and data vulnerabilities from cloud services. This framework must address security procedures, data storage locations, data-in-transit security, third-party assessments, resilience capabilities, and encryption key management. The framework must be tailored to the service's criticality, sensitivity, and risk profile.</t>
  </si>
  <si>
    <t>Requires cloud service providers to demonstrate specific security controls including data storage locations, encryption, and resilience capabilities. These elements directly impact data transfer and storage safeguards in cross-border cloud environments.</t>
  </si>
  <si>
    <t>• [Must] Licensees shall establish and maintain a cloud security management framework to mitigate cyber-risk and data vulnerability from cloud computing services
• [Must] Cloud security framework must consider information on cloud provider's security procedures, controls, and audit reviews
• [Must] Cloud security framework must include information on countries where data are stored and safeguards in place
• [Must] Cloud provider must assure data-in-transit security between data centres in different geographical regions</t>
  </si>
  <si>
    <t>• [Must] Cloud provider must provide third-party assessment of security and vulnerabilities with response timeline for identified issues
• [Must] Cloud provider must demonstrate resilience capabilities including data restoration without alteration after incidents
• [Must] Cloud provider must implement encryption key management to ensure data segregation and protection</t>
  </si>
  <si>
    <t>7.1 Licensees shall establish and maintain a cloud security management framework which would allow them to mitigate any cyber-risk and data vulnerability that may occur due to the use of the cloud computing services.</t>
  </si>
  <si>
    <t>Contingency plans and exit strategies for cloud services</t>
  </si>
  <si>
    <t>Licensees must ensure cloud service providers have comprehensive contingency plans for business continuity and recovery. The plans must include disaster recovery procedures, system resiliency, and network redundancy. Licensees also require well-designed exit strategies covering termination procedures, service transfer processes, and alternative solutions for business continuity.</t>
  </si>
  <si>
    <t>Mandates specific contingency and exit strategies that affect data transfer continuity and recovery in cross-border cloud environments. Critical for assessing data transfer resilience and recovery capabilities.</t>
  </si>
  <si>
    <t>• [Must] Licensees shall ensure cloud service provider has comprehensive contingency plan for quick recovery and continuity of operations
• [Must] Contingency plan must include business continuity requirements for disaster recovery and incident mitigation
• [Must] Contingency plan must include adequate system resiliency and network redundancy for business continuity</t>
  </si>
  <si>
    <t>• [Must] Exit strategy must include agreed process and procedures for termination with reasonable timeframe for data deletion
• [Must] Exit strategy must include procedures for transferring services to another provider or back to licensee
• [Must] Exit strategy must include identification of alternative solutions for business continuity</t>
  </si>
  <si>
    <t>8.1 Licensees shall ensure that the cloud service provider has a comprehensive and well-documented contingency plan, allowing for quick recovery and continuity of operations in case of unforeseen events.</t>
  </si>
  <si>
    <t>Ongoing cloud security monitoring and review</t>
  </si>
  <si>
    <t>Licensees must implement risk-based ongoing controls and monitoring of cloud service providers. This includes regular reviews of cloud services, ensuring cloud providers undergo regular audits and testing, and maintaining appropriate skills and knowledge for assessments. The reviews must be conducted at least annually.</t>
  </si>
  <si>
    <t>Requires regular monitoring and review of cloud security controls to ensure ongoing compliance with data protection standards. Critical for assessing the effectiveness of data transfer safeguards over time.</t>
  </si>
  <si>
    <t>• [Must] Licensees shall follow risk-based approach to implementation of ongoing controls and monitoring of cloud service providers
• [Must] Ongoing controls and monitoring shall be organized on a consistent basis
• [Must] Licensees shall review all material cloud computing services at least once a year</t>
  </si>
  <si>
    <t>• [Must] Cloud service providers must undergo regular audits and testing of procedures
• [Must] Audits must be conducted by persons with appropriate skills and knowledge</t>
  </si>
  <si>
    <t>9.1 Licensees shall follow a risk-based approach to the implementation of on-going controls and monitoring of the cloud service providers, whilst considering the materiality of the cloud computing services and the IT assets.</t>
  </si>
  <si>
    <t>Board and management responsibilities for cloud services</t>
  </si>
  <si>
    <t>The Board of Directors must approve cloud strategy and policy, ensure alignment with risk appetite, maintain adequate security controls, and oversee contingency plans. Senior management must ensure proper due diligence, risk assessments, documentation, clear responsibility delineation, and ongoing monitoring of cloud services. Both must provide regular reporting to the Board and FSC.</t>
  </si>
  <si>
    <t>Defines specific governance responsibilities for cloud services that impact data transfer oversight and accountability. Critical for assessing regulatory compliance in cross-border cloud environments.</t>
  </si>
  <si>
    <t>• [Must] Board of directors must approve cloud strategy and policy on cloud computing services
• [Must] Board must ensure cloud policy aligns with cloud strategy, deployment model, and risk appetite
• [Must] Board must ensure cloud risk management framework and security arrangements are in place
• [Must] Board must approve criteria to assess materiality of cloud services and contingency strategies
• [Must] Board must ensure business contingency plans are efficiently deployed during critical issues
• [Must] Board must ensure cloud services comply with record keeping obligations
• [Must] Board must ensure licensee has resources and staff training for effective oversight</t>
  </si>
  <si>
    <t>• [Must] Board must receive comprehensive periodic reports on cloud services
• [Must] Senior management must select cloud providers based on licensee needs with proper due diligence
• [Must] Senior management must document approved cloud policy and strategy
• [Must] Senior management must ensure cloud arrangements follow sound governance and risk management principles
• [Must] Senior management must ensure clear delineation of responsibility between licensee and provider
• [Must] Senior management must conduct independent evaluation of cloud security arrangements
• [Must] Senior management must monitor cloud service performance and report incidents to Board and FSC</t>
  </si>
  <si>
    <t>10.1 The Board of directors of the licensees shall ensure that it is not discharged of its responsibilities upon any delegation or outsourcing arrangement to a cloud service provider.</t>
  </si>
  <si>
    <t>Information retrieval for cloud services</t>
  </si>
  <si>
    <t>Licensees must ensure they can retrieve any information or document stored by the cloud service provider at any time. This requirement ensures data accessibility for compliance purposes and regulatory obligations.</t>
  </si>
  <si>
    <t>Ensures data retrieval capability for compliance with regulatory requirements, critical for data transfer and storage assessments.</t>
  </si>
  <si>
    <t>• [Must] Licensees shall ensure they can retrieve any information or document stored by the cloud service provider at any point in time</t>
  </si>
  <si>
    <t>11.1 Licensees shall ensure that at any point in time, they are in a position to retrieve any information or document stored by the cloud service provider.</t>
  </si>
  <si>
    <t>Transitional provisions for cloud services</t>
  </si>
  <si>
    <t>13–18</t>
  </si>
  <si>
    <t>Licensees using cloud services before the Guidelines came into effect must apply the new provisions within six months of the Guidelines' issuance. This transitional provision ensures a smooth implementation period for existing cloud service users.</t>
  </si>
  <si>
    <t>Provides a transition period for existing cloud service users to comply with new security and governance requirements, relevant for assessing phased implementation of data transfer safeguards.</t>
  </si>
  <si>
    <t>• [Must] Licensees using cloud services before Guidelines came into effect must apply new provisions within six months of Guidelines issuance</t>
  </si>
  <si>
    <t>12.1 Any licensee which, before the coming into operation of this Guidelines, was making use of cloud computing services shall, within 6 months of the issue of these Guidelines, apply the provisions laid out therein.</t>
  </si>
  <si>
    <t>guideline_for_digital_banks_06.12.2021 (Mauritius - Row 7)</t>
  </si>
  <si>
    <t>Digital banking licence application requirements</t>
  </si>
  <si>
    <t>Financial Data, Customer Data, Employee Data</t>
  </si>
  <si>
    <t>Bank of Mauritius</t>
  </si>
  <si>
    <t>Body corporates must submit completed application forms to the Bank of Mauritius and comply with section 5 of the Act. The Bank evaluates applications based on the applicant's technical expertise, financial resources, business feasibility, management history, community needs, shareholder suitability, and group structure. Applicants must demonstrate shareholder experience in banking or fintech, board expertise in technology and risks, substantial operations in Mauritius, and meet capital requirements. Foreign branches must satisfy international banking experience and regulatory oversight conditions.</t>
  </si>
  <si>
    <t>Requires detailed assessment of applicant's technical capabilities, financial stability, business model, and regulatory compliance before cross-border digital banking operations can commence.</t>
  </si>
  <si>
    <t>• [Must] Applicants must submit completed application forms to the Bank of Mauritius
• [Must] Applicants must comply with section 5 of the Act
• [Must] Bank evaluates applications based on technical expertise of directors/senior officers
• [Must] Applicants must demonstrate sufficient financial resources and adequate capital structure
• [Must] Applicants must show sound business feasibility including accounting systems
• [Must] Applicants must demonstrate compliance with other conditions imposed by the central bank
• [Must] Applicants must prove business history and management character
• [Must] Applicants must demonstrate community market needs
• [Must] Applicants must show shareholder fitness and suitability</t>
  </si>
  <si>
    <t>• [Must] Applicants must demonstrate ability to comply with foreign regulatory requirements
• [Must] At least one significant shareholder must have relevant banking/fintech experience
• [Must] Board must possess expertise in technology, risks, credit, liquidity and interest rate risks
• [Must] Bank must have principal place of business in Mauritius
• [Must] Bank must have at least ten qualified full-time officers including CEO
• [Must] Annual operating costs must not be less than 25 million Mauritian rupees
• [Must] Bank must meet minimum capital requirements at onset and ongoing
• [Must] Foreign banks must be reputable international banks with 5+ years operation
• [Must] Foreign banks must be subject to consolidated supervision by foreign regulators</t>
  </si>
  <si>
    <t>Section 1: Application Process for Digital Banking Licence
1.1 Applications from body corporates for a digital banking licence shall be made by submitting to the Bank the duly filled application form as available on the website of the Bank. An applicant shall also comply with section 5 of the Act.</t>
  </si>
  <si>
    <t>Digital banking licence phased transition requirements</t>
  </si>
  <si>
    <t>Digital banks must operate as restricted entities for up to two years before transitioning to full operations. During the restricted phase, banks must develop governance frameworks, conduct limited banking activities, and meet specific capital and liquidity ratios. They must submit detailed transition plans and obtain Bank approval before moving to the transitional phase. After the transitional period, banks must meet full banking requirements including capital adequacy ratios and liquidity coverage ratios.</t>
  </si>
  <si>
    <t>Requires phased approach to data transfer and processing with strict capital, liquidity, and governance requirements during initial stages to ensure data security and financial stability.</t>
  </si>
  <si>
    <t>• [Must] Digital banks must operate as restricted entities for up to two years
• [Must] Restricted banks must develop governance, internal control and risk management frameworks
• [Must] Restricted banks must conduct limited banking business
• [Must] Restricted banks must submit detailed transition plans to the Bank
• [Must] Restricted banks must obtain Bank approval 90 days before mobilisation period ends
• [Must] Restricted banks must maintain capital adequacy ratio of 15% during mobilisation</t>
  </si>
  <si>
    <t>• Restricted banks must maintain liquidity coverage ratio of 120% during mobilisation
• [Must] Restricted banks must maintain a reserve fund equivalent to three months of operating expenses
• [Must] Restricted banks must transition to full operations after three years
• [Must] Restricted banks must meet minimum capital requirements of 400 million Mauritian rupees
• [Must] Restricted banks must submit external audit confirmation of capital position
• [Must] Restricted banks must provide cyber and technology risk management framework assessment</t>
  </si>
  <si>
    <t>Section 2: Licensing stages
2.1 Successful applicants shall commence business as a restricted digital bank.</t>
  </si>
  <si>
    <t>Restricted digital bank operational requirements</t>
  </si>
  <si>
    <t>Restricted digital banks must comply with banking laws, governance frameworks, and prudential requirements. During mobilisation, they can only accept deposits from shareholders/employees, operate with assets under 1 billion Mauritian rupees, offer simple products, serve resident customers, and maintain specific capital and liquidity ratios. During transitional periods, they must increase asset size up to 2 billion Mauritian rupees while maintaining minimum capital adequacy ratios and liquidity coverage ratios.</t>
  </si>
  <si>
    <t>Imposes strict operational limits on data storage and processing during initial stages to ensure financial stability and regulatory compliance for cross-border digital banking activities.</t>
  </si>
  <si>
    <t>• [Must] Restricted digital banks must comply with banking laws and regulatory guidelines
• [Must] Restricted digital banks must implement appropriate governance frameworks
• [Must] Restricted digital banks must maintain capital adequacy ratio of 15% during mobilisation
• [Must] Restricted digital banks must maintain liquidity coverage ratio of 120% during mobilisation
• [Must] Restricted digital banks must maintain a reserve fund equivalent to three months of operating expenses
• [Must] Restricted digital banks must operate with assets not exceeding 1 billion Mauritian rupees during mobilisation</t>
  </si>
  <si>
    <t>• [Must] Restricted digital banks must offer only simple credit and deposit products
• [Must] Restricted digital banks must serve only resident customers
• [Must] Restricted digital banks must maintain minimum cash reserve ratio
• [Must] Restricted digital banks must increase asset size up to 2 billion Mauritian rupees during transitional period
• [Must] Restricted digital banks must maintain capital adequacy ratio of 12.5% during transitional period
• [Must] Restricted digital banks must maintain liquidity coverage ratio of 100% during transitional period</t>
  </si>
  <si>
    <t>Section 3: Restricted Digital Banks
3.4 During the mobilisation period, a restricted digital bank shall: (i) solicit deposits solely from its shareholders, employees and related parties; (ii) operate with an asset size not exceeding 1 billion Mauritian rupees...</t>
  </si>
  <si>
    <t>Exemptions for restricted digital banks with capital and governance requirements</t>
  </si>
  <si>
    <t>Bank</t>
  </si>
  <si>
    <t>Restricted digital banks must obtain Bank approval for exemptions. They must maintain a minimum capital of 200 million Mauritian rupees or equivalent freely convertible currency during the restricted phase, after accounting for accumulated losses. At the end of the restricted phase, the minimum capital requirement increases to 400 million Mauritian rupees or equivalent. Shareholders owning significant interests (10% or more) must meet specific conditions including written undertakings, independent board composition, compliance experience, and arms-length transactions. The bank may only establish an Audit Committee and executive-level Risk Management Committee, with the board responsible for other committees.</t>
  </si>
  <si>
    <t>Capital requirements and governance structures directly impact data transfer feasibility as insufficient capital or governance may prevent secure data handling across borders. Shareholder restrictions affect data control mechanisms.</t>
  </si>
  <si>
    <t>• [Must] Exemptions under this section require Bank approval
• [Must] Restricted digital bank must commence operations with capital of not less than 200 million Mauritian rupees or equivalent freely convertible currency
• [Must] Restricted digital bank must maintain minimum capital of not less than 200 million Mauritian rupees or equivalent after deduction of accumulated losses
• [Must] At end of restricted phase, minimum capital requirement shall be 400 million Mauritian rupees or equivalent after deduction of accumulated losses
• [Must] Shareholders owning significant interest (10% or more) must undertake written undertaking not to influence bank management</t>
  </si>
  <si>
    <t>• [Must] Restricted digital bank must have board chaired by independent director with majority independent directors
• [Must] Board must demonstrate proven experience in regulatory compliance, risk management and audit
• [Must] Bank must demonstrate arms-length transactions with shareholders
• [Must] Restricted digital bank may only establish Audit Committee and executive-level Risk Management Committee
• [Must] Board must be responsible for tasks assigned to other board sub-committees</t>
  </si>
  <si>
    <t>Section 4: Exemptions applicable to Restricted Digital Banks
4.1 The exemptions under this section shall be subject to the approval of the Bank.</t>
  </si>
  <si>
    <t>Business plan requirements for digital banks</t>
  </si>
  <si>
    <t>Digital banks must submit detailed business plans including projected financial statements for five years, business model descriptions, funding strategies, governance frameworks, staffing requirements, and cyber/technology risk management plans. The business plan must demonstrate a sustainable transition from restricted phase to full digital bank operations with clear timelines, risk management measures, and customer complaint handling protocols.</t>
  </si>
  <si>
    <t>Business plans must include comprehensive cyber and technology risk management frameworks, which are critical for data transfer security and compliance across borders.</t>
  </si>
  <si>
    <t>• [Must] Business plan must include projected financial statements for 5 financial years
• [Must] Business plan must describe products and services, channels, and target market
• [Must] Business plan must include funding sources and capital/liquidity strategy
• [Must] Business plan must outline governance, internal control, and risk management frameworks
• [Must] Business plan must specify staffing requirements including technology and risk management
• [Must] Business plan must include business strategy for sustainable transition from restricted phase</t>
  </si>
  <si>
    <t>• [Must] Business strategy must have clear timelines and milestones for progress tracking
• [Must] Business strategy must include measures to comply with prudential requirements
• [Must] Business strategy must include measures to meet minimum capital requirement at end of restricted phase
• [Must] Business plan must address customer queries or complaints
• [Must] Business plan must detail outsourcing arrangements and third-party service providers
• [Must] Business plan must describe cyber and technology risk management framework</t>
  </si>
  <si>
    <t>Section 5: Business Plan
5.1 Section 5(1)(f) of the Act requires an applicant to submit, at the time of application, a business plan giving the nature of the planned business, organisational structure and internal control, projected financial statements including cash flow statements for each of the next 3 financial years.</t>
  </si>
  <si>
    <t>Exit plan for restricted digital banks</t>
  </si>
  <si>
    <t>Restricted digital banks must submit exit plans demonstrating orderly liquidation under section 70 of the Act, including circumstances for triggering voluntary liquidation, channels for repaying depositors, and communication strategies for stakeholders. Significant shareholders must provide written undertakings to cover any shortfall in deposit liabilities.</t>
  </si>
  <si>
    <t>Exit plans ensure data transfer continuity during liquidation, critical for maintaining customer data integrity and regulatory compliance across borders.</t>
  </si>
  <si>
    <t>• [Must] Exit plan must demonstrate orderly liquidation under section 70 of the Act
• [Must] Exit plan must cover circumstances for triggering voluntary liquidation
• [Must] Exit plan must specify channels for repaying depositors and funding sources</t>
  </si>
  <si>
    <t>• [Must] Exit plan must include communication and engagement strategy for stakeholders
• [Must] Significant shareholders must provide written undertaking to cover deposit liabilities shortfall</t>
  </si>
  <si>
    <t>Section 6: Exit Plan
6.1 The applicant shall submit, at the time of application, an exit plan, which demonstrates that it can go into voluntary liquidation under section 70 of the Act in an orderly manner during the restricted phase under the circumstances stipulated in section 7 of the Guideline, taking into consideration the interests of depositors.</t>
  </si>
  <si>
    <t>Exit from banking industry conditions</t>
  </si>
  <si>
    <t>Restricted digital banks may exit the banking industry through voluntary liquidation if their business model is no longer viable or they cannot meet the objectives set out in their business plan to transition to a digital bank, in addition to circumstances specified in section 2 of the Guideline.</t>
  </si>
  <si>
    <t>Exit conditions directly affect data transfer continuity and regulatory compliance during transitions, ensuring data protection across borders.</t>
  </si>
  <si>
    <t>• [Must] Restricted digital bank may exit banking industry through voluntary liquidation if business model is no longer viable</t>
  </si>
  <si>
    <t>• [Must] Restricted digital bank may exit banking industry through voluntary liquidation if unable to meet business plan transition objectives</t>
  </si>
  <si>
    <t>Section 7: Exit from Banking Industry
7.1 In addition to the circumstances laid down under paragraphs 2.13, 2.23 and 2.28, a restricted digital bank may go into voluntary liquidation where it is of the view that its business model is no longer viable and/or it will not be able to meet the objectives set out in its business plan to transition to a digital bank.</t>
  </si>
  <si>
    <t>Risk management requirements for digital banks</t>
  </si>
  <si>
    <t>Digital banks must ensure their boards and senior management understand all risks, implement robust cyber and technology risk management frameworks, and establish appropriate controls including multifactor authentication for identity proofing and digital instruction authentication.</t>
  </si>
  <si>
    <t>Risk management frameworks are essential for secure data transfers, particularly for cyber threats and cross-border data handling.</t>
  </si>
  <si>
    <t>• [Must] Board and senior management must understand types of risks and implement systems to identify, measure, monitor and control risks
• [Must] Board and senior management must implement robust cyber and technology risk management framework</t>
  </si>
  <si>
    <t>• [Must] Appropriate controls and safeguards including multifactor authentication must be implemented for identity proofing and digital instructions</t>
  </si>
  <si>
    <t>Section 8: Risk Management
8.1 The board of directors and the senior management of a digital bank shall, among others, ensure that: i. they understand the types of risk to which it is exposed, and put in place appropriate systems to identify, measure, monitor and control these risks; ii. they are fully aware of cyber and technology-related risk and implement an appropriate and robust cyber and technology risk management framework; and iii. appropriate controls and safeguards (including multifactor authentication, as relevant) are implemented to support identity proofing and authenticate digital instructions and digital signatures.</t>
  </si>
  <si>
    <t>AML/CFT compliance for digital banks</t>
  </si>
  <si>
    <t>Digital banks must comply with AML/CFT regulations including customer due diligence, risk assessments, and implementation of internal policies for money laundering and terrorism financing. They must authenticate customer identities through reliable means at onboarding and maintain risk-based approaches for cyber and technology risks.</t>
  </si>
  <si>
    <t>AML/CFT compliance requirements directly impact data transfer security and regulatory adherence across borders, especially for financial data.</t>
  </si>
  <si>
    <t>• [Must] Digital bank must comply with relevant AML/CFT legislations and guidelines
• [Must] Digital bank must identify, assess and understand ML/TF/PF risks of customers, countries, products and services
• [Must] Digital bank must implement internal policies, procedures and controls for ML/TF/PF risks</t>
  </si>
  <si>
    <t>• [Must] Digital bank must adopt risk-based approach for ML/TF/PF risks
• [Must] Digital bank must ensure customer due diligence measures are commensurate with ML/TF/PF and cyber risks
• [Must] Digital bank must authenticate and verify customer identity through reliable means at onboarding</t>
  </si>
  <si>
    <t>Section 9: Combating the Financing of Terrorism and Proliferation
9.1 A digital bank shall comply with the relevant statutory and regulatory requirements relating to AML/CFT, namely the relevant AML/CFT Legislations and guidelines issued by the Bank, such as the Guideline on Anti-Money Laundering and Combating the Financing of Terrorism and Proliferation, the Guideline on the implementation of Targeted Financial Sanctions under the United Nations (Financial Prohibitions, Arms Embargo and Travel Ban) Sanctions Act 2.019 and any other relevant guidelines/legislations, including those in respect of digital onboarding of customers applicable to banks.</t>
  </si>
  <si>
    <t>Digital banks must maintain physical office in Mauritius for administrative purposes</t>
  </si>
  <si>
    <t>Digital banks must establish a principal place of business in Mauritius. This office is exclusively for administrative functions, customer complaint resolution, and Bank interactions. It cannot be used for customer banking activities and must be accessible for on-site examinations by the Bank at all times.</t>
  </si>
  <si>
    <t>Requires physical presence in Mauritius for administrative oversight, impacting data storage and operational compliance for cross-border digital banking activities.</t>
  </si>
  <si>
    <t>• [Must] Digital bank must have principal place of business in Mauritius
• [Must] Physical office must be used solely for administrative purposes, customer complaints, or Bank interactions</t>
  </si>
  <si>
    <t>• [Must Not] Physical office shall not be used for customer banking activities
• [Must] Physical office must be accessible to Bank for on-site examinations at all times</t>
  </si>
  <si>
    <t>Section 10: Physical office in Mauritius. 10.1 In line with paragraph 1.5(iii) of this Guideline, a digital bank shall have a principal place of business in Mauritius. This physical office shall be used solely for administrative purposes, to deal with customer complaints or to interact with the Bank. Such office shall not be used to conduct banking business with customers and shall, at all times, be made accessible to the Bank for on-site examinations.</t>
  </si>
  <si>
    <t>Digital banks must maintain records accessible to Bank for supervision</t>
  </si>
  <si>
    <t>Digital banks must comply with the Act on records and ensure all records are readily accessible to the Bank at all times. Electronic records are expected for most data, and technology solutions must support quick access to accurate information for regulatory oversight.</t>
  </si>
  <si>
    <t>Mandates record accessibility for regulatory supervision, affecting data storage and retention practices for cross-border digital banking operations.</t>
  </si>
  <si>
    <t>• [Must] Digital bank must comply with section 33 of the Act on records
• [Must] Records must be readily accessible to the Bank at all times</t>
  </si>
  <si>
    <t>• [Must] Technology solutions must allow easy and quick access to complete and accurate information for supervisory duties</t>
  </si>
  <si>
    <t>Section 11: Record Keeping. 11.1 A digital bank shall comply with the requirement of section 33 of the Act on records and ensure that its records are, at all times, readily accessible to the Bank. 11.2 Due to the nature of the business operations, most if not all of the data of the digital bank are expected to be in an electronic format. The design of technology solutions in a digital bank should allow for easy and quick access to complete and accurate information required by the Bank to perform its supervisory duties.</t>
  </si>
  <si>
    <t>Digital banks must inform customers of restricted phase and data protection</t>
  </si>
  <si>
    <t>Restricted digital banks must inform customers of their restricted phase status and relevant data protection compliance obligations. Digital banks must educate customers on financial products, services, and security measures while ensuring adherence to data protection laws and regulations.</t>
  </si>
  <si>
    <t>Requires customer transparency about restricted phase and data protection compliance, impacting data sharing and customer information handling across borders.</t>
  </si>
  <si>
    <t>• [Must] Restricted digital bank must take all reasonable steps to inform customers of restricted phase status
• [Must] Digital bank must inform and educate customers on financial products, services, and security measures</t>
  </si>
  <si>
    <t>• [Must] Digital bank must ensure compliance with relevant data protection laws and regulations</t>
  </si>
  <si>
    <t>Section 12: Customer Protection and Data Protection. 12.1 A restricted digital bank shall take all reasonable steps to ensure that all customers are made aware that it is operating as a restricted digital bank that is subject to a pre-defined restricted phase. 12.2 A digital bank shall duly inform and educate its customers of the financial products and financial services and the appropriate security measures to be taken in this respect. 12.3 A digital bank shall ensure compliance with the relevant data protection laws and regulations.</t>
  </si>
  <si>
    <t>Digital banks must submit regulatory reports and updates</t>
  </si>
  <si>
    <t>Digital banks must comply with all statutory reporting requirements and submit regulatory returns as communicated by the Bank. During the restricted phase, restricted digital banks must submit half-yearly progress updates on business plan implementation to the Bank.</t>
  </si>
  <si>
    <t>Mandates regular reporting to the Bank, impacting data transfer and retention for regulatory compliance in cross-border digital banking contexts.</t>
  </si>
  <si>
    <t>• [Must] Digital bank must comply with all statutory reporting requirements and submit regulatory returns</t>
  </si>
  <si>
    <t>• [Must] Restricted digital bank must submit half-yearly progress updates on business plan implementation during restricted phase</t>
  </si>
  <si>
    <t>Section 13: Reporting Requirement. 13.1 A digital bank shall comply with all the statutory reporting requirements and submit the regulatory returns and any other reporting requirements as communicated by the Bank. 13.2 During the restricted phase, a restricted digital bank shall also submit to the Bank half-yearly progress updates on the implementation of its business plan.</t>
  </si>
  <si>
    <t>guidelines-on-responsible-use-of-ai (Mauritius - Row 19)</t>
  </si>
  <si>
    <t>AI definition and financial sector relevance</t>
  </si>
  <si>
    <t>Financial Services Commission, Mauritius (FSC)</t>
  </si>
  <si>
    <t>This section defines artificial intelligence (AI) as algorithms that perceive, interpret, reason, and act in the physical or digital world to achieve goals. It emphasizes AI's rapid evolution in financial services, highlighting applications like risk assessment, fraud detection, and high-frequency trading. The Financial Services Commission (FSC) of Mauritius observes growing AI adoption in financial institutions and fintech entities, noting the need for responsible implementation without introducing new regulatory structures.</t>
  </si>
  <si>
    <t>This section establishes foundational definitions of AI relevant to financial services, clarifying the scope for data transfer impact assessments by distinguishing AI from non-AI systems and highlighting sector-specific applications. It does not impose direct transfer restrictions but sets context for understanding AI's role in data processing.</t>
  </si>
  <si>
    <t>• [Definition] Artificial intelligence means algorithms designed by individuals that, given a goal, act in the physical or digital world by perceiving their environment, interpreting collected structured or unstructured data, reasoning on knowledge derived from this data and deciding the best action to take, according to pre-defined parameters, to achieve the gi…</t>
  </si>
  <si>
    <t>Artificial intelligence (‘AI') involves the use of technology to perform tasks that traditionally required human intelligence.</t>
  </si>
  <si>
    <t>Types of AI in financial services</t>
  </si>
  <si>
    <t>This section distinguishes traditional AI (narrow AI) and generative AI (GenAI) as the two primary types used in financial services. Traditional AI focuses on specific tasks within predefined rules, while GenAI creates new content like text, images, and simulations. The section notes GenAI's growing significance in financial applications, including predictive modeling and innovative solutions.</t>
  </si>
  <si>
    <t>This section clarifies the distinction between traditional AI and GenAI, which is critical for DTIAs as GenAI's ability to generate new content may impact data processing and transfer mechanisms in financial services.</t>
  </si>
  <si>
    <t>• [Definition] Traditional AI focuses on performing specific tasks intelligently within a narrow scope and relies on machine learning, data processing techniques, and rule-based systems.</t>
  </si>
  <si>
    <t>• [Definition] Generative AI describes algorithms that create new content, including audio, code, images, text, simulations, and videos.</t>
  </si>
  <si>
    <t>Traditional AI and Generative AI are the most common and prominent types of AI that are used in the financial services sector, nowadays.</t>
  </si>
  <si>
    <t>AI adoption in financial services</t>
  </si>
  <si>
    <t>This section reports on widespread AI adoption in financial services, citing surveys indicating 85% of institutions use AI and 77% anticipate its critical role within two years. It highlights AI applications in advisory services, wealth management, trading, insurance, AML/CFT, and risk management. The section emphasizes AI's potential to enhance regulatory compliance, revenue, decision-making, and financial inclusion.</t>
  </si>
  <si>
    <t>This section details AI's growing use in financial services, which impacts DTIAs by increasing data processing complexity and the need for robust safeguards when transferring data across borders for AI applications.</t>
  </si>
  <si>
    <t>• [Fact] 85% of financial services institutions across 33 countries use AI in some capacity.
• [Fact] 77% of financial services institutions anticipate AI being crucial to their operations within two years.</t>
  </si>
  <si>
    <t>• [Fact] AI is used in advisory services, wealth management, trading, insurance, AML/CFT, and risk management.</t>
  </si>
  <si>
    <t>Based on a survey of 151 financial institutions across 33 countries conducted by the World Economic Forum and the Cambridge Centre of Alternative Finance.</t>
  </si>
  <si>
    <t>AI benefits for financial services</t>
  </si>
  <si>
    <t>This section outlines key benefits of AI adoption in financial services, including improved regulatory compliance, revenue growth (potentially 34%), enhanced decision-making, financial inclusion, and staff training on AI. It emphasizes AI's role in automating processes, generating value, and fostering understanding of AI's risks and applications within financial institutions.</t>
  </si>
  <si>
    <t>This section identifies AI-driven benefits that may influence DTIAs by highlighting data processing efficiencies and the need for robust governance to ensure ethical data handling and transfer mechanisms.</t>
  </si>
  <si>
    <t>• [Fact] AI can assist financial services institutions in meeting regulatory compliance responsibilities by automating data gathering procedures.
• [Fact] AI has the potential to increase the financial services sector's revenue by 34%.</t>
  </si>
  <si>
    <t>• [Fact] AI can generate more than $250 billion in value for banking and financial services companies.
• [Fact] AI can improve financial inclusion by developing tailored financial education programs for underserved populations.</t>
  </si>
  <si>
    <t>The financial services sector can largely benefit from the adoption of AI technologies in their day-to-day operations, namely in terms of: Improved regulatory compliance, improved revenue and value, improved decision-making, improved financial inclusion.</t>
  </si>
  <si>
    <t>AI governance and human oversight</t>
  </si>
  <si>
    <t>This section emphasizes the need for human oversight and accountability throughout AI systems' lifecycles, including defining responsibility across design, development, deployment, and decommissioning. It requires boards and senior management to understand AI risks, implement training, ensure effective oversight, and address limitations like third-party access constraints to AI systems.</t>
  </si>
  <si>
    <t>This section is critical for DTIAs as it mandates governance structures to ensure AI systems comply with data transfer and processing requirements, particularly in cross-border contexts where human oversight may be challenging.</t>
  </si>
  <si>
    <t>• [Must] Establish accountability throughout the AI system lifecycle by defining responsibility across design, approval, development, procurement, deployment, monitoring, and decommissioning.
• [Must] Board members and senior management must possess a solid understanding of AI risks and limitations to critically assess AI outputs.
• [Must] Ensure sufficient expertise at the Board level to monitor AI solutions for consumer protection.</t>
  </si>
  <si>
    <t>• [Must] Implement staff training on AI risks and roles to manage them effectively.
• [Must] Address limitations of human oversight by ensuring access to AI infrastructure, code, and training data through third-party assessments and controls.</t>
  </si>
  <si>
    <t>At a fundamental level, the development, implementation, and oversight of AI systems across their life cycle should not change existing supervisory expectations.</t>
  </si>
  <si>
    <t>AI fairness and bias mitigation</t>
  </si>
  <si>
    <t>This section addresses the risks of bias in AI systems, emphasizing the need for fairness by design. It requires insurers to implement governance processes, continuous monitoring, transparency, and explainability to detect and mitigate biases in AI-driven decisions, ensuring fair treatment of customers without discrimination.</t>
  </si>
  <si>
    <t>This section is vital for DTIAs as it mandates specific safeguards to prevent biased data processing and transfer, particularly when AI systems handle sensitive financial data across borders.</t>
  </si>
  <si>
    <t>• [Must Not] AI systems that are harmful, abusive, or discriminatory should not be brought to market.
• [Must] Implement policies and processes for fair treatment of customers as part of business culture.
• [Must] Develop a corporate culture with ethical and fairness principles to guide responsible AI adoption.</t>
  </si>
  <si>
    <t>• [Must] Provide regular training on ethical AI practices for staff involved in AI deployment.
• [Must] Conduct continuous monitoring and auditing of AI systems to detect and mitigate biases.
• [Must] Ensure transparency and explainability of AI systems to customers.</t>
  </si>
  <si>
    <t>AI system that are harmful or abusive, treat consumers unfairly or do not respect fundamental rights, including the right to non-discrimination, should not be brought to the market.</t>
  </si>
  <si>
    <t>Transparency in AI decision-making to identify biases</t>
  </si>
  <si>
    <t>FSC Mauritius</t>
  </si>
  <si>
    <t>This section mandates that insurance and non-banking businesses ensure transparency in AI processes to identify potential biases. It requires firms to act with due skill, care and diligence when dealing with customers, provide clear and timely information for informed decisions, and address risks of lawful discrimination. The focus is on fairness and non-discrimination through transparent AI practices.</t>
  </si>
  <si>
    <t>Transparency requirements for AI decision-making are critical for DTIAs to assess bias risks in cross-border data transfers involving financial services. This section emphasizes identifying discriminatory outcomes and ensuring accountability in AI systems.</t>
  </si>
  <si>
    <t>• [Must] Insurance and non-banking businesses must act with due skill, care and diligence when dealing with customers
• [Must] Firms must provide clear, timely and adequate information allowing customers to make informed decisions</t>
  </si>
  <si>
    <t>• [Should] Transparency is key to building trust and ensuring accountability by understanding unique risks to end users of AI</t>
  </si>
  <si>
    <t>The Insurance and non-banking businesses should ensure that insurers and intermediaries "act with due skill, care and diligence when dealing with customers".</t>
  </si>
  <si>
    <t>Security and robustness testing for AI systems</t>
  </si>
  <si>
    <t>This section requires continuous robustness testing for AI systems, including automated monitoring tools to detect data distribution shifts and trigger alerts. It mandates that insurers define expected outcomes in advance for objective evaluation and share material findings with third-party AI providers to enable prompt corrective action. The focus is on maintaining up-to-date security practices through regular updates and staff training.</t>
  </si>
  <si>
    <t>Robustness testing and continuous monitoring are essential for DTIAs to assess AI system security and stability in cross-border contexts. This section emphasizes proactive measures to address evolving threats and ensure timely model recalibration.</t>
  </si>
  <si>
    <t>• [Must] Robustness testing should be treated as a continuous process allowing insurers to adapt testing strategies as AI technologies evolve
• [Must] Use automated monitoring tools to detect significant shifts in data distribution and trigger alerts for timely model recalibration</t>
  </si>
  <si>
    <t>• [Should] Define expected outcomes in advance to support objective evaluation of AI systems
• [Must] Share material findings from robustness assessments with third-party AI providers to facilitate prompt corrective action</t>
  </si>
  <si>
    <t>Robustness testing should be treated as a continuous process, allowing insurers to adapt their testing strategies as AI technologies evolve.</t>
  </si>
  <si>
    <t>AI risks in financial services sector</t>
  </si>
  <si>
    <t>This section outlines specific risks associated with AI adoption in financial services, including bias and discrimination, data privacy concerns, systemic risks, de-skilling of employees, job displacement, and concentration risks. It highlights the need for stakeholders to address these challenges to facilitate timely AI adoption while mitigating potential harms to customers and the financial system.</t>
  </si>
  <si>
    <t>This section identifies critical risks that DTIAs must address, particularly bias, data privacy, and systemic risks when transferring or processing financial data across borders using AI. It emphasizes the need for comprehensive risk assessments.</t>
  </si>
  <si>
    <t>• [Must] AI adoption in financial services presents risks including bias, discrimination, data privacy concerns, systemic risks, and job displacement</t>
  </si>
  <si>
    <t>The adoption of AI technologies in the financial services sector presents a unique set of risks and challenges.</t>
  </si>
  <si>
    <t>AI initiatives in Mauritius</t>
  </si>
  <si>
    <t>This section describes Mauritius's strategic initiatives to position itself as a center for AI development, including fostering a digital innovation ecosystem, attracting global technology leaders, and nurturing local talent. It emphasizes the government's commitment to leveraging AI for inclusive economic growth and enhancing public services through technological innovation.</t>
  </si>
  <si>
    <t>Mauritius's AI initiatives provide context for DTIAs by highlighting the country's proactive approach to AI governance and its alignment with international standards, which may influence cross-border data transfer practices.</t>
  </si>
  <si>
    <t>• [Must] Mauritius leverages its strategic location between Africa and Asia to position itself as a reputable center for AI development</t>
  </si>
  <si>
    <t>Mauritius continues to leverage its strategic location between Africa and Asia to position itself as a reputable centre for Artificial Intelligence (AI) development.</t>
  </si>
  <si>
    <t>International collaboration on AI governance</t>
  </si>
  <si>
    <t>This section details international collaboration initiatives in AI governance, including UN resolutions, IMF reports, ESMA monitoring, UK government schemes, Singapore's partnerships, and the Alliance for Innovative Regulation. These collaborations aim to foster innovation and develop ethical AI practices across financial services sectors globally.</t>
  </si>
  <si>
    <t>International collaboration frameworks are critical for DTIAs to understand cross-border data transfer implications, as they establish shared standards and best practices for AI governance that may affect data flows.</t>
  </si>
  <si>
    <t>• [Must] UN approved a first-of-its-kind resolution on AI by consensus, adopted by 193 countries including Mauritius
• [Must] IMF published a report on generative AI in finance and risk considerations
• [Must] ESMA monitors AI and Big Data in financial services across EU member states</t>
  </si>
  <si>
    <t>• [Must] UK Financial Conduct Authority launched a secondment scheme for AI collaboration
• [Must] Monetary Authority of Singapore co-partnered with Google Cloud for generative AI</t>
  </si>
  <si>
    <t>On 21 March 2.024, the General Assembly of the UN approved a first-of-its-kind resolution on AI by consensus.</t>
  </si>
  <si>
    <t>Best practices for responsible AI use</t>
  </si>
  <si>
    <t>17–21</t>
  </si>
  <si>
    <t>This section outlines international best practices for responsible AI use, including UNESCO's AI ethics framework, OECD AI principles, UK's principle-based approach, EU's AI Act, and the FSC Mauritius's principles for responsible AI. It emphasizes the need for data protection impact assessments and compliance with the Data Protection Act 2017 for AI systems.</t>
  </si>
  <si>
    <t>Best practices for responsible AI use are essential for DTIAs to ensure compliance with international standards and data protection requirements when transferring or processing data across borders.</t>
  </si>
  <si>
    <t>• [Must] Licensees must ensure data subjects are informed of automated decision-making processes
• [Must] Licensees must provide meaningful information on the logic, criteria, and significance of underlying decisions</t>
  </si>
  <si>
    <t>• [Must] Licensees must establish mechanisms for individuals to obtain human intervention and contest outcomes
• [Must] Licensees must conduct Data Protection Impact Assessments (DPIAs) for AI systems presenting high risk to data subjects</t>
  </si>
  <si>
    <t>In accordance with Section 38 of the DPA, which sets out safeguards for automated decision-making and profiling that produce legal effects or similarly significant consequences for individuals, licensees are required to ensure the following: Data subjects are informed of the existence of such automated decision-making processes;</t>
  </si>
  <si>
    <t>Regulator's role in AI governance evolution</t>
  </si>
  <si>
    <t>21–25</t>
  </si>
  <si>
    <t>The FSC will monitor AI developments globally and update regulatory guidance to address AI-related benefits and risks for non-banking financial institutions. This section establishes the FSC's ongoing commitment to revising its regulatory framework as AI technology evolves. Licensees must adapt to these evolving standards to maintain compliance with ethical AI practices.</t>
  </si>
  <si>
    <t>This section requires regulators to proactively update AI governance frameworks, which impacts DTIAs by necessitating regular reassessment of AI-related data transfers against evolving regulatory expectations.</t>
  </si>
  <si>
    <t>• [Must] FSC will monitor ongoing developments in AI locally and internationally
• [Must] FSC will upgrade/revisit regulatory guidance whenever necessary</t>
  </si>
  <si>
    <t>• [Must] FSC will address corresponding benefits and risks arising from AI use by licensees</t>
  </si>
  <si>
    <t>As a forward looking and responsible regulator of the insurance, wealth management sector and other NBFIs, the FSC will continue to closely monitor the on-going developments in the field of AI, both locally and internationally and will further upgrade/revisit its existing regulatory guidance and parameter, whenever there is a necessity, to address the corresponding benefits and risks arising from the use of AI by its licensees.</t>
  </si>
  <si>
    <t>guidelines_on_outsourcing_by_financial_institutions (Mauritius - Row 3)</t>
  </si>
  <si>
    <t>Outsourcing risk management framework for financial institutions</t>
  </si>
  <si>
    <t>Outsourcing, Third Party Processing, Governance</t>
  </si>
  <si>
    <t>Financial institutions must establish comprehensive outsourcing policies before engaging third-party service providers. These policies must define core activities that cannot be outsourced, assess materiality of outsourced activities, evaluate risks, and include contingency plans. The Board of Directors and senior management share responsibilities for oversight, including approving material outsourcing, monitoring risks, and ensuring compliance with regulatory requirements. The framework applies to all financial institutions licensed by the Bank of Mauritius.</t>
  </si>
  <si>
    <t>This section mandates a risk management framework for outsourcing that financial institutions must implement before engaging third-party service providers. It requires specific documentation and approval processes for material outsourcing activities, directly impacting cross-border data transfers through offshoring arrangements.</t>
  </si>
  <si>
    <t>• [Must] Financial institutions must establish a comprehensive policy on outsourcing before engaging third-party service providers
• [Must] The policy must define core activities that cannot be outsourced
• [Must] The policy must assess materiality of outsourced activities
• [Must] The policy must evaluate risks associated with outsourced activities
• [Must] The policy must include contingency plans for business disruptions
• [Must] The Board of Directors must approve the outsourcing policy</t>
  </si>
  <si>
    <t>• [Must] The Board of Directors must assess outsourcing strategies against strategic objectives
• [Must] The Board of Directors must approve material outsourcing arrangements
• [Must] The Board of Directors must review material outsourcing activities annually
• [Must] Senior management must monitor and control outsourcing arrangements
• [Must] Senior management must ensure contingency plans for service provider changes
• [Must] Senior management must ensure regulatory compliance in outsourced services</t>
  </si>
  <si>
    <t>Financial institutions should establish a comprehensive policy on outsourcing. The policy should guide the assessment of whether and how an activity should be outsourced. The policy should be well documented and should include, inter alia: strategic goals, objectives and business needs of a financial institution in relation to outsourcing; a clear definition of the range of activities that may be outsourced and those core activities which cannot be outsourced; steps to evaluate whether a particular activity is appropriate for outsourcing; criteria for determining material outsourcing; processes for evaluating risks associated with an outsourced activity; criteria for evaluating outsourcing relationships (with service providers) including necessary controls and reporting processes on an ongoing basis; limits on the acceptable overall level of outsourced activities; eligibility criteria for selecting service providers taking into account any relation, directly or indirectly, with the latter; issues addressing risk concentrations and risks arising from outsourcing multiple activities to the same service provider; steps to ensure compliance with legal and regulatory requirements in both home and host countries; and contingency plan in case of business disruptions.</t>
  </si>
  <si>
    <t>4 (part 2)</t>
  </si>
  <si>
    <t>Core functions that cannot be outsourced</t>
  </si>
  <si>
    <t>Outsourcing</t>
  </si>
  <si>
    <t>[extraction failed: model output unparseable] Financial institutions must not outsource core functions including strategic oversight, internal audit, and compliance. The Bank explicitly prohibits outsourcing these activities but allows case-by-case exceptions for intra-group outsourcing. Such exceptions require prior authorization and must be treated as material outsourcing with the same requirements as in section 4.1.3.</t>
  </si>
  <si>
    <t>This section defines core functions that cannot be outsourced, requiring financial institutions to seek Bank authorization for any intra-group outsourcing of these functions, which impacts DTIA by mandating specific safeguards for critical control functions.</t>
  </si>
  <si>
    <t>• [Must] Financial institutions must not outsource board and senior management functions such as strategic oversight
• [Must] Financial institutions must not outsource internal audit function
• [Must] Financial institutions must not outsource compliance function</t>
  </si>
  <si>
    <t>• [Must] Financial institutions seeking to outsource core functions within the group must seek prior authorization from the Bank
• [Must] Financial institutions must treat intra-group outsourcing of core functions as material outsourcing</t>
  </si>
  <si>
    <t>Activities that are considered ‘core' and should not be outsourced are; board and senior management functions such as strategic oversight; internal audit function; and compliance function.</t>
  </si>
  <si>
    <t>part2 (Mauritius - Row 15)</t>
  </si>
  <si>
    <t>High performance organization roadmap for regulatory excellence</t>
  </si>
  <si>
    <t>Financial Services Commission, Mauritius</t>
  </si>
  <si>
    <t>This section details the Financial Services Commission's strategic commitment to building a high-performing organization through talent development, operational efficiency, and stakeholder engagement. It mandates specific actions such as optimizing processes, implementing a 'Red Carpet' process, digitizing licenses, and enhancing regulatory compliance. The focus is on creating a resilient and agile regulatory framework that serves stakeholders effectively while minimizing operational disruptions.</t>
  </si>
  <si>
    <t>• [Must] Optimize FSC processes
• [Must] Implement a 'Red Carpet' process</t>
  </si>
  <si>
    <t>• [Must] Digitize licenses
• [Must] Enhance regulatory compliance</t>
  </si>
  <si>
    <t>High Performance Organisation : A Roadmap to Excellence</t>
  </si>
  <si>
    <t>Digital transformation roadmap for financial regulators</t>
  </si>
  <si>
    <t>This section outlines the Financial Services Commission's strategic commitment to digital transformation, including adopting a hybrid cloud strategy, strengthening SupTech solutions, and enhancing data analytics capabilities. It emphasizes the need for the commission to align IT solutions with customer expectations and regulatory requirements while improving data management and cross-border collaboration with international financial regulators.</t>
  </si>
  <si>
    <t>• [Must] Adopt a hybrid cloud strategy
• [Must] Strengthen the use of SupTech solutions</t>
  </si>
  <si>
    <t>• [Must] Enhance data management, information retrieval, and analysis
• [Must] Sustain and reinforce cross-border collaboration</t>
  </si>
  <si>
    <t>Digitalisation: A Roadmap to Resilience</t>
  </si>
  <si>
    <t>International collaboration strategies for financial regulators</t>
  </si>
  <si>
    <t>This section focuses on the Financial Services Commission's strategic commitment to promoting global engagement and expertise sharing through international regulatory dialogues and collaborations. It mandates actions such as hosting quarterly strategic roundtables with industry leaders, collaborating with the Bank of Mauritius, and establishing effective communication channels with stakeholders to enhance the commission's global visibility and regulatory standing.</t>
  </si>
  <si>
    <t>• [Must] Host quarterly strategic roundtables with industry leaders
• [Must] Collaborate with the Bank of Mauritius and other agencies</t>
  </si>
  <si>
    <t>• [Must] Establish effective communication channels</t>
  </si>
  <si>
    <t>Local and International Collaboration</t>
  </si>
  <si>
    <t>ESG integration and innovation in financial services</t>
  </si>
  <si>
    <t>This section outlines the Financial Services Commission's strategic commitment to embedding ESG considerations within financial innovation, including supervision of sustainability disclosures, enforcement against misconduct related to governance and greenwashing, and promoting Mauritius as a leader in socially responsible investment. It mandates actions such as introducing data-driven supervision solutions and adopting the Diversity, Equity, and Inclusion charter.</t>
  </si>
  <si>
    <t>• [Must] Supervise sustainability disclosures and governance practices
• [Must] Enforce measures against misconduct related to governance and greenwashing</t>
  </si>
  <si>
    <t>• [Must] Bolster Mauritius's position as a leading sustainable finance hub
• [Must] Position Mauritius as a leader in Socially Responsible Investment</t>
  </si>
  <si>
    <t>Innovation and Market Development</t>
  </si>
  <si>
    <t>AML/CFT compliance through enhanced supervisory frameworks</t>
  </si>
  <si>
    <t>AML</t>
  </si>
  <si>
    <t>This section details the FSC's commitment to maintaining an effective risk-based AML/CFT supervisory framework aligned with international standards. It requires continuous enhancement of the FSC's capabilities, engagement with stakeholders, and implementation of real-time analytical tools for monitoring. The framework applies to licensees, professional bodies, and international regulatory bodies to ensure market integrity and consumer confidence.</t>
  </si>
  <si>
    <t>This section mandates enhanced AML/CFT risk-based supervision with real-time monitoring tools, which are essential for assessing data transfers involving financial institutions that handle sensitive financial information across borders.</t>
  </si>
  <si>
    <t>• [Must] Enhance FSC's risk-based supervisory framework
• [Must] Continue increasing capabilities and effectiveness
• [Must] Continue engagement with private sector and stakeholders
• [Must] Implement real-time analytical tools
• [Must] Enhance data collection
• [Must] Leverage AI for AML-CFT monitoring</t>
  </si>
  <si>
    <t>• [Must] Reinforce enforcement strategy
• [Must] Strengthen FSC's enforcement powers
• [Must] Improve timeliness and transparency
• [Must] Monitor social media platforms
• [Must] Publicise high-profile regulatory reforms</t>
  </si>
  <si>
    <t>Maintaining the Effectiveness of the FSC's AML/CFT/CPF Risk-Based Supervisory Framework in line with International Standards</t>
  </si>
  <si>
    <t>Financial literacy and consumer inclusion initiatives</t>
  </si>
  <si>
    <t>This section focuses on strengthening financial inclusion and consumer protection through educational programs, awareness campaigns, and collaboration with stakeholders. It requires the implementation of tech-savvy tools, participation in global financial inclusion initiatives, and regulations ensuring fair treatment. The initiatives apply to consumers, investors, licensees, and government regulators to promote financial literacy and combat fraud.</t>
  </si>
  <si>
    <t>This section emphasizes financial literacy and consumer protection measures that impact data transfer practices by requiring awareness campaigns and fraud prevention, which are relevant for assessing data handling in financial services.</t>
  </si>
  <si>
    <t>• [Must] Improve use of tech-savvy tools and resources
• [Must] Participate in regional and global Alliance for Financial Inclusion
• [Must] Achieve quality financial inclusion
• [Must] Create awareness on Mauritius IFC's role</t>
  </si>
  <si>
    <t>• [Must] Strengthen coordination with stakeholders
• [Must] Implement regulations ensuring fair treatment
• [Must] Protect investors through awareness sessions</t>
  </si>
  <si>
    <t>Strengthening Consumer Protection / Financial Inclusion • Improve the use of tech-savvy tools and resources</t>
  </si>
  <si>
    <t>Nigeria</t>
  </si>
  <si>
    <t>CyberCrime__Prohibition_Prevention_etc__Act__2024 (Nigeria - Row 13)</t>
  </si>
  <si>
    <t>Amendment of Principal Act</t>
  </si>
  <si>
    <t>This section states that the Cybercrimes (Prohibition, Prevention, Etc.) Act, 2015 (referred to as the 'Principal Act') is amended as set out in this Act. It serves as a procedural statement for the amendment process without specifying the changes.</t>
  </si>
  <si>
    <t>• [Definition] The Cybercrimes (Prohibition, Prevention, etc.) Act, 2015 (in this Act referred Amendment of Act to as "the Principal Act") is amended as set out in this Act</t>
  </si>
  <si>
    <t>The Cybercrimes (Prohibition, Prevention, etc.) Act, 2015 (in this Act referred Amendment of Act to as "the Principal Act") is amended as set out in this Act</t>
  </si>
  <si>
    <t>Amendment of Section 17</t>
  </si>
  <si>
    <t>This section specifies amendments to Section 17 of the Principal Act, including substituting the word 'geniuses' with 'genuineness' and inserting the phrase 'except where they are legally verified in "Certified True Copies"' after the word 'signature'. These changes refine the legal requirements for document verification.</t>
  </si>
  <si>
    <t>• [Definition] in subsection (2) by substituting for the word "geniuses" the word "genuineness"</t>
  </si>
  <si>
    <t>• [Definition] in subsection (4) by inserting after the word "signature", the words, "except where they are legally verified in "Certified True Copies"</t>
  </si>
  <si>
    <t>in subsection (2) by substituting for the word "geniuses" the word "genuineness"</t>
  </si>
  <si>
    <t>Amendment of Section 21</t>
  </si>
  <si>
    <t>This section details amendments to Section 21 of the Principal Act, including inserting the phrase 'through their respective sectoral CERTs or sectoral Security Operations Centres (SOC)' after 'Coordination Center' in line 6 and substituting '7 days of its occurance' with '72 hours of its detection'. These changes affect incident response timelines and coordination mechanisms.</t>
  </si>
  <si>
    <t>• [Definition] in subsection (1) by inserting after the words "Coordination Center" in line 6, the words, "through their respective sectoral CERTs or sectoral Security Operations Centres (SOC)"</t>
  </si>
  <si>
    <t>• [Definition] in subsection (3) by substituting for the expression "7 days of its occurance", the expression, "72 hours of its detection"</t>
  </si>
  <si>
    <t>in subsection (1) by inserting after the words "Coordination Center" in line 6, the words, "through their respective sectoral CERTs or sectoral Security Operations Centres (SOC)"</t>
  </si>
  <si>
    <t>Amendment to financial institution definition in cybercrime act</t>
  </si>
  <si>
    <t>This section amends Section 22(1) of the Principal Act by expanding the definition of 'financial institution' to include 'any public or private organisation'. The amendment clarifies the scope of entities covered under the cybercrime provisions.</t>
  </si>
  <si>
    <t>• [Must] Section 22(1) of the Principal Act is amended by inserting after the words 'any Financial Institution', the words 'public or private organisation'</t>
  </si>
  <si>
    <t>Section 22 (1) of the Principal Act is amended by inserting after the words "any Financia] Amendment of Institution", the words "public or private organisation".</t>
  </si>
  <si>
    <t>This section amends Section 27(2) of the Principal Act by replacing the term 'financial institution' with 'any public or private organisation'. The change broadens the scope of entities subject to the cybercrime provisions.</t>
  </si>
  <si>
    <t>• [Must] Section 27 (2) of the Principal Act is amended by substituting for the words "a financial arenlinen of institution" in lines | and 2, the words, "any public or private organisation"</t>
  </si>
  <si>
    <t>Section 27 (2) of the Principal Act is amended by substituting for the words "a financial arenlinen of institution" in lines | and 2, the words, "any public or private organisation".</t>
  </si>
  <si>
    <t>Amendment to payment technology definition in cybercrime act</t>
  </si>
  <si>
    <t>This section amends Section 30 of the Principal Act by adding 'or any other payment technology means' to the list of payment technologies. The amendment expands the scope of payment systems covered under the cybercrime provisions.</t>
  </si>
  <si>
    <t>• [Must] In subsection (1) by inserting after the word "terminals", the words "or any other payment technology means"</t>
  </si>
  <si>
    <t>• [Must] In subsection (2) by substituting for the words "or point of sales device", the words "or any other payment technology means"</t>
  </si>
  <si>
    <t>Section 30 of the Principal Act is amended — (a) in subsection (1) by inserting after the word "terminals", the words "or any other payment technology means"; and (b) in subsection (2) by substituting for the words "or point of sales device", the words "or any other payment technology means".</t>
  </si>
  <si>
    <t>Amendment to national ID requirement in cybercrime act</t>
  </si>
  <si>
    <t>This section amends Section 37(1)(a) of the Principal Act by adding 'National Identification Number issued by the National Identity Management Commission and other valid' to the list of acceptable identification documents. The amendment specifies additional valid identification types for cybercrime purposes.</t>
  </si>
  <si>
    <t>• [Must] Insert after the word "present" the words "National Identification Number issued by the National Identity Management Commission and other valid"</t>
  </si>
  <si>
    <t>Section 37 (1) (a) of the Principal Act is amended by inserting after the word "present" the words, "National Identification Number issued by the National Identity Management Commission and other valid".</t>
  </si>
  <si>
    <t>Amendment to service provider data retention in cybercrime act</t>
  </si>
  <si>
    <t>This section amends Section 38 of the Principal Act by requiring service providers to retain specific traffic data and subscriber information for two years, in compliance with the Nigeria Data Protection Act and relevant authority prescriptions. The amendment establishes a data retention period for communication services.</t>
  </si>
  <si>
    <t>• [Must] A service provider shall keep and protect specific traffic data and subscriber information in accordance with the provision of the Nigeria Data Protection Act and as may be prescribed by the relevant authority for the time being, responsible for the regulation of communication services in Nigeria, for a period of two years</t>
  </si>
  <si>
    <t>A service provider shall keep and protect specific traffic data and subscriber information in accordance with the provision of the Nigeria Data Protection Act and as may be prescribed by the relevant authority for the time being, responsible for the regulation of communication services in Nigeria, for a period of two years.</t>
  </si>
  <si>
    <t>Amendment to cyber security coordination in cybercrime act</t>
  </si>
  <si>
    <t>Security, Incident Reporting, Breach Notification, Governance</t>
  </si>
  <si>
    <t>This section amends Section 41(1) of the Principal Act by adding new requirements for service providers to establish sectoral CERTs and SOCs, route internet traffic through sectoral SOCs, build national cyber forensic capacity, and coordinate international cyber security cooperation. The amendment mandates comprehensive cyber security infrastructure development.</t>
  </si>
  <si>
    <t>• [Must] Ensure the establishment of sectoral Computer Emergency Response Teams (CERT) and sectoral Security Operation Centres (SOC) that shall feed into the national CERT
• [Must] Ensure that all public and private organisations integrate and route their internet and data traffic to the sectoral SOCs thereby protecting the national cyberspace
• [Must] Establish and maintain a National Computer Forensic Laboratory and coordinate utilisation of the facility by all law enforcement, security, intelligence, law enforcement and military agencies
• [Must] Build capacity for the effective discharge of the functions of all relevant security, intelligence, law enforcement and military agencies under this Act</t>
  </si>
  <si>
    <t>• [Must] Establish appropriate platforms for public private partnership (PPP)
• [Must] Coordinate Nigeria's involvement in international cyber security cooperation to ensure the integration of Nigeria into the global frameworks on cyber security
• [Must] Do such other acts or things that are necessary for the effective performance of the functions of the relevant security and enforcement agencies under this Act</t>
  </si>
  <si>
    <t>Amendment to Section 44 of Cybercrime Act for electronic transaction levy</t>
  </si>
  <si>
    <t>Cross-border Transfer, Financial Data, Data Storage, Data Sharing, Data Residency, Security, Incident Reporting, Breach Notification, Governance, Record Keeping</t>
  </si>
  <si>
    <t>Office of the National Security Adviser</t>
  </si>
  <si>
    <t>This section amends Section 44 of the Principal Act by substituting a new levy requirement of 0.5% of all electronic transactions value for businesses listed in the Second Schedule. It introduces new subsections (6)-(8) mandating the Office of the National Security Adviser to administer accounts, maintain records, and ensure compliance monitoring. The Fund's accounts must be audited by the Auditor General for the Federation. Businesses failing to remit the levy face fines of at least 2% of annual turnover and potential closure of their operational licenses.</t>
  </si>
  <si>
    <t>This amendment establishes a cross-border data transfer levy mechanism requiring electronic transaction monitoring for businesses operating across Nigeria, impacting data collection and financial reporting obligations for international transactions.</t>
  </si>
  <si>
    <t>• [Must] A business specified in the Second Schedule must levy 0.5% of all electronic transactions value
• [Must] The Office of the National Security Adviser must administer accounts and maintain compliance monitoring records
• [Must] The Fund's accounts must be audited by the Auditor General for the Federation</t>
  </si>
  <si>
    <t>• [Must] Businesses failing to remit the levy face fines of at least 2% of annual turnover
• [Must] Businesses failing to remit the levy may face closure of operational licenses</t>
  </si>
  <si>
    <t>Section of 44 of the Principal Act is amended — Amendment of section 44 (a) in subsection (1) by substituting for paragraph (a) a new paragraph (a) ... (b) by substituting for subsection (6), new subsections (6) — (8)</t>
  </si>
  <si>
    <t>Certification of Cybercrime Amendment Act as true copy</t>
  </si>
  <si>
    <t>10–13</t>
  </si>
  <si>
    <t>This section certifies that the Act is a true copy of the Bill passed by both Houses of the National Assembly, in accordance with the Authentication Act, Cap. A2, Laws of the Federation of Nigeria, 2004. It includes a certification by the Clerk to the National Assembly confirming the authenticity of the document.</t>
  </si>
  <si>
    <t>• [Must] This Act may be cited as the Cybercrimes (Prohibition, Prevention, etc.) (Amendment) Act, 2024</t>
  </si>
  <si>
    <t>This Act may be cited as the Cybercrimes (Prohibition, Prevention, etc.) (Amendment) Act, 2024</t>
  </si>
  <si>
    <t>Cyber Terrorism Definition</t>
  </si>
  <si>
    <t>This section defines what constitutes cyber terrorism under Nigerian law. It specifies that cyber terrorism involves acts that threaten national security, public safety, or economic stability through digital means. The definition aids in identifying and prosecuting cyber terrorism cases.</t>
  </si>
  <si>
    <t>Provides a legal definition of cyber terrorism, which may affect data transfer assessments involving high-risk data flows.</t>
  </si>
  <si>
    <t>• [Definition] Cyber terrorism is defined as acts that threaten national security, public safety, or economic stability through digital means</t>
  </si>
  <si>
    <t>18. Cyber Terrorssm.</t>
  </si>
  <si>
    <t>Financial institution authorized personnel committing fraud via electronic transactions</t>
  </si>
  <si>
    <t>Cross-border Transfer, Financial Data, Processing</t>
  </si>
  <si>
    <t>National Cyber Security Agency (Nigeria)</t>
  </si>
  <si>
    <t>This section criminalizes individuals or entities authorized by financial institutions to handle electronic financial transactions who commit fraud through false electronic messages. The offense includes posting debits/credits, issuing electronic instructions, and confirming fund transfers. Conviction results in 7 years imprisonment.</t>
  </si>
  <si>
    <t>Requires financial institutions to verify authorization of personnel handling electronic transactions to prevent fraudulent data transfers across borders.</t>
  </si>
  <si>
    <t>• [Must] A Person being authorised by any Financial Institution and charged with responsibility of using Computer for Financial Transactions commits an offence if they issue false Electronic or Verbal Messages with intent to defraud</t>
  </si>
  <si>
    <t>20. A Person being authorised by any Financial Institution and charged with the responsibility of using Computer or other Electronic Devices for Financial Transactions such as posting of debit and credit, issuance of Electronic instructions as they relate to sending of Electronic Debit and Credit messages or charged with the duty of confirmation of Electronic Fund Transfer, unlawfully with the intent to defraud, issues false Electronic or Verbal Messages commits an offence and is liable on conviction to imprisonment for a term of 7 years.</t>
  </si>
  <si>
    <t>20 (part 3)</t>
  </si>
  <si>
    <t>Card fraud and unauthorized card use offences</t>
  </si>
  <si>
    <t>22–24</t>
  </si>
  <si>
    <t>This section defines specific offences related to unauthorized card use, including counterfeit access devices, unauthorized access devices, and cards issued to others. Offenders face imprisonment up to 7 years or fines up to N5,000,000.00, with additional obligations to repay losses or forfeit assets derived from fraudulent activities. These provisions apply to individuals and entities involved in card transactions.</t>
  </si>
  <si>
    <t>These provisions establish criminal penalties for unauthorized card use, which could impact data transfer assessments by requiring strict controls over cardholder information and transaction data to prevent fraud and ensure accountability.</t>
  </si>
  <si>
    <t>• [Must] A Person who uses a counterfeit access device, unauthorized access device, or access device issued to another person resulting in loss or gain commits an offence
• [Must] Offenders face imprisonment up to 7 years or fines up to N5,000,000.00</t>
  </si>
  <si>
    <t>• [Must] Offenders must repay monetary losses or forfeit assets derived from fraudulent activities</t>
  </si>
  <si>
    <t>Cybercrimes (Prohibition, Prevention, Etc.) Act, 2015 (2) A Person who uses— (a) a counterfeit access device; (b) an unauthorised access device; (c) an access device issued to another person. resulting in a loss or gain, commits an offence and is liable on conviction to imprisonment for a term of not more than 7 years or a fine of not more than N5,000,000.00 and forfeiture of the advantage or value derived from his act.</t>
  </si>
  <si>
    <t>Reporting of cyber incidents to National CERT</t>
  </si>
  <si>
    <t>Incident Reporting, Breach Notification, Security</t>
  </si>
  <si>
    <t>This section mandates immediate reporting of cyber attacks, intrusions, or disruptions to the National Computer Emergency Response Team (CERT) Co-ordination Center. Failure to report within 7 days results in loss of Internet Services and a mandatory fine of N2,000,000.00 to the National Cyber Security Fund. The CERT may isolate affected systems pending resolution.</t>
  </si>
  <si>
    <t>Requires timely reporting of cyber incidents to national authorities to ensure rapid response and mitigation of cross-border data transfer risks.</t>
  </si>
  <si>
    <t>• [Must] A Person or Institution operating a Computer System or Network shall immediately inform the National CERT Co-ordination Center of any attack, intrusion or disruption liable to hinder functioning of another Computer System or Network
• [Condition] The National CERT Co-ordination Center may propose isolation of affected Computer Systems or Networks pending resolution of issues</t>
  </si>
  <si>
    <t>• [Must Not] A Person or Institution who fails to report any incident to National CERT within 7 days commits an offence and is liable to denial of Internet Services and payment of N2,000,000.00 fine to National Cyber Security Fund</t>
  </si>
  <si>
    <t>21.—(1) A Person or Institution who operates a Computer System or a Network, whether Public or Private, shall immediately inform the National Computer Emergency Kesponse Team (CERT) Co-ordination Center of any attack, intrusion and other disruption liable to hinder the functioning of another Computer System or Network, so that the National Computer Emergency Response Team Co-ordination Center can take the necessary measures to tackle the issues.</t>
  </si>
  <si>
    <t>Computer fraud and cybercrime offenses</t>
  </si>
  <si>
    <t>Security, Breach Notification</t>
  </si>
  <si>
    <t>This section criminalizes the production, supply, adaptation, manipulation, procurement, import, export, distribution, or making available of devices, computer passwords, or programs designed to commit offenses under this Act. Offenders face up to 3 years imprisonment or N7,000,00:00 fine for producing such devices, and up to 2 years imprisonment or N5,000,000.00 fine for possessing unauthorized access codes.</t>
  </si>
  <si>
    <t>Requires secure authentication and access controls to prevent unauthorized data transfers across borders.</t>
  </si>
  <si>
    <t>• [Must Not] A Person who unlawfully produces, supplies, adapts, manipulates or procures for use any device, computer program or component designed for committing an offence under this Act commits an offence
• [Must Not] A Person who unlawfully produces, supplies, adapts, manipulates or procures for use any computer password, access code or similar data for committing an offence under this Act commits an offence
• [Must Not] A Person who unlawfully produces, supplies, adapts, manipulates or procures for use any device designed to overcome security measures in any computer system or network with intent to violate this Act commits an offence</t>
  </si>
  <si>
    <t>• [Must Not] A Person who, with intent to commit an offence under this Act, has in his possession any device or program referred to in subsection (1) commits an offence
• [Must Not] A Person who knowingly and without authority discloses any password, access code or means of gaining access to any program or data held in any Computer or Network for unlawful purpose or gain commits an offence</t>
  </si>
  <si>
    <t>28.—(1) A Person who unlawfully produces, supplies, adapts, manipulates or procures for use, imports, exports, distributes, offers for sale or otherwise makes available— (a) any device, including a computer program or a component designed or adapted for the purpose of committing an offence under this Act, (b) a computer password, access code or similar data by which the whole or any part of a computer system or network is capable of being accessed for the purpose of committing an offence under this Act : or (c) any device, including a computer program designed to overcome security measures in any computer system or network with the intent that the devices be utilized for the purpose of violating any provision of this Act, commits an offence and is liable on conviction to imprisonment for a term of not more than 3 years or a fine of not more than N7,000,000.00 or both.</t>
  </si>
  <si>
    <t>Receipt of multiple stolen cards</t>
  </si>
  <si>
    <t>This section prohibits individuals from receiving and retaining possession of two or more cards issued to different cardholders, where they know the cards were stolen. Offenders face imprisonment up to 3 years or fines up to N1,000,000.00 and must repay losses or forfeit assets derived from fraudulent activities. This applies to non-issuer entities handling card transactions.</t>
  </si>
  <si>
    <t>This section addresses the handling of stolen cards, which is critical for data transfer impact assessments as it requires strict controls over cardholder information to prevent misuse and ensure accountability in financial transactions.</t>
  </si>
  <si>
    <t>• [Must] A Person other than the issuer who receives and retains possession of two or more cards issued to different cardholders, knowing they were stolen, commits an offence
• [Must] Offenders face imprisonment up to 3 years or fines up to N1,000,000.00</t>
  </si>
  <si>
    <t>A Person, other than the issuer, who receives and retains possession of two or more cards issued in the name or names of different cardholders, which cards he knows were taken or retained under circumstances which constitute a card theft, commits an offence and is liable on summary conviction to imprisonment for a term of 3 years or to a fine of N1,000,000.00 and is further liable to repay, in monetary terms, the value of loss sustained by the cardholder or forfeit the assets or goods acquired with the funds from the account of the cardholder.</t>
  </si>
  <si>
    <t>Unauthorized card sales and purchases</t>
  </si>
  <si>
    <t>24–26</t>
  </si>
  <si>
    <t>This section prohibits unauthorized sales and purchases of cards, where individuals are not issuers or authorized agents. Offenders face fines up to N500,000.00 and must repay losses or forfeit assets derived from fraudulent activities. This applies to entities involved in card transactions outside the issuer's authorization.</t>
  </si>
  <si>
    <t>This section addresses unauthorized card transactions, which is critical for data transfer impact assessments as it requires strict controls over cardholder information to prevent fraud and ensure compliance with financial regulations.</t>
  </si>
  <si>
    <t>• [Must] A Person other than an issuer or authorized agent who sells a card or buys a card from an unauthorized source commits an offence
• [Must] Offenders face fines up to N500,000.00</t>
  </si>
  <si>
    <t>A Person, other than an issuer or his authorised agent, who sells a card, or a person who buys a card from a person other than an issuer or his authorised agent, commits an offence and is liable on summary conviction to a fine of N500,000.00 and is further liable to pay, in monetary terms, the value of loss sustained by the card holder or forfeit the assets or goods acquired with the funds from the account of the cardholder.</t>
  </si>
  <si>
    <t>Electronic communication interception</t>
  </si>
  <si>
    <t>This section allows judges to order service providers to intercept, collect, or record electronic communications for criminal investigations. It requires service providers to comply with judicial orders for data collection and provide assistance to law enforcement agencies in investigations.</t>
  </si>
  <si>
    <t>This section addresses electronic communication interception, which is critical for data transfer impact assessments as it requires strict compliance with judicial orders to ensure lawful data collection and prevent privacy violations.</t>
  </si>
  <si>
    <t>• [Must] Judges may order service providers to intercept, collect, or record electronic communications for criminal investigations</t>
  </si>
  <si>
    <t>• [Must] Service providers must comply with judicial orders for data collection</t>
  </si>
  <si>
    <t>Where there are reasonable grounds to suspect that the content of any Electronic Communication is reasonably required for the purposes of a criminal investigation or proceeding, a Judge may, on the basis of information on Oath: (a) order a service provider, through the application of technical means to intercept, collect, record, permit or assist competent authorities with the collection or recording of content data or traffic data associated with specified communications transmitted by means of a computer system; or (b) authorise a law enforcement officer to collect or record such data through application of technical means.</t>
  </si>
  <si>
    <t>39 (part 2)</t>
  </si>
  <si>
    <t>Forfeited assets transferred to Federal Government</t>
  </si>
  <si>
    <t>Office of the Attorney-General of the Federation</t>
  </si>
  <si>
    <t>The Attorney-General of the Federation must ensure forfeited assets or property from cybercrime offences are effectively transferred and vested in the Federal Government of Nigeria. This obligation applies to the Office of the Attorney-General of the Federation when handling assets seized during investigations under this Act.</t>
  </si>
  <si>
    <t>Requires that forfeited cybercrime assets be transferred to the Federal Government, relevant for DTIA when assessing asset forfeiture procedures across borders.</t>
  </si>
  <si>
    <t>• [Must] The Office of the Attorney-General of the Federation shall ensure forfeited assets or property are effectively transferred and vested in the Federal Government of Nigeria</t>
  </si>
  <si>
    <t>The Office of the Attorney-General of the Federation shail ensure that the forfeited assets or property are effectively transferred and vested in the Federal Government of Nigeria.</t>
  </si>
  <si>
    <t>Extradition of cybercrime offences</t>
  </si>
  <si>
    <t>Nigerian Government</t>
  </si>
  <si>
    <t>Offences under this Act are extraditable under the Extradition Act. This applies to the Nigerian government when determining extradition requests for cybercrime cases involving foreign nationals.</t>
  </si>
  <si>
    <t>Specifies that cybercrime offences are extraditable, relevant for DTIA when assessing international cooperation in cybercrime cases.</t>
  </si>
  <si>
    <t>• [Must] Offences under this Act shall be extraditable under the Extradition Act</t>
  </si>
  <si>
    <t>Offences under this Act shall be extraditable under the Extradition Act.</t>
  </si>
  <si>
    <t>Definitions of cybercrime terms</t>
  </si>
  <si>
    <t>37–41</t>
  </si>
  <si>
    <t>This section provides definitions for key cybercrime terms, including computer data, computer systems, and cyberstalking. These definitions are used throughout the Act to ensure consistent interpretation of cybercrime offences.</t>
  </si>
  <si>
    <t>Provides standardized definitions for cybercrime terms, relevant for DTIA when assessing terminology in cross-border data transfers.</t>
  </si>
  <si>
    <t>Computer Data includes every information required by the computer to be able to operate, run programs, store programs and store information that the computer user needs such as text files or other files that are associated with the program the computer user is running.</t>
  </si>
  <si>
    <t>2015</t>
  </si>
  <si>
    <t>Definitions of key terms in cybercrime legislation</t>
  </si>
  <si>
    <t>Cross-border Transfer, Financial Data, Data Sharing, Data Storage, Data Residency, Security, Consent, Customer Information, Employee Information, Special Personal Information, Children, KYC, AML</t>
  </si>
  <si>
    <t>Financial Data, Customer Data, Employee Data, Special Personal Information, Children's Data</t>
  </si>
  <si>
    <t>This section provides detailed definitions for terms used throughout the Cybercrimes (Prohibition, Prevention, Etc.) Act, 2015. It specifies what constitutes an Electronic Record, Electronic Transfer of Fund, Expired Card, Financial Institution, Financial Transaction, Function, Identity Theft, Infrastructure Terminal, Interception, Issuer, Law Enforcement Agencies, Minister, Modification, Network, Payment Card, Person, President, Phishing, Purchasing Forged Electronic, Receives or Receiving, Revoked Card, Service Provider, Sexually explicit conduct, Spamming, Traffic, and Traffic Data. These definitions establish the legal framework for understanding cybercrime-related activities and communications in Nigeria.</t>
  </si>
  <si>
    <t>These definitions are critical for DTIAs as they establish the precise meaning of terms like 'Electronic Transfer of Fund' and 'Financial Transaction' that directly impact cross-border data transfers and financial processing activities.</t>
  </si>
  <si>
    <t>• [Definition] Electronic Record means a record generated, communicated, received or stored by Electronic, Magnetic, Optical or other means in an Information system or for transmission from one information system to another
• [Definition] Electronic Transfer of Fund means any Transfer of Funds which is initiated by a person by way of instruction, authorisation or order to a Bank to Debit or Credit an account maintained with that Bank through Electronic means and includes point of sales transfers, Automated Teller Machine transactions, direct deposits or withdrawal of funds, transfe…
• [Definition] Expired Card means a card which is no longer valid because the term shown of it has expired
• [Definition] Financial Institution includes any individual, body, association or group of persons, whether corporate or unincorporated which carries on the business of investment and securities, a discount house, finance company and money brokerage whose principal object includes factoring project financing equipment leasing, debt administration, fund manageme…
• [Definition] Financial Transaction means a transaction which in any way involves movement of funds by wire or other electronic means, involves one or more monetary instruments, involves the transfer of title to any real or personal property
• [Definition] Function includes logic, control, arithmetic, deletion, storage, retrieval and communication or telecommunication to, from or within a computer
• [Definition] Identity Theft means the stealing of somebody else personal information to obtain goods and services through electronic based transactions
• [Definition] Infrastructure Terminal includes terminals which include GSM Phones that can be used to access bank or any other sensitive information, Point of sales terminals (POS) and all other Card Acceptor Devices that are in use now or may be introduced in the future
• [Definition] Interception in relation to a function of a computer system or communications network, includes listening to or recording of communication data of a computer or acquiring the substance, meaning or purport of such and any act capable of blocking or preventing any of these functions
• [Definition] Issuer includes a financial institution which or any other entity who is authorised by the Central Bank to issue a payment card
• [Definition] Law Enforcement Agencies includes any agency for the time being responsible for implementation and enforcement of the provisions of this Act
• [Definition] Minister means the Attorney-General of the Federation
• [Definition] Modification means deletion, deterioration, alteration, restriction or suppression of data within computer systems or networks, including data transfer from a Computer System by any means</t>
  </si>
  <si>
    <t>• [Definition] Network means a collection of hardware components and computers interconnected by communications channels that allow sharing of resources and information
• [Definition] Payment Card means any instrument, token, device, or card, or known by any other similar name, and encoded with a stated money value and issued with or without a fee by an issuer for use of the cardholder in obtaining goods, services, or anything else of value, except money
• [Definition] Person includes an individual, body corporate, organisation or group of persons
• [Definition] President means the President, Commander-in-Chief of the Armed Forces of the Federal Republic of Nigeria
• [Definition] Phishing means the criminal and fraudulent process of attempting to acquire sensitive information such as usernames, passwords and credit card details, by masquerading as a trustworthy entity in an electronic communication through e-mails or instant messaging either in form of an email from what appears from your bank asking a user to change his o…
• [Definition] Purchasing Forged Electronic means a Credit or Debit Transfer Instruments such as Credit Card, Debit Card, Smart Card, ATM or other related electronic payment system devices
• [Definition] Receives or Receiving means acquiring possession, title or control or accepting a card as security for credit
• [Definition] Revoked Card means a card which is no longer valid because permission to use it has been suspended or terminated by the issuer, whether on its own or on the request of the cardholder
• [Definition] Service Provider means any public or private entity that provides to users of its services the ability to communicate by means of a computer system, electronic communication devices, mobile networks; and any other entity that processes or stores computer data on behalf of such communication service or users of such service
• [Definition] Sexually explicit conduct includes at least the following real or simulated acts: sexual intercourse, including genital-genital, oral-genital, anal-genital or oral-anal, between children, or between an adult and a child, of the same or opposite sex; bestiality; masturbation; sadistic or masochistic abuse in a sexual context; lascivious exhibition…
• [Definition] Spamming means an abuse of electronic messaging systems to indiscriminately send unsolicited bulk messages to individuals and corporate organizations
• [Definition] Traffic means to sell, transfer, distribute, dispense, or otherwise dispose of property or to buy, receive, possess, obtain control of, or use property with the intent to sell, transfer, distribute, dispense, or otherwise dispose of such property
• [Definition] Traffic Data means any computer data relating to a communication by means of a computer system or network, generated by a computer system that formed a part in the chain of communication, indicating the communication's origin, destination, route, time, date, size, duration, or type of underlying service</t>
  </si>
  <si>
    <t>Electronic Record means a record generated, communicated, received or stored by Electronic, Magnetic, Optical or other means in an Information system or for transmission from one information system to another</t>
  </si>
  <si>
    <t>2015 (part 2)</t>
  </si>
  <si>
    <t>List of entities for Cybercrime Advisory Council</t>
  </si>
  <si>
    <t>47–51</t>
  </si>
  <si>
    <t>Financial Data, Data Sharing, Data Storage, Data Residency, Security, Consent, Customer Information, Employee Information, Special Personal Information, Children, KYC, AML</t>
  </si>
  <si>
    <t>This section specifies the entities that must be represented in the Cybercrime Advisory Council, including national agencies like the National Agency for the Prohibition of Traffic in Persons, Nigeria Customs Service, Nigeria Immigration Service, and various financial institutions such as banks, insurance companies, and the Nigerian Stock Exchange. It also allows for additional entities to be added by the Minister through the Federal Gazette.</t>
  </si>
  <si>
    <t>This section is relevant for DTIAs as it identifies financial institutions and other entities that may be involved in cross-border data transfers and financial transactions, which could impact data flows between these entities.</t>
  </si>
  <si>
    <t>• [Definition] National Agency for the Prohibition of Traffic in Persons
• [Definition] Nigeria Customs Service
• [Definition] Nigeria Immigration Service
• [Definition] National Space Management Agency
• [Definition] Nigerian Information Technology Development Agency</t>
  </si>
  <si>
    <t>• [Definition] Nigerian Communications Commission
• [Definition] Galaxy Backbone
• [Definition] National Identity Management Commission
• [Definition] Nigeria Prisons Service
• [Definition] One representative each from the following— Association of Telecommunications Companies of Nigeria; Internet Service Providers Association of Nigeria; Nigeria Bankers Committee; Nigeria Insurance Association; Nigerian Stock Exchange; Non-Governmental Organization with Focus on Cyber Security</t>
  </si>
  <si>
    <t>National Agency for the Prohibition of Traffic in Persons</t>
  </si>
  <si>
    <t>Framework and Guidelines on Mobile Money Services in Nigeria - July 2021 (Nigeria - Row 5)</t>
  </si>
  <si>
    <t>Mobile Money Service Models and Participant Roles</t>
  </si>
  <si>
    <t>Cross-border Transfer, International Processing, Data Storage, Security, Access Control, Processing, Data Sharing, Third Party Processing, Cloud Services, Incident Reporting, Breach Notification, Consent, Customer Information, Employee Information, Special Personal Information, Children, Financial Data, KYC, AML, Governance, Record Keeping</t>
  </si>
  <si>
    <t>Financial Data, Customer Data, Employee Data, Special Personal Information</t>
  </si>
  <si>
    <t>Central Bank of Nigeria (CBN)</t>
  </si>
  <si>
    <t>This section defines two operational models for mobile money services in Nigeria: bank-led (where banks or bank consortia act as lead initiators) and non-bank-led (where licensed corporate organizations serve as lead initiators). It specifies the roles and responsibilities of six participant categories including regulators, mobile money operators, infrastructure providers, other service providers, consumers, and mobile money agents. The framework mandates that mobile money operators must provide infrastructure, business continuity plans, 99.99% system availability, and connect to the National Central Switch for interoperability.</t>
  </si>
  <si>
    <t>This section establishes the foundational operational models and participant responsibilities for mobile money services, which directly impact cross-border data transfer considerations through the definition of data handling entities and their interconnections within Nigeria's mobile payment ecosystem.</t>
  </si>
  <si>
    <t>• [Must] Mobile Money Operators must provide infrastructure (hardware, software, switching and security) for mobile money services
• [Must] Mobile Money Operators must provide business continuity and disaster recovery plans to ensure services are always available
• [Must] Mobile Money Operators must ensure 99.99% system availability and compliance with signed-on participating institutions
• [Must] Mobile Money Operators must connect to the National Central Switch (NCS) for interoperability
• [Must] Lead Initiators must be legally responsible and accountable to the Central Bank of Nigeria and end users</t>
  </si>
  <si>
    <t>• [Must] All advertisements and public pronouncements on mobile money schemes must emanate from the Lead Initiator only
• [Must] Banks must verify, approve and account for credibility and integrity of partner organizations
• [Must] Non-bank Mobile Money Operators must provide technology for mobile payment services
• [Must] Non-bank Mobile Money Operators must provide agent networks to extend services to the marketplace</t>
  </si>
  <si>
    <t>Mobile Money Operators are required to provide: a. The infrastructure (hardware, software, switching and security) for mobile money services; b. Business continuity and disaster recovery plans, to ensure services are always available at all times. c. 99.99% system availability and ensure all signed-on participating institutions follow same rule.</t>
  </si>
  <si>
    <t>Mobile Money Operator licensing and operational requirements</t>
  </si>
  <si>
    <t>13–20</t>
  </si>
  <si>
    <t>Mobile Money Operators (MMOs) must be licensed by the Central Bank of Nigeria (CBN), registered with unique identifiers from NIBSS and NCC, and comply with KYC requirements. They must maintain insured balances, avoid prohibited activities like lending or foreign currency deposits, and ensure secure transaction processing with specific data elements. MMOs must also establish settlement accounts with deposit money banks and adhere to strict operational protocols for transactions and user management.</t>
  </si>
  <si>
    <t>MMOs must implement robust transaction logging, secure channels, and settlement mechanisms to ensure cross-border data transfers comply with Nigerian financial regulations. This section mandates specific technical and operational safeguards for mobile money services, critical for DTIA assessments involving international transactions.</t>
  </si>
  <si>
    <t>• [Must] MMOs must be licensed by CBN on terms and conditions as the Bank may determine
• [Must] MMOs must be issued a unique Scheme Code by NIBSS for interoperability
• [Must] MMOs must be issued unique short codes by NCC
• [Must] MMOs must ensure telecommunication equipment is type-approved by NCC
• [Must] MMOs must register users based on technology standards and these Guidelines
• [Must] MMOs must ensure registration processes fulfill KYC requirements specified in these Guidelines
• [Must] Total outstanding mobile money balance must be insured up to applicable NDIC coverage
• [Must Not] MMOs must not grant loans, advances, or guarantees (directly or indirectly)
• [Must Not] MMOs must not accept foreign currency deposits
• [Must Not] MMOs must not deal in foreign exchange market except as prescribed in CBN guidelines
• [Must Not] MMOs must not engage in insurance underwriting</t>
  </si>
  <si>
    <t>• [Must Not] MMOs must not accept closed scheme electronic value (e.g. airtime) as deposit or payment
• [Must Not] MMOs must not establish subsidiaries
• [Must Not] MMOs must not undertake transactions not prescribed by these Guidelines
• [Must Not] MMOs must not engage in activities prohibited by CBN
• [Must] Mobile money transactions must have unique transaction reference with payer/payee phone numbers, amount, date/time, and other details
• [Must Not] Mobile money transactions must not deduct airtime for transaction charges
• [Must] MMOs must notify CBN of changes to settlement bank arrangements
• [Must] All transaction obligations must settle into settlement accounts with deposit money banks
• [Must] MMOs must maintain separate accounts for other business activities
• [Must] Mobile money transactions must be bank-account based, card-account based, or stored value based</t>
  </si>
  <si>
    <t>All Mobile Money Operators (MMOs) shall: Be licensed by the CBN on such terms and conditions as the Bank may determine from time to time.</t>
  </si>
  <si>
    <t>27 (part 3)</t>
  </si>
  <si>
    <t>Mobile Money Settlement and Security Requirements</t>
  </si>
  <si>
    <t>Mobile Money Operators must deploy settlement processes compliant with defined standards. They must ensure their infrastructure meets clearing and settlement rules for finality. Daily reconciliation with bankers is required for settlement positions. Inter-scheme settlements must route through the Nigeria Inter-bank Settlement System. Settlement information must be preserved for seven years. Minimum shareholder funds of N2 billion must be maintained unimpaired.</t>
  </si>
  <si>
    <t>Settlement infrastructure requirements mandate specific routing, reconciliation, and preservation of transaction data for seven years. Minimum capital requirements ensure financial stability during cross-scheme transactions.</t>
  </si>
  <si>
    <t>• [Must] Mobile Money Operators shall ensure settlement processes comply with settlement standards defined in these Guidelines
• [Must] Mobile Money Operators shall ensure mobile money infrastructure fully complies with clearing and settlement rules for finality of settlement
• [Must] Scheme operator shall request settlement positions from bankers daily for reconciliation
• [Must] All inter scheme settlements shall be routed through the inter-bank settlement system
• [Must] Scheme operator shall preserve settlement information for minimum seven years
• [Must] Scheme operator shall maintain minimum shareholder funds of N2 billion unimpaired by losses
• [Must] NIBSS shall provide net settlement positions of all Inter-Scheme service providers
• [Must] NIBSS shall effect final settlement using CBN RTGS on T+1 cycle</t>
  </si>
  <si>
    <t>• [Must] NIBSS shall provide statistical reports to regulatory bodies as prescribed
• [Must] NIBSS shall maintain audit trail and transaction log of all transactions
• [Must] NIBSS shall provide infrastructure to link all inter scheme providers
• [Must] NIBSS shall provide business continuity/disaster recovery plans
• [Must] NIBSS shall provide 99.99% system reliability and availability
• [Must] NIBSS shall facilitate MMO connection to National Central Switch
• [Must] NIBSS shall ensure mobile payments system interoperates with different MNOs and networks</t>
  </si>
  <si>
    <t>The settlement process to be deployed by Mobile Money Operators shall ensure compliance with the settlement standards and requirements defined in these Guidelines.</t>
  </si>
  <si>
    <t>NCCPolicy_New1 (Nigeria - Row 21)</t>
  </si>
  <si>
    <t>Regulatory instruments for cloud computing implementation</t>
  </si>
  <si>
    <t>NITDA</t>
  </si>
  <si>
    <t>This section identifies key regulatory instruments necessary for cloud computing implementation in Nigeria. It establishes the framework for cloud adoption by public institutions and SMEs, emphasizing the need for policy alignment with national digital strategies. The section outlines the role of NITDA in issuing cloud-related policies and the importance of regulatory compliance for effective cloud deployment.</t>
  </si>
  <si>
    <t>This section defines the regulatory context for cloud computing in Nigeria, which is relevant for DTIAs as it establishes the policy framework governing cloud service providers and public sector adoption. It does not specify technical transfer mechanisms or data handling requirements.</t>
  </si>
  <si>
    <t>• [Must] Key regulatory instruments for cloud computing implementation must be established</t>
  </si>
  <si>
    <t>KEY REGULATORY INSTRUMENTS FOR THE ACTUALIZATION OF CLOUD 23.0</t>
  </si>
  <si>
    <t>Cloud computing policy implementation framework</t>
  </si>
  <si>
    <t>2–9</t>
  </si>
  <si>
    <t>This section details the implementation framework for cloud computing in Nigeria, targeting public institutions and SMEs. It mandates a 'cloud-first' approach for public sector agencies and SMEs to adopt cloud services, with specific objectives to increase cloud adoption by 30% and cloud investments by 35% by 2024. The policy requires public sector entities to prioritize cloud-based procurement of ICT solutions to reduce costs and improve service delivery.</t>
  </si>
  <si>
    <t>This section mandates a 'cloud-first' approach for public sector cloud adoption, which impacts DTIAs by requiring assessments of cloud service providers' compliance with national data governance frameworks. It does not specify data transfer mechanisms or cross-border data handling.</t>
  </si>
  <si>
    <t>• [Must] Public sector entities must prioritize procurement of cloud-based ICT solutions
• [Must] Federal Public Institutions must achieve 30% cloud adoption by 2024</t>
  </si>
  <si>
    <t>• [Must] Cloud computing investments must increase by 35% by 2024
• [Must] Cloud service providers must be local or international providers rendering services to FPIs and SMEs</t>
  </si>
  <si>
    <t>The Nigeria Cloud Computing Policy is issued pursuant to Section 6 (a) (b) (c) and (i) of the National Information Technology Development Act 2007.</t>
  </si>
  <si>
    <t>24 (part 3)</t>
  </si>
  <si>
    <t>Cloud service models and deployment options for public institutions</t>
  </si>
  <si>
    <t>14–19</t>
  </si>
  <si>
    <t>This section describes cloud computing service models (SaaS, PaaS, IaaS) and deployment models (private, public, hybrid clouds) applicable to Nigerian public institutions. It outlines how these models enable efficient service delivery, cost savings, and resource optimization while addressing security and operational needs through standardized frameworks. Public institutions must select models aligned with their specific requirements and security classifications.</t>
  </si>
  <si>
    <t>This section defines cloud service models and deployment options that impact data transfer and storage across borders. Public institutions must ensure cloud providers meet Nigerian data classification and security standards to prevent cross-border data risks.</t>
  </si>
  <si>
    <t>• [Must] Public institutions must select cloud service models (SaaS, PaaS, IaaS) based on their specific needs
• [Must Not] Cloud service providers must not manage underlying infrastructure for SaaS
• [Must Not] Cloud service providers must not manage underlying infrastructure for PaaS</t>
  </si>
  <si>
    <t>• [Must Not] Cloud service providers must not manage underlying infrastructure for IaaS
• [Must] Public institutions must ensure cloud deployments align with Nigerian e-Government Interoperability Framework</t>
  </si>
  <si>
    <t>The policy recognizes three basic kinds of cloud computing service offerings or cloud based service models as: i. Software as a Service (SaaS): where the consumer uses the provider's applications running on cloud infrastructure. ii. Platform as a Service (PaaS): PaaS capability is provided to consumer is a pre-installed cloud infrastructure platform... iii. Infrastructure as a Service (IaaS): The consumer can provision processing, storage, networks...</t>
  </si>
  <si>
    <t>24 (part 4)</t>
  </si>
  <si>
    <t>Cross-border data flows and classification requirements for cloud services</t>
  </si>
  <si>
    <t>19–24</t>
  </si>
  <si>
    <t>This section addresses cross-border data flows in cloud environments, requiring public institutions to ensure cloud service providers store data in jurisdictions with equivalent data protection standards to Nigeria. It mandates data classification based on sensitivity levels (public, confidential, secret, classified) with specific storage and security requirements for each category, including encryption and access controls. Public institutions must contract providers that meet these classifications to avoid compliance risks.</t>
  </si>
  <si>
    <t>This section specifies cross-border data transfer restrictions for cloud services, requiring public institutions to ensure data stored in jurisdictions with equivalent protection standards to Nigeria. It mandates data classification with strict storage requirements for sensitive data to prevent unauthorized access.</t>
  </si>
  <si>
    <t>• [Must] Public institutions must contract cloud service providers that store data in jurisdictions with equivalent data protection standards to Nigeria
• [Must] Confidential data must reside primarily within Nigerian territorial boundaries
• [Must] Secret data must reside primarily within Nigerian territorial boundaries
• [Must] Classified data must reside only within Nigerian territorial boundaries</t>
  </si>
  <si>
    <t>• [Must] All data must be classified according to sensitivity levels (public, confidential, secret, classified)
• [Must] Cloud service providers must implement encryption for data at rest and in motion
• [Must] Public institutions must ensure strong user authentication for sensitive data</t>
  </si>
  <si>
    <t>Agencies must do so in line with requirements of Nigerian Data Protection Regulation and any other Content Regulation. Federal Public Institutions shall be advised to contract cloud service providers that will store data in a jurisdiction that provides a level of personal data protection that is equivalent to that provided in Nigeria.</t>
  </si>
  <si>
    <t>24 (part 5)</t>
  </si>
  <si>
    <t>Cloud service contracts for government entities require minimum data protection clauses</t>
  </si>
  <si>
    <t>24–30</t>
  </si>
  <si>
    <t>Cloud Services, Data Sharing, Data Storage, Security</t>
  </si>
  <si>
    <t>This section mandates that NITDA develops a regulatory framework for cloud contracts between public institutions and cloud service providers (CSPs). The framework ensures government entities receive equivalent rights to private customers and includes minimum contractual requirements such as CSP due diligence compliance, service descriptions, contract duration, payment terms, SLAs, data handling procedures, data retrieval rights upon termination, liability limitations, and security certifications. These provisions establish baseline contractual obligations for secure cloud data management.</t>
  </si>
  <si>
    <t>Government entities must include specific contractual clauses in cloud agreements to ensure data protection, including data retrieval rights upon termination and liability limitations for data breaches. These requirements directly impact cross-border data transfers if government entities use international CSPs.</t>
  </si>
  <si>
    <t>• [Must] CSP must adhere to due diligence process and public procurement guidelines
• [Must] Contract must specify service descriptions
• [Must] Contract must define duration unless unlimited
• [Must] Contract must include payment terms and termination clauses
• [Must] Contract must detail Service Level Agreements (SLAs)</t>
  </si>
  <si>
    <t>• [Must] Contract must specify data handling procedures including processing, destruction and restoration
• [Must] Contract must include customer care services depending on service offering
• [Must] Contract must guarantee customer right to retrieve data upon termination
• [Must] CSP must limit liability for unreasonable exclusion or unfair contract terms
• [Must] Contract must specify cloud security and privacy levels</t>
  </si>
  <si>
    <t>NITDA will work on the development of a regulatory framework for the execution of cloud computing contracts between Public Institutions and Cloud Service Providers (CSP). This regulatory framework shall ensure that government entities using the cloud as cloud customers enjoy at least the same rights as those enjoyed by individual customers, enterprises and other cloud customers.</t>
  </si>
  <si>
    <t>24 (part 6)</t>
  </si>
  <si>
    <t>Cloud governance framework for public sector with four operational levels</t>
  </si>
  <si>
    <t>30–33</t>
  </si>
  <si>
    <t>Cloud Services, Data Storage, Security, Governance, Record Keeping</t>
  </si>
  <si>
    <t>This section establishes a four-level cloud governance framework for Nigerian public sector entities: infrastructure, operating system, platform/application, and business/user activity. It defines specific responsibilities for NITDA, Bureau of Public Procurement, ONSA, and other bodies to ensure cloud adoption aligns with security, compliance, and operational requirements. The framework includes roles for cloud readiness assessments, procurement regulation development, security monitoring, and coordination of cloud standards to manage risks and ensure accountability across all cloud operations.</t>
  </si>
  <si>
    <t>Public sector entities must implement a governance structure with defined roles to manage cloud operations across four levels, ensuring security, compliance, and accountability for data processing and storage. This impacts data transfer mechanisms and cross-border data handling if international CSPs are used.</t>
  </si>
  <si>
    <t>• [Must] Bureau of Public Procurement must develop government-wide cloud procurement regulations
• [Must] NITDA must liaise with BPP to accommodate cloud procurement models
• [Must] NITDA must conduct cloud readiness assessments
• [Must] ONSA and NITDA must monitor operational security issues related to cloud</t>
  </si>
  <si>
    <t>• [Must] NITDA must drive government-wide cloud adoption and identify next-generation technologies
• [Must] NITDA must coordinate cloud-related activities across governance bodies
• [Must] NITDA must monitor and prioritize cloud standards from NIST, ISO and other international bodies</t>
  </si>
  <si>
    <t>The Bureau of Public Procurement shall develop and operationalize government-wide procurement regulation for Cloud services in consultation with NITDA and other relevant agencies of government</t>
  </si>
  <si>
    <t>NCCPolicy_New1 (Nigeria - Row 23)</t>
  </si>
  <si>
    <t>Cloud computing policy framework for public sector adoption</t>
  </si>
  <si>
    <t>This section establishes key regulatory instruments for cloud computing implementation in Nigeria. It defines critical terms such as Cloud Computing, Federal Public Institutions, and Cloud Service Providers. The policy framework aims to promote cloud adoption by public institutions and SMEs while ensuring alignment with national digital strategies. The document specifies that cloud computing refers to a model for ubiquitous, convenient, on-demand network access to shared computing resources.</t>
  </si>
  <si>
    <t>This section provides foundational definitions for cloud computing services and entities involved in public sector adoption, which are critical for understanding data transfer mechanisms when moving government data to cloud environments.</t>
  </si>
  <si>
    <t>• [Definition] Cloud Computing refers to computing model for ubiquitous, convenient, on-demand and real time network access pool of configurable computing resources
• [Definition] Federal Public Institutions (FPIs) means Ministries, Departments, Extra-Ministerial Departments and Agencies of Government at the Federal level</t>
  </si>
  <si>
    <t>• [Definition] Cloud Service Providers (CSPs) refer to local and/or international cloud computing service providers rendering service to FPIs and SMEs in Nigeria</t>
  </si>
  <si>
    <t>Cloud adoption policy for public sector and SMEs</t>
  </si>
  <si>
    <t>This section outlines the policy framework for cloud adoption in Nigerian public institutions and SMEs. It specifies that the policy is applicable to Federal Public Institutions, State and Local Government entities, and government-owned corporations. The policy mandates that public-sector entities prioritize cloud-based procurement of ICT solutions to reduce costs and improve service delivery. It also sets targets for 30% cloud adoption by 2024 among public institutions and SMEs providing digital services to government.</t>
  </si>
  <si>
    <t>This section mandates public-sector entities to prioritize cloud-based procurement of ICT solutions, which directly impacts data transfer mechanisms when moving government data to cloud environments.</t>
  </si>
  <si>
    <t>• [Must] The Policy is applicable to all Federal Public Institutions, Public Institutions at the State and Local Government levels
• [Must] The Policy shall also apply to all corporations fully or partially owned by the Federal Government in Nigeria</t>
  </si>
  <si>
    <t>• [Must] Upon publication of this policy, Nigerian public-sector entities shall prioritize the procurement of cloud-based information and communication technologies
• [Must] The policy targets 30% increase in cloud adoption by 2.0 Federal Public Institutions (FPIs) and SMEs that provide digital-enabled services to the government by 2024</t>
  </si>
  <si>
    <t>This section describes cloud computing service models (SaaS, PaaS, IaaS) and deployment models (private, public, hybrid clouds) applicable to Nigerian public institutions. It outlines how these models function, their use cases, and the benefits they offer for digital transformation and resource efficiency in government operations. Public institutions must consider these models when migrating to cloud services to optimize service delivery and cost management.</t>
  </si>
  <si>
    <t>This section defines cloud service models and deployment options that impact data transfer and storage decisions. Public institutions must select models that align with data sensitivity and security requirements to ensure compliance with Nigerian data protection regulations.</t>
  </si>
  <si>
    <t>• [Must] Public institutions must consider cloud service models (SaaS, PaaS, IaaS) when migrating to cloud services
• [Must Not] Cloud service providers must not manage underlying infrastructure for SaaS
• [Must Not] Cloud service providers must not manage underlying infrastructure for PaaS</t>
  </si>
  <si>
    <t>• [Must Not] Cloud service providers must not manage underlying infrastructure for IaaS
• [Must] Public institutions must consider deployment models (private, public, hybrid) for cloud services</t>
  </si>
  <si>
    <t>Data classification and international data flow considerations for cloud services</t>
  </si>
  <si>
    <t>This section details data classification frameworks for Nigerian public institutions migrating to cloud services, categorizing data into four sensitivity levels: official/public, confidential/routine, secret/sensitive, and classified/national security. It specifies storage requirements for each category, including mandatory residency within Nigeria for sensitive data. The section also addresses cross-border data flows, requiring cloud providers to store data in jurisdictions with equivalent data protection standards to Nigeria.</t>
  </si>
  <si>
    <t>This section mandates data classification and storage requirements that directly impact cross-border data transfers. Public institutions must ensure sensitive data remains within Nigeria while balancing international data flows with equivalent protection standards.</t>
  </si>
  <si>
    <t>• [Must] Public institutions must classify data into four sensitivity levels: official/public, confidential/routine, secret/sensitive, classified/national security
• [Must] Confidential data must reside primarily within Nigerian territorial boundaries
• [Must] Secret data must reside primarily within Nigerian territorial boundaries</t>
  </si>
  <si>
    <t>• [Must] Classified data must reside only within Nigerian territorial boundaries
• [Must] Cloud providers must store data in jurisdictions with equivalent data protection standards to Nigeria</t>
  </si>
  <si>
    <t>Data will be classified according to the following categories: i. Official, public or non-confidential Data (data of limited sensitivity): This is primarily data that is publicly available and non-sensitive... ii. Confidential, routine government business data (data of moderate sensitivity): This category may include health and financial data about natural persons... iii. Secret, sensitive government and citizen data: This type of data is related to natural and juridical persons... iv. Classified or National security information: This type of data is considered sensitive to national security...</t>
  </si>
  <si>
    <t>Cloud service contracts for government entities require minimum security and data handling terms</t>
  </si>
  <si>
    <t>Cloud Services, Data Storage, Data Sharing, Security</t>
  </si>
  <si>
    <t>This section mandates that NITDA develops a regulatory framework for cloud contracts between public institutions and cloud service providers (CSPs). The framework ensures government entities receive equivalent rights to private customers and includes minimum contractual terms such as CSP due diligence compliance, service descriptions, contract duration, payment terms, SLAs, data handling procedures, data retrieval rights upon termination, liability limitations, and security certifications. These requirements apply to all Nigerian government entities using cloud services.</t>
  </si>
  <si>
    <t>Government entities must include specific contractual terms in cloud agreements to ensure data security, data portability, and liability protections when transferring data to CSPs across borders. This section directly impacts cross-border data transfers by requiring contractual safeguards for government data.</t>
  </si>
  <si>
    <t>• [Must] Contract must specify data handling procedures including processing, destruction, and restoration
• [Must] CSP must provide customer care services depending on service offering
• [Must] Government entities must retain right to retrieve data upon contract termination
• [Must] CSP must limit liability for data loss, damage, service unavailability, or breaches
• [Must] Contract must specify cloud security and privacy standards</t>
  </si>
  <si>
    <t>Cloud governance framework for public sector with four-tiered oversight</t>
  </si>
  <si>
    <t>Cloud Services, Data Storage, Security, Governance</t>
  </si>
  <si>
    <t>This section establishes a four-tiered cloud governance framework for Nigerian public sector entities, with responsibilities distributed across NITDA, Bureau of Public Procurement, ONSA, and other bodies. It requires NITDA to conduct cloud readiness assessments, coordinate cloud adoption, monitor security standards, and develop procurement regulations for cloud services. The framework mandates specific operational categories at each governance level to ensure accountability, risk management, and alignment with national objectives.</t>
  </si>
  <si>
    <t>Public sector entities must implement a structured governance framework with defined roles to manage cloud services, ensuring data security, compliance, and interoperability across different cloud tiers. This section is critical for DTIAs as it specifies how data is governed across borders through contractual and operational safeguards.</t>
  </si>
  <si>
    <t>• [Must] NITDA must drive government-wide cloud adoption and identify next-generation technologies
• [Must] NITDA must coordinate cloud-related activities across governance bodies
• [Must] NITDA must monitor and prioritize cloud standards from NIST, ISO, and other bodies</t>
  </si>
  <si>
    <t>NITDA-ACT-2007-2019-Edition1 (Nigeria - Row 22)</t>
  </si>
  <si>
    <t>Cessation of membership</t>
  </si>
  <si>
    <t>This section outlines conditions under which a Board member may cease holding office, including resignation, mental incapacity, bankruptcy, criminal convictions, physical infirmity, or the President's determination that continuing in office is not in the Agency's or public interest. A vacancy is filled by appointing a successor for the remainder of the predecessor's term, maintaining the same interest representation.</t>
  </si>
  <si>
    <t>• [Must] A member of the Board shall cease to hold office if he resigns his appointment as a member of the Board by notice, under his hand, addressed to the President
• [Must] A member of the Board shall cease to hold office if he becomes unsound of mind
• [Must] A member of the Board shall cease to hold office if he becomes bankrupt or makes compromise with his creditors
• [Must] A member of the Board shall cease to hold office if he is convicted of a felony or of any offence involving dishonesty or corruption</t>
  </si>
  <si>
    <t>• [Must] A member of the Board shall cease to hold office if he becomes incapable of carrying out the functions of his office due to infirmity of mind or body
• [Must] A member of the Board shall cease to hold office if the President is satisfied it is not in the interest of the Agency or public for the person to continue in office and notifies the member in writing
• [Must] When a vacancy occurs in the membership of the Board, it shall be filled by the appointment of a successor to hold office for the remainder of the term of office of his predecessor
• [Must] The successor shall represent the same interest as his predecessor</t>
  </si>
  <si>
    <t>4. Cessation of membership (1) Notwithstanding the provision of section 3 of this Act, a member of the Board shall cease to hold office if: (a) He resigns his appointment as a member of the Board by notice, under his hand, addressed to the President; (b) He becomes unsound of mind; (c) He becomes bankrupt or makes compromise with his creditors; (d) He is convicted of a felony or of any offence involving dishonesty or corruption; (e) He becomes incapable of carrying out the functions of his office, either arising from an infirmity of the mind or of the body; or (f) The President is satisfied that it is not in the interest of the Agency or of the public for the person to continue in office and notifies the member in writing to that effect.</t>
  </si>
  <si>
    <t>Functions of the Agency</t>
  </si>
  <si>
    <t>This section details the Agency's responsibilities, including creating frameworks for IT planning and regulation, providing guidelines for IT application development, developing electronic governance standards, standardizing IT systems, offering advisory services, creating incentives for IT adoption, collaborating with stakeholders, determining critical IT research areas, advising on IT legislation, accelerating internet penetration, and performing other necessary duties.</t>
  </si>
  <si>
    <t>• [Must] The Agency shall create a framework for the planning, research, development, standardization, application, coordination, monitoring, evaluation and regulation of Information Technology practices, activities and systems in Nigeria
• [Must] The Agency shall provide guidelines to facilitate the establishment and maintenance of appropriate information technology and systems application and development in Nigeria for public and private sectors
• [Must] The Agency shall develop guidelines for electronic governance and monitor the use of electronic data interchange and other forms of electronic communication transactions as an alternative to paper-based methods
• [Must] The Agency shall develop guidelines for the networking of public and private sector establishments
• [Must] The Agency shall develop guidelines for the standardization and certification of Information Technology Escrow Source Code and Object Code Domiciliation, Application and Delivery Systems in Nigeria
• [Must] The Agency shall render advisory services in all information technology matters to the public and private sectors
• [Must] The Agency shall create incentives to promote the use of information technology in all spheres of life in Nigeria including the setting up of information technology parks</t>
  </si>
  <si>
    <t>• [Must] The Agency shall create incentives to promote the use of information technology in all spheres of life in Nigeria including the development of guidelines for setting up of information technology systems and knowledge parks
• [Must] The Agency shall introduce appropriate regulatory policies and incentives to encourage private sector investment in the information technology industry
• [Must] The Agency shall collaborate with any local or state Government, company, firm, or person in any activity intended to facilitate the attainment of the objective of this Act
• [Must] The Agency shall determine critical areas in Information Technology requiring research intervention and development
• [Must] The Agency shall advise the Government on ways of promoting the development of information technology in Nigeria including introducing appropriate information technology legislation
• [Must] The Agency shall accelerate internet and intranet penetration in Nigeria and promote sound Internet Governance by giving effect to the Second Schedule of this Act
• [Must] The Agency shall perform such other duties, which in the opinion of the Agency are necessary or expedient to ensure the efficient performance of the functions of the Agency under this Act</t>
  </si>
  <si>
    <t>6. Functions of the Agency The Agency shall: (a) Create a framework for the planning, research, development, standardization, application, coordination, monitoring, evaluation and regulation of Information Technology practices, activities and systems in Nigeria and all matters related thereto and for that purpose, and which without detracting from the generality of the foregoing shall include providing universal access for Information Technology and systems penetration including rural, urban and under-served areas; (b) Provide guidelines to facilitate the establishment and maintenance of appropriate for information technology and systems application and development in Nigeria for public and private sectors, urban-rural development, the economy and the government; (c) Develop guidelines for electronic governance and monitor the use of electronic data interchange and other forms of electronic communication transactions as an alternative to paper-based methods in government, commerce, education, the private and public sectors, labour, and other fields, where the use of electronic communication may improve the exchange of data and information; (d) Develop guidelines for the networking of public and private sector establishment; (e) Develop guidelines for the standardization and certification of Information Technology Escrow Source Code and Object Code Domiciliation, Application and Delivery Systems in Nigeria; (f) Render advisory services in all information technology matters to the public and private sectors; (g) Create incentives to promote the use of information technology in all spheres of life in Nigeria including the setting up of information technology parks; (h) Create incentives to promote the use of information technology in all spheres of life in Nigeria including the development of guidelines for setting up of information technology systems and knowledge parks; (i) Introduce appropriate regulatory policies and incentives to encourage private sector investment in the information technology industry; (j) Collaborate with any local or state Government, company, firm, or person in any activity, which in the opinion of the agency is intended to facilitate the attainment of the objective of this act; (k) Determine critical areas in Information Technology requiring research intervention and Development in those areas; (l) Advice the Government on ways of promoting the development of information technology in Nigeria including introducing appropriate information technology legislation, to enhance national security and vibrancy of the industry; (m) Accelerate internet and intranet penetration in Nigeria and promote sound Internet Governance by giving effect to the Second Schedule of this Act; and (n) Perform such other duties, which in the opinion of the Agency are necessary or expedient to ensure the efficient performance of the functions of the Agency under this act.</t>
  </si>
  <si>
    <t>Director General, Secretary and other staff of the Agency</t>
  </si>
  <si>
    <t>This section specifies the appointment, term of office, and responsibilities of the Director General, including being appointed by the President, serving as chief executive and accounting officer, executing policy, and performing assigned duties. It also outlines the appointment of other staff, terms of service, and remuneration determination processes by the Board.</t>
  </si>
  <si>
    <t>• [Must] There shall be for the Agency a Director General who shall be appointed by the President
• [Must] The Director General shall be the chief executive and accounting officer of the Agency
• [Must] The Director General shall be responsible for the execution of policy and the day to day administration of the affairs of the Agency
• [Must] The Director General shall perform such other duties as the Board may, from time to time, assign to him</t>
  </si>
  <si>
    <t>• [Must] The Director General shall hold office for a term of 4 years in the first instance and may be reappointed for a further term of 4 years and no more
• [Must] The Agency may subject to the approval of the Board, appoint such other staff as it may deem necessary and expedient for the proper and efficient performance of the function of the Agency
• [Must] The terms and conditions of service including remuneration, allowances, benefits and pensions of the staff and employees of the Agency shall be determined by the Board
• [Must] The Board shall consider and in consultation with the National Income and Wages Commission determine and review from time to time the remunerations and allowances payable to the Agency's staff</t>
  </si>
  <si>
    <t>8. Director General, Secretary and other staff of the Agency (1) There shall be for the Agency a Director General who shall: (a) Be appointed by the President; (b) Be the chief executive and accounting officer of the Agency; (c) Be responsible for the execution of policy and the day to day administration of the affairs of the Agency; and (d) Perform such other duties as the Board may, from time to time, assign to him. (2) The Director General shall hold office for a term of 4 years in the first instance and may be reappointed for a further term of 4 years and no more and on such terms and conditions as may be specified in his letter of appointment. (3) The Agency may subject to the approval of the Board, appoint such other staff as it may deem necessary and expedient, from time to time, for the proper and efficient performance of the function of the Agency. (4) The terms and conditions of service including remuneration, allowances, benefits and pensions of the staff and employees of the Agency shall be determined by the Board in such a manner as to attract and retain quality and high calibre manpower. (5) The Board shall consider and in consultation with the National Income and Wages Commission determine and review from time to time the remunerations and allowances payable to the Agency's staff.</t>
  </si>
  <si>
    <t>Accounts and report of the Fund</t>
  </si>
  <si>
    <t>This section mandates that the Director-General maintains proper records of the Fund's accounts, sources, and use of monies and assets, and renders periodic reports to the Board. The Fund's accounts must be audited by Board-appointed auditors within three months after the fiscal year-end, following guidelines from the Auditor General for the Federation.</t>
  </si>
  <si>
    <t>• [Must] The Director-General shall keep proper records of the accounts, sources and use of the monies and assets of the Fund
• [Must] The Director-General shall render accounts to the Board from time to time</t>
  </si>
  <si>
    <t>• [Must] The account of the Fund shall be audited not later than 3 months after the end of the year to which it relates by auditors appointed by the Board</t>
  </si>
  <si>
    <t>15. Accounts and report of the Fund (1) The Director-General of the Agency shall keep proper records of the accounts, Accounts and sources and use of the monies and assets of the Fund and shall render accounts to the Board, from time to time.</t>
  </si>
  <si>
    <t>Federal Inland Revenue Service to collect levy and pay into the Fund</t>
  </si>
  <si>
    <t>Federal Inland Revenue Service</t>
  </si>
  <si>
    <t>This section mandates the Federal Inland Revenue Service to assess and collect the levy imposed under section 12, pay it into the Fund, and enforce payment within 60 days. It also specifies penalties for late payment, including a 2% fee and potential fines of N1,000,000 for non-payment within two months after a demand note.</t>
  </si>
  <si>
    <t>• [Must] The Federal Inland Revenue Service shall assess and collect the levy imposed under section 12 of this Act
• [Must] The Federal Inland Revenue Service shall assess any company for the levy or tax due under this Act while assessing for company or income tax or Petroleum profit tax
• [Must] The levy imposed under section 12 of this Act shall be due and payable within 60 days after the Federal Inland Revenue Service serves notice to the assessment on a company
• [Must] Where a levy due under section 12 of this Act is not paid within the time specified in that section, the Federal Inland Revenue Service shall serve on the company a demand note for the unpaid tax plus a sum equal to 2 percent of the levy</t>
  </si>
  <si>
    <t>• [Must] Any company, agency or organisation that fails within two months after a demand note to pay the levy or the import duty imposed under section 11 of this Act commits an offence and is liable on conviction to a fine of not less than N1,000,000
• [Must] The Chief Executive Office of the company, agency or organisation shall be liable to be prosecuted and punished for the offence in like manner as if he had himself committed the offence, unless he proves the act or omission took place without his knowledge, consent or connivance
• [Must] The institution of proceeding or imposition of a penalty under this Act shall not relieve a company or organisation from liability to pay the Federal Inland Revenue Service such levy or levies that may become due under this Act</t>
  </si>
  <si>
    <t>16. Federal Inland Revenue Service to collect levy and pay into the Fund (1) The Federal Inland Revenue Service shall assess and collect the levy imposed under section 12 of this Act. (2) The Federal Inland Revenue Service shall while assessing any company for either company or income tax or Petroleum profit tax for an accounting period of the company, also assess such company for the levy or tax due under this Act. (3) The levy imposed under section 12 of this Act shall be due and payable within 60 days after the Federal Inland Revenue Service has served notice to the assessment on a company in such form as the Federal Inland Revenue Service may, from time to time, determine. (4) Where a levy due under section 12 of this Act is not paid within the time specified in that section, the Federal Inland Revenue Service shall serve on the company, a demand note for the unpaid tax plus a sum which is equal to 2 percent of the levy. (5) Any company, agency or organisation that fails within two months after a demand note, to pay the levy or the import duty imposed under section 11 of this Act commits an offence and is liable on conviction to a fine of not less than N 1,000,000.00 and the Chief Executive Office of the company, Agency or Organisation shall be liable to be prosecuted and punished for the offence in like manner as if he had himself committed the offence, unless he proves that the act or omission constituting the offence took place without his knowledge, consent or connivance. (6) The institution of proceeding or imposition of a penalty under this Act shall not relieve a company or Organisation from liability to pay the Federal Inland Revenue Services such levy or levies that may become due under this Act.</t>
  </si>
  <si>
    <t>Offences for non-compliance with NITDA Act</t>
  </si>
  <si>
    <t>Any person or corporation that violates or fails to comply with the Act commits an offence. A body corporate that fails to pay a levy within two months after a demand note is also guilty. Officers acting on behalf of a body corporate who commit offences may be liable unless they prove they were unaware of the offence. Failure to comply with the Agency's guidelines and standards also constitutes an offence.</t>
  </si>
  <si>
    <t>• [Must] Any person or corporation that violates or fails to comply with the Act commits an offence
• [Must] A body corporate that fails to pay a levy within two months after a demand note commits an offence</t>
  </si>
  <si>
    <t>• [Must] Every CEO or officer acting in that capacity of a body corporate commits an offence unless they prove they were unaware of the offence
• [Must] A body corporate that fails to comply with the Agency's guidelines and standards commits an offence</t>
  </si>
  <si>
    <t>17. Offences (1) Except as otherwise provided in this Act, any person or corporation who contravenes or fails to comply with the provisions of this Act commits an offence.</t>
  </si>
  <si>
    <t>Agency's financial accounts and funding sources</t>
  </si>
  <si>
    <t>The Agency must establish and maintain an account for all funds received, including federal government subventions, grants, internally generated revenues, and other sums. This account is used to track the Agency's financial activities and ensure proper fund management.</t>
  </si>
  <si>
    <t>• [Must] The Agency shall establish and maintain an account for all subventions and budgetary allocations from the Federal Government
• [Must] The Agency shall establish and maintain an account for gifts, loans, grants-in-aid from national, bilateral and multilateral organisations and agencies</t>
  </si>
  <si>
    <t>• [Must] The Agency shall establish and maintain an account for rents, fees and other internally generated revenues from services provided by the Agency
• [Must] The Agency shall establish and maintain an account for all other sums accruing to the Agency from time to time</t>
  </si>
  <si>
    <t>20. Accounts of the Agency The Agency shall establish and maintain an account into which shall be paid and credited: (a) All subventions and budgetary allocations from the Federal Government; (b) Gifts, loans, grants-in-aid from national, bilateral and multilateral organisations and agencies; Rents, fees and other internally generated revenues from services provided by the Agency; and (c) All other sums accruing to the Agency from time to time.</t>
  </si>
  <si>
    <t>Board's expenditure of funds</t>
  </si>
  <si>
    <t>The Agency may use funds from the Fund established under section 12 for administration costs, board member emoluments, staff salaries, property maintenance, financial reserves, and other authorized expenditures. No payments may be made to individuals receiving government emoluments.</t>
  </si>
  <si>
    <t>• [May] The Agency may apply the proceeds of the Fund established under section 12 for the cost of administration of the Agency
• [May] The Agency may apply the proceeds of the Fund established under section 12 for the payment of emoluments, allowances and benefits of board members
• [May] The Agency may apply the proceeds of the Fund established under section 12 for reimbursing board members or committee expenses
• [May] The Agency may apply the proceeds of the Fund established under section 12 for staff salaries, fees, allowances, gratuities and pensions</t>
  </si>
  <si>
    <t>• [Must Not] No payment may be made to any person who is in receipt of emoluments from the Government of the Federation or of a State
• [May] The Agency may apply the proceeds of the Fund established under section 12 for the development and maintenance of property vested in or owned by the Agency
• [May] The Agency may apply the proceeds of the Fund established under section 12 for maintaining general financial reserves
• [May] The Agency may apply the proceeds of the Fund established under section 12 for any other expenditure in connection with its functions</t>
  </si>
  <si>
    <t>21. Expenditure of the Board The Agency may, from time to time, apply the proceeds of the Fund established under section 12 of this Act; (a) To the cost of administration of the Agency; (b) To the payment of the emoluments, allowances and benefits of members of the Board and for reimbursing members of the Board or of any committee set up by the Board and for such expenses as may be expressly authorized by the Boards; (c) To the payment of the salaries, fees or other remuneration or allowances gratuity and pensions, and other benefits payable to the staff and other employees of the Agency, so however that no payment of any kind under this paragraph (except such as may be expressly authorized by the Board) shall be made to any person who is in receipt of emoluments from the Government of the Federation or of a State; (d) For the development and maintenance of any property vested in or owned by the Agency; (e) For maintaining general financial reserves subject to general or special directive that may be given in that behalf by the Minister in accordance with the provisions of this Act; and (f) To any other expenditure in connection with all or any of its functions under this Act.</t>
  </si>
  <si>
    <t>Annual financial reporting and audits</t>
  </si>
  <si>
    <t>The Agency must submit an annual estimate of its expenditure and income by September 30th each year. It must also maintain proper accounts and have them audited by auditors appointed by the Auditor General within six months after the fiscal year ends.</t>
  </si>
  <si>
    <t>• [Must] The Agency shall submit an estimate of its expenditure and income (including payments to the Agency of the fund for next succeeding year) not later than 30th September in each year
• [Must] The Agency shall keep proper accounts in respect of each year and proper records in relation to those accounts</t>
  </si>
  <si>
    <t>• [Must] The Agency shall cause its accounts to be audited within six months after the end of each year by auditors appointed from the list in accordance with the guidelines supplied by the Auditor General for the Federation</t>
  </si>
  <si>
    <t>22. Annual Estimates and Accounts (1) The Agency shall, not later than 30th September in each year submit to the Minister an estimate of its expenditure and income (including payments to the Agency of the fund for next succeeding year); (2) The Agency shall keep proper accounts in respect of each year ad proper records in relation to those accounts and shall cause its accounts to be audited within six months after the end of each year by auditors appointed from the list in accordance with the guidelines supplied by the Auditor General for the Federation.</t>
  </si>
  <si>
    <t>Annual reports and audited accounts</t>
  </si>
  <si>
    <t>The Agency must prepare and submit an annual report to the Minister by June 30th each year, including audited accounts and the auditor's report for the previous year.</t>
  </si>
  <si>
    <t>• [Must] The Agency shall prepare and submit to the Minister not later than 30th June in each year a report on the activities of the Agency during the immediately preceding year</t>
  </si>
  <si>
    <t>• [Must] The Agency shall include in the report a copy of the audited accounts of the Agency for that year and of the auditor's report thereon</t>
  </si>
  <si>
    <t>23. Annual Reports The Agency shall prepare and submit to the Minister not later than 30th June in each year a report in such form as prescribed in this Act on the activities of the Agency during the immediately preceding year, and shall include in the report a copy of the audited accounts of the Agency for that year and of the auditor's report thereon.</t>
  </si>
  <si>
    <t>Tax exemption for the Agency</t>
  </si>
  <si>
    <t>The Agency is exempt from income tax on any income from investments made by the Board. No taxation provisions for companies or trust funds apply to the Agency or the Board.</t>
  </si>
  <si>
    <t>• [Must] The Agency shall be exempted from the payment of income tax on any income accruing from investments made by the Board or otherwise</t>
  </si>
  <si>
    <t>• [Must] The provision of any enactment relating to the taxation of companies or trust funds shall not apply to the Agency or the Board</t>
  </si>
  <si>
    <t>26. Exemption from tax (1) The Agency shall be exempted from the payment of income tax on any income accruing from investments made by the Board or otherwise howsoever (2) The provision of any enactment relating to the taxation of companies or trust funds shall not apply to the Agency or the Board.</t>
  </si>
  <si>
    <t>Transitional provisions for agency succession</t>
  </si>
  <si>
    <t>This section ensures continuity of existing contracts, personnel, records, and property from the former National Information Technology Development Agency to the new entity under the Act. It specifies that all current agreements, personnel allocations, records, and equipment automatically transfer to the successor agency without interruption. The section also allows the use of existing forms, licenses, and letterheads until supplies are exhausted.</t>
  </si>
  <si>
    <t>• [Must] All existing contracts agreements and compacts currently in effect by the National Information Technology Development Agency continue in effect.
• [Must] All existing contracts currently in effect by the National Information Technology Development Agency continue in effect.
• [Must] Any position authorized and allocated subject to the personnel laws of the former National Information Technology Development Agency are transferred to the National Information Technology Development Agency.</t>
  </si>
  <si>
    <t>• [Must] All records, property and equipment previously belonging to or allocated for use of the former National Information Technology Development Agency become, on the effective date of this Act, part of the Property of the National Information Technology Development Agency.
• [May] All existing forms, licenses, letterheads and similar items bearing the name of or referring to the "National Information Technology Development Agency" may be utilized by the National Information Technology Development Agency until existing supplies of those items are exhausted.</t>
  </si>
  <si>
    <t>33. Transitional provisions (1) The National Information Technology Development Agency is the successor-in-title in every way to the power, duties and functions of the former National Information Technology Development Agency</t>
  </si>
  <si>
    <t>Definitions for the National Information Technology Development Agency Act</t>
  </si>
  <si>
    <t>This section provides precise definitions for key terms used throughout the Act, including 'Agency', 'Board', 'Computer', 'Computer Network', 'Computer system', 'Data', 'Director General', 'Electronic form', 'Electronic record', 'Government', 'Information Technology', 'Minister', 'President', and 'Software'. These definitions establish the legal framework for interpreting the Act's provisions and ensure clarity in the agency's operations.</t>
  </si>
  <si>
    <t>• [Definition] Agency means the National Information Technology Development Agency established under Section 1 of this Act.
• [Definition] Board means Governing Board of the Agency established under this Act.
• [Definition] Computer means any electronic device of computational machinery using programmed instructions which has one or more of the capabilities of storage, retrieval, memory, logic, arithmetic or communication and includes all input, output, processing, storage, software, or communication facilities which are connected or related to such a device in a sys…
• [Definition] Computer Network means the interconnection of one or more computers through;
• [Definition] Computer system means a device or collection of devices including input and output support devices and excluding calculators which are not programmable and capable of being used in conjunction with external files, which contain computer programmes, electronic instructions, input data and output data, that performs logic arithmetic, data storage an…
• [Definition] Data means a representation of information, knowledge, facts, concepts or instructions, which are being prepared or have been prepared in a formalised manner, and is intended to be processed, is being processed or has been processed in a computer system or computer network, and may be in any form (including computer printout, magnetic or optical s…
• [Definition] Director General means the Director General of the Agency appointed under Section 8 of this Act;</t>
  </si>
  <si>
    <t>• [Definition] Electronic form with reference to information means any information generated, sent, received or stored in media magnetic, optical, computer memory, micro film, computer generated, micro fiche or similar device;
• [Definition] Electronic record means data, record or data generated, image or sound stored, received or sent in an electronic form or micro film or computer generated micro fiche;
• [Definition] Government means the Federal Government of Nigeria;
• [Definition] Information Technology encompasses all forms of technology used to create, store, exchange and use information in its various forms (business data, voice, conversation, still images, motion pictures, multimedia presentations and other forms including those not yet conceived);
• [Definition] Minister means the Minister charged with the responsibility of matters relating to science and technology;
• [Definition] President means the President of the Federal Republic of Nigeria;
• [Definition] Software includes any program, procedure and associated documentation concerned with the operation of a computer system.</t>
  </si>
  <si>
    <t>34. Interpretation In this Act: "Agency" means the National Information Technology Development Agency established under Section 1 of this Act.</t>
  </si>
  <si>
    <t>2007</t>
  </si>
  <si>
    <t>Supplementary provisions for the National Information Technology Development Agency</t>
  </si>
  <si>
    <t>15–19</t>
  </si>
  <si>
    <t>This section outlines procedural rules for the Board of the Agency, including meeting procedures, quorum requirements, committee appointments, and the authority to make standing orders. It also specifies that the Agency has supervisory authority over organizations managing Nigeria's country code top-level domain (.ng), including approval of constitutions, setting standards, and ensuring compliance with international best practices.</t>
  </si>
  <si>
    <t>• [May] The Board may make standing orders regulating its proceedings or that of any of its committees.
• [Must] At every meeting the Board, the Chairman shall preside and in his absence the members present at the meeting shall appoint one of their numbers to preside at the meeting.
• [Must] The quorum at a meeting of the Board shall be not less than one-third of the total number of the Board members at the date of the meeting.
• [Must] The Board shall for the purpose of this Act, meet not less than four times each year and subject, thereto, the Board shall meet whenever it is summoned by the Chairman, and if require to do so by notice given to him by not less than 1/3 of members, he shall summon a meeting of the board to be held within fourteen days from the date in which the no…
• [May] When the Board desires to obtain the advice of any person on any particular matter, the board may co-opt him to the board for such period as it thinks fit, but a person who is a member by virtue of this paragraph shall not be permitted to vote at any meeting of the board and shall not count towards a quorum.
• [May] Subject to its standing orders, the board may appoint such number of standing or ad hoc committees as it thinks fit to consider and report on any matter with which the Board is concerned.
• [Must] A Committee appointed under this paragraph shall: consist of such number of persons (not necessarily members of the Board) and a person, other than a member of the Board, shall hold office on the committee in accordance with the terms of his appointment; and be presided over by a member of the Board.
• [Must] The quorum of any committee set up by the Board shall be its quorum as provided under Section 3 of this Schedule.
• [Must] The decision of any committee of the Board shall constitute a recommendation to the Board.</t>
  </si>
  <si>
    <t>• [Must] The fixing of the Seal of the Agency shall be authenticated by the signature of the Chairman or any other person generally or specifically authorised by the Board to act for that purpose and that of the Director General.
• [May] Any contract of instrument which if made by a person not being a body corporate, would not be required to be under seal may be made or executed in behalf of the Board by the Director General or any other person generally or specifically authorized by the Board to act for that purpose.
• [Must] Any document purporting to be contract, instrument or document duly signed or sealed on behalf of the Agency shall be received in evidence and shall, unless the contrary is proved, be presumed without further proof to have been signed or sealed.
• [Must] The validity of any proceedings of the Board or any of its committees shall not be affected by: any vacancy in the membership of the Board, or committee; any defect in the appointment of a member of the Board of committee; reason that any person not entitled to do so took part in the proceedings of the Board or committee.
• [Must] A member of the Board of a committee who has a personal interest in any contract or arrangement entered into or proposed to be considered by the Board or committee shall forthwith disclose his interest to the Board or committee and shall not vote on any question relating to the contract or arrangement.
• [Must] No member of the Board shall be personally liable for any act or omission done or made in good faith while engaged in the business of the Board.
• [Must] The Agency shall advise the Federal Government generally on matters and issues that are related to the management and administration of Nigeria's country code top-level domain (.ng).
• [Must] The Agency shall have supervisory authority over any organization incorporated under the laws of Nigeria to manage and administer Nigeria's country code top level domain (.ng) including but not limited to the following: approve the constitution of the management of any such organization created to carry out acts mentioned in Section 2 (1) of this…
• [Must] The Agency shall ensure that the activities of the organization comply with international best practice in the administration of country code top level domains.</t>
  </si>
  <si>
    <t>2007. THE NATIONAL INFORMATION TECHNOLOGY DEVELOPMENT AGENCY ACT 2007</t>
  </si>
  <si>
    <t>NITDA-ACT-2007-2019-Edition1 (Nigeria - Row 24)</t>
  </si>
  <si>
    <t>This section outlines conditions under which a Board member ceases office, including resignation, mental incapacity, bankruptcy, criminal convictions, physical infirmity, or the President's determination that continuing in office is not in the Agency's or public interest. A vacancy is filled by appointing a successor for the remainder of the predecessor's term, maintaining the same interest representation.</t>
  </si>
  <si>
    <t>• [Must] A member of the Board shall cease to hold office if he becomes incapable of carrying out the functions of his office, either arising from an infirmity of the mind or of the body
• [Must] A member of the Board shall cease to hold office if the President is satisfied that it is not in the interest of the Agency or of the public for the person to continue in office and notifies the member in writing to that effect
• [Must] When a vacancy occurs in the membership of the Board, it shall be filled by the appointment of a successor to hold office for the remainder of the term of office of his predecessor provided that the successor shall represent the same interest as his predecessor</t>
  </si>
  <si>
    <t>This section details the Agency's functions, including creating frameworks for IT planning, research, standardization, and regulation in Nigeria; providing guidelines for IT application development; developing electronic governance guidelines; standardizing IT systems; rendering advisory services; creating incentives for IT adoption; collaborating with stakeholders; determining critical IT research areas; advising on IT legislation for national security; accelerating internet penetration; and performing other necessary duties.</t>
  </si>
  <si>
    <t>• [Must] The Agency shall create a framework for the planning, research, development, standardization, application, coordination, monitoring, evaluation and regulation of Information Technology practices, activities and systems in Nigeria and all matters related thereto
• [Must] The Agency shall provide guidelines to facilitate the establishment and maintenance of appropriate information technology and systems application and development in Nigeria for public and private sectors, urban-rural development, the economy and the government
• [Must] The Agency shall develop guidelines for electronic governance and monitor the use of electronic data interchange and other forms of electronic communication transactions as an alternative to paper-based methods in government, commerce, education, the private and public sectors, labour, and other fields
• [Must] The Agency shall develop guidelines for the networking of public and private sector establishments
• [Must] The Agency shall develop guidelines for the standardization and certification of Information Technology Escrow Source Code and Object Code Domiciliation, Application and Delivery Systems in Nigeria
• [Must] The Agency shall render advisory services in all information technology matters to the public and private sectors
• [Must] The Agency shall create incentives to promote the use of information technology in all spheres of life in Nigeria including the setting up of information technology parks</t>
  </si>
  <si>
    <t>• [Must] The Agency shall create incentives to promote the use of information technology in all spheres of life in Nigeria including the development of guidelines for setting up of information technology systems and knowledge parks
• [Must] The Agency shall introduce appropriate regulatory policies and incentives to encourage private sector investment in the information technology industry
• [Must] The Agency shall collaborate with any local or state Government, company, firm, or person in any activity which in the opinion of the Agency is intended to facilitate the attainment of the objective of this Act
• [Must] The Agency shall determine critical areas in Information Technology requiring research intervention and development in those areas
• [Must] The Agency shall advise the Government on ways of promoting the development of information technology in Nigeria including introducing appropriate information technology legislation, to enhance national security and vibrancy of the industry
• [Must] The Agency shall accelerate internet and intranet penetration in Nigeria and promote sound Internet Governance by giving effect to the Second Schedule of this Act
• [Must] The Agency shall perform such other duties, which in the opinion of the Agency are necessary or expedient to ensure the efficient performance of the functions of the Agency under this Act</t>
  </si>
  <si>
    <t>This section specifies the appointment, term of office, and responsibilities of the Director General, including being appointed by the President, serving as chief executive and accounting officer, executing policy, and managing day-to-day administration. It also outlines the Agency's authority to appoint staff, determine terms and conditions of service, and collaborate with the National Income and Wages Commission for remuneration reviews.</t>
  </si>
  <si>
    <t>• [Must] There shall be for the Agency a Director General who shall be appointed by the President
• [Must] The Director General shall be the chief executive and accounting officer of the Agency
• [Must] The Director General shall be responsible for the execution of policy and the day to day administration of the affairs of the Agency
• [Must] The Director General shall hold office for a term of 4 years in the first instance and may be reappointed for a further term of 4 years and no more</t>
  </si>
  <si>
    <t>• [Must] The Agency may subject to the approval of the Board, appoint such other staff as it may deem necessary and expedient for the proper and efficient performance of the function of the Agency
• [Must] The terms and conditions of service including remuneration, allowances, benefits and pensions of the staff and employees of the Agency shall be determined by the Board in such a manner as to attract and retain quality and high calibre manpower
• [Must] The Board shall consider and in consultation with the National Income and Wages Commission determine and review from time to time the remunerations and allowances payable to the Agency's staff</t>
  </si>
  <si>
    <t>This section mandates the Federal Inland Revenue Service to assess and collect the levy imposed under section 12, pay it into the Fund, and enforce payment within 60 days. Non-payment triggers a 2% penalty, and failure to pay within two months after a demand note results in a fine of at least N1,000,000 and liability for the company's chief executive.</t>
  </si>
  <si>
    <t>• [Must] The Federal Inland Revenue Service shall assess and collect the levy imposed under section 12 of this Act
• [Must] The Federal Inland Revenue Service shall while assessing any company for either company or income tax or Petroleum profit tax for an accounting period of the company, also assess such company for the levy or tax due under this Act
• [Must] The levy imposed under section 12 of this Act shall be due and payable within 60 days after the Federal Inland Revenue Service has served notice to the assessment on a company</t>
  </si>
  <si>
    <t>• [Must] Where a levy due under section 12 of this Act is not paid within the time specified in that section, the Federal Inland Revenue Service shall serve on the company, a demand note for the unpaid tax plus a sum which is equal to 2 percent of the levy
• [Must] Any company, agency or organisation that fails within two months after a demand note, to pay the levy or the import duty imposed under section 11 of this Act commits an offence and is liable on conviction to a fine of not less than N 1,000,000.00
• [Must] The Chief Executive Office of the company, Agency or Organisation shall be liable to be prosecuted and punished for the offence in like manner as if he had himself committed the offence, unless he proves that the act or omission constituting the offence took place without his knowledge, consent or connivance</t>
  </si>
  <si>
    <t>Any person or corporation that violates or fails to comply with the Act commits an offence. A body corporate that fails to pay a levy within two months after a demand note is also guilty. Officers acting on behalf of a body corporate who commit offences may be liable unless they prove they were unaware of the offence. Failure to comply with NITDA guidelines and standards also constitutes an offence. The Agency collaborates with the Standards Organisation of Nigeria to enforce these standards.</t>
  </si>
  <si>
    <t>• [Must] Every CEO or officer acting in that capacity commits an offence unless they prove they were unaware
• [Must] Failure to comply with NITDA guidelines and standards constitutes an offence</t>
  </si>
  <si>
    <t>Agency accounts and funding sources</t>
  </si>
  <si>
    <t>The Agency must establish and maintain an account for all subventions, budgetary allocations, gifts, loans, grants, internally generated revenues, and other sums accruing to it. This account is used to manage the Agency's financial resources and ensure proper financial management.</t>
  </si>
  <si>
    <t>Board expenditure and fund usage</t>
  </si>
  <si>
    <t>The Agency may use funds from the Fund established under section 12 for administration costs, board member emoluments, staff salaries, property maintenance, financial reserves, and other expenditures related to its functions. Proceeds from the Fund must be remitted to the Federal Treasury.</t>
  </si>
  <si>
    <t>• [May] The Agency may apply the proceeds of the Fund for the cost of administration of the Agency
• [May] The Agency may apply the proceeds of the Fund for the payment of emoluments, allowances and benefits of board members
• [May] The Agency may apply the proceeds of the Fund for reimbursing board members or committee expenses
• [May] The Agency may apply the proceeds of the Fund for the payment of staff salaries, fees, allowances, gratuities and pensions</t>
  </si>
  <si>
    <t>• [Must Not] No payment may be made to anyone receiving government emoluments
• [May] The Agency may apply the proceeds of the Fund for the development and maintenance of property
• [May] The Agency may apply the proceeds of the Fund for maintaining general financial reserves
• [Must] Proceeds from the Fund shall be remitted to the Federal Treasury</t>
  </si>
  <si>
    <t>21. Expenditure of the Board The Agency may, from time to time, apply the proceeds of the Fund established under section 12 of this Act; (a) To the cost of administration of the Agency; (b) To the payment of the emoluments, allowances and benefits of members of the Board and for reimbursing members of the Board or of any committee set up by the Board and for such expenses as may be expressly authorized by the Boards; (c) To the payment of the salaries, fees or other remuneration or allowances gratuity and pensions, and other benefits payable to the staff and other employees of the Agency, so however that no payment of any kind under this paragraph (except such as may be expressly authorized by the Board) shall be made to any person who is in receipt of emoluments from the Government of the Federation or of a State; (d) For the development and maintenance of any property vested in or owned by the Agency; (e) For maintaining general financial reserves subject to general or special directive that may be given in that behalf by the Minister in accordance with the provisions of this Act; and (f) To any other expenditure in connection with all or any of its functions under this Act. (3) Proceeds from the Funds established under Section 12 (c) shall be remitted to the Treasury of the Federal Government.</t>
  </si>
  <si>
    <t>Auditor General for the Federation</t>
  </si>
  <si>
    <t>The Agency must submit an annual estimate of its expenditure and income by September 30th each year. It must keep proper accounts and records and have them audited by auditors appointed by the Auditor General within six months after the year ends.</t>
  </si>
  <si>
    <t>• [Must] The Agency shall submit an estimate of its expenditure and income by September 30th each year
• [Must] The Agency shall keep proper accounts for each year</t>
  </si>
  <si>
    <t>• [Must] The Agency shall keep proper records in relation to its accounts
• [Must] The Agency shall cause its accounts to be audited by auditors appointed from the list in accordance with the guidelines supplied by the Auditor General within six months after the end of each year</t>
  </si>
  <si>
    <t>The Agency must prepare and submit an annual report by June 30th each year, including audited accounts and the auditor's report for the previous year.</t>
  </si>
  <si>
    <t>• [Must] The Agency shall prepare and submit an annual report by June 30th each year
• [Must] The report must include audited accounts for the year</t>
  </si>
  <si>
    <t>• [Must] The report must include the auditor's report on the accounts</t>
  </si>
  <si>
    <t>The Agency is exempt from income tax on investments made by the Board or otherwise. Tax provisions for companies or trust funds do not apply to the Agency or the Board.</t>
  </si>
  <si>
    <t>• [Must] The Agency shall be exempted from income tax on any income accruing from investments made by the Board</t>
  </si>
  <si>
    <t>• [Must Not] Tax provisions for companies or trust funds do not apply to the Agency or the Board</t>
  </si>
  <si>
    <t>This section outlines supplementary provisions for the Board of the Agency, including standing orders, meeting procedures, quorum requirements, committee appointments, and the authority to act on behalf of the Agency. It also covers the supervision of Nigeria's country code top-level domain (.ng) management, including approval of organizational constitutions, setting standards, and ensuring compliance with international best practices.</t>
  </si>
  <si>
    <t>• [May] The Board may make standing orders regulating its proceedings or that of any of its committees.
• [Must] At every meeting the Board, the Chairman shall preside and in his absence the members present at the meeting shall appoint one of their numbers to preside at the meeting.
• [Must] The quorum at a meeting of the Board shall be not less than one-third of the total number of the Board members at the date of the meeting.
• [Must] The Board shall for the purpose of this Act, meet not less than four times each year and subject, thereto, the Board shall meet whenever it is summoned by the Chairman, and if require to do so by notice given to him by not less than 1/3 of members, he shall summon a meeting of the board to be held within fourteen days from the date in which the no…
• [May] When the Board desires to obtain the advice of any person on any particular matter, the board may co-opt him to the board for such period as it thinks fit, but a person who is a member by virtue of this paragraph shall not be permitted to vote at any meeting of the board and shall not count towards a quorum.
• [May] Subject to its standing orders, the board may appoint such number of standing or ad hoc committees as it thinks fit to consider and report on any matter with which the Board is concerned.
• [Must] A Committee appointed under this paragraph shall: consist of such number of persons (not necessarily members of the Board) and a person, other than a member of the Board, shall hold office on the committee in accordance with the terms of his appointment; and be presided over by a member of the Board.
• [Must] The quorum of any committee set up by the Board shall be its quorum as provided under Section 3 of this Schedule.
• [Must] The decision of any committee of the Board shall constitute a recommendation to the Board.
• [Must] The fixing of the Seal of the Agency shall be authenticated by the signature of the Chairman or any other person generally or specifically authorised by the Board to act for that purpose and that of the Director General.</t>
  </si>
  <si>
    <t>• [May] Any contract of instrument which if made by a person not being a body corporate, would not be required to be under seal may be made or executed in behalf of the Board by the Director General or any other person generally or specifically authorized by the Board to act for that purpose.
• [Must] Any document purporting to be contract, instrument or document duly signed or sealed on behalf of the Agency shall be received in evidence and shall, unless the contrary is proved, be presumed without further proof to have been signed or sealed.
• [Must] The validity of any proceedings of the Board or any of its committees shall not be affected by any vacancy in the membership of the Board, or committee; any defect in the appointment of a member of the Board of committee; or reason that any person not entitled to do so took part in the proceedings of the Board or committee.
• [Must] A member of the Board of a committee who has a personal interest in any contract or arrangement entered into or proposed to be considered by the Board or committee shall forthwith disclose his interest to the Board or committee and shall not vote on any question relating to the contract or arrangement.
• [Must] No member of the Board shall be personally liable for any act or omission done or made in good faith while engaged in the business of the Board.
• [Must] The Agency shall advise the Federal Government generally on matters and issues that are related to the management and administration of Nigeria's country code top-level domain (.ng).
• [Must] The Agency shall have supervisory authority over any organization incorporated under the laws of Nigeria to manage and administer Nigeria's country code top level domain (.ng) including but not limited to the following: approve the constitution of the management of any such organization created to carry out acts mentioned in Section 2 (1) of this…
• [Must] The Agency shall lay down standards which shall ensure that the membership of the organization when viewed collectively is broadly representative of the stakeholders of the ICT community in the country.
• [Must] The Agency shall outline an operational rule for the organization which shall include but not limited to the following: the creation of any departments of the organization to perform specialized functions; the establishment and functioning of committees including a management board; the preparation by the organization of an annual business plan in…
• The Agency shall ensure that the activities of the organization comply with international best practice in the administration of country code top level domains.</t>
  </si>
  <si>
    <t>Operational Guidelines for Open Banking in Nigeria (Nigeria - Row 9)</t>
  </si>
  <si>
    <t>Anti-money laundering and counter-terrorism financing requirements for open banking</t>
  </si>
  <si>
    <t>AML, Financial Data, KYC</t>
  </si>
  <si>
    <t>This section establishes mandatory anti-money laundering (AML) and counter-terrorism financing (CFT) compliance requirements for open banking participants. Financial institutions and fintechs must implement robust AML/CFT controls when exchanging customer data through APIs. The section mandates that all participants adhere to Nigeria's regulatory framework for open banking while ensuring transactions meet AML/CFT standards to prevent illicit financial activities. These obligations apply to all entities involved in the open banking ecosystem including API providers, consumers, and financial institutions.</t>
  </si>
  <si>
    <t>Requires open banking participants to implement AML/CFT controls when processing customer data transfers, directly impacting cross-border data flows and financial transactions.</t>
  </si>
  <si>
    <t>• [Must] Participants must implement AML/CFT controls when exchanging customer data through APIs</t>
  </si>
  <si>
    <t>ANTI-MONEY LAUNDERING (AML) AND COMBATING THE FINANCING OF TERRORISM (CFT) .. 23</t>
  </si>
  <si>
    <t>Open banking registry and participant governance framework</t>
  </si>
  <si>
    <t>4–12</t>
  </si>
  <si>
    <t>This section establishes the Central Bank of Nigeria's Open Banking Registry (OBR) as a public repository for registered participants in the open banking ecosystem. The OBR requires participants to use their CAC business registration numbers as unique identifiers and mandates technical and non-technical criteria for onboarding. Participants must comply with data governance standards, ensure customer-permissioned data accuracy, and maintain detailed configuration management systems to ensure regulatory oversight and transparency in open banking operations.</t>
  </si>
  <si>
    <t>Requires participants to register with the Central Bank's Open Banking Registry using CAC numbers, ensuring transparency and regulatory oversight for data exchanges across the ecosystem.</t>
  </si>
  <si>
    <t>• [Must] The Central Bank shall provide and maintain an Open Banking Registry (OBR) for the industry
• [Must] Each participant shall be identified by its CAC business registration number</t>
  </si>
  <si>
    <t>• [Must] Participants must ensure customer-permissioned data is accurate, up-to-date and complete</t>
  </si>
  <si>
    <t>The Central Bank of Nigeria (CBN) shall provide and maintain an Open Banking Registry (OBR) for the industry.</t>
  </si>
  <si>
    <t>12 (part 3)</t>
  </si>
  <si>
    <t>Change and communication management for system updates</t>
  </si>
  <si>
    <t>APs/ACs must plan and report changes monthly, except for critical incidents. All changes require detailed reporting and notifications to stakeholders at specific intervals before, during, and after implementation. The system must also provide secure real-time communication platforms for incident responders with text, voice, and video capabilities, while prohibiting email as a sufficient incident management method.</t>
  </si>
  <si>
    <t>Requires detailed change reporting and stakeholder notifications for system updates, with specific timing for communications. Mandates secure real-time communication channels for incident management, excluding email.</t>
  </si>
  <si>
    <t>• [Must] APs/ACs shall collate change requirements and plan changes for the next month
• [Must] All changes must be reported with sufficient details
• [Must] All changes must notify stakeholders 24 hours before intended change
• [Must] All changes must notify stakeholders 1 hour before intended change
• [Must] All changes must notify stakeholders immediately after completion and service restoration
• [Must] All changes must notify stakeholders 30 minutes after change completion if prolonged or failed</t>
  </si>
  <si>
    <t>• [Must] All changes must notify stakeholders at commencement of rollback
• [Must] All changes must notify stakeholders when services have been restored
• [Must] APs/ACs shall provide secure real-time communication platforms for incident responders
• [Must] The platform must accommodate text, voice, and video conferencing
• [Must] Formal channels must be used for incident reporting and management
• [Must Not] Email is not a sufficient method for incident management</t>
  </si>
  <si>
    <t>APs/ACs shall collate change requirements and plan the changes for the next month except in cases where the change is expected to resolve a critical incident or problem. All changes, either pre-empted or responsive, shall be: reported with sufficient details; accompanied with notifications to stakeholders that could be affected by the change; 24 hours before the intended change; 1 hour before the intended change; immediately the change has been completed and services have been confirmed restored; 30 minutes after the change should have been completed but has been prolonged or the change failed; at the point of commencing a change rollback; and when services have been restored.</t>
  </si>
  <si>
    <t>12 (part 4)</t>
  </si>
  <si>
    <t>Information sharing with consent and verification</t>
  </si>
  <si>
    <t>APs must share customer data with ACs only after obtaining valid customer consent authenticated via two-factor authentication. The consent must include specific details about the AC, data usage purpose, duration, access frequency, and withdrawal process. APs must verify consent through token creation, encryption, and real-time validation to ensure ongoing compliance with customer permissions.</t>
  </si>
  <si>
    <t>Requires strict consent verification with real-time validation and token-based authorization for data sharing between APs and ACs, ensuring customer control over data usage.</t>
  </si>
  <si>
    <t>• [Must] APs shall only share customer information with ACs upon valid customer consent
• [Must] APs must authenticate consent using two-factor authentication
• [Must] The consent must include full legal name of AC
• [Must] The consent must include shortened or brand name of AC
• [Must] The consent must include accreditation/registration number of AC
• [Must] The consent must include business registration number of AC with CAC
• [Must] The consent must specify access level to data by service category
• [Must] The consent must describe the nature of request including access type, duration, frequency, and anonymous data analysis</t>
  </si>
  <si>
    <t>• [Must] The consent must include information on process for withdrawal of consent
• [Must] The consent must include consequences of withdrawal of consent
• [Must] The consent must include information on redundant data and customer rights to deletion
• [Must] APs must create a token reflecting rights granted to AC by customer
• [Must] The token must be encrypted and securely exchanged with AC
• [Must] All responses must be in real-time
• [Must] APs must validate token to ensure it continues to meet granted rights</t>
  </si>
  <si>
    <t>APs shall only share information of a customer with an AC, upon presentation of a valid proof of consent by the customer, and shall authenticate such consent to ensure it emanates from its customer.</t>
  </si>
  <si>
    <t>12 (part 5)</t>
  </si>
  <si>
    <t>Cybersecurity Incident Reporting and Data Breach Management</t>
  </si>
  <si>
    <t>30–37</t>
  </si>
  <si>
    <t>Participants must periodically assess technology risks, oversee IT functions, and develop risk management reports. They must implement security measures, establish incident management procedures, and report major security incidents to the Central Bank of Nigeria (CBN) without undue delay. CBN and stakeholders must assess incidents to protect financial system stability.</t>
  </si>
  <si>
    <t>Requires immediate reporting of major security incidents to CBN, incident response procedures, and a three-line defense model for risk management. Critical for assessing incident handling capabilities in cross-border data transfers.</t>
  </si>
  <si>
    <t>• [Must] Periodically consider reputation, customer protection, legal issues, controls, and security measures for computer systems, networks, data centres, operations and backup facilities
• [Must] Exercise oversight of technology risks and ensure IT function supports business strategies and objectives
• [Must] Develop risk management reports
• [Must] Implement appropriate security measures
• [Must] Establish incident management procedures</t>
  </si>
  <si>
    <t>• [Must] Report major security incidents without undue delay to competent authorities
• [Condition] Ensure incident reporting obligations do not conflict with other regulations
• [Must] Notify CBN and stakeholders without undue delay of incidents and remediation measures
• [Must] Assess incidents with respect to ecosystem and take measures to protect financial system stability</t>
  </si>
  <si>
    <t>Participants shall notify the CBN and other stakeholders without undue delay of incidents and remediation measures</t>
  </si>
  <si>
    <t>12 (part 6)</t>
  </si>
  <si>
    <t>Open Banking API Standards and Consent Management</t>
  </si>
  <si>
    <t>37–46</t>
  </si>
  <si>
    <t>Consent, Data Sharing</t>
  </si>
  <si>
    <t>Participants must implement API standards for consent management, including explicit customer consent, authentication, and authorization processes. Consent must be time-bound, with clear options to accept, decline, or revoke permissions. Participants must also develop data breach policies, incident management procedures, and ensure data integrity through robust security frameworks.</t>
  </si>
  <si>
    <t>Defines strict consent mechanisms for data sharing across open banking ecosystems, requiring explicit, time-bound consent with revocation options. Critical for assessing data transfer compliance in cross-border contexts.</t>
  </si>
  <si>
    <t>• [Must] Develop and implement data breach policy and procedure as part of information security management system
• Carry out regular risk assessment and monitoring
• [Must] Ensure procedures for managing data incidents are clearly set out
• [Must] Assess impact of each data incident
• [Must] Activate processes to limit incident impact
• [Must] Adopt three-line defence model into business standards for risk management
• [Must] Ensure efficient, regular, and timely communication during data incidents
• [Must] Start recovery process promptly to minimize service disruption
• [Must] Conduct robust analysis of incident causes, response efficacy, lessons learned, and preventive actions
• [Must] Regularly test adherence to incident management policies
• [Must] Develop incident management procedure applicable to all workers
• [Must] Apply incident management procedure to employees, contractors, directors, external consultants, third-party representatives, business partners</t>
  </si>
  <si>
    <t>• [Must] Identify and log data incidents including initial alerts
• [Must] Convene management team including legal, privacy compliance officer and executives
• [Must] Conduct impact assessment and initiate mitigating actions
• [Must] Resolve incidents and close them
• [Must] Conduct post-incident review
• [Must] Implement time-bound consent with explicit options to accept, decline, or revoke
• [Must] Provide clear information on data requested, purpose, and terms in easy language
• [Must] Ensure consent is explicit and time-bound, not perpetual
• [Must] Allow customers to opt-out periodically
• [Must] Provide accurate information on time-bound permissions after consent
• [Must] Use multi-factor authentication for customer verification</t>
  </si>
  <si>
    <t>Participants shall develop and implement a data breach policy and procedure as part of information security management system</t>
  </si>
  <si>
    <t>12 (part 7)</t>
  </si>
  <si>
    <t>Tiered participants' minimum security and governance requirements</t>
  </si>
  <si>
    <t>46–52</t>
  </si>
  <si>
    <t>Security, Access Control, Processing, Data Storage, Data Sharing, Third Party Processing, Cloud Services, Incident Reporting, Breach Notification, Governance, Record Keeping</t>
  </si>
  <si>
    <t>CBN</t>
  </si>
  <si>
    <t>Sponsors must ensure Tier 0 participants have competence and capacity. Tier 1 participants require corporate governance and risk management. Tier 2 participants must implement corporate governance, risk management, operational competence, internal controls, insurance, stakeholder communication, technology planning, background checks, and information security frameworks. Tier 3 participants have similar requirements but with specific focus on security frameworks and business continuity.</t>
  </si>
  <si>
    <t>This section establishes tiered security and governance requirements for open banking participants, directly impacting data transfer safeguards and third-party risk management in cross-border financial data contexts.</t>
  </si>
  <si>
    <t>• [Must] Tier 0 participants must have competence and capacity to carry out the activity and provide evidence of good risk management practices
• [Must] Tier 1 participants must have adequate corporate governance, risk management policies and procedures to manage risks
• [Must] Tier 2 participants must ensure adequate corporate governance, risk management policies and procedures
• [Must] Tier 2 participants must ensure operational competence and professional experience of key personnel
• [Must] Tier 2 participants must ensure adequate internal control environment and insurance coverage</t>
  </si>
  <si>
    <t>• [Must] Tier 2 participants must have procedures for communicating with stakeholders on key issues
• [Must] Tier 2 participants must have policies for technology planning to ensure proper management of technologies
• [Must] Tier 2 participants must have processes for periodic background checks on employees and vendors
• [Must] Tier 2 participants must implement information security frameworks ensuring confidentiality, integrity and availability
• [Must] Tier 2 participants must have business continuity management and disaster recovery policies</t>
  </si>
  <si>
    <t>Sponsors shall ensure that Tier 0 participants, at the minimum, have competence and capacity to carry out the activity, and provide evidence of good risk management practices.</t>
  </si>
  <si>
    <t>12 (part 8)</t>
  </si>
  <si>
    <t>Open banking security standards and operational requirements</t>
  </si>
  <si>
    <t>52–58</t>
  </si>
  <si>
    <t>Security, Access Control, Data Storage, Data Sharing, Third Party Processing, Cloud Services, Incident Reporting, Breach Notification, Governance, Record Keeping</t>
  </si>
  <si>
    <t>Participants must comply with minimum security principles including layered security, separation of duties, least privilege, zero trust, dual control, need to know, and privacy. They must implement security policies for API connections, adopt risk management practices, conduct regular audits, ensure compliance with cybersecurity frameworks, and maintain robust technical security controls including access control, authentication, authorization, and data protection.</t>
  </si>
  <si>
    <t>This section mandates comprehensive security standards for open banking operations, directly influencing data transfer mechanisms and third-party data handling in financial contexts.</t>
  </si>
  <si>
    <t>• [Must] Participants must comply with minimum security principles such as layered security, separation of duties, least privilege, zero trust, dual control, need to know, and privacy
• [Must] Participants must develop, maintain, and implement security policies for secure API connections
• [Must] Participants must adopt risk management practices as defined in Appendix II
• [Must] Participants must regularly evaluate organizational policies for compliance with legal and regulatory requirements
• [Must] Participants must implement performance metrics to monitor compliance status
• [Must] Participants must ensure status reports form an audit trail for tracking changes
• [Must] Participants must obtain objective third-party assessments and audit reports
• [Must] Participants must review and remediate security-related loss exposures
• [Must] Participants must ensure procurement of open banking infrastructure complies with extant laws
• [Must] Participants must enforce ownership for protection of Personal Information and Financial Transaction data through contracts
• [Must] Participants must ensure change management processes with suppliers do not violate information security policies
• [Must] Participants must ensure suppliers have documented evidence of implementing information security standards</t>
  </si>
  <si>
    <t>• [Must] Participants must ensure staff and service providers pass periodic security checks
• [Must] Participants must develop and maintain security awareness culture for staff, customers and third parties
• [Must] Participants must conduct periodic security awareness and simulations for threat response
• [Must] Participants must implement zero-trust architecture
• [Must] Participants must maintain minimal user access rights based on business function and security policies
• [Must] Participants must align identity and access management to roles and responsibilities using least-privilege principles
• [Must] Participants must implement strong authentication including Multi-Factor Authentication
• [Must] Participants must use OAuth 2.0 with OpenID Connect for authentication protocols
• [Must] Participants must implement mutual authentication over Transport Layer Security
• [Must] Participants must implement open banking security profiles in compliance with Financial-grade API specifications
• [Must] Participants must implement digital tokens to ensure third parties act within granted permissions
• [Must] Participants must provide evidence that third-party services are entitled to use authorization tokens</t>
  </si>
  <si>
    <t>Participants shall implement zero-trust architecture.</t>
  </si>
  <si>
    <t>12 (part 9)</t>
  </si>
  <si>
    <t>Physical security and customer experience standards for open banking operations</t>
  </si>
  <si>
    <t>58–66</t>
  </si>
  <si>
    <t>Participants must implement physical security controls aligned with industry standards, restrict and monitor access to sensitive premises, and log all entry points. They must also ensure customer experience principles including control, speed, transparency, and security, while providing clear information on data usage, consent management, and customer protection measures.</t>
  </si>
  <si>
    <t>Requires physical security protocols and customer experience safeguards that impact data storage and transfer security, particularly for sensitive open banking data.</t>
  </si>
  <si>
    <t>• [Must] Restrict physical access to critical areas in line with Open Banking Industry Data Security Standard physical security controls
• [Must] Restrict and monitor access to sensitive open banking premises by establishing perimeter restrictions, such as fences, walls, and security devices on interior and exterior doors
• [Must] Log and monitor all entry points to open banking premises and register all visitors, including contractors and vendors, to the site
• [Must] Ensure customers are provided with right tools and clarity of information at the right time to make informed decisions
• [Must] Ensure each interaction has appropriate speed, clarity and efficiency without compromising security and control
• [Must] Provide progressive levels of information in plain language that inform and support customer decisions
• [Must] Ensure clarity on information required from customers, the reason, purpose and consequences
• [Must] Provide explicit clarity and reassurance in relation to data definition, use, security and protection
• [Must] Ensure clarity of information presented and described in a manner that ensures each API Standard Customer journey is easy to understand
• [Must] Ensure customers are provided information on procedures to exit, revoke consent and access rights at time of onboarding and authorising data access
• [Must] Establish clear data protection and retention policies with protocols for safeguarding information
• [Must] Ensure data obtained for open banking is retained for a minimum period of seven (7) years, except when legally bound
• [Must] Enable customer exercise right to revoke consent
• [Must] Ensure use access or storage of customer data is as provided in the Regulatory Framework on Open Banking in Nigeria
• [Must] Ensure third parties storing customer data are equipped with capabilities to manage data acquired through Open Banking APIs
• [Must] Inform customers on process for handling redundant data and right to revoke consent as part of withdrawal process
• [Must] Customers shall provide explicit consent for use of their data
• [Must] Customers' consent shall be obtained in the same form the agreement was presented and a copy preserved by participant
• [Must] Customer consent shall be re-validated annually and/or where AC has not used service for 180 days
• [Must] Ensure connection terminates upon expiration of consent
• [Must] Establish appropriate customer authentication methods such as multi-factor authentication</t>
  </si>
  <si>
    <t>• [Must] Ensure customers always have control over data and ability to access, manage or withdraw consent at any time
• [Must] Develop and agree on consent management mechanism with clear policies and procedures
• [Must] Disclose to customers implications of data sharing before authorising and agreeing to terms of consent
• [Must] Notify customers of security updates regularly in preferred form and language
• [Must] Establish procedures for handling customer complaints and resolving disputes
• [Must] Establish appropriate liability models and redress mechanisms as approved by the Bank
• [Must] Develop customer complaint resolution mechanisms with clearly defined roles and responsibilities
• [Must] Provide multiple dedicated channels to receive and handle customer complaints
• [Must] Provide complaints channels that are effective, functional, efficient and easily accessible
• [Must] Provide complaints channels that generate unique identification number and acknowledge complaints within 24 hours of lodgment
• [Must] Provide emergency channels for reporting time-sensitive issues especially fraud-related complaints at all times
• [Must] Provide adequate redress mechanism and dispute resolution process as approved by the Bank
• [Must] Communicate to customer within 24 hours of complaint receipt an acknowledgment containing unique identification number, contact details, expected resolution timeline, escalation options, and assurance of addressing complaint
• [Must] Resolve complaints within 48 hours of receipt
• [Must] Detail comprehensive dispute resolution processes including timelines in Service Level Agreements
• [Must] Resolve disputes among participants within timelines agreed in their SLAs
• [Must] Escalate unresolved disputes to CBN for resolution if SLA is breached without resolution or participant is dissatisfied with resolution
• [Must] Cooperate with CBN in resolving disputes
• [Must] Ensure customers escalate complaints to Consumer Protection Department of CBN after exhausting participant's internal dispute resolution process
• [Must] Ensure complaints are escalated to CBN only if participant fails to resolve within 14 days</t>
  </si>
  <si>
    <t>Participants shall ensure that customers shall be provided with the right tools and clarity of information at the right time that will enable them to make informed decision.</t>
  </si>
  <si>
    <t>REVISED REGULATORY FRAMEWORK FOR BANK VERIFICATION NUMBER (BVN) OPERATIONS AND WATCH-LIST FOR THE NIGERIAN BANKING INDUSTRY 121021 FINAL (Nigeria - Row 11)</t>
  </si>
  <si>
    <t>BVN system participants and their roles in banking operations</t>
  </si>
  <si>
    <t>4–11</t>
  </si>
  <si>
    <t>Cross-border Transfer, Data Storage, Security, Data Sharing, Third Party Processing, Cloud Services, Incident Reporting, Breach Notification</t>
  </si>
  <si>
    <t>Central Bank of Nigeria</t>
  </si>
  <si>
    <t>This section defines the regulatory framework for Bank Verification Number (BVN) operations and Watch-list in Nigeria. It specifies the roles and responsibilities of Central Bank of Nigeria (CBN), Nigeria Inter-Bank Settlement System Plc (NIBSS), banks, other financial institutions, and customers. The framework mandates BVN enrollment, identification, verification, issuance, linking to accounts, and delinking processes. It also outlines procedures for watch-listing breaches, fraud management, and customer information updates. Participants must ensure BVN data is stored within Nigeria, not routed across borders without CBN consent, and comply with data protection regulations.</t>
  </si>
  <si>
    <t>This section establishes Nigeria's BVN system with strict data residency requirements (BVN data must be stored within Nigeria) and cross-border restrictions (foreign entities cannot access BVN database). It mandates specific procedures for watch-listing breaches and delisting, which are critical for assessing data transfer risks when handling BVN information across borders.</t>
  </si>
  <si>
    <t>• [Must] Central Bank of Nigeria shall review and approve the regulatory Framework and Standard Operating Guidelines
• [Must] Central Bank of Nigeria shall approve eligible users for access to BVN information
• [Must] Central Bank of Nigeria shall approve access to BVN information
• [Must] Central Bank of Nigeria shall ensure objectives of BVN initiatives are fully achieved
• [Must] Central Bank of Nigeria shall monitor stakeholders to ensure compliance
• [Must] Central Bank of Nigeria shall apply sanctions for non-compliance
• [Must] Central Bank of Nigeria shall conduct oversight and operate the BVN system
• [Must] Central Bank of Nigeria shall approve requests for delisting from Watch-list
• [Must] Central Bank of Nigeria shall mediate issues arising from Watch-list between participants
• [Must] Central Bank of Nigeria shall handle consumer complaints on BVN
• [Must] NIBSS shall collaborate with stakeholders to develop and review Standard Operating Guidelines
• [Must] NIBSS shall ensure seamless operations of BVN system
• [Must] NIBSS shall maintain BVN database
• [Must] NIBSS shall manage access to BVN information by approved users
• [Must] NIBSS shall ensure recourse to CBN on any request for BVN information
• [Must] NIBSS shall ensure adequate security of BVN information
• [Must] NIBSS shall update Watch-list with BVNs of enlisted individuals</t>
  </si>
  <si>
    <t>• [Must] NIBSS shall use Watch-list report submitted by participants to delist BVN
• [Must] NIBSS shall provide participants with portal for verification of watch-listed BVN
• [Must] NIBSS shall provide Application Programming Interface for eligible institutions
• [Must] NIBSS shall keep audit trail of activities on Watch-list
• [Must] NIBSS shall put in place Service Level Agreement with stakeholders
• [Must] NIBSS shall provide CBN access to Watch-list
• [Must] Banks and OFIs shall ensure proper capturing of BVN data and validate before linkage
• [Must] Banks and OFIs shall link all operated accounts/wallets (except Tier 1) with BVNs within 24 hours
• [Must] Banks and OFIs shall enroll mobile money wallets (except Tier 1) on BVN within 180 days
• [Must] Banks and OFIs shall link BVN details of signatories, directors, and beneficial owners
• [Must] Banks and OFIs shall ensure customer's name on BVN matches across accounts
• [Must] Banks and OFIs shall report BVNs of individuals in breach to NIBSS within 1 business day
• [Must] Banks and OFIs shall report BVNs of deceased customers to NIBSS within 24 hours
• [Must] Banks and OFIs shall use Watch-list report to delist BVN
• [Must] Customers shall provide accurate biometrics and biodata
• [Must] Customers shall report suspicious or unauthorized activities on accounts</t>
  </si>
  <si>
    <t>The Central Bank of Nigeria, in collaboration with the Bankers' Committee, deployed a centralised Bank Verification Number (BVN) System in February 2014.</t>
  </si>
  <si>
    <t>Penalties for BVN watch-list breaches</t>
  </si>
  <si>
    <t>17–23</t>
  </si>
  <si>
    <t>Cross-border Transfer, Data Sharing, Financial Data, AML</t>
  </si>
  <si>
    <t>Participants failing to meet BVN framework obligations face penalties from the Central Bank of Nigeria. Customers with watch-listed BVNs cannot open new accounts, may lose electronic banking access, and are restricted from credit facilities. Penalties apply to all accounts linked to watch-listed BVNs except Tier 1 accounts. Recurring breaches extend penalty periods consecutively.</t>
  </si>
  <si>
    <t>Penalties for watch-listed BVNs restrict cross-border data transfers by prohibiting electronic channel access and credit facilities for affected customers, requiring DTIA to assess impact on financial transactions.</t>
  </si>
  <si>
    <t>• [Must Not] Customers with watch-listed BVNs cannot open new relationships with any participant
• [May] Participants may choose to terminate business relationships with watch-listed account holders (except Tier 1)
• [Must Not] Watch-listed account holders (except Tier 1) cannot use electronic channels including ATM, POS, internet banking, mobile banking, USSD, or issue third-party cheques
• [Must Not] Watch-listed account holders (except Tier 1) cannot reference accounts, access or guarantee credit facilities</t>
  </si>
  <si>
    <t>• [Must] Watch-listed customers remain on the watch-list for periods specified in Table 2
• [Must] Recurrence of breaches extends penalty periods consecutively
• [Must] Penalties apply to all accounts/wallets (except Tier 1) linked to watch-listed BVNs</t>
  </si>
  <si>
    <t>Any participant who fails to perform its stipulated responsibilities shall be penalised by the Central Bank of Nigeria.</t>
  </si>
  <si>
    <t>cbn consumer protection regulations (Nigeria - Row 4)</t>
  </si>
  <si>
    <t>Pre-contract and contractual disclosures for consumer products</t>
  </si>
  <si>
    <t>Institutions must disclose all terms and conditions, features, risks, benefits, fees, and charges to consumers before contract execution. They must provide a Key Facts Statement (KFS) for loans, allow a 2-day review period, and grant a 3-day cooling-off period after signing. Contracts must include interest rates, fees, and mechanisms for variation notifications. Institutions must notify consumers of transaction activity and provide monthly statements at no cost.</t>
  </si>
  <si>
    <t>Requires detailed pre-contract and ongoing disclosures for financial products, impacting data sharing transparency and consumer consent mechanisms in cross-border transactions involving Nigerian financial institutions.</t>
  </si>
  <si>
    <t>• [Must] Disclose all terms and conditions of a product or service on offer, as well as features, risks, benefits, fees and associated charges
• [Must] Disclose possibility of interest rate or foreign exchange variations due to market conditions
• [Must] Provide Key Facts Statement (KFS) in Annexure A format for consumer loans
• [Must] Allow consumers minimum of two (2) days from receipt to review draft contract before execution
• [Must] Grant three (3) working day cooling-off period after signing credit contract for cancellation without penalty</t>
  </si>
  <si>
    <t>• [Must] Notify consumers of transactions immediately with date, amount, payer, transaction reference, channel and cleared balance
• [Must] Ensure account statements include transaction reference, payer, transaction channel, location and account balance
• [Must] Provide monthly statements for all products and account types at no cost
• [Must] Give prior notice of interest rate variations with reason, commencement date, revised repayment schedule and alternatives
• [Must] Ensure variations in interest rates implemented after 10 working days (for DMBs) or 5 working days (for other institutions)</t>
  </si>
  <si>
    <t>Institutions shall comply with the following requirements prior to the execution of any contract with consumers: Disclose all terms and conditions of a product or service on offer, as well as the features, risks, benefits, fees and other associated charges.</t>
  </si>
  <si>
    <t>Responsible business conduct and consumer protection</t>
  </si>
  <si>
    <t>Institutions must conduct business professionally and ethically, train staff, provide clear product information, and establish complaint channels. They must not impose products on consumers, charge for unused services, or require third-party products as conditions for credit. Credit assessments must consider financial capability and include credit history checks.</t>
  </si>
  <si>
    <t>Establishes ethical business practices that impact data sharing transparency and consumer consent mechanisms in cross-border financial transactions involving Nigerian institutions.</t>
  </si>
  <si>
    <t>• [Must] Conduct business in responsible, professional and ethical manner
• [Must] Train staff to promote competence, efficiency and professionalism
• [Must] Provide clear information about products, services, features, terms and conditions
• [Must] Provide channels for consumer enquiries and complaints
• [Must] Notify customers of circumstances affecting contract terms
• [Must] Display all applicable fees for electronic payments with option to accept or decline</t>
  </si>
  <si>
    <t>• [Must Not] Not impose any product, service or channel on consumers
• [Must Not] Not charge fees for issuance and renewal of products/services not requested by customer
• [Must Not] Not compel consumers to buy products/services as condition for another product/service unless directly dependent
• [Must] Assess consumer repayment capability before granting credit
• [Must] Ascertain credit history from Credit Risk Management System, Credit Bureau and other sources
• [Must] Have policy to deal with consumers in financial difficulty</t>
  </si>
  <si>
    <t>Institutions shall comply with the following provisions: Conduct their business in a responsible, professional and ethical manner.</t>
  </si>
  <si>
    <t>Complaints handling and redress mechanisms</t>
  </si>
  <si>
    <t>3–12</t>
  </si>
  <si>
    <t>Institutions must establish complaint channels, internal dispute resolution processes, and external escalation to the Central Bank of Nigeria. They must respond to consumer inquiries within five working days and provide timely resolution for complaints without undue delay.</t>
  </si>
  <si>
    <t>Requires institutions to implement robust complaints handling mechanisms that impact data sharing transparency and consumer rights in cross-border financial transactions.</t>
  </si>
  <si>
    <t>• [Must] Establish complaint management channels for consumers
• [Must] Implement internal dispute resolution processes</t>
  </si>
  <si>
    <t>• [Must] Provide external dispute resolution at Central Bank of Nigeria
• [Must] Respond to customer enquiries within five (5) working days</t>
  </si>
  <si>
    <t>Institutions shall comply with the following requirements: Establish complaint management channels, internal dispute resolution and external escalation to the Central Bank of Nigeria.</t>
  </si>
  <si>
    <t>6 (part 3)</t>
  </si>
  <si>
    <t>Consumer loan guarantees and debt collection requirements</t>
  </si>
  <si>
    <t>19–25</t>
  </si>
  <si>
    <t>Data Sharing, Data Storage, Cross-border Transfer</t>
  </si>
  <si>
    <t>Institutions must ensure loan guarantees are properly executed with independent advice or declaration of no need for advice. They must provide periodic loan performance updates to guarantors, issue discharge letters within 5 business days post-loan liquidation, and notify customers of declined loan requests with reasons. Guarantors must be informed of loan liquidation. Institutions must also ensure debt collection processes are transparent, courteous, and fair without undue pressure or harassment.</t>
  </si>
  <si>
    <t>Requires institutions to maintain clear communication with guarantors and customers regarding loan status and discharges, with specific timelines for discharge letters and notifications. These conditions directly impact cross-border data transfers involving loan guarantees and debt collection.</t>
  </si>
  <si>
    <t>• [Must] Sought and obtained independent professional advice before executing the guarantee
• [Must] Declared that they do not need independent advice
• [Must] Provide periodic update to guarantors on loan performance
• [Must] Issue letter of discharge at no cost to customers within 5 business days after liquidation
• [Must] Notify customers where loan requests are declined with reasons upon request
• [Must] Engage and give customers notice of outstanding obligations prior to debt collection
• [Must] Initiate foreclosures only after other recovery steps fail</t>
  </si>
  <si>
    <t>• [Must] Give customers option for private sale within 30 days before foreclosure
• [Must] Apply net proceeds from foreclosures to loan accounts and inform customers of balance
• [Must] Provide report of collateral sale including process, proceeds, expenses, and net proceeds
• [Must] Be liable for actions of debt collection agents
• [Must Not] Not contact friends, employers, relatives or neighbors without consent or for employment status
• [Must Not] Not require persons to offset debt without being guarantor
• [Must Not] Not make telephone contact with customers between 9pm and 8am without consent</t>
  </si>
  <si>
    <t>5.2.8 Provide periodic update to Guarantors on the loan performance to enable them to assess the likelihood of being called upon to discharge their commitments. 5.2.9 Issue Letter of Discharge at no cost to customers within 5 business days after liquidation of their loans, and where the loan is guaranteed, the guarantor shall also be notified accordingly. 5.2.10 Notify customers where their loan requests are declined. The reason(s) for decline shall be provided upon request.</t>
  </si>
  <si>
    <t>6 (part 4)</t>
  </si>
  <si>
    <t>Complaints handling and dispute resolution procedures</t>
  </si>
  <si>
    <t>Institutions must develop documented complaint handling processes with fairness, transparency, and responsiveness. They must allocate resources for skilled staff, disclose complaint channels and timelines at all customer engagement points, and provide multiple complaint channels including verbal complaints. Institutions must also establish internal dispute resolution (IDR) mechanisms with 24-hour acknowledgment, tracking numbers, and resolution within specified timelines. They must issue summary resolution communications and handle refunds for excess charges.</t>
  </si>
  <si>
    <t>Requires institutions to implement robust complaint handling systems with clear timelines and communication protocols, which directly impact data transfer and processing activities involving customer complaints and dispute resolution.</t>
  </si>
  <si>
    <t>• [Must] Develop documented processes for complaints handling ensuring fairness, transparency, responsiveness and independence
• [Must] Allocate adequate resources for complaints handling with skilled and well-trained staff
• [Must] Disclose complaint channels, contact details, resolution timelines and escalation options at all customer engagement points
• [Must] Provide multiple dedicated channels for receiving and handling complaints including verbal complaints
• [Must] Be effective, functional, efficient and accessible always for complaint channels
• [Must] Generate unique identification number and acknowledge complaints within 24 hours of lodgment
• [Must] Accord special consideration to needs of vulnerable groups including physically challenged persons and seniors
• [Must] Provide emergency channels for time-sensitive issues especially fraud-related complaints
• [Must] Establish internal dispute resolution (IDR) structures and processes for consumer complaints
• [Must] Communicate acknowledgment within 24 hours including unique tracking number, contact details, expected timeline, escalation options and assurance of address
• [Must] Use unique tracking number in all correspondence with complainant
• [Must] Designate complaints handling unit independent of other business functions</t>
  </si>
  <si>
    <t>• [Must] Require staff handling complaints to declare conflicts of interest
• [Must] Resolve complaints within timelines specified in Annexure D
• [Must] Refund identified excess charges, non-payment or under-payment of interest, unauthorized debits with interest as per CBN guidelines
• [Must] Issue letter of apology where refunds are made
• [Must] Reconstruct customers' accounts to identify excess charges and pay interest after reconstruction
• [Must] Remit established refunds and interest to complainants' accounts within prescribed timelines
• [Must] Send summary resolution communication (SRC) within next business day with basis for decision, right of appeal and escalation options
• [Must] Consider complaint resolved after 30 days of written acceptance of resolution
• [Must] Provide 2nd level review within timelines for complaints after 30 days of SRC receipt
• [Must] Identify recurring complaint types, root causes, implement remedial measures and generate Root Cause Analysis Report (RCAR)
• [Must] Prepare quarterly RCAR and submit to CBN by 14th day of January, April, July, October</t>
  </si>
  <si>
    <t>6.1.1 Develop documented processes on Complaints Handling that will guarantee fairness, transparency, responsiveness and independence of the complaint handling mechanism. 6.1.2 Allocate adequate resources for complaints handling/redress and the processes manned by skilled and well-trained members of staff. 6.1.3 At all customer engagement points, disclose channels and contact details for lodging complaints, timeframe for resolution, and options for escalation.</t>
  </si>
  <si>
    <t>Penalties for non-compliance with consumer protection regulations</t>
  </si>
  <si>
    <t>26–34</t>
  </si>
  <si>
    <t>Institutions face specific penalties for violations including non-resolution of complaints within timelines (N500,000 per complaint per week), non-acknowledgment of complaints (N2,000,00:00 per complaint), non-response to CBN directives (N2,000,000), false reporting (N100,000 plus N10,000 per day), and administrative sanctions for persistent breaches.</t>
  </si>
  <si>
    <t>Penalties for non-compliance with complaint handling procedures directly impact financial institutions' data transfer and processing activities, particularly in cross-border contexts where complaint resolution timelines and data sharing practices are critical.</t>
  </si>
  <si>
    <t>• [Condition] Penalty of N500,000 per complaint per week for non-resolution within prescribed timelines
• [Condition] Penalty of N2,000,000 per complaint for non-acknowledgment of complaints
• [Condition] Penalty of N2,000,000 for non-response to CBN directives</t>
  </si>
  <si>
    <t>• [Condition] Penalty of N100,000 plus N10,000 per day for false or non-rendition of returns/reports
• [Condition] Administrative sanctions for persistent breaches of consumer protection regulations</t>
  </si>
  <si>
    <t>7. Non-resolution of complaints within timelines: N500,000 per complaint per week. Non-acknowledgment of complaints: N2,000,000 per complaint. Non-response to CBN directives: N2,000,000. False reporting: N100,000 plus N10,000 per day. Administrative sanctions for persistent breaches.</t>
  </si>
  <si>
    <t>Timelines for complaint resolution by financial institutions</t>
  </si>
  <si>
    <t>34–39</t>
  </si>
  <si>
    <t>Consumer Protection Department</t>
  </si>
  <si>
    <t>This section specifies timeframes for resolving customer complaints across various financial services categories. It outlines the number of working days required for first and second reviews for each complaint type, including account management, cards, loans, fraud, and international transactions. The timelines apply to institutions regulated under the CBN Consumer Protection Regulations.</t>
  </si>
  <si>
    <t>This section establishes timeframes for resolving customer complaints, which may impact data transfer timelines if complaint resolution involves cross-border data sharing or international transactions.</t>
  </si>
  <si>
    <t>• [Must] Account Closure without notice: 2 working days for first review, 1 working day for second review
• [Must] Account Details Maintenance: 2 working days for first review, 1 working day for second review
• [Must] Account Statement Issues: 2 working days for first review, 1 working day for second review
• [Must] Account Status: 2 working days for first review, 1 working day for second review
• [Must] Cheque Issues: 2 working days for first review, 1 working day for second review
• [Must] Corporate Search: 2 working days for first review, 1 working day for second review
• [Must] Delay in honouring Standing Instruction request: 2 working days for first review, 1 working day for second review
• [Must] Non-reflection of Cash/Cheque Deposits in Customer Account: 2 working days for first review, 1 working day for second review
• [Must] Account Closure Delays: 2 working days for first review, 1 working day for second review
• [Must] Account Freeze Complaint: 2 working days for first review, 1 working day for second review
• [Must] Account Reactivation Delays: 2 working days for first review, 1 working day for second review
• [Must] Account to Account Transfer Delays (Same bank): 2 working days for first review, 1 working day for second review
• [Must] Cheque Confirmation Complaints: 2 working days for first review, 1 working day for second review
• [Must] Cheque Return Complaint: 2 working days for first review, 1 working day for second review
• [Must] Account Alert Issues (SMS and emails): 2 working days for first review, 1 working day for second review
• [Must] Wrong Account Lien: 2 working days for first review, 1 working day for second review
• [Must] Cheque Return Request: 2 working days for first review, 1 working day for second review
• [Must] Bills Payment and collection: 2 working days for first review, 1 working day for second review
• [Must] Others: 2 working days for first review, 1 working day for second review
• [Must] Card Activation: 3 working days for first review, 2 working days for second review
• [Must] Card Deactivation: 3 working days for first review, 2 working days for second review
• [Must] Card Issuance: 3 working days for first review, 2 working days for second review
• [Must] Card Functionality: 3 working days for first review, 2 working days for second review
• [Must] Charges/Rates Issues: 3 working days for first review, 2 working days for second review
• [Must] Chargebacks / Claim local (not on us): 5 working days for first review, 3 working days for second review
• [Must] Chargebacks / Claim local (on us): 3 working days for first review, 2 working days for second review
• [Must] Chargebacks / Claim international (not on us): 60 working days for first review, 30 working days for second review
• [Must] Chargebacks / Claim international (on us): 50 working days for first review, 25 working days for second review
• [Must] Credit card contract migration: 3 working days for first review, 2 working days for second review
• [Must] Card PIN Issues: 3 working days for first review, 2 working days for second review
• [Must] Limit Maintenance: 3 working days for first review, 2 working days for second review
• [Must] Repayment Issues: 3 working days for first review, 2 working days for second review
• [Must] Card Statements Issues: 3 working days for first review, 2 working days for second review
• [Must] Missing card: 3 working days for first review, 2 working days for second review
• [Must] Card Modifications: 3 working days for first review, 2 working days for second review
• [Must] Card Account(s) Link complaints: 3 working days for first review, 2 working days for second review
• [Must] Billing address Issues: 3 working days for first review, 2 working days for second review
• [Must] Card Blockage Issues: 3 working days for first review, 2 working days for second review
• [Must] Declined Transactions: 3 working days for first review, 2 working days for second review
• [Must] Others: 3 working days for first review, 2 working days for second review
• [Must] Loan Application Issues: 14 working days for first review, 7 working days for second review
• [Must] Loan Repayment Issues: 14 working days for first review, 7 working days for second review
• [Must] Loan Insurance: 14 working days for first review, 7 working days for second review
• [Must] Concessions Issues: 14 working days for first review, 7 working days for second review
• [Must] Delayed delivery of financed assets: 14 working days for first review, 7 working days for second review
• [Must] Loan Liquidation issues: 14 working days for first review, 7 working days for second review
• [Must] Loan Restructuring issues: 14 working days for first review, 7 working days for second review
• [Must] Loans Interest Rate Review Complaint: 14 working days for first review, 7 working days for second review
• [Must] Others: 14 working days for first review, 7 working days for second review
• [Must] Conversion of Cheque/Deposit: 60 working days for first review, 30 working days for second review
• [Must] Scam Mails: 3 working days for first review, 2 working days for second review
• [Must] Fraudulent Withdrawals: 14 working days for first review, 7 working days for second review
• [Must] Internet Banking Fraud: 3 working days for first review, 2 working days for second review
• [Must] ATM Fraud (Domestic): 3 working days for first review, 2 working days for second review
• [Must] ATM Fraud (International): 60 working days for first review, 30 working days for second review
• [Must] Cash/Cheque Suppression: 60 working days for first review, 30 working days for second review
• [Must] Cheque Cloning: 60 working days for first review, 30 working days for second review</t>
  </si>
  <si>
    <t>• [Must] Others: 3 working days for first review, 2 working days for second review
• [Must] Excess Fees and charges: 30 working days for first review, 15 working days for second review
• [Must] Excess Interest on loan: 30 working days for first review, 15 working days for second review
• [Must] Others: 30 working days for first review, 15 working days for second review
• [Must] Western Union Money Transfers: 5 working days for first review, 3 working days for second review
• [Must] MONEYGRAM Transfers: 5 working days for first review, 3 working days for second review
• [Must] Funds transfer charges: 5 working days for first review, 3 working days for second review
• [Must] Delayed / Inward Transfers: 5 working days for first review, 3 working days for second review
• [Must] Wrong Customer / Beneficiary details: 5 working days for first review, 3 working days for second review
• [Must] Delayed TELEX/Swift Request: 5 working days for first review, 3 working days for second review
• [Must] Intrabank Transfer Failure: 1 working day for first review, 1 working day for second review
• [Must] Wrong Account Credit: 1 working day for first review, 1 working day for second review
• [Must] Wrong Account Debits: 1 working day for first review, 1 working day for second review
• [Must] Others: 1 working day for first review, 1 working day for second review
• [Must] Dishonoured Guarantees: 3 working days for first review, 2 working days for second review
• [Must] APG Issues: 3 working days for first review, 2 working days for second review
• [Must] Performance Bonds: 3 working days for first review, 2 working days for second review
• [Must] Other Contingent Issues/Indemnities: 2 working days for first review, 1 working day for second review
• [Must] Non /Underpayment of interests on investments: 5 working days for first review, 3 working days for second review
• [Must] Roll over issues: 5 working days for first review, 3 working days for second review
• [Must] Non-booking of deposits: 5 working days for first review, 3 working days for second review
• [Must] Non issuance of contract letters: 5 working days for first review, 3 working days for second review
• [Must] Others: 5 working days for first review, 3 working days for second review
• [Must] non-functional ATM: 3 working days for first review, 2 working days for second review
• [Must] non-functional POS: 3 working days for first review, 2 working days for second review
• [Must] POS Receipt/Slip Issues: 3 working days for first review, 2 working days for second review
• [Must] Trapped Card: 3 working days for first review, 2 working days for second review
• [Must] ATM Cash Dispense Error claim - OWN BANK: 3 working days for first review, 2 working days for second review
• [Must] ATM Cash Dispense Error claim (Other Banks): 3 working days for first review, 2 working days for second review
• [Must] Mobile Banking Issues: 3 working days for first review, 2 working days for second review
• [Must] Charges on non-receipt of transaction alerts: 3 working days for first review, 2 working days for second review
• [Must] Password Reset Issues: 3 working days for first review, 2 working days for second review
• [Must] Account Unlock: 3 working days for first review, 2 working days for second review
• [Must] Login Issues (Password/User ID Issues): 3 working days for first review, 2 working days for second review
• [Must] Online Transaction Limit: 3 working days for first review, 2 working days for second review
• [Must] OTP generation Issues: 3 working days for first review, 2 working days for second review
• [Must] Registration issues: 3 working days for first review, 2 working days for second review
• [Must] Failed transaction(WEB / POS): 3 working days for first review, 2 working days for second review
• [Must] Other POS issues: 3 working days for first review, 2 working days for second review
• [Must] Internet Banking Account View Inability: 3 working days for first review, 2 working days for second review
• [Must] Internet Banking Account(s) Link Request: 3 working days for first review, 2 working days for second review
• [Must] Internet Banking Funds Transfer Failure: 3 working days for first review, 2 working days for second review
• [Must] Others: 3 working days for first review, 2 working days for second review
• [Must] Capital Importation Issues: 2 working days for first review, 1 working day for second review
• [Must] Export Issues: 2 working days for first review, 1 working day for second review
• [Must] Form A: 2 working days for first review, 1 working day for second review
• [Must] Form M: 2 working days for first review, 1 working day for second review
• [Must] Delays in confirmation of duty payment to port: 2 working days for first review, 1 working day for second review
• [Must] Letter of Credit: 2 working days for first review, 1 working day for second review
• [Must] Shipping Documents: 2 working days for first review, 1 working day for second review
• [Must] Bills for collection: 2 working days for first review, 1 working day for second review
• [Must] CRI Issues: 2 working days for first review, 1 working day for second review
• [Must] International Banking Fraud (Not on us): 60 working days for first review, 30 working days for second review
• [Must] International Banking Fraud (on us): 50 working days for first review, 25 working days for second review
• [Must] Others: 2 working days for first review, 1 working day for second review
• [Must] Z: 2 working days for first review, 1 working day for second review</t>
  </si>
  <si>
    <t>TIMELINES FOR COMPLAINTS RESOLUTION BY INSTITUTIONS: Category, Sub-category, CCMS, Code, 1st Review (working days), 2nd Review (working days)</t>
  </si>
  <si>
    <t>circular on the regulatory framework on open banking in nigeria (Nigeria - Row 8)</t>
  </si>
  <si>
    <t>Risk management framework for open banking participants</t>
  </si>
  <si>
    <t>This section establishes risk management requirements for open banking participants in Nigeria. It defines risk maturity levels (Tiers 0-3) based on regulatory licensing, specifies data and service access categories with associated risk ratings (PIST: Low, MIT: Moderate, PIFT: High, PAST: High &amp; Sensitive), and mandates data access governance through tiered registration requirements. Participants must implement robust risk assessment procedures, maintain API risk catalogs, and establish monitoring systems for partner participants to ensure compliance with the framework.</t>
  </si>
  <si>
    <t>This section requires data transfer impact assessments to evaluate risk maturity levels, data category risk ratings, and access governance mechanisms for cross-border data sharing in open banking. It mandates specific technical and operational safeguards for high-risk data categories like PIFT and PAST.</t>
  </si>
  <si>
    <t>• [Must] Participants must define risk maturity levels (Tiers 0-3) based on regulatory licensing
• [Must] Tier 0 participants require on-boarding by sponsoring Tier 2 or Tier 3 participants
• [Must] Sponsoring participants must register Tier 0 participants on Open Banking Registry within 3 working days
• [Must] Tier 1 participants must be admitted to CBN regulatory sandbox
• [Must] Tier 2 participants must hold valid CBN license and undergo risk assessment by two partner participants
• [Must] Tier 3 participants must hold valid CBN license and undergo risk assessment by two partner participants
• [Must] All participants must implement API risk catalogs and process control mapping</t>
  </si>
  <si>
    <t>• [Must] Providers must publish APIs and define technical guidelines
• [Must] Providers must carry out Know Your Partner (KYP) due diligence on partner participants
• [Must] Providers must ensure partner participants obtain end-user consent based on agreed protocols
• [Must] Providers must share responsibility for end-user losses not arising from wilful negligence
• [Must] API Users must obtain end-user consent for each action on their account
• [Must] All participants must maintain customer service desks operating 24/7 for complaint resolution
• [Must] All participants must comply with data privacy laws and regulations</t>
  </si>
  <si>
    <t>The Central Bank of Nigeria shall regulate the development of a common Banking Industry API standard with technical design standard, data standard, information security standard and operational rules.</t>
  </si>
  <si>
    <t>Singapore</t>
  </si>
  <si>
    <t>A Comprehensive Guide to the Law of Confidence and Breach of Confidence in Singapore_ Insights from [2024] SGCA 16 - IRB Law Singapore (Singapore - Row 33)</t>
  </si>
  <si>
    <t>Confidential information claims: mutual exclusivity of wrongful gain and loss claims</t>
  </si>
  <si>
    <t>Personal Information, Special Personal Information</t>
  </si>
  <si>
    <t>Singapore High Court</t>
  </si>
  <si>
    <t>This section clarifies that claims for wrongful gain and wrongful loss regarding the same set of confidential information are mutually exclusive. The court's application of the Coco test prevents concurrent claims under different legal frameworks, ensuring no double recovery. Plaintiffs must precisely delineate claims to distinct information sets to avoid overlapping claims and maintain clear burden of proof requirements.</t>
  </si>
  <si>
    <t>This section matters for DTIAs as it establishes that claims for the same confidential information cannot be split into wrongful gain and loss claims, requiring careful delineation of data sets to avoid overlapping legal claims during cross-border data transfers involving sensitive information.</t>
  </si>
  <si>
    <t>• [Must] Claims for wrongful gain and wrongful loss regarding the same set of confidential information are mutually exclusive
• [Must] The Coco test precludes concurrent application of the I-Admin test for the same information</t>
  </si>
  <si>
    <t>• [Must] Plaintiffs must clearly delineate claims for distinct sets of information</t>
  </si>
  <si>
    <t>2. Broad Issue: The court found that claims for wrongful gain and wrongful loss in respect of the same set of documents are mutually exclusive. The application of the Coco test precludes the concurrent application of the I-Admin test for the same information.</t>
  </si>
  <si>
    <t>Cybersecurity (Provider-Owned Critical Information (Singapore - Row 5 &amp; 6)</t>
  </si>
  <si>
    <t>Regulations definition and effective date</t>
  </si>
  <si>
    <t>These Regulations formally establish the Cybersecurity (Provider-Owned Critical Information Infrastructure) Regulations 2018 and specify their effective date as 31 August 2018. The regulations are subject to being repealed by subsequent legislation effective from 31 October 2025.</t>
  </si>
  <si>
    <t>• [Must] These Regulations are the Cybersecurity (Provider-Owned Critical Information Infrastructure) Regulations 2018</t>
  </si>
  <si>
    <t>• [Must] These Regulations come into operation on 31 August 2018</t>
  </si>
  <si>
    <t>These Regulations are the Cybersecurity (Provider-Owned Critical Information Infrastructure) Regulations 2018 and come into operation on 31 August 2018.</t>
  </si>
  <si>
    <t>Definitions of critical information infrastructure components</t>
  </si>
  <si>
    <t>This section defines key terms related to provider-owned critical information infrastructure, including owner-controlled interconnected systems, owner-controlled non-interconnected systems, relevant computer systems, and supplier-controlled systems. It also specifies what constitutes a working day for regulatory purposes.</t>
  </si>
  <si>
    <t>• [Must] owner-controlled interconnected computer or computer system means any computer or computer system under the control of the owner of a provider-owned critical information infrastructure, that is interconnected with or that communicates with the provider-owned critical information infrastructure
• [Must] owner-controlled non-interconnected computer or computer system means any computer or computer system under the control of the owner of a provider-owned critical information infrastructure, that is not the provider-owned critical information infrastructure or an owner-controlled interconnected computer or computer system
• [Must] relevant computer or computer system means — (a) a provider-owned critical information infrastructure; (b) an owner-controlled interconnected computer or computer system; (c) an owner-controlled non-interconnected computer or computer system; or (d) a supplier-controlled interconnected computer or computer system</t>
  </si>
  <si>
    <t>• [Must] supplier-controlled interconnected computer or computer system means any computer or computer system under the control of a supplier to the owner of a provider-owned critical information infrastructure, that is interconnected with or that communicates with the provider-owned critical information infrastructure
• [Must] working day means any day except a Saturday, Sunday or public holiday</t>
  </si>
  <si>
    <t>owner-controlled interconnected computer or computer system means any computer or computer system under the control of the owner of a provider-owned critical information infrastructure, that is interconnected with or that communicates with the provider-owned critical information infrastructure; owner-controlled non-interconnected computer or computer system means any computer or computer system under the control of the owner of a provider-owned critical information infrastructure, that is not the provider-owned critical information infrastructure or an owner-controlled interconnected computer or computer system; relevant computer or computer system means — (a) a provider-owned critical information infrastructure; (b) an owner-controlled interconnected computer or computer system; (c) an owner-controlled non-interconnected computer or computer system; or (d) a supplier-controlled interconnected computer or computer system; supplier-controlled interconnected computer or computer system means any computer or computer system under the control of a supplier to the owner of a provider-owned critical information infrastructure, that is interconnected with or that communicates with the provider-owned critical information infrastructure; working day means any day except a Saturday, Sunday or public holiday.</t>
  </si>
  <si>
    <t>Cybersecurity risk assessment requirements for provider-owned critical information infrastructure</t>
  </si>
  <si>
    <t>Cybersecurity (Provider-Owned Critical Information) Regulations</t>
  </si>
  <si>
    <t>The owner of provider-owned critical information infrastructure must complete the first cybersecurity risk assessment within six months of receiving notice under section 7(1) or (1A) of the Act. The assessment must include a description of every identified cybersecurity risk, the evaluated likelihood and consequences of each risk materializing, and the actions the owner will take for each risk. The assessment must be repeated annually thereafter, with time reckoning starting from the initial notice date if the infrastructure designation is extended.</t>
  </si>
  <si>
    <t>This section mandates specific cybersecurity risk assessment content and timelines for provider-owned critical information infrastructure, directly impacting how organizations conduct risk assessments for data transfers involving critical infrastructure.</t>
  </si>
  <si>
    <t>• [Must] A description of every identified cybersecurity risk to the provider-owned critical information infrastructure
• [Must] Evaluated likelihood and possible consequences of the materialisation of each identified cybersecurity risk
• [Must] Identified action that the owner of the provider-owned critical information infrastructure will take in respect of each identified cybersecurity risk</t>
  </si>
  <si>
    <t>• [Must] First cybersecurity risk assessment must be completed within six months after the date of notice issued under section 7(1) or (1A) of the Act
• [Condition] Time reckoning for annual cybersecurity risk assessments starts from the date of initial notice if infrastructure designation is extended</t>
  </si>
  <si>
    <t>Singapore Statutes Online: (ii) a description of every identified cybersecurity risk to the provider-owned critical information infrastructure; (iii) the evaluated likelihood and possible consequences of the materialisation of each identified cybersecurity risk; (iv) the identified action that the owner of the provider-owned critical information infrastructure will take in respect of each identified cybersecurity risk.</t>
  </si>
  <si>
    <t>Guidelines on Environmental Risk Management Insurers Dec 2020-2 (Singapore - Row 14)</t>
  </si>
  <si>
    <t>Introduction to Environmental Risk Management Guidelines for Insurers</t>
  </si>
  <si>
    <t>MAS</t>
  </si>
  <si>
    <t>These Guidelines aim to enhance insurance sector resilience to environmental risks through sound risk management practices. They apply to all insurers operating in Singapore under the Insurance Act, including those via foreign insurer schemes. The Guidelines cover underwriting and investment activities exposed to material environmental risks. Insurers must implement these practices proportionally to their business size and risk profile, with MAS allowing group-level application for locally-incorporated insurers.</t>
  </si>
  <si>
    <t>This section establishes the scope and applicability of environmental risk management for insurers, emphasizing the need for tailored approaches based on business size and risk profile. It clarifies that the Guidelines apply to underwriting and investment activities with material environmental exposure.</t>
  </si>
  <si>
    <t>• [Must] Guidelines apply to all insurers, including those under foreign insurer schemes in Singapore
• [Must] Guidelines apply to underwriting and investment activities with material environmental risk exposure</t>
  </si>
  <si>
    <t>• [Must] Insurers must implement guidelines proportionally to business size and risk profile
• [May] Group-level application allowed for locally-incorporated insurers</t>
  </si>
  <si>
    <t>These Guidelines aim to enhance the insurance sector's resilience to and management of environmental risk through setting out sound risk management practices. The Guidelines apply to all insurers, including insurers carrying on business in Singapore under a foreign insurer scheme established under Part IIA of the Insurance Act (Cap. 142).</t>
  </si>
  <si>
    <t>Scope of Environmental Risk for Insurers</t>
  </si>
  <si>
    <t>Environmental risk encompasses climate change, biodiversity loss, pollution, and land use changes. These risks pose financial and reputational threats through physical and transition channels. Physical risks involve weather events and long-term environmental changes, while transition risks relate to policy shifts and technological changes. Insurers must assess how these risks impact their specific business models and customer profiles.</t>
  </si>
  <si>
    <t>This section defines environmental risks relevant to insurers, emphasizing physical and transition risks that can affect financial stability. It highlights the need for insurers to evaluate their specific exposure to climate-related and biodiversity risks.</t>
  </si>
  <si>
    <t>• [Must] Environmental risk includes climate change, biodiversity loss, pollution, and land use changes
• [Must] Physical risk arises from weather events and long-term environmental changes</t>
  </si>
  <si>
    <t>• [Must] Transition risk arises from adjustments to environmentally sustainable economies
• [Must] Environmental risks impact insurers through financial and reputational channels</t>
  </si>
  <si>
    <t>Environmental risk arises from the potential adverse impact of changes in the environment on economic activities and human well-being.</t>
  </si>
  <si>
    <t>Governance and Strategic Oversight for Environmental Risk</t>
  </si>
  <si>
    <t>5–7</t>
  </si>
  <si>
    <t>The Board and senior management must integrate environmental risk into business strategies and risk appetite frameworks. They are responsible for approving environmental risk management frameworks, ensuring material risks are addressed in risk appetite, and establishing clear roles for oversight. Insurers must maintain effective oversight of environmental risk disclosures and ensure directors understand environmental risks.</t>
  </si>
  <si>
    <t>This section mandates strong governance for environmental risk, requiring Board-level oversight and integration into risk appetite frameworks. It emphasizes the need for insurers to have clear accountability structures for managing environmental risks.</t>
  </si>
  <si>
    <t>• [Must] Board and senior management must incorporate environmental considerations into risk appetite and business plans
• [Must] Board must approve environmental risk management framework and policies
• [Must] Board must ensure environmental risk is addressed in risk appetite framework</t>
  </si>
  <si>
    <t>• [Must] Board must set clear roles and responsibilities for environmental risk oversight
• [Must] Senior management must develop and implement environmental risk management framework
• [Must] Senior management must review effectiveness of environmental risk framework regularly</t>
  </si>
  <si>
    <t>The Board of Directors (</t>
  </si>
  <si>
    <t>Integrating environmental risk into underwriting processes</t>
  </si>
  <si>
    <t>9–11</t>
  </si>
  <si>
    <t>Underwriters must use external and proprietary sources to evaluate environmental impacts of transactions and collaborate with experts to improve data quality. Insurers must develop internal guidance for environmental risk detection and escalation, embedding these processes within their underwriting policies. Environmental risk appetite and procedures may require customization to align with existing risk management frameworks.</t>
  </si>
  <si>
    <t>Requires insurers to assess environmental risks during underwriting, including customer's risk management capacity and climate transition impacts, which affects cross-border data transfers if environmental risk assessments involve international data flows.</t>
  </si>
  <si>
    <t>• [Must] Underwriters should check potential environmental impact of transactions using publicly available and proprietary sources
• [Must] Insurers should develop internal guidance for environmental risk detection and escalation</t>
  </si>
  <si>
    <t>• [May] Environmental risk appetite and processes may require greater customisation to fit existing risk management processes</t>
  </si>
  <si>
    <t>Underwriters should be provided with the means to check the potential impact of the proposed transaction on the environment, from both publicly available and proprietary sources, and work with external experts to enhance the quality of data collected to better understand a customer's environmental risk profile.</t>
  </si>
  <si>
    <t>Ongoing environmental risk monitoring for investments</t>
  </si>
  <si>
    <t>Insurers must continuously monitor environmental risks across investments and portfolios, using both macro and granular approaches. They should track environmental impacts, develop metrics for risk assessment, and reassess investments following significant environmental events or regulatory changes. Insurers must document and escalate material environmental risks through internal processes.</t>
  </si>
  <si>
    <t>Mandates continuous environmental risk monitoring for investment portfolios, which impacts data transfers if environmental risk assessments require cross-border data flows or international climate data.</t>
  </si>
  <si>
    <t>• [Must] Insurers should monitor potential and actual environmental impact on investments and portfolios on an ongoing basis
• [Should] Insurers should consider environmental impacts from both macro and granular asset selection perspectives
• [Should] Insurers should develop metrics to indicate environmental risk in investment portfolios
• [Should] Insurers should monitor evolution of environmental risk metrics to assess effectiveness of actions</t>
  </si>
  <si>
    <t>• [May] Insurers may use proprietary information, research, models, and ratings to inform portfolio analysis
• [Should] Insurers should reassess risk and return profiles following significant environmental events or regulatory changes
• [Must] Insurers must escalate material environmental risk exposures through internal processes</t>
  </si>
  <si>
    <t>Insurers should put in place appropriate processes and systems to monitor, assess and manage the potential and actual impact of environmental risk on individual investments and portfolios on an ongoing basis, where material.</t>
  </si>
  <si>
    <t>Environmental risk disclosure requirements</t>
  </si>
  <si>
    <t>Insurers must disclose their environmental risk management approach annually to stakeholders, including quantitative metrics on sectoral exposures. Disclosures should align with international frameworks like TCFD, covering governance, strategy, risk management, and metrics. Insurers must review disclosures regularly to ensure comprehensiveness and relevance.</t>
  </si>
  <si>
    <t>Requires insurers to disclose environmental risk management practices, which may involve cross-border data transfers if disclosures include international climate data or financial metrics.</t>
  </si>
  <si>
    <t>• [Must] Insurers should disclose environmental risk management approach annually to stakeholders
• [Must] Disclosures should include potential impact of material environmental risk on the insurer</t>
  </si>
  <si>
    <t>• [Must] Disclosures should align with TCFD recommendations on governance, strategy, risk management, and metrics
• [Should] Insurers should review disclosures regularly to improve comprehensiveness and relevance</t>
  </si>
  <si>
    <t>The insurer should, at least on an annual basis, disclose its approach to managing environmental risk in a manner that is clear and meaningful to its stakeholders.</t>
  </si>
  <si>
    <t>ID18_24 (Singapore - Row 12)</t>
  </si>
  <si>
    <t>MAS publishes AI model risk management information paper for insurers</t>
  </si>
  <si>
    <t>Monetary Authority of Singapore (MAS)</t>
  </si>
  <si>
    <t>The Monetary Authority of Singapore (MAS) released an information paper outlining good practices for AI model risk management, specifically targeting licensed insurers and Lloyd's Asia Scheme members. The paper focuses on governance, oversight, risk management systems, and AI development/deployment practices observed during a thematic review of financial institutions' AI practices in mid-2024. MAS encourages financial institutions to adopt these practices when developing and deploying AI systems.</t>
  </si>
  <si>
    <t>This information paper provides guidance on AI model risk management practices relevant to data processing activities involving AI systems, which may impact data transfer considerations when deploying AI models across borders.</t>
  </si>
  <si>
    <t>• [Must] MAS published an information paper on AI model risk management for licensed insurers and Lloyd's Asia Scheme
• [Must] The information paper focuses on governance and oversight of AI model risk management</t>
  </si>
  <si>
    <t>• [Must] The information paper covers key risk management systems and processes for AI development and deployment
• [Must] MAS encourages financial institutions to reference these good practices when developing and deploying AI</t>
  </si>
  <si>
    <t>Circular No: ID 18/24
5 December 2024
To Chief Executives
All Licensed Insurers and Lloyd's Asia Scheme
MAS has published an information paper on "Artificial Intelligence (AI) Model Risk Management"</t>
  </si>
  <si>
    <t>ID18_24-2 (Singapore - Row 21)</t>
  </si>
  <si>
    <t>The Monetary Authority of Singapore (MAS) released an information paper outlining good practices for AI model risk management, specifically targeting licensed insurers and Lloyd's Asia Scheme members. The paper focuses on governance, oversight, risk management systems, and AI development/deployment practices observed during a thematic review of financial institutions' AI practices in mid-2024. MAS encourages financial institutions to adopt these practices when implementing AI systems.</t>
  </si>
  <si>
    <t>This section provides guidance on AI model risk management practices relevant to financial institutions, which may impact data transfer considerations when deploying AI systems across borders.</t>
  </si>
  <si>
    <t>• [Must] MAS published an information paper on AI model risk management for licensed insurers and Lloyd's Asia Scheme
• [Must] The information paper focuses on governance and oversight, key risk management systems, and AI development/deployment practices</t>
  </si>
  <si>
    <t>• [Should] MAS encourages financial institutions to reference these good practices when developing and deploying AI</t>
  </si>
  <si>
    <t>Circular No: ID 18/24
5 December 2024
To Chief Executives
All Licensed Insurers and Lloyd's Asia Scheme</t>
  </si>
  <si>
    <t>MAS Notice FSM-N21 (Singapore - Row 32)</t>
  </si>
  <si>
    <t>Scope of Financial Services Act 2022 Compliance</t>
  </si>
  <si>
    <t>Financial Data, Customer Information, Employee Information, Special Personal Information</t>
  </si>
  <si>
    <t>This section defines which financial institutions are subject to the Notice. It specifies that approved exchanges, licensed trade repositories, approved clearing houses, recognised clearing houses, capital markets services license holders, recognised market operators, trustees for collective investment schemes, authorised benchmark administrators, and authorised benchmark submitters under the Securities and Futures Act 2001 are covered. The Notice applies to these entities as 'specified financial institutions'.</t>
  </si>
  <si>
    <t>• [Must] Approved exchanges under Securities and Futures Act 2001 are covered
• [Must] Licensed trade repositories under Securities and Futures Act 2001 are covered
• [Must] Approved clearing houses under Securities and Futures Act 2001 are covered
• [Must] Recognised clearing houses incorporated in Singapore are covered
• [Must] Holders of capital markets services licences under Securities and Futures Act 2001 are covered
• [Must] Recognised market operators incorporated in Singapore are covered</t>
  </si>
  <si>
    <t>• [Must] Trustees for collective investment schemes authorised under section 286 of Securities and Futures Act 2001 are covered
• [Must] Authorised benchmark administrators under Securities and Futures Act 2001 are covered
• [Must] Authorised benchmark submitters under Securities and Futures Act 2001 are covered
• [Must] Designated benchmark submitters under Securities and Futures Act 2001 are covered
• [Must] Depository as defined in section 81SF of Securities and Futures Act 2001 is covered</t>
  </si>
  <si>
    <t>This Notice is issued pursuant to section 29(1) of the Financial Services and Markets Act 2022 (the "Act") and applies to all the following financial institutions: (a) approved exchanges under the Securities and Futures Act 2001 ("SFA"); (b) licensed trade repositories under the SFA; (c) approved clearing houses under the SFA; (d) recognised clearing houses under the SFA which are incorporated in Singapore; (e) holders of a capital markets services licence under the SFA; (f) recognised market operators under the SFA which are incorporated in Singapore; (g) trustees for a collective investment scheme authorised under section 286 of the SFA, that are approved under the SFA; (h) authorised benchmark administrators under the SFA; (i) authorised benchmark submitters under the SFA; (j) designated benchmark submitters under the SFA; (k) the Depository as defined in section 81SF of the SFA, (each a "specified financial institution").</t>
  </si>
  <si>
    <t>Critical Systems and Incident Definitions</t>
  </si>
  <si>
    <t>This section provides definitions for key terms used in the Notice. It defines 'critical system' as a system whose failure causes significant disruption or impacts customer services, 'customer' for different financial institution types, 'IT security incident' as a security breach affecting critical systems, 'relevant incident' as a severe system malfunction or security incident, 'system' as IT infrastructure components, and 'system malfunction' as failure of critical systems.</t>
  </si>
  <si>
    <t>• [Must] Critical system means a system whose failure causes significant disruption to operations or materially impacts customer service
• [Must] Customer has specific meanings for capital markets services license holders and approved/recognised clearing houses
• [Must] IT security incident means an event involving security breach, hacking, intrusion, or denial of service attack on critical systems</t>
  </si>
  <si>
    <t>• [Must] Relevant incident means a system malfunction or IT security incident with severe and widespread impact
• [Must] System means any hardware, software, network, or IT component part of IT infrastructure
• [Must] System malfunction means failure of critical systems</t>
  </si>
  <si>
    <t>For the purpose of this Notice — "critical system" in relation to a specified financial institution, means a system, the failure of which will cause significant disruption to the operations of the specified financial institution or materially impact the specified financial institution's service to its customers, such as a system which — (a) processes transactions that are time critical; or (b) provides essential services to customers; "customer" – (a) in relation to a holder of a capital markets services licence, has the meaning given by paragraph (a)(i) of the definition of "customer" in section 2(1) of the SFA; and (b) in relation to an approved clearing house or a recognised clearing house, has the meaning given by paragraph (b) of the definition of "customer" in section 2(1) of the SFA; "IT security incident" means an event that involves a security breach, such as hacking of, intrusion into, or denial of service attack on, a critical system, or a system which compromises the security, integrity or confidentiality of customer information; "relevant incident" means a system malfunction or IT security incident, which has a severe and widespread impact on the specified financial institution's operations or materially impacts the specified financial institution's service to its customers; "system" means any hardware, software, network, or other information technology ("IT") component which is part of an IT infrastructure; and "system malfunction" means a failure of any of the specified financial institution's critical systems.</t>
  </si>
  <si>
    <t>Default Definitions</t>
  </si>
  <si>
    <t>This section states that all expressions in the Notice have the same meanings as in the Financial Services and Markets Act 2022 unless defined otherwise in the Notice. It serves as a default reference point for terminology consistency across the document.</t>
  </si>
  <si>
    <t>• [Must] All expressions in this Notice have the same meanings as in the Act unless defined otherwise</t>
  </si>
  <si>
    <t>Except where defined in this Notice or if the context otherwise requires, the expressions used in this Notice have the same meanings as in the Act.</t>
  </si>
  <si>
    <t>Critical System Availability Requirements</t>
  </si>
  <si>
    <t>This section mandates that specified financial institutions must maintain high availability for critical systems. It requires that the maximum unscheduled downtime for critical systems affecting operations or customer service does not exceed 4 hours within any 12-month period. It also requires establishing a recovery time objective (RTO) of not more than 4 hours for each critical system and validating and documenting system recovery testing at least once every 12 months.</t>
  </si>
  <si>
    <t>This section imposes strict uptime requirements for critical systems, directly impacting data storage and system availability during cross-border data transfers for financial institutions.</t>
  </si>
  <si>
    <t>• [Must] Must maintain high availability for critical systems
• [Must] Maximum unscheduled downtime for critical systems affecting operations or customer service must not exceed 4 hours within any 12-month period</t>
  </si>
  <si>
    <t>• [Must] Must establish a recovery time objective (RTO) of not more than 4 hours for each critical system
• [Must] Must validate and document system recovery testing at least once every 12 months</t>
  </si>
  <si>
    <t>A specified financial institution must make all reasonable effort to maintain high availability for critical systems. The specified financial institution must ensure that the maximum unscheduled downtime for each critical system that affects the specified financial institution's operations or service to its customers does not exceed a total of 4 hours within any period of 12 months. A specified financial institution must establish a recovery time objective ("RTO") of not more than 4 hours for each critical system. The RTO is the duration of time, from the point of disruption, within which a system must be restored. The specified financial institution must validate and document at least once every 12 months, how it performs its system recovery testing and when the RTO is validated during the system recovery testing.</t>
  </si>
  <si>
    <t>Relevant Incident Notification</t>
  </si>
  <si>
    <t>This section requires specified financial institutions to notify the MAS Authority within 1 hour upon discovering a relevant incident, except for incidents arising from specific circumstances outlined in certain regulations. The notification must be made as soon as possible but no later than 1 hour after discovery.</t>
  </si>
  <si>
    <t>This section mandates immediate notification of system incidents to MAS, which impacts data breach response timelines and cross-border incident reporting for financial data.</t>
  </si>
  <si>
    <t>• [Must] Must notify MAS Authority within 1 hour upon discovery of relevant incident</t>
  </si>
  <si>
    <t>• [Must Not] Exclusions: relevant incidents arising from circumstances in regulations 8(2)(a) and (b), and 21(d) of the Markets Regulations, regulation 9(1) of the Trade Repositories Regulations, regulation 11(1) of the Clearing Facilities Regulations, and regulations 11(1)(e) and 19(2)(b) of the Financial Benchmarks Regulations</t>
  </si>
  <si>
    <t>A specified financial institution must notify the Authority as soon as possible, but not later than 1 hour, upon the discovery of a relevant incident, other than a relevant incident arising from the circumstances set out in regulations 8(2)(a) and (b), and 21(d) of the Securities and Futures (Organised Markets) Regulations 2018 ("Markets Regulations"), regulation 9(1) of the Securities and Futures (Trade Repositories) Regulations 2013, regulation 11(1) of the Securities and Futures (Clearing Facilities) Regulations 2013, and regulations 11(1)(e) and 19(2)(b) of the Securities and Futures (Financial Benchmarks) Regulations 2018 ("Financial Benchmarks Regulations").</t>
  </si>
  <si>
    <t>Root Cause Analysis Report</t>
  </si>
  <si>
    <t>This section requires specified financial institutions to submit a root cause and impact analysis report to MAS within 14 days (or a longer period allowed by MAS) after discovering a relevant incident. The report must include an executive summary, root cause analysis, impact on compliance, operations, and customer service, and remedial measures taken.</t>
  </si>
  <si>
    <t>This section mandates detailed incident reporting for financial data, impacting data breach response and cross-border data transfer compliance for financial institutions.</t>
  </si>
  <si>
    <t>• [Must] Must submit root cause and impact analysis report to MAS within 14 days or longer period allowed by MAS
• [Must] Report must contain executive summary of relevant incident
• [Must] Report must contain analysis of root cause triggering relevant incident
• [Must] Report must describe impact on compliance with laws and regulations</t>
  </si>
  <si>
    <t>• [Must] Report must describe impact on operations
• [Must] Report must describe impact on service to customers
• [Must] Report must describe remedial measures taken to address root cause</t>
  </si>
  <si>
    <t>A specified financial institution must, within 14 days or such longer period as the Authority may allow, from the discovery of the relevant incident as described in paragraph 7 or a relevant incident arising from the circumstances set out in regulation 21(d) of the Markets Regulations, as the case may be, submit a root cause and impact analysis report to the Authority. The report must contain — (a) an executive summary of the relevant incident; (b) an analysis of the root cause which triggered the relevant incident; (c) a description of the impact of the relevant incident on the specified financial institution's – i. compliance with laws and regulations applicable to the specified financial institution; ii. operations; and iii. service to its customers; and (d) a description of the remedial measures taken to address the root cause and consequences of the relevant incident.</t>
  </si>
  <si>
    <t>IT controls for customer information protection</t>
  </si>
  <si>
    <t>A specified financial institution must implement IT controls to prevent unauthorised access or disclosure of customer information. These controls are required to safeguard customer data. The obligation applies to financial institutions operating under this notice.</t>
  </si>
  <si>
    <t>This section mandates specific technical safeguards for customer data, directly impacting cross-border data transfers by requiring robust IT controls to prevent breaches.</t>
  </si>
  <si>
    <t>• [Must] A specified financial institution must implement IT controls to protect customer information from unauthorised access or disclosure</t>
  </si>
  <si>
    <t>A specified financial institution must implement IT controls to protect customer information from unauthorised access or disclosure.</t>
  </si>
  <si>
    <t>MAS Notices 644 655 644A 655A 1114 1118 Cancellation 2024 (Singapore - Row 18)</t>
  </si>
  <si>
    <t>Notice issued under Banking Act sections</t>
  </si>
  <si>
    <t>This section states that the Notice is issued under specific sections of the Banking Act 1970. The notice is authorized by sections 55(1), 57D(1)(a) and (3), and 55(1) as applied by section 55ZJ(1) of the Banking Act 1970. The notice is a legal instrument that establishes its authority through these statutory provisions.</t>
  </si>
  <si>
    <t>• [Authorisation] This Notice is issued under sections 55(1), 57D(1)(a) and (3) and 55(1) as applied by section 55ZJ(1) of the Banking Act 1970</t>
  </si>
  <si>
    <t>This Notice is issued under sections 55(1), 57D(1)(a) and (3) and 55(1) as applied by section 55ZJ(1) of the Banking Act 1970.</t>
  </si>
  <si>
    <t>Cancellation of specific MAS Notices effective 10 May 2024</t>
  </si>
  <si>
    <t>This section lists six MAS Notices that are cancelled with effect from 10 May 2024. The cancelled notices include technology risk management and cyber hygiene notices from various dates. These notices are no longer in force after the specified date.</t>
  </si>
  <si>
    <t>• [Authorisation] The following Notices are cancelled with effect from 10 May 2024
• [Restriction] MAS Notice 644 "Notice on Technology Risk Management" dated 21 June 2013
• [Restriction] MAS Notice 655 "Notice on Cyber Hygiene" dated 6 August 2019
• [Restriction] MAS Notice 644A "Notice on Technology Risk Management" dated 21 June 2013</t>
  </si>
  <si>
    <t>• [Restriction] MAS Notice 655A "Notice on Cyber Hygiene" dated 6 August 2019
• [Restriction] MAS Notice 1114 "Notice on Technology Risk Management" dated 1 July 2021
• [Restriction] MAS Notice 1118 "Notice on Cyber Hygiene" dated 1 July 2021</t>
  </si>
  <si>
    <t>The following Notices are cancelled with effect from 10 May 2024: (a) MAS Notice 644 "Notice on Technology Risk Management" dated 21 June 2013; (b) MAS Notice 655 "Notice on Cyber Hygiene" dated 6 August 2019; (c) MAS Notice 644A "Notice on Technology Risk Management" dated 21 June 2013; (d) MAS Notice 655A "Notice on Cyber Hygiene" dated 6 August 2019; (e) MAS Notice 1114 "Notice on Technology Risk Management" dated 1 July 2021; (f) MAS Notice 1118 "Notice on Cyber Hygiene" dated 1 July 2021.</t>
  </si>
  <si>
    <t>Personal Data Protection (Prescribed Law Enforceme (Singapore - Row 26)</t>
  </si>
  <si>
    <t>Notification effective date and scope</t>
  </si>
  <si>
    <t>This section establishes the effective date and scope of the Personal Data Protection (Prescribed Law Enforcement Agency) Notification 2020, which comes into operation on 15 April 2020. It defines the Notification as the official document for prescribed law enforcement agencies under the Personal Data Protection Act. The Notification serves as the legal framework for identifying which agencies qualify as prescribed law enforcement agencies.</t>
  </si>
  <si>
    <t>• [Definition] This Notification is the Personal Data Protection (Prescribed Law Enforcement Agency) Notification 2020</t>
  </si>
  <si>
    <t>• [Definition] This Notification comes into operation on 15 April 2020</t>
  </si>
  <si>
    <t>This Notification is the Personal Data Protection (Prescribed Law Enforcement Agency) Notification 2020 and comes into operation on 15 April 2020.</t>
  </si>
  <si>
    <t>Corrupt Practices Investigation Bureau as prescribed law enforcement agency</t>
  </si>
  <si>
    <t>This section specifies that the Corrupt Practices Investigation Bureau (CPIB) is designated as a prescribed law enforcement agency under the Personal Data Protection Act. The designation applies to sections 21(4) and 26D(6) of the Act and the Second Schedule. This designation is effective from 5 February 2021, as noted in the reference [S 83/2021].</t>
  </si>
  <si>
    <t>• [Definition] The Corrupt Practices Investigation Bureau is a prescribed law enforcement agency</t>
  </si>
  <si>
    <t>For the purposes of sections 21(4) and 26D(6) of, and the Second Schedule to, the Act, the Corrupt Practices Investigation Bureau is a prescribed law enforcement agency.</t>
  </si>
  <si>
    <t>Statistics Act 1973 (Singapore - Row 24)PROVISIONALLY</t>
  </si>
  <si>
    <t>Definitions of statistical terms and entities</t>
  </si>
  <si>
    <t>This section defines key terms used throughout the Statistics Act, including 'anonymised microdata', 'public agency', 'requisition', 'research and statistics unit', and 'statistical purposes'. These definitions establish the scope and meaning of critical concepts for data collection and processing activities under the Act.</t>
  </si>
  <si>
    <t>• [Definition] anonymised microdata means particulars or information pertaining to any person which is in a form that conceals or protects the identity of that person, whether by presenting the particulars or information in statistical form or otherwise, so that the identity of that person cannot be readily discovered or ascertained from the particulars or infor…
• [Definition] public agency means a public officer, an Organ of State or a ministry or department of the Government, or a public authority established by or under any written law for a public purpose or a member, an officer or an employee thereof
• [Definition] requisition means a requisition issued under section 5</t>
  </si>
  <si>
    <t>• [Definition] research and statistics unit means a research and statistics unit specified in the Second Schedule
• [Definition] statistical purposes means the compilation of statistics or the preparation of anonymised microdata relating to any subject matter listed in the First Schedule</t>
  </si>
  <si>
    <t>2. In this Act, unless the context otherwise requires — "anonymised microdata" means particulars or information pertaining to any person which is in a form that conceals or protects the identity of that person, whether by presenting the particulars or information in statistical form or otherwise, so that the identity of that person cannot be readily discovered or ascertained from the particulars or information; "public agency" means a public officer, an Organ of State or a ministry or department of the Government, or a public authority established by or under any written law for a public purpose or a member, an officer or an employee thereof; "requisition" means a requisition issued under section 5; "research and statistics unit" means a research and statistics unit specified in the Second Schedule; "statistical purposes" means the compilation of statistics or the preparation of anonymised microdata relating to any subject matter listed in the First Schedule.</t>
  </si>
  <si>
    <t>Banking provisions</t>
  </si>
  <si>
    <t>This section is a heading for a banking provision but contains no substantive text. It serves as a label for a section that may relate to banking regulations but does not define any specific obligations or conditions.</t>
  </si>
  <si>
    <t>• [Definition] 7. Banking</t>
  </si>
  <si>
    <t>7. Banking</t>
  </si>
  <si>
    <t>Statistics Act 1973 (Singapore - Row 32)</t>
  </si>
  <si>
    <t>This section defines key terms used throughout the Act, including 'anonymised microdata' as statistical information that conceals individual identity, 'public agency' as government entities, 'requisition' for data collection, 'research and statistics unit' for statistical activities, and 'statistical purposes' for data compilation. These definitions establish the scope and terminology for statistical operations under the Act.</t>
  </si>
  <si>
    <t>Prohibition on disclosing identifiable data without consent</t>
  </si>
  <si>
    <t>Data Sharing, Data Residency, Security</t>
  </si>
  <si>
    <t>This section prohibits individuals from disclosing data obtained through statistical requisitions or directives in a form that identifies persons without prior written consent. Exceptions include disclosures as anonymised statistics, to public agencies, for legal proceedings, general business information, or data already in the public domain. Non-compliance incurs fines up to $10,000 or imprisonment for up to 12 months.</t>
  </si>
  <si>
    <t>This section imposes restrictions on how data obtained for statistical purposes can be shared across borders or with third parties, requiring that disclosures do not identify individuals without consent. It mandates anonymisation for cross-border transfers to avoid identification risks.</t>
  </si>
  <si>
    <t>• [Must Not] A person must not disclose any particulars or information obtained under section 5 or 6 in a form that may identify any person without the prior consent in writing of the person that may be identified by the disclosure
• [May] The Chief Statistician or the director of a research and statistics unit (as the case may be) may disclose particulars or information obtained under section 5 or 6 as statistics which do not identify any person
• [May] The Chief Statistician or the director of a research and statistics unit (as the case may be) may disclose particulars or information obtained under section 5 or 6 as anonymised microdata to any public agency
• [May] The Chief Statistician or the director of a research and statistics unit (as the case may be) may disclose particulars or information obtained under section 5 or 6 as anonymised microdata to any other person within a class specified in the Third Schedule
• [May] The Chief Statistician or the director of a research and statistics unit (as the case may be) may disclose particulars or information obtained under section 5 or 6 for the purposes of any proceedings for an offence under this Act or any report of those proceedings</t>
  </si>
  <si>
    <t>• [May] The Chief Statistician or the director of a research and statistics unit (as the case may be) may disclose particulars or information obtained under section 5 or 6 that are of a general nature relating to the products or services provided by, the number of employees in or the addresses of, an establishment
• [May] The Chief Statistician or the director of a research and statistics unit (as the case may be) may disclose particulars or information obtained under section 5 or 6 that are already available in the public domain
• [May] The Chief Statistician or the director of a research and statistics unit may, in respect of any particulars or information disclosed to any person under subsection (2), impose conditions as to the use of the particulars or information by written notice to that person
• [Must] If a person discloses any returns or any particulars or information contrary to this section, or fails to comply with any conditions imposed on the person under subsection (3), the person shall be guilty of an offence and shall be liable on conviction to a fine not exceeding $10,000 or to imprisonment for a term not exceeding 12 months or to both</t>
  </si>
  <si>
    <t>7. (1) A person must not disclose any particulars or information obtained under section 5 or 6 in a form that may identify any person without the prior consent in writing of the person that may be identified by the disclosure. (2) Despite subsection (1), the Chief Statistician or the director of a research and statistics unit (as the case may be) may disclose particulars or information obtained under section 5 or 6 — (a) as statistics which do not identify any person; (b) as anonymised microdata to — (i) any public agency; or (ii) any other person within a class specified in the Third Schedule; (c) for the purposes of any proceedings for an offence under this Act or any report of those proceedings; (d) that are of a general nature relating to the products or services provided by, the number of employees in or the addresses of, an establishment; or (e) that are already available in the public domain. (3) The Chief Statistician or the director of a research and statistics unit may, in respect of any particulars or information disclosed to any person under subsection (2), impose conditions as to the use of the particulars or information by written notice to that person. (4) If a person discloses any returns or any particulars or information contrary to this section, or fails to comply with any conditions imposed on the person under subsection (3), the person shall be guilty of an offence and shall be liable on conviction to a fine not exceeding $10,000 or to imprisonment for a term not exceeding 12 months or to both.</t>
  </si>
  <si>
    <t>South Africa</t>
  </si>
  <si>
    <t>1. FSCA Conduct Standard 1 of 2025 - Requirements for FIs providing FE initiatives</t>
  </si>
  <si>
    <t>Definitions of key terms in financial education initiatives</t>
  </si>
  <si>
    <t>This section defines critical terms such as 'financial education initiative', 'target group', and 'service provider' to clarify scope and applicability. It specifies that financial education initiatives must exclude marketing activities and focus on improving financial literacy. The definitions also establish that financial institutions must include potential customers in the scope of 'financial customers' and align with broader economic empowerment frameworks.</t>
  </si>
  <si>
    <t>• [Definition] Authority means the Financial Sector Conduct Authority as defined in section 1 of the Act
• [Definition] Evaluation means a systematic and objective assessment of an ongoing or completed financial education initiative
• [Definition] Financial customer includes potential financial customers
• [Definition] Financial education aims to improve understanding of financial products and risks
• [Definition] Financial education initiative excludes marketing activities for specific financial products</t>
  </si>
  <si>
    <t>• [Definition] Financial Sector Code refers to codes of good practice on broad-based black economic empowerment
• [Definition] Monitoring means regular collection and analysis of information about initiative progress
• [Definition] Service provider includes agents with arrangements for financial education initiatives
• [Definition] Specific financial product or service means actual financial products provided by providers
• [Definition] Target group includes youth, women, small businesses, and other vulnerable groups</t>
  </si>
  <si>
    <t>In this Schedule, "the Act" means the Financial Sector Regulation Act, 2017 () and any word or expression to which a meaning has been assigned in the Act bears the meaning so assigned to it, and unless the context otherwise indicates –</t>
  </si>
  <si>
    <t>Scope and purpose of financial education initiatives</t>
  </si>
  <si>
    <t>This section specifies that the Conduct Standard applies only when financial institutions provide financial education initiatives, including through service providers. It aims to protect financial customers by ensuring initiatives support informed financial decisions and sound governance practices. Financial institutions must take reasonable steps to ensure appropriate standards of behavior and oversight in developing, implementing, monitoring, and evaluating initiatives.</t>
  </si>
  <si>
    <t>• [Must] This Conduct Standard applies only where a financial institution provides or offers a financial education initiative
• [Must] The purpose is to protect financial customers by ensuring initiatives support informed financial decisions</t>
  </si>
  <si>
    <t>• [Must] Financial institutions must take reasonable steps to ensure appropriate standards of behavior and oversight</t>
  </si>
  <si>
    <t>This Conduct Standard is only applicable where a financial institution provides or offers a financial education initiative, including the provision of a financial education initiative by a service provider.</t>
  </si>
  <si>
    <t>Governance and oversight for financial education initiatives</t>
  </si>
  <si>
    <t>Governance, Employee Information</t>
  </si>
  <si>
    <t>Financial institutions must establish governance arrangements to oversee the design and implementation of financial education initiatives. These arrangements must include ongoing monitoring and review of initiative effectiveness. Institutions must also implement systems for reporting to the Authority and ensure employees and service providers have necessary skills and expertise. Responsibility for regulatory compliance remains with the financial institution regardless of service provider involvement.</t>
  </si>
  <si>
    <t>• [Must] Financial institution must have appropriate governance arrangements to oversee design and implementation
• [Must] Governance arrangements must include ongoing monitoring and review of initiative effectiveness
• [Must] Financial institution must have systems for reporting pre- and post-implementation to Authority</t>
  </si>
  <si>
    <t>• [Must] Financial institution must ensure employees and service providers have necessary skills and expertise
• [Must] Governance arrangements must apply to service providers to ensure initiative effectiveness
• [Must] Financial institution retains responsibility for all regulatory obligations regardless of service provider</t>
  </si>
  <si>
    <t>A financial institution must have appropriate governance arrangements in place to oversee the design and implementation of financial education initiatives.</t>
  </si>
  <si>
    <t>Content and delivery requirements for financial education initiatives</t>
  </si>
  <si>
    <t>Financial education initiatives must aim to enable individuals to make informed financial decisions and encourage positive behavior. Content must be based on objective information, targeted to the appropriate audience, distinct from marketing activities, and brand agnostic. Delivery platforms must be appropriate for the target group to ensure effective reach and relevance.</t>
  </si>
  <si>
    <t>• [Must] Financial education initiatives should enable natural persons to make informed financial decisions
• [Must] Financial education initiatives should encourage positive customer behavior and influence behavioral change
• [May] Financial institution may use any delivery platform provided it is appropriate for target group
• [Must] Content must be based on objective and impartial information</t>
  </si>
  <si>
    <t>• [Must] Content must be targeted suitably at the appropriate target group
• [Must] Content must be distinct from brand-specific financial product or service sales processes
• [Must] Content must be brand agnostic but may unpack financial concepts</t>
  </si>
  <si>
    <t>Financial education initiative provided by a financial institution should aim to enable natural persons and small, medium and micro-enterprises to make more informed decisions, about their own finances and financial well-being or the finances and financial well-being of others that fall under their responsibility;</t>
  </si>
  <si>
    <t>Implementation and measurement requirements for financial education initiatives</t>
  </si>
  <si>
    <t>Financial institutions must ensure appropriate locations for face-to-face initiatives and virtual platforms for online initiatives. They must develop contingency plans for unforeseen circumstances. Outcomes must be measurable to demonstrate effectiveness and impact, with measurement methods directly tied to initiative goals. Institutions must monitor and evaluate initiatives to assess effectiveness, identify improvements, and collect data for future programs.</t>
  </si>
  <si>
    <t>• [Must] Face-to-face initiatives must use appropriate locations for effectiveness
• [Must] Virtual initiatives must ensure virtual platforms are appropriate for effectiveness
• [Should] Financial institutions should consider contingency plans for implementation
• [Must] Outcomes must be measurable to demonstrate effectiveness and impact</t>
  </si>
  <si>
    <t>• [Must] Measurement methods must be appropriate for specific initiatives and relate directly to outcomes
• [Must] Financial institutions must monitor and evaluate initiatives to assess effectiveness
• [Must] Financial institutions must identify areas for improvement through monitoring
• [Must] Financial institutions must collect data to improve future program effectiveness</t>
  </si>
  <si>
    <t>A financial institution providing face-to-face financial education initiatives must utilise a location that is appropriate for this purpose to ensure that the financial education initiative is effective.</t>
  </si>
  <si>
    <t>2002-070</t>
  </si>
  <si>
    <t>Interception of communications under interception direction</t>
  </si>
  <si>
    <t>1–5</t>
  </si>
  <si>
    <t>Parliament of the Republic of South Africa</t>
  </si>
  <si>
    <t>This section prohibits the interception of communications without a valid interception direction. It requires that any interception must be authorized by a specific legal process involving law enforcement agencies. The interception must be conducted by law enforcement officers following the issuance of a direction or entry warrant. Telecommunication service providers and postal services must assist in executing these warrants under strict conditions. The section establishes that interception is only permissible when there is a lawful basis, such as a court-authorized direction, and must be carried out by authorized personnel. This section defines critical terms used in intelligence and communications law, including 'address', 'agency', 'applicant', 'archived communication-related direction', 'archived communication-related information', 'authorised person', 'Authority', 'business', and 'cellular phone'. These definitions specify the scope and application of the law for law enforcement and communications authorities.</t>
  </si>
  <si>
    <t>This section imposes strict conditions for cross-border data interception, requiring court-authorized directions and specific assistance from telecommunication providers. It affects data transfer impact assessments by mandating lawful authorization mechanisms for intercepting communications across borders.</t>
  </si>
  <si>
    <t>• [Must] Interception of communications must be authorized by a valid interception direction.
• [Must] Law enforcement officers must execute interceptions following court-issued directions.
• [Must] Telecommunication service providers must assist in executing interception directions.
• [Must] Postal service providers must assist in executing interception directions.
• [Definition] The term 'address' refers to the physical address where a person usually receives mail or, for a juristic person, the registered address or business location.
• [Definition] 'Agency' means the Agency as defined in section 1 of the Intelligence Services Act.
• [Definition] An 'applicant' is an officer from the South African Police Service with specific rank and authorization, or an officer from the Defence Force with specific rank and authorization, or a member of the Agency with specific authorization, or the head of a Directorate, or a member of a component authorized by the National Director, or a member of the I…</t>
  </si>
  <si>
    <t>• [Definition] 'Archived communication-related direction' means a direction issued under section 18 (3) (a) or 19 (3) requiring a telecommunication service provider to provide archived communication-related information.
• [Definition] 'Archived communication-related information' means communication-related information stored by a telecommunication service provider for up to 90 days after the transmission of indirect communications.
• [Definition] 'Authorised person' means a law enforcement officer who may execute a direction or assist with its execution.
• [Definition] 'Authority' refers to the Independent Communications Authority of South Africa established by section 3 of the Independent Communications Authority of South Africa Act, 2000.
• [Definition] 'Business' means any business activity conducted by any person, including activities of private or public bodies.
• [Definition] 'Cellular phone' means any fixed or mobile cellular apparatus capable of connecting to a cellular telecommunication system and used by a customer to transmit or receive indirect communications.</t>
  </si>
  <si>
    <t>To regulate the interception of certain communications, the monitoring of certain signals and radio frequency spectrums and the provision of certain communication-related information; to regulate the making of applications for, and the issuing of, directions authorising the interception of communications and the provision of communication-related information under certain circumstances; to regulate the execution of directions and entry warrants by law enforcement officers and the assistance to be given by postal service providers, telecommunication service providers and decryption key holders in the execution of such directions and entry warrants; to prohibit the provision of telecommunication services which do not have the capability to be intercepted; to provide for certain costs to be borne by certain telecommunication service providers; to provide for the establishment of interception centres, the Office for Interception Centres and the Internet Service Providers Assistance Fund; to prohibit the manufacturing, assembling, possessing, selling, purchasing or advertising of certain equipment; to create offences and to prescribe penalties for such offences; and to provide for matters connected therewith.</t>
  </si>
  <si>
    <t>Definitions of communication-related terms for intelligence operations</t>
  </si>
  <si>
    <t>This section defines key terms used in intelligence operations, including communication, communication-related information, customer, decryption key, and electronic communication service providers. It specifies the scope of information covered by these terms and their relevance to telecommunication systems and electronic communications services. The definitions establish the technical and legal framework for intercepting communications and managing data flows within the intelligence context.</t>
  </si>
  <si>
    <t>These definitions clarify what constitutes communication-related information and electronic communication service providers, which are critical for determining data flows and interception capabilities in cross-border intelligence operations.</t>
  </si>
  <si>
    <t>• [Must] A 'communication' includes both direct and indirect communication
• [Must] A 'communication-related information' includes switching, dialling or signalling information that identifies the origin, destination, termination, duration, and equipment used in indirect communications
• [Must] A 'customer' includes any person who has entered into a contract for electronic communications service
• [Must] A 'customer' includes any person who has received electronic communications service as a gift, reward, favour, benefit or donation</t>
  </si>
  <si>
    <t>• [Must] A 'decryption key' means any key, mathematical formula, code, password, algorithm or data used to access encrypted information
• [Must] A 'decryption key holder' means any person in possession of a decryption key for subsequent decryption of encrypted information
• [Must] A 'direct communication' means oral communication between two or more persons in immediate presence
• [Must] A 'encrypted information' means electronic data that cannot be accessed without the decryption key</t>
  </si>
  <si>
    <t>telecommunication system; 'communication' includes both a direct communication and an indirect communication; 'communication-related information' means any information relating to an indirect communication which is available in the records of a telecommunication service provider, and includes switching, dialling or signalling information that identifies the origin, destination, termination, duration, and equipment used in respect, of each indirect communication generated or received by a customer or user of any equipment, facility or service provided by such a telecommunication service provider and, where applicable, the location of the user within the telecommunication system;</t>
  </si>
  <si>
    <t>Definitions of intelligence interception terms</t>
  </si>
  <si>
    <t>This section defines terms related to intelligence interception operations, including intercept, interception device, interception direction, and law enforcement agencies. It specifies the technical and legal framework for monitoring communications and conducting interceptions within the intelligence context. The definitions establish the scope of permissible interception activities and the entities authorized to conduct such operations.</t>
  </si>
  <si>
    <t>These definitions clarify what constitutes an interception device and the scope of communications that can be intercepted, which are critical for determining data flows and interception capabilities in cross-border intelligence operations.</t>
  </si>
  <si>
    <t>• [Must] An 'intercept' means the aural or other acquisition of communication contents through interception devices
• [Must] An 'interception device' means any electronic, mechanical or other instrument used to intercept communications</t>
  </si>
  <si>
    <t>• [Must] An 'interception direction' means a direction issued under section 16 (4) or 18 (3) (a) authorizing interception of communications
• [Must] A 'law enforcement agency' includes the Police Service, Defence Force, Agency, Directorate, and components of the prosecuting authority</t>
  </si>
  <si>
    <t>'intercept' means the aural or other acquisition of the contents of any communication through the use of any means, including an interception device, so as to make some or all of the contents of a communication available to a person other than the sender or recipient or intended recipient of that communication, and includes the- (a) monitoring of any such communication by means of a monitoring device; (b) viewing, examination or inspection of the contents of any indirect communication; and (c) diversion of any indirect communication from its intended destination to any other destination, and 'interception' has a corresponding meaning;</t>
  </si>
  <si>
    <t>3 (part 4)</t>
  </si>
  <si>
    <t>Definitions of system controller for private and public bodies</t>
  </si>
  <si>
    <t>This section defines 'system controller' for both private bodies (natural persons, partnerships, juristic persons) and public bodies (national departments, municipalities, other public bodies). It specifies the authorized individuals who can act as system controllers under different legal frameworks, including the Public Service Act and Local Government: Municipal Structures Act.</t>
  </si>
  <si>
    <t>Defines who can act as a system controller for telecommunication systems, relevant for determining data transfer responsibilities under international data transfer mechanisms.</t>
  </si>
  <si>
    <t>• [Must] For a private body, natural person means that natural person or any person duly authorised by that natural person
• [Must] For a private body, partnership means any partner of the partnership or any person duly authorised by the partnership
• [Must] For a private body, juristic person means the chief executive officer or equivalent officer of the juristic person or any person duly authorised by that officer
• [Must] For a public body, national department means the officer who is the incumbent of the post bearing the designation mentioned in Column 2 of Schedule 1 or 3 opposite the name of the relevant national department</t>
  </si>
  <si>
    <t>• [Must] For a public body, national department means the Director-General, head, executive director or equivalent officer of that national department or the person who is acting as such
• [Must] For a public body, municipality means the municipal manager appointed in terms of section 82 of the Local Government: Municipal Structures Act, 1998
• [Must] For a public body, any other public body means the chief executive officer, or equivalent officer, of that public body or the person who is acting as such</t>
  </si>
  <si>
    <t>system controller of, or in relation to- (a) a private body, means, in the case of a- (i) natural person, that natural person or any person duly authorised by that natural person; (ii) partnership, any partner of the partnership or any person duly authorised by the partnership; or (iii) juristic person, the- (aa) chief executive officer or equivalent officer of the juristic person or any person duly authorised by that officer; or (bb) person who is acting as such or any person duly authorised by such acting person; and (b) a public body, means, in the case of-</t>
  </si>
  <si>
    <t>3 (part 6)</t>
  </si>
  <si>
    <t>Interception direction application requirements and conditions</t>
  </si>
  <si>
    <t>Personal Information, Financial Data, Customer Data, Special Personal Information</t>
  </si>
  <si>
    <t>Designated judge</t>
  </si>
  <si>
    <t>This section mandates specific information to be included in applications for interception directions, including details on investigative procedures, evidence status, communication duration, prior applications, and compliance with supplementary directives. It requires applicants to specify whether other investigative procedures have failed or are unlikely to succeed, the period for which interception is needed, and the status of any previous applications. The designated judge must satisfy conditions related to reasonable grounds for belief in serious offences, threats to public safety, national security, or organized crime, and the necessity of information gathering.</t>
  </si>
  <si>
    <t>This section establishes requirements for applications to intercept communications across borders, including conditions for when international mutual assistance agreements or national interests justify data transfers. It impacts DTIAs by defining when cross-border data interception is permissible and the safeguards required for such transfers.</t>
  </si>
  <si>
    <t>• [Must] Indicate whether other investigative procedures have failed to produce required evidence or are unlikely to succeed
• [Must] Indicate the period for which the interception direction is required
• [Must] Indicate whether any previous application exists for the same person or facility and its current status
• [Must] Comply with any supplementary directives relating to interception direction applications
• [Must] Application must be made by an applicant specified in the definition of 'applicant' for relevant grounds
• [May] Designated judge may issue interception direction upon application without notice or hearing</t>
  </si>
  <si>
    <t>• [Must] Designated judge must be satisfied there are reasonable grounds to believe serious offence is committed
• [Must] Designated judge must be satisfied interception of communications will be obtained by the direction
• [Must] Designated judge must be satisfied facilities used for communications are commonly used by the applicant
• [May] Interception direction may specify conditions or restrictions on communication interception
• [Must] Interception direction may be issued for a period not exceeding three months</t>
  </si>
  <si>
    <t>An application on a ground referred to in- (a) subsection (5) (a) (i), must be made by an applicant referred to in paragraph (a), (d) or (f) of the definition of 'applicant';</t>
  </si>
  <si>
    <t>3 (part 7)</t>
  </si>
  <si>
    <t>Real-time communication-related direction application requirements</t>
  </si>
  <si>
    <t>15–17</t>
  </si>
  <si>
    <t>This section outlines the requirements for applications seeking real-time communication-related directions, including details on the ground for application, facts alleged, type of information required, and the period for which information must be provided. It specifies that real-time communication-related directions may be issued for up to three months and must include information on the customer, type of information, and basis for believing evidence will be obtained. The judge must be satisfied there are reasonable grounds to believe serious offences or threats to public safety are occurring.</t>
  </si>
  <si>
    <t>This section defines the conditions under which real-time data transfers for communication-related information can be authorized, impacting DTIAs by establishing when real-time data interception is permissible across borders for security purposes.</t>
  </si>
  <si>
    <t>• [Must] Indicate whether real-time communication-related information must be routed to a designated interception centre
• [Must] Indicate the period for which real-time communication-related information is required
• [Must] Indicate whether any previous application exists for the same customer or information and its status
• [Must] Application must be made by an applicant specified in the definition of 'applicant' for relevant grounds</t>
  </si>
  <si>
    <t>• [May] Designated judge may issue real-time communication-related direction without notice or hearing
• [Must] Designated judge must be satisfied there are reasonable grounds to believe serious offence is committed
• [Must] Designated judge must be satisfied gathering information is necessary for public health, safety, or national security</t>
  </si>
  <si>
    <t>An applicant may apply to a designated judge for the issuing of a real-time communication-related direction.</t>
  </si>
  <si>
    <t>3 (part 8)</t>
  </si>
  <si>
    <t>Decryption direction requirements for interception</t>
  </si>
  <si>
    <t>17–19</t>
  </si>
  <si>
    <t>Designated Judge</t>
  </si>
  <si>
    <t>This section details the specific information required for a decryption direction application to a designated judge. It mandates the applicant to provide the customer's identity if known, the encrypted information to be decrypted, the decryption key or assistance, the duration of the direction, any previous applications, and proof of interception results. The judge must satisfy conditions including reasonable grounds for encrypted information, possession of the key, purpose of interception, and practicality of obtaining information without decryption.</t>
  </si>
  <si>
    <t>This section establishes requirements for decryption directions that impact data transfer impact assessments by specifying the information needed for decryption applications and the conditions under which a decryption direction may be issued, particularly relevant to cross-border data transfers involving encrypted communications.</t>
  </si>
  <si>
    <t>• [Must] Indicate the customer, if known, in respect of whom the decryption of encrypted information is required
• [Must] Describe the encrypted information which is required to be decrypted
• [Must] Specify the decryption key, if known, which must be disclosed
• [Must] Specify the decryption assistance which must be provided, and the form and manner in which it must be provided
• [Must] Indicate the period for which the decryption direction is required to be issued</t>
  </si>
  <si>
    <t>• [Must] Indicate whether any previous application has been made for the issuing of a decryption direction in respect of the same customer or encrypted information
• [Must] Indicate the current status of that application if such previous application exists
• [Must] Provide proof that an interception direction has been issued
• [Must] Provide an affidavit setting forth the results obtained from the interception direction concerned from the date of its issuance up to the date on which that application is made
• [Must] Comply with any supplementary directives relating to applications for decryption directions issued under section 58</t>
  </si>
  <si>
    <t>customer, if known, in respect of whom the decryption of encrypted information is required; and (iii) decryption key holder to whom the decryption direction must be addressed; describe the encrypted information which is required to be decrypted; specify the- (i) decryption key, if known, which must be disclosed; or (ii) decryption assistance which must be provided, and the form and manner in which it must be provided; indicate the period for which the decryption direction is required to be issued; indicate whether any previous application has been made for the issuing of a decryption direction in respect of the same customer or encrypted information specified in the application and, if such previous application exists, must indicate the current status of that application</t>
  </si>
  <si>
    <t>3 (part 9)</t>
  </si>
  <si>
    <t>Decryption and entry warrant applications with journalist/lawyer protections</t>
  </si>
  <si>
    <t>This section outlines the requirements for applications for decryption directions and entry warrants, including the need to disclose if the intended subject is a journalist or practicing lawyer. It mandates that designated judges grant such applications only if necessary, with conditions to protect journalistic sources or legal professional privilege. The section also specifies that oral applications must be followed by written submissions within 48 hours.</t>
  </si>
  <si>
    <t>This section impacts data transfer impact assessments by requiring specific disclosures for applications involving journalists or lawyers, and mandating that decryption and entry warrants be issued only when necessary with safeguards for professional privacy, which affects cross-border data handling.</t>
  </si>
  <si>
    <t>• [Must] Confirm that oral direction or oral entry warrant in writing within 12 hours after the issuing thereof
• [Must] If the person in respect of whom a direction, extension of a direction or entry warrant is sought is a journalist or practising lawyer, disclose the fact to the designated judge</t>
  </si>
  <si>
    <t>• [Must] Grant the direction, extension of a direction or entry warrant only if satisfied it is necessary, notwithstanding the subject is a journalist or practising lawyer
• [May] Issue the direction, extension of a direction or entry warrant subject to conditions necessary to protect journalistic sources or legal professional privilege</t>
  </si>
  <si>
    <t>Where the person in respect of whom a direction, extension of a direction or entry warrant is sought in terms of sections 16, 1. 17, 18, 20, 21, 22 or 23, whichever is applicable, is a journalist or practising lawyer, the application must disclose to the designated Judge the fact that the intended subject of the direction, extension of a direction or entry warrant is a journalist or practising lawyer.</t>
  </si>
  <si>
    <t>Telecommunication service provider obligations for interception and communication storage</t>
  </si>
  <si>
    <t>Data Storage, Security, Cross-border Transfer, International Processing</t>
  </si>
  <si>
    <t>Cabinet member responsible for communications</t>
  </si>
  <si>
    <t>Telecommunication service providers must provide interception-capable services and store communication-related information. The Cabinet member responsible for communications must issue directives specifying technical requirements, security measures, and storage periods for intercepted communications. Providers must comply with these directives within a three to six-month timeframe and bear all costs associated with interception capabilities and data storage.</t>
  </si>
  <si>
    <t>This section mandates specific technical and security requirements for telecommunication services to intercept communications, which impacts data transfer and storage practices across borders. The storage period for intercepted data (3-5 years) creates significant data retention considerations for cross-border data flows.</t>
  </si>
  <si>
    <t>• [Must] Telecommunication service provider must provide interception-capable services
• [Must] Telecommunication service provider must store communication-related information
• [Must] Cabinet member must issue directives determining technical requirements for interception
• [Must] Cabinet member must determine security, technical and functional requirements for facilities and devices</t>
  </si>
  <si>
    <t>• [Must] Cabinet member must specify communication-related information to store and minimum 3-year storage period
• [Must] Cabinet member must set compliance period of 3-6 months for directives
• [Must] Telecommunication service provider must acquire facilities and devices at own cost
• [Must] Telecommunication service provider bears costs for interception capabilities and data storage</t>
  </si>
  <si>
    <t>A telecommunication service provider must- (a) provide a telecommunication service which has the capability to be intercepted; and (b) store communication-related information.</t>
  </si>
  <si>
    <t>6 (part 2)</t>
  </si>
  <si>
    <t>Compliance period for interception directives</t>
  </si>
  <si>
    <t>23–25</t>
  </si>
  <si>
    <t>Data Storage, Security, Cross-border Transfer</t>
  </si>
  <si>
    <t>The Cabinet member responsible for communications must specify a compliance period of 3-6 months for telecommunication service providers to implement interception directives. This period must be explicitly stated in the directive and allows providers time to meet technical and security requirements while ensuring timely implementation of interception capabilities.</t>
  </si>
  <si>
    <t>This section establishes a 3-6 month compliance window for implementing interception directives, which affects how quickly data can be transferred and stored across borders for law enforcement purposes.</t>
  </si>
  <si>
    <t>• [Must] Cabinet member must determine compliance period of 3-6 months for interception directives</t>
  </si>
  <si>
    <t>The Cabinet member responsible for communications must, on the date of the issuing of a telecommunication service licence... determine a period, which may not be less than three months and not more than six months from the date on which a directive referred to in paragraph (a) is issued, for compliance with such a directive</t>
  </si>
  <si>
    <t>Quarterly reporting requirements for interception centre heads</t>
  </si>
  <si>
    <t>The head of an interception centre must submit quarterly written reports to the Director detailing records kept, known abuses, system defects, and any other matters the Director requests. They may also submit urgent reports if they deem a matter critical. The Director must then share a copy of these reports with the Minister and the Intelligence Services Control Act's Joint Standing Committee Chairperson.</t>
  </si>
  <si>
    <t>Requires interception centres to report system defects and abuses quarterly, which could impact data transfer assessments if the centre handles cross-border communications.</t>
  </si>
  <si>
    <t>• [Must] Head of interception centre must submit quarterly written reports to Director on records kept
• [Must] Head must report known abuses in executing directions
• [Must] Head must report system defects discovered</t>
  </si>
  <si>
    <t>• [Must] Head must report any other matters Director requests
• [May] Head may submit urgent reports if critical matters exist
• [Must] Director must share reports with Minister and Joint Standing Committee Chairperson</t>
  </si>
  <si>
    <t>The head of an interception centre must on a quarterly basis, or as often as the Director requires, submit a written report to the Director on- (i) the records kept by him or her in terms of subsection (1); (ii) any abuses in connection with the execution of directions which he or she is aware of; (iii) any defects in any telecommunication system or in the operation of the interception centre which have been discovered; and (iv) such activities at the interception centre or on any other matter relating to this Act which the Director requests the head of the interception centre to deal with in such report.</t>
  </si>
  <si>
    <t>6 (part 5)</t>
  </si>
  <si>
    <t>Exemptions for internet service providers under specific conditions</t>
  </si>
  <si>
    <t>The Minister may grant exemptions for internet service providers under specific conditions, including small business constraints, reasonable necessity for listed equipment, public interest, or special circumstances. Exemptions must be granted via a certificate specifying the scope, period, and conditions, published in the Gazette, and approved by the National Assembly within two months or 14 days after the next ordinary session. The certificate may be amended or withdrawn by the Minister, and exemptions lapse upon termination of the period or withdrawal of the certificate.</t>
  </si>
  <si>
    <t>Exemptions require specific conditions to be met, including small business constraints, public interest, or special circumstances. The certificate must be published in the Gazette and approved by the National Assembly, creating a regulatory pathway for data transfers that requires transparency and oversight.</t>
  </si>
  <si>
    <t>• [Must] The Minister may only grant an exemption under subsection (1) (a) if satisfied that the Internet service provider carries on a small business that cannot comply with section 30 (4)
• [Must] The Minister may only grant an exemption under subsection (1) (a) if satisfied that the purpose for which listed equipment will be manufactured, assembled, possessed, sold, purchased or advertised is reasonably necessary
• [Must] The Minister may only grant an exemption under subsection (1) (a) if satisfied that such exemption is in the public interest
• [Must] The Minister may only grant an exemption under subsection (1) (a) if satisfied that special circumstances exist which justify such exemption
• [Must] The certificate of exemption must specify the name, scope, period and conditions of the exemption
• [Must] The certificate of exemption must be published in the Gazette
• [Must] The certificate of exemption becomes valid upon publication in the Gazette</t>
  </si>
  <si>
    <t>• [Must] The Minister must table the certificate of exemption in the National Assembly for approval
• [Must] The National Assembly may reject a certificate within two months after tabling if Parliament is in ordinary session, or within 14 days after the next ordinary session
• [Must] The Minister may table an amended certificate if the National Assembly rejects the original certificate
• [Must] The Minister must publish the amended certificate within one month of National Assembly approval
• [May] The certificate of exemption may be amended or withdrawn by the Minister at any time
• [Must] An exemption lapses upon termination of the period for which it was granted
• [Must] An exemption lapses upon withdrawal of the relevant certificate</t>
  </si>
  <si>
    <t>The Minister may only grant an exemption under subsection (1) (a) if he or she is satisfied that- (a) in the case of an exemption under subsection (1) (a) (i), the Internet service provider concerned carries on such a small business that he or she cannot comply with section 30 (4); or (b) in the case of an exemption under subsection (1) (a) (ii), the purpose for which the listed equipment will be manufactured, assembled, possessed, sold, purchased or advertised is reasonably necessary; and (c) such exemption is in the public interest; or (d) special circumstances exist which justify such exemption.</t>
  </si>
  <si>
    <t>6 (part 7)</t>
  </si>
  <si>
    <t>Court order to return forfeited telecommunications equipment</t>
  </si>
  <si>
    <t>Cross-border Transfer, Data Storage, Third Party Processing</t>
  </si>
  <si>
    <t>If a court determines that listed equipment belongs to the telecommunication service provider or other person concerned and that they are a person referred to in subsection (5), the court must set aside the forfeiture declaration and order the return of the equipment. If the court's determination is adverse to the applicant, they may appeal as if it were a conviction. The court must consider the criminal proceedings record and may hear additional evidence.</t>
  </si>
  <si>
    <t>This section requires courts to return forfeited telecommunications equipment to the rightful owner if certain conditions are met, which impacts data transfer assessments involving telecommunications equipment.</t>
  </si>
  <si>
    <t>• [Must] Court must set aside forfeiture declaration and direct return of listed equipment to telecommunication service provider or other person concerned
• [May] If court determination is adverse to applicant, they may appeal as if conviction</t>
  </si>
  <si>
    <t>• [Must] Court must consider criminal proceedings record in determining matters
• [May] Court may hear additional evidence by affidavit or orally</t>
  </si>
  <si>
    <t>inquire into and determine those matters. (b) If the court referred to in paragraph (a) is satisfied that the- (i) listed equipment concerned is the property of the telecommunication service provider or other person concerned; and (ii) telecommunication service provider or other person concerned is a person referred to in subsection (5), the court must set aside the declaration of forfeiture and direct that the listed equipment concerned be returned to such telecommunication service provider or other person.</t>
  </si>
  <si>
    <t>Section 63 substituted by Act 48 of 2008</t>
  </si>
  <si>
    <t>This section indicates that Section 63 of the Act was amended by Act 48 of 2008, effective from 1 July 2009. The amendment relates to the short title and commencement of the Act, which specifies the effective date of certain provisions.</t>
  </si>
  <si>
    <t>• [Condition] Section 63 of the Act was substituted by section 6 of Act 48 of 2008 effective 1 July 2009</t>
  </si>
  <si>
    <t>[S. 63 substituted by s. 6 of Act 48 of 2008 (wef 1 July 2009).]</t>
  </si>
  <si>
    <t>2024 Open Finance_FSCA Position Paper</t>
  </si>
  <si>
    <t>Executive summary of FSCA's Open Finance policy recommendations</t>
  </si>
  <si>
    <t>Cross-border Transfer, Data Sharing, Data Storage, Security, Consent, Financial Data, KYC, AML</t>
  </si>
  <si>
    <t>FSCA</t>
  </si>
  <si>
    <t>The FSCA outlines seven policy recommendations for Open Finance implementation in South Africa. These include mandatory regulation of participants, licensing requirements, establishing a data-protection framework, developing risk management frameworks, creating data protection standards, ensuring consumer access to information and recourse mechanisms, and forming an Open Finance Advisory Group. The recommendations aim to balance Open Finance benefits with risk mitigation in the financial sector.</t>
  </si>
  <si>
    <t>This section establishes the policy framework for Open Finance in South Africa, requiring financial institutions to implement consent-based data sharing with third parties while managing associated risks. It sets the stage for data transfer impact assessments by defining the regulatory approach to Open Finance.</t>
  </si>
  <si>
    <t>• [Must] Participants in Open Finance should be regulated and a mandatory approach implemented
• [Must] Participants in Open Finance should be licensed and regulated
• [Must] A suitable data-protection and consent framework must be put in place
• [Must] Appropriate risk management and disclosure frameworks must be developed</t>
  </si>
  <si>
    <t>• [Must] Data protection and sharing standards must be developed
• [Must] Consumers must have access to information and recourse mechanisms
• [Must] An Advisory Group for Open Finance comprising industry participants and other experts should be established</t>
  </si>
  <si>
    <t>The FSCA continues to support mandating Open Finance in future, noting that the foundational Open Finance Programme of Work will likely need to take place in preparation to optimise the value to be derived from Open Finance and mimimise market disruption.</t>
  </si>
  <si>
    <t>Background and introduction to Open Finance ecosystem</t>
  </si>
  <si>
    <t>Data Sharing, Security, Consent, Financial Data, KYC, AML</t>
  </si>
  <si>
    <t>This section details the FSCA's process for developing Open Finance policy in South Africa, starting from 2020 research and consultations. It highlights the absence of a tailored regulatory framework for financial institutions participating in Open Finance, the risks associated with data sharing including privacy breaches and fraud, and the fact that most third-party providers are unlicensed and outside FSCA's regulatory scope. The section emphasizes the need for a balanced regulatory approach that enables Open Finance while mitigating risks.</t>
  </si>
  <si>
    <t>This section identifies key risks in the Open Finance ecosystem that require data transfer impact assessments, particularly the lack of regulatory oversight for third-party providers and the potential for data privacy breaches when financial institutions share customer data.</t>
  </si>
  <si>
    <t>• [Must] The FSCA started a comprehensive process in 2020 with the Regulating Open Finance Research and Consultation Paper
• [Must] The FSCA held two public workshops in 2021 focusing on consent, customer protection, dispute resolution, data-sharing standards, commercial models and data protection
• [Must] The FSCA developed the Draft Position Paper on Open Finance in 2023
• [Must] The FSCA conducted an Information Request in October 2023 to gather stakeholder submissions</t>
  </si>
  <si>
    <t>• [Must] Most third-party providers are not licensed as financial institutions and fall outside FSCA's regulatory framework
• [Must] Open Finance offers potential benefits such as increased competition, innovative financial services and enhanced value for customers
• [Must] Open Finance exposes customers to risks including data privacy breaches, breaches of contractual agreements, and fraud</t>
  </si>
  <si>
    <t>Definitions of Open Finance, Open Banking and data sharing ecosystem</t>
  </si>
  <si>
    <t>Data Sharing, Data Storage, Security, Consent, Financial Data, KYC, AML</t>
  </si>
  <si>
    <t>This section provides working definitions for Open Finance and Open Finance services, aligning with international standards. It explains that Open Finance is the practice of financial institutions sharing financial customer data with third parties subject to customer consent, and extends beyond Open Banking to include a broader scope of financial products and services. The section also outlines the key entities in the Open Finance ecosystem including data subjects, data holders, data users, and data aggregators.</t>
  </si>
  <si>
    <t>This section defines the data sharing ecosystem and key entities involved in Open Finance, which is critical for data transfer impact assessments as it clarifies the roles and responsibilities of different parties in the data flow process.</t>
  </si>
  <si>
    <t>• [Must] Open finance means the practice of financial institutions sharing their financial customer's financial data with third parties, subject to that customer's full consent, for the provision of open finance services by those third parties, and any activities connected therewith</t>
  </si>
  <si>
    <t>• [Must] Open finance service refers to a service/s developed for a financial customer by using that customer's financial data, which rely on the provision and movement and/or use of that customer's data</t>
  </si>
  <si>
    <t>Open finance means the practice of financial institutions sharing their financial customer's financial data with third parties, subject to that customer's full consent, for the provision of open finance services by those third parties, and any activities connected therewith.</t>
  </si>
  <si>
    <t>Policy considerations and risks for Open Finance implementation</t>
  </si>
  <si>
    <t>This section outlines policy considerations and risks related to Open Finance in South Africa, including global comparisons with countries that have adopted voluntary or mandatory approaches. It details potential benefits such as improved financial resilience, financial inclusion, and competition. The section also identifies risks across customer, TPP, and financial institution categories, including financial exclusion, privacy concerns, and market competition issues.</t>
  </si>
  <si>
    <t>This section is relevant for DTIAs as it identifies key risks and benefits of Open Finance, particularly regarding data sharing mechanisms and consent frameworks that impact cross-border data flows.</t>
  </si>
  <si>
    <t>• [Must] FSCA considers global context of voluntary vs mandatory Open Finance approaches
• [Must] FSCA evaluates South African experience with Open Finance for strategic objectives</t>
  </si>
  <si>
    <t>• [Must] FSCA assesses Open Finance benefits including financial resilience, inclusion, and competition
• [Must] FSCA identifies risks for customers, TPPs, and financial institutions</t>
  </si>
  <si>
    <t>Policy considerations and risks related to Open Finance have been thoroughly interrogated in past IFWG9, FSCA10 and National Payment System Department (NPSD) publications11.</t>
  </si>
  <si>
    <t>Stakeholder feedback on Open Finance draft position paper</t>
  </si>
  <si>
    <t>13–16</t>
  </si>
  <si>
    <t>This section details stakeholder comments received on the FSCA's draft Open Finance Position Paper, including preferences for voluntary approaches, customer experience considerations, competitive landscape implications, alignment with existing legislation, liability frameworks, and financial literacy concerns. Stakeholders recommend specific actions such as clarifying regulatory obligations, ensuring alignment with POPIA, and establishing liability frameworks.</t>
  </si>
  <si>
    <t>This section is relevant for DTIAs as it provides stakeholder insights into regulatory alignment, consent mechanisms, and risk management requirements for Open Finance implementations.</t>
  </si>
  <si>
    <t>• [Must] FSCA may follow up with stakeholders for additional insights on Open Finance
• [Must] Stakeholders prefer voluntary approach to Open Finance with organic market development
• [Must] Stakeholders recommend clear regulatory plan for mandatory Open Finance implementation
• [Must] Stakeholders emphasize customer experience and value should drive Open Finance design</t>
  </si>
  <si>
    <t>• [Must] Stakeholders support 'same activity, same risk, same rules' for regulatory oversight
• [Must] Stakeholders recommend alignment of Open Finance terminology with POPIA
• [Must] Stakeholders support flexible liability framework for data misuse</t>
  </si>
  <si>
    <t>The FSCA received 16 submissions from stakeholders across different industry segments (see Annexure B).</t>
  </si>
  <si>
    <t>Survey of Open Finance activities in South Africa</t>
  </si>
  <si>
    <t>Cross-border Transfer, International Processing, Data Sharing, Consent</t>
  </si>
  <si>
    <t>The FSCA conducted a survey in October 2023 to understand the uptake and practices of Open Finance activities among financial institutions and third-party providers in South Africa. Over 400 submissions were received, revealing that around 50 financial institutions generate more than 5% of revenue from Open Finance activities, with some entities having annual revenues exceeding R1 billion. The survey indicates that payment services are the most popular Open Finance activity, followed by insurance, lending, and KYC services. Financial institutions primarily target the retail market, while some entities focus on the corporate sector. The survey also highlights that most entities use consent management dashboards but have limited API development, with no insurers having developed APIs. The FSCA plans to publish a detailed report on these findings and engage further with stakeholders.</t>
  </si>
  <si>
    <t>This section provides context on the current state of Open Finance activities in South Africa, indicating the market's early development stage and the need for consistent frameworks to support responsible data sharing. It highlights the importance of understanding participant practices for effective DTIA design.</t>
  </si>
  <si>
    <t>• [Must] Financial institutions and TPPs must submit responses to FSCA's Information Request</t>
  </si>
  <si>
    <t>• [Must] FSCA will publish a report detailing findings from the October 2023 Information Request</t>
  </si>
  <si>
    <t>During October 2023, the FSCA surveyed industry participants to garner insights regarding the uptake, usage, and practices by financial institutions and TPPs that participate in Open Finance related activities in South Africa.</t>
  </si>
  <si>
    <t>FSCA Policy Recommendations for Open Finance</t>
  </si>
  <si>
    <t>The FSCA proposes a phased regulatory approach for Open Finance, starting with voluntary adoption and transitioning to mandatory requirements. Key recommendations include regulating participants in Open Finance, implementing tailored oversight, ensuring explicit informed consent, developing risk management frameworks, standardizing data sharing through APIs, and establishing consumer awareness mechanisms. The FSCA emphasizes the need for proportionate regulatory requirements, clear consent principles, and contractual liability allocation for data misuse. The recommendations also include forming an Open Finance Advisory Group to guide implementation and align with international practices.</t>
  </si>
  <si>
    <t>This section outlines critical safeguards for DTIA, including explicit consent requirements, risk management frameworks, API standardization, and liability allocation mechanisms that must be considered when assessing cross-border data transfers in Open Finance.</t>
  </si>
  <si>
    <t>• [Must] Persons participating in Open Finance should be regulated for safe and ethical sharing of user consent-based financial data
• [Must] Consent should be explicit, informed, specific, and not conditional on other bundled products
• [Must] Consent should be clear and distinct, not aggregated with other consent agreements
• [Must] Customers should freely and voluntarily give and withdraw consent
• [Must] Consent should not be indefinite and should be easy to withdraw</t>
  </si>
  <si>
    <t>• [Must] Providers must not continue to share or utilize data once consent is withdrawn
• [Must] Consent message must clearly identify risks to consumers
• [Must] Financial institutions and TPPs must develop risk management and disclosure frameworks
• [Must] Data sharing should be secure and standardized through agreed API standards
• [May] Financial institutions and TPPs may contractually allocate liabilities for data misuse</t>
  </si>
  <si>
    <t>The FSCA aims to promote responsible Open Finance and recommends the following: Persons participating in Open Finance should be regulated for the safe and ethical sharing of user consent-based financial data to TPPs.</t>
  </si>
  <si>
    <t>FSCA Programme of Work for Open Finance</t>
  </si>
  <si>
    <t>The FSCA outlines a series of actions to advance Open Finance, including developing open API standards, establishing consent and risk management frameworks, promoting voluntary adoption of responsible practices, identifying prioritized use cases for mandatory implementation, assessing legal gaps, building sector awareness, empowering consumers, and creating institutional arrangements between regulators. The programme emphasizes collaboration with stakeholders and the establishment of an Open Finance Advisory Group to guide implementation, with specific timelines for delivering each action item.</t>
  </si>
  <si>
    <t>This section details the FSCA's roadmap for Open Finance implementation, highlighting the need for standardized APIs, consent frameworks, and risk management protocols that directly impact DTIA requirements for cross-border data transfers and third-party processing.</t>
  </si>
  <si>
    <t>• [Must] FSCA will develop open API standards
• [Must] FSCA will develop suitable consent, risk management and disclosure frameworks
• [Must] FSCA will promote voluntary adoption of responsible Open Finance
• [Must] FSCA will develop a common view of use cases for mandatory implementation</t>
  </si>
  <si>
    <t>• [Must] FSCA will assess legal framework for weaknesses and gaps
• [Must] FSCA will build knowledge and awareness of responsible Open Finance
• [Must] FSCA will empower consumers to respond to opportunities and risks in Open Finance
• [Must] FSCA will establish institutional arrangements between regulators</t>
  </si>
  <si>
    <t>The FSCA will hold a series of engagements and workshops with stakeholders to further unpack submissions made to date, in support of the following Programme of Work: Developing open APIs standards.</t>
  </si>
  <si>
    <t>Open Finance Approaches Across Jurisdictions</t>
  </si>
  <si>
    <t>21–23</t>
  </si>
  <si>
    <t>Cross-border Transfer, International Processing, Data Sharing</t>
  </si>
  <si>
    <t>This section compares Open Finance approaches in different jurisdictions, highlighting voluntary models in Singapore, Nigeria, and the US, and mandated models in Brazil, the UK, and the EU. Singapore uses a voluntary approach with standardized APIs and regulatory oversight, Nigeria has a voluntary participation model with tiered data access requirements, the US relies on private sector initiatives, Brazil mandates participation for major banks, and the EU implemented a mandatory framework covering banking and payments with strong regulatory oversight. The section emphasizes the importance of jurisdiction-specific regulatory approaches for data sharing and interoperability.</t>
  </si>
  <si>
    <t>This section provides context for DTIA by illustrating jurisdictional differences in Open Finance implementation, which can impact cross-border data transfer compliance and the need for localized regulatory alignment.</t>
  </si>
  <si>
    <t>• [Must] Singapore follows a voluntary approach with standardized APIs and regulatory oversight
• [Must] Nigeria has a voluntary participation model with tiered data access requirements
• [Must] The US relies on private sector initiatives for Open Banking and APIs</t>
  </si>
  <si>
    <t>• [Must] Brazil mandates participation for 12 major banks and payment entities
• [Must] The EU implemented a mandatory Open Banking framework covering banking and payments
• [Must] The UK ordered major banks to share customer data with TPPs as a penalty for anticompetitive behavior</t>
  </si>
  <si>
    <t>Singapore follows a voluntary approach to Open Finance with the Monetary Authority of Singapore (MAS) playing an active enabling role.</t>
  </si>
  <si>
    <t>Proposed Open Finance Roadmap</t>
  </si>
  <si>
    <t>The FSCA outlines a detailed timeline for implementing Open Finance initiatives, including establishing an Open Finance Advisory Group by March 2025, developing API standards by March 2026, creating consent and risk management frameworks by September 2026, and conducting workshops with stakeholders by October 2024. The roadmap emphasizes phased implementation, stakeholder collaboration, and the development of infrastructure such as sandbox environments to support responsible data sharing and consumer empowerment.</t>
  </si>
  <si>
    <t>This section provides a clear timeline for regulatory actions that directly impact DTIA, including the development of API standards and consent frameworks, which must be considered when assessing cross-border data transfers in the evolving Open Finance ecosystem.</t>
  </si>
  <si>
    <t>• [Must] FSCA will establish Open Finance Advisory Group by 31 March 2025
• [Must] Advisory Group will develop API standards by 31 March 2026
• [Must] FSCA will develop consent, risk management and disclosure frameworks by 30 September 2026
• [Must] FSCA will promote voluntary adoption of responsible Open Finance by 31 March 2025</t>
  </si>
  <si>
    <t>• [Must] FSCA will develop a common view of use cases for mandatory implementation by 31 March 2025
• [Must] FSCA will assess legal framework for weaknesses and gaps by 31 March 2026
• [Must] FSCA will build knowledge and awareness of responsible Open Finance by 31 December 2026
• [Must] FSCA will empower consumers to respond to opportunities and risks in Open Finance by 31 December 2026</t>
  </si>
  <si>
    <t>Action: Establishing Advisory Group; Owner: FSCA in collaboration with IFWG members; Expected Delivery Date: 31 March 2025</t>
  </si>
  <si>
    <t>Conduct-Standard-3-of-2020-BANKS-Annexure-A</t>
  </si>
  <si>
    <t>Advertising standards for financial products</t>
  </si>
  <si>
    <t>12–17</t>
  </si>
  <si>
    <t>Banks must advertise financial products to customers in a clear, fair, and non-misleading manner. This includes ensuring factual accuracy, avoiding fraudulent statements, using plain language for retail customers, and maintaining responsibility for third-party advertising activities. Banks must also correct inconsistent advertising promptly and retain records for at least five years.</t>
  </si>
  <si>
    <t>Advertising standards require banks to ensure transparency and accuracy in communications, which impacts how data is shared with customers through marketing channels. This affects data transfer compliance as advertising practices influence customer data collection and consent mechanisms.</t>
  </si>
  <si>
    <t>• [Must] Banks must ensure advertising is clear, fair, and not misleading
• [Must] Banks must ensure advertisements are factually correct
• [Must Not] Banks must not contain fraudulent, untrue, or misleading statements in advertisements
• [Must] Banks must use plain language for retail customer advertising</t>
  </si>
  <si>
    <t>• [Must] Banks must ensure third-party advertising complies with this standard
• [Must] Banks must correct inconsistent advertising promptly
• [Must] Banks must notify persons who relied on inconsistent advertising
• [Must] Banks must retain advertising records for at least five years</t>
  </si>
  <si>
    <t>A bank must ensure that its financial products and financial services are advertised to financial customers in a way that is clear, fair and not misleading.</t>
  </si>
  <si>
    <t>Complaints management framework requirements</t>
  </si>
  <si>
    <t>17–22</t>
  </si>
  <si>
    <t>Banks must establish and maintain a complaints management framework that is proportionate to their business, includes fair treatment of complainants, and covers internal escalation processes. The framework must categorize complaints, record data, and report to the governing body. Banks must also ensure transparency in complaint handling and provide clear communication to complainants.</t>
  </si>
  <si>
    <t>Complaints management frameworks impact data transfer assessments by requiring banks to handle customer data complaints transparently and securely, which affects data sharing practices and third-party data processing.</t>
  </si>
  <si>
    <t>• [Must] Banks must establish an adequate and effective complaints management framework
• [Must] Banks must regularly review complaints management frameworks
• [Must] Banks must categorize reportable complaints into specific categories
• [Must] Banks must record and report on complaint categories</t>
  </si>
  <si>
    <t>• [Must] Banks must maintain records of complaints including details, evidence, categorization, and progress
• [Must] Banks must analyze complaints data to manage conduct risks
• [Must] Banks must provide clear communication to complainants about complaint progress
• [Must] Banks must ensure complaints processes are transparent and accessible</t>
  </si>
  <si>
    <t>A bank must establish, maintain and operate an adequate and effective complaints management framework to ensure the fair treatment of complainants.</t>
  </si>
  <si>
    <t>Design, suitability and performance requirements for financial products</t>
  </si>
  <si>
    <t>Financial Sector Conduct Authority</t>
  </si>
  <si>
    <t>This section mandates that banks design financial products and services with due regard to financial customers' interests. It requires that relevant personnel possess necessary skills and knowledge, and that banks establish ongoing oversight mechanisms to monitor product suitability and performance. The requirements apply to banks providing financial products and services to customers.</t>
  </si>
  <si>
    <t>This section establishes baseline requirements for financial product design and oversight that impact cross-border data transfers involving financial products, particularly regarding customer suitability and performance metrics.</t>
  </si>
  <si>
    <t>• [Must] A bank must design its financial products and financial services with due regard to the interests of its financial customers
• [Must] A bank must ensure relevant personnel responsible for design possess necessary skills, knowledge and expertise</t>
  </si>
  <si>
    <t>• [Must] A bank must establish and implement ongoing oversight arrangements to monitor and review financial product design and suitability</t>
  </si>
  <si>
    <t>A bank must design its financial products and financial services, Including the related models utilised for the advertising, distribution and provision of these financial products and financial services, with due regard to the interests of Its financial customers.</t>
  </si>
  <si>
    <t>Additional requirements for retail financial customers</t>
  </si>
  <si>
    <t>This section specifies additional obligations for banks providing financial products to retail customers. It requires banks to assess customer needs, ensure products remain appropriate over time, provide flexibility for changing customer needs, and ensure contractual terms are not unfair. The requirements apply specifically to retail financial customers and their contracts.</t>
  </si>
  <si>
    <t>This section establishes requirements for retail financial products that impact data transfer assessments, particularly regarding customer suitability, ongoing product relevance, and contractual fairness.</t>
  </si>
  <si>
    <t>• [Must] A bank must assess customer needs and characteristics when designing financial products for retail customers
• [Must] A bank must ensure financial products remain appropriate to meet target customer needs over time</t>
  </si>
  <si>
    <t>• [Must] A bank must ensure reasonable flexibility in financial product design to address changing customer needs
• [Must] A bank must ensure contractual terms and conditions are not unfair to retail customers</t>
  </si>
  <si>
    <t>A bank that provides financial products or financial services to retail financial customers must ... ensure that the terms, conditions and requirements in a contract between the bank and its retail financial customer, relating to a financial product or financial service, Including fees and charges, are not unfair.</t>
  </si>
  <si>
    <t>Refusal and termination of financial products</t>
  </si>
  <si>
    <t>Banks must document processes for refusing or terminating financial products/services, provide reasonable notice before termination, and disclose reasons for refusal or termination. Banks may terminate without notice if legally compelled, suspected of illegal use, or required to report to authorities.</t>
  </si>
  <si>
    <t>Refusal and termination processes impact data transfer assessments by requiring clear communication and documentation of data handling changes, which affects data retention and deletion procedures.</t>
  </si>
  <si>
    <t>• [Must] Banks must document processes for refusing or terminating financial products/services
• [Must] Banks must provide reasonable prior notice before termination
• [Must] Banks must disclose reasons for refusal or termination</t>
  </si>
  <si>
    <t>• [May] Banks may terminate without notice if legally compelled
• [May] Banks may terminate without notice if suspected of illegal use
• [May] Banks may terminate without notice if required to report to authorities</t>
  </si>
  <si>
    <t>A bank must, subject to other applicable regulatory requirements, document, adopt and implement processes and procedures relating to the refusal to provide a financial product or render a financial service to one or more financial customers.</t>
  </si>
  <si>
    <t>Directive in respect of cybersecurity and cyber-resilisnce within the national payment system</t>
  </si>
  <si>
    <t>Definitions of critical cybersecurity terms for payment systems</t>
  </si>
  <si>
    <t>This section defines key terms specific to payment systems and cybersecurity, including critical service providers, cyber-attacks, cyber-incidents, cyber-resilience, cybersecurity, cyber-threats, information assets, information systems, information technology systems, multi-factor authentication, payment institutions, payment system financial market infrastructure, operators, senior management, sensitive information, and vulnerability assessments. These definitions establish the foundational language for the directive's cybersecurity and cyber-resilience requirements.</t>
  </si>
  <si>
    <t>• [Definition] Critical service provider means a service provider that provides critical services to a payment institution in the NPS
• [Definition] Compromise means a violation of the security of an information technology (IT) system
• [Definition] Cyber-attack means malicious attempt(s) to exploit vulnerabilities through the cyber medium to damage, disrupt or gain unauthorised access to assets
• [Definition] Cyber-event means any observable occurrence in an information system
• [Definition] Cyber-incident means a cyber-event that adversely affects the cybersecurity of an information system and/or the information that the system processes, stores or transmits
• [Definition] Cyber-resilience means the ability of a payment institution or an operator to continue carrying out its mission by anticipating and adapting to cyber-threats
• [Definition] Cyber-risk means the combination of the probability of cyber-incidents occurring and their impact
• [Definition] Cybersecurity means the preservation of confidentiality, integrity and availability of information and/or information systems through the cyber-medium
• [Definition] Cyber-threat means a circumstance with the potential to exploit one or more vulnerabilities that adversely affects cybersecurity
• [Definition] Information asset means any piece of data, device or other component of the environment that supports information-related activities</t>
  </si>
  <si>
    <t>• [Definition] Information system means a set of applications, services, information technology assets or other information-handling components
• [Definition] Information technology system means a set of hardware, software, network or other information technology components
• [Definition] Multi-factor authentication means the use of two or more authentication factors to verify the identity of a user or system
• [Definition] Payment institution means persons designated, authorised, registered or regulated under the National Payment System Act 78 of 1998
• [Definition] Payment system Financial Market Infrastructure means a multilateral system among payment system participants
• [Definition] Operator means an operator of a payment system, including payment clearing house system operators
• [Definition] Senior management means the chief executive officer or the person in charge of a payment institution
• [Definition] Sensitive information means information where loss, misuse or unauthorised access could adversely affect the public interest
• [Definition] Vulnerability assessment means a systematic examination of an IT system to determine the adequacy of security measures</t>
  </si>
  <si>
    <t>Definitions 1.1 to 1.19</t>
  </si>
  <si>
    <t>Cybersecurity and cyber-resilience requirements for payment systems</t>
  </si>
  <si>
    <t>7–13</t>
  </si>
  <si>
    <t>South African Reserve Bank (SARB)</t>
  </si>
  <si>
    <t>This section mandates payment institutions and operators to develop and maintain cybersecurity and cyber-resilience frameworks that include cyber-governance, identification of critical operations and information assets, cybersecurity measures, detection mechanisms, and response and recovery protocols. These frameworks must ensure the protection of critical systems, timely incident response, and adherence to recovery timelines to maintain payment system stability.</t>
  </si>
  <si>
    <t>This section imposes critical requirements for data transfer impact assessments, including the need to identify critical information assets, implement robust cybersecurity measures, and establish response protocols that ensure timely recovery from cyber-attacks to prevent systemic disruptions in payment systems.</t>
  </si>
  <si>
    <t>• [Must] Payment institutions and operators must develop and maintain cybersecurity and cyber-resilience frameworks
• [Must] Payment institutions and operators must have written effective cyber-governance arrangements
• [Must] Board or senior management must determine cyber-risk tolerance levels
• [Must] Board or senior management must approve cybersecurity policies and strategy
• [Must] Board or senior management must oversee development and implementation of cybersecurity frameworks
• [Must] Board or senior management must ensure annual review of cybersecurity policies
• [Must] Cybersecurity framework must be aligned with operational risk management
• [Must] Cybersecurity framework must be based on industry standards and best practices
• [Must] Cybersecurity framework must articulate identification of cyber-risks and controls
• [Must] Board or senior management must appoint a senior executive accountable for cybersecurity
• [Must] Cybersecurity framework must include information sharing with SARB and stakeholders
• [Must] Senior management must keep board informed on cybersecurity status
• [Must] Senior management must ensure compliance with this directive
• [Must] Senior management must conduct due diligence on entities introduced to NPS
• [Must] Payment institutions must conduct third-party risk assessments annually
• [Must] Roles and responsibilities for cybersecurity must be clearly outlined in agreements
• [Must] Payment institutions must identify critical technology, operations, and information assets
• [Must] Payment institutions must identify internal processes and external dependencies for security
• [Must] Payment institutions must ensure cybersecurity frameworks protect confidentiality, integrity and availability
• Payment institutions must embed protective controls to minimize cyber-attack impact
• [Must] Payment institutions must develop measures to protect critical and sensitive information
• [Must] Payment institutions must develop measures to mitigate risks from interconnectedness
• [Must] Payment institutions must develop measures to address anomalous staff behavior</t>
  </si>
  <si>
    <t>• [Must] Payment institutions must train staff on cyber-risk detection and response
• [Must] Payment institutions must design cyber-secure payment instruments and services
• [Must] Payment institutions must implement cyber-hygiene measures including strong password security
• [Must] Payment institutions must implement multi-factor authentication for critical systems
• [Must] Payment institutions must ensure network perimeter defense controls
• [Must] Payment institutions must implement multiple-layer security controls
• [Must] Payment institutions must ensure security patches are applied
• [Must] Payment institutions must test security patches for compatibility
• [Must] Payment institutions must ensure security standards for software, systems and devices
• [Must] Payment institutions must monitor application of security standards
• [Must] Payment institutions must implement malware protection
• [Must] Payment institutions must scan information assets for malicious activities
• [Must] Payment institutions must ensure data loss prevention policies
• [Must] Payment institutions must encrypt data storage systems and endpoint devices
• [Must] Payment institutions must ensure third-party managed systems are protected
• [Must] Payment institutions must ensure cyber-attack trigger points and detection measures
• [Must] Payment institutions must implement multi-layered trigger indicators for detection
• [Must] Payment institutions must identify irregular behavior by persons with access
• [Must] Payment institutions must have arrangements for resumption of critical operations
• [Must] Payment institutions must detect cyber-attack attempts and successful attacks
• [Must] Payment institutions must initiate recovery efforts upon successful cyber-attack
• [Must] Payment institutions must have incident response processes for recovery
• [Must] Payment institutions must have recovery measures within 2 hours for payment systems</t>
  </si>
  <si>
    <t>Directive 5.1 to 5.1.5.1</t>
  </si>
  <si>
    <t>Cyber-resilience planning and testing for payment institutions</t>
  </si>
  <si>
    <t>SARB</t>
  </si>
  <si>
    <t>Payment institutions must develop and test cyber-resilience plans quarterly, update them using threat intelligence and past incidents, include third-party management in their frameworks, and ensure cloud compliance with SARB regulations. These requirements apply to payment institutions and operators to maintain critical system resilience during cyber incidents.</t>
  </si>
  <si>
    <t>Requires payment institutions to maintain robust cyber-resilience frameworks with third-party and cloud service providers, including specific testing and monitoring protocols that impact data transfer and storage security across borders.</t>
  </si>
  <si>
    <t>• [Must] Develop and test response, resumption and recovery plans quarterly
• [Must] Update plans based on threat intelligence and past cyber-events
• [Must] Include third-party management plans in cyber-resilience frameworks
• [Must] Conduct extensive due diligence on third-party cyber-resilience measures
• [Must] Assess criticality of outsourced processes before contracts
• [Must] Obtain independent security attestation reports from third parties
• [Must] Implement and test business continuity plans with third parties
• [Must] Ensure compliance with SARB cloud computing and data offshoring regulations
• [Must] Identify, monitor and mitigate jurisdiction risks for cloud data
• [Must] Remain accountable for data stored and processed on cloud
• [Must] Develop and implement cyber-resilience testing programmes
• [Must] Simulate cyber-attacks to identify vulnerabilities
• [Must] Conduct internal and external penetration testing
• [Must] Test systems after significant changes for security vulnerabilities
• [Must] Perform regular vulnerability assessments</t>
  </si>
  <si>
    <t>• [Must] Share cyber threat and risk information with regulators and trusted parties
• [Must] Plan information sharing through trusted channels
• [Must] Participate in information-sharing groups like Cybersecurity Hub
• [Must] Ensure client data protection during information sharing
• [Must] Comply with Cybercrimes Act regarding information disclosure
• [Must] Understand cyber-threat landscape and risk mitigation adequacy
• [Must] Develop cyber-threat intelligence processes
• [Must] Collect information about cyber-threats from other payment institutions
• [Must] Ensure cybersecurity frameworks adapt to evolving cyber-risk
• [Must] Learn from previous cyber-incidents to improve security systems
• [Must] Monitor technological developments to counter cyber-attacks
• [Must] Implement predictive capabilities for proactive cyber-protection
• [Must] Report material cyber-incidents to SARB within 24 hours
• [Must] Provide detailed incident reports to SARB within 48 hours</t>
  </si>
  <si>
    <t>Payment institutions or operators must develop and implement cyber-resilience testing programmes and methodologies which include the following: different test scenarios and simulations of various cyber-attacks</t>
  </si>
  <si>
    <t>SARB supervision and inspection powers for payment institutions</t>
  </si>
  <si>
    <t>16–19</t>
  </si>
  <si>
    <t>The SARB may conduct unscheduled inspections of payment institutions with prior written notice, requiring inspectors to present identification and authority documents. Inspectors can access premises, documents, and systems without consent under specific conditions, including warrants for entry. Payment institutions must provide signed receipts for documents taken during inspections.</t>
  </si>
  <si>
    <t>SARB's inspection powers allow for data access and system checks that impact data transfer and storage compliance, particularly for financial institutions operating across borders.</t>
  </si>
  <si>
    <t>• [Must] SARB may conduct onsite or offsite inspections to promote compliance
• [Must] SARB must provide written notification before onsite inspections
• [Must] Inspection notification specifies dates, SARB representatives, review period, and required documentation
• [Must] SARB representatives must produce letter of authority and identity documents
• [Must] SARB may enter business premises without consent
• [Must] SARB may enter private residences with consent if business is conducted there
• [Must] SARB may enter premises without notice if warrant is issued
• [Must] SARB may enter premises with senior staff authority if warrant is likely
• [Must] SARB may enter premises to conduct inspections without notice if necessary
• [Must] SARB representatives have right to access any part of premises and documents
• [Must] SARB may open strongrooms to access relevant documents
• [Must] SARB may examine, copy, and make extracts from documents</t>
  </si>
  <si>
    <t>• [Must] SARB may question individuals for relevant information
• [Must] SARB may require production of documents relevant to inspection
• [Must] SARB may operate computer systems to search information
• [Must] SARB may take copies of documents as evidence of contravention
• [Must] SARB must provide signed receipt for documents taken
• [Must] Payment institutions may examine documents under SARB supervision
• [Must] Individuals may object to answering questions or producing documents
• [Must] SARB may require answers or documents despite objections
• [Must] Magistrates may issue warrants for inspections if conditions are met
• [Must] Warrants must be signed by issuing judge or magistrate
• [Must] SARB must fix warrant copy on premises if no one is in charge
• [Must] SARB must produce warrant on demand</t>
  </si>
  <si>
    <t>The SARB may at any time conduct a supervisory onsite or offsite inspection on payment institutions or operators, in a form and manner that the SARB may determine, to promote compliance with this directive.</t>
  </si>
  <si>
    <t>Effective date and non-compliance penalties for payment institutions</t>
  </si>
  <si>
    <t>This directive takes effect three months after publication, with SARB retaining amendment rights. Payment institutions must comply with all requirements, and contraventions are offences under the NPS Act, subject to penalties.</t>
  </si>
  <si>
    <t>Sets the effective date and legal consequences for non-compliance, directly impacting data transfer and processing compliance timelines and penalties for financial institutions.</t>
  </si>
  <si>
    <t>• [Must] Directive effective three months after publication
• [Must] SARB may amend requirements in the directive</t>
  </si>
  <si>
    <t>• [Must] Payment institutions must comply with directive requirements
• [Must] Contravention of directive is an offence under NPS Act</t>
  </si>
  <si>
    <t>This directive will be effective three months after its publication. The SARB reserves the right to amend any requirements in this directive.</t>
  </si>
  <si>
    <t>Joint Standard 1 of 2023 - IT Governance and Risk Management</t>
  </si>
  <si>
    <t>Definitions of key terms for financial institutions</t>
  </si>
  <si>
    <t>This section defines critical terms used throughout the Joint Standard, including 'financial institution', 'fit and proper', 'governing body', and specific IT-related terms like 'IT system' and 'material incident'. It clarifies the scope of the standard by specifying which entities and concepts are covered, particularly financial institutions and their regulatory frameworks. The definitions are contextualized within South Africa's financial sector laws to ensure alignment with existing legislation.</t>
  </si>
  <si>
    <t>• [Definition] ‘the Act' means the Financial Sector Regulation Act, 2017
• [Definition] ‘Authorities' means the Prudential Authority and Financial Sector Conduct Authority
• [Definition] ‘financial institution' includes banks, mutual banks, insurers, and other specified entities
• [Definition] ‘fit and proper' means compliance with applicable requirements
• [Definition] ‘fit and proper requirements' include honesty, good standing, and competence</t>
  </si>
  <si>
    <t>• [Definition] ‘FSP' means financial services provider as defined in the FAIS Act
• [Definition] ‘governing body' refers to the entity responsible for oversight
• [Definition] ‘IT system' means the integration of IT assets within the IT environment
• [Definition] ‘material incident' means a disruption with severe impact on operations</t>
  </si>
  <si>
    <t>3.1 In this Joint Standard, ‘the Act' means the Financial Sector Regulation Act, 2017 () and any word or expression to which a meaning has been assigned in the Act bears the meaning so assigned to it, unless the context indicates otherwise-</t>
  </si>
  <si>
    <t>Application scope and risk coverage</t>
  </si>
  <si>
    <t>This section specifies which financial institutions must comply with the Joint Standard and mandates that banks and insurers must address IT risks across all local and foreign branches, subsidiaries, and related entities. It requires financial institutions to tailor their risk management practices to their size, complexity, and risk profile, ensuring alignment with relevant financial sector laws. The standard emphasizes the need for continuous assessment of risk-related requirements.</t>
  </si>
  <si>
    <t>This section establishes the scope of application for financial institutions, requiring them to address IT risks across all branches and subsidiaries, both local and foreign, which is critical for data transfer impact assessments involving cross-border operations.</t>
  </si>
  <si>
    <t>• [Must] This Joint Standard applies to financial institutions as defined
• [Must] Banks and controlling companies must mitigate IT risks for all local and foreign branches and subsidiaries
• [Must] Insurers and controlling companies must mitigate IT risks for all local and foreign branches and subsidiaries</t>
  </si>
  <si>
    <t>• [Must] Minimum requirements must reflect the nature, size, complexity, and risk profile of the financial institution
• [Must] Implementation of requirements must consider the nature, size, complexity, and risk profile
• [Must] This Joint Standard must be read with relevant financial sector laws</t>
  </si>
  <si>
    <t>4.1 This Joint Standard applies to financial institutions as defined.</t>
  </si>
  <si>
    <t>Governance responsibilities for IT risk management</t>
  </si>
  <si>
    <t>This section outlines the roles and responsibilities of the governing body and senior management in ensuring IT risk management compliance. It mandates that the governing body must establish a robust IT risk management framework, define roles and responsibilities, and work with senior management to maintain effective oversight. The section emphasizes accountability and the integration of IT risk management into the institution's overall governance structure.</t>
  </si>
  <si>
    <t>This section clarifies the governance responsibilities for IT risk management, ensuring that the governing body and senior management are accountable for IT risk oversight, which is essential for data transfer impact assessments involving governance structures.</t>
  </si>
  <si>
    <t>• [Must] The governing body is ultimately responsible for ensuring compliance with the Joint Standard
• [Must] The governing body must ensure a sound and robust IT risk management framework and IT strategy</t>
  </si>
  <si>
    <t>• [Must] The governing body must clearly define roles and responsibilities of all management, execution, oversight, and control functions</t>
  </si>
  <si>
    <t>5.1 The governing body is ultimately responsible for ensuring that the financial institution complies with the requirements as set out in this Joint Standard.</t>
  </si>
  <si>
    <t>IT strategy development and review</t>
  </si>
  <si>
    <t>This section requires financial institutions to develop and maintain an IT strategy that is approved by the governing body and aligned with business strategy. It mandates regular review of the IT strategy at least annually to account for market, industry, technology, and other relevant developments. The strategy must include action plans, monitoring processes, and notification mechanisms for deviations that could contravene the Joint Standard or financial sector laws.</t>
  </si>
  <si>
    <t>This section ensures that IT strategies are aligned with business objectives and subject to regular review, which is critical for data transfer impact assessments to ensure strategies accommodate evolving data transfer needs.</t>
  </si>
  <si>
    <t>• [Must] IT strategy must be approved by the governing body and aligned with business strategy
• [Must] IT strategy must be reviewed at least annually for market, industry, technology, and other developments
• [Must] Action plans must be communicated to staff and reviewed at least quarterly</t>
  </si>
  <si>
    <t>• [Must] Processes must be established to monitor and measure IT strategy effectiveness
• [Must] Authorities must be notified when deviations from IT strategy contravene the Joint Standard or financial sector laws</t>
  </si>
  <si>
    <t>6.1 A financial institution must ensure that its IT strategy is approved by the governing body and aligned with its overall business strategy.</t>
  </si>
  <si>
    <t>IT risk management framework requirements</t>
  </si>
  <si>
    <t>This section mandates the establishment of an IT risk management framework that must be approved by the governing body and reviewed annually. The framework must include policies, procedures for risk identification and assessment, roles and responsibilities, IT asset identification, threat assessment, risk mitigation strategies, and periodic updates to risk registers. It emphasizes the need for continuous monitoring and adaptation to evolving risks and regulatory requirements.</t>
  </si>
  <si>
    <t>This section details the comprehensive requirements for an IT risk management framework, which is critical for data transfer impact assessments to ensure robust risk management practices across borders.</t>
  </si>
  <si>
    <t>• [Must] IT risk management framework must be approved by the governing body and reviewed annually
• [Must] Framework must incorporate policies, standards, and procedures for managing IT risks
• [Must] Framework must identify, assess, and manage all material risks with proportionality
• [Must] Policies must be independently reviewed and updated by relevant business areas
• [Must] Roles and responsibilities must be defined for governing body and senior management
• [Must] IT assets must be identified, recorded, and protected from unauthorized access
• [Must] Criticality and sensitivity of IT assets must be identified to develop protection plans</t>
  </si>
  <si>
    <t>• [Must] Impact and likelihood of threats, risks, and vulnerabilities must be assessed
• [Must] Risk mitigation strategies must be developed for each identified risk
• [Must] Financial institutions must maintain a risk register for monitoring and reporting high-severity risks
• [Must] IT risk metrics must be developed to identify high-risk systems and infrastructure
• [Must] Staff, service providers, and contractors must be fit and proper and have technical knowledge
• [Must] Training programs must be conducted and reviewed at least annually</t>
  </si>
  <si>
    <t>7.1 A financial institution must establish an IT risk management framework to manage IT risks in a systematic and consistent manner.</t>
  </si>
  <si>
    <t>Oversight mechanisms for IT risk management</t>
  </si>
  <si>
    <t>This section requires that oversight of IT risk management be integrated into the financial institution's governance and risk management structures, including clear reporting lines to the governing body. It ensures that the governing body maintains accountability for IT risk oversight, which is essential for maintaining regulatory compliance and effective risk management practices.</t>
  </si>
  <si>
    <t>This section ensures that oversight mechanisms for IT risk management are properly integrated into governance structures, which is critical for data transfer impact assessments to ensure accountability and transparency.</t>
  </si>
  <si>
    <t>• [Must] Oversight of IT risk management must be incorporated into governance and risk management structures</t>
  </si>
  <si>
    <t>• [Must] Provisions relating to reporting lines to the governing body must be included</t>
  </si>
  <si>
    <t>8.1 Oversight of IT risk management must be incorporated into the governance and risk management structures, processes and procedures of a financial institution, including provisions relating to reporting lines to the governing body.</t>
  </si>
  <si>
    <t>IT operations management framework requirements</t>
  </si>
  <si>
    <t>Financial institutions must develop and maintain a robust IT service management framework that includes governance structures for change management, software release management, incident and problem management, and capacity management. This framework must be documented, implemented, and regularly updated to ensure system stability, monitor operations, and maintain an up-to-date IT asset inventory. The framework must also include specific procedures for managing critical IT operations, logging and monitoring critical activities, configuration management, performance planning, backup and restoration, change management, and incident/problem resolution.</t>
  </si>
  <si>
    <t>This section establishes foundational IT operations controls that impact data transfer by requiring robust change management, incident handling, and backup procedures which affect data integrity and availability during cross-border transfers.</t>
  </si>
  <si>
    <t>• [Must] Financial institutions must develop a robust set of IT service management policies, standards, processes and procedures for supporting IT systems and services.
• [Must] IT service management framework must include governance structures for change management, software release management, incident and problem management, and capacity management.
• [Must] Financial institutions must manage IT operations based on documented and implemented policies, processes and procedures that define operations, monitoring and control of information systems.
• [Must] Financial institutions must maintain an up-to-date IT asset inventory and register of critical IT operations.
• [Must] Financial institutions must implement logging and monitoring procedures for critical IT operations to detect, analyze and correct incidents.
• [Must] Financial institutions must store configuration of IT assets and interdependencies to enable configuration management.
• [Must] Financial institutions must implement performance, capacity planning and monitoring processes to prevent, detect and respond to performance issues.</t>
  </si>
  <si>
    <t>• [Must] Financial institutions must define and implement IT system backup and restoration procedures to ensure recovery of IT systems.
• [Must] Financial institutions must establish and implement an effective IT change management process for recording, testing, assessing, approving, implementing and verifying changes.
• [Must] Financial institutions must establish and implement a problem and incident management process to identify, track, log, categorize and classify incidents based on business criticality.
• [Must] Financial institutions must ensure problem management can analyze and solve root causes behind incidents.
• [Must] Backup frequency must align with business recovery requirements and criticality of data and systems evaluated through risk assessment.
• [Must] Backup and restoration procedures must be tested at least annually.
• [Must] Financial institutions must implement appropriate segregation of duties between development, testing and operations environments.</t>
  </si>
  <si>
    <t>A financial institution must develop a robust set of IT service management policies, standards, processes and procedures (framework) which is essential for supporting IT systems, services and operations, managing changes, incidents and problems as well as ensuring the stability of the production IT environment.</t>
  </si>
  <si>
    <t>Sensitive information handling and protection measures</t>
  </si>
  <si>
    <t>Financial institutions must define and implement measures to protect sensitive customer information, mitigate IT risks, and ensure information accuracy and reliability. This includes establishing identity and access management procedures with monitoring controls, addressing risks of data theft and loss, ensuring data accuracy, and conducting independent reviews of compliance with security measures. The requirements also mandate adherence to all applicable data protection legislation, including the Protection of Personal Information Act, 2013.</t>
  </si>
  <si>
    <t>This section requires specific security controls for sensitive data handling that directly impact data transfer by mandating robust access controls and data protection measures for cross-border transfers of customer information.</t>
  </si>
  <si>
    <t>• [Must] Financial institutions must define, document and implement measures to protect sensitive or confidential information such as customer personal account and transaction data.
• [Must] Financial institutions must define, document and implement procedures for logical access control (identity and access management) that are enforced, monitored and periodically reviewed.
• [Must] Financial institutions must implement measures to address risks of data theft, data loss and data leakage from endpoint devices, customer service locations and call centres.</t>
  </si>
  <si>
    <t>• [Must] Financial institutions must ensure information processed, stored or transmitted between itself and customers is accurate, reliable and complete.
• [Must] Financial institutions must conduct independent reviews to assess compliance with implemented measures and identify vulnerabilities in compliance processes.
• [Must] Financial institutions must ensure all personal information is processed in accordance with all applicable legislation, including the Protection of Personal Information Act, 2013.</t>
  </si>
  <si>
    <t>A financial institution must define, document and implement appropriate measures to - (a) protect sensitive or confidential information such as customer personal account and transaction data which are stored and processed in systems; and (b) mitigate IT risks and protect information assets in accordance with its sensitivity classification.</t>
  </si>
  <si>
    <t>Financial product and service risk management</t>
  </si>
  <si>
    <t>Encryption</t>
  </si>
  <si>
    <t>Financial institutions must identify IT risks associated with financial products and services, and implement security controls, system availability and recovery capabilities commensurate with risk exposure. This includes evaluating security requirements for internet-facing systems, adopting encryption algorithms aligned with international standards, establishing security monitoring systems to detect IT risks, and implementing measures to protect online users and ensure customer awareness of security measures.</t>
  </si>
  <si>
    <t>This section mandates security controls for financial products and services that affect data transfer by requiring encryption standards and security monitoring for cross-border data flows.</t>
  </si>
  <si>
    <t>• [Must] Financial institutions must clearly identify IT risks associated with financial products or services and formulate security controls, system availability and recovery capabilities commensurate with risk exposure.
• [Must] Financial institutions must properly evaluate security requirements for internet-facing systems and adopt encryption algorithms aligned with well-established practices and international standards.
• [Must] Financial institutions must establish security monitoring systems to detect or monitor IT risk exposure in relation to financial services.</t>
  </si>
  <si>
    <t>• [Must] Financial institutions must implement measures to plan and track capacity utilisation and guard against online attacks.
• [Must] Financial institutions must implement reasonable measures to protect IT users, including customers, who use online systems to interact with financial institutions.
• [Must] Financial institutions must ensure customer awareness of security measures to protect customers in an online environment.</t>
  </si>
  <si>
    <t>A financial institution must clearly identify IT risks associated with the types of financial products or financial services being offered, and formulate security controls, system availability and recovery capabilities, which are commensurate with the level of risk exposure for all operations, including the internet-facing operations.</t>
  </si>
  <si>
    <t>IT programme and project management framework</t>
  </si>
  <si>
    <t>Financial institutions must develop an IT programme and project management framework that includes governance structures, policies, stakeholder engagement, risk management, change control, integration, cost and benefit realization. This framework must incorporate security requirements that are analyzed and approved by an independent function, identify and mitigate risks from interdependencies between projects, ensure functional and non-functional requirements are defined and approved, implement testing methodologies for systems before production deployment, and maintain comprehensive documentation of IT systems.</t>
  </si>
  <si>
    <t>This section establishes IT project management requirements that impact data transfer by mandating comprehensive documentation and testing of systems before deployment, which affects data integrity and security during cross-border transfers.</t>
  </si>
  <si>
    <t>• [Must] Financial institutions must develop a framework and approach for IT programme and project management that incorporates governance structures, policies and processes, stakeholder engagement, risks and issues management, change control, integration, and cost and benefit realization.
• [Must] Financial institutions must establish IT programme and project management policies, procedures and processes that include objectives, roles and responsibilities, risk assessment, project plans, key milestones, and change management requirements.
• [Must] Financial institutions must ensure IT security requirements are analyzed and approved by a function independent from the development function.
• [Must] Financial institutions must identify, monitor and mitigate risks from interdependencies between IT programmes and projects.
• [Must] Financial institutions must ensure functional and non-functional requirements (including information security) are clearly defined and approved by relevant governance structures before system acquisition or development.
• [Must] Financial institutions must follow a methodology for testing and approval of IT systems prior to implementation into production environments.</t>
  </si>
  <si>
    <t>• [Must] Financial institutions must implement controls to ensure adequate segregation of duties between pre-production and production environments.
• [Must] Financial institutions must implement measures to protect the integrity of source codes for in-house developed IT systems.
• [Must] Financial institutions must document the development, implementation, operation and configuration of IT systems comprehensively.
• [Must] Financial institutions must ensure documentation includes user documentation, technical system documentation and operating procedures.
• [Must] Financial institutions must ensure processes for acquisition and development of IT systems apply to business functions outside the IT department using a risk-based approach.
• [Must] Financial institutions must maintain a register of critical applications, business functions and processes.</t>
  </si>
  <si>
    <t>A financial institution must develop a framework and approach for IT programme and/or project management that incorporates the governance structures, policies and processes, stakeholder engagement, risks and issues management, change control, integration, and cost and benefit realisation.</t>
  </si>
  <si>
    <t>IT resilience and business continuity planning</t>
  </si>
  <si>
    <t>Financial institutions must define system recovery and business resumption priorities with specific Service Level Objectives including RTOs and RPOs for critical services. They must establish disaster recovery sites geographically separate from primary sites, implement IT resilience management processes to maximize service continuity during disruptions, conduct business impact assessments to analyze exposure to severe disruptions, develop IT resilience plans that consider risks to systems and services, and test and review these plans annually to ensure effectiveness.</t>
  </si>
  <si>
    <t>This section mandates business continuity planning requirements that directly impact data transfer by requiring disaster recovery sites and testing of data recovery procedures across borders.</t>
  </si>
  <si>
    <t>• [Must] Financial institutions must define system recovery and business resumption priorities and establish Service Level Objectives including RTOs and RPOs for critical services and business processes.
• [Must] Financial institutions must identify and establish a disaster recovery site geographically separate from the primary site to enable recovery of critical systems.
• [Must] Financial institutions must establish a sound IT resilience management process to maximize service continuity and limit losses during severe business disruption.
• [Must] Financial institutions must conduct a business impact assessment analyzing exposure to severe disruptions and potential impacts on confidentiality, integrity and availability.
• [Must] Financial institutions must ensure business impact assessments consider criticality of business functions, supporting processes, third parties and IT assets and their interdependencies.
• [Must] Financial institutions must develop a sound IT resilience plan that specifically considers risks impacting IT systems and services.
• [Must] Financial institutions must ensure the IT resilience plan supports protection and re-establishment of confidentiality, integrity and availability of business functions.
• [Must] Financial institutions must ensure the IT resilience plan supports critical business functions, processes, IT assets and interdependencies.</t>
  </si>
  <si>
    <t>• [Must] Financial institutions must ensure the IT resilience plan enables return to normalcy in the event of severe business disruption.
• [Must] Financial institutions must align the IT resilience plan with the business impact assessment.
• [Must] Financial institutions must test the IT resilience plan regularly, but at least annually, covering various scenarios including total shutdown of primary sites.
• [Must] Financial institutions must review the IT resilience plan regularly, but at least annually, based on testing results, threat intelligence and lessons learned.
• [Must] Financial institutions must assess redundancy and fault tolerance in electrical power, air conditioning, fire suppression and data communications.
• [Must] Financial institutions must define, document and implement physical security measures to protect premises, data centres and sensitive areas.
• [Must] Financial institutions must test recovery dependencies between systems and conduct bilateral or multilateral recovery testing where networks and systems are linked to service providers.</t>
  </si>
  <si>
    <t>A financial institution must define system recovery and business resumption priorities and establish specific Service Level Objectives including RTOs and RPOs for critical services and business processes.</t>
  </si>
  <si>
    <t>IT assurance and compliance review</t>
  </si>
  <si>
    <t>Financial institutions must establish an independent IT assurance structure with reporting lines that preserve independence and objectivity. This includes determining whether operational environment changes affect existing IT controls, requiring changes to be made through formal change management processes, and maintaining an IT assurance plan to evaluate the adequacy and effectiveness of IT systems, internal controls and governance arrangements.</t>
  </si>
  <si>
    <t>This section requires independent IT assurance mechanisms that impact data transfer by ensuring robust oversight of IT systems and controls, which affects data security and compliance during cross-border transfers.</t>
  </si>
  <si>
    <t>• [Must] Control functions and/or external assurance providers must have capacity to independently review and provide objective assurance of compliance with IT-related activities.
• [Must] Financial institutions must establish an organizational structure and reporting lines for IT assurance within control functions to preserve independence and objectivity.</t>
  </si>
  <si>
    <t>• [Must] Financial institutions must determine whether changes in the operational environment influence existing IT controls or require additional measures to mitigate risks, in accordance with formal change management processes.
• [Must] Financial institutions must maintain an IT assurance plan to examine and evaluate the adequacy and effectiveness of IT systems, internal control mechanisms and governance arrangements.</t>
  </si>
  <si>
    <t>The control functions and/or external assurance providers, must, have the capacity to independently review and provide objective assurance of compliance with all IT-related activities as outlined in the financial institution's policies and procedures as well as with external requirements.</t>
  </si>
  <si>
    <t>Financial institution incident reporting to regulators</t>
  </si>
  <si>
    <t>Authorities</t>
  </si>
  <si>
    <t>Financial institutions must notify the relevant financial sector regulator within a specified timeframe after classifying a system failure, malfunction, delay, or disruptive event as a material incident. The notification must follow the form and manner determined by the authorities. Additionally, regulators may request specific information or compliance reports during ongoing supervisory reviews.</t>
  </si>
  <si>
    <t>Requires timely reporting of material incidents to regulators, impacting data transfer assessments by mandating incident classification and notification protocols for cross-border financial data handling.</t>
  </si>
  <si>
    <t>• [Must] Financial institutions must notify the responsible authority of the financial sector law within the determined timeframe after classifying an event as a material incident
• [Must] Notification must be in the form and manner determined by the authorities</t>
  </si>
  <si>
    <t>• [May] Regulators may request specific information or regulatory reports during ongoing supervisory reviews
• [May] Regulators may request assurance in terms of compliance with this Joint Standard</t>
  </si>
  <si>
    <t>15.1 A financial institution must notify the responsible authority of the financial sector law in terms of which the financial institution is licensed or registered, in the form and manner determined by the Authorities, of any systems failure, malfunction, delay or other disruptive event, within the determined timeframe, after classifying the event as a material incident.</t>
  </si>
  <si>
    <t>Joint Standard 2 of 2024  Cybersecurity &amp; Cyber resilience Requirements</t>
  </si>
  <si>
    <t>Definitions of cybersecurity terms and financial institution scope</t>
  </si>
  <si>
    <t>3–6</t>
  </si>
  <si>
    <t>This section defines key terms used throughout the Joint Standard, including 'cybersecurity', 'cyber incident', 'financial institution', and 'cyber resilience'. It specifies that 'financial institution' includes banks, insurers, pension funds, and other entities regulated under South African financial laws. The definitions clarify the scope of cybersecurity requirements for these institutions.</t>
  </si>
  <si>
    <t>Provides foundational definitions critical for understanding cross-border data transfers, as 'financial institution' scope includes entities handling international data flows. Clarifies what constitutes 'cyber incident' and 'cyber resilience' relevant to data protection.</t>
  </si>
  <si>
    <t>• [Definition] ‘the Act' means the Financial Sector Regulation Act, 2017</t>
  </si>
  <si>
    <t>• [Definition] ‘financial institution' includes banks, insurers, pension funds, and other entities regulated under South African financial laws</t>
  </si>
  <si>
    <t>Definitions and interpretation</t>
  </si>
  <si>
    <t>Application scope for financial institutions</t>
  </si>
  <si>
    <t>This section specifies that the Joint Standard applies to financial institutions as defined in the standard. It requires banks and their controlling companies to mitigate cybersecurity risks from all juristic persons and branches, including foreign entities. Insurers and their controlling companies must similarly address cybersecurity risks from their structured entities. The standard must be tailored to the institution's size, complexity, and risk profile.</t>
  </si>
  <si>
    <t>Defines which financial institutions must comply with cybersecurity requirements, including cross-border entities. Critical for determining data transfer obligations when financial institutions operate internationally.</t>
  </si>
  <si>
    <t>• [Must] Banks and controlling companies must mitigate cybersecurity risks from all juristic persons and branches, including foreign entities
• [Must] Insurers and controlling companies must mitigate cybersecurity risks from all juristic persons and branches, including foreign entities</t>
  </si>
  <si>
    <t>• [Must] Minimum requirements must reflect the nature, size, complexity and risk profile of the financial institution</t>
  </si>
  <si>
    <t>Application</t>
  </si>
  <si>
    <t>Roles and responsibilities for cybersecurity governance</t>
  </si>
  <si>
    <t>This section outlines that the governing body is ultimately responsible for ensuring compliance with the Joint Standard and overseeing cyber risk management. It requires the governing body to establish a robust cybersecurity strategy with senior management, facilitate cooperation with stakeholders, and ensure clear roles for security in third-party contracts. The governing body must also oversee the implementation of cybersecurity measures.</t>
  </si>
  <si>
    <t>Clarifies governance responsibilities for cybersecurity, critical for data transfer impact assessments involving third parties and international operations.</t>
  </si>
  <si>
    <t>• [Must] Governing body must ensure compliance with the Joint Standard
• [Must] Governing body must oversee cyber risk management and delegate primary oversight to a committee
• [Must] Governing body must establish a sound cybersecurity strategy with senior management</t>
  </si>
  <si>
    <t>• [Must] Governing body must ensure cooperation with stakeholders for financial sector cyber resilience
• [Must] Governing body must ensure clear roles for security in third-party contracts</t>
  </si>
  <si>
    <t>Roles and responsibilities</t>
  </si>
  <si>
    <t>Cybersecurity governance structures</t>
  </si>
  <si>
    <t>This section requires financial institutions to define roles and responsibilities for management functions and committees overseeing cyber risks. It mandates that cyber risk management be integrated into the institution's governance framework, with direct reporting lines to the governing body. It also requires a dedicated function for cybersecurity with adequate resources and authority, and ensures that oversight functions have access to the governing body without conflicts of interest.</t>
  </si>
  <si>
    <t>Establishes governance structures critical for data transfer impact assessments, particularly for international data flows and third-party data sharing.</t>
  </si>
  <si>
    <t>• [Must] Define roles and responsibilities of all management functions and committees for cyber risk oversight
• [Must] Integrate cyber risk management into governance and risk management structures
• [Must] Establish a function responsible for cybersecurity with adequate resources and authority</t>
  </si>
  <si>
    <t>• [Must] Ensure oversight functions have direct access to the governing body
• [Must] Ensure segregation of duties and avoid conflicts of interest in oversight functions</t>
  </si>
  <si>
    <t>Cybersecurity strategy and framework requirements</t>
  </si>
  <si>
    <t>This section mandates that financial institutions establish and maintain a cybersecurity strategy approved by the governing body, aligned with business strategy. It requires regular review of the strategy, establishment of a cybersecurity framework, alignment with enterprise risk management, development of cybersecurity policies, and regular reassessment of business risk tolerance. Metrics must be established to track cybersecurity risks and inform reporting.</t>
  </si>
  <si>
    <t>Provides detailed requirements for cybersecurity strategies, critical for assessing data transfer risks when financial institutions operate internationally.</t>
  </si>
  <si>
    <t>• [Must] Establish and maintain a cybersecurity strategy approved by the governing body
• [Must] Review cybersecurity strategy at least annually to address threats, allocate resources, and remediate gaps
• [Must] Establish a cybersecurity framework to manage cyber risks
• [Must] Align cybersecurity framework with enterprise risk management framework</t>
  </si>
  <si>
    <t>• [Must] Establish cybersecurity policies, standards, and procedures informed by industry best practices
• [Must] Define and reassess business risk tolerance relative to cybersecurity
• [Must] Establish metrics to track and manage cybersecurity risks</t>
  </si>
  <si>
    <t>Cybersecurity strategy and framework</t>
  </si>
  <si>
    <t>Cybersecurity fundamentals for financial institutions</t>
  </si>
  <si>
    <t>8–12</t>
  </si>
  <si>
    <t>Responsible Authority</t>
  </si>
  <si>
    <t>Financial institutions must identify critical business processes and information assets, classify them by criticality and sensitivity, conduct security risk assessments, and maintain updated inventories of information assets. They must implement robust cybersecurity practices to prevent, limit and contain cyber incidents, including identity and access management, data security, application and system security, network security, cryptography, and cybersecurity awareness training. These measures must be regularly reviewed and updated to address evolving threats.</t>
  </si>
  <si>
    <t>This section establishes foundational cybersecurity requirements that directly impact data transfer and processing across borders by mandating robust security controls, encryption, and incident response protocols. Financial institutions must ensure data security and integrity during cross-border transfers through these fundamental security practices.</t>
  </si>
  <si>
    <t>• [Must] Identify business processes and information assets supporting business and service delivery
• [Must] Classify business processes and information assets by criticality and sensitivity
• [Must] Conduct security risk assessments on critical operations and information assets
• [Must] Maintain inventory of information assets including location, ownership, and roles/responsibilities
• [Must] Update inventory when changes are required and review at least biennially
• [Must] Implement cyber resilience capabilities to prevent, limit and contain cyber incidents
• [Must] Limit access to information assets to authorized users, processes, and devices
• [Must] Manage access based on assessed risk of unauthorized access
• [Must] Establish identity management and access control mechanisms for user administration, accountability and authentication
• [Must] Establish security and access control policies and procedures
• [Must] Ensure remote access is only from secured devices meeting security standards
• [Must] Implement strong authentication for remote access users
• [Must] Develop data loss prevention policies for sensitive information in motion, at rest or in use
• [Must] Implement measures to prevent and detect unauthorized access, modification, copying, transmission or theft of data
• [Must] Ensure third-party service providers' information assets receive same protection level as critical assets
• [Must] Encrypt or protect sensitive information with access controls commensurate to risk exposure
• [Must] Use only authorized IT systems, endpoint devices and storage for sensitive information
• [Must] Implement controls to prevent unauthorized internet services for sensitive data
• [Must] Restrict use of sensitive information in non-production environments unless equivalent controls are in place
• [Must] Implement controls to manage access and removal of sensitive information to prevent leaks
• [Must] Mask sensitive information in production and non-production environments
• [Must] Permanently delete sensitive information from storage media before disposal or redeployment
• [Must] Have agreement for secure return or transfer of data upon contract termination
• [Must] Implement non-disclosure or confidentiality provisions in agreements with users
• [Must] Implement security-by-design approach to minimize system vulnerabilities
• [Must] Determine acceptable security level for business needs and assess threats and risks
• [Must] Specify security requirements for access control, authentication, transaction authorization, data integrity, system logging, audit trails and exception handling
• [Must] Review and test changes to business-critical applications to ensure no adverse impact
• [Must] Install network security devices to secure connections with internet and third-party providers
• [Must] Deploy network intrusion detection or prevention systems
• [Must] Review network architecture and interconnections periodically to identify vulnerabilities
• [Must] Implement network access controls to detect and prevent unauthorized devices
• [Must] Review network access mechanisms at least annually
• [Must] Review firewall rules periodically and test network perimeter controls annually
• [Must] Isolate internet web browsing activities from sensitive IT systems
• [Must] Encrypt remote connections to prevent data leakage through sniffing
• [Must] Establish cryptographic key management policies, standards and procedures
• [Must] Adopt cryptographic algorithms from well-established international standards
• [Must] Ensure cryptographic keys are securely generated and protected from unauthorized disclosure
• [Must] Use secure key destruction method for expired or revoked keys
• [Must] Determine appropriate cryptographic key lifespan based on sensitivity and risks
• [Must] Securely replace cryptographic keys before expiration
• [Must] Maintain backups of cryptographic keys with high protection
• [Must] Ensure cryptographic algorithms have been rigorously tested or vetted
• [Must] Establish comprehensive cybersecurity awareness training program
• [Must] Conduct user refresher training at least annually
• [Must] Ensure governing body receives cybersecurity training
• [Must] Review cybersecurity training program periodically for relevance
• [Must] Maintain effective cyber resilience capabilities to monitor and detect cyber events
• [Must] Periodically evaluate effectiveness of security controls through monitoring, testing and audits
• [Must] Establish security monitoring capabilities including security operations center</t>
  </si>
  <si>
    <t>• [Must] Define processes, roles and responsibilities for security operations
• [Must] Establish process to collect, review and retain IT system logs
• [Must] Protect IT system logs against unauthorized access, editing and deletion
• [Must] Configure IT system events or alerts for early indication of security issues
• [Must] Actively monitor security events or alerts to address issues early
• [Must] Correlate multiple events on IT system logs to identify suspicious activity patterns
• [Must] Establish process for timely escalation of suspicious activities
• [Must] Implement capabilities to rapidly respond and recover from cyber-attacks
• [Must] Establish cyber incident management policies and processes
• [Must] Develop data backup strategy with regular backups and testing
• [Must] Ensure sensitive information in backup media is secured (e.g. encrypted)
• [Must] Store backup media offline or at offsite location (including cloud storage)
• [Must] Implement communication strategy for customers impacted by cyber-attacks
• [Must] Set RPO and RTO based on nature, scale, complexity and risk profile
• [Must] Establish cyber incident response and management plan
• [Must] Describe communication, coordination and response procedures for cyber threats
• [Must] Establish process to investigate security control deficiencies causing compromise
• [Must] Evaluate full extent of impact from security incidents
• [Must] Use cyber intelligence and lessons from incidents to enhance security controls
• [Must] Test cyber incident response and management plan against plausible threats
• [Must] Understand threat landscape and implications in operating environment
• [Must] Establish process to collect and analyze cyber-related information for business relevance
• [Must] Implement cyber intelligence monitoring capabilities for internal and external threats
• [Must] Participate in cyber threat information-sharing arrangements with trusted external parties
• [Must] Test all elements of cyber resilience capacity and security controls
• [Must] Determine testing frequency based on vulnerability rates and criticality
• [Must] Ensure security control assurance is provided by appropriately skilled personnel
• [Must] Escalate and report to governing body security control deficiencies that cannot be remediated
• [Must] Ensure remediation plan with timelines is followed for identified control deficiencies
• [Must] Conduct regular vulnerability assessments on IT systems and information assets
• [Must] Address vulnerabilities in a timely manner
• [Must] Determine vulnerability assessment frequency based on criticality and exposure
• [Must] Conduct penetration testing on critical IT systems and information assets
• [Must] Determine penetration testing frequency based on criticality and exposure
• [Must] Validate security controls for internet-accessible systems after major changes
• [Must] Conduct penetration testing at least annually if no major changes
• [Must] Carry out regular scenario-based simulation exercises to validate response and recovery
• [Must] Design simulation exercises using threat intelligence relevant to IT environment
• [Must] Test security functionality on web-based and critical applications during development
• [Must] Adopt standards on secure coding, source code review and application security testing
• [Must] Establish policy and procedure for third-party and open-source software code review
• [Must] Review policy and procedures regularly
• [Must] Establish comprehensive remediation process to track and resolve issues
• [Must] Classify issues by severity and prioritize based on risk
• [Must] Set timeframes for remediation of issues of different severity
• [Must] Conduct risk assessments where appropriate
• [Must] Implement mitigation strategies for deviations from cybersecurity framework
• [Must] Track all issues identified from cybersecurity testing or exercises
• [Must] Remediate known major issues and security flaws before production deployment
• [Must] Track updates and reported vulnerabilities on in-house, third-party and open-source software</t>
  </si>
  <si>
    <t>Cybersecurity hygiene practices for financial institutions</t>
  </si>
  <si>
    <t>Access Control, Third Party Processing</t>
  </si>
  <si>
    <t>Financial institutions must implement robust access management policies including strong password controls, regular policy reviews, user access provisioning processes, segregation of duties, least privilege principles, periodic access reviews, and consistent access controls for third parties. These requirements ensure appropriate user access rights and minimize unauthorized access risks to critical systems and information assets.</t>
  </si>
  <si>
    <t>These practices establish baseline security controls critical for DTIAs involving financial data transfers, particularly regarding access management and third-party vendor controls.</t>
  </si>
  <si>
    <t>• [Must] Establish a security access control policy and process for strong password security controls
• [Must] Review security access control policy regularly
• [Must] Establish user access management process for provisioning, changing and revoking access rights
• [Must] Apply segregation of duties and least privilege principles when granting user access
• [Must] Ensure appropriate parties perform periodic user access reviews to verify privileges
• [Must] Apply same monitoring and access restrictions to third-party service providers as employees
• [Must] Secure administrative accounts to prevent unauthorized access
• [Must] Grant privileged account access on a need-to-use basis with logging and review
• [Must] Establish process to manage and monitor privileged accounts for suspicious activity
• [Must] Implement MFA for users with access to critical system functions
• [Must] Implement MFA or privilege access management for all administrative accounts
• [Must] Implement MFA for all user accounts accessing internet applications with sensitive information
• [Must] Protect network from unauthorized access and disruption
• [Must] Implement security controls at network perimeter to restrict unauthorized traffic</t>
  </si>
  <si>
    <t>• [Must] Adopt defense in depth approach with multiple layers of security controls
• [Must] Apply security patches within timeframe commensurate with vulnerability risks
• [Must] Institute compensating security controls where patches unavailable
• [Must] Test security patches before production application to ensure compatibility
• [Must] Implement remediation plan with timelines for incompatible patches
• [Must] Establish written security standards for hardware and software
• [Must] Ensure security standards minimize exposure to cyber threats
• [Must] Review security standards periodically for relevance and effectiveness
• [Must] Verify uniform application of security standards and identify deviations
• [Must] Institute controls to reduce risk from non-conformity to security standards
• [Must] Implement endpoint protection against malware delivery channels
• [Must] Keep anti-malware signatures up-to-date and regularly scan systems
• [Must] Implement detection and response mechanisms for indicators of compromise</t>
  </si>
  <si>
    <t>Cybersecurity hygiene practices</t>
  </si>
  <si>
    <t>Material incident reporting requirements for financial institutions</t>
  </si>
  <si>
    <t>Financial institutions must notify the responsible authority within specified timeframe after classifying cyber incidents or information security compromises as material incidents. Additional reporting obligations require institutions to submit information related to compliance with the Joint Standard as determined by the authorities, with reporting formats and timelines specified by regulatory notices.</t>
  </si>
  <si>
    <t>These reporting requirements impact DTIAs by establishing incident classification thresholds and mandatory notification procedures for security breaches involving financial data.</t>
  </si>
  <si>
    <t>• [Must] Notify responsible authority after classifying cyber incidents as material incidents
• [Must] Notify responsible authority after classifying information security compromises as material incidents</t>
  </si>
  <si>
    <t>• [Must] Report information related to Joint Standard compliance to authorities as determined</t>
  </si>
  <si>
    <t>A financial institution must notify the responsible authority in the form and manner determined by the Authorities, after classifying the following as a material incident – cyber incidents; or information security compromise.</t>
  </si>
  <si>
    <t>PA Directive</t>
  </si>
  <si>
    <t>Cloud computing and data offshoring definitions</t>
  </si>
  <si>
    <t>This section defines cloud computing as a model for on-demand network access to shared computing resources. It acknowledges that banks may already offshore data through insourcing relationships with parent organizations and are increasingly considering cloud computing for significant activities. The PA clarifies its policy stance on these practices without imposing specific requirements.</t>
  </si>
  <si>
    <t>• [Definition] Cloud computing is defined as a model for enabling convenient, on-demand network access to a shared pool of configurable computing resources (e.g. networks, servers, storage facilities, applications and services) that can be rapidly provisioned and released with minimal management effort or service provider interaction.</t>
  </si>
  <si>
    <t>1.3.1 Cloud computing is defined as a model for enabling convenient, on-demand network access to a shared pool of configurable computing resources (e.g. networks, servers, storage facilities, applications and services) that can be rapidly provisioned and released with minimal management effort or service provider interaction.</t>
  </si>
  <si>
    <t>Cloud computing and data offshoring requirements</t>
  </si>
  <si>
    <t>Cloud Services, Data Storage, Data Residency, Security, Encryption, Access Control, Processing, Retention, Deletion, Data Sharing, Third Party Processing, Outsourcing, Incident Reporting, Breach Notification, Governance, Record Keeping</t>
  </si>
  <si>
    <t>Prudential Authority (PA)</t>
  </si>
  <si>
    <t>Banks must implement a risk-based approach aligned with their risk appetite when using cloud computing or offshoring data. They must have a data strategy, governance framework, and clear policies for such activities. Banks must assess risks before implementing initiatives, ensure data confidentiality and integrity, comply with local and foreign regulations, maintain regulatory access, have contingency plans, protect intellectual property, and ensure data remains usable even after contract termination. All arrangements must be in legally binding agreements.</t>
  </si>
  <si>
    <t>Banks must establish risk-based controls for cloud and offshoring arrangements to ensure data security, regulatory compliance, and operational continuity across borders.</t>
  </si>
  <si>
    <t>• [Must] Banks must have in place a formally defined and board approved data strategy and data governance framework.
• [Must] Banks that use cloud computing and/or offshore their data must have a clearly defined policy for such activities, which is aligned with its business strategy and linked to its risk appetite.
• [Must] Oversight of cloud computing and/or the offshoring of data must be incorporated into the governance structures, processes and procedures within the bank.
• [Must] Banks must ensure that their risk and control frameworks, including the application thereof, are designed and operating effectively in order to manage the risks associated with the use of cloud computing and/or the offshoring of data.
• [Must] Prior to undertaking a particular cloud computing and/or data offshoring initiative, the bank must assess whether the risk involved is within its risk appetite.
• [Must] All strategic investments by the bank, including the use of cloud computing and/or the offshoring of data, must be subjected to appropriate due diligence.
• [Must] Banks must take all reasonable measures to ensure the confidentiality, integrity and availability of its data, information technology (IT) applications or systems.</t>
  </si>
  <si>
    <t>• [Must] Banks that use cloud computing and/or offshore their data must ensure that they remain compliant with applicable legislation and regulations, both locally as well as in any country where the cloud services and/or data are hosted.
• [Must Not] The use of cloud computing and/or the offshoring of data must not in any way infringe on the bank's supervisors or prevent any regulatory mandated access to information, nor must it impact on its regulators' ability to fulfil their duties.
• [Must] Banks must have contingency plans to continue with operations and meet their core obligations, such as regulatory, statutory or otherwise, despite any cloud computing and/or offshoring of data arrangements which may be in place.
• [Must] Banks must ensure that their intellectual property rights and contractual rights to data are not compromised, despite any cloud computing and/or offshoring of data arrangements which may be in place. Data must always be in a usable, readable and portable state, even when the contract is terminated.
• [Must Not] Any cloud computing and/or offshoring of data arrangements must not impact on banks' ability to conduct forensic audits or investigations.
• [Must] All cloud computing and/or offshoring of data arrangements must be contained in a documented, legally binding agreement.</t>
  </si>
  <si>
    <t>Banks must have in place a formally defined and board approved data strategy and data governance framework.</t>
  </si>
  <si>
    <t>Acknowledgement of receipt requirement</t>
  </si>
  <si>
    <t>Banks must provide a signed acknowledgement of receipt to the PA confirming that they have received the directive and made it available to their independent auditors. This ensures regulatory compliance with the directive's implementation.</t>
  </si>
  <si>
    <t>• [Notification] Kindly ensure that a copy of this directive is made available to your institution's independent auditors. The attached acknowledgement of receipt duly completed and signed by both the chief executive officer of the institution and the said auditors should be returned to the PA at the earliest convenience of the aforementioned signatories.</t>
  </si>
  <si>
    <t>Kindly ensure that a copy of this directive is made available to your institution's independent auditors.</t>
  </si>
  <si>
    <t>South Africa National Cybersecurity Policy Framework (NCPF) 2015</t>
  </si>
  <si>
    <t>Introduction to South African Cybersecurity Policy Framework</t>
  </si>
  <si>
    <t>State Security Agency (SSA)</t>
  </si>
  <si>
    <t>This section introduces the National Cybersecurity Policy Framework (NCPF) as part of South Africa's Justice, Crime Prevention and Security Cluster. It outlines the strategic importance of cybersecurity in the context of national security, economic growth, and digital integration. The framework aims to address cyber threats such as cybercrime, cyber terrorism, and cyber espionage while balancing the benefits of information technology with security risks.</t>
  </si>
  <si>
    <t>This section establishes the foundational context for cybersecurity policy in South Africa, emphasizing the need for coordinated national responses to cyber threats. It does not directly specify transfer mechanisms but sets the stage for future regulatory requirements.</t>
  </si>
  <si>
    <t>• [Must] The NCPF sets out a National Cybersecurity Policy Framework for South Africa
• [Must] The framework addresses cybersecurity threats including cybercrime, cyber terrorism, and cyber espionage
• [Must] The framework promotes a cybersecurity culture and compliance with minimum security standards
• [Must] The framework strengthens intelligence collection, investigation, prosecution and judicial processes for cybercrime</t>
  </si>
  <si>
    <t>• [Must] The framework establishes public-private partnerships for national and international action plans
• [Must] The framework ensures protection of National Critical Information Infrastructure
• [Must] The framework promotes a comprehensive legal framework governing cyberspace</t>
  </si>
  <si>
    <t>The NCPF Policy Framework therefore recognises that Cybersecurity threats and the combating thereof have a personal, national and international context.</t>
  </si>
  <si>
    <t>South African Cybersecurity Context and Challenges</t>
  </si>
  <si>
    <t>This section details South Africa's cybersecurity challenges, including the increasing cybercrime threats, the lack of coordinated legislation, and the vulnerability of critical information infrastructure. It highlights the need for a unified approach to cybersecurity that involves government, the private sector, and civil society to address cyber threats and protect national security.</t>
  </si>
  <si>
    <t>This section identifies South Africa's vulnerability to cyber threats and the need for coordinated national responses, which may impact data transfer and processing activities across borders.</t>
  </si>
  <si>
    <t>• [Must] South Africa faces significant cybercrime threats targeting financial institutions
• [Must] The absence of coordinated cybersecurity legislation creates vulnerabilities</t>
  </si>
  <si>
    <t>• [Must] South Africa needs mechanisms for proactive and coordinated national response to cyber threats
• [Must] Cybersecurity is everyone's responsibility, including public and private sectors</t>
  </si>
  <si>
    <t>The banking sector is especially vulnerable to cybercrime.</t>
  </si>
  <si>
    <t>Purpose of the National Cybersecurity Policy Framework</t>
  </si>
  <si>
    <t>Data Storage, Security, Incident Reporting, Breach Notification, Governance, Record Keeping</t>
  </si>
  <si>
    <t>This section outlines the purpose of the NCPF to create a secure, dependable, and trustworthy cyber environment that protects critical information infrastructure while strengthening shared human values and understanding of cybersecurity. It emphasizes the need for collaboration between government, business, and civil society to enhance national security and economic well-being.</t>
  </si>
  <si>
    <t>This section defines the purpose of the NCPF, which includes protecting critical information infrastructure and ensuring cybersecurity, but does not specify data transfer mechanisms.</t>
  </si>
  <si>
    <t>• [Must] The NCPF aims to create a secure, dependable, reliable and trustworthy cyber environment
• The framework ensures protection of critical information infrastructure</t>
  </si>
  <si>
    <t>• [Must] The framework strengthens shared human values and understanding of cybersecurity</t>
  </si>
  <si>
    <t>The purpose of the NCPF is to create a secure, dependable, reliable and trustworthy cyber environment that facilitates the protection of critical information infrastructure whilst strengthening shared human values and understanding of Cybersecurity in support of national security imperatives and the economy.</t>
  </si>
  <si>
    <t>Key Objectives of the National Cybersecurity Policy Framework</t>
  </si>
  <si>
    <t>This section lists the strategic priorities of the NCPF, including centralizing cybersecurity coordination, fostering cooperation between government, the private sector, and civil society, promoting international cooperation, developing cybersecurity skills, promoting a cybersecurity culture, and ensuring compliance with technical and operational standards.</t>
  </si>
  <si>
    <t>This section outlines the strategic objectives for cybersecurity in South Africa, which may influence data transfer and processing activities through the emphasis on critical infrastructure protection and international cooperation.</t>
  </si>
  <si>
    <t>• [Must] Centralize coordination of cybersecurity activities through relevant structures and strategies
• [Must] Foster cooperation and coordination between government, private sector, and civil society
• [Must] Promote international cooperation in cybersecurity</t>
  </si>
  <si>
    <t>• [Must] Develop requisite skills, research and development capacity in cybersecurity
• [Must] Promote a culture of cybersecurity
• [Must] Promote compliance with appropriate technical and operational cybersecurity standards</t>
  </si>
  <si>
    <t>The NCPF articulates the overall aim and objectives of the South African Government and sets out strategic priorities that will be pursued to achieve these objectives.</t>
  </si>
  <si>
    <t>Public-private cybersecurity coordination through Cybersecurity Hub</t>
  </si>
  <si>
    <t>Cross-border Transfer, International Processing, Data Sharing, Third Party Processing</t>
  </si>
  <si>
    <t>Department of Telecommunications and Postal Services</t>
  </si>
  <si>
    <t>This section establishes a Cybersecurity Hub within the Department of Telecommunications and Postal Services to coordinate and consult between public sector, private sector, and civil society on cybersecurity matters. The Hub operates under national security guidelines from the JCPS Cybersecurity Response Committee and has specific responsibilities including stakeholder identification, sector CSIRT coordination, information dissemination, best practice guidance, awareness campaigns, and promoting compliance with cybersecurity standards. The Hub also facilitates the development of additional sector-specific CSIRTs that coordinate incident response within their sectors.</t>
  </si>
  <si>
    <t>This section establishes a coordination mechanism for cybersecurity stakeholders but does not directly address data transfer mechanisms. It may indirectly influence data handling practices through sector-specific security requirements but has no explicit data transfer implications for DTIAs.</t>
  </si>
  <si>
    <t>• [Must] Establish Cybersecurity Hub within Department of Telecommunications and Postal Services
• [Must] Operate Cybersecurity Hub under national security guidelines issued by JCPS Cybersecurity Response Committee
• [Must] Coordinate cybersecurity activities with JCPS CRC and identify stakeholders
• [Must] Develop public-private relationships and collaborate with sector CSIRTs
• [Must] Disseminate cybersecurity information to sector CSIRTs, vendors, and technology experts
• [Must] Provide best practice guidance on ICT security for government, business, and civil society
• [Must] Initiate cybersecurity awareness campaigns
• [Must] Promote compliance with JCPS Cybersecurity Response Committee standards</t>
  </si>
  <si>
    <t>• [Must] Encourage development of additional sector CSIRTs
• [Must] Sector CSIRTs must act as point of contact for cybersecurity matters
• [Must] Coordinate cybersecurity incident response within sector
• [Must] Facilitate information and technology sharing within sector
• [Must] Facilitate information sharing and technology exchange with other sector CSIRTs
• [Must] Establish sector-specific national security standards with JCPS Cybersecurity Response Committee
• [Must] Develop agreed measures for sector cybersecurity</t>
  </si>
  <si>
    <t>The Cybersecurity Hub will be operated within the DOC in accordance with national security guidelines and standards issued by the JCPS Cybersecurity Response Committee.</t>
  </si>
  <si>
    <t>National Information Security Verification Framework</t>
  </si>
  <si>
    <t>This section promotes the development of a National Information Security Verification Framework to independently assess and certify products and systems that process or store information impacting national security. The framework requires facilitating partnerships between South Africa and countries with assessment capacity, government-private sector-academic institutions, establishing national regulations for verification, coordinating government institutions for implementation, and creating a central body for verification functions.</t>
  </si>
  <si>
    <t>This section establishes requirements for verifying information security products and systems that could impact data transfers involving national security, but does not directly address cross-border data transfer mechanisms for DTIAs.</t>
  </si>
  <si>
    <t>• [Must] Develop National Information Security Verification Framework
• [Must] Facilitate partnerships between South Africa and countries with information security assessment capacity
• [Must] Facilitate partnerships between government, private sector, and academic institutions for information security assessments</t>
  </si>
  <si>
    <t>• [Must] Develop national regulations for verification of information security products and systems
• [Must] Facilitate partnerships among government institutions for implementation of verification
• [Must] Establish body to centrally coordinate national verification functions</t>
  </si>
  <si>
    <t>The NCPF therefore promotes the facilitation by the JCPS Cybersecurity Response Committee and the National Cybersecurity Hub of the development of a National Information Security Verification Framework</t>
  </si>
  <si>
    <t>National Critical Information Infrastructure Protection</t>
  </si>
  <si>
    <t>Data Storage, Security, Incident Reporting, Breach Notification</t>
  </si>
  <si>
    <t>This section addresses the identification and protection of South Africa's critical information infrastructure (NCII) which is often privately owned. It promotes the development of an NCII Strategy that includes regulations for information classification, third-party access, authentication, storage of critical databases, incident management, business continuity, and physical/technical protection of NCII. The strategy requires collaboration between the private sector, SOEs, and government agencies to implement NCII protection.</t>
  </si>
  <si>
    <t>This section establishes specific requirements for protecting critical information infrastructure, which may impact data storage and handling practices for NCII but does not directly address cross-border data transfers for DTIAs.</t>
  </si>
  <si>
    <t>• [Must] Identify all National Critical Information Infrastructure (NCII)
• [Must] Develop National Critical Information Infrastructure regulations for information classification
• [Must] Develop National Critical Information Infrastructure regulations for third-party access to NCII
• [Must] Develop National Critical Information Infrastructure regulations for access and authentication on NCII</t>
  </si>
  <si>
    <t>• [Must] Develop National Critical Information Infrastructure regulations for storage and archiving of critical databases
• [Must] Develop National Critical Information Infrastructure regulations for incident management and business continuity
• [Must] Develop National Critical Information Infrastructure regulations for physical and technical protection of NCII</t>
  </si>
  <si>
    <t>The NCPF therefore seeks to ensure that appropriate steps are taken to ascertain that all National Critical Information Infrastructure (NCII) are identified and properly protected from a variety of threats.</t>
  </si>
  <si>
    <t>Cryptography Regulation</t>
  </si>
  <si>
    <t>Security, Encryption</t>
  </si>
  <si>
    <t>This section recognizes the need for regulating cryptography given its critical role in secure communications. It requires reviewing existing legislation and regulations and developing an integrated regulatory framework for cryptography to ensure secure communications across the country.</t>
  </si>
  <si>
    <t>This section addresses cryptographic standards which could impact data security but does not directly address cross-border data transfer mechanisms for DTIAs.</t>
  </si>
  <si>
    <t>• [Must] Review existing legislation and regulations on cryptography</t>
  </si>
  <si>
    <t>• [Must] Develop an integrated regulatory framework for cryptography</t>
  </si>
  <si>
    <t>The NCPF therefore provides for the regulation of cryptography given the critical role it plays in ensuring improved secure communications.</t>
  </si>
  <si>
    <t>National E-identity and PKI Strategy</t>
  </si>
  <si>
    <t>This section promotes the development of an integrated National E-identity and Public Key Infrastructure (PKI) strategy to address authentication, confidentiality, integrity, non-repudiation, and regulatory frameworks for electronic identity. The strategy aims to support e-government services and secure online transactions while ensuring security, confidentiality, and integrity of information.</t>
  </si>
  <si>
    <t>This section establishes requirements for electronic identity and PKI which could impact data sharing practices but does not directly address cross-border data transfer mechanisms for DTIAs.</t>
  </si>
  <si>
    <t>• [Must] Develop integrated National E-identity and PKI strategy
• [Must] Address authentication and securing identities of parties in e-transactions
• [Must] Ensure confidentiality of information</t>
  </si>
  <si>
    <t>• [Must] Ensure integrity of information or processes
• [Must] Ensure non-repudiation of transactions
• [Must] Establish structure and regulatory framework for E-identity and PKI</t>
  </si>
  <si>
    <t>The NCPF seeks to address the fragmented approach by promoting the development of an integrated National E-identity and PKI strategy.</t>
  </si>
  <si>
    <t>Public-Private-Civil Sector Cooperation</t>
  </si>
  <si>
    <t>23–28</t>
  </si>
  <si>
    <t>Cross-border Transfer, International Processing, Third Party Processing</t>
  </si>
  <si>
    <t>This section promotes public-private-civil sector collaboration for cybersecurity through joint knowledge sharing, trusted forums, threat vulnerability understanding, and industry perspectives. It emphasizes the need for local cooperation and international collaboration to combat cybercrime, including participation in regional and international cybersecurity forums, forging bilateral and multilateral partnerships, and affiliating with relevant international organizations.</t>
  </si>
  <si>
    <t>This section establishes cooperation mechanisms that could indirectly influence data transfer practices but does not directly address cross-border data transfer mechanisms for DTIAs.</t>
  </si>
  <si>
    <t>• [Must] Promote public-private-civil sector collaboration for cybersecurity
• [Must] Establish trusted forums for cybersecurity knowledge sharing
• [Must] Develop understanding of cybersecurity threats and vulnerabilities
• [Must] Engage industry perspectives for cybersecurity</t>
  </si>
  <si>
    <t>• [Must] Participate in regional and international cybersecurity forums
• [Must] Forge bilateral and multilateral partnerships for cybersecurity
• [Must] Affiliate with relevant international organizations for cybersecurity</t>
  </si>
  <si>
    <t>The NCPF thus promotes that a Cyber Defence Strategy, that is informed by the National Security Strategy of South Africa, be developed, guided by the JCPS Cybersecurity Response Committee.</t>
  </si>
  <si>
    <t>11 (part 2)</t>
  </si>
  <si>
    <t>Cybersecurity responsibilities of government departments and private sector</t>
  </si>
  <si>
    <t>28–30</t>
  </si>
  <si>
    <t>South African Department of Police and SAPS</t>
  </si>
  <si>
    <t>This section outlines specific cybersecurity responsibilities for South African government departments including the Department of Police and SAPS for cybercrime prevention, the Department of Telecommunications and Postal Services for ICT policies and the National Cybersecurity Advisory Council, the Department of Defence for cyber defense, and the Department of Science and Technology for cybersecurity research. It also mandates private sector entities to implement information security measures equivalent to government standards and requires all state organs to align their ICT practices with the National Cybersecurity Policy Framework.</t>
  </si>
  <si>
    <t>This section establishes government responsibilities for cybersecurity coordination and mandates private sector information security equivalence, which impacts cross-border data handling through national security frameworks and international cooperation requirements.</t>
  </si>
  <si>
    <t>• [Must] SSA shall develop and implement regulations for cybersecurity
• [Must] SSA shall collect intelligence locally and internationally
• [Must] SSA shall conduct cybersecurity investigations and report on South Africa's cybersecurity situation
• [Must] Department of Police and SAPS shall prevent, investigate and combat cybercrime
• [Must] Department of Police and SAPS shall develop cybercrime policies and strategies
• [Must] Department of Police and SAPS shall provide specialized investigative capacity
• [Must] Department of Police and SAPS shall interact with national and international stakeholders
• [Must] Department of Police and SAPS shall develop operational priorities for fighting child sexual/physical abuse material online
• [Must] Department of Police and SAPS shall address massive attacks against information systems like denial-of-service attacks
• [Must] Department of Police and SAPS shall combat identity fraud
• [Must] Department of Police and SAPS shall develop cross-border law enforcement cooperation
• [Must] Department of Police and SAPS shall promote public-private cooperation to fight cybercrime
• [Must] Department of Police and SAPS shall participate in international initiatives like UN High Level Expert Group on Cybersecurity
• [Must] Department of Telecommunications and Postal Services shall develop and implement ICT policies and regulations
• [Must] Department of Telecommunications and Postal Services shall assist in strategic direction for cybersecurity</t>
  </si>
  <si>
    <t>• [Must] Department of Telecommunications and Postal Services shall build trust and confidence in secure ICT use
• [Must] Department of Telecommunications and Postal Services shall advise Minister on cybersecurity policy and technical issues
• [Must] Department of Telecommunications and Postal Services shall establish the National Cybersecurity Advisory Council
• [Must] Department of Telecommunications and Postal Services shall establish the Cybersecurity Hub
• [Must] Department of Defence and Military Veterans shall coordinate, account for and implement cyber defense measures
• [Must] Department of Science and Technology shall develop national capacity development programs
• [Must] Department of Science and Technology shall facilitate national cybersecurity R&amp;D agenda
• [Must] All other state organs must align ICT policies and practices with NCPF for cybersecurity
• [Must] Private sector must implement information security measures equivalent to government standards
• [Must] NCPF promotes cooperation between private sector security bodies and government bodies
• [Must] Department of Telecommunications and Postal Services and National Cybersecurity Hub will facilitate private sector cooperation
• [Must] Each person must ensure updated malware protection on their ICT infrastructure
• [Must] Each person must report information security incidents to police or CSIRT
• [Must] Department of Telecommunications and Postal Services will facilitate awareness campaigns for cybersecurity</t>
  </si>
  <si>
    <t>The implementation of these responsibilities by SSA shall include aspects of developing and implementing regulations, collecting intelligence both locally and internationally, conducting necessary Cybersecurity investigations and reporting on South Africa's Cybersecurity situation.</t>
  </si>
  <si>
    <t>pAYMENT ACT</t>
  </si>
  <si>
    <t>Definitions for payment system terms</t>
  </si>
  <si>
    <t>2–6</t>
  </si>
  <si>
    <t>Payment Act, Section 16</t>
  </si>
  <si>
    <t>This section defines key terms used throughout the Payment Act, including 'bank', 'Reserve Bank', 'payment system', 'clearing', 'settlement', and various participant types. These definitions establish the legal framework for payment system operations and participants, specifying what constitutes a bank, a payment system, and the roles of different entities in the financial infrastructure. The definitions also clarify the relationship between the Reserve Bank and other payment system participants.</t>
  </si>
  <si>
    <t>These definitions establish the foundational terms for payment systems and participants, which are critical for understanding cross-border data transfers involving payment systems. The section specifies what constitutes a 'branch of a foreign institution' and 'payment system participant', which are relevant for international data transfers and system participants.</t>
  </si>
  <si>
    <t>• [Definition] In this Act, unless the context otherwise indicates, 'bank' means a bank as defined in section 1 of the Banks Act
• [Definition] 'Banks Act' means the Banks Act, 1990 (Act 94 of 1990)
• [Definition] 'branch of a foreign institution' means a branch by means of which a foreign institution conducts the business of a bank in the Republic in terms of a written authorisation granted by the Registrar of Banks in terms of section 18A of the Banks Act
• [Definition] 'clear' or 'clearing' means the exchange of payment instructions
• [Definition] 'clearing, netting and settlement agreements' means written agreements with regard to clearing, netting or settlement, concluded between clearing system participants or settlement system participants
• [Definition] 'clearing system participant' means a bank, a mutual bank, a co-operative bank, a branch of a foreign institution or designated clearing system participant that clears in the manner contemplated in section 4 (2) (d) (i)
• [Definition] 'Companies Act' means the Companies Act, 1973 (Act 61 of 1973)
• [Definition] 'co-operative bank' has the meaning assigned to it in section 1 of the Co-operative Banks Act, 2007
• [Definition] 'Co-operative Banks Act' means the Co-operative Banks Act, 2007
• [Definition] 'designated clearing system participant' means a person specified in the notice referred to in section 6 (3) (a)
• [Definition] 'designated settlement system' means a settlement system designated in terms of section 4A
• [Definition] 'designated settlement system operator' means the person specified in the notice referred to in section 4A (5) as the operator of that system
• [Definition] 'designated settlement system participant' means a person that is a participant in the designated settlement system in accordance with the rules governing the operation of the system or a person that is an operator of the designated settlement system
• [Definition] 'money' means a banknote or coin issued by the Reserve Bank in terms of section 10 (1) (a) (iii), read with section 14 of the South African Reserve Bank Act
• [Definition] 'mutual bank' means a mutual bank as defined in section 1 of the Mutual Banks Act
• [Definition] 'Mutual Banks Act' means the Mutual Banks Act, 1993 (Act 124 of 1993)</t>
  </si>
  <si>
    <t>• [Definition] 'netting' means the determination of the nett payment obligations between two or more clearing system participants within a payment clearing house or the determination of the nett settlement obligations between two or more settlement system participants within a settlement system
• [Definition] 'payment clearing house (PCH)' means an arrangement between two or more clearing system participants and Reserve Bank settlement system participants, excluding a designated settlement system operator, governing the clearing or netting of payment instructions between those clearing system participants and Reserve Bank settlement system participants
• [Definition] 'payment instruction' means an instruction to transfer funds or make a payment
• [Definition] 'payment obligation' means an indebtedness that is owed by one clearing system participant or settlement system participant to another clearing system participant or settlement system participant as a result of the clearing of one or more payment instructions
• [Definition] 'payment system' means a system that enables payments to be effected or facilitates the circulation of money and includes any instruments and procedures that relate to the system
• [Definition] 'payment system management body' means a body recognised by the Reserve Bank in terms of section 3 (1)
• [Definition] 'PCH system operator' means a person, other than a designated settlement system operator, that clears on behalf of any two or more Reserve Bank settlement system participants
• [Definition] 'person' includes a trust
• [Definition] 'Reserve Bank' means the South African Reserve Bank referred to in section 2 of the South African Reserve Bank Act
• [Definition] 'Reserve Bank settlement system' means a settlement system established and operated by, or under the control of, the Reserve Bank
• [Definition] 'Reserve Bank settlement system participant' means the Reserve Bank, a bank, a mutual bank, a co-operative bank or a branch of a foreign institution, or a designated settlement system operator that participates in the Reserve Bank settlement system
• [Definition] 'secondary co-operative bank' means a secondary co-operative bank as defined in section 1 of the Co-operative Banks Act, 2007
• [Definition] 'settlement' means the discharge of settlement obligations
• [Definition] 'settlement system' means a system that enables settlement of payment obligations
• [Definition] 'settlement system participant' means a person that participates in a settlement system
• [Definition] 'system operator' means a person that operates a payment system</t>
  </si>
  <si>
    <t>16 (part 3)</t>
  </si>
  <si>
    <t>Designation revocation and conditions for clearing system participants</t>
  </si>
  <si>
    <t>The Reserve Bank may revoke or vary designations of clearing system participants based on compliance failures, false information provided, public interest considerations, or retroactive effect restrictions. Designation revocation requires written notice to participants and publication in the Gazette. The Reserve Bank must ensure any variation or revocation does not have retroactive effect.</t>
  </si>
  <si>
    <t>Designation revocation conditions require assessing compliance failures, false information, and public interest before revoking clearing system participants. This affects cross-border data transfers involving payment systems by requiring transparency in participant qualifications.</t>
  </si>
  <si>
    <t>• [Must] Reserve Bank may vary or revoke designation of clearing system participant
• [Must] Reserve Bank may consider failure to comply with designation conditions
• [Must] Reserve Bank may consider knowingly furnishing false or misleading information
• [Must] Reserve Bank may consider public interest in revocation</t>
  </si>
  <si>
    <t>• [Must] Variation or revocation of designation must not have retroactive effect
• [Must] Reserve Bank must notify settlement system participant and designated participant before varying or revoking designation
• [Must] Reserve Bank must publish variation or revocation in Gazette</t>
  </si>
  <si>
    <t>The Reserve Bank may have regard to any or all of the following: (i) Any failure to comply with any condition to which the designation is subject; (ii) whether or not the designated clearing system participant has knowingly furnished information or documents which are false or misleading in any material respect to the Reserve Bank in connection with the designation; (iii) whether or not it is in the public interest to revoke the designation; (iv) No variation of the conditions to which a designation is subject or revocation of designation shall have retroactive effect.</t>
  </si>
  <si>
    <t>16 (part 4)</t>
  </si>
  <si>
    <t>Reserve Bank information access and confidentiality</t>
  </si>
  <si>
    <t>The Reserve Bank has access to payment system information and may require participants to provide such information. Information obtained by the Reserve Bank is confidential and may not be disclosed to third parties except for specific purposes like legal proceedings, public interest, or when already publicly available. The Reserve Bank may disclose information in certain circumstances despite confidentiality requirements.</t>
  </si>
  <si>
    <t>Confidentiality rules for payment system information affect data storage and sharing practices. This section requires participants to provide information to the Reserve Bank while restricting disclosure to specific circumstances, impacting data transfer and storage across borders.</t>
  </si>
  <si>
    <t>• [Must] Reserve Bank has access to payment system information
• [Must] Participants must provide information to Reserve Bank as required
• [Must] Information obtained by Reserve Bank is confidential
• [Must] Confidential information may not be disclosed to third parties</t>
  </si>
  <si>
    <t>• [May] Reserve Bank may disclose information in legal proceedings
• [May] Reserve Bank may disclose information for public interest
• [May] Reserve Bank may disclose information that is already publicly available</t>
  </si>
  <si>
    <t>The Reserve Bank has access to any information relating to a payment system and the Reserve Bank settlement system, and any person must on request provide such information to the Reserve Bank in such form and at such times as the Reserve Bank may require.</t>
  </si>
  <si>
    <t>United Kingdom</t>
  </si>
  <si>
    <t>Accountability and governance _ ICO (United Kingdom - Row 32) (PROVISIONAL)</t>
  </si>
  <si>
    <t>Website user survey invitation for feedback</t>
  </si>
  <si>
    <t>This section invites website users to complete a short survey about website improvements. The survey offers three response options: immediate participation, deferred action, or no interest. The text does not establish any legal obligations or permissions related to data processing or transfers.</t>
  </si>
  <si>
    <t>• [Must] Take our website user survey
• [Must] We're making improvements to our website and we'd love to hear your thoughts
• [Must] Please take five minutes to complete this survey to give your feedback</t>
  </si>
  <si>
    <t>• [Must] Yes I'll take the survey
• [Must] I'll do this later
• [Must] I'm not interested</t>
  </si>
  <si>
    <t>Take our website user survey
We're making improvements to our website and we'd love to hear your thoughts.
Please take five minutes to complete this survey to give your feedback.</t>
  </si>
  <si>
    <t>Accountability and governance guidance for large businesses</t>
  </si>
  <si>
    <t>This section provides guidance for large businesses across public, private, and third sectors on accountability and governance, including contracts, documentation, data protection impact assessments, codes of conduct, certification schemes, and accountability frameworks. It specifies that small businesses should use separate resources.</t>
  </si>
  <si>
    <t>• [Must] The guidance on this page is suitable for large businesses in the public, private and third sectors
• [Must] Small businesses should use the resources on our small business web hub
• [Must] Guide to accountability and governance
• [Must] Contracts, documentation, data protection by design and default, data protection impact assessments and data protection officers
• [Must] Do we need a UK representative?
• [Must] Guidance discussing receiving personal information from the European Economic Area (EEA)
• [Must] Contracts and liabilities between controllers and processors
• [Must] When contracts are needed and why they are important, what needs to be included and responsibility and liability
• [Must] Documentation
• [Must] What is documentation and who needs to document processing activities, what needs to be documented under article 30 and how to document processing activities</t>
  </si>
  <si>
    <t>• [Must] Data protection impact assessments (DPIA)
• [Must] What is a DPIA, when and how to conduct one, consulting the ICO and examples of 'likely to result in high risk'
• [Must] Codes of conduct
• [Must] Data protection codes of conduct address sector specific data protection issues and support compliance with the UK GDPR
• [Must] We have detailed guidance and other resources for trade organisations and similar representative bodies who may create codes of conduct for their members
• [Must] Certification schemes
• [Must] Data protection certification can help demonstrate data protection in a practical way to businesses, individuals and regulators
• [Must] We have detailed guidance and other resources about certifications schemes for organisations
• [Must] Accountability framework
• [Must] Assess your organisation's accountability and governance</t>
  </si>
  <si>
    <t>The guidance on this page is suitable for large businesses in the public, private and third sectors.</t>
  </si>
  <si>
    <t>Sample DPIA template and feedback options</t>
  </si>
  <si>
    <t>This section contains a sample Data Protection Impact Assessment (DPIA) template and provides a feedback mechanism for users to indicate whether the page was helpful. The text does not establish any legal obligations or permissions related to data processing or transfers.</t>
  </si>
  <si>
    <t>• [Must] Sample DPIA Template
• [Must] Was this page helpful? (optional)</t>
  </si>
  <si>
    <t>• [Must] Send
• [Must] Help us improve our website</t>
  </si>
  <si>
    <t>Sample DPIA Template
Was this page helpful? (optional)
Send
Help us improve our website</t>
  </si>
  <si>
    <t>Customer Security Programme _ Swift (United Kingdom - Row 26) (PROVISIONAL)</t>
  </si>
  <si>
    <t>Review mandatory security controls for Swift infrastructure</t>
  </si>
  <si>
    <t>Security, Access Control, Processing</t>
  </si>
  <si>
    <t>Swift</t>
  </si>
  <si>
    <t>This section requires organizations to review the latest Customer Security Controls Framework (CSCF) to identify applicable mandatory and advisory controls for their Swift infrastructure. It mandates understanding the objectives, scope, and risk drivers outlined in the CSCF documentation to ensure alignment with security requirements. The focus is on establishing foundational knowledge before implementing controls.</t>
  </si>
  <si>
    <t>This section establishes the need for organizations to understand security controls before implementing them, which is critical for assessing the security posture of data transfers involving Swift infrastructure.</t>
  </si>
  <si>
    <t>• [Must] Review the latest Customer Security Controls Framework (CSCF)
• [Must] Identify mandatory and advisory controls applicable to Swift infrastructure</t>
  </si>
  <si>
    <t>• [Must] Familiarize with objectives, scope, and risk drivers of the CSCF documentation</t>
  </si>
  <si>
    <t>1. Understand Controls Start by reviewing the latest Customer Security Controls Framework (CSCF). Identify which mandatory and advisory controls apply to your Swi\n infrastructure, and familiarise yourself with the objectives, scope, and risk drivers defined in the documentation.</t>
  </si>
  <si>
    <t>Implement security controls for Swift infrastructure</t>
  </si>
  <si>
    <t>This section requires organizations to implement the identified security controls through actions such as updating infrastructure, enhancing access management, and strengthening technical capabilities. It allows implementation via internal teams or cybersecurity service providers to ensure alignment with industry best practices and robust security measures.</t>
  </si>
  <si>
    <t>This section mandates concrete implementation of security controls, which is essential for ensuring secure data transfers and processing within Swift infrastructure.</t>
  </si>
  <si>
    <t>• [Must] Put identified security controls into practice
• [Must] Update Swift environments
• [Must] Enhance access management</t>
  </si>
  <si>
    <t>• [Must] Strengthen technical infrastructure and incident response capabilities
• [May] Implement with IT, risk, or compliance teams or cybersecurity service providers</t>
  </si>
  <si>
    <t>2. Implement Controls Once you've identified the applicable CSCF controls, the next step is to put them into practice. This may involve, as examples, updating your Swi\n environments, enhancing access management, and strengthening your technical infrastructure and incident response capabilities.</t>
  </si>
  <si>
    <t>Conduct independent security assessment</t>
  </si>
  <si>
    <t>This section requires organizations to validate the effectiveness of their security controls through an independent assessment. The assessment can be conducted internally by a second or third line of defense or externally by an independent assessor to ensure robustness and compliance.</t>
  </si>
  <si>
    <t>This section mandates independent validation of security controls, which is critical for ensuring the security of data transfers and processing across borders.</t>
  </si>
  <si>
    <t>• [Must] Validate effectiveness of design and implementation of security controls
• [May] Perform independent assessment internally by second or third line of defense</t>
  </si>
  <si>
    <t>• [May] Perform independent assessment externally by an independent assessor</t>
  </si>
  <si>
    <t>3. Perform Independent Assessment Validate the e\n effectiveness of the design and an implementation of your controls through an independent assessment. This can be performed internally by a second or third line of defence (e.g. risk, compliance, internal audit) or externally by an independent assessor.</t>
  </si>
  <si>
    <t>Submit compliance status for security controls</t>
  </si>
  <si>
    <t>This section requires organizations to complete their compliance status in the KYC-SA application, indicating the level of compliance for each applicable control. It mandates providing remediation dates for non-compliant controls and updating the status once compliance is achieved.</t>
  </si>
  <si>
    <t>This section ensures transparency in security compliance, which is vital for data transfers involving Swift infrastructure and third parties.</t>
  </si>
  <si>
    <t>• [Must] Complete compliance status in KYC-SA application
• [Must] Indicate level of compliance for each applicable control</t>
  </si>
  <si>
    <t>• [Must] Provide remediation date for non-compliant controls
• [Must] Update compliance status once compliant</t>
  </si>
  <si>
    <t>4. Submit A\nestation Complete your a\nestation in the KYC-SA application, indicating your level of compliance compliance for each applicable control. If any control is not yet met, provide a remediation date and update your a\nestation once compliant.</t>
  </si>
  <si>
    <t>Share security data with counterparties</t>
  </si>
  <si>
    <t>4–7</t>
  </si>
  <si>
    <t>This section enables organizations to leverage and share Customer Security Programme (CSP) data with counterparties to enhance transparency and trust. It allows sharing threat intelligence via the ISAC portal to support broader financial community resilience and risk management.</t>
  </si>
  <si>
    <t>This section facilitates secure data sharing with counterparties, which is critical for cross-border data transfers and financial security.</t>
  </si>
  <si>
    <t>• [May] Make CSP data visible to counterparties
• [May] Use ISAC portal to share threat intelligence</t>
  </si>
  <si>
    <t>• [May] Stay informed about emerging risks</t>
  </si>
  <si>
    <t>5. Leverage &amp; Share CSP Data Once your a\nestation is published in KYC-SA, it becomes visible to counterparties—supporting transparency, trust, and streamlined third-party risk management. You can also use the ISAC portal to share threat intelligence and stay informed about emerging risks, helping strengthen the resilience of the wider financial community.</t>
  </si>
  <si>
    <t>NIS Regulations 2018 (United Kingdom - Row 25)</t>
  </si>
  <si>
    <t>Threshold requirement for potable water supply essential services</t>
  </si>
  <si>
    <t>This section specifies that the threshold requirement for the essential service of potable water supply in the UK is the supply of water to 200,000 or more people. It defines which water infrastructure qualifies as an essential service provider under the NIS Regulations.</t>
  </si>
  <si>
    <t>This threshold requirement identifies water infrastructure that handles significant populations, impacting data transfer assessments for water-related data flows.</t>
  </si>
  <si>
    <t>• [Must] The threshold requirement for potable water supply is the supply of water to 200,000 or more people</t>
  </si>
  <si>
    <t>9. The threshold requirement which applies to the essential service of the supply of potable water in the United Kingdom is the supply of water to 200,000 or more people.</t>
  </si>
  <si>
    <t>Information Commissioner may cooperate with EU authorities on digital service oversight</t>
  </si>
  <si>
    <t>18–22</t>
  </si>
  <si>
    <t>The Information Commissioner may provide information and assistance to EU public authorities regarding digital service providers (DSPs) within the UK or internationally, particularly when incidents are notified under regulation 12(3). This facilitates cross-border regulatory oversight of DSPs to ensure effective supervision of digital services across jurisdictions.</t>
  </si>
  <si>
    <t>This section enables cross-border regulatory cooperation between UK and EU authorities for digital service providers, requiring DTIAs to assess how data transfers and service operations impact EU oversight mechanisms.</t>
  </si>
  <si>
    <t>• [Must] The Information Commissioner may give information and assistance to EU public authorities
• [Must] The Information Commissioner may cooperate with EU public authorities on digital service providers</t>
  </si>
  <si>
    <t>• [Must] The Information Commissioner may cooperate with EU public authorities in the event of an incident notified under regulation 12(3)</t>
  </si>
  <si>
    <t>13. The Information Commissioner may give information and assistance to, and otherwise co-operate with, a public authority in the EU if the Information Commissioner considers that to do so would be in the interests of effective supervision of digital service providers (whether inside or outside the United Kingdom), including in the event of an incident notified under regulation 12(3).</t>
  </si>
  <si>
    <t>Enforcement notices for non-compliance with data protection duties</t>
  </si>
  <si>
    <t>The Information Commissioner may issue enforcement notices to organizations (OES or RDSPs) that have failed to meet specific data protection obligations. These notices require written responses specifying reasons for the notice, the alleged failure, and corrective actions with deadlines. The notice process includes informing the organization of alleged failures, allowing representations, and providing a reasonable time to rectify issues before potential penalties. The Commissioner must consider any representations made before serving the notice.</t>
  </si>
  <si>
    <t>Enforcement notices require organizations to address specific data protection failures with clear timelines and corrective actions, impacting how data transfers and processing are managed across borders.</t>
  </si>
  <si>
    <t>• [Must] The Information Commissioner may serve an enforcement notice upon an OES or RDSP if it has reasonable grounds to believe they have failed to fulfil duties under regulation 12(1) or (2)
• [Must] The Information Commissioner may serve an enforcement notice upon an OES or RDSP if it has reasonable grounds to believe they have failed to notify an incident under regulation 12(3)
• [Must] The Information Commissioner may serve an enforcement notice upon an OES or RDSP if it has reasonable grounds to believe they have failed to comply with notification requirements under regulation 12(5)
• [Must] The Information Commissioner may serve an enforcement notice upon an OES or RDSP if it has reasonable grounds to believe they have failed to comply with a direction made by the Information Commissioner under regulation 12(12)
• [Must] The Information Commissioner may serve an enforcement notice upon an OES or RDSP if it has reasonable grounds to believe they have failed to comply with requirements stipulated in regulation 14A
• [Must] The Information Commissioner may serve an enforcement notice upon an OES or RDSP if it has reasonable grounds to believe they have failed to comply with an information notice issued under regulation 15
• [Must] The Information Commissioner may serve an enforcement notice upon an OES or RDSP if it has reasonable grounds to believe they have failed to comply with a direction given under regulation 16(2)(c)</t>
  </si>
  <si>
    <t>• [Must] The Information Commissioner may serve an enforcement notice upon an OES or RDSP if it has reasonable grounds to believe they have failed to comply with requirements stipulated in regulation 16(3)
• [Must] An enforcement notice must be in writing and specify reasons for serving the notice
• [Must] An enforcement notice must specify the alleged failure which is the subject of the notice
• [Must] An enforcement notice must specify what steps must be taken to rectify the alleged failure and the time period during which such steps must be completed
• [Must] The Information Commissioner must inform an OES or RDSP of alleged failures before serving an enforcement notice
• [Must] The Information Commissioner must allow an OES or RDSP to make representations before serving an enforcement notice</t>
  </si>
  <si>
    <t>13 (part 5)</t>
  </si>
  <si>
    <t>Civil proceedings for enforcement actions against organizations</t>
  </si>
  <si>
    <t>31–35</t>
  </si>
  <si>
    <t>This regulation outlines the conditions under which civil proceedings can be initiated by enforcement authorities against organizations that have appealed to the First-tier Tribunal. It specifies that proceedings may commence for injunctions, specific performance of statutory duties, or other remedies where an organization has not complied with regulatory obligations. The regulation also sets a 28-day period before proceedings can begin after the last enforcement notice is served.</t>
  </si>
  <si>
    <t>This section establishes procedural safeguards for enforcement actions, including time limits and remedies available to regulators when organizations contest regulatory decisions. It impacts DTIAs by defining when and how enforcement actions can be initiated across jurisdictions.</t>
  </si>
  <si>
    <t>• [May] Civil proceedings may be commenced against the OES for injunctions to enforce regulation 17(3A)
• [May] Civil proceedings may be commenced against the OES for specific performance of statutory duties under section 45 of the Court of Session Act 1988
• [May] Civil proceedings may be commenced against the OES for any other appropriate remedy or relief
• [May] Civil proceedings may be commenced against the RDSP for injunctions to enforce regulation 17(3A)</t>
  </si>
  <si>
    <t>• [May] Civil proceedings may be commenced against the RDSP for specific performance of statutory duties under section 45 of the Court of Session Act 1988
• [May] Civil proceedings may be commenced against the RDSP for any other appropriate remedy or relief
• [Must Not] No civil proceedings may be commenced under this regulation before the end of a 28-day period beginning with the day on which the last relevant enforcement notice was served</t>
  </si>
  <si>
    <t>Where paragraph (1)(a) applies, the relevant competent authority may commence civil proceedings against the OES— (a) for an injunction to enforce the duty in regulation 17(3A); (b) for specific performance of a statutory duty under section 45 of the Court of Session Act 1988; or (c) for any other appropriate remedy or relief.</t>
  </si>
  <si>
    <t>Definitions for petroleum and gas infrastructure</t>
  </si>
  <si>
    <t>This section defines key terms related to petroleum and gas infrastructure, including 'crude oil', 'crude oil based fuel', 'petroleum production project', and 'upstream petroleum pipeline'. The definitions specify technical thresholds for throughput, storage capacity, and operational requirements for facilities involved in oil and gas production, transmission, and distribution. These definitions apply to both Great Britain and Northern Ireland.</t>
  </si>
  <si>
    <t>• [Notification] The Information Commissioner may give information and assistance to, and otherwise co-</t>
  </si>
  <si>
    <t>The Information Commissioner may give information and assistance to, and otherwise co-</t>
  </si>
  <si>
    <t>13 (part 9)</t>
  </si>
  <si>
    <t>Definitions for gas and oil industry terms</t>
  </si>
  <si>
    <t>Special Personal Information, Personal Information</t>
  </si>
  <si>
    <t>This section defines specific terms used in the gas and oil sectors, including 'gas processing facility', 'gas processing operation', 'oil processing facility', and 'oil processing operations'. These definitions are critical for understanding the scope of activities covered by the regulations and ensure clarity in regulatory applications within the energy sector. This section grants the Information Commissioner the authority to provide information and assistance to entities relevant to the instrument. It outlines the Commissioner's role in facilitating access to necessary details for the functioning of the regulations. The provision applies to organizations subject to the instrument's requirements.</t>
  </si>
  <si>
    <t>This section matters for DTIAs as it establishes the Information Commissioner's power to provide information and assistance, which may impact how data is handled across borders when regulatory compliance is required.</t>
  </si>
  <si>
    <t>• [Definition] distribution system operator has the meaning given by Article 2(6) of the Gas Directive
• [Definition] final customer has the meaning given by Article 2(27) of the Gas Directive
• [Definition] foreign sector of the continental shelf has the meaning given by section 90(1) of the Energy Act 2011
• [Definition] gas processing facility means any facility which carries out gas processing operations in relation to piped gas and is operated otherwise than by a gas transporter and is not an LNG import or export facility
• [Definition] gas processing operation means any of the following operations: purifying, blending, odorising or compressing gas for pipeline introduction; removing constituent gases or separating oil/water; determining quantity/quality of gas; separating/purifying/blending/compressing gas for conversion or loading; loading gas for conveyance
• [Definition] gas transporter has the meaning given by section 7(1) of the Gas Act 1986
• [Definition] interconnector licence means a licence granted under section 7ZA of the Gas Act 1986
• [Definition] LNG facility has the meaning given by Article 2(11) of the Gas Directive
• [Definition] LNG system operator has the meaning given by Article 2(12) of the Gas Directive
• [Definition] oil equivalent means petroleum and, for throughput assessments, 1,100 cubic meters of petroleum at 15°C and 1 atm equals one tonne
• [Definition] oil processing facility means any facility which carries out oil processing operations
• [Definition] oil processing operations means initial blending and treatment of petroleum to produce stabilised crude oil for delivery
• [Definition] operator means the person who has control over pipeline conveyance or the person who commissions pipeline construction
• [Definition] petroleum has the same meaning as in section 1 of the Petroleum Act 1998 and includes processed petroleum</t>
  </si>
  <si>
    <t>• [Definition] petroleum production project means a project carried out by virtue of a licence granted under the Petroleum Act 1998 or Petroleum (Production) Act 1934
• [Definition] piped gas means gas originating from a petroleum production project and conveyed only by pipes
• [Definition] pipeline means a pipe or system of pipes for the conveyance of anything
• [Definition] production installation has the meaning given by regulation 2(1) of the Offshore Installations (Safety Case) Regulations 2005
• [Definition] relevant offshore installation means an offshore installation within the Petroleum Act 1998 that carries on specific activities
• [Definition] storage facility has the meaning given by Article 2(9) of the Gas Directive
• [Definition] storage system operator has the meaning given by Article 2(10) of the Gas Directive
• [Definition] supply has the meaning given by Article 2(7) of the Gas Directive
• [Definition] supply undertaking has the meaning given by Article 2(8) of the Gas Directive
• [Definition] terminal includes facilities for initial blending, oil processing facilities, gas processing facilities, and reception of gas
• [Definition] transmission has the meaning given by Article 2(3) of the Gas Directive
• [Definition] transmission system operator has the meaning given by Article 2(4) of the Gas Directive
• [Definition] upstream petroleum pipeline means a pipeline operated as part of a petroleum production project and not a carbon dioxide pipeline
• [Must] The Information Commissioner may give information and assistance to entities relevant to this instrument</t>
  </si>
  <si>
    <t>Distribution system operator has the meaning given by Article 2(6) of the Gas Directive; final customer has the meaning given by Article 2(27) of the Gas Directive; foreign sector of the continental shelf has the meaning given by section 90(1) of the Energy Act 2011</t>
  </si>
  <si>
    <t>13 (part 10)</t>
  </si>
  <si>
    <t>Threshold requirements for air transport essential services</t>
  </si>
  <si>
    <t>Cross-border Transfer, International Processing, Data Storage</t>
  </si>
  <si>
    <t>Secretary of State, Civil Aviation Authority</t>
  </si>
  <si>
    <t>This section defines threshold requirements for entities providing air traffic services or air carrier services in the UK. It specifies that an entity must be licensed by the Secretary of State or Civil Aviation Authority for en-route air traffic services, or must have annual terminal passenger numbers exceeding 10 million at a UK airport. For air carriers, the threshold requires handling over 30% of annual terminal passengers at a UK airport with over 10 million passengers annually, or over 10 million total annual terminal passengers across all UK airports.</t>
  </si>
  <si>
    <t>These threshold requirements define which entities qualify as essential service providers for air transport, impacting data transfer assessments for entities handling passenger data across borders.</t>
  </si>
  <si>
    <t>• [Must] An entity must be licensed by the Secretary of State or Civil Aviation Authority to provide en-route air traffic services in the UK
• [Must] An entity must have annual terminal passenger numbers greater than 10 million at a UK airport</t>
  </si>
  <si>
    <t>• [Must] An air carrier must handle more than 30% of annual terminal passengers at a UK airport with over 10 million passengers annually
• [Must] An air carrier must handle more than 10 million total annual terminal passengers across all UK airports</t>
  </si>
  <si>
    <t>For the essential service of the provision of air traffic services (as defined in the Transport Act 2000), the threshold requirement in the United Kingdom is— (a) an entity which is granted a licence by the Secretary of State or the Civil Aviation Authority to provide en-route air traffic services in the United Kingdom; or (b) an air-traffic service provider at any airport which has annual terminal passenger numbers greater than 10 million.</t>
  </si>
  <si>
    <t>13 (part 11)</t>
  </si>
  <si>
    <t>Threshold requirements for healthcare essential services</t>
  </si>
  <si>
    <t>This section defines threshold requirements for healthcare essential services in the UK, specifying which NHS entities qualify as operators of essential services. It covers NHS Trusts in England, Local Health Boards in Wales, Common Services Agencies in Scotland, and Health and Social Care Trusts in Northern Ireland. These entities must meet specific definitions under relevant health legislation to be considered essential service providers.</t>
  </si>
  <si>
    <t>These healthcare threshold requirements identify which entities handle sensitive health data, impacting data transfer assessments for cross-border health information flows.</t>
  </si>
  <si>
    <t>• [Must] In England, an NHS Trust as defined in section 25 of the National Health Service Act 2006
• [Must] In Wales, a Local Health Board or NHS Trust as defined in the National Health Service (Wales) Act 2006
• [Must] In Scotland, the Common Services Agency for the Scottish Health Service established under section 10 of the National Health Service (Scotland) Act 1978</t>
  </si>
  <si>
    <t>• [Must] In Scotland, a Health Board constituted under section 2 of the National Health Service (Scotland) Act 1978
• [Must] In Scotland, a Special Health Board constituted under section 2 of the National Health Service (Scotland) Act 1978
• [Must] In Northern Ireland, Health and Social Care Trusts within the meaning of 'HSC Trust' in section 31 of the Health and Social Care (Reform) Act (Northern Ireland) 2009</t>
  </si>
  <si>
    <t>For the essential service of healthcare services the threshold requirements are— (a) in England, an NHS Trust as defined in section 25 of the National Health Service Act 2006 or a Foundation trust as defined in section 30 of the National Health Service Act 2006; (b) in Wales, a Local Health Board or NHS Trust as defined in the National Health Service (Wales) Act 2: (c) in Scotland— (i) the Common Services Agency for the Scottish Health Service established under section 10 of the National Health Service (Scotland) Act 1978; (ii) a Health Board, constituted under section 2 of the National Health Service (Scotland) Act 1978; (iii) a Special Health Board, constituted under section 2 of the National Health Service (Scotland) Act 1978; (d) in Northern Ireland, the Health and Social Care Trusts within the meaning of 'HSC Trust' in section 31 of the Health and Social Care (Reform) Act (Northern Ireland) 2009.</t>
  </si>
  <si>
    <t>PRA Supervisory Statement — Model Risk Management Principles (United Kingdom - Row 27)</t>
  </si>
  <si>
    <t>Model risk management framework requirements for UK banks</t>
  </si>
  <si>
    <t>PRA</t>
  </si>
  <si>
    <t>This section establishes the PRA's expectations for banks' model risk management (MRM) frameworks. It specifies that the requirements apply to UK-incorporated banks, building societies, and PRA-designated investment firms with internal model approval for regulatory capital calculations. Firms without internal model approval or third-country branches are excluded, while credit unions and insurers are not covered. The PRA requires firms to strengthen policies, procedures, and practices to identify, manage, and control model risks across all model types, including those developed in-house or externally. The expectations complement but do not supersede existing supervisory requirements for specific models.</t>
  </si>
  <si>
    <t>This section mandates that financial institutions implement robust model risk management frameworks to ensure models used for regulatory capital calculations are properly validated and monitored, directly impacting cross-border data transfers involving model outputs.</t>
  </si>
  <si>
    <t>• [Must] Firms must conduct an initial self-assessment of their MRM frameworks against these principles before the policy comes into effect
• [Must] Firms must prepare remediation plans to address identified shortcomings in their MRM frameworks
• [Must] Self-assessments must be updated at least annually thereafter
• [Must] Remediation plans must be reviewed and updated on a regular basis</t>
  </si>
  <si>
    <t>• [Must] Firms must document and share self-assessment findings and remediation plans with their boards
• [Must] Firms must ensure remediation plans have clear ownership of necessary actions
• [Must] Firms must have 12 months from internal model approval to comply with the expectations</t>
  </si>
  <si>
    <t>1.6 Before the policy comes into effect, firms are expected to conduct an initial self-assessment of their implemented MRM frameworks against these principles and, where relevant, to prepare remediation plans to address any identified shortcomings.</t>
  </si>
  <si>
    <t>Model risk management framework responsibilities and governance</t>
  </si>
  <si>
    <t>8–13</t>
  </si>
  <si>
    <t>Firms must establish a sound model risk management (MRM) framework with board-level oversight to ensure business decisions are supported by reliable model outputs. The board must define model risk appetite, approve MRM policies, appoint an accountable individual, and maintain robust governance practices. This framework must be proportionate to the firm's size, model complexity, and business activities to effectively manage model-related risks.</t>
  </si>
  <si>
    <t>This section mandates board-level accountability for model risk management, requiring clear governance structures that ensure models support safe and sound business decisions without compromising financial stability.</t>
  </si>
  <si>
    <t>• [Must] Board of directors must establish a comprehensive firm-wide MRM framework proportionate to size, business activities, and model complexity
• [Must] Board must set model risk appetite articulating acceptable levels of model risk</t>
  </si>
  <si>
    <t>• [Must] Board must receive regular reports on model risk profile against appetite
• [Must] Board must challenge outputs of most material models</t>
  </si>
  <si>
    <t>The board of directors and senior management of firms are ultimately responsible for establishing a sound MRM framework to ensure key business decisions relevant to a firm's safety and soundness are supported by sound and appropriate model output</t>
  </si>
  <si>
    <t>Model risk management framework requirements for data quality and validation</t>
  </si>
  <si>
    <t>This section mandates specific data quality management procedures, model validation standards, performance monitoring criteria, and model risk mitigants for financial models. It requires firms to establish clear roles and responsibilities for model development, validation, and monitoring, with particular attention to alternative data sources and unstructured data. The framework emphasizes the need for robust oversight mechanisms to ensure models operate within acceptable risk parameters and maintain alignment with the firm's overall risk appetite.</t>
  </si>
  <si>
    <t>This section establishes critical data quality and validation requirements that impact cross-border data transfers involving financial models. Firms must ensure data quality procedures and model validation standards meet international standards to prevent model-related risks during data transfers.</t>
  </si>
  <si>
    <t>• [Must] Data quality management procedures must include rules and standards for data quality, accuracy and relevance
• [Must] Model validation standards require clear roles and responsibilities, validation procedures, prioritisation and scope of re-validation, and reporting of validation results
• [Must] Model performance monitoring must define criteria for acceptable performance and triggers for recalibration or redevelopment
• [Must] Model risk mitigants must include model adjustments and overrides for expert judgement, restrictions on model use, and escalation processes for validation exceptions</t>
  </si>
  <si>
    <t>• [Must] Model approval process must define clear roles and responsibilities for model approval authorities and materiality criteria for model changes
• [Must] Firms must ensure adequacy of board-level policies for material and complex model types is assessed and supplemented with detailed procedures
• [Must] Standards for model development must include independent model validation and procedures for monitoring material and complex model types
• [Must] Data quality procedures must set clear roles and responsibilities for managing data quality in data-intensive model types</t>
  </si>
  <si>
    <t>data quality management procedures, including: the rules and standards for data quality, accuracy and relevance; and the specific risk controls and criteria applicable to reflect the higher level of uncertainty associated with use of alternative or unstructured data, or information sources</t>
  </si>
  <si>
    <t>Model development and validation documentation requirements</t>
  </si>
  <si>
    <t>22–26</t>
  </si>
  <si>
    <t>This section outlines comprehensive documentation requirements for model development, including design objectives, data usage, methodology, performance testing, and model limitations. It mandates that firms maintain detailed records of model adjustments, expert judgement applications, and system implementations to ensure models remain robust and aligned with business objectives. The requirements emphasize transparency and accountability throughout the model lifecycle.</t>
  </si>
  <si>
    <t>This section establishes detailed documentation requirements that impact data transfers involving financial models. Firms must maintain comprehensive records of model development and validation to ensure transparency and compliance with international data transfer standards.</t>
  </si>
  <si>
    <t>• [Must] Models must have clear statements of purpose and design objectives to guide development
• [Must] Model development should demonstrate suitable data for intended use and consistency with chosen theory and methodology
• [Must] Firms must ensure no inappropriate bias in data used for model development and compliance with data privacy regulations
• [Must] Data adjustments and proxies must be clearly documented and subject to validation</t>
  </si>
  <si>
    <t>• [Must] Interconnected data sources and alternative/unstructured data must be identified and recorded in model inventory
• [Must] Model development testing must demonstrate that models work as intended with clear performance tests
• [Must] Model adjustments must be adequately justified and clearly recorded in model inventory with implementation documentation
• [Must] Firms must have comprehensive documentation on model design, theory, logic, and limitations</t>
  </si>
  <si>
    <t>Firms should have comprehensive, and up-to-date documentation on the design, theory, and logic underlying the development of their models</t>
  </si>
  <si>
    <t>3 (part 5)</t>
  </si>
  <si>
    <t>Independent model validation and review requirements</t>
  </si>
  <si>
    <t>Firms must ensure model validators operate independently from model developers and owners through separate reporting lines. The validation function requires sufficient organizational standing to challenge model usage and escalate concerns to the board or committees. Independent reviews must cover all model components, assess conceptual soundness, evaluate development evidence, analyze qualitative judgments, and conduct additional testing to identify model limitations.</t>
  </si>
  <si>
    <t>This section mandates independent validation to ensure models function correctly across borders, requiring robust oversight mechanisms that could impact cross-border model transfers and data processing.</t>
  </si>
  <si>
    <t>• [Must] The validation function should operate independently from the model development process and model owners
• [Must] Firms must demonstrate independence through separate reporting lines for model validators and developers/owners
• [Must] The validation function must have sufficient organizational standing to provide effective challenge and access to the board
• [Must] All models must undergo independent review to ensure suitability for intended use
• [Must] Independent review must cover all model components including inputs, calculations, and reporting outputs
• [Must] Independent review must assess conceptual soundness of model theory and suitability for intended use
• [Must] Independent review must evaluate quality and extent of model development evidence
• [Must] Independent review must analyze qualitative information and judgments used in model development
• [Must] Independent review must conduct additional testing to identify model limitations
• [Must] The nature and extent of independent review must be determined by model tier and materiality of changes
• [Must] Firms must verify model processes and systems implementation to confirm effective operation
• [Must] Model inputs must be representative of underlying portfolios and compliant with data quality standards
• [Must] Calculations must be accurate, controlled, and auditable
• [Must] Reporting outputs must be accurate, complete, informative, and appropriately designed
• [Must] Model performance monitoring must assess model performance against acceptable thresholds
• [Must] Firms must conduct ongoing model performance monitoring to ensure parameter estimates and model constructs are valid
• [Must] Firms must monitor whether assumptions remain applicable for model use
• [Must] Firms must assess whether changes in products, exposures, or market conditions require model adjustments
• [Must] Firms must assess whether models have been used beyond intended scope
• [Must] Model monitoring must include benchmarking, sensitivity testing, analysis of overrides, and parallel outcomes analysis</t>
  </si>
  <si>
    <t>• [Must] Model monitoring must be conducted on an ongoing basis with frequency determined by model tier
• [Must] Firms must produce timely and accurate model performance monitoring reports
• [Must] Firms must undertake regular independent revalidation of models to determine operational suitability
• [Must] Periodic revalidation frequency must be consistent with model tier
• [Must] Firms must have policies and procedures for model risk mitigants when models underperform
• [Must] Firms must have a consistent firm-wide process for applying post-model adjustments (PMAs)
• [Must] PMAs must be documented, supported by senior management, and approved by appropriate authority
• [Must] PMAs must be applied systematically and transparently with clear impact reporting
• [Must] PMAs must be subject to independent review with intensity commensurate to materiality
• [Must] Independent review of PMAs must assess continued relevance to underlying portfolio
• [Must] Independent review of PMAs must evaluate qualitative reasoning for soundness
• [Must] Independent review of PMAs must ensure data integrity for PMA calculations
• [Must] Independent review of PMAs must ensure outputs are plausible
• [Must] Independent review of PMAs must conduct root cause analysis for model limitations
• [Must] PMAs must be supported by appropriate documentation including justification and calculation criteria
• [Must] Firms must have processes to consider materiality of PMAs or trends indicating flawed model design
• [Must] Firms must place restrictions on model use when significant deficiencies are identified
• [Must] Firms must permit model use only under strict controls or mitigants when deficiencies are found
• [Must] Firms must place limits on model use including prohibitions for specific purposes
• [Must] Firms must document and report significant model deficiencies or inadequate performance</t>
  </si>
  <si>
    <t>The validation function should operate independently from the model development process and from model owners. Firms that have approval to use internal models for the purposes of calculating their capital requirements are expected to demonstrate independence through separate reporting lines for model validators and model developers and owners, applicable across the MRM framework.</t>
  </si>
  <si>
    <t>Privacy and Electronic Communications Regulations (PECR) 2003 (United Kingdom - Row 18)</t>
  </si>
  <si>
    <t>2003</t>
  </si>
  <si>
    <t>Electronic communications service provider obligations for call identification and subscriber data</t>
  </si>
  <si>
    <t>Personal Information, Customer Data</t>
  </si>
  <si>
    <t>Regulation 2003 mandates electronic communications service providers to implement mechanisms allowing subscribers to prevent calling line identification presentation on a per-call and per-line basis. It also requires providers to offer specific facilities for connected line identification where available. These obligations apply to service providers and subscribers within the UK electronic communications sector.</t>
  </si>
  <si>
    <t>This section establishes foundational mechanisms for call identification control that impact cross-border data transfers involving telecommunications services, particularly regarding subscriber data privacy and call metadata handling.</t>
  </si>
  <si>
    <t>• [Must] Provider must give users means to prevent calling line identification on a call-by-call basis
• [Must] Provider must give subscribers means to prevent calling line identification on a per-line basis</t>
  </si>
  <si>
    <t>• [Must] Provider must provide facilities for connected line identification where available</t>
  </si>
  <si>
    <t>Regulation 10 requires a provider of a public electronic communications service to provide users of the service with a means of preventing the presentation of calling line identification on a call-by-call basis, and to provide subscribers to the service with a means of preventing the presentation of such identification on a per-line basis.</t>
  </si>
  <si>
    <t>Senior Managers and Certification Regime (United Kingdom - Row 23)</t>
  </si>
  <si>
    <t>Senior Managers and Certification Regime framework for accountability</t>
  </si>
  <si>
    <t>FCA</t>
  </si>
  <si>
    <t>The Senior Managers and Certification Regime (SM&amp;CR) establishes a framework to enhance accountability and market integrity by requiring individuals to take personal responsibility for their actions and improving conduct across all organizational levels. It applies to banks, building societies, credit unions, PRA-designated investment firms, insurers, and solo-regulated firms with specific exemptions. The regime does not require structural changes to governance or new hires but focuses on clarifying roles and responsibilities within firms.</t>
  </si>
  <si>
    <t>• [Must] Senior Managers and Certification Regime aims to reduce harm to consumers and strengthen market integrity
• [Must] Encourage staff to take personal responsibility for their actions</t>
  </si>
  <si>
    <t>• [Must] Improve conduct at all levels
• [Must] Make sure firms and staff clearly understand and can show who does what</t>
  </si>
  <si>
    <t>Senior Managers and Certification Regime aims to reduce harm to consumers and strengthen market integrity by making individuals more accountable for their conduct and competence.</t>
  </si>
  <si>
    <t>Historical background of Senior Managers and Certification Regime</t>
  </si>
  <si>
    <t>The Senior Managers and Certification Regime was established in response to the 2008 banking crisis and conduct failures like LIBOR manipulation. It was introduced by Parliament in December 2013 to address banking sector standards, initially applying to banks and building societies in March 2016, and later expanded to cover all financial services firms by May 2016. The regime has been reviewed multiple times to assess its effectiveness and impact on organizational accountability.</t>
  </si>
  <si>
    <t>• [Must] Parliament set up the Parliamentary Commission for Banking Standards (PCBS) to recommend ways to improve standards in the banking sector
• [Must] PCBS recommended a new accountability framework focused on senior management
• [Must] Firms take more responsibility for employees being fit and proper</t>
  </si>
  <si>
    <t>• [Must] There be better standards of conduct at all levels in banking firms
• [Must] Parliament passed legislation in December 2013, leading to the FCA and PRA applying the SM&amp;CR to the banking sector from March 2016
• [Must] Parliament made further changes to legislation in May 2016, requiring extension of the regime to all FSMA-authorised firms</t>
  </si>
  <si>
    <t>In response to the 2008 banking crisis and significant conduct failings such as the manipulation of LIBOR, Parliament set up the Parliamentary Commission for Banking Standards (PCBS) to recommend ways to improve standards in the banking sector.</t>
  </si>
  <si>
    <t>Links to related Senior Managers and Certification Regime resources</t>
  </si>
  <si>
    <t>This section provides links to additional resources related to the Senior Managers and Certification Regime, including fitness and propriety frameworks, categorization of solo-regulated firms, culture and governance guidance, and application procedures for senior management roles. These links support firms in understanding and implementing the regime's requirements.</t>
  </si>
  <si>
    <t>• [Must] Links to fitness and propriety frameworks
• [Must] Links to categorization of solo-regulated firms
• [Must] Links to culture and governance guidance
• [Must] Links to search results for senior managers regime</t>
  </si>
  <si>
    <t>• [Must] Links to strengthening accountability initiatives
• [Must] Links to senior management functions application procedures
• [Must] Links to approved persons change and cancellation procedures
• [Must] Links to how the FCA assesses senior management</t>
  </si>
  <si>
    <t>• [7] https://www.fca.org.uk/firms/senior-managers-and-certification-regime/fitness-and-propriety-fp</t>
  </si>
  <si>
    <t>cbest-implementation-guide (United Kingdom - Row 30)</t>
  </si>
  <si>
    <t>CBEST process framework for financial institutions</t>
  </si>
  <si>
    <t>2–10</t>
  </si>
  <si>
    <t>Bank of England, Prudential Regulation Authority (PRA), Financial Conduct Authority (FCA)</t>
  </si>
  <si>
    <t>This section outlines the CBEST (Cybersecurity Best Practices for Financial Services) assessment process framework for UK financial institutions and market infrastructures. It details four distinct phases: Initiation, Threat Intelligence, Penetration Testing, and Closure. The framework requires collaboration between regulators, the firm/FMI, Threat Intelligence service providers, and Penetration Testing service providers. It mandates specific roles including a Control Group with a Co-ordinator, and establishes minimum criteria for accredited service providers to ensure the assessment is conducted securely and effectively.</t>
  </si>
  <si>
    <t>This section provides the procedural framework for conducting CBEST assessments, which are critical for evaluating cyber resilience. It specifies the four-phase process, stakeholder responsibilities, and requirements for service providers to ensure assessments are conducted with appropriate security controls and threat intelligence integration.</t>
  </si>
  <si>
    <t>• [Must] CBEST assessment must be conducted when firm/FMI meets specific criteria including regulatory request, internal initiative, or post-incident remediation
• [Must] Regulator must provide guidance and oversight throughout CBEST assessment
• [Must] Control Group must appoint a Co-ordinator responsible for coordination, governance, quality assurance, and project management
• [Must] Control Group must ensure CBEST minimum criteria are met during implementation
• [Must] Threat Intelligence service provider must be CBEST accredited and complete specific tasks including threat intelligence assessment</t>
  </si>
  <si>
    <t>• [Must] Penetration Testing service provider must be CBEST accredited and complete specific tasks including penetration testing execution
• [Must] CBEST assessment must follow a risk-controlled process with documented risk management
• [Must] Secrecy of CBEST assessment must be preserved throughout duration
• [Must] Scope of assessment must represent firm/FMI's important business services
• [Must] CG must ensure effective coordination and communication with external parties</t>
  </si>
  <si>
    <t>CBEST is a targeted assessment that allows regulators and firms to better understand weaknesses and vulnerabilities and take remedial actions, thereby improving the resilience of systemically important firms and by extension, the wider financial system.</t>
  </si>
  <si>
    <t>CBEST timeline and risk management for financial assessments</t>
  </si>
  <si>
    <t>15–24</t>
  </si>
  <si>
    <t>UK Regulators (PRA/BoE/FCA)</t>
  </si>
  <si>
    <t>The CBEST process requires a collaborative approach from all parties with significant overlap between phases. The regulator-led assessment involves the Control Group organizing activities including regulatory meetings and engagement with Threat Intelligence Service Providers (TISP) and Penetration Testing Service Providers (PTSP). The average project duration is 9-12 months, with specific phases including Initiation (~6 weeks), Threat Intelligence (~10 weeks), Penetration Testing (~14 weeks), and Closure (~4 weeks). The Control Group must identify, analyze, and manage risks throughout the assessment to ensure technical and operational control, with specific attention to live testing risks and mitigation measures.</t>
  </si>
  <si>
    <t>This section outlines the timeline and risk management framework for CBEST assessments, emphasizing the need for a controlled, collaborative approach with specific phase durations and risk mitigation strategies to ensure secure and effective cross-border financial system testing.</t>
  </si>
  <si>
    <t>• [Must] CBEST process requires collaborative approach from all parties with significant overlap between phase stages
• [Must] Control Group organizes regulatory meetings and engagement with TISP and PTSP throughout all phases
• [Must] Average CBEST project duration is 9-12 months with specific phase estimates
• [Must] Control Group must identify, analyze, and manage risks that could negatively impact CBEST assessment
• [Must] Control Group must plan and implement mitigating actions for identified risks
• [Must] Control Group must ensure risks are reduced through advanced planning, clear scope definition, and predefined escalation procedures</t>
  </si>
  <si>
    <t>• [Must] Control Group must complete dedicated CBEST risk assessment prior to assessment commencement
• [Must] Control Group must regularly review and update mitigating measures throughout the process
• [Must] Control Group must maintain technical and operational control of CBEST throughout all phases
• [Must] Control Group must assign project code name unrelated to organization name for confidentiality
• [Must] CBEST deliverables must not contain sensitive information like personally identifiable information or technical details</t>
  </si>
  <si>
    <t>CBEST process requires a collaborative approach from all parties and, in practice, there is often a significant overlap between the phase stages. Although CBEST is a regulator-led assessment, the CG organises all activities including regulatory meetings and engagement with the TISP and PTSP throughout all phases and ensures the agenda aligns with all the guidelines set in this Implementation Guide.</t>
  </si>
  <si>
    <t>CBEST service provider accreditation and certification requirements</t>
  </si>
  <si>
    <t>24–28</t>
  </si>
  <si>
    <t>CREST</t>
  </si>
  <si>
    <t>The CBEST process requires accredited service providers who must be members of CREST and hold specific certifications. For Threat Intelligence Service Providers (TISP), CREST Certified Threat Intelligence Managers (CCTIM) are required, while Penetration Testing Service Providers (PTSP) must employ CREST Certified Simulated Attack Managers (CCSAM) and Specialists (CCSAS). These certifications ensure technical competence and adherence to strict codes of conduct. Service providers must report any manipulation of the CBEST process to regulators or CREST, and the participant firm must verify provider accreditation and compliance with legal requirements.</t>
  </si>
  <si>
    <t>This section specifies the accreditation and certification requirements for CBEST service providers, ensuring technical competence and adherence to strict codes of conduct to maintain the integrity of cross-border financial system assessments.</t>
  </si>
  <si>
    <t>• [Must] CBEST service providers must be accredited by the Bank of England
• [Must] Service providers must be members of CREST
• [Must] Service providers must abide by strict and enforceable codes of conduct
• [Must] Service providers must report any manipulation of the CBEST process to CREST for investigation
• [Must] Participant firms must alert regulators if service providers lose CBEST-supplier status</t>
  </si>
  <si>
    <t>• [Must] Service providers must report to regulators if they suspect manipulation by the participant firm
• [Must] TISP must employ CREST Certified Threat Intelligence Managers (CCTIM)
• [Must] PTSP must employ CREST Certified Simulated Attack Managers (CCSAM) and Specialists (CCSAS)
• [Must] Certified individuals sign off all major activities and deliverables on behalf of service providers</t>
  </si>
  <si>
    <t>CBEST service providers are professional cyber security services suppliers that will have gone through an accreditation process that is undertaken by the Bank of England. Service providers must be accredited in order to conduct the threat intelligence, penetration testing and reporting elements of the CBEST.</t>
  </si>
  <si>
    <t>CBEST threat intelligence phase requirements</t>
  </si>
  <si>
    <t>28–34</t>
  </si>
  <si>
    <t>CBEST (UK)</t>
  </si>
  <si>
    <t>This section details the Threat Intelligence phase of the CBEST process, where the Threat Intelligence Service Provider (TISP) collects, analyzes, and disseminates intelligence to develop threat scenarios. The phase involves targeting exercises, threat intelligence gathering, scenario development, and handover to the Penetration Testing Service Provider (PTSP). The TISP produces a Threat Intelligence Report and Targeting Report, which inform the Penetration Test Plan. The regulator facilitates a Validation workshop to review and finalize these reports before proceeding to the Penetration Testing phase.</t>
  </si>
  <si>
    <t>This phase establishes threat intelligence requirements that must be met before penetration testing, ensuring realistic scenarios are developed for cross-border data security assessments. It mandates specific intelligence gathering and scenario development steps to validate vulnerabilities before testing.</t>
  </si>
  <si>
    <t>• [Must] TISP produces an IBS-focused Threat Intelligence Plan
• [Must] TISP develops threat scenarios based on real-world threat actors and open-source intelligence
• [Must] TISP creates a Targeting Report identifying attack surfaces across the firm/FMI
• [Must] TISP produces a Threat Intelligence Report summarizing key threats and potential scenarios</t>
  </si>
  <si>
    <t>• [Must] PTSP transforms threat scenarios into a draft Penetration Test Plan
• [Must] TISP and PTSP collaborate to map attack paths using frameworks like MITRE ATT&amp;CK
• [Must] Regulator facilitates a Validation workshop to review reports and draft Penetration Test Plan
• [Must] TISP and PTSP agree on operationalization of scenarios before handover</t>
  </si>
  <si>
    <t>The TISP produces an IBS-focused Threat Intelligence Plan produced by the TISP. The TI plan is delivered to the firm/FMI who will then refer to it when discussing scheduling matters with the regulator.</t>
  </si>
  <si>
    <t>4 (part 7)</t>
  </si>
  <si>
    <t>Threat Intelligence Maturity Assessment for Cyber Security</t>
  </si>
  <si>
    <t>38–44</t>
  </si>
  <si>
    <t>CBEST (2024g)</t>
  </si>
  <si>
    <t>The section describes a Threat Intelligence Maturity Assessment (TIMA) conducted by the Threat Intelligence Service Provider (TISP) to evaluate a firm's internal cyber threat intelligence capabilities. The assessment must be completed after a penetration test and involves self-assessment by the firm, use of the CREST Threat Intelligence Maturity Assessment Tool, and review by the TISP. The TIMA feeds into the CBEST Review workshop to inform remediation planning and provides insights into the firm's cyber security maturity. The process ensures objective evaluation without self-certification and is part of a broader cyber security capability assessment.</t>
  </si>
  <si>
    <t>This section mandates a formal assessment of a firm's threat intelligence maturity using standardized tools, ensuring objective evaluation of cyber security capabilities before penetration testing. It requires evidence-based self-assessment and independent review to identify gaps in threat intelligence functions, directly impacting how data transfers and processing are evaluated across borders for security compliance.</t>
  </si>
  <si>
    <t>• [Must] The firm must identify staff best suited to answer TIMA assessment questions
• [May] The firm may draw in third-party staff of appropriate seniority and expertise if TI functions are outsourced
• [Must] The TISP must provide a CREST Certified Threat Intelligence Manager (CCTIM) to conduct the assessment
• [Must] The firm must self-assess capability for each Capability Indicator (CI) and gather supporting evidence</t>
  </si>
  <si>
    <t>• [Must] The TISP must review and challenge firm scores based on expected maturity for similar firms
• [Must] The TISP must provide an Intelligence Assessment Report summarizing findings and recommendations
• [Must] The outcomes must be discussed in the final CBEST Review workshop</t>
  </si>
  <si>
    <t>The TISP must provide an accredited CREST Certified Threat Intelligence Manager (CCTIM) (CREST (2024a)) resource to undertake the assessment and validate the evidence presented and the final scores.</t>
  </si>
  <si>
    <t>4 (part 8)</t>
  </si>
  <si>
    <t>Detection and Response Capability Assessment for Cyber Security</t>
  </si>
  <si>
    <t>44–50</t>
  </si>
  <si>
    <t>CBEST (2024i)</t>
  </si>
  <si>
    <t>This section outlines the Detection and Response Capability Assessment (D&amp;R Assessment) conducted by the Penetration Testing Service Provider (PTSP) to evaluate a firm's ability to respond to cyber threats following penetration testing. The assessment involves post-testing interviews with the firm's SOC and Incident Response Team, uses the CREST Certified Simulated Attack Manager (CCSAM), and must be completed within two weeks of the penetration test. The D&amp;R Assessment feeds into the CBEST Review workshop to inform remediation planning and provides insights into the firm's incident response capabilities.</t>
  </si>
  <si>
    <t>This section requires a formal assessment of a firm's detection and response capabilities post-penetration testing, ensuring objective evaluation of incident response functions. It directly impacts how data transfers and processing are evaluated across borders by mandating evidence-based assessments of security response mechanisms.</t>
  </si>
  <si>
    <t>• [Must] The firm must identify staff best suited to answer D&amp;R assessment questions
• [Must] The PTSP must provide a CREST Certified Simulated Attack Manager (CCSAM) to conduct the assessment
• [Must] The D&amp;R Assessment must be completed and returned to the regulator within two weeks of penetration test completion</t>
  </si>
  <si>
    <t>• [Must] The PTSP must conduct post-testing interviews with the firm's SOC and Incident Response Team
• [Must] The D&amp;R Assessment must be delivered to the firm and regulator simultaneously</t>
  </si>
  <si>
    <t>The output of this activity is the Detection &amp; Response Capability Assessment produced by the PTSP for simultaneous delivery to the firm/FMI.</t>
  </si>
  <si>
    <t>4 (part 9)</t>
  </si>
  <si>
    <t>Post-CBEST thematic analysis report compilation</t>
  </si>
  <si>
    <t>50–59</t>
  </si>
  <si>
    <t>Cross-border Transfer, International Processing, Data Storage, Security, Incident Reporting, Breach Notification</t>
  </si>
  <si>
    <t>PRA, Bank of England</t>
  </si>
  <si>
    <t>The regulator compiles a periodic thematic report based on CBEST assessments, integrating findings from PT reports, Threat Intelligence assessments, Threat Intelligence Maturity Assessments, and Detection &amp; Response Capability Assessments. The report is jointly prepared by the PRA and FCA with input from the NCSC. This anonymized report is shared with non-CBEST participant firms and financial market infrastructure providers to enhance industry-wide cyber resilience through lessons learned from assessments.</t>
  </si>
  <si>
    <t>This section matters for DTIAs as it outlines how thematic analysis of CBEST assessments informs industry-wide cyber resilience improvements, potentially identifying cross-border data handling patterns that require attention in international data transfers.</t>
  </si>
  <si>
    <t>• [Must] Regulator compiles periodic thematic report based on CBEST assessments
• [Must] Report includes thematic analysis from CBEST assessments
• [Must] Report highlights common themes from PT reports, Threat Intelligence assessments, Threat Intelligence Maturity Assessments, and Detection &amp; Response Capability Assessments</t>
  </si>
  <si>
    <t>• [Must] Report is compiled jointly by PRA and FCA with input from NCSC
• [Must] Anonymized report shared with non-CBEST participant firms and FMIs
• [Must] Report aims to improve industry-level cyber resilience through lessons learned</t>
  </si>
  <si>
    <t>The regulator analyses all CBEST assessments and compiles a periodic thematic report based on the thematic findings of all the CBESTs carried out in the relevant period. The report includes a thematic analysis derived from CBEST assessments and highlights any common themes that arise from PT reports, Threat Intelligence assessments, Threat Intelligence Maturity Assessments and Detection &amp; Response Capability Assessments.</t>
  </si>
  <si>
    <t>computer misuse act (United Kingdom - Row 2)</t>
  </si>
  <si>
    <t>Sheriff jurisdiction for computer misuse offences</t>
  </si>
  <si>
    <t>Sheriff</t>
  </si>
  <si>
    <t>A sheriff in Scotland may exercise jurisdiction over computer misuse offences if the accused was within the sheriffdom at the time of the unlawful act or if a computer containing unauthorized program or data was within the sheriffdom at that time. The section also specifies jurisdiction for offences under section 3ZA and 3A, including conditions related to the accused's actions and computer location. Jurisdiction extends to offences committed outside Scotland where the accused is apprehended or in custody in a Scottish sheriff court district.</t>
  </si>
  <si>
    <t>This section defines jurisdictional conditions for computer misuse offences in Scotland, relevant for cross-border data processing where the computer or accused is located in Scotland. It impacts DTIAs by establishing geographical scope for jurisdiction over computer-related offences.</t>
  </si>
  <si>
    <t>• [Must] Sheriff has jurisdiction for computer misuse offences if accused was in sheriffdom at time of unlawful act
• [Must] Sheriff has jurisdiction if computer containing unauthorized program or data was in sheriffdom at time of act
• [Must] Sheriff has jurisdiction for offences under section 3ZA if accused was in sheriffdom at time of act</t>
  </si>
  <si>
    <t>• [Must] Sheriff has jurisdiction for offences under section 3A if computer was in sheriffdom at time of act
• [Must] Offence committed outside Scotland may be prosecuted in Scottish sheriff court district where accused is apprehended
• [Must] Offence committed outside Scotland may be prosecuted in Scottish sheriff court district directed by Lord Advocate</t>
  </si>
  <si>
    <t>A sheriff shall have jurisdiction in respect of an offence under section 1 or 2 above if— (a) the accused was in the sheriffdom at the time when he did the act which caused the computer to perform the function; or [F60(b) any computer containing any program or data to which the accused by doing that act secured or intended to secure unauthorised access, or enabled or intended to enable unauthorised access to be secured, was in the sheriffdom at that time.]</t>
  </si>
  <si>
    <t>Definition of unauthorized computer access</t>
  </si>
  <si>
    <t>Access Control, Data Storage</t>
  </si>
  <si>
    <t>This section defines what constitutes unauthorized access to computer programs or data, including conditions for altering, copying, moving, using, or outputting data. It specifies that unauthorized access occurs when a person is not entitled to control access or lacks consent from someone entitled to control access. The section also clarifies that access to removable storage media within a computer is included and that a series of acts constitutes an 'act' for jurisdiction purposes.</t>
  </si>
  <si>
    <t>This section provides critical definitions for unauthorized access to computer data, directly relevant to DTIAs by establishing what constitutes unauthorized access and how it applies to data transfers across jurisdictions.</t>
  </si>
  <si>
    <t>• [Must] A person secures access to program or data if they alter, erase, copy, move, use, or output it
• [Must] Using a program requires causing it to be executed or being a function of the program
• [Must] Output of program instructions is immaterial as long as they can be executed or processed</t>
  </si>
  <si>
    <t>• [Must] Access is unauthorized if person is not entitled to control access or lacks consent from entitled person
• [Must] References to program include parts of a program</t>
  </si>
  <si>
    <t>A person secures access to any program or data held in a computer if by causing a computer to perform any function he— (a) alters or erases the program or data; (b) copies or moves it to any storage medium other than that in which it is held or to a different location in the storage medium in which it is held; (c) uses it; or (d) has it output from the computer in which it is held (whether by having it displayed or in any other manner);</t>
  </si>
  <si>
    <t>ss221-march-21 (United Kingdom - Row 28)</t>
  </si>
  <si>
    <t>Superseded PRA outsourcing and third party risk management expectations</t>
  </si>
  <si>
    <t>3–7</t>
  </si>
  <si>
    <t>Outsourcing, Third Party Processing, Cloud Services</t>
  </si>
  <si>
    <t>Prudential Regulation Authority (PRA)</t>
  </si>
  <si>
    <t>This section establishes the Prudential Regulation Authority's (PRA) expectations for how PRA-regulated firms should manage outsourcing and third party risk. It defines key terms, outlines the scope of applicability to banks, insurers, and third-country branches, and specifies compliance deadlines. The document also references international standards and guidelines to ensure alignment with operational resilience and risk management practices.</t>
  </si>
  <si>
    <t>This section sets the baseline expectations for outsourcing and third party risk management that firms must follow, directly impacting how data transfers and processing activities are structured with external providers.</t>
  </si>
  <si>
    <t>• [Must] PRA-regulated firms must comply with the expectations in this Supervisory Statement by Thursday 31 March 2022
• [Must] Firms must review and update legacy outsourcing agreements entered into before Wednesday 31 March 2021 at the first appropriate contractual renewal point to meet the expectations in this SS
• [Must] The PRA expects firms to apply adequate governance and controls to all third party dependencies that can impact statutory objectives</t>
  </si>
  <si>
    <t>• [Must] Firms must assess materiality and risks of third party arrangements irrespective of whether they fall under outsourcing definition
• [Must] Firms must implement proportionate, risk-based controls for material or high-risk third party arrangements</t>
  </si>
  <si>
    <t>This SS is relevant to all: UK banks, building societies, and PRA-designated investment firms (hereafter banks); insurance and reinsurance firms and groups in scope of Solvency II, including the Society of Lloyd's and managing agents (hereafter insurers); and UK branches of overseas banks and insurers (hereafter third-country branches).</t>
  </si>
  <si>
    <t>Proportionate risk management for intragroup outsourcing arrangements</t>
  </si>
  <si>
    <t>Third Party Processing, Governance, Cross-border Transfer, Outsourcing</t>
  </si>
  <si>
    <t>Firms must assess outsourcing risks based on their size, internal structure, activity complexity, and the criticality of outsourced functions, applying proportionality principles. Materiality evaluates potential impacts on operational resilience, regulatory compliance, and policyholder protection. Firms must periodically reassess proportionality and materiality as they evolve over time. The PRA requires third-country branches to maintain documented lists of intragroup outsourcing arrangements, identifying material ones. This applies to firms previously operating under passporting in the UK. The requirements aim to ensure effective risk management for branches deemed systemic due to potential financial stability impacts.</t>
  </si>
  <si>
    <t>Intragroup outsourcing requires equivalent risk management as external outsourcing, with proportionate adjustments based on control and influence levels. This affects cross-border data transfers by mandating robust oversight mechanisms for group-level data handling. Third-country branches must document material outsourcing arrangements to manage cross-border risks and ensure resilience, directly impacting data transfer impact assessments for financial institutions.</t>
  </si>
  <si>
    <t>• [Must] Firms must meet expectations in this SS proportionally based on size, internal organisation, activity complexity, and outsourced function criticality
• [Must] Materiality assesses potential impacts on operational resilience, regulatory compliance, and policyholder protection
• [Must] Firms must periodically reassess proportionality and materiality as they evolve
• [Must] Intragroup outsourcing is subject to same requirements as external outsourcing and not inherently less risky
• [May] Firms may comply proportionately with requirements based on level of control and influence over the service provider
• [Must] Control and influence depends on group governance structure, senior management allocation, ability to alter arrangements, and group-wide standards
• [May] Firms may adjust vendor due diligence for intragroup providers while ensuring capacity and organisational structure
• [May] A single notification may suffice for UK consolidated groups covering multiple firms</t>
  </si>
  <si>
    <t>• [May] Firms may rely on group-wide negotiating power for external third parties
• [May] Firms may adapt outsourcing agreements clauses while maintaining UK regulatory compliance
• [May] Firms may rely on group policies and procedures for risk management if compliant with UK obligations
• [May] Firms may use centralised group processes for overseeing external third parties with legal entity-specific risk mitigation
• [May] Firms may rely on group-level business continuity and contingency plans for operational resilience
• [Must] Third-country branches must maintain a clear, documented list of intragroup outsourcing arrangements
• [Must] Identify material intragroup outsourcing arrangements within the list</t>
  </si>
  <si>
    <t>Firms should meet the expectations in this SS in a manner appropriate to: their size and internal organisation; the nature, scope, and complexity of their activities; and the criticality or importance of the outsourced function, in line with the principle of proportionality.</t>
  </si>
  <si>
    <t>Intragroup outsourcing risk management and oversight</t>
  </si>
  <si>
    <t>Third Party Processing, Cloud Services, Incident Reporting, Breach Notification</t>
  </si>
  <si>
    <t>Firms must maintain documented written agreements for material intragroup outsourcing arrangements, including service level agreements and key performance indicators. They must also implement robust monitoring and oversight mechanisms to track material sub-outsourced service providers and supply chains. Additionally, firms need effective processes for escalating concerns and regulatory feedback related to these arrangements to the whole firm or group.</t>
  </si>
  <si>
    <t>This section mandates specific oversight mechanisms for intragroup outsourcing arrangements, requiring firms to document agreements, monitor supply chains, and establish escalation protocols to ensure resilience and regulatory compliance during cross-border data transfers.</t>
  </si>
  <si>
    <t>• [Must] Documented written agreements for all material intragroup outsourcing arrangements
• [Must] Service level agreements and key performance indicators for material intragroup outsourcing arrangements
• [Must] Appropriate monitoring and oversight of intragroup outsourcing arrangements</t>
  </si>
  <si>
    <t>• [Must] Visibility of whole firm's or parent's material sub-outsourced service providers and supply chains
• [Must] Effective processes for escalating concerns, issues, and regulatory feedback to whole firm or group</t>
  </si>
  <si>
    <t>documented written agreements, such as service level agreements, for all intragroup outsourcing arrangements (in particular those deemed material), setting out expected service levels and key performance indicators (KPIs);</t>
  </si>
  <si>
    <t>Board oversight of outsourcing responsibilities and risk management</t>
  </si>
  <si>
    <t>Outsourcing, Record Keeping</t>
  </si>
  <si>
    <t>Personal Information, Customer Data, Employee Data</t>
  </si>
  <si>
    <t>Firms must ensure their boards actively engage with outsourcing risks, including setting control environments, identifying critical service provider dependencies, and maintaining robust risk management systems. Boards remain fully accountable for regulatory compliance even when outsourcing responsibilities to third parties. This applies to all firms subject to PRA supervision, including banks and insurers. Firms must maintain records of material outsourcing arrangements to comply with PRA expectations. These records should support concentration risk assessments and enable the firm to manage service interruptions during potential outsourcing agreement terminations. The records are required to be sufficient for fulfilling PRA expectations under section 5.24 of the Rulebook.</t>
  </si>
  <si>
    <t>This section mandates board-level oversight of outsourcing arrangements, requiring firms to define responsibilities, assess risks, and maintain records for cross-border data transfers involving third parties. Critical for DTIAs involving cloud services or international service providers. This section requires firms to maintain detailed records of outsourcing arrangements to assess concentration risk and manage potential service interruptions during unexpected termination of agreements, which is critical for DTIA when evaluating third-party risks.</t>
  </si>
  <si>
    <t>• [Must] Boards must set control environment including outsourcing appetite and tolerance levels
• [Must] Boards must identify and understand firm's reliance on critical service providers
• [Must] Boards must ensure effective risk management systems for outsourced service providers
• [Must] Boards remain fully accountable for regulatory compliance in outsourcing arrangements</t>
  </si>
  <si>
    <t>• [Must] Firms must keep appropriate records of material outsourcing arrangements
• [Must] Records should be sufficient to enable the firm to fulfil concentration risk expectations
• [Should] Firms should make information on outsourcing arrangements available for PRA review</t>
  </si>
  <si>
    <t>Boards and senior management, in particular individuals performing SMFs, cannot outsource their responsibilities. Firms that enter into outsourcing arrangements remain fully accountable for complying with all their regulatory obligations.</t>
  </si>
  <si>
    <t>PRA oversight of third-party arrangements impacting financial stability</t>
  </si>
  <si>
    <t>The PRA requires firms to maintain detailed records of third-party arrangements that could impact UK financial stability, including material outsourcing arrangements. Firms must provide the PRA with notice of significant changes to these arrangements, and the PRA may request additional data on outsourcing arrangements under section 165 of FSMA if necessary.</t>
  </si>
  <si>
    <t>This section specifies that firms must notify the PRA of material third-party arrangements that could affect financial stability, ensuring transparency and regulatory oversight for cross-border data transfers involving critical financial services.</t>
  </si>
  <si>
    <t>• [Must] Maintain up-to-date register of all outsourcing arrangements, distinguishing material and non-material</t>
  </si>
  <si>
    <t>• [Must] Maintain cloud outsourcing arrangements register (Cloud Register) as per EBA Cloud Recommendations</t>
  </si>
  <si>
    <t>third party arrangements of which the PRA would reasonably expect notice available to it in accordance with Fundamental Rule 7</t>
  </si>
  <si>
    <t>Materiality assessment for third-party arrangements</t>
  </si>
  <si>
    <t>19–23</t>
  </si>
  <si>
    <t>Firms must determine the materiality of all third-party arrangements, perform due diligence on potential service providers, and assess risks for each arrangement regardless of materiality. Materiality is defined as outsourcing services of such importance that failure would cast serious doubt on the firm's ability to meet Threshold Conditions or comply with Fundamental Rules.</t>
  </si>
  <si>
    <t>This section establishes materiality criteria for third-party arrangements, which directly impacts data transfer impact assessments by requiring firms to evaluate risks associated with outsourcing and third-party services that could affect financial stability or regulatory compliance.</t>
  </si>
  <si>
    <t>• [Must] Determine materiality of every outsourcing and third party arrangement
• [Must] Perform appropriate and proportionate due diligence on all potential service providers</t>
  </si>
  <si>
    <t>• [Must] Assess risks of every outsourcing arrangement irrespective of materiality</t>
  </si>
  <si>
    <t>determine the materiality of every outsourcing and third party arrangement</t>
  </si>
  <si>
    <t>Material outsourcing agreements must include specific contractual safeguards</t>
  </si>
  <si>
    <t>Outsourcing, Data Storage, Security, Data Sharing, Third Party Processing</t>
  </si>
  <si>
    <t>Firms must document material outsourcing arrangements in written agreements that specify outsourced functions, service timelines, governing law, financial obligations, sub-outsourcing rules, data locations, security measures, performance metrics, reporting obligations, insurance requirements, contingency plans, and termination rights. These agreements must not impede the PRA's supervisory effectiveness and must include provisions for data access during insolvency. Firms must notify the PRA if service providers cannot meet regulatory obligations.</t>
  </si>
  <si>
    <t>Material outsourcing agreements require detailed contractual safeguards including data location specifications, security measures, performance metrics, and termination rights to ensure data protection and regulatory compliance during cross-border transfers.</t>
  </si>
  <si>
    <t>• [Must] Written agreements for material outsourcing must specify outsourced function description
• [Must] Written agreements must include start date, renewal dates, end dates, and termination notice periods
• [Must] Written agreements must state governing law of the agreement
• [Must] Written agreements must define financial obligations between parties
• [Must] Written agreements must specify whether sub-outsourcing is permitted and conditions
• [Must] Written agreements must state data locations and require advance notice for location changes
• [Must] Written agreements must include data accessibility, availability, integrity, confidentiality, privacy, and safety provisions
• [Must] Written agreements must allow firm to monitor service provider performance through KPIs
• [Must] Written agreements must specify service levels with qualitative and quantitative performance criteria</t>
  </si>
  <si>
    <t>• [Must] Service providers must notify firm of developments affecting service performance
• [Must] Written agreements must specify insurance requirements for certain risks
• [Must] Written agreements must include business contingency plan implementation and testing requirements
• [Must] Written agreements must ensure data access during service provider insolvency
• [Must] Service providers must cooperate with PRA and Bank on information gathering and investigations
• [Must] Banks must reference Bank's resolution powers in agreements
• [Must] Written agreements must allow PRA and Bank to inspect and audit service providers
• [Must] Firms must notify PRA if service providers cannot meet regulatory obligations</t>
  </si>
  <si>
    <t>Superseded. Written agreements for material outsourcing should set out at least: a clear description of the outsourced function, including the type of support services to be provided; the start date, next renewal date, end date, and notice periods regarding termination for the service provider and the firm; the governing law of the agreement; the parties' financial obligations; whether the sub-outsourcing of a material function or part thereof is permitted and, if so, under which conditions; the location(s), ie regions or countries, where the material function or service will be provided, and/or where relevant data will be kept, processed, or transferred, including the possible storage location, and a requirement for the service provider to give reasonable notice to the firm in advance if it proposes to change said location(s); provisions regarding the accessibility, availability, integrity, confidentiality, privacy, and safety of relevant data (see Chapter 7); the right of the firm to monitor the service provider's performance on an ongoing basis (this may be by reference to KPIs); the agreed service levels, which should include qualitative and quantitative performance criteria and allow for timely monitoring, so that appropriate corrective action can be taken if these service levels are not met; the reporting obligations of the service provider to the firm, including a requirement to notify the firm of any development that may have a material or adverse impact on the service provider's ability to effectively perform the material function in line with the agreed service levels and in compliance with applicable laws and regulatory requirements; whether the service provider should take out mandatory insurance against certain risks and, if applicable, the level of insurance cover requested; the requirements for both parties to implement and test business contingency plans. For the firm, these should take account of their impact tolerances for important business services. Where appropriate, both parties should commit to take reasonable steps to support the testing of such plans; provisions to ensure that data owned by the firm can be accessed promptly in the case of the insolvency, resolution, or discontinuation of business operations of the service provider; the obligation of the service provider to co-operate with the PRA and the Bank, as resolution authority, including persons appointed to act on their behalf (see Chapter 8, including the section on the Bank's and PRA's information gathering and investigatory powers); for banks, a clear reference to the Bank's resolution powers, especially under sections 48Z and 70C-D of the Banking Act 2009 (implementing Articles 68 and 71 of Directive 2014/59/EU (BRRD)), and in particular, a description of the 'substantive obligations' of the written agreement in the sense of Article 68 of that Directive; the rights of firms and the PRA to inspect and audit the service provider with regard to the material outsourced function (see Chapter 8); if relevant: appropriate and proportionate information security related objectives and measures, including requirements such as minimum ICT security requirements, specifications of firms' data lifecycles, and any requirements regarding to data security (see Chapter 7), network security, and security monitoring processes; operational and security incident handling procedures, including escalation and reporting; termination rights and exit strategies covering both stressed and non-stressed scenarios, as specified in Chapter 10.</t>
  </si>
  <si>
    <t>Data classification and security requirements for outsourced data</t>
  </si>
  <si>
    <t>26–29</t>
  </si>
  <si>
    <t>Data Storage, Data Sharing, Third Party Processing</t>
  </si>
  <si>
    <t>Firms must classify data based on confidentiality and sensitivity, identify risks, agree data protection levels, and verify data provenance. The PRA expects firms to implement robust security controls for data in transit, memory, and at rest, including configuration management, encryption, identity access management, insider threat monitoring, and incident response. Firms must also consider data location risks and ensure data accessibility during insolvency.</t>
  </si>
  <si>
    <t>Data classification and security requirements mandate robust technical and organizational controls for outsourced data, including encryption, access management, and incident response, to ensure data protection across borders.</t>
  </si>
  <si>
    <t>• [Must] Firms must classify data based on confidentiality and sensitivity
• [Must] Firms must identify potential risks related to data and their impacts
• [Must] Firms must agree appropriate levels of data availability, confidentiality, and integrity
• [Must] Firms must obtain assurance and documentation on data provenance from third parties
• [Must] Firms must implement robust controls for data-in-transit, data-in-memory, and data-at-rest
• [Must] Firms must implement configuration management for security controls
• [Must] Firms must implement encryption and key management
• [Must] Firms must implement identity and access management with stricter controls for high-risk roles
• [Must] Firms must monitor insider threats through ongoing activity logging</t>
  </si>
  <si>
    <t>• [Must] Firms must implement access and activity logging
• [Must] Firms must implement incident detection and response mechanisms
• [Must] Firms must implement loss prevention and recovery procedures
• [Must] Firms must implement data segregation in multi-tenant environments
• [Must] Firms must configure operating systems, networks, and firewalls
• [Must] Firms must provide staff training on security practices
• [Must] Firms must monitor effectiveness of service provider's security controls
• [Must] Firms must have procedures for data deletion after termination
• [Must] Firms must ensure encryption keys are kept secure by firm or provider</t>
  </si>
  <si>
    <t>Superseded. Firms are responsible for classifying their data. While the PRA does not prescribe a specific taxonomy for data classification, it expects firms to implement appropriate, risk-based technical and organisation measures to protect different classes of data (eg confidential, client, personal, sensitive, transaction) when: developing and implementing their outsourcing policy and other relevant policies and strategies in paragraph 4.10 (business continuity, contingency planning, disaster recovery, ICT, information security, operational resilience, OCIR, and risk management); and sharing data with third parties, including but not limited to as part of an outsourcing arrangement.</t>
  </si>
  <si>
    <t>Bank and PRA information gathering powers for outsourced service providers</t>
  </si>
  <si>
    <t>29–33</t>
  </si>
  <si>
    <t>Bank of England (Bank) and Prudential Regulation Authority (PRA)</t>
  </si>
  <si>
    <t>The Bank and PRA have statutory powers to gather information from firms and their service providers. These powers include requiring service providers to share information relevant to financial system stability, assisting in reviews, and providing documents. Firms must inform service providers about these powers, though failure to do so does not affect the powers' applicability. The PRA expects firms to ensure service providers cooperate with these powers and provide necessary access for audits and information gathering.</t>
  </si>
  <si>
    <t>This section mandates specific access, audit, and information rights for service providers in material outsourcing arrangements, requiring firms to ensure service providers allow audits, access to data systems, and compliance with regulatory obligations. These rights are critical for assessing and mitigating risks in cross-border data transfers involving third parties.</t>
  </si>
  <si>
    <t>• [Must] The PRA can require service providers to provide information relevant to the stability of the UK financial system
• [Must] Any entity providing services to a firm in relation to matters subject to a section 166 review must give the skilled person all such assistance as reasonably required
• [Must] The PRA can require any member of the authorised person's group to provide information or documents
• [Must] The Bank as a resolution authority can direct a firm to produce information relevant to stabilisation powers
• [Must] The PRA can require a person providing services to an insurer to provide specified documents or information
• [Must] Service providers must co-operate with the PRA and other supervisory authorities in connection with outsourced functions
• [Must] Firms must take reasonable steps to ensure suppliers under material outsourcing arrangements deal with the PRA in an open, co-operative and timely way
• [Must] Firms must permit representatives of the PRA to have access to business premises during reasonable business hours
• [Must] Firms must ensure written agreements for material outsourcing provide full access and unrestricted rights for audit and information</t>
  </si>
  <si>
    <t>• [Must] Firms must ensure access to data, devices, information, systems, and networks used for providing outsourced services
• [Must] Firms must ensure access to results of security penetration testing on applications, data, and systems
• [Must] Firms must ensure access to company and financial information
• [Must] Firms must ensure access to service providers' external auditors, personnel, and premises
• [Must] Firms must assess the adequacy of certificates and reports and not assume their existence is sufficient evidence of compliance
• [Must] Firms must ensure certificates and audit reports meet expectations in Table 8
• [Must] Firms must retain contractual rights to request additional information if justified from legal, regulatory, or risk management perspectives
• [Must] Firms must retain contractual rights to perform onsite audits at their discretion</t>
  </si>
  <si>
    <t>The PRA can require service providers to provide information it considers ‘is or might be, relevant to the stability of the UK financial system.' Any entity which is providing or has provided services to a firm in relation to matters subject to a section 166 review must give the skilled person all such assistance as they may reasonably require.</t>
  </si>
  <si>
    <t>Business continuity and stressed exit planning for material outsourcing</t>
  </si>
  <si>
    <t>35–39</t>
  </si>
  <si>
    <t>Firms must develop, maintain, and test business continuity plans and documented exit strategies for material outsourcing arrangements. These plans must address both non-stressed exits (planned) and stressed exits (e.g., service provider insolvency). The PRA prioritizes business continuity in severe disruptions over non-stressed exits, requiring firms to ensure critical services continue during disruptions and to have viable exit options when third-party services fail.</t>
  </si>
  <si>
    <t>This section mandates specific business continuity and exit planning for material outsourcing, particularly stressing the need for resilient contingency measures during third-party failures. It directly impacts DTIAs by requiring robust plans for cross-border data transfers involving cloud services or third parties.</t>
  </si>
  <si>
    <t>• [Must] Firms must develop, maintain, and test business continuity plans for material outsourcing arrangements
• [Must] Firms must develop documented exit strategies that differentiate between stressed exits (e.g., service provider insolvency) and non-stressed exits
• [Must] Firms must implement business continuity plans to anticipate, withstand, respond to, and recover from severe operational disruptions
• [Must] Firms must assess cloud resiliency options including multiple data centers, hybrid cloud, backup vendors, and on-premises data retention
• [Must] Firms must consider the impact of destructive cyber-attacks when establishing data recovery capabilities</t>
  </si>
  <si>
    <t>• [Must] Firms must ensure effective crisis communication measures during disruptions
• [Must] Firms must test business continuity and exit plans on a risk-based approach
• [Must] Firms must identify viable exit options in stressed scenarios including bringing services back in-house or transferring to alternative providers
• [Must] Firms must update business continuity and exit plans with lessons learned from testing</t>
  </si>
  <si>
    <t>For each material outsourcing arrangement, the PRA expects firms to develop, maintain, and test a business continuity plan; and a documented exit strategy, which should cover and differentiate between situations where a firm exits an outsourcing agreement: in stressed circumstances (eg following the failure or insolvency of the service provider) and through a planned and managed exit due to commercial, performance, or strategic reasons.</t>
  </si>
  <si>
    <t>Sections</t>
  </si>
  <si>
    <t>Source PDF</t>
  </si>
  <si>
    <t>AML, Access Control, Breach Notification, Children, Cloud Services, Collection, Consent, Cross-border Transfer, Customer Information, Data Sharing, Data Storage, Deletion, Employee Information, Encryption, Financial Data, Governance, Incident Reporting, International Processing, KYC, Outsourcing, Processing, Record Keeping, Retention, Security, Special Personal Information, Third Party Processing</t>
  </si>
  <si>
    <t>Open PDF</t>
  </si>
  <si>
    <t>Customer Information, Employee Information, Financial Data</t>
  </si>
  <si>
    <t>Australian Information Commissioner, Commonwealth, Information Commissioner, Ombudsman</t>
  </si>
  <si>
    <t>AML, Breach Notification, Children, Consent, Cross-border Transfer, Customer Information, Data Residency, Data Storage, Employee Information, Financial Data, Governance, Incident Reporting, International Processing, KYC, Record Keeping, Retention, Security, Special Personal Information, Third Party Processing</t>
  </si>
  <si>
    <t>ACMA, Federal Court</t>
  </si>
  <si>
    <t>Australian Privacy Principles (APP), Court, Privacy Commissioner</t>
  </si>
  <si>
    <t>Consent, Cross-border Transfer, Data Sharing, Data Storage, Security</t>
  </si>
  <si>
    <t>Australian Privacy Principles (APP), Privacy Act 1988 (Cth)</t>
  </si>
  <si>
    <t>Breach Notification, Governance, Incident Reporting, Security, Third Party Processing</t>
  </si>
  <si>
    <t>Breach Notification, Cloud Services, Data Storage, Incident Reporting, Outsourcing, Security, Third Party Processing</t>
  </si>
  <si>
    <t>APRA, Australian Prudential Regulation Authority</t>
  </si>
  <si>
    <t>Cross-border Transfer, Data Sharing, Data Storage, Governance, Security, Third Party Processing</t>
  </si>
  <si>
    <t>Governance, Incident Reporting</t>
  </si>
  <si>
    <t>Breach Notification, Cloud Services, Cross-border Transfer, Data Sharing, Data Storage, Financial Data, Incident Reporting, Processing, Security, Third Party Processing</t>
  </si>
  <si>
    <t>AML, Access Control, Breach Notification, Children, Cloud Services, Collection, Consent, Cross-border Transfer, Customer Information, Data Residency, Data Sharing, Data Storage, Deletion, Employee Information, Encryption, Financial Data, Governance, Incident Reporting, International Processing, KYC, Outsourcing, Processing, Record Keeping, Retention, Security, Special Personal Information, Third Party Processing</t>
  </si>
  <si>
    <t>Consent, Cross-border Transfer, Data Sharing, Data Storage, Governance, Processing, Record Keeping</t>
  </si>
  <si>
    <t>Cloud Services, Cross-border Transfer, Data Storage, Incident Reporting, International Processing, Processing, Security</t>
  </si>
  <si>
    <t>Commission, Competent authorities for data intermediation services, Competent authorities for registration of data altruism organizations, European Commission, European Parliament or Council</t>
  </si>
  <si>
    <t>Consent, Cross-border Transfer, Data Residency, Data Sharing, Data Storage, Incident Reporting, Security</t>
  </si>
  <si>
    <t>Competent authorities, Competent authority, European Banking Authority (EBA), European Parliament or Council, Member States</t>
  </si>
  <si>
    <t>Breach Notification, Consent, Cross-border Transfer, Customer Information, Data Sharing, Data Storage, Financial Data, Governance, Incident Reporting, International Processing, Security</t>
  </si>
  <si>
    <t>Competent authorities, ESMA</t>
  </si>
  <si>
    <t>Access Control, Breach Notification, Cloud Services, Encryption, Governance, Incident Reporting, Outsourcing, Record Keeping, Security, Third Party Processing</t>
  </si>
  <si>
    <t>Financial Data, Governance, Security</t>
  </si>
  <si>
    <t>Competent authorities, European Commission, European Data Protection Supervisor, Member States</t>
  </si>
  <si>
    <t>Cross-border Transfer, Data Sharing, Data Storage, International Processing, Security, Third Party Processing</t>
  </si>
  <si>
    <t>AI Office, European Commission, European Data Protection Supervisor, National competent authorities, Notified body</t>
  </si>
  <si>
    <t>Access Control, Breach Notification, Governance, Incident Reporting, Record Keeping, Security, Third Party Processing</t>
  </si>
  <si>
    <t>Central Government, Reserve Bank, Reserve Bank of India</t>
  </si>
  <si>
    <t>Cross-border Transfer, Data Sharing, Financial Data, Governance, Record Keeping</t>
  </si>
  <si>
    <t>RBI, Reserve Bank of India, Reserve Bank of India (RBI)</t>
  </si>
  <si>
    <t>Access Control, Breach Notification, Cloud Services, Cross-border Transfer, Data Residency, Data Sharing, Data Storage, Governance, Incident Reporting, International Processing, Outsourcing, Record Keeping, Security</t>
  </si>
  <si>
    <t>RBI, Reserve Bank of India</t>
  </si>
  <si>
    <t>Access Control, Breach Notification, Data Sharing, Data Storage, Encryption, Governance, Incident Reporting, Processing, Security, Third Party Processing</t>
  </si>
  <si>
    <t>Board, Central Bank, Central Bank of Kenya, High Court, Minister</t>
  </si>
  <si>
    <t>Breach Notification, Children, Cross-border Transfer, Customer Information, Data Residency, Data Sharing, Data Storage, Employee Information, Financial Data, Governance, Incident Reporting, Security, Special Personal Information</t>
  </si>
  <si>
    <t>Authority, Cabinet Secretary, Capital Markets Authority, Capital Markets Tribunal</t>
  </si>
  <si>
    <t>AML, Breach Notification, Children, Consent, Cross-border Transfer, Customer Information, Data Sharing, Data Storage, Employee Information, Financial Data, Governance, Incident Reporting, International Processing, KYC, Record Keeping, Security, Special Personal Information</t>
  </si>
  <si>
    <t>Cabinet Secretary, Central Authority, Committee, Court, Director, National Security Council, Police officer or authorised person, Police officer or authorized person</t>
  </si>
  <si>
    <t>Access Control, Breach Notification, Cross-border Transfer, Data Sharing, Data Storage, Financial Data, Governance, Incident Reporting, International Processing, Record Keeping, Security, Third Party Processing</t>
  </si>
  <si>
    <t>Central Bank of Kenya, Central Bank of Kenya (CBK)</t>
  </si>
  <si>
    <t>Governance, Incident Reporting, Outsourcing, Security, Third Party Processing</t>
  </si>
  <si>
    <t>CBK, Central Bank of Kenya (CBK)</t>
  </si>
  <si>
    <t>Breach Notification, Governance, Incident Reporting, Record Keeping, Security</t>
  </si>
  <si>
    <t>Capital Markets Authority (Kenya), Kenya Capital Markets Authority, Kenya Securities and Exchange Commission, The Authority</t>
  </si>
  <si>
    <t>Cross-border Transfer, Data Sharing, Data Storage, Employee Information, Financial Data, Governance, Processing, Record Keeping, Security, Third Party Processing</t>
  </si>
  <si>
    <t>Authority, Capital Markets Authority, Capital Markets Authority (CMA), Capital Markets Authority (Kenya), Compensation Fund, Securities Exchange, Statutory manager</t>
  </si>
  <si>
    <t>AML, Cross-border Transfer, Customer Information, Data Sharing, Data Storage, Employee Information, Financial Data, Governance, KYC, Processing, Record Keeping, Security, Special Personal Information, Third Party Processing</t>
  </si>
  <si>
    <t>Data Commissioner, High Court</t>
  </si>
  <si>
    <t>Data Sharing, Data Storage, Special Personal Information</t>
  </si>
  <si>
    <t>Cabinet Secretary, Court, Data Commissioner, Data Protection Act, Public Service Commission</t>
  </si>
  <si>
    <t>AML, Access Control, Breach Notification, Children, Cloud Services, Consent, Cross-border Transfer, Data Residency, Data Sharing, Data Storage, Encryption, Financial Data, Governance, Incident Reporting, International Processing, KYC, Processing, Record Keeping, Retention, Security, Special Personal Information, Third Party Processing</t>
  </si>
  <si>
    <t>Customer Information, Governance, Record Keeping</t>
  </si>
  <si>
    <t>FSC, Financial Services Commission (FSC)</t>
  </si>
  <si>
    <t>Cloud Services, Data Storage, Encryption, Governance, Security</t>
  </si>
  <si>
    <t>Breach Notification, Incident Reporting, Third Party Processing</t>
  </si>
  <si>
    <t>Bank, Bank of Mauritius</t>
  </si>
  <si>
    <t>Cross-border Transfer, Customer Information, Data Storage, Governance, International Processing, Record Keeping, Security</t>
  </si>
  <si>
    <t>FSC, FSC Mauritius, Financial Services Commission, Mauritius (FSC)</t>
  </si>
  <si>
    <t>Governance, Record Keeping, Security, Third Party Processing</t>
  </si>
  <si>
    <t>Governance, Outsourcing, Third Party Processing</t>
  </si>
  <si>
    <t>AML, Cloud Services</t>
  </si>
  <si>
    <t>Central Bank of Nigeria (CBN), Consumer Protection Department</t>
  </si>
  <si>
    <t>Cross-border Transfer, Data Sharing, Data Storage</t>
  </si>
  <si>
    <t>National Cyber Security Agency (Nigeria), Nigeria, Nigerian Government, Office of the Attorney-General of the Federation, Office of the National Security Adviser</t>
  </si>
  <si>
    <t>AML, Breach Notification, Children, Consent, Cross-border Transfer, Customer Information, Data Residency, Data Sharing, Data Storage, Employee Information, Financial Data, Governance, Incident Reporting, International Processing, KYC, Processing, Record Keeping, Retention, Security, Special Personal Information</t>
  </si>
  <si>
    <t>AML, Access Control, Breach Notification, Children, Cloud Services, Consent, Cross-border Transfer, Customer Information, Data Sharing, Data Storage, Employee Information, Financial Data, Governance, Incident Reporting, International Processing, KYC, Processing, Record Keeping, Security, Special Personal Information, Third Party Processing</t>
  </si>
  <si>
    <t>Cloud Services, Cross-border Transfer, Data Sharing, Data Storage, Governance, Record Keeping, Security</t>
  </si>
  <si>
    <t>Cloud Services, Cross-border Transfer, Data Sharing, Data Storage, Governance, Security</t>
  </si>
  <si>
    <t>Auditor General for the Federation, NITDA</t>
  </si>
  <si>
    <t>CBN, Central Bank of Nigeria (CBN)</t>
  </si>
  <si>
    <t>AML, Access Control, Breach Notification, Cloud Services, Consent, Data Sharing, Data Storage, Financial Data, Governance, Incident Reporting, KYC, Processing, Record Keeping, Security, Third Party Processing</t>
  </si>
  <si>
    <t>AML, Breach Notification, Cloud Services, Cross-border Transfer, Data Sharing, Data Storage, Financial Data, Incident Reporting, Security, Third Party Processing</t>
  </si>
  <si>
    <t>AML, Consent, Cross-border Transfer, Customer Information, Data Storage, Financial Data, Governance, International Processing, KYC, Record Keeping, Security</t>
  </si>
  <si>
    <t>Breach Notification, Customer Information, Employee Information, Financial Data, Incident Reporting, Security, Special Personal Information</t>
  </si>
  <si>
    <t>Data Residency, Data Sharing, Security</t>
  </si>
  <si>
    <t>Cross-border Transfer, Data Storage, Employee Information, Governance</t>
  </si>
  <si>
    <t>Cabinet member responsible for communications, Court, Designated Judge, Designated judge, Director, Minister, Parliament of the Republic of South Africa</t>
  </si>
  <si>
    <t>AML, Consent, Cross-border Transfer, Data Sharing, Data Storage, Financial Data, International Processing, KYC, Security</t>
  </si>
  <si>
    <t>SARB, South African Reserve Bank (SARB)</t>
  </si>
  <si>
    <t>Breach Notification, Incident Reporting</t>
  </si>
  <si>
    <t>Access Control, Breach Notification, Cross-border Transfer, Encryption, Governance, Incident Reporting, International Processing</t>
  </si>
  <si>
    <t>Authorities, Responsible Authority</t>
  </si>
  <si>
    <t>Access Control, Breach Notification, Cross-border Transfer, Financial Data, Governance, Incident Reporting, Security, Third Party Processing</t>
  </si>
  <si>
    <t>Access Control, Breach Notification, Cloud Services, Data Residency, Data Sharing, Data Storage, Deletion, Encryption, Governance, Incident Reporting, Outsourcing, Processing, Record Keeping, Retention, Security, Third Party Processing</t>
  </si>
  <si>
    <t>Payment Act, Section 16, Reserve Bank</t>
  </si>
  <si>
    <t>Department of Telecommunications and Postal Services, South African Department of Police and SAPS, State Security Agency (SSA)</t>
  </si>
  <si>
    <t>Breach Notification, Cross-border Transfer, Data Sharing, Data Storage, Encryption, Governance, Incident Reporting, International Processing, Record Keeping, Security, Third Party Processing</t>
  </si>
  <si>
    <t>Bank of England, Prudential Regulation Authority (PRA), Financial Conduct Authority (FCA), CBEST (2024g), CBEST (2024i), CBEST (UK), CREST, PRA, Bank of England, UK Regulators (PRA/BoE/FCA)</t>
  </si>
  <si>
    <t>Breach Notification, Cross-border Transfer, Data Storage, Governance, Incident Reporting, International Processing, Record Keeping, Security</t>
  </si>
  <si>
    <t>Access Control, Cross-border Transfer, Data Storage</t>
  </si>
  <si>
    <t>Access Control, Data Sharing, Processing, Security</t>
  </si>
  <si>
    <t>Information Commissioner, Secretary of State, Civil Aviation Authority</t>
  </si>
  <si>
    <t>Cross-border Transfer, Data Storage, International Processing</t>
  </si>
  <si>
    <t>Cross-border Transfer, Data Storage, International Processing, Security</t>
  </si>
  <si>
    <t>Bank of England (Bank) and Prudential Regulation Authority (PRA), PRA, Prudential Regulation Authority (PRA)</t>
  </si>
  <si>
    <t>Access Control, Breach Notification, Cloud Services, Cross-border Transfer, Data Sharing, Data Storage, Governance, Incident Reporting, Outsourcing, Record Keeping, Security, Third Party Processing</t>
  </si>
  <si>
    <t>Prudential Standard - CPS 230 Operational Risk Management - clean (Australia - Row 3), Prudential-Practice-Guide-CPG-235-Managing-Data-Risk_1 (Australia - Row 4), Prudential-Standard-CPS-232-Business-Continuity-Management-(July-2017) (Australia - Row 5), cps_234_july_2019_for_public_release (Australia - Row 6)</t>
  </si>
  <si>
    <t>C2026C00227 (Australia - Row 16), C2026C00227-1 (Australia - Row 21)</t>
  </si>
  <si>
    <t>Joint Standard 1 of 2023 - IT Governance and Risk Management, Joint Standard 2 of 2024  Cybersecurity &amp; Cyber resilience Requirements</t>
  </si>
  <si>
    <t>Capital Markets Act, The Capital Markets (Licensing Requirements) (General) Regulations-2</t>
  </si>
  <si>
    <t>guideline_for_digital_banks_06.12.2021 (Mauritius - Row 7), guidelines_on_outsourcing_by_financial_institutions (Mauritius - Row 3)</t>
  </si>
  <si>
    <t>Capital Markets Act, Computer Misuse and Cybercrimes, TheDataProtectionAct__No24of2019 (Kenya - Row 18)</t>
  </si>
  <si>
    <t>The Capital Markets (Corporate Governance) (Market Intermediaries) Regulations-1, The Capital Markets (Licensing Requirements) (General) Regulations-2</t>
  </si>
  <si>
    <t>BankingActOct2015, GUIDANCE-NOTE-ON-CYBERSECURITY-FOR-THE-BANKING-SECTOR</t>
  </si>
  <si>
    <t>GUIDANCE-NOTE-ON-CYBERSECURITY-FOR-THE-BANKING-SECTOR, GuidelinesonCybersecurityforPSPs (Kenya - Row19)</t>
  </si>
  <si>
    <t>REVISED REGULATORY FRAMEWORK FOR BANK VERIFICATION NUMBER (BVN) OPERATIONS AND WATCH-LIST FOR THE NIGERIAN BANKING INDUSTRY 121021 FINAL (Nigeria - Row 11), circular on the regulatory framework on open banking in nigeria (Nigeria - Row 8)</t>
  </si>
  <si>
    <t>Framework and Guidelines on Mobile Money Services in Nigeria - July 2021 (Nigeria - Row 5), Operational Guidelines for Open Banking in Nigeria (Nigeria - Row 9), cbn consumer protection regulations (Nigeria - Row 4)</t>
  </si>
  <si>
    <t>CELEX_52023PC0360_EN_TXT (GDPR - Row 13), OJ_L_202302854_EN_TXT (GDPR - Row 11), esma_cloud_guidelines (GDPR - Row 8)</t>
  </si>
  <si>
    <t>Australia, Kenya, South Africa</t>
  </si>
  <si>
    <t>2002-070, C2026C00227 (Australia - Row 16), Computer Misuse and Cybercrimes, TheDataProtectionAct__No24of2019 (Kenya - Row 18)</t>
  </si>
  <si>
    <t>THE-DATA-PROTECTION-COMPLAINTS-HANDLING-AND-ENFORCEMENT (Kenya - Row 15), THE-DATA-PROTECTION-REGISTRATION-OF-DATA-CONTROLLERS-AND-DATA-PROCESSORS-REGULATIONS-2021 (Kenya = row17), TheDataProtectionAct__No24of2019 (Kenya - Row 18)</t>
  </si>
  <si>
    <t>Kenya, South Africa</t>
  </si>
  <si>
    <t>2002-070, Computer Misuse and Cybercrimes</t>
  </si>
  <si>
    <t>CELEX_32002L0058_EN_TXT (GDPR Row 7), CELEX_32018L1673_EN_TXT (GDPR - Row 2), CELEX_32022L2555_EN_TXT (GDPR - Row 17), CELEX_32022R0868_EN_TXT (GDPR - Row 12), OJ_L_202302854_EN_TXT (GDPR - Row 11), OJ_L_202401689_EN_TXT (GDPR - Row 9)</t>
  </si>
  <si>
    <t>OJ_L_202302854_EN_TXT (GDPR - Row 11), OJ_L_202401689_EN_TXT (GDPR - Row 9)</t>
  </si>
  <si>
    <t>CELEX_32022R0868_EN_TXT (GDPR - Row 12), CELEX_52023PC0360_EN_TXT (GDPR - Row 13)</t>
  </si>
  <si>
    <t>final-guideline-on-cloud-computing (Mauritius - Row 17), guidelines-on-responsible-use-of-ai (Mauritius - Row 19)</t>
  </si>
  <si>
    <t>code-of-business-conduct_final (Mauritius - Row 14), code-of-business-conduct_final (Mauritius - Row 18), final-guideline-on-cloud-computing (Mauritius - Row 17)</t>
  </si>
  <si>
    <t>BankingActOct2015, THE-DATA-PROTECTION-COMPLAINTS-HANDLING-AND-ENFORCEMENT (Kenya - Row 15)</t>
  </si>
  <si>
    <t>Australia, United Kingdom</t>
  </si>
  <si>
    <t>C2012C00866 (Australia - Row 12), NIS Regulations 2018 (United Kingdom - Row 25), Privacy and Electronic Communications Regulations (PECR) 2003 (United Kingdom - Row 18)</t>
  </si>
  <si>
    <t>Guidelines on Environmental Risk Management Insurers Dec 2020-2 (Singapore - Row 14), MAS Notice FSM-N21 (Singapore - Row 32), MAS Notices 644 655 644A 655A 1114 1118 Cancellation 2024 (Singapore - Row 18)</t>
  </si>
  <si>
    <t>CELEX_52023PC0360_EN_TXT (GDPR - Row 13), OJ_L_202302854_EN_TXT (GDPR - Row 11)</t>
  </si>
  <si>
    <t>2002-070, BankingActOct2015</t>
  </si>
  <si>
    <t>ID18_24 (Singapore - Row 12), ID18_24-2 (Singapore - Row 21)</t>
  </si>
  <si>
    <t>NCCPolicy_New1 (Nigeria - Row 21), NCCPolicy_New1 (Nigeria - Row 23), NITDA-ACT-2007-2019-Edition1 (Nigeria - Row 24)</t>
  </si>
  <si>
    <t>PRA Supervisory Statement — Model Risk Management Principles (United Kingdom - Row 27), ss221-march-21 (United Kingdom - Row 28)</t>
  </si>
  <si>
    <t>RBI Digital Lending Directions 2025 Digital Lending Guidelines 2022 (India - Row 14), RBI Master Direction on Information Technology Framework for NBFC Sector (2017) (India - Row 15), RBI Master Direction on Outsourcing of IT Services (MDS on IT Outsourcing, 2023) (India - Row 16), Reserve Bank of India – IT Governance and Cybersecurity Regulatory Framework (including Master Directions and Cyber Security Framework) (India - Row 18)</t>
  </si>
  <si>
    <t>India, South Africa</t>
  </si>
  <si>
    <t>Payment and Settlement Systems Act, 2007 (India - Row 11), pAYMENT ACT</t>
  </si>
  <si>
    <t>Payment and Settlement Systems Act, 2007 (India - Row 11), RBI Digital Lending Directions 2025 Digital Lending Guidelines 2022 (India - Row 14), RBI Master Direction on Outsourcing of IT Services (MDS on IT Outsourcing, 2023) (India - Row 16), RBI Payment Data Localisation Requirement (India - Row 17), Reserve Bank of India – IT Governance and Cybersecurity Regulatory Framework (including Master Directions and Cyber Security Framework) (India - Row 18)</t>
  </si>
  <si>
    <t>RBI Digital Lending Directions 2025 Digital Lending Guidelines 2022 (India - Row 14), RBI Master Direction on Outsourcing of IT Services (MDS on IT Outsourcing, 2023) (India - Row 16)</t>
  </si>
  <si>
    <t>International Processing</t>
  </si>
  <si>
    <t>KYC</t>
  </si>
  <si>
    <t>Deletion</t>
  </si>
  <si>
    <t>Collection</t>
  </si>
  <si>
    <t>Biometric Data</t>
  </si>
  <si>
    <t>match</t>
  </si>
  <si>
    <t>rank</t>
  </si>
  <si>
    <t>rankval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</si>
</sst>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Calibri"/>
      <family val="2"/>
      <scheme val="minor"/>
    </font>
    <font>
      <b/>
      <sz val="11"/>
      <name val="Calibri"/>
    </font>
    <font>
      <u/>
      <sz val="11"/>
      <color rgb="FF0563C1"/>
      <name val="Calibri"/>
    </font>
    <font>
      <b/>
      <sz val="16"/>
      <color rgb="FFFFFFFF"/>
      <name val="Calibri"/>
    </font>
    <font>
      <i/>
      <sz val="11"/>
      <name val="Calibri"/>
    </font>
    <font>
      <b/>
      <sz val="11"/>
      <name val="Calibri"/>
    </font>
    <font>
      <b/>
      <sz val="13"/>
      <name val="Calibri"/>
    </font>
  </fonts>
  <fills count="4">
    <fill>
      <patternFill patternType="none"/>
    </fill>
    <fill>
      <patternFill patternType="gray125"/>
    </fill>
    <fill>
      <patternFill patternType="solid">
        <fgColor rgb="FFD9EAD3"/>
      </patternFill>
    </fill>
    <fill>
      <patternFill patternType="solid">
        <fgColor rgb="FF1F4E78"/>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14">
    <xf numFmtId="0" fontId="0" fillId="0" borderId="0" xfId="0"/>
    <xf numFmtId="0" fontId="5" fillId="0" borderId="0" xfId="0" applyFont="1"/>
    <xf numFmtId="0" fontId="6" fillId="0" borderId="0" xfId="0" applyFont="1"/>
    <xf numFmtId="0" fontId="4" fillId="0" borderId="0" xfId="0" applyFont="1"/>
    <xf numFmtId="0" fontId="0" fillId="2" borderId="0" xfId="0" applyFill="1"/>
    <xf numFmtId="0" fontId="1" fillId="2" borderId="1" xfId="0" applyFont="1" applyFill="1" applyBorder="1"/>
    <xf numFmtId="0" fontId="0" fillId="0" borderId="1" xfId="0" applyBorder="1"/>
    <xf numFmtId="0" fontId="0" fillId="0" borderId="1" xfId="0" applyBorder="1" applyAlignment="1">
      <alignment vertical="top" wrapText="1"/>
    </xf>
    <xf numFmtId="0" fontId="1" fillId="2" borderId="1" xfId="0" applyFont="1" applyFill="1" applyBorder="1" applyAlignment="1">
      <alignment horizontal="center" vertical="center" wrapText="1"/>
    </xf>
    <xf numFmtId="0" fontId="0" fillId="0" borderId="0" xfId="0" applyAlignment="1">
      <alignment vertical="top" wrapText="1"/>
    </xf>
    <xf numFmtId="0" fontId="2" fillId="0" borderId="0" xfId="0" applyFont="1"/>
    <xf numFmtId="0" fontId="0" fillId="0" borderId="0" xfId="0" applyAlignment="1">
      <alignment wrapText="1"/>
    </xf>
    <xf numFmtId="0" fontId="0" fillId="0" borderId="0" xfId="0"/>
    <xf numFmtId="0" fontId="3" fillId="3" borderId="0" xfId="0" applyFont="1" applyFill="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omplianceTable" displayName="ComplianceTable" ref="A1:P1199">
  <autoFilter ref="A1:P1199" xr:uid="{00000000-0009-0000-0100-000001000000}"/>
  <tableColumns count="16">
    <tableColumn id="1" xr3:uid="{00000000-0010-0000-0000-000001000000}" name="Country"/>
    <tableColumn id="2" xr3:uid="{00000000-0010-0000-0000-000002000000}" name="Act"/>
    <tableColumn id="3" xr3:uid="{00000000-0010-0000-0000-000003000000}" name="Section"/>
    <tableColumn id="4" xr3:uid="{00000000-0010-0000-0000-000004000000}" name="Heading"/>
    <tableColumn id="5" xr3:uid="{00000000-0010-0000-0000-000005000000}" name="Pages"/>
    <tableColumn id="6" xr3:uid="{00000000-0010-0000-0000-000006000000}" name="Financial Relevance"/>
    <tableColumn id="7" xr3:uid="{00000000-0010-0000-0000-000007000000}" name="Confidence"/>
    <tableColumn id="8" xr3:uid="{00000000-0010-0000-0000-000008000000}" name="Topics"/>
    <tableColumn id="9" xr3:uid="{00000000-0010-0000-0000-000009000000}" name="Data Types"/>
    <tableColumn id="10" xr3:uid="{00000000-0010-0000-0000-00000A000000}" name="Authority"/>
    <tableColumn id="11" xr3:uid="{00000000-0010-0000-0000-00000B000000}" name="Summary"/>
    <tableColumn id="12" xr3:uid="{00000000-0010-0000-0000-00000C000000}" name="DTIA Summary"/>
    <tableColumn id="13" xr3:uid="{00000000-0010-0000-0000-00000D000000}" name="Requirements"/>
    <tableColumn id="14" xr3:uid="{00000000-0010-0000-0000-00000E000000}" name="Requirements (2)"/>
    <tableColumn id="15" xr3:uid="{00000000-0010-0000-0000-00000F000000}" name="Source Quote"/>
    <tableColumn id="16" xr3:uid="{00000000-0010-0000-0000-000010000000}" name="Sourc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ActsTable" displayName="ActsTable" ref="A1:G93">
  <autoFilter ref="A1:G93" xr:uid="{00000000-0009-0000-0100-000002000000}"/>
  <tableColumns count="7">
    <tableColumn id="1" xr3:uid="{00000000-0010-0000-0100-000001000000}" name="Country"/>
    <tableColumn id="2" xr3:uid="{00000000-0010-0000-0100-000002000000}" name="Act"/>
    <tableColumn id="3" xr3:uid="{00000000-0010-0000-0100-000003000000}" name="Sections"/>
    <tableColumn id="4" xr3:uid="{00000000-0010-0000-0100-000004000000}" name="Regulators"/>
    <tableColumn id="5" xr3:uid="{00000000-0010-0000-0100-000005000000}" name="Topics"/>
    <tableColumn id="6" xr3:uid="{00000000-0010-0000-0100-000006000000}" name="Financial Relevance"/>
    <tableColumn id="7" xr3:uid="{00000000-0010-0000-0100-000007000000}" name="Source PDF"/>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RegulatorTable" displayName="RegulatorTable" ref="A1:C120">
  <autoFilter ref="A1:C120" xr:uid="{00000000-0009-0000-0100-000003000000}"/>
  <tableColumns count="3">
    <tableColumn id="1" xr3:uid="{00000000-0010-0000-0200-000001000000}" name="Authority"/>
    <tableColumn id="2" xr3:uid="{00000000-0010-0000-0200-000002000000}" name="Countries"/>
    <tableColumn id="3" xr3:uid="{00000000-0010-0000-0200-000003000000}" name="Acts"/>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opicTable" displayName="TopicTable" ref="A1:B28">
  <autoFilter ref="A1:B28" xr:uid="{00000000-0009-0000-0100-000004000000}"/>
  <tableColumns count="2">
    <tableColumn id="1" xr3:uid="{00000000-0010-0000-0300-000001000000}" name="Topic"/>
    <tableColumn id="2" xr3:uid="{00000000-0010-0000-0300-000002000000}" name="Sections"/>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xml version="1.0" encoding="UTF-8" standalone="yes"?>
<Relationships xmlns="http://schemas.openxmlformats.org/package/2006/relationships"><Relationship Id="rId1" Type="http://schemas.openxmlformats.org/officeDocument/2006/relationships/table" Target="../tables/table1.xml"/></Relationships>
</file>

<file path=xl/worksheets/_rels/sheet5.xml.rels><?xml version="1.0" encoding="UTF-8" standalone="yes"?>
<Relationships xmlns="http://schemas.openxmlformats.org/package/2006/relationships"><Relationship Id="rId26" Type="http://schemas.openxmlformats.org/officeDocument/2006/relationships/hyperlink" Target="https://github.com/ethandeysel/Data-Risk-Compliance/blob/main/data/acts/India/NT75589AC4A988D446CA94182886F6D8EADD%20%28India%20-%20Row%2013%29%20PROVISIONALLY.pdf" TargetMode="External"/><Relationship Id="rId21" Type="http://schemas.openxmlformats.org/officeDocument/2006/relationships/hyperlink" Target="https://github.com/ethandeysel/Data-Risk-Compliance/blob/main/data/acts/GDPR/Final%20report%20on%20amending%20GLs%20on%20ICT%20risk%20and%20security%20%28GDPR%20-%20Row%204%29.pdf" TargetMode="External"/><Relationship Id="rId42" Type="http://schemas.openxmlformats.org/officeDocument/2006/relationships/hyperlink" Target="https://github.com/ethandeysel/Data-Risk-Compliance/blob/main/data/acts/Kenya/THE-DATA-PROTECTION-REGISTRATION-OF-DATA-CONTROLLERS-AND-DATA-PROCESSORS-REGULATIONS-2021%20%28Kenya%20%3D%20row17%29.pdf" TargetMode="External"/><Relationship Id="rId47" Type="http://schemas.openxmlformats.org/officeDocument/2006/relationships/hyperlink" Target="https://github.com/ethandeysel/Data-Risk-Compliance/blob/main/data/acts/Mauritius/Guideline-on-Incident-Handling-and-Reporting%20%28Mauritius%20-%20Row%208%29.pdf" TargetMode="External"/><Relationship Id="rId63" Type="http://schemas.openxmlformats.org/officeDocument/2006/relationships/hyperlink" Target="https://github.com/ethandeysel/Data-Risk-Compliance/blob/main/data/acts/Nigeria/REVISED%20REGULATORY%20FRAMEWORK%20FOR%20BANK%20VERIFICATION%20NUMBER%20%28BVN%29%20OPERATIONS%20AND%20WATCH-LIST%20FOR%20THE%20NIGERIAN%20BANKING%20INDUSTRY%20121021%20FINAL%20%28Nigeria%20-%20Row%2011%29.pdf" TargetMode="External"/><Relationship Id="rId68" Type="http://schemas.openxmlformats.org/officeDocument/2006/relationships/hyperlink" Target="https://github.com/ethandeysel/Data-Risk-Compliance/blob/main/data/acts/Singapore/ID18_24-2%20%28Singapore%20-%20Row%2021%29.pdf" TargetMode="External"/><Relationship Id="rId84" Type="http://schemas.openxmlformats.org/officeDocument/2006/relationships/hyperlink" Target="https://github.com/ethandeysel/Data-Risk-Compliance/blob/main/data/acts/United%20Kingdom/Accountability%20and%20governance%20_%20ICO%20%28United%20Kingdom%20-%20Row%2032%29%20%28PROVISIONAL%29.pdf" TargetMode="External"/><Relationship Id="rId89" Type="http://schemas.openxmlformats.org/officeDocument/2006/relationships/hyperlink" Target="https://github.com/ethandeysel/Data-Risk-Compliance/blob/main/data/acts/United%20Kingdom/PRA%20Supervisory%20Statement%20%E2%80%94%20Model%20Risk%20Management%20Principles%20%28United%20Kingdom%20-%20Row%2027%29.pdf" TargetMode="External"/><Relationship Id="rId16" Type="http://schemas.openxmlformats.org/officeDocument/2006/relationships/hyperlink" Target="https://github.com/ethandeysel/Data-Risk-Compliance/blob/main/data/acts/GDPR/CELEX_32018L1673_EN_TXT%20%28GDPR%20-%20Row%202%29.pdf" TargetMode="External"/><Relationship Id="rId11" Type="http://schemas.openxmlformats.org/officeDocument/2006/relationships/hyperlink" Target="https://github.com/ethandeysel/Data-Risk-Compliance/blob/main/data/acts/Australia/Prudential-Standard-CPS-232-Business-Continuity-Management-%28July-2017%29%20%28Australia%20-%20Row%205%29.pdf" TargetMode="External"/><Relationship Id="rId32" Type="http://schemas.openxmlformats.org/officeDocument/2006/relationships/hyperlink" Target="https://github.com/ethandeysel/Data-Risk-Compliance/blob/main/data/acts/India/Reserve%20Bank%20of%20India%20%E2%80%93%20IT%20Governance%20and%20Cybersecurity%20Regulatory%20Framework%20%28including%20Master%20Directions%20and%20Cyber%20Security%20Framework%29%20%28India%20-%20Row%2018%29.pdf" TargetMode="External"/><Relationship Id="rId37" Type="http://schemas.openxmlformats.org/officeDocument/2006/relationships/hyperlink" Target="https://github.com/ethandeysel/Data-Risk-Compliance/blob/main/data/acts/Kenya/GUIDANCE-NOTE-ON-CYBERSECURITY-FOR-THE-BANKING-SECTOR.pdf" TargetMode="External"/><Relationship Id="rId53" Type="http://schemas.openxmlformats.org/officeDocument/2006/relationships/hyperlink" Target="https://github.com/ethandeysel/Data-Risk-Compliance/blob/main/data/acts/Mauritius/part2%20%28Mauritius%20-%20Row%2015%29.pdf" TargetMode="External"/><Relationship Id="rId58" Type="http://schemas.openxmlformats.org/officeDocument/2006/relationships/hyperlink" Target="https://github.com/ethandeysel/Data-Risk-Compliance/blob/main/data/acts/Nigeria/NCCPolicy_New1%20%28Nigeria%20-%20Row%2021%29.pdf" TargetMode="External"/><Relationship Id="rId74" Type="http://schemas.openxmlformats.org/officeDocument/2006/relationships/hyperlink" Target="https://github.com/ethandeysel/Data-Risk-Compliance/blob/main/data/acts/South%20Africa/1.%20FSCA%20Conduct%20Standard%201%20of%202025%20-%20Requirements%20for%20FIs%20providing%20FE%20initiatives.pdf" TargetMode="External"/><Relationship Id="rId79" Type="http://schemas.openxmlformats.org/officeDocument/2006/relationships/hyperlink" Target="https://github.com/ethandeysel/Data-Risk-Compliance/blob/main/data/acts/South%20Africa/Joint%20Standard%201%20of%202023%20-%20IT%20Governance%20and%20Risk%20Management.pdf" TargetMode="External"/><Relationship Id="rId5" Type="http://schemas.openxmlformats.org/officeDocument/2006/relationships/hyperlink" Target="https://github.com/ethandeysel/Data-Risk-Compliance/blob/main/data/acts/Australia/C2026C00227%20%28Australia%20-%20Row%2016%29.pdf" TargetMode="External"/><Relationship Id="rId90" Type="http://schemas.openxmlformats.org/officeDocument/2006/relationships/hyperlink" Target="https://github.com/ethandeysel/Data-Risk-Compliance/blob/main/data/acts/United%20Kingdom/Privacy%20and%20Electronic%20Communications%20Regulations%20%28PECR%29%202003%20%28United%20Kingdom%20-%20Row%2018%29.pdf" TargetMode="External"/><Relationship Id="rId22" Type="http://schemas.openxmlformats.org/officeDocument/2006/relationships/hyperlink" Target="https://github.com/ethandeysel/Data-Risk-Compliance/blob/main/data/acts/GDPR/OJ_L_202302854_EN_TXT%20%28GDPR%20-%20Row%2011%29.pdf" TargetMode="External"/><Relationship Id="rId27" Type="http://schemas.openxmlformats.org/officeDocument/2006/relationships/hyperlink" Target="https://github.com/ethandeysel/Data-Risk-Compliance/blob/main/data/acts/India/Payment%20and%20Settlement%20Systems%20Act%2C%202007%20%28India%20-%20Row%2011%29.pdf" TargetMode="External"/><Relationship Id="rId43" Type="http://schemas.openxmlformats.org/officeDocument/2006/relationships/hyperlink" Target="https://github.com/ethandeysel/Data-Risk-Compliance/blob/main/data/acts/Kenya/TheDataProtectionAct__No24of2019%20%28Kenya%20-%20Row%2018%29.pdf" TargetMode="External"/><Relationship Id="rId48" Type="http://schemas.openxmlformats.org/officeDocument/2006/relationships/hyperlink" Target="https://github.com/ethandeysel/Data-Risk-Compliance/blob/main/data/acts/Mauritius/guideline_for_digital_banks_06.12.2021%20%28Mauritius%20-%20Row%207%29.pdf" TargetMode="External"/><Relationship Id="rId64" Type="http://schemas.openxmlformats.org/officeDocument/2006/relationships/hyperlink" Target="https://github.com/ethandeysel/Data-Risk-Compliance/blob/main/data/acts/Singapore/A%20Comprehensive%20Guide%20to%20the%20Law%20of%20Confidence%20and%20Breach%20of%20Confidence%20in%20Singapore_%20Insights%20from%20%5B2024%5D%20SGCA%2016%20-%20IRB%20Law%20Singapore%20%28Singapore%20-%20Row%2033%29.pdf" TargetMode="External"/><Relationship Id="rId69" Type="http://schemas.openxmlformats.org/officeDocument/2006/relationships/hyperlink" Target="https://github.com/ethandeysel/Data-Risk-Compliance/blob/main/data/acts/Singapore/MAS%20Notice%20FSM-N21%20%28Singapore%20-%20Row%2032%29.pdf" TargetMode="External"/><Relationship Id="rId8" Type="http://schemas.openxmlformats.org/officeDocument/2006/relationships/hyperlink" Target="https://github.com/ethandeysel/Data-Risk-Compliance/blob/main/data/acts/Australia/Essential%20Eight%20explained%20%28November%202023%29%20%28Australia%20-%20Row%2011%29.pdf" TargetMode="External"/><Relationship Id="rId51" Type="http://schemas.openxmlformats.org/officeDocument/2006/relationships/hyperlink" Target="https://github.com/ethandeysel/Data-Risk-Compliance/blob/main/data/acts/Mauritius/Mauritius_Emerging_Technologies_Council_Act_2021%20%28Mauritius%20-%20Row%2024%29.pdf" TargetMode="External"/><Relationship Id="rId72" Type="http://schemas.openxmlformats.org/officeDocument/2006/relationships/hyperlink" Target="https://github.com/ethandeysel/Data-Risk-Compliance/blob/main/data/acts/Singapore/Statistics%20Act%201973%20%28Singapore%20-%20Row%2024%29PROVISIONALLY.pdf" TargetMode="External"/><Relationship Id="rId80" Type="http://schemas.openxmlformats.org/officeDocument/2006/relationships/hyperlink" Target="https://github.com/ethandeysel/Data-Risk-Compliance/blob/main/data/acts/South%20Africa/Joint%20Standard%202%20of%202024%20%20Cybersecurity%20%26%20Cyber%20resilience%20Requirements.pdf" TargetMode="External"/><Relationship Id="rId85" Type="http://schemas.openxmlformats.org/officeDocument/2006/relationships/hyperlink" Target="https://github.com/ethandeysel/Data-Risk-Compliance/blob/main/data/acts/United%20Kingdom/cbest-implementation-guide%20%28United%20Kingdom%20-%20Row%2030%29.pdf" TargetMode="External"/><Relationship Id="rId93" Type="http://schemas.openxmlformats.org/officeDocument/2006/relationships/table" Target="../tables/table2.xml"/><Relationship Id="rId3" Type="http://schemas.openxmlformats.org/officeDocument/2006/relationships/hyperlink" Target="https://github.com/ethandeysel/Data-Risk-Compliance/blob/main/data/acts/Australia/C2012C00866%20%28Australia%20-%20Row%2012%29.pdf" TargetMode="External"/><Relationship Id="rId12" Type="http://schemas.openxmlformats.org/officeDocument/2006/relationships/hyperlink" Target="https://github.com/ethandeysel/Data-Risk-Compliance/blob/main/data/acts/Australia/rg255-published-30-august-2016-20220328%20%28Australia%20-%20Row%209%29.pdf" TargetMode="External"/><Relationship Id="rId17" Type="http://schemas.openxmlformats.org/officeDocument/2006/relationships/hyperlink" Target="https://github.com/ethandeysel/Data-Risk-Compliance/blob/main/data/acts/GDPR/CELEX_32022L2555_EN_TXT%20%28GDPR%20-%20Row%2017%29.pdf" TargetMode="External"/><Relationship Id="rId25" Type="http://schemas.openxmlformats.org/officeDocument/2006/relationships/hyperlink" Target="https://github.com/ethandeysel/Data-Risk-Compliance/blob/main/data/acts/India/guidelines-on-cyber-security-and-cyber-resilience-for-regulated-entities-in-ifscs-1-10032025064412%20%28India%20-%20Row%205%29.pdf" TargetMode="External"/><Relationship Id="rId33" Type="http://schemas.openxmlformats.org/officeDocument/2006/relationships/hyperlink" Target="https://github.com/ethandeysel/Data-Risk-Compliance/blob/main/data/acts/India/SEBI%20Master%20Circular%20for%20Alternative%20Investment%20Funds%20%28India%20-%20Row%2025%29.pdf" TargetMode="External"/><Relationship Id="rId38" Type="http://schemas.openxmlformats.org/officeDocument/2006/relationships/hyperlink" Target="https://github.com/ethandeysel/Data-Risk-Compliance/blob/main/data/acts/Kenya/GuidelinesonCybersecurityforPSPs%20%28Kenya%20-%20Row19%29.pdf" TargetMode="External"/><Relationship Id="rId46" Type="http://schemas.openxmlformats.org/officeDocument/2006/relationships/hyperlink" Target="https://github.com/ethandeysel/Data-Risk-Compliance/blob/main/data/acts/Mauritius/final-guideline-on-cloud-computing%20%28Mauritius%20-%20Row%2017%29.pdf" TargetMode="External"/><Relationship Id="rId59" Type="http://schemas.openxmlformats.org/officeDocument/2006/relationships/hyperlink" Target="https://github.com/ethandeysel/Data-Risk-Compliance/blob/main/data/acts/Nigeria/NCCPolicy_New1%20%28Nigeria%20-%20Row%2023%29.pdf" TargetMode="External"/><Relationship Id="rId67" Type="http://schemas.openxmlformats.org/officeDocument/2006/relationships/hyperlink" Target="https://github.com/ethandeysel/Data-Risk-Compliance/blob/main/data/acts/Singapore/ID18_24%20%28Singapore%20-%20Row%2012%29.pdf" TargetMode="External"/><Relationship Id="rId20" Type="http://schemas.openxmlformats.org/officeDocument/2006/relationships/hyperlink" Target="https://github.com/ethandeysel/Data-Risk-Compliance/blob/main/data/acts/GDPR/esma_cloud_guidelines%20%28GDPR%20-%20Row%208%29.pdf" TargetMode="External"/><Relationship Id="rId41" Type="http://schemas.openxmlformats.org/officeDocument/2006/relationships/hyperlink" Target="https://github.com/ethandeysel/Data-Risk-Compliance/blob/main/data/acts/Kenya/THE-DATA-PROTECTION-COMPLAINTS-HANDLING-AND-ENFORCEMENT%20%28Kenya%20-%20Row%2015%29.pdf" TargetMode="External"/><Relationship Id="rId54" Type="http://schemas.openxmlformats.org/officeDocument/2006/relationships/hyperlink" Target="https://github.com/ethandeysel/Data-Risk-Compliance/blob/main/data/acts/Nigeria/cbn%20consumer%20protection%20regulations%20%28Nigeria%20-%20Row%204%29.pdf" TargetMode="External"/><Relationship Id="rId62" Type="http://schemas.openxmlformats.org/officeDocument/2006/relationships/hyperlink" Target="https://github.com/ethandeysel/Data-Risk-Compliance/blob/main/data/acts/Nigeria/Operational%20Guidelines%20for%20Open%20Banking%20in%20Nigeria%20%28Nigeria%20-%20Row%209%29.pdf" TargetMode="External"/><Relationship Id="rId70" Type="http://schemas.openxmlformats.org/officeDocument/2006/relationships/hyperlink" Target="https://github.com/ethandeysel/Data-Risk-Compliance/blob/main/data/acts/Singapore/MAS%20Notices%20644%20655%20644A%20655A%201114%201118%20Cancellation%202024%20%28Singapore%20-%20Row%2018%29.pdf" TargetMode="External"/><Relationship Id="rId75" Type="http://schemas.openxmlformats.org/officeDocument/2006/relationships/hyperlink" Target="https://github.com/ethandeysel/Data-Risk-Compliance/blob/main/data/acts/South%20Africa/2002-070.pdf" TargetMode="External"/><Relationship Id="rId83" Type="http://schemas.openxmlformats.org/officeDocument/2006/relationships/hyperlink" Target="https://github.com/ethandeysel/Data-Risk-Compliance/blob/main/data/acts/South%20Africa/South%20Africa%20National%20Cybersecurity%20Policy%20Framework%20%28NCPF%29%202015.pdf" TargetMode="External"/><Relationship Id="rId88" Type="http://schemas.openxmlformats.org/officeDocument/2006/relationships/hyperlink" Target="https://github.com/ethandeysel/Data-Risk-Compliance/blob/main/data/acts/United%20Kingdom/NIS%20Regulations%202018%20%28United%20Kingdom%20-%20Row%2025%29.pdf" TargetMode="External"/><Relationship Id="rId91" Type="http://schemas.openxmlformats.org/officeDocument/2006/relationships/hyperlink" Target="https://github.com/ethandeysel/Data-Risk-Compliance/blob/main/data/acts/United%20Kingdom/Senior%20Managers%20and%20Certification%20Regime%20%28United%20Kingdom%20-%20Row%2023%29.pdf" TargetMode="External"/><Relationship Id="rId1" Type="http://schemas.openxmlformats.org/officeDocument/2006/relationships/hyperlink" Target="https://github.com/ethandeysel/Data-Risk-Compliance/blob/main/data/acts/Australia/C2004A01182%20%28Australia%20-%20Row%2025%29.pdf" TargetMode="External"/><Relationship Id="rId6" Type="http://schemas.openxmlformats.org/officeDocument/2006/relationships/hyperlink" Target="https://github.com/ethandeysel/Data-Risk-Compliance/blob/main/data/acts/Australia/C2026C00227-1%20%28Australia%20-%20Row%2021%29.pdf" TargetMode="External"/><Relationship Id="rId15" Type="http://schemas.openxmlformats.org/officeDocument/2006/relationships/hyperlink" Target="https://github.com/ethandeysel/Data-Risk-Compliance/blob/main/data/acts/GDPR/CELEX_32015L2366_EN_TXT%20%28GDPR%20-%20Row%2018%29.pdf" TargetMode="External"/><Relationship Id="rId23" Type="http://schemas.openxmlformats.org/officeDocument/2006/relationships/hyperlink" Target="https://github.com/ethandeysel/Data-Risk-Compliance/blob/main/data/acts/GDPR/OJ_L_202401689_EN_TXT%20%28GDPR%20-%20Row%209%29.pdf" TargetMode="External"/><Relationship Id="rId28" Type="http://schemas.openxmlformats.org/officeDocument/2006/relationships/hyperlink" Target="https://github.com/ethandeysel/Data-Risk-Compliance/blob/main/data/acts/India/RBI%20Digital%20Lending%20Directions%202025%20Digital%20Lending%20Guidelines%202022%20%28India%20-%20Row%2014%29.pdf" TargetMode="External"/><Relationship Id="rId36" Type="http://schemas.openxmlformats.org/officeDocument/2006/relationships/hyperlink" Target="https://github.com/ethandeysel/Data-Risk-Compliance/blob/main/data/acts/Kenya/Computer%20Misuse%20and%20Cybercrimes.pdf" TargetMode="External"/><Relationship Id="rId49" Type="http://schemas.openxmlformats.org/officeDocument/2006/relationships/hyperlink" Target="https://github.com/ethandeysel/Data-Risk-Compliance/blob/main/data/acts/Mauritius/guidelines-on-responsible-use-of-ai%20%28Mauritius%20-%20Row%2019%29.pdf" TargetMode="External"/><Relationship Id="rId57" Type="http://schemas.openxmlformats.org/officeDocument/2006/relationships/hyperlink" Target="https://github.com/ethandeysel/Data-Risk-Compliance/blob/main/data/acts/Nigeria/Framework%20and%20Guidelines%20on%20Mobile%20Money%20Services%20in%20Nigeria%20-%20July%202021%20%28Nigeria%20-%20Row%205%29.pdf" TargetMode="External"/><Relationship Id="rId10" Type="http://schemas.openxmlformats.org/officeDocument/2006/relationships/hyperlink" Target="https://github.com/ethandeysel/Data-Risk-Compliance/blob/main/data/acts/Australia/Prudential-Practice-Guide-CPG-235-Managing-Data-Risk_1%20%28Australia%20-%20Row%204%29.pdf" TargetMode="External"/><Relationship Id="rId31" Type="http://schemas.openxmlformats.org/officeDocument/2006/relationships/hyperlink" Target="https://github.com/ethandeysel/Data-Risk-Compliance/blob/main/data/acts/India/RBI%20Payment%20Data%20Localisation%20Requirement%20%28India%20-%20Row%2017%29.pdf" TargetMode="External"/><Relationship Id="rId44" Type="http://schemas.openxmlformats.org/officeDocument/2006/relationships/hyperlink" Target="https://github.com/ethandeysel/Data-Risk-Compliance/blob/main/data/acts/Mauritius/code-of-business-conduct_final%20%28Mauritius%20-%20Row%2014%29.pdf" TargetMode="External"/><Relationship Id="rId52" Type="http://schemas.openxmlformats.org/officeDocument/2006/relationships/hyperlink" Target="https://github.com/ethandeysel/Data-Risk-Compliance/blob/main/data/acts/Mauritius/National-Identity-Card-Act-Consolidated-%20%28Mauritius%20-%20Row%2023%29.pdf" TargetMode="External"/><Relationship Id="rId60" Type="http://schemas.openxmlformats.org/officeDocument/2006/relationships/hyperlink" Target="https://github.com/ethandeysel/Data-Risk-Compliance/blob/main/data/acts/Nigeria/NITDA-ACT-2007-2019-Edition1%20%28Nigeria%20-%20Row%2022%29.pdf" TargetMode="External"/><Relationship Id="rId65" Type="http://schemas.openxmlformats.org/officeDocument/2006/relationships/hyperlink" Target="https://github.com/ethandeysel/Data-Risk-Compliance/blob/main/data/acts/Singapore/Cybersecurity%20%28Provider-Owned%20Critical%20Information%20%28Singapore%20-%20Row%205%20%26%206%29.pdf" TargetMode="External"/><Relationship Id="rId73" Type="http://schemas.openxmlformats.org/officeDocument/2006/relationships/hyperlink" Target="https://github.com/ethandeysel/Data-Risk-Compliance/blob/main/data/acts/Singapore/Statistics%20Act%201973%20%28Singapore%20-%20Row%2032%29.pdf" TargetMode="External"/><Relationship Id="rId78" Type="http://schemas.openxmlformats.org/officeDocument/2006/relationships/hyperlink" Target="https://github.com/ethandeysel/Data-Risk-Compliance/blob/main/data/acts/South%20Africa/Directive%20in%20respect%20of%20cybersecurity%20and%20cyber-resilisnce%20within%20the%20national%20payment%20system.pdf" TargetMode="External"/><Relationship Id="rId81" Type="http://schemas.openxmlformats.org/officeDocument/2006/relationships/hyperlink" Target="https://github.com/ethandeysel/Data-Risk-Compliance/blob/main/data/acts/South%20Africa/PA%20Directive.pdf" TargetMode="External"/><Relationship Id="rId86" Type="http://schemas.openxmlformats.org/officeDocument/2006/relationships/hyperlink" Target="https://github.com/ethandeysel/Data-Risk-Compliance/blob/main/data/acts/United%20Kingdom/computer%20misuse%20act%20%28United%20Kingdom%20-%20Row%202%29.pdf" TargetMode="External"/><Relationship Id="rId4" Type="http://schemas.openxmlformats.org/officeDocument/2006/relationships/hyperlink" Target="https://github.com/ethandeysel/Data-Risk-Compliance/blob/main/data/acts/Australia/C2016C00614%20%28Australia%20-%20Row%2023%29.pdf" TargetMode="External"/><Relationship Id="rId9" Type="http://schemas.openxmlformats.org/officeDocument/2006/relationships/hyperlink" Target="https://github.com/ethandeysel/Data-Risk-Compliance/blob/main/data/acts/Australia/Prudential%20Standard%20-%20CPS%20230%20Operational%20Risk%20Management%20-%20clean%20%28Australia%20-%20Row%203%29.pdf" TargetMode="External"/><Relationship Id="rId13" Type="http://schemas.openxmlformats.org/officeDocument/2006/relationships/hyperlink" Target="https://github.com/ethandeysel/Data-Risk-Compliance/blob/main/data/acts/Australia/Statutory%20tort%20for%20serious%20invasions%20of%20privacy%20_%20OAIC%20%28Australia%20-%20Row%2024%29.pdf" TargetMode="External"/><Relationship Id="rId18" Type="http://schemas.openxmlformats.org/officeDocument/2006/relationships/hyperlink" Target="https://github.com/ethandeysel/Data-Risk-Compliance/blob/main/data/acts/GDPR/CELEX_32022R0868_EN_TXT%20%28GDPR%20-%20Row%2012%29.pdf" TargetMode="External"/><Relationship Id="rId39" Type="http://schemas.openxmlformats.org/officeDocument/2006/relationships/hyperlink" Target="https://github.com/ethandeysel/Data-Risk-Compliance/blob/main/data/acts/Kenya/The%20Capital%20Markets%20%28Corporate%20Governance%29%20%28Market%20Intermediaries%29%20Regulations-1.pdf" TargetMode="External"/><Relationship Id="rId34" Type="http://schemas.openxmlformats.org/officeDocument/2006/relationships/hyperlink" Target="https://github.com/ethandeysel/Data-Risk-Compliance/blob/main/data/acts/Kenya/BankingActOct2015.pdf" TargetMode="External"/><Relationship Id="rId50" Type="http://schemas.openxmlformats.org/officeDocument/2006/relationships/hyperlink" Target="https://github.com/ethandeysel/Data-Risk-Compliance/blob/main/data/acts/Mauritius/guidelines_on_outsourcing_by_financial_institutions%20%28Mauritius%20-%20Row%203%29.pdf" TargetMode="External"/><Relationship Id="rId55" Type="http://schemas.openxmlformats.org/officeDocument/2006/relationships/hyperlink" Target="https://github.com/ethandeysel/Data-Risk-Compliance/blob/main/data/acts/Nigeria/circular%20on%20the%20regulatory%20framework%20on%20open%20banking%20in%20nigeria%20%28Nigeria%20-%20Row%208%29.pdf" TargetMode="External"/><Relationship Id="rId76" Type="http://schemas.openxmlformats.org/officeDocument/2006/relationships/hyperlink" Target="https://github.com/ethandeysel/Data-Risk-Compliance/blob/main/data/acts/South%20Africa/2024%20Open%20Finance_FSCA%20Position%20Paper.pdf" TargetMode="External"/><Relationship Id="rId7" Type="http://schemas.openxmlformats.org/officeDocument/2006/relationships/hyperlink" Target="https://github.com/ethandeysel/Data-Risk-Compliance/blob/main/data/acts/Australia/cps_234_july_2019_for_public_release%20%28Australia%20-%20Row%206%29.pdf" TargetMode="External"/><Relationship Id="rId71" Type="http://schemas.openxmlformats.org/officeDocument/2006/relationships/hyperlink" Target="https://github.com/ethandeysel/Data-Risk-Compliance/blob/main/data/acts/Singapore/Personal%20Data%20Protection%20%28Prescribed%20Law%20Enforceme%20%28Singapore%20-%20Row%2026%29.pdf" TargetMode="External"/><Relationship Id="rId92" Type="http://schemas.openxmlformats.org/officeDocument/2006/relationships/hyperlink" Target="https://github.com/ethandeysel/Data-Risk-Compliance/blob/main/data/acts/United%20Kingdom/ss221-march-21%20%28United%20Kingdom%20-%20Row%2028%29.pdf" TargetMode="External"/><Relationship Id="rId2" Type="http://schemas.openxmlformats.org/officeDocument/2006/relationships/hyperlink" Target="https://github.com/ethandeysel/Data-Risk-Compliance/blob/main/data/acts/Australia/C2004C01271-1%20%28Australia%20-%20Row%207%29.pdf" TargetMode="External"/><Relationship Id="rId29" Type="http://schemas.openxmlformats.org/officeDocument/2006/relationships/hyperlink" Target="https://github.com/ethandeysel/Data-Risk-Compliance/blob/main/data/acts/India/RBI%20Master%20Direction%20on%20Information%20Technology%20Framework%20for%20NBFC%20Sector%20%282017%29%20%28India%20-%20Row%2015%29.pdf" TargetMode="External"/><Relationship Id="rId24" Type="http://schemas.openxmlformats.org/officeDocument/2006/relationships/hyperlink" Target="https://github.com/ethandeysel/Data-Risk-Compliance/blob/main/data/acts/India/Guidelines%20on%20Information%20and%20Cyber%20Security%20%28India%20-%20Row%208%29.pdf" TargetMode="External"/><Relationship Id="rId40" Type="http://schemas.openxmlformats.org/officeDocument/2006/relationships/hyperlink" Target="https://github.com/ethandeysel/Data-Risk-Compliance/blob/main/data/acts/Kenya/The%20Capital%20Markets%20%28Licensing%20Requirements%29%20%28General%29%20Regulations-2.pdf" TargetMode="External"/><Relationship Id="rId45" Type="http://schemas.openxmlformats.org/officeDocument/2006/relationships/hyperlink" Target="https://github.com/ethandeysel/Data-Risk-Compliance/blob/main/data/acts/Mauritius/code-of-business-conduct_final%20%28Mauritius%20-%20Row%2018%29.pdf" TargetMode="External"/><Relationship Id="rId66" Type="http://schemas.openxmlformats.org/officeDocument/2006/relationships/hyperlink" Target="https://github.com/ethandeysel/Data-Risk-Compliance/blob/main/data/acts/Singapore/Guidelines%20on%20Environmental%20Risk%20Management%20Insurers%20Dec%202020-2%20%28Singapore%20-%20Row%2014%29.pdf" TargetMode="External"/><Relationship Id="rId87" Type="http://schemas.openxmlformats.org/officeDocument/2006/relationships/hyperlink" Target="https://github.com/ethandeysel/Data-Risk-Compliance/blob/main/data/acts/United%20Kingdom/Customer%20Security%20Programme%20_%20Swift%20%28United%20Kingdom%20-%20Row%2026%29%20%28PROVISIONAL%29.pdf" TargetMode="External"/><Relationship Id="rId61" Type="http://schemas.openxmlformats.org/officeDocument/2006/relationships/hyperlink" Target="https://github.com/ethandeysel/Data-Risk-Compliance/blob/main/data/acts/Nigeria/NITDA-ACT-2007-2019-Edition1%20%28Nigeria%20-%20Row%2024%29.pdf" TargetMode="External"/><Relationship Id="rId82" Type="http://schemas.openxmlformats.org/officeDocument/2006/relationships/hyperlink" Target="https://github.com/ethandeysel/Data-Risk-Compliance/blob/main/data/acts/South%20Africa/pAYMENT%20ACT.pdf" TargetMode="External"/><Relationship Id="rId19" Type="http://schemas.openxmlformats.org/officeDocument/2006/relationships/hyperlink" Target="https://github.com/ethandeysel/Data-Risk-Compliance/blob/main/data/acts/GDPR/CELEX_52023PC0360_EN_TXT%20%28GDPR%20-%20Row%2013%29.pdf" TargetMode="External"/><Relationship Id="rId14" Type="http://schemas.openxmlformats.org/officeDocument/2006/relationships/hyperlink" Target="https://github.com/ethandeysel/Data-Risk-Compliance/blob/main/data/acts/GDPR/CELEX_32002L0058_EN_TXT%20%28GDPR%20Row%207%29.pdf" TargetMode="External"/><Relationship Id="rId30" Type="http://schemas.openxmlformats.org/officeDocument/2006/relationships/hyperlink" Target="https://github.com/ethandeysel/Data-Risk-Compliance/blob/main/data/acts/India/RBI%20Master%20Direction%20on%20Outsourcing%20of%20IT%20Services%20%28MDS%20on%20IT%20Outsourcing%2C%202023%29%20%28India%20-%20Row%2016%29.pdf" TargetMode="External"/><Relationship Id="rId35" Type="http://schemas.openxmlformats.org/officeDocument/2006/relationships/hyperlink" Target="https://github.com/ethandeysel/Data-Risk-Compliance/blob/main/data/acts/Kenya/Capital%20Markets%20Act.pdf" TargetMode="External"/><Relationship Id="rId56" Type="http://schemas.openxmlformats.org/officeDocument/2006/relationships/hyperlink" Target="https://github.com/ethandeysel/Data-Risk-Compliance/blob/main/data/acts/Nigeria/CyberCrime__Prohibition_Prevention_etc__Act__2024%20%28Nigeria%20-%20Row%2013%29.pdf" TargetMode="External"/><Relationship Id="rId77" Type="http://schemas.openxmlformats.org/officeDocument/2006/relationships/hyperlink" Target="https://github.com/ethandeysel/Data-Risk-Compliance/blob/main/data/acts/South%20Africa/Conduct-Standard-3-of-2020-BANKS-Annexure-A.pdf" TargetMode="External"/></Relationships>
</file>

<file path=xl/worksheets/_rels/sheet6.xml.rels><?xml version="1.0" encoding="UTF-8" standalone="yes"?>
<Relationships xmlns="http://schemas.openxmlformats.org/package/2006/relationships"><Relationship Id="rId1" Type="http://schemas.openxmlformats.org/officeDocument/2006/relationships/table" Target="../tables/table3.xml"/></Relationships>
</file>

<file path=xl/worksheets/_rels/sheet7.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15"/>
  <sheetViews>
    <sheetView showGridLines="0" workbookViewId="0">
      <selection sqref="A1:C1"/>
    </sheetView>
  </sheetViews>
  <sheetFormatPr defaultRowHeight="14.4" x14ac:dyDescent="0.3"/>
  <cols>
    <col min="1" max="1" width="26" customWidth="1"/>
    <col min="2" max="2" width="14" customWidth="1"/>
  </cols>
  <sheetData>
    <row r="1" spans="1:3" ht="21" x14ac:dyDescent="0.4">
      <c r="A1" s="13" t="s">
        <v>0</v>
      </c>
      <c r="B1" s="12"/>
      <c r="C1" s="12"/>
    </row>
    <row r="3" spans="1:3" x14ac:dyDescent="0.3">
      <c r="A3" s="1" t="s">
        <v>1</v>
      </c>
      <c r="B3">
        <v>9</v>
      </c>
    </row>
    <row r="4" spans="1:3" x14ac:dyDescent="0.3">
      <c r="A4" s="1" t="s">
        <v>2</v>
      </c>
      <c r="B4">
        <v>92</v>
      </c>
    </row>
    <row r="5" spans="1:3" x14ac:dyDescent="0.3">
      <c r="A5" s="1" t="s">
        <v>3</v>
      </c>
      <c r="B5">
        <v>119</v>
      </c>
    </row>
    <row r="6" spans="1:3" x14ac:dyDescent="0.3">
      <c r="A6" s="1" t="s">
        <v>4</v>
      </c>
      <c r="B6">
        <v>27</v>
      </c>
    </row>
    <row r="7" spans="1:3" x14ac:dyDescent="0.3">
      <c r="A7" s="1" t="s">
        <v>5</v>
      </c>
      <c r="B7">
        <v>1198</v>
      </c>
    </row>
    <row r="10" spans="1:3" ht="17.399999999999999" x14ac:dyDescent="0.35">
      <c r="A10" s="2" t="s">
        <v>6</v>
      </c>
    </row>
    <row r="11" spans="1:3" x14ac:dyDescent="0.3">
      <c r="A11" s="11" t="s">
        <v>7</v>
      </c>
      <c r="B11" s="12"/>
      <c r="C11" s="12"/>
    </row>
    <row r="12" spans="1:3" x14ac:dyDescent="0.3">
      <c r="A12" s="11" t="s">
        <v>8</v>
      </c>
      <c r="B12" s="12"/>
      <c r="C12" s="12"/>
    </row>
    <row r="13" spans="1:3" x14ac:dyDescent="0.3">
      <c r="A13" s="11" t="s">
        <v>9</v>
      </c>
      <c r="B13" s="12"/>
      <c r="C13" s="12"/>
    </row>
    <row r="14" spans="1:3" x14ac:dyDescent="0.3">
      <c r="A14" s="11" t="s">
        <v>10</v>
      </c>
      <c r="B14" s="12"/>
      <c r="C14" s="12"/>
    </row>
    <row r="15" spans="1:3" x14ac:dyDescent="0.3">
      <c r="A15" s="11" t="s">
        <v>11</v>
      </c>
      <c r="B15" s="12"/>
      <c r="C15" s="12"/>
    </row>
  </sheetData>
  <mergeCells count="6">
    <mergeCell ref="A15:C15"/>
    <mergeCell ref="A13:C13"/>
    <mergeCell ref="A11:C11"/>
    <mergeCell ref="A1:C1"/>
    <mergeCell ref="A14:C14"/>
    <mergeCell ref="A12:C12"/>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P1211"/>
  <sheetViews>
    <sheetView showGridLines="0" topLeftCell="N1" workbookViewId="0">
      <pane ySplit="13" topLeftCell="A14" activePane="bottomLeft" state="frozen"/>
      <selection pane="bottomLeft" activeCell="P14" sqref="P14"/>
    </sheetView>
  </sheetViews>
  <sheetFormatPr defaultRowHeight="14.4" x14ac:dyDescent="0.3"/>
  <cols>
    <col min="1" max="1" width="16" customWidth="1"/>
    <col min="2" max="3" width="18" customWidth="1"/>
    <col min="4" max="4" width="45" customWidth="1"/>
    <col min="5" max="7" width="18" customWidth="1"/>
    <col min="8" max="9" width="45" customWidth="1"/>
    <col min="10" max="10" width="18" customWidth="1"/>
    <col min="11" max="12" width="45" customWidth="1"/>
    <col min="13" max="14" width="78" customWidth="1"/>
    <col min="15" max="15" width="45" customWidth="1"/>
    <col min="16" max="16" width="18" customWidth="1"/>
  </cols>
  <sheetData>
    <row r="1" spans="1:16" ht="21" x14ac:dyDescent="0.4">
      <c r="A1" s="13" t="s">
        <v>12</v>
      </c>
      <c r="B1" s="12"/>
      <c r="C1" s="12"/>
      <c r="D1" s="12"/>
    </row>
    <row r="3" spans="1:16" x14ac:dyDescent="0.3">
      <c r="A3" s="3" t="s">
        <v>13</v>
      </c>
    </row>
    <row r="4" spans="1:16" x14ac:dyDescent="0.3">
      <c r="A4" s="1" t="s">
        <v>14</v>
      </c>
      <c r="B4" s="4" t="s">
        <v>6557</v>
      </c>
    </row>
    <row r="5" spans="1:16" x14ac:dyDescent="0.3">
      <c r="A5" s="1" t="s">
        <v>16</v>
      </c>
      <c r="B5" s="4" t="s">
        <v>15</v>
      </c>
    </row>
    <row r="6" spans="1:16" x14ac:dyDescent="0.3">
      <c r="A6" s="1" t="s">
        <v>17</v>
      </c>
      <c r="B6" s="4" t="s">
        <v>15</v>
      </c>
    </row>
    <row r="7" spans="1:16" x14ac:dyDescent="0.3">
      <c r="A7" s="1" t="s">
        <v>18</v>
      </c>
      <c r="B7" s="4" t="s">
        <v>15</v>
      </c>
    </row>
    <row r="8" spans="1:16" x14ac:dyDescent="0.3">
      <c r="A8" s="1" t="s">
        <v>19</v>
      </c>
      <c r="B8" s="4" t="s">
        <v>15</v>
      </c>
    </row>
    <row r="9" spans="1:16" x14ac:dyDescent="0.3">
      <c r="A9" s="1" t="s">
        <v>20</v>
      </c>
      <c r="B9" s="4"/>
    </row>
    <row r="10" spans="1:16" x14ac:dyDescent="0.3">
      <c r="A10" s="1" t="s">
        <v>21</v>
      </c>
      <c r="B10" s="4" t="s">
        <v>22</v>
      </c>
    </row>
    <row r="12" spans="1:16" x14ac:dyDescent="0.3">
      <c r="A12" s="1" t="s">
        <v>23</v>
      </c>
      <c r="C12" s="1">
        <f>Engine!$D$1</f>
        <v>27</v>
      </c>
    </row>
    <row r="13" spans="1:16" x14ac:dyDescent="0.3">
      <c r="A13" s="5" t="s">
        <v>14</v>
      </c>
      <c r="B13" s="5" t="s">
        <v>24</v>
      </c>
      <c r="C13" s="5" t="s">
        <v>25</v>
      </c>
      <c r="D13" s="5" t="s">
        <v>26</v>
      </c>
      <c r="E13" s="5" t="s">
        <v>27</v>
      </c>
      <c r="F13" s="5" t="s">
        <v>18</v>
      </c>
      <c r="G13" s="5" t="s">
        <v>28</v>
      </c>
      <c r="H13" s="5" t="s">
        <v>4</v>
      </c>
      <c r="I13" s="5" t="s">
        <v>29</v>
      </c>
      <c r="J13" s="5" t="s">
        <v>19</v>
      </c>
      <c r="K13" s="5" t="s">
        <v>30</v>
      </c>
      <c r="L13" s="5" t="s">
        <v>31</v>
      </c>
      <c r="M13" s="5" t="s">
        <v>32</v>
      </c>
      <c r="N13" s="5" t="s">
        <v>33</v>
      </c>
      <c r="O13" s="5" t="s">
        <v>34</v>
      </c>
      <c r="P13" s="5" t="s">
        <v>35</v>
      </c>
    </row>
    <row r="14" spans="1:16" ht="172.95" customHeight="1" x14ac:dyDescent="0.3">
      <c r="A14" s="6" t="str">
        <f>IF(ISNA(MATCH(1,Engine!$C$2:$C$1199,0)),"",INDEX('Compliance Database'!$A$2:$A$1199,MATCH(1,Engine!$C$2:$C$1199,0)))</f>
        <v>Singapore</v>
      </c>
      <c r="B14" s="6" t="str">
        <f>IF(ISNA(MATCH(1,Engine!$C$2:$C$1199,0)),"",INDEX('Compliance Database'!$B$2:$B$1199,MATCH(1,Engine!$C$2:$C$1199,0)))</f>
        <v>A Comprehensive Guide to the Law of Confidence and Breach of Confidence in Singapore_ Insights from [2024] SGCA 16 - IRB Law Singapore (Singapore - Row 33)</v>
      </c>
      <c r="C14" s="6" t="str">
        <f>IF(ISNA(MATCH(1,Engine!$C$2:$C$1199,0)),"",INDEX('Compliance Database'!$C$2:$C$1199,MATCH(1,Engine!$C$2:$C$1199,0)))</f>
        <v>2</v>
      </c>
      <c r="D14" s="7" t="str">
        <f>IF(ISNA(MATCH(1,Engine!$C$2:$C$1199,0)),"",INDEX('Compliance Database'!$D$2:$D$1199,MATCH(1,Engine!$C$2:$C$1199,0)))</f>
        <v>Confidential information claims: mutual exclusivity of wrongful gain and loss claims</v>
      </c>
      <c r="E14" s="6" t="str">
        <f>IF(ISNA(MATCH(1,Engine!$C$2:$C$1199,0)),"",INDEX('Compliance Database'!$E$2:$E$1199,MATCH(1,Engine!$C$2:$C$1199,0)))</f>
        <v>2</v>
      </c>
      <c r="F14" s="6" t="str">
        <f>IF(ISNA(MATCH(1,Engine!$C$2:$C$1199,0)),"",INDEX('Compliance Database'!$F$2:$F$1199,MATCH(1,Engine!$C$2:$C$1199,0)))</f>
        <v>Low</v>
      </c>
      <c r="G14" s="6" t="str">
        <f>IF(ISNA(MATCH(1,Engine!$C$2:$C$1199,0)),"",INDEX('Compliance Database'!$G$2:$G$1199,MATCH(1,Engine!$C$2:$C$1199,0)))</f>
        <v>High (explicit)</v>
      </c>
      <c r="H14" s="7" t="str">
        <f>IF(ISNA(MATCH(1,Engine!$C$2:$C$1199,0)),"",INDEX('Compliance Database'!$H$2:$H$1199,MATCH(1,Engine!$C$2:$C$1199,0)))</f>
        <v>Cross-border Transfer, Data Sharing, Data Storage, Security</v>
      </c>
      <c r="I14" s="7" t="str">
        <f>IF(ISNA(MATCH(1,Engine!$C$2:$C$1199,0)),"",INDEX('Compliance Database'!$I$2:$I$1199,MATCH(1,Engine!$C$2:$C$1199,0)))</f>
        <v>Personal Information, Special Personal Information</v>
      </c>
      <c r="J14" s="6" t="str">
        <f>IF(ISNA(MATCH(1,Engine!$C$2:$C$1199,0)),"",INDEX('Compliance Database'!$J$2:$J$1199,MATCH(1,Engine!$C$2:$C$1199,0)))</f>
        <v>Singapore High Court</v>
      </c>
      <c r="K14" s="7" t="str">
        <f>IF(ISNA(MATCH(1,Engine!$C$2:$C$1199,0)),"",INDEX('Compliance Database'!$K$2:$K$1199,MATCH(1,Engine!$C$2:$C$1199,0)))</f>
        <v>This section clarifies that claims for wrongful gain and wrongful loss regarding the same set of confidential information are mutually exclusive. The court's application of the Coco test prevents concurrent claims under different legal frameworks, ensuring no double recovery. Plaintiffs must precisely delineate claims to distinct information sets to avoid overlapping claims and maintain clear burden of proof requirements.</v>
      </c>
      <c r="L14" s="7" t="str">
        <f>IF(ISNA(MATCH(1,Engine!$C$2:$C$1199,0)),"",INDEX('Compliance Database'!$L$2:$L$1199,MATCH(1,Engine!$C$2:$C$1199,0)))</f>
        <v>This section matters for DTIAs as it establishes that claims for the same confidential information cannot be split into wrongful gain and loss claims, requiring careful delineation of data sets to avoid overlapping legal claims during cross-border data transfers involving sensitive information.</v>
      </c>
      <c r="M14" s="7" t="str">
        <f>IF(ISNA(MATCH(1,Engine!$C$2:$C$1199,0)),"",INDEX('Compliance Database'!$M$2:$M$1199,MATCH(1,Engine!$C$2:$C$1199,0)))</f>
        <v>• [Must] Claims for wrongful gain and wrongful loss regarding the same set of confidential information are mutually exclusive
• [Must] The Coco test precludes concurrent application of the I-Admin test for the same information</v>
      </c>
      <c r="N14" s="7" t="str">
        <f>IF(ISNA(MATCH(1,Engine!$C$2:$C$1199,0)),"",INDEX('Compliance Database'!$N$2:$N$1199,MATCH(1,Engine!$C$2:$C$1199,0)))</f>
        <v>• [Must] Plaintiffs must clearly delineate claims for distinct sets of information</v>
      </c>
      <c r="O14" s="7" t="str">
        <f>IF(ISNA(MATCH(1,Engine!$C$2:$C$1199,0)),"",INDEX('Compliance Database'!$O$2:$O$1199,MATCH(1,Engine!$C$2:$C$1199,0)))</f>
        <v>2. Broad Issue: The court found that claims for wrongful gain and wrongful loss in respect of the same set of documents are mutually exclusive. The application of the Coco test precludes the concurrent application of the I-Admin test for the same information.</v>
      </c>
      <c r="P14" s="6" t="str">
        <f>IF(ISNA(MATCH(1,Engine!$C$2:$C$1199,0)),"",HYPERLINK("#Acts!A"&amp;INDEX('Compliance Database'!$P$2:$P$1199,MATCH(1,Engine!$C$2:$C$1199,0)),"Go to Act"))</f>
        <v>Go to Act</v>
      </c>
    </row>
    <row r="15" spans="1:16" ht="172.95" customHeight="1" x14ac:dyDescent="0.3">
      <c r="A15" s="6" t="str">
        <f>IF(ISNA(MATCH(2,Engine!$C$2:$C$1199,0)),"",INDEX('Compliance Database'!$A$2:$A$1199,MATCH(2,Engine!$C$2:$C$1199,0)))</f>
        <v>Singapore</v>
      </c>
      <c r="B15" s="6" t="str">
        <f>IF(ISNA(MATCH(2,Engine!$C$2:$C$1199,0)),"",INDEX('Compliance Database'!$B$2:$B$1199,MATCH(2,Engine!$C$2:$C$1199,0)))</f>
        <v>Cybersecurity (Provider-Owned Critical Information (Singapore - Row 5 &amp; 6)</v>
      </c>
      <c r="C15" s="6" t="str">
        <f>IF(ISNA(MATCH(2,Engine!$C$2:$C$1199,0)),"",INDEX('Compliance Database'!$C$2:$C$1199,MATCH(2,Engine!$C$2:$C$1199,0)))</f>
        <v>1</v>
      </c>
      <c r="D15" s="7" t="str">
        <f>IF(ISNA(MATCH(2,Engine!$C$2:$C$1199,0)),"",INDEX('Compliance Database'!$D$2:$D$1199,MATCH(2,Engine!$C$2:$C$1199,0)))</f>
        <v>Regulations definition and effective date</v>
      </c>
      <c r="E15" s="6" t="str">
        <f>IF(ISNA(MATCH(2,Engine!$C$2:$C$1199,0)),"",INDEX('Compliance Database'!$E$2:$E$1199,MATCH(2,Engine!$C$2:$C$1199,0)))</f>
        <v>2</v>
      </c>
      <c r="F15" s="6" t="str">
        <f>IF(ISNA(MATCH(2,Engine!$C$2:$C$1199,0)),"",INDEX('Compliance Database'!$F$2:$F$1199,MATCH(2,Engine!$C$2:$C$1199,0)))</f>
        <v>None</v>
      </c>
      <c r="G15" s="6" t="str">
        <f>IF(ISNA(MATCH(2,Engine!$C$2:$C$1199,0)),"",INDEX('Compliance Database'!$G$2:$G$1199,MATCH(2,Engine!$C$2:$C$1199,0)))</f>
        <v>High (explicit)</v>
      </c>
      <c r="H15" s="7">
        <f>IF(ISNA(MATCH(2,Engine!$C$2:$C$1199,0)),"",INDEX('Compliance Database'!$H$2:$H$1199,MATCH(2,Engine!$C$2:$C$1199,0)))</f>
        <v>0</v>
      </c>
      <c r="I15" s="7" t="str">
        <f>IF(ISNA(MATCH(2,Engine!$C$2:$C$1199,0)),"",INDEX('Compliance Database'!$I$2:$I$1199,MATCH(2,Engine!$C$2:$C$1199,0)))</f>
        <v>Personal Information</v>
      </c>
      <c r="J15" s="6">
        <f>IF(ISNA(MATCH(2,Engine!$C$2:$C$1199,0)),"",INDEX('Compliance Database'!$J$2:$J$1199,MATCH(2,Engine!$C$2:$C$1199,0)))</f>
        <v>0</v>
      </c>
      <c r="K15" s="7" t="str">
        <f>IF(ISNA(MATCH(2,Engine!$C$2:$C$1199,0)),"",INDEX('Compliance Database'!$K$2:$K$1199,MATCH(2,Engine!$C$2:$C$1199,0)))</f>
        <v>These Regulations formally establish the Cybersecurity (Provider-Owned Critical Information Infrastructure) Regulations 2018 and specify their effective date as 31 August 2018. The regulations are subject to being repealed by subsequent legislation effective from 31 October 2025.</v>
      </c>
      <c r="L15" s="7">
        <f>IF(ISNA(MATCH(2,Engine!$C$2:$C$1199,0)),"",INDEX('Compliance Database'!$L$2:$L$1199,MATCH(2,Engine!$C$2:$C$1199,0)))</f>
        <v>0</v>
      </c>
      <c r="M15" s="7" t="str">
        <f>IF(ISNA(MATCH(2,Engine!$C$2:$C$1199,0)),"",INDEX('Compliance Database'!$M$2:$M$1199,MATCH(2,Engine!$C$2:$C$1199,0)))</f>
        <v>• [Must] These Regulations are the Cybersecurity (Provider-Owned Critical Information Infrastructure) Regulations 2018</v>
      </c>
      <c r="N15" s="7" t="str">
        <f>IF(ISNA(MATCH(2,Engine!$C$2:$C$1199,0)),"",INDEX('Compliance Database'!$N$2:$N$1199,MATCH(2,Engine!$C$2:$C$1199,0)))</f>
        <v>• [Must] These Regulations come into operation on 31 August 2018</v>
      </c>
      <c r="O15" s="7" t="str">
        <f>IF(ISNA(MATCH(2,Engine!$C$2:$C$1199,0)),"",INDEX('Compliance Database'!$O$2:$O$1199,MATCH(2,Engine!$C$2:$C$1199,0)))</f>
        <v>These Regulations are the Cybersecurity (Provider-Owned Critical Information Infrastructure) Regulations 2018 and come into operation on 31 August 2018.</v>
      </c>
      <c r="P15" s="6" t="str">
        <f>IF(ISNA(MATCH(2,Engine!$C$2:$C$1199,0)),"",HYPERLINK("#Acts!A"&amp;INDEX('Compliance Database'!$P$2:$P$1199,MATCH(2,Engine!$C$2:$C$1199,0)),"Go to Act"))</f>
        <v>Go to Act</v>
      </c>
    </row>
    <row r="16" spans="1:16" ht="172.95" customHeight="1" x14ac:dyDescent="0.3">
      <c r="A16" s="6" t="str">
        <f>IF(ISNA(MATCH(3,Engine!$C$2:$C$1199,0)),"",INDEX('Compliance Database'!$A$2:$A$1199,MATCH(3,Engine!$C$2:$C$1199,0)))</f>
        <v>Singapore</v>
      </c>
      <c r="B16" s="6" t="str">
        <f>IF(ISNA(MATCH(3,Engine!$C$2:$C$1199,0)),"",INDEX('Compliance Database'!$B$2:$B$1199,MATCH(3,Engine!$C$2:$C$1199,0)))</f>
        <v>Cybersecurity (Provider-Owned Critical Information (Singapore - Row 5 &amp; 6)</v>
      </c>
      <c r="C16" s="6" t="str">
        <f>IF(ISNA(MATCH(3,Engine!$C$2:$C$1199,0)),"",INDEX('Compliance Database'!$C$2:$C$1199,MATCH(3,Engine!$C$2:$C$1199,0)))</f>
        <v>2</v>
      </c>
      <c r="D16" s="7" t="str">
        <f>IF(ISNA(MATCH(3,Engine!$C$2:$C$1199,0)),"",INDEX('Compliance Database'!$D$2:$D$1199,MATCH(3,Engine!$C$2:$C$1199,0)))</f>
        <v>Definitions of critical information infrastructure components</v>
      </c>
      <c r="E16" s="6" t="str">
        <f>IF(ISNA(MATCH(3,Engine!$C$2:$C$1199,0)),"",INDEX('Compliance Database'!$E$2:$E$1199,MATCH(3,Engine!$C$2:$C$1199,0)))</f>
        <v>2–8</v>
      </c>
      <c r="F16" s="6" t="str">
        <f>IF(ISNA(MATCH(3,Engine!$C$2:$C$1199,0)),"",INDEX('Compliance Database'!$F$2:$F$1199,MATCH(3,Engine!$C$2:$C$1199,0)))</f>
        <v>None</v>
      </c>
      <c r="G16" s="6" t="str">
        <f>IF(ISNA(MATCH(3,Engine!$C$2:$C$1199,0)),"",INDEX('Compliance Database'!$G$2:$G$1199,MATCH(3,Engine!$C$2:$C$1199,0)))</f>
        <v>High (explicit)</v>
      </c>
      <c r="H16" s="7" t="str">
        <f>IF(ISNA(MATCH(3,Engine!$C$2:$C$1199,0)),"",INDEX('Compliance Database'!$H$2:$H$1199,MATCH(3,Engine!$C$2:$C$1199,0)))</f>
        <v>Data Storage, Security</v>
      </c>
      <c r="I16" s="7" t="str">
        <f>IF(ISNA(MATCH(3,Engine!$C$2:$C$1199,0)),"",INDEX('Compliance Database'!$I$2:$I$1199,MATCH(3,Engine!$C$2:$C$1199,0)))</f>
        <v>Personal Information</v>
      </c>
      <c r="J16" s="6">
        <f>IF(ISNA(MATCH(3,Engine!$C$2:$C$1199,0)),"",INDEX('Compliance Database'!$J$2:$J$1199,MATCH(3,Engine!$C$2:$C$1199,0)))</f>
        <v>0</v>
      </c>
      <c r="K16" s="7" t="str">
        <f>IF(ISNA(MATCH(3,Engine!$C$2:$C$1199,0)),"",INDEX('Compliance Database'!$K$2:$K$1199,MATCH(3,Engine!$C$2:$C$1199,0)))</f>
        <v>This section defines key terms related to provider-owned critical information infrastructure, including owner-controlled interconnected systems, owner-controlled non-interconnected systems, relevant computer systems, and supplier-controlled systems. It also specifies what constitutes a working day for regulatory purposes.</v>
      </c>
      <c r="L16" s="7">
        <f>IF(ISNA(MATCH(3,Engine!$C$2:$C$1199,0)),"",INDEX('Compliance Database'!$L$2:$L$1199,MATCH(3,Engine!$C$2:$C$1199,0)))</f>
        <v>0</v>
      </c>
      <c r="M16" s="7" t="str">
        <f>IF(ISNA(MATCH(3,Engine!$C$2:$C$1199,0)),"",INDEX('Compliance Database'!$M$2:$M$1199,MATCH(3,Engine!$C$2:$C$1199,0)))</f>
        <v>• [Must] owner-controlled interconnected computer or computer system means any computer or computer system under the control of the owner of a provider-owned critical information infrastructure, that is interconnected with or that communicates with the provider-owned critical information infrastructure
• [Must] owner-controlled non-interconnected computer or computer system means any computer or computer system under the control of the owner of a provider-owned critical information infrastructure, that is not the provider-owned critical information infrastructure or an owner-controlled interconnected computer or computer system
• [Must] relevant computer or computer system means — (a) a provider-owned critical information infrastructure; (b) an owner-controlled interconnected computer or computer system; (c) an owner-controlled non-interconnected computer or computer system; or (d) a supplier-controlled interconnected computer or computer system</v>
      </c>
      <c r="N16" s="7" t="str">
        <f>IF(ISNA(MATCH(3,Engine!$C$2:$C$1199,0)),"",INDEX('Compliance Database'!$N$2:$N$1199,MATCH(3,Engine!$C$2:$C$1199,0)))</f>
        <v>• [Must] supplier-controlled interconnected computer or computer system means any computer or computer system under the control of a supplier to the owner of a provider-owned critical information infrastructure, that is interconnected with or that communicates with the provider-owned critical information infrastructure
• [Must] working day means any day except a Saturday, Sunday or public holiday</v>
      </c>
      <c r="O16" s="7" t="str">
        <f>IF(ISNA(MATCH(3,Engine!$C$2:$C$1199,0)),"",INDEX('Compliance Database'!$O$2:$O$1199,MATCH(3,Engine!$C$2:$C$1199,0)))</f>
        <v>owner-controlled interconnected computer or computer system means any computer or computer system under the control of the owner of a provider-owned critical information infrastructure, that is interconnected with or that communicates with the provider-owned critical information infrastructure; owner-controlled non-interconnected computer or computer system means any computer or computer system under the control of the owner of a provider-owned critical information infrastructure, that is not the provider-owned critical information infrastructure or an owner-controlled interconnected computer or computer system; relevant computer or computer system means — (a) a provider-owned critical information infrastructure; (b) an owner-controlled interconnected computer or computer system; (c) an owner-controlled non-interconnected computer or computer system; or (d) a supplier-controlled interconnected computer or computer system; supplier-controlled interconnected computer or computer system means any computer or computer system under the control of a supplier to the owner of a provider-owned critical information infrastructure, that is interconnected with or that communicates with the provider-owned critical information infrastructure; working day means any day except a Saturday, Sunday or public holiday.</v>
      </c>
      <c r="P16" s="6" t="str">
        <f>IF(ISNA(MATCH(3,Engine!$C$2:$C$1199,0)),"",HYPERLINK("#Acts!A"&amp;INDEX('Compliance Database'!$P$2:$P$1199,MATCH(3,Engine!$C$2:$C$1199,0)),"Go to Act"))</f>
        <v>Go to Act</v>
      </c>
    </row>
    <row r="17" spans="1:16" ht="172.95" customHeight="1" x14ac:dyDescent="0.3">
      <c r="A17" s="6" t="str">
        <f>IF(ISNA(MATCH(4,Engine!$C$2:$C$1199,0)),"",INDEX('Compliance Database'!$A$2:$A$1199,MATCH(4,Engine!$C$2:$C$1199,0)))</f>
        <v>Singapore</v>
      </c>
      <c r="B17" s="6" t="str">
        <f>IF(ISNA(MATCH(4,Engine!$C$2:$C$1199,0)),"",INDEX('Compliance Database'!$B$2:$B$1199,MATCH(4,Engine!$C$2:$C$1199,0)))</f>
        <v>Cybersecurity (Provider-Owned Critical Information (Singapore - Row 5 &amp; 6)</v>
      </c>
      <c r="C17" s="6" t="str">
        <f>IF(ISNA(MATCH(4,Engine!$C$2:$C$1199,0)),"",INDEX('Compliance Database'!$C$2:$C$1199,MATCH(4,Engine!$C$2:$C$1199,0)))</f>
        <v>2 (part 3)</v>
      </c>
      <c r="D17" s="7" t="str">
        <f>IF(ISNA(MATCH(4,Engine!$C$2:$C$1199,0)),"",INDEX('Compliance Database'!$D$2:$D$1199,MATCH(4,Engine!$C$2:$C$1199,0)))</f>
        <v>Cybersecurity risk assessment requirements for provider-owned critical information infrastructure</v>
      </c>
      <c r="E17" s="6" t="str">
        <f>IF(ISNA(MATCH(4,Engine!$C$2:$C$1199,0)),"",INDEX('Compliance Database'!$E$2:$E$1199,MATCH(4,Engine!$C$2:$C$1199,0)))</f>
        <v>13–14</v>
      </c>
      <c r="F17" s="6" t="str">
        <f>IF(ISNA(MATCH(4,Engine!$C$2:$C$1199,0)),"",INDEX('Compliance Database'!$F$2:$F$1199,MATCH(4,Engine!$C$2:$C$1199,0)))</f>
        <v>High</v>
      </c>
      <c r="G17" s="6" t="str">
        <f>IF(ISNA(MATCH(4,Engine!$C$2:$C$1199,0)),"",INDEX('Compliance Database'!$G$2:$G$1199,MATCH(4,Engine!$C$2:$C$1199,0)))</f>
        <v>High (explicit)</v>
      </c>
      <c r="H17" s="7">
        <f>IF(ISNA(MATCH(4,Engine!$C$2:$C$1199,0)),"",INDEX('Compliance Database'!$H$2:$H$1199,MATCH(4,Engine!$C$2:$C$1199,0)))</f>
        <v>0</v>
      </c>
      <c r="I17" s="7">
        <f>IF(ISNA(MATCH(4,Engine!$C$2:$C$1199,0)),"",INDEX('Compliance Database'!$I$2:$I$1199,MATCH(4,Engine!$C$2:$C$1199,0)))</f>
        <v>0</v>
      </c>
      <c r="J17" s="6" t="str">
        <f>IF(ISNA(MATCH(4,Engine!$C$2:$C$1199,0)),"",INDEX('Compliance Database'!$J$2:$J$1199,MATCH(4,Engine!$C$2:$C$1199,0)))</f>
        <v>Cybersecurity (Provider-Owned Critical Information) Regulations</v>
      </c>
      <c r="K17" s="7" t="str">
        <f>IF(ISNA(MATCH(4,Engine!$C$2:$C$1199,0)),"",INDEX('Compliance Database'!$K$2:$K$1199,MATCH(4,Engine!$C$2:$C$1199,0)))</f>
        <v>The owner of provider-owned critical information infrastructure must complete the first cybersecurity risk assessment within six months of receiving notice under section 7(1) or (1A) of the Act. The assessment must include a description of every identified cybersecurity risk, the evaluated likelihood and consequences of each risk materializing, and the actions the owner will take for each risk. The assessment must be repeated annually thereafter, with time reckoning starting from the initial notice date if the infrastructure designation is extended.</v>
      </c>
      <c r="L17" s="7" t="str">
        <f>IF(ISNA(MATCH(4,Engine!$C$2:$C$1199,0)),"",INDEX('Compliance Database'!$L$2:$L$1199,MATCH(4,Engine!$C$2:$C$1199,0)))</f>
        <v>This section mandates specific cybersecurity risk assessment content and timelines for provider-owned critical information infrastructure, directly impacting how organizations conduct risk assessments for data transfers involving critical infrastructure.</v>
      </c>
      <c r="M17" s="7" t="str">
        <f>IF(ISNA(MATCH(4,Engine!$C$2:$C$1199,0)),"",INDEX('Compliance Database'!$M$2:$M$1199,MATCH(4,Engine!$C$2:$C$1199,0)))</f>
        <v>• [Must] A description of every identified cybersecurity risk to the provider-owned critical information infrastructure
• [Must] Evaluated likelihood and possible consequences of the materialisation of each identified cybersecurity risk
• [Must] Identified action that the owner of the provider-owned critical information infrastructure will take in respect of each identified cybersecurity risk</v>
      </c>
      <c r="N17" s="7" t="str">
        <f>IF(ISNA(MATCH(4,Engine!$C$2:$C$1199,0)),"",INDEX('Compliance Database'!$N$2:$N$1199,MATCH(4,Engine!$C$2:$C$1199,0)))</f>
        <v>• [Must] First cybersecurity risk assessment must be completed within six months after the date of notice issued under section 7(1) or (1A) of the Act
• [Condition] Time reckoning for annual cybersecurity risk assessments starts from the date of initial notice if infrastructure designation is extended</v>
      </c>
      <c r="O17" s="7" t="str">
        <f>IF(ISNA(MATCH(4,Engine!$C$2:$C$1199,0)),"",INDEX('Compliance Database'!$O$2:$O$1199,MATCH(4,Engine!$C$2:$C$1199,0)))</f>
        <v>Singapore Statutes Online: (ii) a description of every identified cybersecurity risk to the provider-owned critical information infrastructure; (iii) the evaluated likelihood and possible consequences of the materialisation of each identified cybersecurity risk; (iv) the identified action that the owner of the provider-owned critical information infrastructure will take in respect of each identified cybersecurity risk.</v>
      </c>
      <c r="P17" s="6" t="str">
        <f>IF(ISNA(MATCH(4,Engine!$C$2:$C$1199,0)),"",HYPERLINK("#Acts!A"&amp;INDEX('Compliance Database'!$P$2:$P$1199,MATCH(4,Engine!$C$2:$C$1199,0)),"Go to Act"))</f>
        <v>Go to Act</v>
      </c>
    </row>
    <row r="18" spans="1:16" ht="172.95" customHeight="1" x14ac:dyDescent="0.3">
      <c r="A18" s="6" t="str">
        <f>IF(ISNA(MATCH(5,Engine!$C$2:$C$1199,0)),"",INDEX('Compliance Database'!$A$2:$A$1199,MATCH(5,Engine!$C$2:$C$1199,0)))</f>
        <v>Singapore</v>
      </c>
      <c r="B18" s="6" t="str">
        <f>IF(ISNA(MATCH(5,Engine!$C$2:$C$1199,0)),"",INDEX('Compliance Database'!$B$2:$B$1199,MATCH(5,Engine!$C$2:$C$1199,0)))</f>
        <v>Guidelines on Environmental Risk Management Insurers Dec 2020-2 (Singapore - Row 14)</v>
      </c>
      <c r="C18" s="6" t="str">
        <f>IF(ISNA(MATCH(5,Engine!$C$2:$C$1199,0)),"",INDEX('Compliance Database'!$C$2:$C$1199,MATCH(5,Engine!$C$2:$C$1199,0)))</f>
        <v>1</v>
      </c>
      <c r="D18" s="7" t="str">
        <f>IF(ISNA(MATCH(5,Engine!$C$2:$C$1199,0)),"",INDEX('Compliance Database'!$D$2:$D$1199,MATCH(5,Engine!$C$2:$C$1199,0)))</f>
        <v>Introduction to Environmental Risk Management Guidelines for Insurers</v>
      </c>
      <c r="E18" s="6" t="str">
        <f>IF(ISNA(MATCH(5,Engine!$C$2:$C$1199,0)),"",INDEX('Compliance Database'!$E$2:$E$1199,MATCH(5,Engine!$C$2:$C$1199,0)))</f>
        <v>3</v>
      </c>
      <c r="F18" s="6" t="str">
        <f>IF(ISNA(MATCH(5,Engine!$C$2:$C$1199,0)),"",INDEX('Compliance Database'!$F$2:$F$1199,MATCH(5,Engine!$C$2:$C$1199,0)))</f>
        <v>High</v>
      </c>
      <c r="G18" s="6" t="str">
        <f>IF(ISNA(MATCH(5,Engine!$C$2:$C$1199,0)),"",INDEX('Compliance Database'!$G$2:$G$1199,MATCH(5,Engine!$C$2:$C$1199,0)))</f>
        <v>High (explicit)</v>
      </c>
      <c r="H18" s="7" t="str">
        <f>IF(ISNA(MATCH(5,Engine!$C$2:$C$1199,0)),"",INDEX('Compliance Database'!$H$2:$H$1199,MATCH(5,Engine!$C$2:$C$1199,0)))</f>
        <v>Cross-border Transfer, International Processing, Data Storage, Security, Consent, Customer Information, Financial Data, KYC, AML, Governance, Record Keeping</v>
      </c>
      <c r="I18" s="7" t="str">
        <f>IF(ISNA(MATCH(5,Engine!$C$2:$C$1199,0)),"",INDEX('Compliance Database'!$I$2:$I$1199,MATCH(5,Engine!$C$2:$C$1199,0)))</f>
        <v>Financial Data, Customer Data</v>
      </c>
      <c r="J18" s="6" t="str">
        <f>IF(ISNA(MATCH(5,Engine!$C$2:$C$1199,0)),"",INDEX('Compliance Database'!$J$2:$J$1199,MATCH(5,Engine!$C$2:$C$1199,0)))</f>
        <v>MAS</v>
      </c>
      <c r="K18" s="7" t="str">
        <f>IF(ISNA(MATCH(5,Engine!$C$2:$C$1199,0)),"",INDEX('Compliance Database'!$K$2:$K$1199,MATCH(5,Engine!$C$2:$C$1199,0)))</f>
        <v>These Guidelines aim to enhance insurance sector resilience to environmental risks through sound risk management practices. They apply to all insurers operating in Singapore under the Insurance Act, including those via foreign insurer schemes. The Guidelines cover underwriting and investment activities exposed to material environmental risks. Insurers must implement these practices proportionally to their business size and risk profile, with MAS allowing group-level application for locally-incorporated insurers.</v>
      </c>
      <c r="L18" s="7" t="str">
        <f>IF(ISNA(MATCH(5,Engine!$C$2:$C$1199,0)),"",INDEX('Compliance Database'!$L$2:$L$1199,MATCH(5,Engine!$C$2:$C$1199,0)))</f>
        <v>This section establishes the scope and applicability of environmental risk management for insurers, emphasizing the need for tailored approaches based on business size and risk profile. It clarifies that the Guidelines apply to underwriting and investment activities with material environmental exposure.</v>
      </c>
      <c r="M18" s="7" t="str">
        <f>IF(ISNA(MATCH(5,Engine!$C$2:$C$1199,0)),"",INDEX('Compliance Database'!$M$2:$M$1199,MATCH(5,Engine!$C$2:$C$1199,0)))</f>
        <v>• [Must] Guidelines apply to all insurers, including those under foreign insurer schemes in Singapore
• [Must] Guidelines apply to underwriting and investment activities with material environmental risk exposure</v>
      </c>
      <c r="N18" s="7" t="str">
        <f>IF(ISNA(MATCH(5,Engine!$C$2:$C$1199,0)),"",INDEX('Compliance Database'!$N$2:$N$1199,MATCH(5,Engine!$C$2:$C$1199,0)))</f>
        <v>• [Must] Insurers must implement guidelines proportionally to business size and risk profile
• [May] Group-level application allowed for locally-incorporated insurers</v>
      </c>
      <c r="O18" s="7" t="str">
        <f>IF(ISNA(MATCH(5,Engine!$C$2:$C$1199,0)),"",INDEX('Compliance Database'!$O$2:$O$1199,MATCH(5,Engine!$C$2:$C$1199,0)))</f>
        <v>These Guidelines aim to enhance the insurance sector's resilience to and management of environmental risk through setting out sound risk management practices. The Guidelines apply to all insurers, including insurers carrying on business in Singapore under a foreign insurer scheme established under Part IIA of the Insurance Act (Cap. 142).</v>
      </c>
      <c r="P18" s="6" t="str">
        <f>IF(ISNA(MATCH(5,Engine!$C$2:$C$1199,0)),"",HYPERLINK("#Acts!A"&amp;INDEX('Compliance Database'!$P$2:$P$1199,MATCH(5,Engine!$C$2:$C$1199,0)),"Go to Act"))</f>
        <v>Go to Act</v>
      </c>
    </row>
    <row r="19" spans="1:16" ht="172.95" customHeight="1" x14ac:dyDescent="0.3">
      <c r="A19" s="6" t="str">
        <f>IF(ISNA(MATCH(6,Engine!$C$2:$C$1199,0)),"",INDEX('Compliance Database'!$A$2:$A$1199,MATCH(6,Engine!$C$2:$C$1199,0)))</f>
        <v>Singapore</v>
      </c>
      <c r="B19" s="6" t="str">
        <f>IF(ISNA(MATCH(6,Engine!$C$2:$C$1199,0)),"",INDEX('Compliance Database'!$B$2:$B$1199,MATCH(6,Engine!$C$2:$C$1199,0)))</f>
        <v>Guidelines on Environmental Risk Management Insurers Dec 2020-2 (Singapore - Row 14)</v>
      </c>
      <c r="C19" s="6" t="str">
        <f>IF(ISNA(MATCH(6,Engine!$C$2:$C$1199,0)),"",INDEX('Compliance Database'!$C$2:$C$1199,MATCH(6,Engine!$C$2:$C$1199,0)))</f>
        <v>2</v>
      </c>
      <c r="D19" s="7" t="str">
        <f>IF(ISNA(MATCH(6,Engine!$C$2:$C$1199,0)),"",INDEX('Compliance Database'!$D$2:$D$1199,MATCH(6,Engine!$C$2:$C$1199,0)))</f>
        <v>Scope of Environmental Risk for Insurers</v>
      </c>
      <c r="E19" s="6" t="str">
        <f>IF(ISNA(MATCH(6,Engine!$C$2:$C$1199,0)),"",INDEX('Compliance Database'!$E$2:$E$1199,MATCH(6,Engine!$C$2:$C$1199,0)))</f>
        <v>3–5</v>
      </c>
      <c r="F19" s="6" t="str">
        <f>IF(ISNA(MATCH(6,Engine!$C$2:$C$1199,0)),"",INDEX('Compliance Database'!$F$2:$F$1199,MATCH(6,Engine!$C$2:$C$1199,0)))</f>
        <v>High</v>
      </c>
      <c r="G19" s="6" t="str">
        <f>IF(ISNA(MATCH(6,Engine!$C$2:$C$1199,0)),"",INDEX('Compliance Database'!$G$2:$G$1199,MATCH(6,Engine!$C$2:$C$1199,0)))</f>
        <v>High (explicit)</v>
      </c>
      <c r="H19" s="7" t="str">
        <f>IF(ISNA(MATCH(6,Engine!$C$2:$C$1199,0)),"",INDEX('Compliance Database'!$H$2:$H$1199,MATCH(6,Engine!$C$2:$C$1199,0)))</f>
        <v>Cross-border Transfer, International Processing, Data Storage, Security, Consent, Customer Information, Financial Data, KYC, AML, Governance, Record Keeping</v>
      </c>
      <c r="I19" s="7" t="str">
        <f>IF(ISNA(MATCH(6,Engine!$C$2:$C$1199,0)),"",INDEX('Compliance Database'!$I$2:$I$1199,MATCH(6,Engine!$C$2:$C$1199,0)))</f>
        <v>Financial Data, Customer Data</v>
      </c>
      <c r="J19" s="6">
        <f>IF(ISNA(MATCH(6,Engine!$C$2:$C$1199,0)),"",INDEX('Compliance Database'!$J$2:$J$1199,MATCH(6,Engine!$C$2:$C$1199,0)))</f>
        <v>0</v>
      </c>
      <c r="K19" s="7" t="str">
        <f>IF(ISNA(MATCH(6,Engine!$C$2:$C$1199,0)),"",INDEX('Compliance Database'!$K$2:$K$1199,MATCH(6,Engine!$C$2:$C$1199,0)))</f>
        <v>Environmental risk encompasses climate change, biodiversity loss, pollution, and land use changes. These risks pose financial and reputational threats through physical and transition channels. Physical risks involve weather events and long-term environmental changes, while transition risks relate to policy shifts and technological changes. Insurers must assess how these risks impact their specific business models and customer profiles.</v>
      </c>
      <c r="L19" s="7" t="str">
        <f>IF(ISNA(MATCH(6,Engine!$C$2:$C$1199,0)),"",INDEX('Compliance Database'!$L$2:$L$1199,MATCH(6,Engine!$C$2:$C$1199,0)))</f>
        <v>This section defines environmental risks relevant to insurers, emphasizing physical and transition risks that can affect financial stability. It highlights the need for insurers to evaluate their specific exposure to climate-related and biodiversity risks.</v>
      </c>
      <c r="M19" s="7" t="str">
        <f>IF(ISNA(MATCH(6,Engine!$C$2:$C$1199,0)),"",INDEX('Compliance Database'!$M$2:$M$1199,MATCH(6,Engine!$C$2:$C$1199,0)))</f>
        <v>• [Must] Environmental risk includes climate change, biodiversity loss, pollution, and land use changes
• [Must] Physical risk arises from weather events and long-term environmental changes</v>
      </c>
      <c r="N19" s="7" t="str">
        <f>IF(ISNA(MATCH(6,Engine!$C$2:$C$1199,0)),"",INDEX('Compliance Database'!$N$2:$N$1199,MATCH(6,Engine!$C$2:$C$1199,0)))</f>
        <v>• [Must] Transition risk arises from adjustments to environmentally sustainable economies
• [Must] Environmental risks impact insurers through financial and reputational channels</v>
      </c>
      <c r="O19" s="7" t="str">
        <f>IF(ISNA(MATCH(6,Engine!$C$2:$C$1199,0)),"",INDEX('Compliance Database'!$O$2:$O$1199,MATCH(6,Engine!$C$2:$C$1199,0)))</f>
        <v>Environmental risk arises from the potential adverse impact of changes in the environment on economic activities and human well-being.</v>
      </c>
      <c r="P19" s="6" t="str">
        <f>IF(ISNA(MATCH(6,Engine!$C$2:$C$1199,0)),"",HYPERLINK("#Acts!A"&amp;INDEX('Compliance Database'!$P$2:$P$1199,MATCH(6,Engine!$C$2:$C$1199,0)),"Go to Act"))</f>
        <v>Go to Act</v>
      </c>
    </row>
    <row r="20" spans="1:16" ht="172.95" customHeight="1" x14ac:dyDescent="0.3">
      <c r="A20" s="6" t="str">
        <f>IF(ISNA(MATCH(7,Engine!$C$2:$C$1199,0)),"",INDEX('Compliance Database'!$A$2:$A$1199,MATCH(7,Engine!$C$2:$C$1199,0)))</f>
        <v>Singapore</v>
      </c>
      <c r="B20" s="6" t="str">
        <f>IF(ISNA(MATCH(7,Engine!$C$2:$C$1199,0)),"",INDEX('Compliance Database'!$B$2:$B$1199,MATCH(7,Engine!$C$2:$C$1199,0)))</f>
        <v>Guidelines on Environmental Risk Management Insurers Dec 2020-2 (Singapore - Row 14)</v>
      </c>
      <c r="C20" s="6" t="str">
        <f>IF(ISNA(MATCH(7,Engine!$C$2:$C$1199,0)),"",INDEX('Compliance Database'!$C$2:$C$1199,MATCH(7,Engine!$C$2:$C$1199,0)))</f>
        <v>3</v>
      </c>
      <c r="D20" s="7" t="str">
        <f>IF(ISNA(MATCH(7,Engine!$C$2:$C$1199,0)),"",INDEX('Compliance Database'!$D$2:$D$1199,MATCH(7,Engine!$C$2:$C$1199,0)))</f>
        <v>Governance and Strategic Oversight for Environmental Risk</v>
      </c>
      <c r="E20" s="6" t="str">
        <f>IF(ISNA(MATCH(7,Engine!$C$2:$C$1199,0)),"",INDEX('Compliance Database'!$E$2:$E$1199,MATCH(7,Engine!$C$2:$C$1199,0)))</f>
        <v>5–7</v>
      </c>
      <c r="F20" s="6" t="str">
        <f>IF(ISNA(MATCH(7,Engine!$C$2:$C$1199,0)),"",INDEX('Compliance Database'!$F$2:$F$1199,MATCH(7,Engine!$C$2:$C$1199,0)))</f>
        <v>High</v>
      </c>
      <c r="G20" s="6" t="str">
        <f>IF(ISNA(MATCH(7,Engine!$C$2:$C$1199,0)),"",INDEX('Compliance Database'!$G$2:$G$1199,MATCH(7,Engine!$C$2:$C$1199,0)))</f>
        <v>High (explicit)</v>
      </c>
      <c r="H20" s="7" t="str">
        <f>IF(ISNA(MATCH(7,Engine!$C$2:$C$1199,0)),"",INDEX('Compliance Database'!$H$2:$H$1199,MATCH(7,Engine!$C$2:$C$1199,0)))</f>
        <v>Cross-border Transfer, International Processing, Data Storage, Security, Consent, Customer Information, Financial Data, KYC, AML, Governance, Record Keeping</v>
      </c>
      <c r="I20" s="7" t="str">
        <f>IF(ISNA(MATCH(7,Engine!$C$2:$C$1199,0)),"",INDEX('Compliance Database'!$I$2:$I$1199,MATCH(7,Engine!$C$2:$C$1199,0)))</f>
        <v>Financial Data, Customer Data</v>
      </c>
      <c r="J20" s="6" t="str">
        <f>IF(ISNA(MATCH(7,Engine!$C$2:$C$1199,0)),"",INDEX('Compliance Database'!$J$2:$J$1199,MATCH(7,Engine!$C$2:$C$1199,0)))</f>
        <v>MAS</v>
      </c>
      <c r="K20" s="7" t="str">
        <f>IF(ISNA(MATCH(7,Engine!$C$2:$C$1199,0)),"",INDEX('Compliance Database'!$K$2:$K$1199,MATCH(7,Engine!$C$2:$C$1199,0)))</f>
        <v>The Board and senior management must integrate environmental risk into business strategies and risk appetite frameworks. They are responsible for approving environmental risk management frameworks, ensuring material risks are addressed in risk appetite, and establishing clear roles for oversight. Insurers must maintain effective oversight of environmental risk disclosures and ensure directors understand environmental risks.</v>
      </c>
      <c r="L20" s="7" t="str">
        <f>IF(ISNA(MATCH(7,Engine!$C$2:$C$1199,0)),"",INDEX('Compliance Database'!$L$2:$L$1199,MATCH(7,Engine!$C$2:$C$1199,0)))</f>
        <v>This section mandates strong governance for environmental risk, requiring Board-level oversight and integration into risk appetite frameworks. It emphasizes the need for insurers to have clear accountability structures for managing environmental risks.</v>
      </c>
      <c r="M20" s="7" t="str">
        <f>IF(ISNA(MATCH(7,Engine!$C$2:$C$1199,0)),"",INDEX('Compliance Database'!$M$2:$M$1199,MATCH(7,Engine!$C$2:$C$1199,0)))</f>
        <v>• [Must] Board and senior management must incorporate environmental considerations into risk appetite and business plans
• [Must] Board must approve environmental risk management framework and policies
• [Must] Board must ensure environmental risk is addressed in risk appetite framework</v>
      </c>
      <c r="N20" s="7" t="str">
        <f>IF(ISNA(MATCH(7,Engine!$C$2:$C$1199,0)),"",INDEX('Compliance Database'!$N$2:$N$1199,MATCH(7,Engine!$C$2:$C$1199,0)))</f>
        <v>• [Must] Board must set clear roles and responsibilities for environmental risk oversight
• [Must] Senior management must develop and implement environmental risk management framework
• [Must] Senior management must review effectiveness of environmental risk framework regularly</v>
      </c>
      <c r="O20" s="7" t="str">
        <f>IF(ISNA(MATCH(7,Engine!$C$2:$C$1199,0)),"",INDEX('Compliance Database'!$O$2:$O$1199,MATCH(7,Engine!$C$2:$C$1199,0)))</f>
        <v>The Board of Directors (</v>
      </c>
      <c r="P20" s="6" t="str">
        <f>IF(ISNA(MATCH(7,Engine!$C$2:$C$1199,0)),"",HYPERLINK("#Acts!A"&amp;INDEX('Compliance Database'!$P$2:$P$1199,MATCH(7,Engine!$C$2:$C$1199,0)),"Go to Act"))</f>
        <v>Go to Act</v>
      </c>
    </row>
    <row r="21" spans="1:16" ht="172.95" customHeight="1" x14ac:dyDescent="0.3">
      <c r="A21" s="6" t="str">
        <f>IF(ISNA(MATCH(8,Engine!$C$2:$C$1199,0)),"",INDEX('Compliance Database'!$A$2:$A$1199,MATCH(8,Engine!$C$2:$C$1199,0)))</f>
        <v>Singapore</v>
      </c>
      <c r="B21" s="6" t="str">
        <f>IF(ISNA(MATCH(8,Engine!$C$2:$C$1199,0)),"",INDEX('Compliance Database'!$B$2:$B$1199,MATCH(8,Engine!$C$2:$C$1199,0)))</f>
        <v>Guidelines on Environmental Risk Management Insurers Dec 2020-2 (Singapore - Row 14)</v>
      </c>
      <c r="C21" s="6" t="str">
        <f>IF(ISNA(MATCH(8,Engine!$C$2:$C$1199,0)),"",INDEX('Compliance Database'!$C$2:$C$1199,MATCH(8,Engine!$C$2:$C$1199,0)))</f>
        <v>5</v>
      </c>
      <c r="D21" s="7" t="str">
        <f>IF(ISNA(MATCH(8,Engine!$C$2:$C$1199,0)),"",INDEX('Compliance Database'!$D$2:$D$1199,MATCH(8,Engine!$C$2:$C$1199,0)))</f>
        <v>Integrating environmental risk into underwriting processes</v>
      </c>
      <c r="E21" s="6" t="str">
        <f>IF(ISNA(MATCH(8,Engine!$C$2:$C$1199,0)),"",INDEX('Compliance Database'!$E$2:$E$1199,MATCH(8,Engine!$C$2:$C$1199,0)))</f>
        <v>9–11</v>
      </c>
      <c r="F21" s="6" t="str">
        <f>IF(ISNA(MATCH(8,Engine!$C$2:$C$1199,0)),"",INDEX('Compliance Database'!$F$2:$F$1199,MATCH(8,Engine!$C$2:$C$1199,0)))</f>
        <v>High</v>
      </c>
      <c r="G21" s="6" t="str">
        <f>IF(ISNA(MATCH(8,Engine!$C$2:$C$1199,0)),"",INDEX('Compliance Database'!$G$2:$G$1199,MATCH(8,Engine!$C$2:$C$1199,0)))</f>
        <v>High (explicit)</v>
      </c>
      <c r="H21" s="7">
        <f>IF(ISNA(MATCH(8,Engine!$C$2:$C$1199,0)),"",INDEX('Compliance Database'!$H$2:$H$1199,MATCH(8,Engine!$C$2:$C$1199,0)))</f>
        <v>0</v>
      </c>
      <c r="I21" s="7" t="str">
        <f>IF(ISNA(MATCH(8,Engine!$C$2:$C$1199,0)),"",INDEX('Compliance Database'!$I$2:$I$1199,MATCH(8,Engine!$C$2:$C$1199,0)))</f>
        <v>Financial Data</v>
      </c>
      <c r="J21" s="6">
        <f>IF(ISNA(MATCH(8,Engine!$C$2:$C$1199,0)),"",INDEX('Compliance Database'!$J$2:$J$1199,MATCH(8,Engine!$C$2:$C$1199,0)))</f>
        <v>0</v>
      </c>
      <c r="K21" s="7" t="str">
        <f>IF(ISNA(MATCH(8,Engine!$C$2:$C$1199,0)),"",INDEX('Compliance Database'!$K$2:$K$1199,MATCH(8,Engine!$C$2:$C$1199,0)))</f>
        <v>Underwriters must use external and proprietary sources to evaluate environmental impacts of transactions and collaborate with experts to improve data quality. Insurers must develop internal guidance for environmental risk detection and escalation, embedding these processes within their underwriting policies. Environmental risk appetite and procedures may require customization to align with existing risk management frameworks.</v>
      </c>
      <c r="L21" s="7" t="str">
        <f>IF(ISNA(MATCH(8,Engine!$C$2:$C$1199,0)),"",INDEX('Compliance Database'!$L$2:$L$1199,MATCH(8,Engine!$C$2:$C$1199,0)))</f>
        <v>Requires insurers to assess environmental risks during underwriting, including customer's risk management capacity and climate transition impacts, which affects cross-border data transfers if environmental risk assessments involve international data flows.</v>
      </c>
      <c r="M21" s="7" t="str">
        <f>IF(ISNA(MATCH(8,Engine!$C$2:$C$1199,0)),"",INDEX('Compliance Database'!$M$2:$M$1199,MATCH(8,Engine!$C$2:$C$1199,0)))</f>
        <v>• [Must] Underwriters should check potential environmental impact of transactions using publicly available and proprietary sources
• [Must] Insurers should develop internal guidance for environmental risk detection and escalation</v>
      </c>
      <c r="N21" s="7" t="str">
        <f>IF(ISNA(MATCH(8,Engine!$C$2:$C$1199,0)),"",INDEX('Compliance Database'!$N$2:$N$1199,MATCH(8,Engine!$C$2:$C$1199,0)))</f>
        <v>• [May] Environmental risk appetite and processes may require greater customisation to fit existing risk management processes</v>
      </c>
      <c r="O21" s="7" t="str">
        <f>IF(ISNA(MATCH(8,Engine!$C$2:$C$1199,0)),"",INDEX('Compliance Database'!$O$2:$O$1199,MATCH(8,Engine!$C$2:$C$1199,0)))</f>
        <v>Underwriters should be provided with the means to check the potential impact of the proposed transaction on the environment, from both publicly available and proprietary sources, and work with external experts to enhance the quality of data collected to better understand a customer's environmental risk profile.</v>
      </c>
      <c r="P21" s="6" t="str">
        <f>IF(ISNA(MATCH(8,Engine!$C$2:$C$1199,0)),"",HYPERLINK("#Acts!A"&amp;INDEX('Compliance Database'!$P$2:$P$1199,MATCH(8,Engine!$C$2:$C$1199,0)),"Go to Act"))</f>
        <v>Go to Act</v>
      </c>
    </row>
    <row r="22" spans="1:16" ht="172.95" customHeight="1" x14ac:dyDescent="0.3">
      <c r="A22" s="6" t="str">
        <f>IF(ISNA(MATCH(9,Engine!$C$2:$C$1199,0)),"",INDEX('Compliance Database'!$A$2:$A$1199,MATCH(9,Engine!$C$2:$C$1199,0)))</f>
        <v>Singapore</v>
      </c>
      <c r="B22" s="6" t="str">
        <f>IF(ISNA(MATCH(9,Engine!$C$2:$C$1199,0)),"",INDEX('Compliance Database'!$B$2:$B$1199,MATCH(9,Engine!$C$2:$C$1199,0)))</f>
        <v>Guidelines on Environmental Risk Management Insurers Dec 2020-2 (Singapore - Row 14)</v>
      </c>
      <c r="C22" s="6" t="str">
        <f>IF(ISNA(MATCH(9,Engine!$C$2:$C$1199,0)),"",INDEX('Compliance Database'!$C$2:$C$1199,MATCH(9,Engine!$C$2:$C$1199,0)))</f>
        <v>6</v>
      </c>
      <c r="D22" s="7" t="str">
        <f>IF(ISNA(MATCH(9,Engine!$C$2:$C$1199,0)),"",INDEX('Compliance Database'!$D$2:$D$1199,MATCH(9,Engine!$C$2:$C$1199,0)))</f>
        <v>Ongoing environmental risk monitoring for investments</v>
      </c>
      <c r="E22" s="6" t="str">
        <f>IF(ISNA(MATCH(9,Engine!$C$2:$C$1199,0)),"",INDEX('Compliance Database'!$E$2:$E$1199,MATCH(9,Engine!$C$2:$C$1199,0)))</f>
        <v>11–12</v>
      </c>
      <c r="F22" s="6" t="str">
        <f>IF(ISNA(MATCH(9,Engine!$C$2:$C$1199,0)),"",INDEX('Compliance Database'!$F$2:$F$1199,MATCH(9,Engine!$C$2:$C$1199,0)))</f>
        <v>High</v>
      </c>
      <c r="G22" s="6" t="str">
        <f>IF(ISNA(MATCH(9,Engine!$C$2:$C$1199,0)),"",INDEX('Compliance Database'!$G$2:$G$1199,MATCH(9,Engine!$C$2:$C$1199,0)))</f>
        <v>High (explicit)</v>
      </c>
      <c r="H22" s="7">
        <f>IF(ISNA(MATCH(9,Engine!$C$2:$C$1199,0)),"",INDEX('Compliance Database'!$H$2:$H$1199,MATCH(9,Engine!$C$2:$C$1199,0)))</f>
        <v>0</v>
      </c>
      <c r="I22" s="7" t="str">
        <f>IF(ISNA(MATCH(9,Engine!$C$2:$C$1199,0)),"",INDEX('Compliance Database'!$I$2:$I$1199,MATCH(9,Engine!$C$2:$C$1199,0)))</f>
        <v>Financial Data</v>
      </c>
      <c r="J22" s="6">
        <f>IF(ISNA(MATCH(9,Engine!$C$2:$C$1199,0)),"",INDEX('Compliance Database'!$J$2:$J$1199,MATCH(9,Engine!$C$2:$C$1199,0)))</f>
        <v>0</v>
      </c>
      <c r="K22" s="7" t="str">
        <f>IF(ISNA(MATCH(9,Engine!$C$2:$C$1199,0)),"",INDEX('Compliance Database'!$K$2:$K$1199,MATCH(9,Engine!$C$2:$C$1199,0)))</f>
        <v>Insurers must continuously monitor environmental risks across investments and portfolios, using both macro and granular approaches. They should track environmental impacts, develop metrics for risk assessment, and reassess investments following significant environmental events or regulatory changes. Insurers must document and escalate material environmental risks through internal processes.</v>
      </c>
      <c r="L22" s="7" t="str">
        <f>IF(ISNA(MATCH(9,Engine!$C$2:$C$1199,0)),"",INDEX('Compliance Database'!$L$2:$L$1199,MATCH(9,Engine!$C$2:$C$1199,0)))</f>
        <v>Mandates continuous environmental risk monitoring for investment portfolios, which impacts data transfers if environmental risk assessments require cross-border data flows or international climate data.</v>
      </c>
      <c r="M22" s="7" t="str">
        <f>IF(ISNA(MATCH(9,Engine!$C$2:$C$1199,0)),"",INDEX('Compliance Database'!$M$2:$M$1199,MATCH(9,Engine!$C$2:$C$1199,0)))</f>
        <v>• [Must] Insurers should monitor potential and actual environmental impact on investments and portfolios on an ongoing basis
• [Should] Insurers should consider environmental impacts from both macro and granular asset selection perspectives
• [Should] Insurers should develop metrics to indicate environmental risk in investment portfolios
• [Should] Insurers should monitor evolution of environmental risk metrics to assess effectiveness of actions</v>
      </c>
      <c r="N22" s="7" t="str">
        <f>IF(ISNA(MATCH(9,Engine!$C$2:$C$1199,0)),"",INDEX('Compliance Database'!$N$2:$N$1199,MATCH(9,Engine!$C$2:$C$1199,0)))</f>
        <v>• [May] Insurers may use proprietary information, research, models, and ratings to inform portfolio analysis
• [Should] Insurers should reassess risk and return profiles following significant environmental events or regulatory changes
• [Must] Insurers must escalate material environmental risk exposures through internal processes</v>
      </c>
      <c r="O22" s="7" t="str">
        <f>IF(ISNA(MATCH(9,Engine!$C$2:$C$1199,0)),"",INDEX('Compliance Database'!$O$2:$O$1199,MATCH(9,Engine!$C$2:$C$1199,0)))</f>
        <v>Insurers should put in place appropriate processes and systems to monitor, assess and manage the potential and actual impact of environmental risk on individual investments and portfolios on an ongoing basis, where material.</v>
      </c>
      <c r="P22" s="6" t="str">
        <f>IF(ISNA(MATCH(9,Engine!$C$2:$C$1199,0)),"",HYPERLINK("#Acts!A"&amp;INDEX('Compliance Database'!$P$2:$P$1199,MATCH(9,Engine!$C$2:$C$1199,0)),"Go to Act"))</f>
        <v>Go to Act</v>
      </c>
    </row>
    <row r="23" spans="1:16" ht="172.95" customHeight="1" x14ac:dyDescent="0.3">
      <c r="A23" s="6" t="str">
        <f>IF(ISNA(MATCH(10,Engine!$C$2:$C$1199,0)),"",INDEX('Compliance Database'!$A$2:$A$1199,MATCH(10,Engine!$C$2:$C$1199,0)))</f>
        <v>Singapore</v>
      </c>
      <c r="B23" s="6" t="str">
        <f>IF(ISNA(MATCH(10,Engine!$C$2:$C$1199,0)),"",INDEX('Compliance Database'!$B$2:$B$1199,MATCH(10,Engine!$C$2:$C$1199,0)))</f>
        <v>Guidelines on Environmental Risk Management Insurers Dec 2020-2 (Singapore - Row 14)</v>
      </c>
      <c r="C23" s="6" t="str">
        <f>IF(ISNA(MATCH(10,Engine!$C$2:$C$1199,0)),"",INDEX('Compliance Database'!$C$2:$C$1199,MATCH(10,Engine!$C$2:$C$1199,0)))</f>
        <v>7</v>
      </c>
      <c r="D23" s="7" t="str">
        <f>IF(ISNA(MATCH(10,Engine!$C$2:$C$1199,0)),"",INDEX('Compliance Database'!$D$2:$D$1199,MATCH(10,Engine!$C$2:$C$1199,0)))</f>
        <v>Environmental risk disclosure requirements</v>
      </c>
      <c r="E23" s="6" t="str">
        <f>IF(ISNA(MATCH(10,Engine!$C$2:$C$1199,0)),"",INDEX('Compliance Database'!$E$2:$E$1199,MATCH(10,Engine!$C$2:$C$1199,0)))</f>
        <v>12–13</v>
      </c>
      <c r="F23" s="6" t="str">
        <f>IF(ISNA(MATCH(10,Engine!$C$2:$C$1199,0)),"",INDEX('Compliance Database'!$F$2:$F$1199,MATCH(10,Engine!$C$2:$C$1199,0)))</f>
        <v>High</v>
      </c>
      <c r="G23" s="6" t="str">
        <f>IF(ISNA(MATCH(10,Engine!$C$2:$C$1199,0)),"",INDEX('Compliance Database'!$G$2:$G$1199,MATCH(10,Engine!$C$2:$C$1199,0)))</f>
        <v>High (explicit)</v>
      </c>
      <c r="H23" s="7">
        <f>IF(ISNA(MATCH(10,Engine!$C$2:$C$1199,0)),"",INDEX('Compliance Database'!$H$2:$H$1199,MATCH(10,Engine!$C$2:$C$1199,0)))</f>
        <v>0</v>
      </c>
      <c r="I23" s="7" t="str">
        <f>IF(ISNA(MATCH(10,Engine!$C$2:$C$1199,0)),"",INDEX('Compliance Database'!$I$2:$I$1199,MATCH(10,Engine!$C$2:$C$1199,0)))</f>
        <v>Financial Data</v>
      </c>
      <c r="J23" s="6">
        <f>IF(ISNA(MATCH(10,Engine!$C$2:$C$1199,0)),"",INDEX('Compliance Database'!$J$2:$J$1199,MATCH(10,Engine!$C$2:$C$1199,0)))</f>
        <v>0</v>
      </c>
      <c r="K23" s="7" t="str">
        <f>IF(ISNA(MATCH(10,Engine!$C$2:$C$1199,0)),"",INDEX('Compliance Database'!$K$2:$K$1199,MATCH(10,Engine!$C$2:$C$1199,0)))</f>
        <v>Insurers must disclose their environmental risk management approach annually to stakeholders, including quantitative metrics on sectoral exposures. Disclosures should align with international frameworks like TCFD, covering governance, strategy, risk management, and metrics. Insurers must review disclosures regularly to ensure comprehensiveness and relevance.</v>
      </c>
      <c r="L23" s="7" t="str">
        <f>IF(ISNA(MATCH(10,Engine!$C$2:$C$1199,0)),"",INDEX('Compliance Database'!$L$2:$L$1199,MATCH(10,Engine!$C$2:$C$1199,0)))</f>
        <v>Requires insurers to disclose environmental risk management practices, which may involve cross-border data transfers if disclosures include international climate data or financial metrics.</v>
      </c>
      <c r="M23" s="7" t="str">
        <f>IF(ISNA(MATCH(10,Engine!$C$2:$C$1199,0)),"",INDEX('Compliance Database'!$M$2:$M$1199,MATCH(10,Engine!$C$2:$C$1199,0)))</f>
        <v>• [Must] Insurers should disclose environmental risk management approach annually to stakeholders
• [Must] Disclosures should include potential impact of material environmental risk on the insurer</v>
      </c>
      <c r="N23" s="7" t="str">
        <f>IF(ISNA(MATCH(10,Engine!$C$2:$C$1199,0)),"",INDEX('Compliance Database'!$N$2:$N$1199,MATCH(10,Engine!$C$2:$C$1199,0)))</f>
        <v>• [Must] Disclosures should align with TCFD recommendations on governance, strategy, risk management, and metrics
• [Should] Insurers should review disclosures regularly to improve comprehensiveness and relevance</v>
      </c>
      <c r="O23" s="7" t="str">
        <f>IF(ISNA(MATCH(10,Engine!$C$2:$C$1199,0)),"",INDEX('Compliance Database'!$O$2:$O$1199,MATCH(10,Engine!$C$2:$C$1199,0)))</f>
        <v>The insurer should, at least on an annual basis, disclose its approach to managing environmental risk in a manner that is clear and meaningful to its stakeholders.</v>
      </c>
      <c r="P23" s="6" t="str">
        <f>IF(ISNA(MATCH(10,Engine!$C$2:$C$1199,0)),"",HYPERLINK("#Acts!A"&amp;INDEX('Compliance Database'!$P$2:$P$1199,MATCH(10,Engine!$C$2:$C$1199,0)),"Go to Act"))</f>
        <v>Go to Act</v>
      </c>
    </row>
    <row r="24" spans="1:16" ht="172.95" customHeight="1" x14ac:dyDescent="0.3">
      <c r="A24" s="6" t="str">
        <f>IF(ISNA(MATCH(11,Engine!$C$2:$C$1199,0)),"",INDEX('Compliance Database'!$A$2:$A$1199,MATCH(11,Engine!$C$2:$C$1199,0)))</f>
        <v>Singapore</v>
      </c>
      <c r="B24" s="6" t="str">
        <f>IF(ISNA(MATCH(11,Engine!$C$2:$C$1199,0)),"",INDEX('Compliance Database'!$B$2:$B$1199,MATCH(11,Engine!$C$2:$C$1199,0)))</f>
        <v>ID18_24 (Singapore - Row 12)</v>
      </c>
      <c r="C24" s="6" t="str">
        <f>IF(ISNA(MATCH(11,Engine!$C$2:$C$1199,0)),"",INDEX('Compliance Database'!$C$2:$C$1199,MATCH(11,Engine!$C$2:$C$1199,0)))</f>
        <v>p1</v>
      </c>
      <c r="D24" s="7" t="str">
        <f>IF(ISNA(MATCH(11,Engine!$C$2:$C$1199,0)),"",INDEX('Compliance Database'!$D$2:$D$1199,MATCH(11,Engine!$C$2:$C$1199,0)))</f>
        <v>MAS publishes AI model risk management information paper for insurers</v>
      </c>
      <c r="E24" s="6" t="str">
        <f>IF(ISNA(MATCH(11,Engine!$C$2:$C$1199,0)),"",INDEX('Compliance Database'!$E$2:$E$1199,MATCH(11,Engine!$C$2:$C$1199,0)))</f>
        <v>1</v>
      </c>
      <c r="F24" s="6" t="str">
        <f>IF(ISNA(MATCH(11,Engine!$C$2:$C$1199,0)),"",INDEX('Compliance Database'!$F$2:$F$1199,MATCH(11,Engine!$C$2:$C$1199,0)))</f>
        <v>High</v>
      </c>
      <c r="G24" s="6" t="str">
        <f>IF(ISNA(MATCH(11,Engine!$C$2:$C$1199,0)),"",INDEX('Compliance Database'!$G$2:$G$1199,MATCH(11,Engine!$C$2:$C$1199,0)))</f>
        <v>High (explicit)</v>
      </c>
      <c r="H24" s="7" t="str">
        <f>IF(ISNA(MATCH(11,Engine!$C$2:$C$1199,0)),"",INDEX('Compliance Database'!$H$2:$H$1199,MATCH(11,Engine!$C$2:$C$1199,0)))</f>
        <v>Governance</v>
      </c>
      <c r="I24" s="7" t="str">
        <f>IF(ISNA(MATCH(11,Engine!$C$2:$C$1199,0)),"",INDEX('Compliance Database'!$I$2:$I$1199,MATCH(11,Engine!$C$2:$C$1199,0)))</f>
        <v>Customer Data</v>
      </c>
      <c r="J24" s="6" t="str">
        <f>IF(ISNA(MATCH(11,Engine!$C$2:$C$1199,0)),"",INDEX('Compliance Database'!$J$2:$J$1199,MATCH(11,Engine!$C$2:$C$1199,0)))</f>
        <v>Monetary Authority of Singapore (MAS)</v>
      </c>
      <c r="K24" s="7" t="str">
        <f>IF(ISNA(MATCH(11,Engine!$C$2:$C$1199,0)),"",INDEX('Compliance Database'!$K$2:$K$1199,MATCH(11,Engine!$C$2:$C$1199,0)))</f>
        <v>The Monetary Authority of Singapore (MAS) released an information paper outlining good practices for AI model risk management, specifically targeting licensed insurers and Lloyd's Asia Scheme members. The paper focuses on governance, oversight, risk management systems, and AI development/deployment practices observed during a thematic review of financial institutions' AI practices in mid-2024. MAS encourages financial institutions to adopt these practices when developing and deploying AI systems.</v>
      </c>
      <c r="L24" s="7" t="str">
        <f>IF(ISNA(MATCH(11,Engine!$C$2:$C$1199,0)),"",INDEX('Compliance Database'!$L$2:$L$1199,MATCH(11,Engine!$C$2:$C$1199,0)))</f>
        <v>This information paper provides guidance on AI model risk management practices relevant to data processing activities involving AI systems, which may impact data transfer considerations when deploying AI models across borders.</v>
      </c>
      <c r="M24" s="7" t="str">
        <f>IF(ISNA(MATCH(11,Engine!$C$2:$C$1199,0)),"",INDEX('Compliance Database'!$M$2:$M$1199,MATCH(11,Engine!$C$2:$C$1199,0)))</f>
        <v>• [Must] MAS published an information paper on AI model risk management for licensed insurers and Lloyd's Asia Scheme
• [Must] The information paper focuses on governance and oversight of AI model risk management</v>
      </c>
      <c r="N24" s="7" t="str">
        <f>IF(ISNA(MATCH(11,Engine!$C$2:$C$1199,0)),"",INDEX('Compliance Database'!$N$2:$N$1199,MATCH(11,Engine!$C$2:$C$1199,0)))</f>
        <v>• [Must] The information paper covers key risk management systems and processes for AI development and deployment
• [Must] MAS encourages financial institutions to reference these good practices when developing and deploying AI</v>
      </c>
      <c r="O24" s="7" t="str">
        <f>IF(ISNA(MATCH(11,Engine!$C$2:$C$1199,0)),"",INDEX('Compliance Database'!$O$2:$O$1199,MATCH(11,Engine!$C$2:$C$1199,0)))</f>
        <v>Circular No: ID 18/24
5 December 2024
To Chief Executives
All Licensed Insurers and Lloyd's Asia Scheme
MAS has published an information paper on "Artificial Intelligence (AI) Model Risk Management"</v>
      </c>
      <c r="P24" s="6" t="str">
        <f>IF(ISNA(MATCH(11,Engine!$C$2:$C$1199,0)),"",HYPERLINK("#Acts!A"&amp;INDEX('Compliance Database'!$P$2:$P$1199,MATCH(11,Engine!$C$2:$C$1199,0)),"Go to Act"))</f>
        <v>Go to Act</v>
      </c>
    </row>
    <row r="25" spans="1:16" ht="172.95" customHeight="1" x14ac:dyDescent="0.3">
      <c r="A25" s="6" t="str">
        <f>IF(ISNA(MATCH(12,Engine!$C$2:$C$1199,0)),"",INDEX('Compliance Database'!$A$2:$A$1199,MATCH(12,Engine!$C$2:$C$1199,0)))</f>
        <v>Singapore</v>
      </c>
      <c r="B25" s="6" t="str">
        <f>IF(ISNA(MATCH(12,Engine!$C$2:$C$1199,0)),"",INDEX('Compliance Database'!$B$2:$B$1199,MATCH(12,Engine!$C$2:$C$1199,0)))</f>
        <v>ID18_24-2 (Singapore - Row 21)</v>
      </c>
      <c r="C25" s="6" t="str">
        <f>IF(ISNA(MATCH(12,Engine!$C$2:$C$1199,0)),"",INDEX('Compliance Database'!$C$2:$C$1199,MATCH(12,Engine!$C$2:$C$1199,0)))</f>
        <v>p1</v>
      </c>
      <c r="D25" s="7" t="str">
        <f>IF(ISNA(MATCH(12,Engine!$C$2:$C$1199,0)),"",INDEX('Compliance Database'!$D$2:$D$1199,MATCH(12,Engine!$C$2:$C$1199,0)))</f>
        <v>MAS publishes AI model risk management information paper for insurers</v>
      </c>
      <c r="E25" s="6" t="str">
        <f>IF(ISNA(MATCH(12,Engine!$C$2:$C$1199,0)),"",INDEX('Compliance Database'!$E$2:$E$1199,MATCH(12,Engine!$C$2:$C$1199,0)))</f>
        <v>1</v>
      </c>
      <c r="F25" s="6" t="str">
        <f>IF(ISNA(MATCH(12,Engine!$C$2:$C$1199,0)),"",INDEX('Compliance Database'!$F$2:$F$1199,MATCH(12,Engine!$C$2:$C$1199,0)))</f>
        <v>High</v>
      </c>
      <c r="G25" s="6" t="str">
        <f>IF(ISNA(MATCH(12,Engine!$C$2:$C$1199,0)),"",INDEX('Compliance Database'!$G$2:$G$1199,MATCH(12,Engine!$C$2:$C$1199,0)))</f>
        <v>High (explicit)</v>
      </c>
      <c r="H25" s="7" t="str">
        <f>IF(ISNA(MATCH(12,Engine!$C$2:$C$1199,0)),"",INDEX('Compliance Database'!$H$2:$H$1199,MATCH(12,Engine!$C$2:$C$1199,0)))</f>
        <v>Governance</v>
      </c>
      <c r="I25" s="7" t="str">
        <f>IF(ISNA(MATCH(12,Engine!$C$2:$C$1199,0)),"",INDEX('Compliance Database'!$I$2:$I$1199,MATCH(12,Engine!$C$2:$C$1199,0)))</f>
        <v>Financial Data</v>
      </c>
      <c r="J25" s="6" t="str">
        <f>IF(ISNA(MATCH(12,Engine!$C$2:$C$1199,0)),"",INDEX('Compliance Database'!$J$2:$J$1199,MATCH(12,Engine!$C$2:$C$1199,0)))</f>
        <v>Monetary Authority of Singapore (MAS)</v>
      </c>
      <c r="K25" s="7" t="str">
        <f>IF(ISNA(MATCH(12,Engine!$C$2:$C$1199,0)),"",INDEX('Compliance Database'!$K$2:$K$1199,MATCH(12,Engine!$C$2:$C$1199,0)))</f>
        <v>The Monetary Authority of Singapore (MAS) released an information paper outlining good practices for AI model risk management, specifically targeting licensed insurers and Lloyd's Asia Scheme members. The paper focuses on governance, oversight, risk management systems, and AI development/deployment practices observed during a thematic review of financial institutions' AI practices in mid-2024. MAS encourages financial institutions to adopt these practices when implementing AI systems.</v>
      </c>
      <c r="L25" s="7" t="str">
        <f>IF(ISNA(MATCH(12,Engine!$C$2:$C$1199,0)),"",INDEX('Compliance Database'!$L$2:$L$1199,MATCH(12,Engine!$C$2:$C$1199,0)))</f>
        <v>This section provides guidance on AI model risk management practices relevant to financial institutions, which may impact data transfer considerations when deploying AI systems across borders.</v>
      </c>
      <c r="M25" s="7" t="str">
        <f>IF(ISNA(MATCH(12,Engine!$C$2:$C$1199,0)),"",INDEX('Compliance Database'!$M$2:$M$1199,MATCH(12,Engine!$C$2:$C$1199,0)))</f>
        <v>• [Must] MAS published an information paper on AI model risk management for licensed insurers and Lloyd's Asia Scheme
• [Must] The information paper focuses on governance and oversight, key risk management systems, and AI development/deployment practices</v>
      </c>
      <c r="N25" s="7" t="str">
        <f>IF(ISNA(MATCH(12,Engine!$C$2:$C$1199,0)),"",INDEX('Compliance Database'!$N$2:$N$1199,MATCH(12,Engine!$C$2:$C$1199,0)))</f>
        <v>• [Should] MAS encourages financial institutions to reference these good practices when developing and deploying AI</v>
      </c>
      <c r="O25" s="7" t="str">
        <f>IF(ISNA(MATCH(12,Engine!$C$2:$C$1199,0)),"",INDEX('Compliance Database'!$O$2:$O$1199,MATCH(12,Engine!$C$2:$C$1199,0)))</f>
        <v>Circular No: ID 18/24
5 December 2024
To Chief Executives
All Licensed Insurers and Lloyd's Asia Scheme</v>
      </c>
      <c r="P25" s="6" t="str">
        <f>IF(ISNA(MATCH(12,Engine!$C$2:$C$1199,0)),"",HYPERLINK("#Acts!A"&amp;INDEX('Compliance Database'!$P$2:$P$1199,MATCH(12,Engine!$C$2:$C$1199,0)),"Go to Act"))</f>
        <v>Go to Act</v>
      </c>
    </row>
    <row r="26" spans="1:16" ht="172.95" customHeight="1" x14ac:dyDescent="0.3">
      <c r="A26" s="6" t="str">
        <f>IF(ISNA(MATCH(13,Engine!$C$2:$C$1199,0)),"",INDEX('Compliance Database'!$A$2:$A$1199,MATCH(13,Engine!$C$2:$C$1199,0)))</f>
        <v>Singapore</v>
      </c>
      <c r="B26" s="6" t="str">
        <f>IF(ISNA(MATCH(13,Engine!$C$2:$C$1199,0)),"",INDEX('Compliance Database'!$B$2:$B$1199,MATCH(13,Engine!$C$2:$C$1199,0)))</f>
        <v>MAS Notice FSM-N21 (Singapore - Row 32)</v>
      </c>
      <c r="C26" s="6" t="str">
        <f>IF(ISNA(MATCH(13,Engine!$C$2:$C$1199,0)),"",INDEX('Compliance Database'!$C$2:$C$1199,MATCH(13,Engine!$C$2:$C$1199,0)))</f>
        <v>1</v>
      </c>
      <c r="D26" s="7" t="str">
        <f>IF(ISNA(MATCH(13,Engine!$C$2:$C$1199,0)),"",INDEX('Compliance Database'!$D$2:$D$1199,MATCH(13,Engine!$C$2:$C$1199,0)))</f>
        <v>Scope of Financial Services Act 2022 Compliance</v>
      </c>
      <c r="E26" s="6" t="str">
        <f>IF(ISNA(MATCH(13,Engine!$C$2:$C$1199,0)),"",INDEX('Compliance Database'!$E$2:$E$1199,MATCH(13,Engine!$C$2:$C$1199,0)))</f>
        <v>1</v>
      </c>
      <c r="F26" s="6" t="str">
        <f>IF(ISNA(MATCH(13,Engine!$C$2:$C$1199,0)),"",INDEX('Compliance Database'!$F$2:$F$1199,MATCH(13,Engine!$C$2:$C$1199,0)))</f>
        <v>High</v>
      </c>
      <c r="G26" s="6" t="str">
        <f>IF(ISNA(MATCH(13,Engine!$C$2:$C$1199,0)),"",INDEX('Compliance Database'!$G$2:$G$1199,MATCH(13,Engine!$C$2:$C$1199,0)))</f>
        <v>High (explicit)</v>
      </c>
      <c r="H26" s="7" t="str">
        <f>IF(ISNA(MATCH(13,Engine!$C$2:$C$1199,0)),"",INDEX('Compliance Database'!$H$2:$H$1199,MATCH(13,Engine!$C$2:$C$1199,0)))</f>
        <v>Financial Data, Customer Information, Employee Information, Special Personal Information</v>
      </c>
      <c r="I26" s="7" t="str">
        <f>IF(ISNA(MATCH(13,Engine!$C$2:$C$1199,0)),"",INDEX('Compliance Database'!$I$2:$I$1199,MATCH(13,Engine!$C$2:$C$1199,0)))</f>
        <v>Financial Data, Customer Data</v>
      </c>
      <c r="J26" s="6">
        <f>IF(ISNA(MATCH(13,Engine!$C$2:$C$1199,0)),"",INDEX('Compliance Database'!$J$2:$J$1199,MATCH(13,Engine!$C$2:$C$1199,0)))</f>
        <v>0</v>
      </c>
      <c r="K26" s="7" t="str">
        <f>IF(ISNA(MATCH(13,Engine!$C$2:$C$1199,0)),"",INDEX('Compliance Database'!$K$2:$K$1199,MATCH(13,Engine!$C$2:$C$1199,0)))</f>
        <v>This section defines which financial institutions are subject to the Notice. It specifies that approved exchanges, licensed trade repositories, approved clearing houses, recognised clearing houses, capital markets services license holders, recognised market operators, trustees for collective investment schemes, authorised benchmark administrators, and authorised benchmark submitters under the Securities and Futures Act 2001 are covered. The Notice applies to these entities as 'specified financial institutions'.</v>
      </c>
      <c r="L26" s="7">
        <f>IF(ISNA(MATCH(13,Engine!$C$2:$C$1199,0)),"",INDEX('Compliance Database'!$L$2:$L$1199,MATCH(13,Engine!$C$2:$C$1199,0)))</f>
        <v>0</v>
      </c>
      <c r="M26" s="7" t="str">
        <f>IF(ISNA(MATCH(13,Engine!$C$2:$C$1199,0)),"",INDEX('Compliance Database'!$M$2:$M$1199,MATCH(13,Engine!$C$2:$C$1199,0)))</f>
        <v>• [Must] Approved exchanges under Securities and Futures Act 2001 are covered
• [Must] Licensed trade repositories under Securities and Futures Act 2001 are covered
• [Must] Approved clearing houses under Securities and Futures Act 2001 are covered
• [Must] Recognised clearing houses incorporated in Singapore are covered
• [Must] Holders of capital markets services licences under Securities and Futures Act 2001 are covered
• [Must] Recognised market operators incorporated in Singapore are covered</v>
      </c>
      <c r="N26" s="7" t="str">
        <f>IF(ISNA(MATCH(13,Engine!$C$2:$C$1199,0)),"",INDEX('Compliance Database'!$N$2:$N$1199,MATCH(13,Engine!$C$2:$C$1199,0)))</f>
        <v>• [Must] Trustees for collective investment schemes authorised under section 286 of Securities and Futures Act 2001 are covered
• [Must] Authorised benchmark administrators under Securities and Futures Act 2001 are covered
• [Must] Authorised benchmark submitters under Securities and Futures Act 2001 are covered
• [Must] Designated benchmark submitters under Securities and Futures Act 2001 are covered
• [Must] Depository as defined in section 81SF of Securities and Futures Act 2001 is covered</v>
      </c>
      <c r="O26" s="7" t="str">
        <f>IF(ISNA(MATCH(13,Engine!$C$2:$C$1199,0)),"",INDEX('Compliance Database'!$O$2:$O$1199,MATCH(13,Engine!$C$2:$C$1199,0)))</f>
        <v>This Notice is issued pursuant to section 29(1) of the Financial Services and Markets Act 2022 (the "Act") and applies to all the following financial institutions: (a) approved exchanges under the Securities and Futures Act 2001 ("SFA"); (b) licensed trade repositories under the SFA; (c) approved clearing houses under the SFA; (d) recognised clearing houses under the SFA which are incorporated in Singapore; (e) holders of a capital markets services licence under the SFA; (f) recognised market operators under the SFA which are incorporated in Singapore; (g) trustees for a collective investment scheme authorised under section 286 of the SFA, that are approved under the SFA; (h) authorised benchmark administrators under the SFA; (i) authorised benchmark submitters under the SFA; (j) designated benchmark submitters under the SFA; (k) the Depository as defined in section 81SF of the SFA, (each a "specified financial institution").</v>
      </c>
      <c r="P26" s="6" t="str">
        <f>IF(ISNA(MATCH(13,Engine!$C$2:$C$1199,0)),"",HYPERLINK("#Acts!A"&amp;INDEX('Compliance Database'!$P$2:$P$1199,MATCH(13,Engine!$C$2:$C$1199,0)),"Go to Act"))</f>
        <v>Go to Act</v>
      </c>
    </row>
    <row r="27" spans="1:16" ht="172.95" customHeight="1" x14ac:dyDescent="0.3">
      <c r="A27" s="6" t="str">
        <f>IF(ISNA(MATCH(14,Engine!$C$2:$C$1199,0)),"",INDEX('Compliance Database'!$A$2:$A$1199,MATCH(14,Engine!$C$2:$C$1199,0)))</f>
        <v>Singapore</v>
      </c>
      <c r="B27" s="6" t="str">
        <f>IF(ISNA(MATCH(14,Engine!$C$2:$C$1199,0)),"",INDEX('Compliance Database'!$B$2:$B$1199,MATCH(14,Engine!$C$2:$C$1199,0)))</f>
        <v>MAS Notice FSM-N21 (Singapore - Row 32)</v>
      </c>
      <c r="C27" s="6" t="str">
        <f>IF(ISNA(MATCH(14,Engine!$C$2:$C$1199,0)),"",INDEX('Compliance Database'!$C$2:$C$1199,MATCH(14,Engine!$C$2:$C$1199,0)))</f>
        <v>2</v>
      </c>
      <c r="D27" s="7" t="str">
        <f>IF(ISNA(MATCH(14,Engine!$C$2:$C$1199,0)),"",INDEX('Compliance Database'!$D$2:$D$1199,MATCH(14,Engine!$C$2:$C$1199,0)))</f>
        <v>Critical Systems and Incident Definitions</v>
      </c>
      <c r="E27" s="6" t="str">
        <f>IF(ISNA(MATCH(14,Engine!$C$2:$C$1199,0)),"",INDEX('Compliance Database'!$E$2:$E$1199,MATCH(14,Engine!$C$2:$C$1199,0)))</f>
        <v>1–2</v>
      </c>
      <c r="F27" s="6" t="str">
        <f>IF(ISNA(MATCH(14,Engine!$C$2:$C$1199,0)),"",INDEX('Compliance Database'!$F$2:$F$1199,MATCH(14,Engine!$C$2:$C$1199,0)))</f>
        <v>High</v>
      </c>
      <c r="G27" s="6" t="str">
        <f>IF(ISNA(MATCH(14,Engine!$C$2:$C$1199,0)),"",INDEX('Compliance Database'!$G$2:$G$1199,MATCH(14,Engine!$C$2:$C$1199,0)))</f>
        <v>High (explicit)</v>
      </c>
      <c r="H27" s="7" t="str">
        <f>IF(ISNA(MATCH(14,Engine!$C$2:$C$1199,0)),"",INDEX('Compliance Database'!$H$2:$H$1199,MATCH(14,Engine!$C$2:$C$1199,0)))</f>
        <v>Incident Reporting, Breach Notification</v>
      </c>
      <c r="I27" s="7" t="str">
        <f>IF(ISNA(MATCH(14,Engine!$C$2:$C$1199,0)),"",INDEX('Compliance Database'!$I$2:$I$1199,MATCH(14,Engine!$C$2:$C$1199,0)))</f>
        <v>Financial Data</v>
      </c>
      <c r="J27" s="6">
        <f>IF(ISNA(MATCH(14,Engine!$C$2:$C$1199,0)),"",INDEX('Compliance Database'!$J$2:$J$1199,MATCH(14,Engine!$C$2:$C$1199,0)))</f>
        <v>0</v>
      </c>
      <c r="K27" s="7" t="str">
        <f>IF(ISNA(MATCH(14,Engine!$C$2:$C$1199,0)),"",INDEX('Compliance Database'!$K$2:$K$1199,MATCH(14,Engine!$C$2:$C$1199,0)))</f>
        <v>This section provides definitions for key terms used in the Notice. It defines 'critical system' as a system whose failure causes significant disruption or impacts customer services, 'customer' for different financial institution types, 'IT security incident' as a security breach affecting critical systems, 'relevant incident' as a severe system malfunction or security incident, 'system' as IT infrastructure components, and 'system malfunction' as failure of critical systems.</v>
      </c>
      <c r="L27" s="7">
        <f>IF(ISNA(MATCH(14,Engine!$C$2:$C$1199,0)),"",INDEX('Compliance Database'!$L$2:$L$1199,MATCH(14,Engine!$C$2:$C$1199,0)))</f>
        <v>0</v>
      </c>
      <c r="M27" s="7" t="str">
        <f>IF(ISNA(MATCH(14,Engine!$C$2:$C$1199,0)),"",INDEX('Compliance Database'!$M$2:$M$1199,MATCH(14,Engine!$C$2:$C$1199,0)))</f>
        <v>• [Must] Critical system means a system whose failure causes significant disruption to operations or materially impacts customer service
• [Must] Customer has specific meanings for capital markets services license holders and approved/recognised clearing houses
• [Must] IT security incident means an event involving security breach, hacking, intrusion, or denial of service attack on critical systems</v>
      </c>
      <c r="N27" s="7" t="str">
        <f>IF(ISNA(MATCH(14,Engine!$C$2:$C$1199,0)),"",INDEX('Compliance Database'!$N$2:$N$1199,MATCH(14,Engine!$C$2:$C$1199,0)))</f>
        <v>• [Must] Relevant incident means a system malfunction or IT security incident with severe and widespread impact
• [Must] System means any hardware, software, network, or IT component part of IT infrastructure
• [Must] System malfunction means failure of critical systems</v>
      </c>
      <c r="O27" s="7" t="str">
        <f>IF(ISNA(MATCH(14,Engine!$C$2:$C$1199,0)),"",INDEX('Compliance Database'!$O$2:$O$1199,MATCH(14,Engine!$C$2:$C$1199,0)))</f>
        <v>For the purpose of this Notice — "critical system" in relation to a specified financial institution, means a system, the failure of which will cause significant disruption to the operations of the specified financial institution or materially impact the specified financial institution's service to its customers, such as a system which — (a) processes transactions that are time critical; or (b) provides essential services to customers; "customer" – (a) in relation to a holder of a capital markets services licence, has the meaning given by paragraph (a)(i) of the definition of "customer" in section 2(1) of the SFA; and (b) in relation to an approved clearing house or a recognised clearing house, has the meaning given by paragraph (b) of the definition of "customer" in section 2(1) of the SFA; "IT security incident" means an event that involves a security breach, such as hacking of, intrusion into, or denial of service attack on, a critical system, or a system which compromises the security, integrity or confidentiality of customer information; "relevant incident" means a system malfunction or IT security incident, which has a severe and widespread impact on the specified financial institution's operations or materially impacts the specified financial institution's service to its customers; "system" means any hardware, software, network, or other information technology ("IT") component which is part of an IT infrastructure; and "system malfunction" means a failure of any of the specified financial institution's critical systems.</v>
      </c>
      <c r="P27" s="6" t="str">
        <f>IF(ISNA(MATCH(14,Engine!$C$2:$C$1199,0)),"",HYPERLINK("#Acts!A"&amp;INDEX('Compliance Database'!$P$2:$P$1199,MATCH(14,Engine!$C$2:$C$1199,0)),"Go to Act"))</f>
        <v>Go to Act</v>
      </c>
    </row>
    <row r="28" spans="1:16" ht="172.95" customHeight="1" x14ac:dyDescent="0.3">
      <c r="A28" s="6" t="str">
        <f>IF(ISNA(MATCH(15,Engine!$C$2:$C$1199,0)),"",INDEX('Compliance Database'!$A$2:$A$1199,MATCH(15,Engine!$C$2:$C$1199,0)))</f>
        <v>Singapore</v>
      </c>
      <c r="B28" s="6" t="str">
        <f>IF(ISNA(MATCH(15,Engine!$C$2:$C$1199,0)),"",INDEX('Compliance Database'!$B$2:$B$1199,MATCH(15,Engine!$C$2:$C$1199,0)))</f>
        <v>MAS Notice FSM-N21 (Singapore - Row 32)</v>
      </c>
      <c r="C28" s="6" t="str">
        <f>IF(ISNA(MATCH(15,Engine!$C$2:$C$1199,0)),"",INDEX('Compliance Database'!$C$2:$C$1199,MATCH(15,Engine!$C$2:$C$1199,0)))</f>
        <v>3</v>
      </c>
      <c r="D28" s="7" t="str">
        <f>IF(ISNA(MATCH(15,Engine!$C$2:$C$1199,0)),"",INDEX('Compliance Database'!$D$2:$D$1199,MATCH(15,Engine!$C$2:$C$1199,0)))</f>
        <v>Default Definitions</v>
      </c>
      <c r="E28" s="6" t="str">
        <f>IF(ISNA(MATCH(15,Engine!$C$2:$C$1199,0)),"",INDEX('Compliance Database'!$E$2:$E$1199,MATCH(15,Engine!$C$2:$C$1199,0)))</f>
        <v>2</v>
      </c>
      <c r="F28" s="6" t="str">
        <f>IF(ISNA(MATCH(15,Engine!$C$2:$C$1199,0)),"",INDEX('Compliance Database'!$F$2:$F$1199,MATCH(15,Engine!$C$2:$C$1199,0)))</f>
        <v>High</v>
      </c>
      <c r="G28" s="6" t="str">
        <f>IF(ISNA(MATCH(15,Engine!$C$2:$C$1199,0)),"",INDEX('Compliance Database'!$G$2:$G$1199,MATCH(15,Engine!$C$2:$C$1199,0)))</f>
        <v>High (explicit)</v>
      </c>
      <c r="H28" s="7">
        <f>IF(ISNA(MATCH(15,Engine!$C$2:$C$1199,0)),"",INDEX('Compliance Database'!$H$2:$H$1199,MATCH(15,Engine!$C$2:$C$1199,0)))</f>
        <v>0</v>
      </c>
      <c r="I28" s="7">
        <f>IF(ISNA(MATCH(15,Engine!$C$2:$C$1199,0)),"",INDEX('Compliance Database'!$I$2:$I$1199,MATCH(15,Engine!$C$2:$C$1199,0)))</f>
        <v>0</v>
      </c>
      <c r="J28" s="6">
        <f>IF(ISNA(MATCH(15,Engine!$C$2:$C$1199,0)),"",INDEX('Compliance Database'!$J$2:$J$1199,MATCH(15,Engine!$C$2:$C$1199,0)))</f>
        <v>0</v>
      </c>
      <c r="K28" s="7" t="str">
        <f>IF(ISNA(MATCH(15,Engine!$C$2:$C$1199,0)),"",INDEX('Compliance Database'!$K$2:$K$1199,MATCH(15,Engine!$C$2:$C$1199,0)))</f>
        <v>This section states that all expressions in the Notice have the same meanings as in the Financial Services and Markets Act 2022 unless defined otherwise in the Notice. It serves as a default reference point for terminology consistency across the document.</v>
      </c>
      <c r="L28" s="7">
        <f>IF(ISNA(MATCH(15,Engine!$C$2:$C$1199,0)),"",INDEX('Compliance Database'!$L$2:$L$1199,MATCH(15,Engine!$C$2:$C$1199,0)))</f>
        <v>0</v>
      </c>
      <c r="M28" s="7" t="str">
        <f>IF(ISNA(MATCH(15,Engine!$C$2:$C$1199,0)),"",INDEX('Compliance Database'!$M$2:$M$1199,MATCH(15,Engine!$C$2:$C$1199,0)))</f>
        <v>• [Must] All expressions in this Notice have the same meanings as in the Act unless defined otherwise</v>
      </c>
      <c r="N28" s="7">
        <f>IF(ISNA(MATCH(15,Engine!$C$2:$C$1199,0)),"",INDEX('Compliance Database'!$N$2:$N$1199,MATCH(15,Engine!$C$2:$C$1199,0)))</f>
        <v>0</v>
      </c>
      <c r="O28" s="7" t="str">
        <f>IF(ISNA(MATCH(15,Engine!$C$2:$C$1199,0)),"",INDEX('Compliance Database'!$O$2:$O$1199,MATCH(15,Engine!$C$2:$C$1199,0)))</f>
        <v>Except where defined in this Notice or if the context otherwise requires, the expressions used in this Notice have the same meanings as in the Act.</v>
      </c>
      <c r="P28" s="6" t="str">
        <f>IF(ISNA(MATCH(15,Engine!$C$2:$C$1199,0)),"",HYPERLINK("#Acts!A"&amp;INDEX('Compliance Database'!$P$2:$P$1199,MATCH(15,Engine!$C$2:$C$1199,0)),"Go to Act"))</f>
        <v>Go to Act</v>
      </c>
    </row>
    <row r="29" spans="1:16" ht="172.95" customHeight="1" x14ac:dyDescent="0.3">
      <c r="A29" s="6" t="str">
        <f>IF(ISNA(MATCH(16,Engine!$C$2:$C$1199,0)),"",INDEX('Compliance Database'!$A$2:$A$1199,MATCH(16,Engine!$C$2:$C$1199,0)))</f>
        <v>Singapore</v>
      </c>
      <c r="B29" s="6" t="str">
        <f>IF(ISNA(MATCH(16,Engine!$C$2:$C$1199,0)),"",INDEX('Compliance Database'!$B$2:$B$1199,MATCH(16,Engine!$C$2:$C$1199,0)))</f>
        <v>MAS Notice FSM-N21 (Singapore - Row 32)</v>
      </c>
      <c r="C29" s="6" t="str">
        <f>IF(ISNA(MATCH(16,Engine!$C$2:$C$1199,0)),"",INDEX('Compliance Database'!$C$2:$C$1199,MATCH(16,Engine!$C$2:$C$1199,0)))</f>
        <v>5</v>
      </c>
      <c r="D29" s="7" t="str">
        <f>IF(ISNA(MATCH(16,Engine!$C$2:$C$1199,0)),"",INDEX('Compliance Database'!$D$2:$D$1199,MATCH(16,Engine!$C$2:$C$1199,0)))</f>
        <v>Critical System Availability Requirements</v>
      </c>
      <c r="E29" s="6" t="str">
        <f>IF(ISNA(MATCH(16,Engine!$C$2:$C$1199,0)),"",INDEX('Compliance Database'!$E$2:$E$1199,MATCH(16,Engine!$C$2:$C$1199,0)))</f>
        <v>2–3</v>
      </c>
      <c r="F29" s="6" t="str">
        <f>IF(ISNA(MATCH(16,Engine!$C$2:$C$1199,0)),"",INDEX('Compliance Database'!$F$2:$F$1199,MATCH(16,Engine!$C$2:$C$1199,0)))</f>
        <v>High</v>
      </c>
      <c r="G29" s="6" t="str">
        <f>IF(ISNA(MATCH(16,Engine!$C$2:$C$1199,0)),"",INDEX('Compliance Database'!$G$2:$G$1199,MATCH(16,Engine!$C$2:$C$1199,0)))</f>
        <v>High (explicit)</v>
      </c>
      <c r="H29" s="7">
        <f>IF(ISNA(MATCH(16,Engine!$C$2:$C$1199,0)),"",INDEX('Compliance Database'!$H$2:$H$1199,MATCH(16,Engine!$C$2:$C$1199,0)))</f>
        <v>0</v>
      </c>
      <c r="I29" s="7" t="str">
        <f>IF(ISNA(MATCH(16,Engine!$C$2:$C$1199,0)),"",INDEX('Compliance Database'!$I$2:$I$1199,MATCH(16,Engine!$C$2:$C$1199,0)))</f>
        <v>Financial Data</v>
      </c>
      <c r="J29" s="6">
        <f>IF(ISNA(MATCH(16,Engine!$C$2:$C$1199,0)),"",INDEX('Compliance Database'!$J$2:$J$1199,MATCH(16,Engine!$C$2:$C$1199,0)))</f>
        <v>0</v>
      </c>
      <c r="K29" s="7" t="str">
        <f>IF(ISNA(MATCH(16,Engine!$C$2:$C$1199,0)),"",INDEX('Compliance Database'!$K$2:$K$1199,MATCH(16,Engine!$C$2:$C$1199,0)))</f>
        <v>This section mandates that specified financial institutions must maintain high availability for critical systems. It requires that the maximum unscheduled downtime for critical systems affecting operations or customer service does not exceed 4 hours within any 12-month period. It also requires establishing a recovery time objective (RTO) of not more than 4 hours for each critical system and validating and documenting system recovery testing at least once every 12 months.</v>
      </c>
      <c r="L29" s="7" t="str">
        <f>IF(ISNA(MATCH(16,Engine!$C$2:$C$1199,0)),"",INDEX('Compliance Database'!$L$2:$L$1199,MATCH(16,Engine!$C$2:$C$1199,0)))</f>
        <v>This section imposes strict uptime requirements for critical systems, directly impacting data storage and system availability during cross-border data transfers for financial institutions.</v>
      </c>
      <c r="M29" s="7" t="str">
        <f>IF(ISNA(MATCH(16,Engine!$C$2:$C$1199,0)),"",INDEX('Compliance Database'!$M$2:$M$1199,MATCH(16,Engine!$C$2:$C$1199,0)))</f>
        <v>• [Must] Must maintain high availability for critical systems
• [Must] Maximum unscheduled downtime for critical systems affecting operations or customer service must not exceed 4 hours within any 12-month period</v>
      </c>
      <c r="N29" s="7" t="str">
        <f>IF(ISNA(MATCH(16,Engine!$C$2:$C$1199,0)),"",INDEX('Compliance Database'!$N$2:$N$1199,MATCH(16,Engine!$C$2:$C$1199,0)))</f>
        <v>• [Must] Must establish a recovery time objective (RTO) of not more than 4 hours for each critical system
• [Must] Must validate and document system recovery testing at least once every 12 months</v>
      </c>
      <c r="O29" s="7" t="str">
        <f>IF(ISNA(MATCH(16,Engine!$C$2:$C$1199,0)),"",INDEX('Compliance Database'!$O$2:$O$1199,MATCH(16,Engine!$C$2:$C$1199,0)))</f>
        <v>A specified financial institution must make all reasonable effort to maintain high availability for critical systems. The specified financial institution must ensure that the maximum unscheduled downtime for each critical system that affects the specified financial institution's operations or service to its customers does not exceed a total of 4 hours within any period of 12 months. A specified financial institution must establish a recovery time objective ("RTO") of not more than 4 hours for each critical system. The RTO is the duration of time, from the point of disruption, within which a system must be restored. The specified financial institution must validate and document at least once every 12 months, how it performs its system recovery testing and when the RTO is validated during the system recovery testing.</v>
      </c>
      <c r="P29" s="6" t="str">
        <f>IF(ISNA(MATCH(16,Engine!$C$2:$C$1199,0)),"",HYPERLINK("#Acts!A"&amp;INDEX('Compliance Database'!$P$2:$P$1199,MATCH(16,Engine!$C$2:$C$1199,0)),"Go to Act"))</f>
        <v>Go to Act</v>
      </c>
    </row>
    <row r="30" spans="1:16" ht="172.95" customHeight="1" x14ac:dyDescent="0.3">
      <c r="A30" s="6" t="str">
        <f>IF(ISNA(MATCH(17,Engine!$C$2:$C$1199,0)),"",INDEX('Compliance Database'!$A$2:$A$1199,MATCH(17,Engine!$C$2:$C$1199,0)))</f>
        <v>Singapore</v>
      </c>
      <c r="B30" s="6" t="str">
        <f>IF(ISNA(MATCH(17,Engine!$C$2:$C$1199,0)),"",INDEX('Compliance Database'!$B$2:$B$1199,MATCH(17,Engine!$C$2:$C$1199,0)))</f>
        <v>MAS Notice FSM-N21 (Singapore - Row 32)</v>
      </c>
      <c r="C30" s="6" t="str">
        <f>IF(ISNA(MATCH(17,Engine!$C$2:$C$1199,0)),"",INDEX('Compliance Database'!$C$2:$C$1199,MATCH(17,Engine!$C$2:$C$1199,0)))</f>
        <v>7</v>
      </c>
      <c r="D30" s="7" t="str">
        <f>IF(ISNA(MATCH(17,Engine!$C$2:$C$1199,0)),"",INDEX('Compliance Database'!$D$2:$D$1199,MATCH(17,Engine!$C$2:$C$1199,0)))</f>
        <v>Relevant Incident Notification</v>
      </c>
      <c r="E30" s="6" t="str">
        <f>IF(ISNA(MATCH(17,Engine!$C$2:$C$1199,0)),"",INDEX('Compliance Database'!$E$2:$E$1199,MATCH(17,Engine!$C$2:$C$1199,0)))</f>
        <v>3</v>
      </c>
      <c r="F30" s="6" t="str">
        <f>IF(ISNA(MATCH(17,Engine!$C$2:$C$1199,0)),"",INDEX('Compliance Database'!$F$2:$F$1199,MATCH(17,Engine!$C$2:$C$1199,0)))</f>
        <v>High</v>
      </c>
      <c r="G30" s="6" t="str">
        <f>IF(ISNA(MATCH(17,Engine!$C$2:$C$1199,0)),"",INDEX('Compliance Database'!$G$2:$G$1199,MATCH(17,Engine!$C$2:$C$1199,0)))</f>
        <v>High (explicit)</v>
      </c>
      <c r="H30" s="7" t="str">
        <f>IF(ISNA(MATCH(17,Engine!$C$2:$C$1199,0)),"",INDEX('Compliance Database'!$H$2:$H$1199,MATCH(17,Engine!$C$2:$C$1199,0)))</f>
        <v>Incident Reporting, Breach Notification</v>
      </c>
      <c r="I30" s="7" t="str">
        <f>IF(ISNA(MATCH(17,Engine!$C$2:$C$1199,0)),"",INDEX('Compliance Database'!$I$2:$I$1199,MATCH(17,Engine!$C$2:$C$1199,0)))</f>
        <v>Financial Data</v>
      </c>
      <c r="J30" s="6" t="str">
        <f>IF(ISNA(MATCH(17,Engine!$C$2:$C$1199,0)),"",INDEX('Compliance Database'!$J$2:$J$1199,MATCH(17,Engine!$C$2:$C$1199,0)))</f>
        <v>MAS</v>
      </c>
      <c r="K30" s="7" t="str">
        <f>IF(ISNA(MATCH(17,Engine!$C$2:$C$1199,0)),"",INDEX('Compliance Database'!$K$2:$K$1199,MATCH(17,Engine!$C$2:$C$1199,0)))</f>
        <v>This section requires specified financial institutions to notify the MAS Authority within 1 hour upon discovering a relevant incident, except for incidents arising from specific circumstances outlined in certain regulations. The notification must be made as soon as possible but no later than 1 hour after discovery.</v>
      </c>
      <c r="L30" s="7" t="str">
        <f>IF(ISNA(MATCH(17,Engine!$C$2:$C$1199,0)),"",INDEX('Compliance Database'!$L$2:$L$1199,MATCH(17,Engine!$C$2:$C$1199,0)))</f>
        <v>This section mandates immediate notification of system incidents to MAS, which impacts data breach response timelines and cross-border incident reporting for financial data.</v>
      </c>
      <c r="M30" s="7" t="str">
        <f>IF(ISNA(MATCH(17,Engine!$C$2:$C$1199,0)),"",INDEX('Compliance Database'!$M$2:$M$1199,MATCH(17,Engine!$C$2:$C$1199,0)))</f>
        <v>• [Must] Must notify MAS Authority within 1 hour upon discovery of relevant incident</v>
      </c>
      <c r="N30" s="7" t="str">
        <f>IF(ISNA(MATCH(17,Engine!$C$2:$C$1199,0)),"",INDEX('Compliance Database'!$N$2:$N$1199,MATCH(17,Engine!$C$2:$C$1199,0)))</f>
        <v>• [Must Not] Exclusions: relevant incidents arising from circumstances in regulations 8(2)(a) and (b), and 21(d) of the Markets Regulations, regulation 9(1) of the Trade Repositories Regulations, regulation 11(1) of the Clearing Facilities Regulations, and regulations 11(1)(e) and 19(2)(b) of the Financial Benchmarks Regulations</v>
      </c>
      <c r="O30" s="7" t="str">
        <f>IF(ISNA(MATCH(17,Engine!$C$2:$C$1199,0)),"",INDEX('Compliance Database'!$O$2:$O$1199,MATCH(17,Engine!$C$2:$C$1199,0)))</f>
        <v>A specified financial institution must notify the Authority as soon as possible, but not later than 1 hour, upon the discovery of a relevant incident, other than a relevant incident arising from the circumstances set out in regulations 8(2)(a) and (b), and 21(d) of the Securities and Futures (Organised Markets) Regulations 2018 ("Markets Regulations"), regulation 9(1) of the Securities and Futures (Trade Repositories) Regulations 2013, regulation 11(1) of the Securities and Futures (Clearing Facilities) Regulations 2013, and regulations 11(1)(e) and 19(2)(b) of the Securities and Futures (Financial Benchmarks) Regulations 2018 ("Financial Benchmarks Regulations").</v>
      </c>
      <c r="P30" s="6" t="str">
        <f>IF(ISNA(MATCH(17,Engine!$C$2:$C$1199,0)),"",HYPERLINK("#Acts!A"&amp;INDEX('Compliance Database'!$P$2:$P$1199,MATCH(17,Engine!$C$2:$C$1199,0)),"Go to Act"))</f>
        <v>Go to Act</v>
      </c>
    </row>
    <row r="31" spans="1:16" ht="172.95" customHeight="1" x14ac:dyDescent="0.3">
      <c r="A31" s="6" t="str">
        <f>IF(ISNA(MATCH(18,Engine!$C$2:$C$1199,0)),"",INDEX('Compliance Database'!$A$2:$A$1199,MATCH(18,Engine!$C$2:$C$1199,0)))</f>
        <v>Singapore</v>
      </c>
      <c r="B31" s="6" t="str">
        <f>IF(ISNA(MATCH(18,Engine!$C$2:$C$1199,0)),"",INDEX('Compliance Database'!$B$2:$B$1199,MATCH(18,Engine!$C$2:$C$1199,0)))</f>
        <v>MAS Notice FSM-N21 (Singapore - Row 32)</v>
      </c>
      <c r="C31" s="6" t="str">
        <f>IF(ISNA(MATCH(18,Engine!$C$2:$C$1199,0)),"",INDEX('Compliance Database'!$C$2:$C$1199,MATCH(18,Engine!$C$2:$C$1199,0)))</f>
        <v>8</v>
      </c>
      <c r="D31" s="7" t="str">
        <f>IF(ISNA(MATCH(18,Engine!$C$2:$C$1199,0)),"",INDEX('Compliance Database'!$D$2:$D$1199,MATCH(18,Engine!$C$2:$C$1199,0)))</f>
        <v>Root Cause Analysis Report</v>
      </c>
      <c r="E31" s="6" t="str">
        <f>IF(ISNA(MATCH(18,Engine!$C$2:$C$1199,0)),"",INDEX('Compliance Database'!$E$2:$E$1199,MATCH(18,Engine!$C$2:$C$1199,0)))</f>
        <v>3</v>
      </c>
      <c r="F31" s="6" t="str">
        <f>IF(ISNA(MATCH(18,Engine!$C$2:$C$1199,0)),"",INDEX('Compliance Database'!$F$2:$F$1199,MATCH(18,Engine!$C$2:$C$1199,0)))</f>
        <v>High</v>
      </c>
      <c r="G31" s="6" t="str">
        <f>IF(ISNA(MATCH(18,Engine!$C$2:$C$1199,0)),"",INDEX('Compliance Database'!$G$2:$G$1199,MATCH(18,Engine!$C$2:$C$1199,0)))</f>
        <v>High (explicit)</v>
      </c>
      <c r="H31" s="7" t="str">
        <f>IF(ISNA(MATCH(18,Engine!$C$2:$C$1199,0)),"",INDEX('Compliance Database'!$H$2:$H$1199,MATCH(18,Engine!$C$2:$C$1199,0)))</f>
        <v>Incident Reporting, Breach Notification</v>
      </c>
      <c r="I31" s="7" t="str">
        <f>IF(ISNA(MATCH(18,Engine!$C$2:$C$1199,0)),"",INDEX('Compliance Database'!$I$2:$I$1199,MATCH(18,Engine!$C$2:$C$1199,0)))</f>
        <v>Financial Data</v>
      </c>
      <c r="J31" s="6" t="str">
        <f>IF(ISNA(MATCH(18,Engine!$C$2:$C$1199,0)),"",INDEX('Compliance Database'!$J$2:$J$1199,MATCH(18,Engine!$C$2:$C$1199,0)))</f>
        <v>MAS</v>
      </c>
      <c r="K31" s="7" t="str">
        <f>IF(ISNA(MATCH(18,Engine!$C$2:$C$1199,0)),"",INDEX('Compliance Database'!$K$2:$K$1199,MATCH(18,Engine!$C$2:$C$1199,0)))</f>
        <v>This section requires specified financial institutions to submit a root cause and impact analysis report to MAS within 14 days (or a longer period allowed by MAS) after discovering a relevant incident. The report must include an executive summary, root cause analysis, impact on compliance, operations, and customer service, and remedial measures taken.</v>
      </c>
      <c r="L31" s="7" t="str">
        <f>IF(ISNA(MATCH(18,Engine!$C$2:$C$1199,0)),"",INDEX('Compliance Database'!$L$2:$L$1199,MATCH(18,Engine!$C$2:$C$1199,0)))</f>
        <v>This section mandates detailed incident reporting for financial data, impacting data breach response and cross-border data transfer compliance for financial institutions.</v>
      </c>
      <c r="M31" s="7" t="str">
        <f>IF(ISNA(MATCH(18,Engine!$C$2:$C$1199,0)),"",INDEX('Compliance Database'!$M$2:$M$1199,MATCH(18,Engine!$C$2:$C$1199,0)))</f>
        <v>• [Must] Must submit root cause and impact analysis report to MAS within 14 days or longer period allowed by MAS
• [Must] Report must contain executive summary of relevant incident
• [Must] Report must contain analysis of root cause triggering relevant incident
• [Must] Report must describe impact on compliance with laws and regulations</v>
      </c>
      <c r="N31" s="7" t="str">
        <f>IF(ISNA(MATCH(18,Engine!$C$2:$C$1199,0)),"",INDEX('Compliance Database'!$N$2:$N$1199,MATCH(18,Engine!$C$2:$C$1199,0)))</f>
        <v>• [Must] Report must describe impact on operations
• [Must] Report must describe impact on service to customers
• [Must] Report must describe remedial measures taken to address root cause</v>
      </c>
      <c r="O31" s="7" t="str">
        <f>IF(ISNA(MATCH(18,Engine!$C$2:$C$1199,0)),"",INDEX('Compliance Database'!$O$2:$O$1199,MATCH(18,Engine!$C$2:$C$1199,0)))</f>
        <v>A specified financial institution must, within 14 days or such longer period as the Authority may allow, from the discovery of the relevant incident as described in paragraph 7 or a relevant incident arising from the circumstances set out in regulation 21(d) of the Markets Regulations, as the case may be, submit a root cause and impact analysis report to the Authority. The report must contain — (a) an executive summary of the relevant incident; (b) an analysis of the root cause which triggered the relevant incident; (c) a description of the impact of the relevant incident on the specified financial institution's – i. compliance with laws and regulations applicable to the specified financial institution; ii. operations; and iii. service to its customers; and (d) a description of the remedial measures taken to address the root cause and consequences of the relevant incident.</v>
      </c>
      <c r="P31" s="6" t="str">
        <f>IF(ISNA(MATCH(18,Engine!$C$2:$C$1199,0)),"",HYPERLINK("#Acts!A"&amp;INDEX('Compliance Database'!$P$2:$P$1199,MATCH(18,Engine!$C$2:$C$1199,0)),"Go to Act"))</f>
        <v>Go to Act</v>
      </c>
    </row>
    <row r="32" spans="1:16" ht="172.95" customHeight="1" x14ac:dyDescent="0.3">
      <c r="A32" s="6" t="str">
        <f>IF(ISNA(MATCH(19,Engine!$C$2:$C$1199,0)),"",INDEX('Compliance Database'!$A$2:$A$1199,MATCH(19,Engine!$C$2:$C$1199,0)))</f>
        <v>Singapore</v>
      </c>
      <c r="B32" s="6" t="str">
        <f>IF(ISNA(MATCH(19,Engine!$C$2:$C$1199,0)),"",INDEX('Compliance Database'!$B$2:$B$1199,MATCH(19,Engine!$C$2:$C$1199,0)))</f>
        <v>MAS Notice FSM-N21 (Singapore - Row 32)</v>
      </c>
      <c r="C32" s="6" t="str">
        <f>IF(ISNA(MATCH(19,Engine!$C$2:$C$1199,0)),"",INDEX('Compliance Database'!$C$2:$C$1199,MATCH(19,Engine!$C$2:$C$1199,0)))</f>
        <v>9</v>
      </c>
      <c r="D32" s="7" t="str">
        <f>IF(ISNA(MATCH(19,Engine!$C$2:$C$1199,0)),"",INDEX('Compliance Database'!$D$2:$D$1199,MATCH(19,Engine!$C$2:$C$1199,0)))</f>
        <v>IT controls for customer information protection</v>
      </c>
      <c r="E32" s="6" t="str">
        <f>IF(ISNA(MATCH(19,Engine!$C$2:$C$1199,0)),"",INDEX('Compliance Database'!$E$2:$E$1199,MATCH(19,Engine!$C$2:$C$1199,0)))</f>
        <v>3–4</v>
      </c>
      <c r="F32" s="6" t="str">
        <f>IF(ISNA(MATCH(19,Engine!$C$2:$C$1199,0)),"",INDEX('Compliance Database'!$F$2:$F$1199,MATCH(19,Engine!$C$2:$C$1199,0)))</f>
        <v>High</v>
      </c>
      <c r="G32" s="6" t="str">
        <f>IF(ISNA(MATCH(19,Engine!$C$2:$C$1199,0)),"",INDEX('Compliance Database'!$G$2:$G$1199,MATCH(19,Engine!$C$2:$C$1199,0)))</f>
        <v>High (explicit)</v>
      </c>
      <c r="H32" s="7" t="str">
        <f>IF(ISNA(MATCH(19,Engine!$C$2:$C$1199,0)),"",INDEX('Compliance Database'!$H$2:$H$1199,MATCH(19,Engine!$C$2:$C$1199,0)))</f>
        <v>Security</v>
      </c>
      <c r="I32" s="7" t="str">
        <f>IF(ISNA(MATCH(19,Engine!$C$2:$C$1199,0)),"",INDEX('Compliance Database'!$I$2:$I$1199,MATCH(19,Engine!$C$2:$C$1199,0)))</f>
        <v>Customer Data</v>
      </c>
      <c r="J32" s="6">
        <f>IF(ISNA(MATCH(19,Engine!$C$2:$C$1199,0)),"",INDEX('Compliance Database'!$J$2:$J$1199,MATCH(19,Engine!$C$2:$C$1199,0)))</f>
        <v>0</v>
      </c>
      <c r="K32" s="7" t="str">
        <f>IF(ISNA(MATCH(19,Engine!$C$2:$C$1199,0)),"",INDEX('Compliance Database'!$K$2:$K$1199,MATCH(19,Engine!$C$2:$C$1199,0)))</f>
        <v>A specified financial institution must implement IT controls to prevent unauthorised access or disclosure of customer information. These controls are required to safeguard customer data. The obligation applies to financial institutions operating under this notice.</v>
      </c>
      <c r="L32" s="7" t="str">
        <f>IF(ISNA(MATCH(19,Engine!$C$2:$C$1199,0)),"",INDEX('Compliance Database'!$L$2:$L$1199,MATCH(19,Engine!$C$2:$C$1199,0)))</f>
        <v>This section mandates specific technical safeguards for customer data, directly impacting cross-border data transfers by requiring robust IT controls to prevent breaches.</v>
      </c>
      <c r="M32" s="7" t="str">
        <f>IF(ISNA(MATCH(19,Engine!$C$2:$C$1199,0)),"",INDEX('Compliance Database'!$M$2:$M$1199,MATCH(19,Engine!$C$2:$C$1199,0)))</f>
        <v>• [Must] A specified financial institution must implement IT controls to protect customer information from unauthorised access or disclosure</v>
      </c>
      <c r="N32" s="7">
        <f>IF(ISNA(MATCH(19,Engine!$C$2:$C$1199,0)),"",INDEX('Compliance Database'!$N$2:$N$1199,MATCH(19,Engine!$C$2:$C$1199,0)))</f>
        <v>0</v>
      </c>
      <c r="O32" s="7" t="str">
        <f>IF(ISNA(MATCH(19,Engine!$C$2:$C$1199,0)),"",INDEX('Compliance Database'!$O$2:$O$1199,MATCH(19,Engine!$C$2:$C$1199,0)))</f>
        <v>A specified financial institution must implement IT controls to protect customer information from unauthorised access or disclosure.</v>
      </c>
      <c r="P32" s="6" t="str">
        <f>IF(ISNA(MATCH(19,Engine!$C$2:$C$1199,0)),"",HYPERLINK("#Acts!A"&amp;INDEX('Compliance Database'!$P$2:$P$1199,MATCH(19,Engine!$C$2:$C$1199,0)),"Go to Act"))</f>
        <v>Go to Act</v>
      </c>
    </row>
    <row r="33" spans="1:16" ht="172.95" customHeight="1" x14ac:dyDescent="0.3">
      <c r="A33" s="6" t="str">
        <f>IF(ISNA(MATCH(20,Engine!$C$2:$C$1199,0)),"",INDEX('Compliance Database'!$A$2:$A$1199,MATCH(20,Engine!$C$2:$C$1199,0)))</f>
        <v>Singapore</v>
      </c>
      <c r="B33" s="6" t="str">
        <f>IF(ISNA(MATCH(20,Engine!$C$2:$C$1199,0)),"",INDEX('Compliance Database'!$B$2:$B$1199,MATCH(20,Engine!$C$2:$C$1199,0)))</f>
        <v>MAS Notices 644 655 644A 655A 1114 1118 Cancellation 2024 (Singapore - Row 18)</v>
      </c>
      <c r="C33" s="6" t="str">
        <f>IF(ISNA(MATCH(20,Engine!$C$2:$C$1199,0)),"",INDEX('Compliance Database'!$C$2:$C$1199,MATCH(20,Engine!$C$2:$C$1199,0)))</f>
        <v>1</v>
      </c>
      <c r="D33" s="7" t="str">
        <f>IF(ISNA(MATCH(20,Engine!$C$2:$C$1199,0)),"",INDEX('Compliance Database'!$D$2:$D$1199,MATCH(20,Engine!$C$2:$C$1199,0)))</f>
        <v>Notice issued under Banking Act sections</v>
      </c>
      <c r="E33" s="6" t="str">
        <f>IF(ISNA(MATCH(20,Engine!$C$2:$C$1199,0)),"",INDEX('Compliance Database'!$E$2:$E$1199,MATCH(20,Engine!$C$2:$C$1199,0)))</f>
        <v>1</v>
      </c>
      <c r="F33" s="6" t="str">
        <f>IF(ISNA(MATCH(20,Engine!$C$2:$C$1199,0)),"",INDEX('Compliance Database'!$F$2:$F$1199,MATCH(20,Engine!$C$2:$C$1199,0)))</f>
        <v>High</v>
      </c>
      <c r="G33" s="6" t="str">
        <f>IF(ISNA(MATCH(20,Engine!$C$2:$C$1199,0)),"",INDEX('Compliance Database'!$G$2:$G$1199,MATCH(20,Engine!$C$2:$C$1199,0)))</f>
        <v>High (explicit)</v>
      </c>
      <c r="H33" s="7" t="str">
        <f>IF(ISNA(MATCH(20,Engine!$C$2:$C$1199,0)),"",INDEX('Compliance Database'!$H$2:$H$1199,MATCH(20,Engine!$C$2:$C$1199,0)))</f>
        <v>Governance</v>
      </c>
      <c r="I33" s="7">
        <f>IF(ISNA(MATCH(20,Engine!$C$2:$C$1199,0)),"",INDEX('Compliance Database'!$I$2:$I$1199,MATCH(20,Engine!$C$2:$C$1199,0)))</f>
        <v>0</v>
      </c>
      <c r="J33" s="6" t="str">
        <f>IF(ISNA(MATCH(20,Engine!$C$2:$C$1199,0)),"",INDEX('Compliance Database'!$J$2:$J$1199,MATCH(20,Engine!$C$2:$C$1199,0)))</f>
        <v>MAS</v>
      </c>
      <c r="K33" s="7" t="str">
        <f>IF(ISNA(MATCH(20,Engine!$C$2:$C$1199,0)),"",INDEX('Compliance Database'!$K$2:$K$1199,MATCH(20,Engine!$C$2:$C$1199,0)))</f>
        <v>This section states that the Notice is issued under specific sections of the Banking Act 1970. The notice is authorized by sections 55(1), 57D(1)(a) and (3), and 55(1) as applied by section 55ZJ(1) of the Banking Act 1970. The notice is a legal instrument that establishes its authority through these statutory provisions.</v>
      </c>
      <c r="L33" s="7">
        <f>IF(ISNA(MATCH(20,Engine!$C$2:$C$1199,0)),"",INDEX('Compliance Database'!$L$2:$L$1199,MATCH(20,Engine!$C$2:$C$1199,0)))</f>
        <v>0</v>
      </c>
      <c r="M33" s="7" t="str">
        <f>IF(ISNA(MATCH(20,Engine!$C$2:$C$1199,0)),"",INDEX('Compliance Database'!$M$2:$M$1199,MATCH(20,Engine!$C$2:$C$1199,0)))</f>
        <v>• [Authorisation] This Notice is issued under sections 55(1), 57D(1)(a) and (3) and 55(1) as applied by section 55ZJ(1) of the Banking Act 1970</v>
      </c>
      <c r="N33" s="7">
        <f>IF(ISNA(MATCH(20,Engine!$C$2:$C$1199,0)),"",INDEX('Compliance Database'!$N$2:$N$1199,MATCH(20,Engine!$C$2:$C$1199,0)))</f>
        <v>0</v>
      </c>
      <c r="O33" s="7" t="str">
        <f>IF(ISNA(MATCH(20,Engine!$C$2:$C$1199,0)),"",INDEX('Compliance Database'!$O$2:$O$1199,MATCH(20,Engine!$C$2:$C$1199,0)))</f>
        <v>This Notice is issued under sections 55(1), 57D(1)(a) and (3) and 55(1) as applied by section 55ZJ(1) of the Banking Act 1970.</v>
      </c>
      <c r="P33" s="6" t="str">
        <f>IF(ISNA(MATCH(20,Engine!$C$2:$C$1199,0)),"",HYPERLINK("#Acts!A"&amp;INDEX('Compliance Database'!$P$2:$P$1199,MATCH(20,Engine!$C$2:$C$1199,0)),"Go to Act"))</f>
        <v>Go to Act</v>
      </c>
    </row>
    <row r="34" spans="1:16" ht="172.95" customHeight="1" x14ac:dyDescent="0.3">
      <c r="A34" s="6" t="str">
        <f>IF(ISNA(MATCH(21,Engine!$C$2:$C$1199,0)),"",INDEX('Compliance Database'!$A$2:$A$1199,MATCH(21,Engine!$C$2:$C$1199,0)))</f>
        <v>Singapore</v>
      </c>
      <c r="B34" s="6" t="str">
        <f>IF(ISNA(MATCH(21,Engine!$C$2:$C$1199,0)),"",INDEX('Compliance Database'!$B$2:$B$1199,MATCH(21,Engine!$C$2:$C$1199,0)))</f>
        <v>MAS Notices 644 655 644A 655A 1114 1118 Cancellation 2024 (Singapore - Row 18)</v>
      </c>
      <c r="C34" s="6" t="str">
        <f>IF(ISNA(MATCH(21,Engine!$C$2:$C$1199,0)),"",INDEX('Compliance Database'!$C$2:$C$1199,MATCH(21,Engine!$C$2:$C$1199,0)))</f>
        <v>2</v>
      </c>
      <c r="D34" s="7" t="str">
        <f>IF(ISNA(MATCH(21,Engine!$C$2:$C$1199,0)),"",INDEX('Compliance Database'!$D$2:$D$1199,MATCH(21,Engine!$C$2:$C$1199,0)))</f>
        <v>Cancellation of specific MAS Notices effective 10 May 2024</v>
      </c>
      <c r="E34" s="6" t="str">
        <f>IF(ISNA(MATCH(21,Engine!$C$2:$C$1199,0)),"",INDEX('Compliance Database'!$E$2:$E$1199,MATCH(21,Engine!$C$2:$C$1199,0)))</f>
        <v>1</v>
      </c>
      <c r="F34" s="6" t="str">
        <f>IF(ISNA(MATCH(21,Engine!$C$2:$C$1199,0)),"",INDEX('Compliance Database'!$F$2:$F$1199,MATCH(21,Engine!$C$2:$C$1199,0)))</f>
        <v>High</v>
      </c>
      <c r="G34" s="6" t="str">
        <f>IF(ISNA(MATCH(21,Engine!$C$2:$C$1199,0)),"",INDEX('Compliance Database'!$G$2:$G$1199,MATCH(21,Engine!$C$2:$C$1199,0)))</f>
        <v>High (explicit)</v>
      </c>
      <c r="H34" s="7" t="str">
        <f>IF(ISNA(MATCH(21,Engine!$C$2:$C$1199,0)),"",INDEX('Compliance Database'!$H$2:$H$1199,MATCH(21,Engine!$C$2:$C$1199,0)))</f>
        <v>Governance</v>
      </c>
      <c r="I34" s="7">
        <f>IF(ISNA(MATCH(21,Engine!$C$2:$C$1199,0)),"",INDEX('Compliance Database'!$I$2:$I$1199,MATCH(21,Engine!$C$2:$C$1199,0)))</f>
        <v>0</v>
      </c>
      <c r="J34" s="6" t="str">
        <f>IF(ISNA(MATCH(21,Engine!$C$2:$C$1199,0)),"",INDEX('Compliance Database'!$J$2:$J$1199,MATCH(21,Engine!$C$2:$C$1199,0)))</f>
        <v>MAS</v>
      </c>
      <c r="K34" s="7" t="str">
        <f>IF(ISNA(MATCH(21,Engine!$C$2:$C$1199,0)),"",INDEX('Compliance Database'!$K$2:$K$1199,MATCH(21,Engine!$C$2:$C$1199,0)))</f>
        <v>This section lists six MAS Notices that are cancelled with effect from 10 May 2024. The cancelled notices include technology risk management and cyber hygiene notices from various dates. These notices are no longer in force after the specified date.</v>
      </c>
      <c r="L34" s="7">
        <f>IF(ISNA(MATCH(21,Engine!$C$2:$C$1199,0)),"",INDEX('Compliance Database'!$L$2:$L$1199,MATCH(21,Engine!$C$2:$C$1199,0)))</f>
        <v>0</v>
      </c>
      <c r="M34" s="7" t="str">
        <f>IF(ISNA(MATCH(21,Engine!$C$2:$C$1199,0)),"",INDEX('Compliance Database'!$M$2:$M$1199,MATCH(21,Engine!$C$2:$C$1199,0)))</f>
        <v>• [Authorisation] The following Notices are cancelled with effect from 10 May 2024
• [Restriction] MAS Notice 644 "Notice on Technology Risk Management" dated 21 June 2013
• [Restriction] MAS Notice 655 "Notice on Cyber Hygiene" dated 6 August 2019
• [Restriction] MAS Notice 644A "Notice on Technology Risk Management" dated 21 June 2013</v>
      </c>
      <c r="N34" s="7" t="str">
        <f>IF(ISNA(MATCH(21,Engine!$C$2:$C$1199,0)),"",INDEX('Compliance Database'!$N$2:$N$1199,MATCH(21,Engine!$C$2:$C$1199,0)))</f>
        <v>• [Restriction] MAS Notice 655A "Notice on Cyber Hygiene" dated 6 August 2019
• [Restriction] MAS Notice 1114 "Notice on Technology Risk Management" dated 1 July 2021
• [Restriction] MAS Notice 1118 "Notice on Cyber Hygiene" dated 1 July 2021</v>
      </c>
      <c r="O34" s="7" t="str">
        <f>IF(ISNA(MATCH(21,Engine!$C$2:$C$1199,0)),"",INDEX('Compliance Database'!$O$2:$O$1199,MATCH(21,Engine!$C$2:$C$1199,0)))</f>
        <v>The following Notices are cancelled with effect from 10 May 2024: (a) MAS Notice 644 "Notice on Technology Risk Management" dated 21 June 2013; (b) MAS Notice 655 "Notice on Cyber Hygiene" dated 6 August 2019; (c) MAS Notice 644A "Notice on Technology Risk Management" dated 21 June 2013; (d) MAS Notice 655A "Notice on Cyber Hygiene" dated 6 August 2019; (e) MAS Notice 1114 "Notice on Technology Risk Management" dated 1 July 2021; (f) MAS Notice 1118 "Notice on Cyber Hygiene" dated 1 July 2021.</v>
      </c>
      <c r="P34" s="6" t="str">
        <f>IF(ISNA(MATCH(21,Engine!$C$2:$C$1199,0)),"",HYPERLINK("#Acts!A"&amp;INDEX('Compliance Database'!$P$2:$P$1199,MATCH(21,Engine!$C$2:$C$1199,0)),"Go to Act"))</f>
        <v>Go to Act</v>
      </c>
    </row>
    <row r="35" spans="1:16" ht="172.95" customHeight="1" x14ac:dyDescent="0.3">
      <c r="A35" s="6" t="str">
        <f>IF(ISNA(MATCH(22,Engine!$C$2:$C$1199,0)),"",INDEX('Compliance Database'!$A$2:$A$1199,MATCH(22,Engine!$C$2:$C$1199,0)))</f>
        <v>Singapore</v>
      </c>
      <c r="B35" s="6" t="str">
        <f>IF(ISNA(MATCH(22,Engine!$C$2:$C$1199,0)),"",INDEX('Compliance Database'!$B$2:$B$1199,MATCH(22,Engine!$C$2:$C$1199,0)))</f>
        <v>Personal Data Protection (Prescribed Law Enforceme (Singapore - Row 26)</v>
      </c>
      <c r="C35" s="6" t="str">
        <f>IF(ISNA(MATCH(22,Engine!$C$2:$C$1199,0)),"",INDEX('Compliance Database'!$C$2:$C$1199,MATCH(22,Engine!$C$2:$C$1199,0)))</f>
        <v>1</v>
      </c>
      <c r="D35" s="7" t="str">
        <f>IF(ISNA(MATCH(22,Engine!$C$2:$C$1199,0)),"",INDEX('Compliance Database'!$D$2:$D$1199,MATCH(22,Engine!$C$2:$C$1199,0)))</f>
        <v>Notification effective date and scope</v>
      </c>
      <c r="E35" s="6" t="str">
        <f>IF(ISNA(MATCH(22,Engine!$C$2:$C$1199,0)),"",INDEX('Compliance Database'!$E$2:$E$1199,MATCH(22,Engine!$C$2:$C$1199,0)))</f>
        <v>1</v>
      </c>
      <c r="F35" s="6" t="str">
        <f>IF(ISNA(MATCH(22,Engine!$C$2:$C$1199,0)),"",INDEX('Compliance Database'!$F$2:$F$1199,MATCH(22,Engine!$C$2:$C$1199,0)))</f>
        <v>None</v>
      </c>
      <c r="G35" s="6" t="str">
        <f>IF(ISNA(MATCH(22,Engine!$C$2:$C$1199,0)),"",INDEX('Compliance Database'!$G$2:$G$1199,MATCH(22,Engine!$C$2:$C$1199,0)))</f>
        <v>High (explicit)</v>
      </c>
      <c r="H35" s="7">
        <f>IF(ISNA(MATCH(22,Engine!$C$2:$C$1199,0)),"",INDEX('Compliance Database'!$H$2:$H$1199,MATCH(22,Engine!$C$2:$C$1199,0)))</f>
        <v>0</v>
      </c>
      <c r="I35" s="7">
        <f>IF(ISNA(MATCH(22,Engine!$C$2:$C$1199,0)),"",INDEX('Compliance Database'!$I$2:$I$1199,MATCH(22,Engine!$C$2:$C$1199,0)))</f>
        <v>0</v>
      </c>
      <c r="J35" s="6">
        <f>IF(ISNA(MATCH(22,Engine!$C$2:$C$1199,0)),"",INDEX('Compliance Database'!$J$2:$J$1199,MATCH(22,Engine!$C$2:$C$1199,0)))</f>
        <v>0</v>
      </c>
      <c r="K35" s="7" t="str">
        <f>IF(ISNA(MATCH(22,Engine!$C$2:$C$1199,0)),"",INDEX('Compliance Database'!$K$2:$K$1199,MATCH(22,Engine!$C$2:$C$1199,0)))</f>
        <v>This section establishes the effective date and scope of the Personal Data Protection (Prescribed Law Enforcement Agency) Notification 2020, which comes into operation on 15 April 2020. It defines the Notification as the official document for prescribed law enforcement agencies under the Personal Data Protection Act. The Notification serves as the legal framework for identifying which agencies qualify as prescribed law enforcement agencies.</v>
      </c>
      <c r="L35" s="7">
        <f>IF(ISNA(MATCH(22,Engine!$C$2:$C$1199,0)),"",INDEX('Compliance Database'!$L$2:$L$1199,MATCH(22,Engine!$C$2:$C$1199,0)))</f>
        <v>0</v>
      </c>
      <c r="M35" s="7" t="str">
        <f>IF(ISNA(MATCH(22,Engine!$C$2:$C$1199,0)),"",INDEX('Compliance Database'!$M$2:$M$1199,MATCH(22,Engine!$C$2:$C$1199,0)))</f>
        <v>• [Definition] This Notification is the Personal Data Protection (Prescribed Law Enforcement Agency) Notification 2020</v>
      </c>
      <c r="N35" s="7" t="str">
        <f>IF(ISNA(MATCH(22,Engine!$C$2:$C$1199,0)),"",INDEX('Compliance Database'!$N$2:$N$1199,MATCH(22,Engine!$C$2:$C$1199,0)))</f>
        <v>• [Definition] This Notification comes into operation on 15 April 2020</v>
      </c>
      <c r="O35" s="7" t="str">
        <f>IF(ISNA(MATCH(22,Engine!$C$2:$C$1199,0)),"",INDEX('Compliance Database'!$O$2:$O$1199,MATCH(22,Engine!$C$2:$C$1199,0)))</f>
        <v>This Notification is the Personal Data Protection (Prescribed Law Enforcement Agency) Notification 2020 and comes into operation on 15 April 2020.</v>
      </c>
      <c r="P35" s="6" t="str">
        <f>IF(ISNA(MATCH(22,Engine!$C$2:$C$1199,0)),"",HYPERLINK("#Acts!A"&amp;INDEX('Compliance Database'!$P$2:$P$1199,MATCH(22,Engine!$C$2:$C$1199,0)),"Go to Act"))</f>
        <v>Go to Act</v>
      </c>
    </row>
    <row r="36" spans="1:16" ht="172.95" customHeight="1" x14ac:dyDescent="0.3">
      <c r="A36" s="6" t="str">
        <f>IF(ISNA(MATCH(23,Engine!$C$2:$C$1199,0)),"",INDEX('Compliance Database'!$A$2:$A$1199,MATCH(23,Engine!$C$2:$C$1199,0)))</f>
        <v>Singapore</v>
      </c>
      <c r="B36" s="6" t="str">
        <f>IF(ISNA(MATCH(23,Engine!$C$2:$C$1199,0)),"",INDEX('Compliance Database'!$B$2:$B$1199,MATCH(23,Engine!$C$2:$C$1199,0)))</f>
        <v>Personal Data Protection (Prescribed Law Enforceme (Singapore - Row 26)</v>
      </c>
      <c r="C36" s="6" t="str">
        <f>IF(ISNA(MATCH(23,Engine!$C$2:$C$1199,0)),"",INDEX('Compliance Database'!$C$2:$C$1199,MATCH(23,Engine!$C$2:$C$1199,0)))</f>
        <v>2</v>
      </c>
      <c r="D36" s="7" t="str">
        <f>IF(ISNA(MATCH(23,Engine!$C$2:$C$1199,0)),"",INDEX('Compliance Database'!$D$2:$D$1199,MATCH(23,Engine!$C$2:$C$1199,0)))</f>
        <v>Corrupt Practices Investigation Bureau as prescribed law enforcement agency</v>
      </c>
      <c r="E36" s="6" t="str">
        <f>IF(ISNA(MATCH(23,Engine!$C$2:$C$1199,0)),"",INDEX('Compliance Database'!$E$2:$E$1199,MATCH(23,Engine!$C$2:$C$1199,0)))</f>
        <v>1–2</v>
      </c>
      <c r="F36" s="6" t="str">
        <f>IF(ISNA(MATCH(23,Engine!$C$2:$C$1199,0)),"",INDEX('Compliance Database'!$F$2:$F$1199,MATCH(23,Engine!$C$2:$C$1199,0)))</f>
        <v>Low</v>
      </c>
      <c r="G36" s="6" t="str">
        <f>IF(ISNA(MATCH(23,Engine!$C$2:$C$1199,0)),"",INDEX('Compliance Database'!$G$2:$G$1199,MATCH(23,Engine!$C$2:$C$1199,0)))</f>
        <v>High (explicit)</v>
      </c>
      <c r="H36" s="7">
        <f>IF(ISNA(MATCH(23,Engine!$C$2:$C$1199,0)),"",INDEX('Compliance Database'!$H$2:$H$1199,MATCH(23,Engine!$C$2:$C$1199,0)))</f>
        <v>0</v>
      </c>
      <c r="I36" s="7">
        <f>IF(ISNA(MATCH(23,Engine!$C$2:$C$1199,0)),"",INDEX('Compliance Database'!$I$2:$I$1199,MATCH(23,Engine!$C$2:$C$1199,0)))</f>
        <v>0</v>
      </c>
      <c r="J36" s="6">
        <f>IF(ISNA(MATCH(23,Engine!$C$2:$C$1199,0)),"",INDEX('Compliance Database'!$J$2:$J$1199,MATCH(23,Engine!$C$2:$C$1199,0)))</f>
        <v>0</v>
      </c>
      <c r="K36" s="7" t="str">
        <f>IF(ISNA(MATCH(23,Engine!$C$2:$C$1199,0)),"",INDEX('Compliance Database'!$K$2:$K$1199,MATCH(23,Engine!$C$2:$C$1199,0)))</f>
        <v>This section specifies that the Corrupt Practices Investigation Bureau (CPIB) is designated as a prescribed law enforcement agency under the Personal Data Protection Act. The designation applies to sections 21(4) and 26D(6) of the Act and the Second Schedule. This designation is effective from 5 February 2021, as noted in the reference [S 83/2021].</v>
      </c>
      <c r="L36" s="7">
        <f>IF(ISNA(MATCH(23,Engine!$C$2:$C$1199,0)),"",INDEX('Compliance Database'!$L$2:$L$1199,MATCH(23,Engine!$C$2:$C$1199,0)))</f>
        <v>0</v>
      </c>
      <c r="M36" s="7" t="str">
        <f>IF(ISNA(MATCH(23,Engine!$C$2:$C$1199,0)),"",INDEX('Compliance Database'!$M$2:$M$1199,MATCH(23,Engine!$C$2:$C$1199,0)))</f>
        <v>• [Definition] The Corrupt Practices Investigation Bureau is a prescribed law enforcement agency</v>
      </c>
      <c r="N36" s="7">
        <f>IF(ISNA(MATCH(23,Engine!$C$2:$C$1199,0)),"",INDEX('Compliance Database'!$N$2:$N$1199,MATCH(23,Engine!$C$2:$C$1199,0)))</f>
        <v>0</v>
      </c>
      <c r="O36" s="7" t="str">
        <f>IF(ISNA(MATCH(23,Engine!$C$2:$C$1199,0)),"",INDEX('Compliance Database'!$O$2:$O$1199,MATCH(23,Engine!$C$2:$C$1199,0)))</f>
        <v>For the purposes of sections 21(4) and 26D(6) of, and the Second Schedule to, the Act, the Corrupt Practices Investigation Bureau is a prescribed law enforcement agency.</v>
      </c>
      <c r="P36" s="6" t="str">
        <f>IF(ISNA(MATCH(23,Engine!$C$2:$C$1199,0)),"",HYPERLINK("#Acts!A"&amp;INDEX('Compliance Database'!$P$2:$P$1199,MATCH(23,Engine!$C$2:$C$1199,0)),"Go to Act"))</f>
        <v>Go to Act</v>
      </c>
    </row>
    <row r="37" spans="1:16" ht="172.95" customHeight="1" x14ac:dyDescent="0.3">
      <c r="A37" s="6" t="str">
        <f>IF(ISNA(MATCH(24,Engine!$C$2:$C$1199,0)),"",INDEX('Compliance Database'!$A$2:$A$1199,MATCH(24,Engine!$C$2:$C$1199,0)))</f>
        <v>Singapore</v>
      </c>
      <c r="B37" s="6" t="str">
        <f>IF(ISNA(MATCH(24,Engine!$C$2:$C$1199,0)),"",INDEX('Compliance Database'!$B$2:$B$1199,MATCH(24,Engine!$C$2:$C$1199,0)))</f>
        <v>Statistics Act 1973 (Singapore - Row 24)PROVISIONALLY</v>
      </c>
      <c r="C37" s="6" t="str">
        <f>IF(ISNA(MATCH(24,Engine!$C$2:$C$1199,0)),"",INDEX('Compliance Database'!$C$2:$C$1199,MATCH(24,Engine!$C$2:$C$1199,0)))</f>
        <v>2</v>
      </c>
      <c r="D37" s="7" t="str">
        <f>IF(ISNA(MATCH(24,Engine!$C$2:$C$1199,0)),"",INDEX('Compliance Database'!$D$2:$D$1199,MATCH(24,Engine!$C$2:$C$1199,0)))</f>
        <v>Definitions of statistical terms and entities</v>
      </c>
      <c r="E37" s="6" t="str">
        <f>IF(ISNA(MATCH(24,Engine!$C$2:$C$1199,0)),"",INDEX('Compliance Database'!$E$2:$E$1199,MATCH(24,Engine!$C$2:$C$1199,0)))</f>
        <v>2–8</v>
      </c>
      <c r="F37" s="6" t="str">
        <f>IF(ISNA(MATCH(24,Engine!$C$2:$C$1199,0)),"",INDEX('Compliance Database'!$F$2:$F$1199,MATCH(24,Engine!$C$2:$C$1199,0)))</f>
        <v>None</v>
      </c>
      <c r="G37" s="6" t="str">
        <f>IF(ISNA(MATCH(24,Engine!$C$2:$C$1199,0)),"",INDEX('Compliance Database'!$G$2:$G$1199,MATCH(24,Engine!$C$2:$C$1199,0)))</f>
        <v>High (explicit)</v>
      </c>
      <c r="H37" s="7">
        <f>IF(ISNA(MATCH(24,Engine!$C$2:$C$1199,0)),"",INDEX('Compliance Database'!$H$2:$H$1199,MATCH(24,Engine!$C$2:$C$1199,0)))</f>
        <v>0</v>
      </c>
      <c r="I37" s="7" t="str">
        <f>IF(ISNA(MATCH(24,Engine!$C$2:$C$1199,0)),"",INDEX('Compliance Database'!$I$2:$I$1199,MATCH(24,Engine!$C$2:$C$1199,0)))</f>
        <v>Personal Information</v>
      </c>
      <c r="J37" s="6">
        <f>IF(ISNA(MATCH(24,Engine!$C$2:$C$1199,0)),"",INDEX('Compliance Database'!$J$2:$J$1199,MATCH(24,Engine!$C$2:$C$1199,0)))</f>
        <v>0</v>
      </c>
      <c r="K37" s="7" t="str">
        <f>IF(ISNA(MATCH(24,Engine!$C$2:$C$1199,0)),"",INDEX('Compliance Database'!$K$2:$K$1199,MATCH(24,Engine!$C$2:$C$1199,0)))</f>
        <v>This section defines key terms used throughout the Statistics Act, including 'anonymised microdata', 'public agency', 'requisition', 'research and statistics unit', and 'statistical purposes'. These definitions establish the scope and meaning of critical concepts for data collection and processing activities under the Act.</v>
      </c>
      <c r="L37" s="7">
        <f>IF(ISNA(MATCH(24,Engine!$C$2:$C$1199,0)),"",INDEX('Compliance Database'!$L$2:$L$1199,MATCH(24,Engine!$C$2:$C$1199,0)))</f>
        <v>0</v>
      </c>
      <c r="M37" s="7" t="str">
        <f>IF(ISNA(MATCH(24,Engine!$C$2:$C$1199,0)),"",INDEX('Compliance Database'!$M$2:$M$1199,MATCH(24,Engine!$C$2:$C$1199,0)))</f>
        <v>• [Definition] anonymised microdata means particulars or information pertaining to any person which is in a form that conceals or protects the identity of that person, whether by presenting the particulars or information in statistical form or otherwise, so that the identity of that person cannot be readily discovered or ascertained from the particulars or infor…
• [Definition] public agency means a public officer, an Organ of State or a ministry or department of the Government, or a public authority established by or under any written law for a public purpose or a member, an officer or an employee thereof
• [Definition] requisition means a requisition issued under section 5</v>
      </c>
      <c r="N37" s="7" t="str">
        <f>IF(ISNA(MATCH(24,Engine!$C$2:$C$1199,0)),"",INDEX('Compliance Database'!$N$2:$N$1199,MATCH(24,Engine!$C$2:$C$1199,0)))</f>
        <v>• [Definition] research and statistics unit means a research and statistics unit specified in the Second Schedule
• [Definition] statistical purposes means the compilation of statistics or the preparation of anonymised microdata relating to any subject matter listed in the First Schedule</v>
      </c>
      <c r="O37" s="7" t="str">
        <f>IF(ISNA(MATCH(24,Engine!$C$2:$C$1199,0)),"",INDEX('Compliance Database'!$O$2:$O$1199,MATCH(24,Engine!$C$2:$C$1199,0)))</f>
        <v>2. In this Act, unless the context otherwise requires — "anonymised microdata" means particulars or information pertaining to any person which is in a form that conceals or protects the identity of that person, whether by presenting the particulars or information in statistical form or otherwise, so that the identity of that person cannot be readily discovered or ascertained from the particulars or information; "public agency" means a public officer, an Organ of State or a ministry or department of the Government, or a public authority established by or under any written law for a public purpose or a member, an officer or an employee thereof; "requisition" means a requisition issued under section 5; "research and statistics unit" means a research and statistics unit specified in the Second Schedule; "statistical purposes" means the compilation of statistics or the preparation of anonymised microdata relating to any subject matter listed in the First Schedule.</v>
      </c>
      <c r="P37" s="6" t="str">
        <f>IF(ISNA(MATCH(24,Engine!$C$2:$C$1199,0)),"",HYPERLINK("#Acts!A"&amp;INDEX('Compliance Database'!$P$2:$P$1199,MATCH(24,Engine!$C$2:$C$1199,0)),"Go to Act"))</f>
        <v>Go to Act</v>
      </c>
    </row>
    <row r="38" spans="1:16" ht="172.95" customHeight="1" x14ac:dyDescent="0.3">
      <c r="A38" s="6" t="str">
        <f>IF(ISNA(MATCH(25,Engine!$C$2:$C$1199,0)),"",INDEX('Compliance Database'!$A$2:$A$1199,MATCH(25,Engine!$C$2:$C$1199,0)))</f>
        <v>Singapore</v>
      </c>
      <c r="B38" s="6" t="str">
        <f>IF(ISNA(MATCH(25,Engine!$C$2:$C$1199,0)),"",INDEX('Compliance Database'!$B$2:$B$1199,MATCH(25,Engine!$C$2:$C$1199,0)))</f>
        <v>Statistics Act 1973 (Singapore - Row 24)PROVISIONALLY</v>
      </c>
      <c r="C38" s="6" t="str">
        <f>IF(ISNA(MATCH(25,Engine!$C$2:$C$1199,0)),"",INDEX('Compliance Database'!$C$2:$C$1199,MATCH(25,Engine!$C$2:$C$1199,0)))</f>
        <v>7</v>
      </c>
      <c r="D38" s="7" t="str">
        <f>IF(ISNA(MATCH(25,Engine!$C$2:$C$1199,0)),"",INDEX('Compliance Database'!$D$2:$D$1199,MATCH(25,Engine!$C$2:$C$1199,0)))</f>
        <v>Banking provisions</v>
      </c>
      <c r="E38" s="6" t="str">
        <f>IF(ISNA(MATCH(25,Engine!$C$2:$C$1199,0)),"",INDEX('Compliance Database'!$E$2:$E$1199,MATCH(25,Engine!$C$2:$C$1199,0)))</f>
        <v>11</v>
      </c>
      <c r="F38" s="6" t="str">
        <f>IF(ISNA(MATCH(25,Engine!$C$2:$C$1199,0)),"",INDEX('Compliance Database'!$F$2:$F$1199,MATCH(25,Engine!$C$2:$C$1199,0)))</f>
        <v>Low</v>
      </c>
      <c r="G38" s="6" t="str">
        <f>IF(ISNA(MATCH(25,Engine!$C$2:$C$1199,0)),"",INDEX('Compliance Database'!$G$2:$G$1199,MATCH(25,Engine!$C$2:$C$1199,0)))</f>
        <v>High (explicit)</v>
      </c>
      <c r="H38" s="7">
        <f>IF(ISNA(MATCH(25,Engine!$C$2:$C$1199,0)),"",INDEX('Compliance Database'!$H$2:$H$1199,MATCH(25,Engine!$C$2:$C$1199,0)))</f>
        <v>0</v>
      </c>
      <c r="I38" s="7">
        <f>IF(ISNA(MATCH(25,Engine!$C$2:$C$1199,0)),"",INDEX('Compliance Database'!$I$2:$I$1199,MATCH(25,Engine!$C$2:$C$1199,0)))</f>
        <v>0</v>
      </c>
      <c r="J38" s="6">
        <f>IF(ISNA(MATCH(25,Engine!$C$2:$C$1199,0)),"",INDEX('Compliance Database'!$J$2:$J$1199,MATCH(25,Engine!$C$2:$C$1199,0)))</f>
        <v>0</v>
      </c>
      <c r="K38" s="7" t="str">
        <f>IF(ISNA(MATCH(25,Engine!$C$2:$C$1199,0)),"",INDEX('Compliance Database'!$K$2:$K$1199,MATCH(25,Engine!$C$2:$C$1199,0)))</f>
        <v>This section is a heading for a banking provision but contains no substantive text. It serves as a label for a section that may relate to banking regulations but does not define any specific obligations or conditions.</v>
      </c>
      <c r="L38" s="7">
        <f>IF(ISNA(MATCH(25,Engine!$C$2:$C$1199,0)),"",INDEX('Compliance Database'!$L$2:$L$1199,MATCH(25,Engine!$C$2:$C$1199,0)))</f>
        <v>0</v>
      </c>
      <c r="M38" s="7" t="str">
        <f>IF(ISNA(MATCH(25,Engine!$C$2:$C$1199,0)),"",INDEX('Compliance Database'!$M$2:$M$1199,MATCH(25,Engine!$C$2:$C$1199,0)))</f>
        <v>• [Definition] 7. Banking</v>
      </c>
      <c r="N38" s="7">
        <f>IF(ISNA(MATCH(25,Engine!$C$2:$C$1199,0)),"",INDEX('Compliance Database'!$N$2:$N$1199,MATCH(25,Engine!$C$2:$C$1199,0)))</f>
        <v>0</v>
      </c>
      <c r="O38" s="7" t="str">
        <f>IF(ISNA(MATCH(25,Engine!$C$2:$C$1199,0)),"",INDEX('Compliance Database'!$O$2:$O$1199,MATCH(25,Engine!$C$2:$C$1199,0)))</f>
        <v>7. Banking</v>
      </c>
      <c r="P38" s="6" t="str">
        <f>IF(ISNA(MATCH(25,Engine!$C$2:$C$1199,0)),"",HYPERLINK("#Acts!A"&amp;INDEX('Compliance Database'!$P$2:$P$1199,MATCH(25,Engine!$C$2:$C$1199,0)),"Go to Act"))</f>
        <v>Go to Act</v>
      </c>
    </row>
    <row r="39" spans="1:16" ht="172.95" customHeight="1" x14ac:dyDescent="0.3">
      <c r="A39" s="6" t="str">
        <f>IF(ISNA(MATCH(26,Engine!$C$2:$C$1199,0)),"",INDEX('Compliance Database'!$A$2:$A$1199,MATCH(26,Engine!$C$2:$C$1199,0)))</f>
        <v>Singapore</v>
      </c>
      <c r="B39" s="6" t="str">
        <f>IF(ISNA(MATCH(26,Engine!$C$2:$C$1199,0)),"",INDEX('Compliance Database'!$B$2:$B$1199,MATCH(26,Engine!$C$2:$C$1199,0)))</f>
        <v>Statistics Act 1973 (Singapore - Row 32)</v>
      </c>
      <c r="C39" s="6" t="str">
        <f>IF(ISNA(MATCH(26,Engine!$C$2:$C$1199,0)),"",INDEX('Compliance Database'!$C$2:$C$1199,MATCH(26,Engine!$C$2:$C$1199,0)))</f>
        <v>2</v>
      </c>
      <c r="D39" s="7" t="str">
        <f>IF(ISNA(MATCH(26,Engine!$C$2:$C$1199,0)),"",INDEX('Compliance Database'!$D$2:$D$1199,MATCH(26,Engine!$C$2:$C$1199,0)))</f>
        <v>Definitions of statistical terms and entities</v>
      </c>
      <c r="E39" s="6" t="str">
        <f>IF(ISNA(MATCH(26,Engine!$C$2:$C$1199,0)),"",INDEX('Compliance Database'!$E$2:$E$1199,MATCH(26,Engine!$C$2:$C$1199,0)))</f>
        <v>2–8</v>
      </c>
      <c r="F39" s="6" t="str">
        <f>IF(ISNA(MATCH(26,Engine!$C$2:$C$1199,0)),"",INDEX('Compliance Database'!$F$2:$F$1199,MATCH(26,Engine!$C$2:$C$1199,0)))</f>
        <v>None</v>
      </c>
      <c r="G39" s="6" t="str">
        <f>IF(ISNA(MATCH(26,Engine!$C$2:$C$1199,0)),"",INDEX('Compliance Database'!$G$2:$G$1199,MATCH(26,Engine!$C$2:$C$1199,0)))</f>
        <v>High (explicit)</v>
      </c>
      <c r="H39" s="7">
        <f>IF(ISNA(MATCH(26,Engine!$C$2:$C$1199,0)),"",INDEX('Compliance Database'!$H$2:$H$1199,MATCH(26,Engine!$C$2:$C$1199,0)))</f>
        <v>0</v>
      </c>
      <c r="I39" s="7" t="str">
        <f>IF(ISNA(MATCH(26,Engine!$C$2:$C$1199,0)),"",INDEX('Compliance Database'!$I$2:$I$1199,MATCH(26,Engine!$C$2:$C$1199,0)))</f>
        <v>Personal Information</v>
      </c>
      <c r="J39" s="6">
        <f>IF(ISNA(MATCH(26,Engine!$C$2:$C$1199,0)),"",INDEX('Compliance Database'!$J$2:$J$1199,MATCH(26,Engine!$C$2:$C$1199,0)))</f>
        <v>0</v>
      </c>
      <c r="K39" s="7" t="str">
        <f>IF(ISNA(MATCH(26,Engine!$C$2:$C$1199,0)),"",INDEX('Compliance Database'!$K$2:$K$1199,MATCH(26,Engine!$C$2:$C$1199,0)))</f>
        <v>This section defines key terms used throughout the Act, including 'anonymised microdata' as statistical information that conceals individual identity, 'public agency' as government entities, 'requisition' for data collection, 'research and statistics unit' for statistical activities, and 'statistical purposes' for data compilation. These definitions establish the scope and terminology for statistical operations under the Act.</v>
      </c>
      <c r="L39" s="7">
        <f>IF(ISNA(MATCH(26,Engine!$C$2:$C$1199,0)),"",INDEX('Compliance Database'!$L$2:$L$1199,MATCH(26,Engine!$C$2:$C$1199,0)))</f>
        <v>0</v>
      </c>
      <c r="M39" s="7" t="str">
        <f>IF(ISNA(MATCH(26,Engine!$C$2:$C$1199,0)),"",INDEX('Compliance Database'!$M$2:$M$1199,MATCH(26,Engine!$C$2:$C$1199,0)))</f>
        <v>• [Definition] anonymised microdata means particulars or information pertaining to any person which is in a form that conceals or protects the identity of that person, whether by presenting the particulars or information in statistical form or otherwise, so that the identity of that person cannot be readily discovered or ascertained from the particulars or infor…
• [Definition] public agency means a public officer, an Organ of State or a ministry or department of the Government, or a public authority established by or under any written law for a public purpose or a member, an officer or an employee thereof
• [Definition] requisition means a requisition issued under section 5</v>
      </c>
      <c r="N39" s="7" t="str">
        <f>IF(ISNA(MATCH(26,Engine!$C$2:$C$1199,0)),"",INDEX('Compliance Database'!$N$2:$N$1199,MATCH(26,Engine!$C$2:$C$1199,0)))</f>
        <v>• [Definition] research and statistics unit means a research and statistics unit specified in the Second Schedule
• [Definition] statistical purposes means the compilation of statistics or the preparation of anonymised microdata relating to any subject matter listed in the First Schedule</v>
      </c>
      <c r="O39" s="7" t="str">
        <f>IF(ISNA(MATCH(26,Engine!$C$2:$C$1199,0)),"",INDEX('Compliance Database'!$O$2:$O$1199,MATCH(26,Engine!$C$2:$C$1199,0)))</f>
        <v>2. In this Act, unless the context otherwise requires — "anonymised microdata" means particulars or information pertaining to any person which is in a form that conceals or protects the identity of that person, whether by presenting the particulars or information in statistical form or otherwise, so that the identity of that person cannot be readily discovered or ascertained from the particulars or information; "public agency" means a public officer, an Organ of State or a ministry or department of the Government, or a public authority established by or under any written law for a public purpose or a member, an officer or an employee thereof; "requisition" means a requisition issued under section 5; "research and statistics unit" means a research and statistics unit specified in the Second Schedule; "statistical purposes" means the compilation of statistics or the preparation of anonymised microdata relating to any subject matter listed in the First Schedule.</v>
      </c>
      <c r="P39" s="6" t="str">
        <f>IF(ISNA(MATCH(26,Engine!$C$2:$C$1199,0)),"",HYPERLINK("#Acts!A"&amp;INDEX('Compliance Database'!$P$2:$P$1199,MATCH(26,Engine!$C$2:$C$1199,0)),"Go to Act"))</f>
        <v>Go to Act</v>
      </c>
    </row>
    <row r="40" spans="1:16" ht="172.95" customHeight="1" x14ac:dyDescent="0.3">
      <c r="A40" s="6" t="str">
        <f>IF(ISNA(MATCH(27,Engine!$C$2:$C$1199,0)),"",INDEX('Compliance Database'!$A$2:$A$1199,MATCH(27,Engine!$C$2:$C$1199,0)))</f>
        <v>Singapore</v>
      </c>
      <c r="B40" s="6" t="str">
        <f>IF(ISNA(MATCH(27,Engine!$C$2:$C$1199,0)),"",INDEX('Compliance Database'!$B$2:$B$1199,MATCH(27,Engine!$C$2:$C$1199,0)))</f>
        <v>Statistics Act 1973 (Singapore - Row 32)</v>
      </c>
      <c r="C40" s="6" t="str">
        <f>IF(ISNA(MATCH(27,Engine!$C$2:$C$1199,0)),"",INDEX('Compliance Database'!$C$2:$C$1199,MATCH(27,Engine!$C$2:$C$1199,0)))</f>
        <v>7</v>
      </c>
      <c r="D40" s="7" t="str">
        <f>IF(ISNA(MATCH(27,Engine!$C$2:$C$1199,0)),"",INDEX('Compliance Database'!$D$2:$D$1199,MATCH(27,Engine!$C$2:$C$1199,0)))</f>
        <v>Prohibition on disclosing identifiable data without consent</v>
      </c>
      <c r="E40" s="6" t="str">
        <f>IF(ISNA(MATCH(27,Engine!$C$2:$C$1199,0)),"",INDEX('Compliance Database'!$E$2:$E$1199,MATCH(27,Engine!$C$2:$C$1199,0)))</f>
        <v>11</v>
      </c>
      <c r="F40" s="6" t="str">
        <f>IF(ISNA(MATCH(27,Engine!$C$2:$C$1199,0)),"",INDEX('Compliance Database'!$F$2:$F$1199,MATCH(27,Engine!$C$2:$C$1199,0)))</f>
        <v>Low</v>
      </c>
      <c r="G40" s="6" t="str">
        <f>IF(ISNA(MATCH(27,Engine!$C$2:$C$1199,0)),"",INDEX('Compliance Database'!$G$2:$G$1199,MATCH(27,Engine!$C$2:$C$1199,0)))</f>
        <v>High (explicit)</v>
      </c>
      <c r="H40" s="7" t="str">
        <f>IF(ISNA(MATCH(27,Engine!$C$2:$C$1199,0)),"",INDEX('Compliance Database'!$H$2:$H$1199,MATCH(27,Engine!$C$2:$C$1199,0)))</f>
        <v>Data Sharing, Data Residency, Security</v>
      </c>
      <c r="I40" s="7" t="str">
        <f>IF(ISNA(MATCH(27,Engine!$C$2:$C$1199,0)),"",INDEX('Compliance Database'!$I$2:$I$1199,MATCH(27,Engine!$C$2:$C$1199,0)))</f>
        <v>Personal Information</v>
      </c>
      <c r="J40" s="6">
        <f>IF(ISNA(MATCH(27,Engine!$C$2:$C$1199,0)),"",INDEX('Compliance Database'!$J$2:$J$1199,MATCH(27,Engine!$C$2:$C$1199,0)))</f>
        <v>0</v>
      </c>
      <c r="K40" s="7" t="str">
        <f>IF(ISNA(MATCH(27,Engine!$C$2:$C$1199,0)),"",INDEX('Compliance Database'!$K$2:$K$1199,MATCH(27,Engine!$C$2:$C$1199,0)))</f>
        <v>This section prohibits individuals from disclosing data obtained through statistical requisitions or directives in a form that identifies persons without prior written consent. Exceptions include disclosures as anonymised statistics, to public agencies, for legal proceedings, general business information, or data already in the public domain. Non-compliance incurs fines up to $10,000 or imprisonment for up to 12 months.</v>
      </c>
      <c r="L40" s="7" t="str">
        <f>IF(ISNA(MATCH(27,Engine!$C$2:$C$1199,0)),"",INDEX('Compliance Database'!$L$2:$L$1199,MATCH(27,Engine!$C$2:$C$1199,0)))</f>
        <v>This section imposes restrictions on how data obtained for statistical purposes can be shared across borders or with third parties, requiring that disclosures do not identify individuals without consent. It mandates anonymisation for cross-border transfers to avoid identification risks.</v>
      </c>
      <c r="M40" s="7" t="str">
        <f>IF(ISNA(MATCH(27,Engine!$C$2:$C$1199,0)),"",INDEX('Compliance Database'!$M$2:$M$1199,MATCH(27,Engine!$C$2:$C$1199,0)))</f>
        <v>• [Must Not] A person must not disclose any particulars or information obtained under section 5 or 6 in a form that may identify any person without the prior consent in writing of the person that may be identified by the disclosure
• [May] The Chief Statistician or the director of a research and statistics unit (as the case may be) may disclose particulars or information obtained under section 5 or 6 as statistics which do not identify any person
• [May] The Chief Statistician or the director of a research and statistics unit (as the case may be) may disclose particulars or information obtained under section 5 or 6 as anonymised microdata to any public agency
• [May] The Chief Statistician or the director of a research and statistics unit (as the case may be) may disclose particulars or information obtained under section 5 or 6 as anonymised microdata to any other person within a class specified in the Third Schedule
• [May] The Chief Statistician or the director of a research and statistics unit (as the case may be) may disclose particulars or information obtained under section 5 or 6 for the purposes of any proceedings for an offence under this Act or any report of those proceedings</v>
      </c>
      <c r="N40" s="7" t="str">
        <f>IF(ISNA(MATCH(27,Engine!$C$2:$C$1199,0)),"",INDEX('Compliance Database'!$N$2:$N$1199,MATCH(27,Engine!$C$2:$C$1199,0)))</f>
        <v>• [May] The Chief Statistician or the director of a research and statistics unit (as the case may be) may disclose particulars or information obtained under section 5 or 6 that are of a general nature relating to the products or services provided by, the number of employees in or the addresses of, an establishment
• [May] The Chief Statistician or the director of a research and statistics unit (as the case may be) may disclose particulars or information obtained under section 5 or 6 that are already available in the public domain
• [May] The Chief Statistician or the director of a research and statistics unit may, in respect of any particulars or information disclosed to any person under subsection (2), impose conditions as to the use of the particulars or information by written notice to that person
• [Must] If a person discloses any returns or any particulars or information contrary to this section, or fails to comply with any conditions imposed on the person under subsection (3), the person shall be guilty of an offence and shall be liable on conviction to a fine not exceeding $10,000 or to imprisonment for a term not exceeding 12 months or to both</v>
      </c>
      <c r="O40" s="7" t="str">
        <f>IF(ISNA(MATCH(27,Engine!$C$2:$C$1199,0)),"",INDEX('Compliance Database'!$O$2:$O$1199,MATCH(27,Engine!$C$2:$C$1199,0)))</f>
        <v>7. (1) A person must not disclose any particulars or information obtained under section 5 or 6 in a form that may identify any person without the prior consent in writing of the person that may be identified by the disclosure. (2) Despite subsection (1), the Chief Statistician or the director of a research and statistics unit (as the case may be) may disclose particulars or information obtained under section 5 or 6 — (a) as statistics which do not identify any person; (b) as anonymised microdata to — (i) any public agency; or (ii) any other person within a class specified in the Third Schedule; (c) for the purposes of any proceedings for an offence under this Act or any report of those proceedings; (d) that are of a general nature relating to the products or services provided by, the number of employees in or the addresses of, an establishment; or (e) that are already available in the public domain. (3) The Chief Statistician or the director of a research and statistics unit may, in respect of any particulars or information disclosed to any person under subsection (2), impose conditions as to the use of the particulars or information by written notice to that person. (4) If a person discloses any returns or any particulars or information contrary to this section, or fails to comply with any conditions imposed on the person under subsection (3), the person shall be guilty of an offence and shall be liable on conviction to a fine not exceeding $10,000 or to imprisonment for a term not exceeding 12 months or to both.</v>
      </c>
      <c r="P40" s="6" t="str">
        <f>IF(ISNA(MATCH(27,Engine!$C$2:$C$1199,0)),"",HYPERLINK("#Acts!A"&amp;INDEX('Compliance Database'!$P$2:$P$1199,MATCH(27,Engine!$C$2:$C$1199,0)),"Go to Act"))</f>
        <v>Go to Act</v>
      </c>
    </row>
    <row r="41" spans="1:16" ht="172.95" customHeight="1" x14ac:dyDescent="0.3">
      <c r="A41" s="6" t="str">
        <f>IF(ISNA(MATCH(28,Engine!$C$2:$C$1199,0)),"",INDEX('Compliance Database'!$A$2:$A$1199,MATCH(28,Engine!$C$2:$C$1199,0)))</f>
        <v/>
      </c>
      <c r="B41" s="6" t="str">
        <f>IF(ISNA(MATCH(28,Engine!$C$2:$C$1199,0)),"",INDEX('Compliance Database'!$B$2:$B$1199,MATCH(28,Engine!$C$2:$C$1199,0)))</f>
        <v/>
      </c>
      <c r="C41" s="6" t="str">
        <f>IF(ISNA(MATCH(28,Engine!$C$2:$C$1199,0)),"",INDEX('Compliance Database'!$C$2:$C$1199,MATCH(28,Engine!$C$2:$C$1199,0)))</f>
        <v/>
      </c>
      <c r="D41" s="7" t="str">
        <f>IF(ISNA(MATCH(28,Engine!$C$2:$C$1199,0)),"",INDEX('Compliance Database'!$D$2:$D$1199,MATCH(28,Engine!$C$2:$C$1199,0)))</f>
        <v/>
      </c>
      <c r="E41" s="6" t="str">
        <f>IF(ISNA(MATCH(28,Engine!$C$2:$C$1199,0)),"",INDEX('Compliance Database'!$E$2:$E$1199,MATCH(28,Engine!$C$2:$C$1199,0)))</f>
        <v/>
      </c>
      <c r="F41" s="6" t="str">
        <f>IF(ISNA(MATCH(28,Engine!$C$2:$C$1199,0)),"",INDEX('Compliance Database'!$F$2:$F$1199,MATCH(28,Engine!$C$2:$C$1199,0)))</f>
        <v/>
      </c>
      <c r="G41" s="6" t="str">
        <f>IF(ISNA(MATCH(28,Engine!$C$2:$C$1199,0)),"",INDEX('Compliance Database'!$G$2:$G$1199,MATCH(28,Engine!$C$2:$C$1199,0)))</f>
        <v/>
      </c>
      <c r="H41" s="7" t="str">
        <f>IF(ISNA(MATCH(28,Engine!$C$2:$C$1199,0)),"",INDEX('Compliance Database'!$H$2:$H$1199,MATCH(28,Engine!$C$2:$C$1199,0)))</f>
        <v/>
      </c>
      <c r="I41" s="7" t="str">
        <f>IF(ISNA(MATCH(28,Engine!$C$2:$C$1199,0)),"",INDEX('Compliance Database'!$I$2:$I$1199,MATCH(28,Engine!$C$2:$C$1199,0)))</f>
        <v/>
      </c>
      <c r="J41" s="6" t="str">
        <f>IF(ISNA(MATCH(28,Engine!$C$2:$C$1199,0)),"",INDEX('Compliance Database'!$J$2:$J$1199,MATCH(28,Engine!$C$2:$C$1199,0)))</f>
        <v/>
      </c>
      <c r="K41" s="7" t="str">
        <f>IF(ISNA(MATCH(28,Engine!$C$2:$C$1199,0)),"",INDEX('Compliance Database'!$K$2:$K$1199,MATCH(28,Engine!$C$2:$C$1199,0)))</f>
        <v/>
      </c>
      <c r="L41" s="7" t="str">
        <f>IF(ISNA(MATCH(28,Engine!$C$2:$C$1199,0)),"",INDEX('Compliance Database'!$L$2:$L$1199,MATCH(28,Engine!$C$2:$C$1199,0)))</f>
        <v/>
      </c>
      <c r="M41" s="7" t="str">
        <f>IF(ISNA(MATCH(28,Engine!$C$2:$C$1199,0)),"",INDEX('Compliance Database'!$M$2:$M$1199,MATCH(28,Engine!$C$2:$C$1199,0)))</f>
        <v/>
      </c>
      <c r="N41" s="7" t="str">
        <f>IF(ISNA(MATCH(28,Engine!$C$2:$C$1199,0)),"",INDEX('Compliance Database'!$N$2:$N$1199,MATCH(28,Engine!$C$2:$C$1199,0)))</f>
        <v/>
      </c>
      <c r="O41" s="7" t="str">
        <f>IF(ISNA(MATCH(28,Engine!$C$2:$C$1199,0)),"",INDEX('Compliance Database'!$O$2:$O$1199,MATCH(28,Engine!$C$2:$C$1199,0)))</f>
        <v/>
      </c>
      <c r="P41" s="6" t="str">
        <f>IF(ISNA(MATCH(28,Engine!$C$2:$C$1199,0)),"",HYPERLINK("#Acts!A"&amp;INDEX('Compliance Database'!$P$2:$P$1199,MATCH(28,Engine!$C$2:$C$1199,0)),"Go to Act"))</f>
        <v/>
      </c>
    </row>
    <row r="42" spans="1:16" ht="172.95" customHeight="1" x14ac:dyDescent="0.3">
      <c r="A42" s="6" t="str">
        <f>IF(ISNA(MATCH(29,Engine!$C$2:$C$1199,0)),"",INDEX('Compliance Database'!$A$2:$A$1199,MATCH(29,Engine!$C$2:$C$1199,0)))</f>
        <v/>
      </c>
      <c r="B42" s="6" t="str">
        <f>IF(ISNA(MATCH(29,Engine!$C$2:$C$1199,0)),"",INDEX('Compliance Database'!$B$2:$B$1199,MATCH(29,Engine!$C$2:$C$1199,0)))</f>
        <v/>
      </c>
      <c r="C42" s="6" t="str">
        <f>IF(ISNA(MATCH(29,Engine!$C$2:$C$1199,0)),"",INDEX('Compliance Database'!$C$2:$C$1199,MATCH(29,Engine!$C$2:$C$1199,0)))</f>
        <v/>
      </c>
      <c r="D42" s="7" t="str">
        <f>IF(ISNA(MATCH(29,Engine!$C$2:$C$1199,0)),"",INDEX('Compliance Database'!$D$2:$D$1199,MATCH(29,Engine!$C$2:$C$1199,0)))</f>
        <v/>
      </c>
      <c r="E42" s="6" t="str">
        <f>IF(ISNA(MATCH(29,Engine!$C$2:$C$1199,0)),"",INDEX('Compliance Database'!$E$2:$E$1199,MATCH(29,Engine!$C$2:$C$1199,0)))</f>
        <v/>
      </c>
      <c r="F42" s="6" t="str">
        <f>IF(ISNA(MATCH(29,Engine!$C$2:$C$1199,0)),"",INDEX('Compliance Database'!$F$2:$F$1199,MATCH(29,Engine!$C$2:$C$1199,0)))</f>
        <v/>
      </c>
      <c r="G42" s="6" t="str">
        <f>IF(ISNA(MATCH(29,Engine!$C$2:$C$1199,0)),"",INDEX('Compliance Database'!$G$2:$G$1199,MATCH(29,Engine!$C$2:$C$1199,0)))</f>
        <v/>
      </c>
      <c r="H42" s="7" t="str">
        <f>IF(ISNA(MATCH(29,Engine!$C$2:$C$1199,0)),"",INDEX('Compliance Database'!$H$2:$H$1199,MATCH(29,Engine!$C$2:$C$1199,0)))</f>
        <v/>
      </c>
      <c r="I42" s="7" t="str">
        <f>IF(ISNA(MATCH(29,Engine!$C$2:$C$1199,0)),"",INDEX('Compliance Database'!$I$2:$I$1199,MATCH(29,Engine!$C$2:$C$1199,0)))</f>
        <v/>
      </c>
      <c r="J42" s="6" t="str">
        <f>IF(ISNA(MATCH(29,Engine!$C$2:$C$1199,0)),"",INDEX('Compliance Database'!$J$2:$J$1199,MATCH(29,Engine!$C$2:$C$1199,0)))</f>
        <v/>
      </c>
      <c r="K42" s="7" t="str">
        <f>IF(ISNA(MATCH(29,Engine!$C$2:$C$1199,0)),"",INDEX('Compliance Database'!$K$2:$K$1199,MATCH(29,Engine!$C$2:$C$1199,0)))</f>
        <v/>
      </c>
      <c r="L42" s="7" t="str">
        <f>IF(ISNA(MATCH(29,Engine!$C$2:$C$1199,0)),"",INDEX('Compliance Database'!$L$2:$L$1199,MATCH(29,Engine!$C$2:$C$1199,0)))</f>
        <v/>
      </c>
      <c r="M42" s="7" t="str">
        <f>IF(ISNA(MATCH(29,Engine!$C$2:$C$1199,0)),"",INDEX('Compliance Database'!$M$2:$M$1199,MATCH(29,Engine!$C$2:$C$1199,0)))</f>
        <v/>
      </c>
      <c r="N42" s="7" t="str">
        <f>IF(ISNA(MATCH(29,Engine!$C$2:$C$1199,0)),"",INDEX('Compliance Database'!$N$2:$N$1199,MATCH(29,Engine!$C$2:$C$1199,0)))</f>
        <v/>
      </c>
      <c r="O42" s="7" t="str">
        <f>IF(ISNA(MATCH(29,Engine!$C$2:$C$1199,0)),"",INDEX('Compliance Database'!$O$2:$O$1199,MATCH(29,Engine!$C$2:$C$1199,0)))</f>
        <v/>
      </c>
      <c r="P42" s="6" t="str">
        <f>IF(ISNA(MATCH(29,Engine!$C$2:$C$1199,0)),"",HYPERLINK("#Acts!A"&amp;INDEX('Compliance Database'!$P$2:$P$1199,MATCH(29,Engine!$C$2:$C$1199,0)),"Go to Act"))</f>
        <v/>
      </c>
    </row>
    <row r="43" spans="1:16" ht="172.95" customHeight="1" x14ac:dyDescent="0.3">
      <c r="A43" s="6" t="str">
        <f>IF(ISNA(MATCH(30,Engine!$C$2:$C$1199,0)),"",INDEX('Compliance Database'!$A$2:$A$1199,MATCH(30,Engine!$C$2:$C$1199,0)))</f>
        <v/>
      </c>
      <c r="B43" s="6" t="str">
        <f>IF(ISNA(MATCH(30,Engine!$C$2:$C$1199,0)),"",INDEX('Compliance Database'!$B$2:$B$1199,MATCH(30,Engine!$C$2:$C$1199,0)))</f>
        <v/>
      </c>
      <c r="C43" s="6" t="str">
        <f>IF(ISNA(MATCH(30,Engine!$C$2:$C$1199,0)),"",INDEX('Compliance Database'!$C$2:$C$1199,MATCH(30,Engine!$C$2:$C$1199,0)))</f>
        <v/>
      </c>
      <c r="D43" s="7" t="str">
        <f>IF(ISNA(MATCH(30,Engine!$C$2:$C$1199,0)),"",INDEX('Compliance Database'!$D$2:$D$1199,MATCH(30,Engine!$C$2:$C$1199,0)))</f>
        <v/>
      </c>
      <c r="E43" s="6" t="str">
        <f>IF(ISNA(MATCH(30,Engine!$C$2:$C$1199,0)),"",INDEX('Compliance Database'!$E$2:$E$1199,MATCH(30,Engine!$C$2:$C$1199,0)))</f>
        <v/>
      </c>
      <c r="F43" s="6" t="str">
        <f>IF(ISNA(MATCH(30,Engine!$C$2:$C$1199,0)),"",INDEX('Compliance Database'!$F$2:$F$1199,MATCH(30,Engine!$C$2:$C$1199,0)))</f>
        <v/>
      </c>
      <c r="G43" s="6" t="str">
        <f>IF(ISNA(MATCH(30,Engine!$C$2:$C$1199,0)),"",INDEX('Compliance Database'!$G$2:$G$1199,MATCH(30,Engine!$C$2:$C$1199,0)))</f>
        <v/>
      </c>
      <c r="H43" s="7" t="str">
        <f>IF(ISNA(MATCH(30,Engine!$C$2:$C$1199,0)),"",INDEX('Compliance Database'!$H$2:$H$1199,MATCH(30,Engine!$C$2:$C$1199,0)))</f>
        <v/>
      </c>
      <c r="I43" s="7" t="str">
        <f>IF(ISNA(MATCH(30,Engine!$C$2:$C$1199,0)),"",INDEX('Compliance Database'!$I$2:$I$1199,MATCH(30,Engine!$C$2:$C$1199,0)))</f>
        <v/>
      </c>
      <c r="J43" s="6" t="str">
        <f>IF(ISNA(MATCH(30,Engine!$C$2:$C$1199,0)),"",INDEX('Compliance Database'!$J$2:$J$1199,MATCH(30,Engine!$C$2:$C$1199,0)))</f>
        <v/>
      </c>
      <c r="K43" s="7" t="str">
        <f>IF(ISNA(MATCH(30,Engine!$C$2:$C$1199,0)),"",INDEX('Compliance Database'!$K$2:$K$1199,MATCH(30,Engine!$C$2:$C$1199,0)))</f>
        <v/>
      </c>
      <c r="L43" s="7" t="str">
        <f>IF(ISNA(MATCH(30,Engine!$C$2:$C$1199,0)),"",INDEX('Compliance Database'!$L$2:$L$1199,MATCH(30,Engine!$C$2:$C$1199,0)))</f>
        <v/>
      </c>
      <c r="M43" s="7" t="str">
        <f>IF(ISNA(MATCH(30,Engine!$C$2:$C$1199,0)),"",INDEX('Compliance Database'!$M$2:$M$1199,MATCH(30,Engine!$C$2:$C$1199,0)))</f>
        <v/>
      </c>
      <c r="N43" s="7" t="str">
        <f>IF(ISNA(MATCH(30,Engine!$C$2:$C$1199,0)),"",INDEX('Compliance Database'!$N$2:$N$1199,MATCH(30,Engine!$C$2:$C$1199,0)))</f>
        <v/>
      </c>
      <c r="O43" s="7" t="str">
        <f>IF(ISNA(MATCH(30,Engine!$C$2:$C$1199,0)),"",INDEX('Compliance Database'!$O$2:$O$1199,MATCH(30,Engine!$C$2:$C$1199,0)))</f>
        <v/>
      </c>
      <c r="P43" s="6" t="str">
        <f>IF(ISNA(MATCH(30,Engine!$C$2:$C$1199,0)),"",HYPERLINK("#Acts!A"&amp;INDEX('Compliance Database'!$P$2:$P$1199,MATCH(30,Engine!$C$2:$C$1199,0)),"Go to Act"))</f>
        <v/>
      </c>
    </row>
    <row r="44" spans="1:16" ht="172.95" customHeight="1" x14ac:dyDescent="0.3">
      <c r="A44" s="6" t="str">
        <f>IF(ISNA(MATCH(31,Engine!$C$2:$C$1199,0)),"",INDEX('Compliance Database'!$A$2:$A$1199,MATCH(31,Engine!$C$2:$C$1199,0)))</f>
        <v/>
      </c>
      <c r="B44" s="6" t="str">
        <f>IF(ISNA(MATCH(31,Engine!$C$2:$C$1199,0)),"",INDEX('Compliance Database'!$B$2:$B$1199,MATCH(31,Engine!$C$2:$C$1199,0)))</f>
        <v/>
      </c>
      <c r="C44" s="6" t="str">
        <f>IF(ISNA(MATCH(31,Engine!$C$2:$C$1199,0)),"",INDEX('Compliance Database'!$C$2:$C$1199,MATCH(31,Engine!$C$2:$C$1199,0)))</f>
        <v/>
      </c>
      <c r="D44" s="7" t="str">
        <f>IF(ISNA(MATCH(31,Engine!$C$2:$C$1199,0)),"",INDEX('Compliance Database'!$D$2:$D$1199,MATCH(31,Engine!$C$2:$C$1199,0)))</f>
        <v/>
      </c>
      <c r="E44" s="6" t="str">
        <f>IF(ISNA(MATCH(31,Engine!$C$2:$C$1199,0)),"",INDEX('Compliance Database'!$E$2:$E$1199,MATCH(31,Engine!$C$2:$C$1199,0)))</f>
        <v/>
      </c>
      <c r="F44" s="6" t="str">
        <f>IF(ISNA(MATCH(31,Engine!$C$2:$C$1199,0)),"",INDEX('Compliance Database'!$F$2:$F$1199,MATCH(31,Engine!$C$2:$C$1199,0)))</f>
        <v/>
      </c>
      <c r="G44" s="6" t="str">
        <f>IF(ISNA(MATCH(31,Engine!$C$2:$C$1199,0)),"",INDEX('Compliance Database'!$G$2:$G$1199,MATCH(31,Engine!$C$2:$C$1199,0)))</f>
        <v/>
      </c>
      <c r="H44" s="7" t="str">
        <f>IF(ISNA(MATCH(31,Engine!$C$2:$C$1199,0)),"",INDEX('Compliance Database'!$H$2:$H$1199,MATCH(31,Engine!$C$2:$C$1199,0)))</f>
        <v/>
      </c>
      <c r="I44" s="7" t="str">
        <f>IF(ISNA(MATCH(31,Engine!$C$2:$C$1199,0)),"",INDEX('Compliance Database'!$I$2:$I$1199,MATCH(31,Engine!$C$2:$C$1199,0)))</f>
        <v/>
      </c>
      <c r="J44" s="6" t="str">
        <f>IF(ISNA(MATCH(31,Engine!$C$2:$C$1199,0)),"",INDEX('Compliance Database'!$J$2:$J$1199,MATCH(31,Engine!$C$2:$C$1199,0)))</f>
        <v/>
      </c>
      <c r="K44" s="7" t="str">
        <f>IF(ISNA(MATCH(31,Engine!$C$2:$C$1199,0)),"",INDEX('Compliance Database'!$K$2:$K$1199,MATCH(31,Engine!$C$2:$C$1199,0)))</f>
        <v/>
      </c>
      <c r="L44" s="7" t="str">
        <f>IF(ISNA(MATCH(31,Engine!$C$2:$C$1199,0)),"",INDEX('Compliance Database'!$L$2:$L$1199,MATCH(31,Engine!$C$2:$C$1199,0)))</f>
        <v/>
      </c>
      <c r="M44" s="7" t="str">
        <f>IF(ISNA(MATCH(31,Engine!$C$2:$C$1199,0)),"",INDEX('Compliance Database'!$M$2:$M$1199,MATCH(31,Engine!$C$2:$C$1199,0)))</f>
        <v/>
      </c>
      <c r="N44" s="7" t="str">
        <f>IF(ISNA(MATCH(31,Engine!$C$2:$C$1199,0)),"",INDEX('Compliance Database'!$N$2:$N$1199,MATCH(31,Engine!$C$2:$C$1199,0)))</f>
        <v/>
      </c>
      <c r="O44" s="7" t="str">
        <f>IF(ISNA(MATCH(31,Engine!$C$2:$C$1199,0)),"",INDEX('Compliance Database'!$O$2:$O$1199,MATCH(31,Engine!$C$2:$C$1199,0)))</f>
        <v/>
      </c>
      <c r="P44" s="6" t="str">
        <f>IF(ISNA(MATCH(31,Engine!$C$2:$C$1199,0)),"",HYPERLINK("#Acts!A"&amp;INDEX('Compliance Database'!$P$2:$P$1199,MATCH(31,Engine!$C$2:$C$1199,0)),"Go to Act"))</f>
        <v/>
      </c>
    </row>
    <row r="45" spans="1:16" ht="172.95" customHeight="1" x14ac:dyDescent="0.3">
      <c r="A45" s="6" t="str">
        <f>IF(ISNA(MATCH(32,Engine!$C$2:$C$1199,0)),"",INDEX('Compliance Database'!$A$2:$A$1199,MATCH(32,Engine!$C$2:$C$1199,0)))</f>
        <v/>
      </c>
      <c r="B45" s="6" t="str">
        <f>IF(ISNA(MATCH(32,Engine!$C$2:$C$1199,0)),"",INDEX('Compliance Database'!$B$2:$B$1199,MATCH(32,Engine!$C$2:$C$1199,0)))</f>
        <v/>
      </c>
      <c r="C45" s="6" t="str">
        <f>IF(ISNA(MATCH(32,Engine!$C$2:$C$1199,0)),"",INDEX('Compliance Database'!$C$2:$C$1199,MATCH(32,Engine!$C$2:$C$1199,0)))</f>
        <v/>
      </c>
      <c r="D45" s="7" t="str">
        <f>IF(ISNA(MATCH(32,Engine!$C$2:$C$1199,0)),"",INDEX('Compliance Database'!$D$2:$D$1199,MATCH(32,Engine!$C$2:$C$1199,0)))</f>
        <v/>
      </c>
      <c r="E45" s="6" t="str">
        <f>IF(ISNA(MATCH(32,Engine!$C$2:$C$1199,0)),"",INDEX('Compliance Database'!$E$2:$E$1199,MATCH(32,Engine!$C$2:$C$1199,0)))</f>
        <v/>
      </c>
      <c r="F45" s="6" t="str">
        <f>IF(ISNA(MATCH(32,Engine!$C$2:$C$1199,0)),"",INDEX('Compliance Database'!$F$2:$F$1199,MATCH(32,Engine!$C$2:$C$1199,0)))</f>
        <v/>
      </c>
      <c r="G45" s="6" t="str">
        <f>IF(ISNA(MATCH(32,Engine!$C$2:$C$1199,0)),"",INDEX('Compliance Database'!$G$2:$G$1199,MATCH(32,Engine!$C$2:$C$1199,0)))</f>
        <v/>
      </c>
      <c r="H45" s="7" t="str">
        <f>IF(ISNA(MATCH(32,Engine!$C$2:$C$1199,0)),"",INDEX('Compliance Database'!$H$2:$H$1199,MATCH(32,Engine!$C$2:$C$1199,0)))</f>
        <v/>
      </c>
      <c r="I45" s="7" t="str">
        <f>IF(ISNA(MATCH(32,Engine!$C$2:$C$1199,0)),"",INDEX('Compliance Database'!$I$2:$I$1199,MATCH(32,Engine!$C$2:$C$1199,0)))</f>
        <v/>
      </c>
      <c r="J45" s="6" t="str">
        <f>IF(ISNA(MATCH(32,Engine!$C$2:$C$1199,0)),"",INDEX('Compliance Database'!$J$2:$J$1199,MATCH(32,Engine!$C$2:$C$1199,0)))</f>
        <v/>
      </c>
      <c r="K45" s="7" t="str">
        <f>IF(ISNA(MATCH(32,Engine!$C$2:$C$1199,0)),"",INDEX('Compliance Database'!$K$2:$K$1199,MATCH(32,Engine!$C$2:$C$1199,0)))</f>
        <v/>
      </c>
      <c r="L45" s="7" t="str">
        <f>IF(ISNA(MATCH(32,Engine!$C$2:$C$1199,0)),"",INDEX('Compliance Database'!$L$2:$L$1199,MATCH(32,Engine!$C$2:$C$1199,0)))</f>
        <v/>
      </c>
      <c r="M45" s="7" t="str">
        <f>IF(ISNA(MATCH(32,Engine!$C$2:$C$1199,0)),"",INDEX('Compliance Database'!$M$2:$M$1199,MATCH(32,Engine!$C$2:$C$1199,0)))</f>
        <v/>
      </c>
      <c r="N45" s="7" t="str">
        <f>IF(ISNA(MATCH(32,Engine!$C$2:$C$1199,0)),"",INDEX('Compliance Database'!$N$2:$N$1199,MATCH(32,Engine!$C$2:$C$1199,0)))</f>
        <v/>
      </c>
      <c r="O45" s="7" t="str">
        <f>IF(ISNA(MATCH(32,Engine!$C$2:$C$1199,0)),"",INDEX('Compliance Database'!$O$2:$O$1199,MATCH(32,Engine!$C$2:$C$1199,0)))</f>
        <v/>
      </c>
      <c r="P45" s="6" t="str">
        <f>IF(ISNA(MATCH(32,Engine!$C$2:$C$1199,0)),"",HYPERLINK("#Acts!A"&amp;INDEX('Compliance Database'!$P$2:$P$1199,MATCH(32,Engine!$C$2:$C$1199,0)),"Go to Act"))</f>
        <v/>
      </c>
    </row>
    <row r="46" spans="1:16" ht="172.95" customHeight="1" x14ac:dyDescent="0.3">
      <c r="A46" s="6" t="str">
        <f>IF(ISNA(MATCH(33,Engine!$C$2:$C$1199,0)),"",INDEX('Compliance Database'!$A$2:$A$1199,MATCH(33,Engine!$C$2:$C$1199,0)))</f>
        <v/>
      </c>
      <c r="B46" s="6" t="str">
        <f>IF(ISNA(MATCH(33,Engine!$C$2:$C$1199,0)),"",INDEX('Compliance Database'!$B$2:$B$1199,MATCH(33,Engine!$C$2:$C$1199,0)))</f>
        <v/>
      </c>
      <c r="C46" s="6" t="str">
        <f>IF(ISNA(MATCH(33,Engine!$C$2:$C$1199,0)),"",INDEX('Compliance Database'!$C$2:$C$1199,MATCH(33,Engine!$C$2:$C$1199,0)))</f>
        <v/>
      </c>
      <c r="D46" s="7" t="str">
        <f>IF(ISNA(MATCH(33,Engine!$C$2:$C$1199,0)),"",INDEX('Compliance Database'!$D$2:$D$1199,MATCH(33,Engine!$C$2:$C$1199,0)))</f>
        <v/>
      </c>
      <c r="E46" s="6" t="str">
        <f>IF(ISNA(MATCH(33,Engine!$C$2:$C$1199,0)),"",INDEX('Compliance Database'!$E$2:$E$1199,MATCH(33,Engine!$C$2:$C$1199,0)))</f>
        <v/>
      </c>
      <c r="F46" s="6" t="str">
        <f>IF(ISNA(MATCH(33,Engine!$C$2:$C$1199,0)),"",INDEX('Compliance Database'!$F$2:$F$1199,MATCH(33,Engine!$C$2:$C$1199,0)))</f>
        <v/>
      </c>
      <c r="G46" s="6" t="str">
        <f>IF(ISNA(MATCH(33,Engine!$C$2:$C$1199,0)),"",INDEX('Compliance Database'!$G$2:$G$1199,MATCH(33,Engine!$C$2:$C$1199,0)))</f>
        <v/>
      </c>
      <c r="H46" s="7" t="str">
        <f>IF(ISNA(MATCH(33,Engine!$C$2:$C$1199,0)),"",INDEX('Compliance Database'!$H$2:$H$1199,MATCH(33,Engine!$C$2:$C$1199,0)))</f>
        <v/>
      </c>
      <c r="I46" s="7" t="str">
        <f>IF(ISNA(MATCH(33,Engine!$C$2:$C$1199,0)),"",INDEX('Compliance Database'!$I$2:$I$1199,MATCH(33,Engine!$C$2:$C$1199,0)))</f>
        <v/>
      </c>
      <c r="J46" s="6" t="str">
        <f>IF(ISNA(MATCH(33,Engine!$C$2:$C$1199,0)),"",INDEX('Compliance Database'!$J$2:$J$1199,MATCH(33,Engine!$C$2:$C$1199,0)))</f>
        <v/>
      </c>
      <c r="K46" s="7" t="str">
        <f>IF(ISNA(MATCH(33,Engine!$C$2:$C$1199,0)),"",INDEX('Compliance Database'!$K$2:$K$1199,MATCH(33,Engine!$C$2:$C$1199,0)))</f>
        <v/>
      </c>
      <c r="L46" s="7" t="str">
        <f>IF(ISNA(MATCH(33,Engine!$C$2:$C$1199,0)),"",INDEX('Compliance Database'!$L$2:$L$1199,MATCH(33,Engine!$C$2:$C$1199,0)))</f>
        <v/>
      </c>
      <c r="M46" s="7" t="str">
        <f>IF(ISNA(MATCH(33,Engine!$C$2:$C$1199,0)),"",INDEX('Compliance Database'!$M$2:$M$1199,MATCH(33,Engine!$C$2:$C$1199,0)))</f>
        <v/>
      </c>
      <c r="N46" s="7" t="str">
        <f>IF(ISNA(MATCH(33,Engine!$C$2:$C$1199,0)),"",INDEX('Compliance Database'!$N$2:$N$1199,MATCH(33,Engine!$C$2:$C$1199,0)))</f>
        <v/>
      </c>
      <c r="O46" s="7" t="str">
        <f>IF(ISNA(MATCH(33,Engine!$C$2:$C$1199,0)),"",INDEX('Compliance Database'!$O$2:$O$1199,MATCH(33,Engine!$C$2:$C$1199,0)))</f>
        <v/>
      </c>
      <c r="P46" s="6" t="str">
        <f>IF(ISNA(MATCH(33,Engine!$C$2:$C$1199,0)),"",HYPERLINK("#Acts!A"&amp;INDEX('Compliance Database'!$P$2:$P$1199,MATCH(33,Engine!$C$2:$C$1199,0)),"Go to Act"))</f>
        <v/>
      </c>
    </row>
    <row r="47" spans="1:16" ht="172.95" customHeight="1" x14ac:dyDescent="0.3">
      <c r="A47" s="6" t="str">
        <f>IF(ISNA(MATCH(34,Engine!$C$2:$C$1199,0)),"",INDEX('Compliance Database'!$A$2:$A$1199,MATCH(34,Engine!$C$2:$C$1199,0)))</f>
        <v/>
      </c>
      <c r="B47" s="6" t="str">
        <f>IF(ISNA(MATCH(34,Engine!$C$2:$C$1199,0)),"",INDEX('Compliance Database'!$B$2:$B$1199,MATCH(34,Engine!$C$2:$C$1199,0)))</f>
        <v/>
      </c>
      <c r="C47" s="6" t="str">
        <f>IF(ISNA(MATCH(34,Engine!$C$2:$C$1199,0)),"",INDEX('Compliance Database'!$C$2:$C$1199,MATCH(34,Engine!$C$2:$C$1199,0)))</f>
        <v/>
      </c>
      <c r="D47" s="7" t="str">
        <f>IF(ISNA(MATCH(34,Engine!$C$2:$C$1199,0)),"",INDEX('Compliance Database'!$D$2:$D$1199,MATCH(34,Engine!$C$2:$C$1199,0)))</f>
        <v/>
      </c>
      <c r="E47" s="6" t="str">
        <f>IF(ISNA(MATCH(34,Engine!$C$2:$C$1199,0)),"",INDEX('Compliance Database'!$E$2:$E$1199,MATCH(34,Engine!$C$2:$C$1199,0)))</f>
        <v/>
      </c>
      <c r="F47" s="6" t="str">
        <f>IF(ISNA(MATCH(34,Engine!$C$2:$C$1199,0)),"",INDEX('Compliance Database'!$F$2:$F$1199,MATCH(34,Engine!$C$2:$C$1199,0)))</f>
        <v/>
      </c>
      <c r="G47" s="6" t="str">
        <f>IF(ISNA(MATCH(34,Engine!$C$2:$C$1199,0)),"",INDEX('Compliance Database'!$G$2:$G$1199,MATCH(34,Engine!$C$2:$C$1199,0)))</f>
        <v/>
      </c>
      <c r="H47" s="7" t="str">
        <f>IF(ISNA(MATCH(34,Engine!$C$2:$C$1199,0)),"",INDEX('Compliance Database'!$H$2:$H$1199,MATCH(34,Engine!$C$2:$C$1199,0)))</f>
        <v/>
      </c>
      <c r="I47" s="7" t="str">
        <f>IF(ISNA(MATCH(34,Engine!$C$2:$C$1199,0)),"",INDEX('Compliance Database'!$I$2:$I$1199,MATCH(34,Engine!$C$2:$C$1199,0)))</f>
        <v/>
      </c>
      <c r="J47" s="6" t="str">
        <f>IF(ISNA(MATCH(34,Engine!$C$2:$C$1199,0)),"",INDEX('Compliance Database'!$J$2:$J$1199,MATCH(34,Engine!$C$2:$C$1199,0)))</f>
        <v/>
      </c>
      <c r="K47" s="7" t="str">
        <f>IF(ISNA(MATCH(34,Engine!$C$2:$C$1199,0)),"",INDEX('Compliance Database'!$K$2:$K$1199,MATCH(34,Engine!$C$2:$C$1199,0)))</f>
        <v/>
      </c>
      <c r="L47" s="7" t="str">
        <f>IF(ISNA(MATCH(34,Engine!$C$2:$C$1199,0)),"",INDEX('Compliance Database'!$L$2:$L$1199,MATCH(34,Engine!$C$2:$C$1199,0)))</f>
        <v/>
      </c>
      <c r="M47" s="7" t="str">
        <f>IF(ISNA(MATCH(34,Engine!$C$2:$C$1199,0)),"",INDEX('Compliance Database'!$M$2:$M$1199,MATCH(34,Engine!$C$2:$C$1199,0)))</f>
        <v/>
      </c>
      <c r="N47" s="7" t="str">
        <f>IF(ISNA(MATCH(34,Engine!$C$2:$C$1199,0)),"",INDEX('Compliance Database'!$N$2:$N$1199,MATCH(34,Engine!$C$2:$C$1199,0)))</f>
        <v/>
      </c>
      <c r="O47" s="7" t="str">
        <f>IF(ISNA(MATCH(34,Engine!$C$2:$C$1199,0)),"",INDEX('Compliance Database'!$O$2:$O$1199,MATCH(34,Engine!$C$2:$C$1199,0)))</f>
        <v/>
      </c>
      <c r="P47" s="6" t="str">
        <f>IF(ISNA(MATCH(34,Engine!$C$2:$C$1199,0)),"",HYPERLINK("#Acts!A"&amp;INDEX('Compliance Database'!$P$2:$P$1199,MATCH(34,Engine!$C$2:$C$1199,0)),"Go to Act"))</f>
        <v/>
      </c>
    </row>
    <row r="48" spans="1:16" ht="172.95" customHeight="1" x14ac:dyDescent="0.3">
      <c r="A48" s="6" t="str">
        <f>IF(ISNA(MATCH(35,Engine!$C$2:$C$1199,0)),"",INDEX('Compliance Database'!$A$2:$A$1199,MATCH(35,Engine!$C$2:$C$1199,0)))</f>
        <v/>
      </c>
      <c r="B48" s="6" t="str">
        <f>IF(ISNA(MATCH(35,Engine!$C$2:$C$1199,0)),"",INDEX('Compliance Database'!$B$2:$B$1199,MATCH(35,Engine!$C$2:$C$1199,0)))</f>
        <v/>
      </c>
      <c r="C48" s="6" t="str">
        <f>IF(ISNA(MATCH(35,Engine!$C$2:$C$1199,0)),"",INDEX('Compliance Database'!$C$2:$C$1199,MATCH(35,Engine!$C$2:$C$1199,0)))</f>
        <v/>
      </c>
      <c r="D48" s="7" t="str">
        <f>IF(ISNA(MATCH(35,Engine!$C$2:$C$1199,0)),"",INDEX('Compliance Database'!$D$2:$D$1199,MATCH(35,Engine!$C$2:$C$1199,0)))</f>
        <v/>
      </c>
      <c r="E48" s="6" t="str">
        <f>IF(ISNA(MATCH(35,Engine!$C$2:$C$1199,0)),"",INDEX('Compliance Database'!$E$2:$E$1199,MATCH(35,Engine!$C$2:$C$1199,0)))</f>
        <v/>
      </c>
      <c r="F48" s="6" t="str">
        <f>IF(ISNA(MATCH(35,Engine!$C$2:$C$1199,0)),"",INDEX('Compliance Database'!$F$2:$F$1199,MATCH(35,Engine!$C$2:$C$1199,0)))</f>
        <v/>
      </c>
      <c r="G48" s="6" t="str">
        <f>IF(ISNA(MATCH(35,Engine!$C$2:$C$1199,0)),"",INDEX('Compliance Database'!$G$2:$G$1199,MATCH(35,Engine!$C$2:$C$1199,0)))</f>
        <v/>
      </c>
      <c r="H48" s="7" t="str">
        <f>IF(ISNA(MATCH(35,Engine!$C$2:$C$1199,0)),"",INDEX('Compliance Database'!$H$2:$H$1199,MATCH(35,Engine!$C$2:$C$1199,0)))</f>
        <v/>
      </c>
      <c r="I48" s="7" t="str">
        <f>IF(ISNA(MATCH(35,Engine!$C$2:$C$1199,0)),"",INDEX('Compliance Database'!$I$2:$I$1199,MATCH(35,Engine!$C$2:$C$1199,0)))</f>
        <v/>
      </c>
      <c r="J48" s="6" t="str">
        <f>IF(ISNA(MATCH(35,Engine!$C$2:$C$1199,0)),"",INDEX('Compliance Database'!$J$2:$J$1199,MATCH(35,Engine!$C$2:$C$1199,0)))</f>
        <v/>
      </c>
      <c r="K48" s="7" t="str">
        <f>IF(ISNA(MATCH(35,Engine!$C$2:$C$1199,0)),"",INDEX('Compliance Database'!$K$2:$K$1199,MATCH(35,Engine!$C$2:$C$1199,0)))</f>
        <v/>
      </c>
      <c r="L48" s="7" t="str">
        <f>IF(ISNA(MATCH(35,Engine!$C$2:$C$1199,0)),"",INDEX('Compliance Database'!$L$2:$L$1199,MATCH(35,Engine!$C$2:$C$1199,0)))</f>
        <v/>
      </c>
      <c r="M48" s="7" t="str">
        <f>IF(ISNA(MATCH(35,Engine!$C$2:$C$1199,0)),"",INDEX('Compliance Database'!$M$2:$M$1199,MATCH(35,Engine!$C$2:$C$1199,0)))</f>
        <v/>
      </c>
      <c r="N48" s="7" t="str">
        <f>IF(ISNA(MATCH(35,Engine!$C$2:$C$1199,0)),"",INDEX('Compliance Database'!$N$2:$N$1199,MATCH(35,Engine!$C$2:$C$1199,0)))</f>
        <v/>
      </c>
      <c r="O48" s="7" t="str">
        <f>IF(ISNA(MATCH(35,Engine!$C$2:$C$1199,0)),"",INDEX('Compliance Database'!$O$2:$O$1199,MATCH(35,Engine!$C$2:$C$1199,0)))</f>
        <v/>
      </c>
      <c r="P48" s="6" t="str">
        <f>IF(ISNA(MATCH(35,Engine!$C$2:$C$1199,0)),"",HYPERLINK("#Acts!A"&amp;INDEX('Compliance Database'!$P$2:$P$1199,MATCH(35,Engine!$C$2:$C$1199,0)),"Go to Act"))</f>
        <v/>
      </c>
    </row>
    <row r="49" spans="1:16" ht="172.95" customHeight="1" x14ac:dyDescent="0.3">
      <c r="A49" s="6" t="str">
        <f>IF(ISNA(MATCH(36,Engine!$C$2:$C$1199,0)),"",INDEX('Compliance Database'!$A$2:$A$1199,MATCH(36,Engine!$C$2:$C$1199,0)))</f>
        <v/>
      </c>
      <c r="B49" s="6" t="str">
        <f>IF(ISNA(MATCH(36,Engine!$C$2:$C$1199,0)),"",INDEX('Compliance Database'!$B$2:$B$1199,MATCH(36,Engine!$C$2:$C$1199,0)))</f>
        <v/>
      </c>
      <c r="C49" s="6" t="str">
        <f>IF(ISNA(MATCH(36,Engine!$C$2:$C$1199,0)),"",INDEX('Compliance Database'!$C$2:$C$1199,MATCH(36,Engine!$C$2:$C$1199,0)))</f>
        <v/>
      </c>
      <c r="D49" s="7" t="str">
        <f>IF(ISNA(MATCH(36,Engine!$C$2:$C$1199,0)),"",INDEX('Compliance Database'!$D$2:$D$1199,MATCH(36,Engine!$C$2:$C$1199,0)))</f>
        <v/>
      </c>
      <c r="E49" s="6" t="str">
        <f>IF(ISNA(MATCH(36,Engine!$C$2:$C$1199,0)),"",INDEX('Compliance Database'!$E$2:$E$1199,MATCH(36,Engine!$C$2:$C$1199,0)))</f>
        <v/>
      </c>
      <c r="F49" s="6" t="str">
        <f>IF(ISNA(MATCH(36,Engine!$C$2:$C$1199,0)),"",INDEX('Compliance Database'!$F$2:$F$1199,MATCH(36,Engine!$C$2:$C$1199,0)))</f>
        <v/>
      </c>
      <c r="G49" s="6" t="str">
        <f>IF(ISNA(MATCH(36,Engine!$C$2:$C$1199,0)),"",INDEX('Compliance Database'!$G$2:$G$1199,MATCH(36,Engine!$C$2:$C$1199,0)))</f>
        <v/>
      </c>
      <c r="H49" s="7" t="str">
        <f>IF(ISNA(MATCH(36,Engine!$C$2:$C$1199,0)),"",INDEX('Compliance Database'!$H$2:$H$1199,MATCH(36,Engine!$C$2:$C$1199,0)))</f>
        <v/>
      </c>
      <c r="I49" s="7" t="str">
        <f>IF(ISNA(MATCH(36,Engine!$C$2:$C$1199,0)),"",INDEX('Compliance Database'!$I$2:$I$1199,MATCH(36,Engine!$C$2:$C$1199,0)))</f>
        <v/>
      </c>
      <c r="J49" s="6" t="str">
        <f>IF(ISNA(MATCH(36,Engine!$C$2:$C$1199,0)),"",INDEX('Compliance Database'!$J$2:$J$1199,MATCH(36,Engine!$C$2:$C$1199,0)))</f>
        <v/>
      </c>
      <c r="K49" s="7" t="str">
        <f>IF(ISNA(MATCH(36,Engine!$C$2:$C$1199,0)),"",INDEX('Compliance Database'!$K$2:$K$1199,MATCH(36,Engine!$C$2:$C$1199,0)))</f>
        <v/>
      </c>
      <c r="L49" s="7" t="str">
        <f>IF(ISNA(MATCH(36,Engine!$C$2:$C$1199,0)),"",INDEX('Compliance Database'!$L$2:$L$1199,MATCH(36,Engine!$C$2:$C$1199,0)))</f>
        <v/>
      </c>
      <c r="M49" s="7" t="str">
        <f>IF(ISNA(MATCH(36,Engine!$C$2:$C$1199,0)),"",INDEX('Compliance Database'!$M$2:$M$1199,MATCH(36,Engine!$C$2:$C$1199,0)))</f>
        <v/>
      </c>
      <c r="N49" s="7" t="str">
        <f>IF(ISNA(MATCH(36,Engine!$C$2:$C$1199,0)),"",INDEX('Compliance Database'!$N$2:$N$1199,MATCH(36,Engine!$C$2:$C$1199,0)))</f>
        <v/>
      </c>
      <c r="O49" s="7" t="str">
        <f>IF(ISNA(MATCH(36,Engine!$C$2:$C$1199,0)),"",INDEX('Compliance Database'!$O$2:$O$1199,MATCH(36,Engine!$C$2:$C$1199,0)))</f>
        <v/>
      </c>
      <c r="P49" s="6" t="str">
        <f>IF(ISNA(MATCH(36,Engine!$C$2:$C$1199,0)),"",HYPERLINK("#Acts!A"&amp;INDEX('Compliance Database'!$P$2:$P$1199,MATCH(36,Engine!$C$2:$C$1199,0)),"Go to Act"))</f>
        <v/>
      </c>
    </row>
    <row r="50" spans="1:16" ht="172.95" customHeight="1" x14ac:dyDescent="0.3">
      <c r="A50" s="6" t="str">
        <f>IF(ISNA(MATCH(37,Engine!$C$2:$C$1199,0)),"",INDEX('Compliance Database'!$A$2:$A$1199,MATCH(37,Engine!$C$2:$C$1199,0)))</f>
        <v/>
      </c>
      <c r="B50" s="6" t="str">
        <f>IF(ISNA(MATCH(37,Engine!$C$2:$C$1199,0)),"",INDEX('Compliance Database'!$B$2:$B$1199,MATCH(37,Engine!$C$2:$C$1199,0)))</f>
        <v/>
      </c>
      <c r="C50" s="6" t="str">
        <f>IF(ISNA(MATCH(37,Engine!$C$2:$C$1199,0)),"",INDEX('Compliance Database'!$C$2:$C$1199,MATCH(37,Engine!$C$2:$C$1199,0)))</f>
        <v/>
      </c>
      <c r="D50" s="7" t="str">
        <f>IF(ISNA(MATCH(37,Engine!$C$2:$C$1199,0)),"",INDEX('Compliance Database'!$D$2:$D$1199,MATCH(37,Engine!$C$2:$C$1199,0)))</f>
        <v/>
      </c>
      <c r="E50" s="6" t="str">
        <f>IF(ISNA(MATCH(37,Engine!$C$2:$C$1199,0)),"",INDEX('Compliance Database'!$E$2:$E$1199,MATCH(37,Engine!$C$2:$C$1199,0)))</f>
        <v/>
      </c>
      <c r="F50" s="6" t="str">
        <f>IF(ISNA(MATCH(37,Engine!$C$2:$C$1199,0)),"",INDEX('Compliance Database'!$F$2:$F$1199,MATCH(37,Engine!$C$2:$C$1199,0)))</f>
        <v/>
      </c>
      <c r="G50" s="6" t="str">
        <f>IF(ISNA(MATCH(37,Engine!$C$2:$C$1199,0)),"",INDEX('Compliance Database'!$G$2:$G$1199,MATCH(37,Engine!$C$2:$C$1199,0)))</f>
        <v/>
      </c>
      <c r="H50" s="7" t="str">
        <f>IF(ISNA(MATCH(37,Engine!$C$2:$C$1199,0)),"",INDEX('Compliance Database'!$H$2:$H$1199,MATCH(37,Engine!$C$2:$C$1199,0)))</f>
        <v/>
      </c>
      <c r="I50" s="7" t="str">
        <f>IF(ISNA(MATCH(37,Engine!$C$2:$C$1199,0)),"",INDEX('Compliance Database'!$I$2:$I$1199,MATCH(37,Engine!$C$2:$C$1199,0)))</f>
        <v/>
      </c>
      <c r="J50" s="6" t="str">
        <f>IF(ISNA(MATCH(37,Engine!$C$2:$C$1199,0)),"",INDEX('Compliance Database'!$J$2:$J$1199,MATCH(37,Engine!$C$2:$C$1199,0)))</f>
        <v/>
      </c>
      <c r="K50" s="7" t="str">
        <f>IF(ISNA(MATCH(37,Engine!$C$2:$C$1199,0)),"",INDEX('Compliance Database'!$K$2:$K$1199,MATCH(37,Engine!$C$2:$C$1199,0)))</f>
        <v/>
      </c>
      <c r="L50" s="7" t="str">
        <f>IF(ISNA(MATCH(37,Engine!$C$2:$C$1199,0)),"",INDEX('Compliance Database'!$L$2:$L$1199,MATCH(37,Engine!$C$2:$C$1199,0)))</f>
        <v/>
      </c>
      <c r="M50" s="7" t="str">
        <f>IF(ISNA(MATCH(37,Engine!$C$2:$C$1199,0)),"",INDEX('Compliance Database'!$M$2:$M$1199,MATCH(37,Engine!$C$2:$C$1199,0)))</f>
        <v/>
      </c>
      <c r="N50" s="7" t="str">
        <f>IF(ISNA(MATCH(37,Engine!$C$2:$C$1199,0)),"",INDEX('Compliance Database'!$N$2:$N$1199,MATCH(37,Engine!$C$2:$C$1199,0)))</f>
        <v/>
      </c>
      <c r="O50" s="7" t="str">
        <f>IF(ISNA(MATCH(37,Engine!$C$2:$C$1199,0)),"",INDEX('Compliance Database'!$O$2:$O$1199,MATCH(37,Engine!$C$2:$C$1199,0)))</f>
        <v/>
      </c>
      <c r="P50" s="6" t="str">
        <f>IF(ISNA(MATCH(37,Engine!$C$2:$C$1199,0)),"",HYPERLINK("#Acts!A"&amp;INDEX('Compliance Database'!$P$2:$P$1199,MATCH(37,Engine!$C$2:$C$1199,0)),"Go to Act"))</f>
        <v/>
      </c>
    </row>
    <row r="51" spans="1:16" ht="172.95" customHeight="1" x14ac:dyDescent="0.3">
      <c r="A51" s="6" t="str">
        <f>IF(ISNA(MATCH(38,Engine!$C$2:$C$1199,0)),"",INDEX('Compliance Database'!$A$2:$A$1199,MATCH(38,Engine!$C$2:$C$1199,0)))</f>
        <v/>
      </c>
      <c r="B51" s="6" t="str">
        <f>IF(ISNA(MATCH(38,Engine!$C$2:$C$1199,0)),"",INDEX('Compliance Database'!$B$2:$B$1199,MATCH(38,Engine!$C$2:$C$1199,0)))</f>
        <v/>
      </c>
      <c r="C51" s="6" t="str">
        <f>IF(ISNA(MATCH(38,Engine!$C$2:$C$1199,0)),"",INDEX('Compliance Database'!$C$2:$C$1199,MATCH(38,Engine!$C$2:$C$1199,0)))</f>
        <v/>
      </c>
      <c r="D51" s="7" t="str">
        <f>IF(ISNA(MATCH(38,Engine!$C$2:$C$1199,0)),"",INDEX('Compliance Database'!$D$2:$D$1199,MATCH(38,Engine!$C$2:$C$1199,0)))</f>
        <v/>
      </c>
      <c r="E51" s="6" t="str">
        <f>IF(ISNA(MATCH(38,Engine!$C$2:$C$1199,0)),"",INDEX('Compliance Database'!$E$2:$E$1199,MATCH(38,Engine!$C$2:$C$1199,0)))</f>
        <v/>
      </c>
      <c r="F51" s="6" t="str">
        <f>IF(ISNA(MATCH(38,Engine!$C$2:$C$1199,0)),"",INDEX('Compliance Database'!$F$2:$F$1199,MATCH(38,Engine!$C$2:$C$1199,0)))</f>
        <v/>
      </c>
      <c r="G51" s="6" t="str">
        <f>IF(ISNA(MATCH(38,Engine!$C$2:$C$1199,0)),"",INDEX('Compliance Database'!$G$2:$G$1199,MATCH(38,Engine!$C$2:$C$1199,0)))</f>
        <v/>
      </c>
      <c r="H51" s="7" t="str">
        <f>IF(ISNA(MATCH(38,Engine!$C$2:$C$1199,0)),"",INDEX('Compliance Database'!$H$2:$H$1199,MATCH(38,Engine!$C$2:$C$1199,0)))</f>
        <v/>
      </c>
      <c r="I51" s="7" t="str">
        <f>IF(ISNA(MATCH(38,Engine!$C$2:$C$1199,0)),"",INDEX('Compliance Database'!$I$2:$I$1199,MATCH(38,Engine!$C$2:$C$1199,0)))</f>
        <v/>
      </c>
      <c r="J51" s="6" t="str">
        <f>IF(ISNA(MATCH(38,Engine!$C$2:$C$1199,0)),"",INDEX('Compliance Database'!$J$2:$J$1199,MATCH(38,Engine!$C$2:$C$1199,0)))</f>
        <v/>
      </c>
      <c r="K51" s="7" t="str">
        <f>IF(ISNA(MATCH(38,Engine!$C$2:$C$1199,0)),"",INDEX('Compliance Database'!$K$2:$K$1199,MATCH(38,Engine!$C$2:$C$1199,0)))</f>
        <v/>
      </c>
      <c r="L51" s="7" t="str">
        <f>IF(ISNA(MATCH(38,Engine!$C$2:$C$1199,0)),"",INDEX('Compliance Database'!$L$2:$L$1199,MATCH(38,Engine!$C$2:$C$1199,0)))</f>
        <v/>
      </c>
      <c r="M51" s="7" t="str">
        <f>IF(ISNA(MATCH(38,Engine!$C$2:$C$1199,0)),"",INDEX('Compliance Database'!$M$2:$M$1199,MATCH(38,Engine!$C$2:$C$1199,0)))</f>
        <v/>
      </c>
      <c r="N51" s="7" t="str">
        <f>IF(ISNA(MATCH(38,Engine!$C$2:$C$1199,0)),"",INDEX('Compliance Database'!$N$2:$N$1199,MATCH(38,Engine!$C$2:$C$1199,0)))</f>
        <v/>
      </c>
      <c r="O51" s="7" t="str">
        <f>IF(ISNA(MATCH(38,Engine!$C$2:$C$1199,0)),"",INDEX('Compliance Database'!$O$2:$O$1199,MATCH(38,Engine!$C$2:$C$1199,0)))</f>
        <v/>
      </c>
      <c r="P51" s="6" t="str">
        <f>IF(ISNA(MATCH(38,Engine!$C$2:$C$1199,0)),"",HYPERLINK("#Acts!A"&amp;INDEX('Compliance Database'!$P$2:$P$1199,MATCH(38,Engine!$C$2:$C$1199,0)),"Go to Act"))</f>
        <v/>
      </c>
    </row>
    <row r="52" spans="1:16" ht="172.95" customHeight="1" x14ac:dyDescent="0.3">
      <c r="A52" s="6" t="str">
        <f>IF(ISNA(MATCH(39,Engine!$C$2:$C$1199,0)),"",INDEX('Compliance Database'!$A$2:$A$1199,MATCH(39,Engine!$C$2:$C$1199,0)))</f>
        <v/>
      </c>
      <c r="B52" s="6" t="str">
        <f>IF(ISNA(MATCH(39,Engine!$C$2:$C$1199,0)),"",INDEX('Compliance Database'!$B$2:$B$1199,MATCH(39,Engine!$C$2:$C$1199,0)))</f>
        <v/>
      </c>
      <c r="C52" s="6" t="str">
        <f>IF(ISNA(MATCH(39,Engine!$C$2:$C$1199,0)),"",INDEX('Compliance Database'!$C$2:$C$1199,MATCH(39,Engine!$C$2:$C$1199,0)))</f>
        <v/>
      </c>
      <c r="D52" s="7" t="str">
        <f>IF(ISNA(MATCH(39,Engine!$C$2:$C$1199,0)),"",INDEX('Compliance Database'!$D$2:$D$1199,MATCH(39,Engine!$C$2:$C$1199,0)))</f>
        <v/>
      </c>
      <c r="E52" s="6" t="str">
        <f>IF(ISNA(MATCH(39,Engine!$C$2:$C$1199,0)),"",INDEX('Compliance Database'!$E$2:$E$1199,MATCH(39,Engine!$C$2:$C$1199,0)))</f>
        <v/>
      </c>
      <c r="F52" s="6" t="str">
        <f>IF(ISNA(MATCH(39,Engine!$C$2:$C$1199,0)),"",INDEX('Compliance Database'!$F$2:$F$1199,MATCH(39,Engine!$C$2:$C$1199,0)))</f>
        <v/>
      </c>
      <c r="G52" s="6" t="str">
        <f>IF(ISNA(MATCH(39,Engine!$C$2:$C$1199,0)),"",INDEX('Compliance Database'!$G$2:$G$1199,MATCH(39,Engine!$C$2:$C$1199,0)))</f>
        <v/>
      </c>
      <c r="H52" s="7" t="str">
        <f>IF(ISNA(MATCH(39,Engine!$C$2:$C$1199,0)),"",INDEX('Compliance Database'!$H$2:$H$1199,MATCH(39,Engine!$C$2:$C$1199,0)))</f>
        <v/>
      </c>
      <c r="I52" s="7" t="str">
        <f>IF(ISNA(MATCH(39,Engine!$C$2:$C$1199,0)),"",INDEX('Compliance Database'!$I$2:$I$1199,MATCH(39,Engine!$C$2:$C$1199,0)))</f>
        <v/>
      </c>
      <c r="J52" s="6" t="str">
        <f>IF(ISNA(MATCH(39,Engine!$C$2:$C$1199,0)),"",INDEX('Compliance Database'!$J$2:$J$1199,MATCH(39,Engine!$C$2:$C$1199,0)))</f>
        <v/>
      </c>
      <c r="K52" s="7" t="str">
        <f>IF(ISNA(MATCH(39,Engine!$C$2:$C$1199,0)),"",INDEX('Compliance Database'!$K$2:$K$1199,MATCH(39,Engine!$C$2:$C$1199,0)))</f>
        <v/>
      </c>
      <c r="L52" s="7" t="str">
        <f>IF(ISNA(MATCH(39,Engine!$C$2:$C$1199,0)),"",INDEX('Compliance Database'!$L$2:$L$1199,MATCH(39,Engine!$C$2:$C$1199,0)))</f>
        <v/>
      </c>
      <c r="M52" s="7" t="str">
        <f>IF(ISNA(MATCH(39,Engine!$C$2:$C$1199,0)),"",INDEX('Compliance Database'!$M$2:$M$1199,MATCH(39,Engine!$C$2:$C$1199,0)))</f>
        <v/>
      </c>
      <c r="N52" s="7" t="str">
        <f>IF(ISNA(MATCH(39,Engine!$C$2:$C$1199,0)),"",INDEX('Compliance Database'!$N$2:$N$1199,MATCH(39,Engine!$C$2:$C$1199,0)))</f>
        <v/>
      </c>
      <c r="O52" s="7" t="str">
        <f>IF(ISNA(MATCH(39,Engine!$C$2:$C$1199,0)),"",INDEX('Compliance Database'!$O$2:$O$1199,MATCH(39,Engine!$C$2:$C$1199,0)))</f>
        <v/>
      </c>
      <c r="P52" s="6" t="str">
        <f>IF(ISNA(MATCH(39,Engine!$C$2:$C$1199,0)),"",HYPERLINK("#Acts!A"&amp;INDEX('Compliance Database'!$P$2:$P$1199,MATCH(39,Engine!$C$2:$C$1199,0)),"Go to Act"))</f>
        <v/>
      </c>
    </row>
    <row r="53" spans="1:16" ht="172.95" customHeight="1" x14ac:dyDescent="0.3">
      <c r="A53" s="6" t="str">
        <f>IF(ISNA(MATCH(40,Engine!$C$2:$C$1199,0)),"",INDEX('Compliance Database'!$A$2:$A$1199,MATCH(40,Engine!$C$2:$C$1199,0)))</f>
        <v/>
      </c>
      <c r="B53" s="6" t="str">
        <f>IF(ISNA(MATCH(40,Engine!$C$2:$C$1199,0)),"",INDEX('Compliance Database'!$B$2:$B$1199,MATCH(40,Engine!$C$2:$C$1199,0)))</f>
        <v/>
      </c>
      <c r="C53" s="6" t="str">
        <f>IF(ISNA(MATCH(40,Engine!$C$2:$C$1199,0)),"",INDEX('Compliance Database'!$C$2:$C$1199,MATCH(40,Engine!$C$2:$C$1199,0)))</f>
        <v/>
      </c>
      <c r="D53" s="7" t="str">
        <f>IF(ISNA(MATCH(40,Engine!$C$2:$C$1199,0)),"",INDEX('Compliance Database'!$D$2:$D$1199,MATCH(40,Engine!$C$2:$C$1199,0)))</f>
        <v/>
      </c>
      <c r="E53" s="6" t="str">
        <f>IF(ISNA(MATCH(40,Engine!$C$2:$C$1199,0)),"",INDEX('Compliance Database'!$E$2:$E$1199,MATCH(40,Engine!$C$2:$C$1199,0)))</f>
        <v/>
      </c>
      <c r="F53" s="6" t="str">
        <f>IF(ISNA(MATCH(40,Engine!$C$2:$C$1199,0)),"",INDEX('Compliance Database'!$F$2:$F$1199,MATCH(40,Engine!$C$2:$C$1199,0)))</f>
        <v/>
      </c>
      <c r="G53" s="6" t="str">
        <f>IF(ISNA(MATCH(40,Engine!$C$2:$C$1199,0)),"",INDEX('Compliance Database'!$G$2:$G$1199,MATCH(40,Engine!$C$2:$C$1199,0)))</f>
        <v/>
      </c>
      <c r="H53" s="7" t="str">
        <f>IF(ISNA(MATCH(40,Engine!$C$2:$C$1199,0)),"",INDEX('Compliance Database'!$H$2:$H$1199,MATCH(40,Engine!$C$2:$C$1199,0)))</f>
        <v/>
      </c>
      <c r="I53" s="7" t="str">
        <f>IF(ISNA(MATCH(40,Engine!$C$2:$C$1199,0)),"",INDEX('Compliance Database'!$I$2:$I$1199,MATCH(40,Engine!$C$2:$C$1199,0)))</f>
        <v/>
      </c>
      <c r="J53" s="6" t="str">
        <f>IF(ISNA(MATCH(40,Engine!$C$2:$C$1199,0)),"",INDEX('Compliance Database'!$J$2:$J$1199,MATCH(40,Engine!$C$2:$C$1199,0)))</f>
        <v/>
      </c>
      <c r="K53" s="7" t="str">
        <f>IF(ISNA(MATCH(40,Engine!$C$2:$C$1199,0)),"",INDEX('Compliance Database'!$K$2:$K$1199,MATCH(40,Engine!$C$2:$C$1199,0)))</f>
        <v/>
      </c>
      <c r="L53" s="7" t="str">
        <f>IF(ISNA(MATCH(40,Engine!$C$2:$C$1199,0)),"",INDEX('Compliance Database'!$L$2:$L$1199,MATCH(40,Engine!$C$2:$C$1199,0)))</f>
        <v/>
      </c>
      <c r="M53" s="7" t="str">
        <f>IF(ISNA(MATCH(40,Engine!$C$2:$C$1199,0)),"",INDEX('Compliance Database'!$M$2:$M$1199,MATCH(40,Engine!$C$2:$C$1199,0)))</f>
        <v/>
      </c>
      <c r="N53" s="7" t="str">
        <f>IF(ISNA(MATCH(40,Engine!$C$2:$C$1199,0)),"",INDEX('Compliance Database'!$N$2:$N$1199,MATCH(40,Engine!$C$2:$C$1199,0)))</f>
        <v/>
      </c>
      <c r="O53" s="7" t="str">
        <f>IF(ISNA(MATCH(40,Engine!$C$2:$C$1199,0)),"",INDEX('Compliance Database'!$O$2:$O$1199,MATCH(40,Engine!$C$2:$C$1199,0)))</f>
        <v/>
      </c>
      <c r="P53" s="6" t="str">
        <f>IF(ISNA(MATCH(40,Engine!$C$2:$C$1199,0)),"",HYPERLINK("#Acts!A"&amp;INDEX('Compliance Database'!$P$2:$P$1199,MATCH(40,Engine!$C$2:$C$1199,0)),"Go to Act"))</f>
        <v/>
      </c>
    </row>
    <row r="54" spans="1:16" ht="172.95" customHeight="1" x14ac:dyDescent="0.3">
      <c r="A54" s="6" t="str">
        <f>IF(ISNA(MATCH(41,Engine!$C$2:$C$1199,0)),"",INDEX('Compliance Database'!$A$2:$A$1199,MATCH(41,Engine!$C$2:$C$1199,0)))</f>
        <v/>
      </c>
      <c r="B54" s="6" t="str">
        <f>IF(ISNA(MATCH(41,Engine!$C$2:$C$1199,0)),"",INDEX('Compliance Database'!$B$2:$B$1199,MATCH(41,Engine!$C$2:$C$1199,0)))</f>
        <v/>
      </c>
      <c r="C54" s="6" t="str">
        <f>IF(ISNA(MATCH(41,Engine!$C$2:$C$1199,0)),"",INDEX('Compliance Database'!$C$2:$C$1199,MATCH(41,Engine!$C$2:$C$1199,0)))</f>
        <v/>
      </c>
      <c r="D54" s="7" t="str">
        <f>IF(ISNA(MATCH(41,Engine!$C$2:$C$1199,0)),"",INDEX('Compliance Database'!$D$2:$D$1199,MATCH(41,Engine!$C$2:$C$1199,0)))</f>
        <v/>
      </c>
      <c r="E54" s="6" t="str">
        <f>IF(ISNA(MATCH(41,Engine!$C$2:$C$1199,0)),"",INDEX('Compliance Database'!$E$2:$E$1199,MATCH(41,Engine!$C$2:$C$1199,0)))</f>
        <v/>
      </c>
      <c r="F54" s="6" t="str">
        <f>IF(ISNA(MATCH(41,Engine!$C$2:$C$1199,0)),"",INDEX('Compliance Database'!$F$2:$F$1199,MATCH(41,Engine!$C$2:$C$1199,0)))</f>
        <v/>
      </c>
      <c r="G54" s="6" t="str">
        <f>IF(ISNA(MATCH(41,Engine!$C$2:$C$1199,0)),"",INDEX('Compliance Database'!$G$2:$G$1199,MATCH(41,Engine!$C$2:$C$1199,0)))</f>
        <v/>
      </c>
      <c r="H54" s="7" t="str">
        <f>IF(ISNA(MATCH(41,Engine!$C$2:$C$1199,0)),"",INDEX('Compliance Database'!$H$2:$H$1199,MATCH(41,Engine!$C$2:$C$1199,0)))</f>
        <v/>
      </c>
      <c r="I54" s="7" t="str">
        <f>IF(ISNA(MATCH(41,Engine!$C$2:$C$1199,0)),"",INDEX('Compliance Database'!$I$2:$I$1199,MATCH(41,Engine!$C$2:$C$1199,0)))</f>
        <v/>
      </c>
      <c r="J54" s="6" t="str">
        <f>IF(ISNA(MATCH(41,Engine!$C$2:$C$1199,0)),"",INDEX('Compliance Database'!$J$2:$J$1199,MATCH(41,Engine!$C$2:$C$1199,0)))</f>
        <v/>
      </c>
      <c r="K54" s="7" t="str">
        <f>IF(ISNA(MATCH(41,Engine!$C$2:$C$1199,0)),"",INDEX('Compliance Database'!$K$2:$K$1199,MATCH(41,Engine!$C$2:$C$1199,0)))</f>
        <v/>
      </c>
      <c r="L54" s="7" t="str">
        <f>IF(ISNA(MATCH(41,Engine!$C$2:$C$1199,0)),"",INDEX('Compliance Database'!$L$2:$L$1199,MATCH(41,Engine!$C$2:$C$1199,0)))</f>
        <v/>
      </c>
      <c r="M54" s="7" t="str">
        <f>IF(ISNA(MATCH(41,Engine!$C$2:$C$1199,0)),"",INDEX('Compliance Database'!$M$2:$M$1199,MATCH(41,Engine!$C$2:$C$1199,0)))</f>
        <v/>
      </c>
      <c r="N54" s="7" t="str">
        <f>IF(ISNA(MATCH(41,Engine!$C$2:$C$1199,0)),"",INDEX('Compliance Database'!$N$2:$N$1199,MATCH(41,Engine!$C$2:$C$1199,0)))</f>
        <v/>
      </c>
      <c r="O54" s="7" t="str">
        <f>IF(ISNA(MATCH(41,Engine!$C$2:$C$1199,0)),"",INDEX('Compliance Database'!$O$2:$O$1199,MATCH(41,Engine!$C$2:$C$1199,0)))</f>
        <v/>
      </c>
      <c r="P54" s="6" t="str">
        <f>IF(ISNA(MATCH(41,Engine!$C$2:$C$1199,0)),"",HYPERLINK("#Acts!A"&amp;INDEX('Compliance Database'!$P$2:$P$1199,MATCH(41,Engine!$C$2:$C$1199,0)),"Go to Act"))</f>
        <v/>
      </c>
    </row>
    <row r="55" spans="1:16" ht="172.95" customHeight="1" x14ac:dyDescent="0.3">
      <c r="A55" s="6" t="str">
        <f>IF(ISNA(MATCH(42,Engine!$C$2:$C$1199,0)),"",INDEX('Compliance Database'!$A$2:$A$1199,MATCH(42,Engine!$C$2:$C$1199,0)))</f>
        <v/>
      </c>
      <c r="B55" s="6" t="str">
        <f>IF(ISNA(MATCH(42,Engine!$C$2:$C$1199,0)),"",INDEX('Compliance Database'!$B$2:$B$1199,MATCH(42,Engine!$C$2:$C$1199,0)))</f>
        <v/>
      </c>
      <c r="C55" s="6" t="str">
        <f>IF(ISNA(MATCH(42,Engine!$C$2:$C$1199,0)),"",INDEX('Compliance Database'!$C$2:$C$1199,MATCH(42,Engine!$C$2:$C$1199,0)))</f>
        <v/>
      </c>
      <c r="D55" s="7" t="str">
        <f>IF(ISNA(MATCH(42,Engine!$C$2:$C$1199,0)),"",INDEX('Compliance Database'!$D$2:$D$1199,MATCH(42,Engine!$C$2:$C$1199,0)))</f>
        <v/>
      </c>
      <c r="E55" s="6" t="str">
        <f>IF(ISNA(MATCH(42,Engine!$C$2:$C$1199,0)),"",INDEX('Compliance Database'!$E$2:$E$1199,MATCH(42,Engine!$C$2:$C$1199,0)))</f>
        <v/>
      </c>
      <c r="F55" s="6" t="str">
        <f>IF(ISNA(MATCH(42,Engine!$C$2:$C$1199,0)),"",INDEX('Compliance Database'!$F$2:$F$1199,MATCH(42,Engine!$C$2:$C$1199,0)))</f>
        <v/>
      </c>
      <c r="G55" s="6" t="str">
        <f>IF(ISNA(MATCH(42,Engine!$C$2:$C$1199,0)),"",INDEX('Compliance Database'!$G$2:$G$1199,MATCH(42,Engine!$C$2:$C$1199,0)))</f>
        <v/>
      </c>
      <c r="H55" s="7" t="str">
        <f>IF(ISNA(MATCH(42,Engine!$C$2:$C$1199,0)),"",INDEX('Compliance Database'!$H$2:$H$1199,MATCH(42,Engine!$C$2:$C$1199,0)))</f>
        <v/>
      </c>
      <c r="I55" s="7" t="str">
        <f>IF(ISNA(MATCH(42,Engine!$C$2:$C$1199,0)),"",INDEX('Compliance Database'!$I$2:$I$1199,MATCH(42,Engine!$C$2:$C$1199,0)))</f>
        <v/>
      </c>
      <c r="J55" s="6" t="str">
        <f>IF(ISNA(MATCH(42,Engine!$C$2:$C$1199,0)),"",INDEX('Compliance Database'!$J$2:$J$1199,MATCH(42,Engine!$C$2:$C$1199,0)))</f>
        <v/>
      </c>
      <c r="K55" s="7" t="str">
        <f>IF(ISNA(MATCH(42,Engine!$C$2:$C$1199,0)),"",INDEX('Compliance Database'!$K$2:$K$1199,MATCH(42,Engine!$C$2:$C$1199,0)))</f>
        <v/>
      </c>
      <c r="L55" s="7" t="str">
        <f>IF(ISNA(MATCH(42,Engine!$C$2:$C$1199,0)),"",INDEX('Compliance Database'!$L$2:$L$1199,MATCH(42,Engine!$C$2:$C$1199,0)))</f>
        <v/>
      </c>
      <c r="M55" s="7" t="str">
        <f>IF(ISNA(MATCH(42,Engine!$C$2:$C$1199,0)),"",INDEX('Compliance Database'!$M$2:$M$1199,MATCH(42,Engine!$C$2:$C$1199,0)))</f>
        <v/>
      </c>
      <c r="N55" s="7" t="str">
        <f>IF(ISNA(MATCH(42,Engine!$C$2:$C$1199,0)),"",INDEX('Compliance Database'!$N$2:$N$1199,MATCH(42,Engine!$C$2:$C$1199,0)))</f>
        <v/>
      </c>
      <c r="O55" s="7" t="str">
        <f>IF(ISNA(MATCH(42,Engine!$C$2:$C$1199,0)),"",INDEX('Compliance Database'!$O$2:$O$1199,MATCH(42,Engine!$C$2:$C$1199,0)))</f>
        <v/>
      </c>
      <c r="P55" s="6" t="str">
        <f>IF(ISNA(MATCH(42,Engine!$C$2:$C$1199,0)),"",HYPERLINK("#Acts!A"&amp;INDEX('Compliance Database'!$P$2:$P$1199,MATCH(42,Engine!$C$2:$C$1199,0)),"Go to Act"))</f>
        <v/>
      </c>
    </row>
    <row r="56" spans="1:16" ht="172.95" customHeight="1" x14ac:dyDescent="0.3">
      <c r="A56" s="6" t="str">
        <f>IF(ISNA(MATCH(43,Engine!$C$2:$C$1199,0)),"",INDEX('Compliance Database'!$A$2:$A$1199,MATCH(43,Engine!$C$2:$C$1199,0)))</f>
        <v/>
      </c>
      <c r="B56" s="6" t="str">
        <f>IF(ISNA(MATCH(43,Engine!$C$2:$C$1199,0)),"",INDEX('Compliance Database'!$B$2:$B$1199,MATCH(43,Engine!$C$2:$C$1199,0)))</f>
        <v/>
      </c>
      <c r="C56" s="6" t="str">
        <f>IF(ISNA(MATCH(43,Engine!$C$2:$C$1199,0)),"",INDEX('Compliance Database'!$C$2:$C$1199,MATCH(43,Engine!$C$2:$C$1199,0)))</f>
        <v/>
      </c>
      <c r="D56" s="7" t="str">
        <f>IF(ISNA(MATCH(43,Engine!$C$2:$C$1199,0)),"",INDEX('Compliance Database'!$D$2:$D$1199,MATCH(43,Engine!$C$2:$C$1199,0)))</f>
        <v/>
      </c>
      <c r="E56" s="6" t="str">
        <f>IF(ISNA(MATCH(43,Engine!$C$2:$C$1199,0)),"",INDEX('Compliance Database'!$E$2:$E$1199,MATCH(43,Engine!$C$2:$C$1199,0)))</f>
        <v/>
      </c>
      <c r="F56" s="6" t="str">
        <f>IF(ISNA(MATCH(43,Engine!$C$2:$C$1199,0)),"",INDEX('Compliance Database'!$F$2:$F$1199,MATCH(43,Engine!$C$2:$C$1199,0)))</f>
        <v/>
      </c>
      <c r="G56" s="6" t="str">
        <f>IF(ISNA(MATCH(43,Engine!$C$2:$C$1199,0)),"",INDEX('Compliance Database'!$G$2:$G$1199,MATCH(43,Engine!$C$2:$C$1199,0)))</f>
        <v/>
      </c>
      <c r="H56" s="7" t="str">
        <f>IF(ISNA(MATCH(43,Engine!$C$2:$C$1199,0)),"",INDEX('Compliance Database'!$H$2:$H$1199,MATCH(43,Engine!$C$2:$C$1199,0)))</f>
        <v/>
      </c>
      <c r="I56" s="7" t="str">
        <f>IF(ISNA(MATCH(43,Engine!$C$2:$C$1199,0)),"",INDEX('Compliance Database'!$I$2:$I$1199,MATCH(43,Engine!$C$2:$C$1199,0)))</f>
        <v/>
      </c>
      <c r="J56" s="6" t="str">
        <f>IF(ISNA(MATCH(43,Engine!$C$2:$C$1199,0)),"",INDEX('Compliance Database'!$J$2:$J$1199,MATCH(43,Engine!$C$2:$C$1199,0)))</f>
        <v/>
      </c>
      <c r="K56" s="7" t="str">
        <f>IF(ISNA(MATCH(43,Engine!$C$2:$C$1199,0)),"",INDEX('Compliance Database'!$K$2:$K$1199,MATCH(43,Engine!$C$2:$C$1199,0)))</f>
        <v/>
      </c>
      <c r="L56" s="7" t="str">
        <f>IF(ISNA(MATCH(43,Engine!$C$2:$C$1199,0)),"",INDEX('Compliance Database'!$L$2:$L$1199,MATCH(43,Engine!$C$2:$C$1199,0)))</f>
        <v/>
      </c>
      <c r="M56" s="7" t="str">
        <f>IF(ISNA(MATCH(43,Engine!$C$2:$C$1199,0)),"",INDEX('Compliance Database'!$M$2:$M$1199,MATCH(43,Engine!$C$2:$C$1199,0)))</f>
        <v/>
      </c>
      <c r="N56" s="7" t="str">
        <f>IF(ISNA(MATCH(43,Engine!$C$2:$C$1199,0)),"",INDEX('Compliance Database'!$N$2:$N$1199,MATCH(43,Engine!$C$2:$C$1199,0)))</f>
        <v/>
      </c>
      <c r="O56" s="7" t="str">
        <f>IF(ISNA(MATCH(43,Engine!$C$2:$C$1199,0)),"",INDEX('Compliance Database'!$O$2:$O$1199,MATCH(43,Engine!$C$2:$C$1199,0)))</f>
        <v/>
      </c>
      <c r="P56" s="6" t="str">
        <f>IF(ISNA(MATCH(43,Engine!$C$2:$C$1199,0)),"",HYPERLINK("#Acts!A"&amp;INDEX('Compliance Database'!$P$2:$P$1199,MATCH(43,Engine!$C$2:$C$1199,0)),"Go to Act"))</f>
        <v/>
      </c>
    </row>
    <row r="57" spans="1:16" ht="172.95" customHeight="1" x14ac:dyDescent="0.3">
      <c r="A57" s="6" t="str">
        <f>IF(ISNA(MATCH(44,Engine!$C$2:$C$1199,0)),"",INDEX('Compliance Database'!$A$2:$A$1199,MATCH(44,Engine!$C$2:$C$1199,0)))</f>
        <v/>
      </c>
      <c r="B57" s="6" t="str">
        <f>IF(ISNA(MATCH(44,Engine!$C$2:$C$1199,0)),"",INDEX('Compliance Database'!$B$2:$B$1199,MATCH(44,Engine!$C$2:$C$1199,0)))</f>
        <v/>
      </c>
      <c r="C57" s="6" t="str">
        <f>IF(ISNA(MATCH(44,Engine!$C$2:$C$1199,0)),"",INDEX('Compliance Database'!$C$2:$C$1199,MATCH(44,Engine!$C$2:$C$1199,0)))</f>
        <v/>
      </c>
      <c r="D57" s="7" t="str">
        <f>IF(ISNA(MATCH(44,Engine!$C$2:$C$1199,0)),"",INDEX('Compliance Database'!$D$2:$D$1199,MATCH(44,Engine!$C$2:$C$1199,0)))</f>
        <v/>
      </c>
      <c r="E57" s="6" t="str">
        <f>IF(ISNA(MATCH(44,Engine!$C$2:$C$1199,0)),"",INDEX('Compliance Database'!$E$2:$E$1199,MATCH(44,Engine!$C$2:$C$1199,0)))</f>
        <v/>
      </c>
      <c r="F57" s="6" t="str">
        <f>IF(ISNA(MATCH(44,Engine!$C$2:$C$1199,0)),"",INDEX('Compliance Database'!$F$2:$F$1199,MATCH(44,Engine!$C$2:$C$1199,0)))</f>
        <v/>
      </c>
      <c r="G57" s="6" t="str">
        <f>IF(ISNA(MATCH(44,Engine!$C$2:$C$1199,0)),"",INDEX('Compliance Database'!$G$2:$G$1199,MATCH(44,Engine!$C$2:$C$1199,0)))</f>
        <v/>
      </c>
      <c r="H57" s="7" t="str">
        <f>IF(ISNA(MATCH(44,Engine!$C$2:$C$1199,0)),"",INDEX('Compliance Database'!$H$2:$H$1199,MATCH(44,Engine!$C$2:$C$1199,0)))</f>
        <v/>
      </c>
      <c r="I57" s="7" t="str">
        <f>IF(ISNA(MATCH(44,Engine!$C$2:$C$1199,0)),"",INDEX('Compliance Database'!$I$2:$I$1199,MATCH(44,Engine!$C$2:$C$1199,0)))</f>
        <v/>
      </c>
      <c r="J57" s="6" t="str">
        <f>IF(ISNA(MATCH(44,Engine!$C$2:$C$1199,0)),"",INDEX('Compliance Database'!$J$2:$J$1199,MATCH(44,Engine!$C$2:$C$1199,0)))</f>
        <v/>
      </c>
      <c r="K57" s="7" t="str">
        <f>IF(ISNA(MATCH(44,Engine!$C$2:$C$1199,0)),"",INDEX('Compliance Database'!$K$2:$K$1199,MATCH(44,Engine!$C$2:$C$1199,0)))</f>
        <v/>
      </c>
      <c r="L57" s="7" t="str">
        <f>IF(ISNA(MATCH(44,Engine!$C$2:$C$1199,0)),"",INDEX('Compliance Database'!$L$2:$L$1199,MATCH(44,Engine!$C$2:$C$1199,0)))</f>
        <v/>
      </c>
      <c r="M57" s="7" t="str">
        <f>IF(ISNA(MATCH(44,Engine!$C$2:$C$1199,0)),"",INDEX('Compliance Database'!$M$2:$M$1199,MATCH(44,Engine!$C$2:$C$1199,0)))</f>
        <v/>
      </c>
      <c r="N57" s="7" t="str">
        <f>IF(ISNA(MATCH(44,Engine!$C$2:$C$1199,0)),"",INDEX('Compliance Database'!$N$2:$N$1199,MATCH(44,Engine!$C$2:$C$1199,0)))</f>
        <v/>
      </c>
      <c r="O57" s="7" t="str">
        <f>IF(ISNA(MATCH(44,Engine!$C$2:$C$1199,0)),"",INDEX('Compliance Database'!$O$2:$O$1199,MATCH(44,Engine!$C$2:$C$1199,0)))</f>
        <v/>
      </c>
      <c r="P57" s="6" t="str">
        <f>IF(ISNA(MATCH(44,Engine!$C$2:$C$1199,0)),"",HYPERLINK("#Acts!A"&amp;INDEX('Compliance Database'!$P$2:$P$1199,MATCH(44,Engine!$C$2:$C$1199,0)),"Go to Act"))</f>
        <v/>
      </c>
    </row>
    <row r="58" spans="1:16" ht="172.95" customHeight="1" x14ac:dyDescent="0.3">
      <c r="A58" s="6" t="str">
        <f>IF(ISNA(MATCH(45,Engine!$C$2:$C$1199,0)),"",INDEX('Compliance Database'!$A$2:$A$1199,MATCH(45,Engine!$C$2:$C$1199,0)))</f>
        <v/>
      </c>
      <c r="B58" s="6" t="str">
        <f>IF(ISNA(MATCH(45,Engine!$C$2:$C$1199,0)),"",INDEX('Compliance Database'!$B$2:$B$1199,MATCH(45,Engine!$C$2:$C$1199,0)))</f>
        <v/>
      </c>
      <c r="C58" s="6" t="str">
        <f>IF(ISNA(MATCH(45,Engine!$C$2:$C$1199,0)),"",INDEX('Compliance Database'!$C$2:$C$1199,MATCH(45,Engine!$C$2:$C$1199,0)))</f>
        <v/>
      </c>
      <c r="D58" s="7" t="str">
        <f>IF(ISNA(MATCH(45,Engine!$C$2:$C$1199,0)),"",INDEX('Compliance Database'!$D$2:$D$1199,MATCH(45,Engine!$C$2:$C$1199,0)))</f>
        <v/>
      </c>
      <c r="E58" s="6" t="str">
        <f>IF(ISNA(MATCH(45,Engine!$C$2:$C$1199,0)),"",INDEX('Compliance Database'!$E$2:$E$1199,MATCH(45,Engine!$C$2:$C$1199,0)))</f>
        <v/>
      </c>
      <c r="F58" s="6" t="str">
        <f>IF(ISNA(MATCH(45,Engine!$C$2:$C$1199,0)),"",INDEX('Compliance Database'!$F$2:$F$1199,MATCH(45,Engine!$C$2:$C$1199,0)))</f>
        <v/>
      </c>
      <c r="G58" s="6" t="str">
        <f>IF(ISNA(MATCH(45,Engine!$C$2:$C$1199,0)),"",INDEX('Compliance Database'!$G$2:$G$1199,MATCH(45,Engine!$C$2:$C$1199,0)))</f>
        <v/>
      </c>
      <c r="H58" s="7" t="str">
        <f>IF(ISNA(MATCH(45,Engine!$C$2:$C$1199,0)),"",INDEX('Compliance Database'!$H$2:$H$1199,MATCH(45,Engine!$C$2:$C$1199,0)))</f>
        <v/>
      </c>
      <c r="I58" s="7" t="str">
        <f>IF(ISNA(MATCH(45,Engine!$C$2:$C$1199,0)),"",INDEX('Compliance Database'!$I$2:$I$1199,MATCH(45,Engine!$C$2:$C$1199,0)))</f>
        <v/>
      </c>
      <c r="J58" s="6" t="str">
        <f>IF(ISNA(MATCH(45,Engine!$C$2:$C$1199,0)),"",INDEX('Compliance Database'!$J$2:$J$1199,MATCH(45,Engine!$C$2:$C$1199,0)))</f>
        <v/>
      </c>
      <c r="K58" s="7" t="str">
        <f>IF(ISNA(MATCH(45,Engine!$C$2:$C$1199,0)),"",INDEX('Compliance Database'!$K$2:$K$1199,MATCH(45,Engine!$C$2:$C$1199,0)))</f>
        <v/>
      </c>
      <c r="L58" s="7" t="str">
        <f>IF(ISNA(MATCH(45,Engine!$C$2:$C$1199,0)),"",INDEX('Compliance Database'!$L$2:$L$1199,MATCH(45,Engine!$C$2:$C$1199,0)))</f>
        <v/>
      </c>
      <c r="M58" s="7" t="str">
        <f>IF(ISNA(MATCH(45,Engine!$C$2:$C$1199,0)),"",INDEX('Compliance Database'!$M$2:$M$1199,MATCH(45,Engine!$C$2:$C$1199,0)))</f>
        <v/>
      </c>
      <c r="N58" s="7" t="str">
        <f>IF(ISNA(MATCH(45,Engine!$C$2:$C$1199,0)),"",INDEX('Compliance Database'!$N$2:$N$1199,MATCH(45,Engine!$C$2:$C$1199,0)))</f>
        <v/>
      </c>
      <c r="O58" s="7" t="str">
        <f>IF(ISNA(MATCH(45,Engine!$C$2:$C$1199,0)),"",INDEX('Compliance Database'!$O$2:$O$1199,MATCH(45,Engine!$C$2:$C$1199,0)))</f>
        <v/>
      </c>
      <c r="P58" s="6" t="str">
        <f>IF(ISNA(MATCH(45,Engine!$C$2:$C$1199,0)),"",HYPERLINK("#Acts!A"&amp;INDEX('Compliance Database'!$P$2:$P$1199,MATCH(45,Engine!$C$2:$C$1199,0)),"Go to Act"))</f>
        <v/>
      </c>
    </row>
    <row r="59" spans="1:16" ht="172.95" customHeight="1" x14ac:dyDescent="0.3">
      <c r="A59" s="6" t="str">
        <f>IF(ISNA(MATCH(46,Engine!$C$2:$C$1199,0)),"",INDEX('Compliance Database'!$A$2:$A$1199,MATCH(46,Engine!$C$2:$C$1199,0)))</f>
        <v/>
      </c>
      <c r="B59" s="6" t="str">
        <f>IF(ISNA(MATCH(46,Engine!$C$2:$C$1199,0)),"",INDEX('Compliance Database'!$B$2:$B$1199,MATCH(46,Engine!$C$2:$C$1199,0)))</f>
        <v/>
      </c>
      <c r="C59" s="6" t="str">
        <f>IF(ISNA(MATCH(46,Engine!$C$2:$C$1199,0)),"",INDEX('Compliance Database'!$C$2:$C$1199,MATCH(46,Engine!$C$2:$C$1199,0)))</f>
        <v/>
      </c>
      <c r="D59" s="7" t="str">
        <f>IF(ISNA(MATCH(46,Engine!$C$2:$C$1199,0)),"",INDEX('Compliance Database'!$D$2:$D$1199,MATCH(46,Engine!$C$2:$C$1199,0)))</f>
        <v/>
      </c>
      <c r="E59" s="6" t="str">
        <f>IF(ISNA(MATCH(46,Engine!$C$2:$C$1199,0)),"",INDEX('Compliance Database'!$E$2:$E$1199,MATCH(46,Engine!$C$2:$C$1199,0)))</f>
        <v/>
      </c>
      <c r="F59" s="6" t="str">
        <f>IF(ISNA(MATCH(46,Engine!$C$2:$C$1199,0)),"",INDEX('Compliance Database'!$F$2:$F$1199,MATCH(46,Engine!$C$2:$C$1199,0)))</f>
        <v/>
      </c>
      <c r="G59" s="6" t="str">
        <f>IF(ISNA(MATCH(46,Engine!$C$2:$C$1199,0)),"",INDEX('Compliance Database'!$G$2:$G$1199,MATCH(46,Engine!$C$2:$C$1199,0)))</f>
        <v/>
      </c>
      <c r="H59" s="7" t="str">
        <f>IF(ISNA(MATCH(46,Engine!$C$2:$C$1199,0)),"",INDEX('Compliance Database'!$H$2:$H$1199,MATCH(46,Engine!$C$2:$C$1199,0)))</f>
        <v/>
      </c>
      <c r="I59" s="7" t="str">
        <f>IF(ISNA(MATCH(46,Engine!$C$2:$C$1199,0)),"",INDEX('Compliance Database'!$I$2:$I$1199,MATCH(46,Engine!$C$2:$C$1199,0)))</f>
        <v/>
      </c>
      <c r="J59" s="6" t="str">
        <f>IF(ISNA(MATCH(46,Engine!$C$2:$C$1199,0)),"",INDEX('Compliance Database'!$J$2:$J$1199,MATCH(46,Engine!$C$2:$C$1199,0)))</f>
        <v/>
      </c>
      <c r="K59" s="7" t="str">
        <f>IF(ISNA(MATCH(46,Engine!$C$2:$C$1199,0)),"",INDEX('Compliance Database'!$K$2:$K$1199,MATCH(46,Engine!$C$2:$C$1199,0)))</f>
        <v/>
      </c>
      <c r="L59" s="7" t="str">
        <f>IF(ISNA(MATCH(46,Engine!$C$2:$C$1199,0)),"",INDEX('Compliance Database'!$L$2:$L$1199,MATCH(46,Engine!$C$2:$C$1199,0)))</f>
        <v/>
      </c>
      <c r="M59" s="7" t="str">
        <f>IF(ISNA(MATCH(46,Engine!$C$2:$C$1199,0)),"",INDEX('Compliance Database'!$M$2:$M$1199,MATCH(46,Engine!$C$2:$C$1199,0)))</f>
        <v/>
      </c>
      <c r="N59" s="7" t="str">
        <f>IF(ISNA(MATCH(46,Engine!$C$2:$C$1199,0)),"",INDEX('Compliance Database'!$N$2:$N$1199,MATCH(46,Engine!$C$2:$C$1199,0)))</f>
        <v/>
      </c>
      <c r="O59" s="7" t="str">
        <f>IF(ISNA(MATCH(46,Engine!$C$2:$C$1199,0)),"",INDEX('Compliance Database'!$O$2:$O$1199,MATCH(46,Engine!$C$2:$C$1199,0)))</f>
        <v/>
      </c>
      <c r="P59" s="6" t="str">
        <f>IF(ISNA(MATCH(46,Engine!$C$2:$C$1199,0)),"",HYPERLINK("#Acts!A"&amp;INDEX('Compliance Database'!$P$2:$P$1199,MATCH(46,Engine!$C$2:$C$1199,0)),"Go to Act"))</f>
        <v/>
      </c>
    </row>
    <row r="60" spans="1:16" ht="172.95" customHeight="1" x14ac:dyDescent="0.3">
      <c r="A60" s="6" t="str">
        <f>IF(ISNA(MATCH(47,Engine!$C$2:$C$1199,0)),"",INDEX('Compliance Database'!$A$2:$A$1199,MATCH(47,Engine!$C$2:$C$1199,0)))</f>
        <v/>
      </c>
      <c r="B60" s="6" t="str">
        <f>IF(ISNA(MATCH(47,Engine!$C$2:$C$1199,0)),"",INDEX('Compliance Database'!$B$2:$B$1199,MATCH(47,Engine!$C$2:$C$1199,0)))</f>
        <v/>
      </c>
      <c r="C60" s="6" t="str">
        <f>IF(ISNA(MATCH(47,Engine!$C$2:$C$1199,0)),"",INDEX('Compliance Database'!$C$2:$C$1199,MATCH(47,Engine!$C$2:$C$1199,0)))</f>
        <v/>
      </c>
      <c r="D60" s="7" t="str">
        <f>IF(ISNA(MATCH(47,Engine!$C$2:$C$1199,0)),"",INDEX('Compliance Database'!$D$2:$D$1199,MATCH(47,Engine!$C$2:$C$1199,0)))</f>
        <v/>
      </c>
      <c r="E60" s="6" t="str">
        <f>IF(ISNA(MATCH(47,Engine!$C$2:$C$1199,0)),"",INDEX('Compliance Database'!$E$2:$E$1199,MATCH(47,Engine!$C$2:$C$1199,0)))</f>
        <v/>
      </c>
      <c r="F60" s="6" t="str">
        <f>IF(ISNA(MATCH(47,Engine!$C$2:$C$1199,0)),"",INDEX('Compliance Database'!$F$2:$F$1199,MATCH(47,Engine!$C$2:$C$1199,0)))</f>
        <v/>
      </c>
      <c r="G60" s="6" t="str">
        <f>IF(ISNA(MATCH(47,Engine!$C$2:$C$1199,0)),"",INDEX('Compliance Database'!$G$2:$G$1199,MATCH(47,Engine!$C$2:$C$1199,0)))</f>
        <v/>
      </c>
      <c r="H60" s="7" t="str">
        <f>IF(ISNA(MATCH(47,Engine!$C$2:$C$1199,0)),"",INDEX('Compliance Database'!$H$2:$H$1199,MATCH(47,Engine!$C$2:$C$1199,0)))</f>
        <v/>
      </c>
      <c r="I60" s="7" t="str">
        <f>IF(ISNA(MATCH(47,Engine!$C$2:$C$1199,0)),"",INDEX('Compliance Database'!$I$2:$I$1199,MATCH(47,Engine!$C$2:$C$1199,0)))</f>
        <v/>
      </c>
      <c r="J60" s="6" t="str">
        <f>IF(ISNA(MATCH(47,Engine!$C$2:$C$1199,0)),"",INDEX('Compliance Database'!$J$2:$J$1199,MATCH(47,Engine!$C$2:$C$1199,0)))</f>
        <v/>
      </c>
      <c r="K60" s="7" t="str">
        <f>IF(ISNA(MATCH(47,Engine!$C$2:$C$1199,0)),"",INDEX('Compliance Database'!$K$2:$K$1199,MATCH(47,Engine!$C$2:$C$1199,0)))</f>
        <v/>
      </c>
      <c r="L60" s="7" t="str">
        <f>IF(ISNA(MATCH(47,Engine!$C$2:$C$1199,0)),"",INDEX('Compliance Database'!$L$2:$L$1199,MATCH(47,Engine!$C$2:$C$1199,0)))</f>
        <v/>
      </c>
      <c r="M60" s="7" t="str">
        <f>IF(ISNA(MATCH(47,Engine!$C$2:$C$1199,0)),"",INDEX('Compliance Database'!$M$2:$M$1199,MATCH(47,Engine!$C$2:$C$1199,0)))</f>
        <v/>
      </c>
      <c r="N60" s="7" t="str">
        <f>IF(ISNA(MATCH(47,Engine!$C$2:$C$1199,0)),"",INDEX('Compliance Database'!$N$2:$N$1199,MATCH(47,Engine!$C$2:$C$1199,0)))</f>
        <v/>
      </c>
      <c r="O60" s="7" t="str">
        <f>IF(ISNA(MATCH(47,Engine!$C$2:$C$1199,0)),"",INDEX('Compliance Database'!$O$2:$O$1199,MATCH(47,Engine!$C$2:$C$1199,0)))</f>
        <v/>
      </c>
      <c r="P60" s="6" t="str">
        <f>IF(ISNA(MATCH(47,Engine!$C$2:$C$1199,0)),"",HYPERLINK("#Acts!A"&amp;INDEX('Compliance Database'!$P$2:$P$1199,MATCH(47,Engine!$C$2:$C$1199,0)),"Go to Act"))</f>
        <v/>
      </c>
    </row>
    <row r="61" spans="1:16" ht="172.95" customHeight="1" x14ac:dyDescent="0.3">
      <c r="A61" s="6" t="str">
        <f>IF(ISNA(MATCH(48,Engine!$C$2:$C$1199,0)),"",INDEX('Compliance Database'!$A$2:$A$1199,MATCH(48,Engine!$C$2:$C$1199,0)))</f>
        <v/>
      </c>
      <c r="B61" s="6" t="str">
        <f>IF(ISNA(MATCH(48,Engine!$C$2:$C$1199,0)),"",INDEX('Compliance Database'!$B$2:$B$1199,MATCH(48,Engine!$C$2:$C$1199,0)))</f>
        <v/>
      </c>
      <c r="C61" s="6" t="str">
        <f>IF(ISNA(MATCH(48,Engine!$C$2:$C$1199,0)),"",INDEX('Compliance Database'!$C$2:$C$1199,MATCH(48,Engine!$C$2:$C$1199,0)))</f>
        <v/>
      </c>
      <c r="D61" s="7" t="str">
        <f>IF(ISNA(MATCH(48,Engine!$C$2:$C$1199,0)),"",INDEX('Compliance Database'!$D$2:$D$1199,MATCH(48,Engine!$C$2:$C$1199,0)))</f>
        <v/>
      </c>
      <c r="E61" s="6" t="str">
        <f>IF(ISNA(MATCH(48,Engine!$C$2:$C$1199,0)),"",INDEX('Compliance Database'!$E$2:$E$1199,MATCH(48,Engine!$C$2:$C$1199,0)))</f>
        <v/>
      </c>
      <c r="F61" s="6" t="str">
        <f>IF(ISNA(MATCH(48,Engine!$C$2:$C$1199,0)),"",INDEX('Compliance Database'!$F$2:$F$1199,MATCH(48,Engine!$C$2:$C$1199,0)))</f>
        <v/>
      </c>
      <c r="G61" s="6" t="str">
        <f>IF(ISNA(MATCH(48,Engine!$C$2:$C$1199,0)),"",INDEX('Compliance Database'!$G$2:$G$1199,MATCH(48,Engine!$C$2:$C$1199,0)))</f>
        <v/>
      </c>
      <c r="H61" s="7" t="str">
        <f>IF(ISNA(MATCH(48,Engine!$C$2:$C$1199,0)),"",INDEX('Compliance Database'!$H$2:$H$1199,MATCH(48,Engine!$C$2:$C$1199,0)))</f>
        <v/>
      </c>
      <c r="I61" s="7" t="str">
        <f>IF(ISNA(MATCH(48,Engine!$C$2:$C$1199,0)),"",INDEX('Compliance Database'!$I$2:$I$1199,MATCH(48,Engine!$C$2:$C$1199,0)))</f>
        <v/>
      </c>
      <c r="J61" s="6" t="str">
        <f>IF(ISNA(MATCH(48,Engine!$C$2:$C$1199,0)),"",INDEX('Compliance Database'!$J$2:$J$1199,MATCH(48,Engine!$C$2:$C$1199,0)))</f>
        <v/>
      </c>
      <c r="K61" s="7" t="str">
        <f>IF(ISNA(MATCH(48,Engine!$C$2:$C$1199,0)),"",INDEX('Compliance Database'!$K$2:$K$1199,MATCH(48,Engine!$C$2:$C$1199,0)))</f>
        <v/>
      </c>
      <c r="L61" s="7" t="str">
        <f>IF(ISNA(MATCH(48,Engine!$C$2:$C$1199,0)),"",INDEX('Compliance Database'!$L$2:$L$1199,MATCH(48,Engine!$C$2:$C$1199,0)))</f>
        <v/>
      </c>
      <c r="M61" s="7" t="str">
        <f>IF(ISNA(MATCH(48,Engine!$C$2:$C$1199,0)),"",INDEX('Compliance Database'!$M$2:$M$1199,MATCH(48,Engine!$C$2:$C$1199,0)))</f>
        <v/>
      </c>
      <c r="N61" s="7" t="str">
        <f>IF(ISNA(MATCH(48,Engine!$C$2:$C$1199,0)),"",INDEX('Compliance Database'!$N$2:$N$1199,MATCH(48,Engine!$C$2:$C$1199,0)))</f>
        <v/>
      </c>
      <c r="O61" s="7" t="str">
        <f>IF(ISNA(MATCH(48,Engine!$C$2:$C$1199,0)),"",INDEX('Compliance Database'!$O$2:$O$1199,MATCH(48,Engine!$C$2:$C$1199,0)))</f>
        <v/>
      </c>
      <c r="P61" s="6" t="str">
        <f>IF(ISNA(MATCH(48,Engine!$C$2:$C$1199,0)),"",HYPERLINK("#Acts!A"&amp;INDEX('Compliance Database'!$P$2:$P$1199,MATCH(48,Engine!$C$2:$C$1199,0)),"Go to Act"))</f>
        <v/>
      </c>
    </row>
    <row r="62" spans="1:16" ht="172.95" customHeight="1" x14ac:dyDescent="0.3">
      <c r="A62" s="6" t="str">
        <f>IF(ISNA(MATCH(49,Engine!$C$2:$C$1199,0)),"",INDEX('Compliance Database'!$A$2:$A$1199,MATCH(49,Engine!$C$2:$C$1199,0)))</f>
        <v/>
      </c>
      <c r="B62" s="6" t="str">
        <f>IF(ISNA(MATCH(49,Engine!$C$2:$C$1199,0)),"",INDEX('Compliance Database'!$B$2:$B$1199,MATCH(49,Engine!$C$2:$C$1199,0)))</f>
        <v/>
      </c>
      <c r="C62" s="6" t="str">
        <f>IF(ISNA(MATCH(49,Engine!$C$2:$C$1199,0)),"",INDEX('Compliance Database'!$C$2:$C$1199,MATCH(49,Engine!$C$2:$C$1199,0)))</f>
        <v/>
      </c>
      <c r="D62" s="7" t="str">
        <f>IF(ISNA(MATCH(49,Engine!$C$2:$C$1199,0)),"",INDEX('Compliance Database'!$D$2:$D$1199,MATCH(49,Engine!$C$2:$C$1199,0)))</f>
        <v/>
      </c>
      <c r="E62" s="6" t="str">
        <f>IF(ISNA(MATCH(49,Engine!$C$2:$C$1199,0)),"",INDEX('Compliance Database'!$E$2:$E$1199,MATCH(49,Engine!$C$2:$C$1199,0)))</f>
        <v/>
      </c>
      <c r="F62" s="6" t="str">
        <f>IF(ISNA(MATCH(49,Engine!$C$2:$C$1199,0)),"",INDEX('Compliance Database'!$F$2:$F$1199,MATCH(49,Engine!$C$2:$C$1199,0)))</f>
        <v/>
      </c>
      <c r="G62" s="6" t="str">
        <f>IF(ISNA(MATCH(49,Engine!$C$2:$C$1199,0)),"",INDEX('Compliance Database'!$G$2:$G$1199,MATCH(49,Engine!$C$2:$C$1199,0)))</f>
        <v/>
      </c>
      <c r="H62" s="7" t="str">
        <f>IF(ISNA(MATCH(49,Engine!$C$2:$C$1199,0)),"",INDEX('Compliance Database'!$H$2:$H$1199,MATCH(49,Engine!$C$2:$C$1199,0)))</f>
        <v/>
      </c>
      <c r="I62" s="7" t="str">
        <f>IF(ISNA(MATCH(49,Engine!$C$2:$C$1199,0)),"",INDEX('Compliance Database'!$I$2:$I$1199,MATCH(49,Engine!$C$2:$C$1199,0)))</f>
        <v/>
      </c>
      <c r="J62" s="6" t="str">
        <f>IF(ISNA(MATCH(49,Engine!$C$2:$C$1199,0)),"",INDEX('Compliance Database'!$J$2:$J$1199,MATCH(49,Engine!$C$2:$C$1199,0)))</f>
        <v/>
      </c>
      <c r="K62" s="7" t="str">
        <f>IF(ISNA(MATCH(49,Engine!$C$2:$C$1199,0)),"",INDEX('Compliance Database'!$K$2:$K$1199,MATCH(49,Engine!$C$2:$C$1199,0)))</f>
        <v/>
      </c>
      <c r="L62" s="7" t="str">
        <f>IF(ISNA(MATCH(49,Engine!$C$2:$C$1199,0)),"",INDEX('Compliance Database'!$L$2:$L$1199,MATCH(49,Engine!$C$2:$C$1199,0)))</f>
        <v/>
      </c>
      <c r="M62" s="7" t="str">
        <f>IF(ISNA(MATCH(49,Engine!$C$2:$C$1199,0)),"",INDEX('Compliance Database'!$M$2:$M$1199,MATCH(49,Engine!$C$2:$C$1199,0)))</f>
        <v/>
      </c>
      <c r="N62" s="7" t="str">
        <f>IF(ISNA(MATCH(49,Engine!$C$2:$C$1199,0)),"",INDEX('Compliance Database'!$N$2:$N$1199,MATCH(49,Engine!$C$2:$C$1199,0)))</f>
        <v/>
      </c>
      <c r="O62" s="7" t="str">
        <f>IF(ISNA(MATCH(49,Engine!$C$2:$C$1199,0)),"",INDEX('Compliance Database'!$O$2:$O$1199,MATCH(49,Engine!$C$2:$C$1199,0)))</f>
        <v/>
      </c>
      <c r="P62" s="6" t="str">
        <f>IF(ISNA(MATCH(49,Engine!$C$2:$C$1199,0)),"",HYPERLINK("#Acts!A"&amp;INDEX('Compliance Database'!$P$2:$P$1199,MATCH(49,Engine!$C$2:$C$1199,0)),"Go to Act"))</f>
        <v/>
      </c>
    </row>
    <row r="63" spans="1:16" ht="172.95" customHeight="1" x14ac:dyDescent="0.3">
      <c r="A63" s="6" t="str">
        <f>IF(ISNA(MATCH(50,Engine!$C$2:$C$1199,0)),"",INDEX('Compliance Database'!$A$2:$A$1199,MATCH(50,Engine!$C$2:$C$1199,0)))</f>
        <v/>
      </c>
      <c r="B63" s="6" t="str">
        <f>IF(ISNA(MATCH(50,Engine!$C$2:$C$1199,0)),"",INDEX('Compliance Database'!$B$2:$B$1199,MATCH(50,Engine!$C$2:$C$1199,0)))</f>
        <v/>
      </c>
      <c r="C63" s="6" t="str">
        <f>IF(ISNA(MATCH(50,Engine!$C$2:$C$1199,0)),"",INDEX('Compliance Database'!$C$2:$C$1199,MATCH(50,Engine!$C$2:$C$1199,0)))</f>
        <v/>
      </c>
      <c r="D63" s="7" t="str">
        <f>IF(ISNA(MATCH(50,Engine!$C$2:$C$1199,0)),"",INDEX('Compliance Database'!$D$2:$D$1199,MATCH(50,Engine!$C$2:$C$1199,0)))</f>
        <v/>
      </c>
      <c r="E63" s="6" t="str">
        <f>IF(ISNA(MATCH(50,Engine!$C$2:$C$1199,0)),"",INDEX('Compliance Database'!$E$2:$E$1199,MATCH(50,Engine!$C$2:$C$1199,0)))</f>
        <v/>
      </c>
      <c r="F63" s="6" t="str">
        <f>IF(ISNA(MATCH(50,Engine!$C$2:$C$1199,0)),"",INDEX('Compliance Database'!$F$2:$F$1199,MATCH(50,Engine!$C$2:$C$1199,0)))</f>
        <v/>
      </c>
      <c r="G63" s="6" t="str">
        <f>IF(ISNA(MATCH(50,Engine!$C$2:$C$1199,0)),"",INDEX('Compliance Database'!$G$2:$G$1199,MATCH(50,Engine!$C$2:$C$1199,0)))</f>
        <v/>
      </c>
      <c r="H63" s="7" t="str">
        <f>IF(ISNA(MATCH(50,Engine!$C$2:$C$1199,0)),"",INDEX('Compliance Database'!$H$2:$H$1199,MATCH(50,Engine!$C$2:$C$1199,0)))</f>
        <v/>
      </c>
      <c r="I63" s="7" t="str">
        <f>IF(ISNA(MATCH(50,Engine!$C$2:$C$1199,0)),"",INDEX('Compliance Database'!$I$2:$I$1199,MATCH(50,Engine!$C$2:$C$1199,0)))</f>
        <v/>
      </c>
      <c r="J63" s="6" t="str">
        <f>IF(ISNA(MATCH(50,Engine!$C$2:$C$1199,0)),"",INDEX('Compliance Database'!$J$2:$J$1199,MATCH(50,Engine!$C$2:$C$1199,0)))</f>
        <v/>
      </c>
      <c r="K63" s="7" t="str">
        <f>IF(ISNA(MATCH(50,Engine!$C$2:$C$1199,0)),"",INDEX('Compliance Database'!$K$2:$K$1199,MATCH(50,Engine!$C$2:$C$1199,0)))</f>
        <v/>
      </c>
      <c r="L63" s="7" t="str">
        <f>IF(ISNA(MATCH(50,Engine!$C$2:$C$1199,0)),"",INDEX('Compliance Database'!$L$2:$L$1199,MATCH(50,Engine!$C$2:$C$1199,0)))</f>
        <v/>
      </c>
      <c r="M63" s="7" t="str">
        <f>IF(ISNA(MATCH(50,Engine!$C$2:$C$1199,0)),"",INDEX('Compliance Database'!$M$2:$M$1199,MATCH(50,Engine!$C$2:$C$1199,0)))</f>
        <v/>
      </c>
      <c r="N63" s="7" t="str">
        <f>IF(ISNA(MATCH(50,Engine!$C$2:$C$1199,0)),"",INDEX('Compliance Database'!$N$2:$N$1199,MATCH(50,Engine!$C$2:$C$1199,0)))</f>
        <v/>
      </c>
      <c r="O63" s="7" t="str">
        <f>IF(ISNA(MATCH(50,Engine!$C$2:$C$1199,0)),"",INDEX('Compliance Database'!$O$2:$O$1199,MATCH(50,Engine!$C$2:$C$1199,0)))</f>
        <v/>
      </c>
      <c r="P63" s="6" t="str">
        <f>IF(ISNA(MATCH(50,Engine!$C$2:$C$1199,0)),"",HYPERLINK("#Acts!A"&amp;INDEX('Compliance Database'!$P$2:$P$1199,MATCH(50,Engine!$C$2:$C$1199,0)),"Go to Act"))</f>
        <v/>
      </c>
    </row>
    <row r="64" spans="1:16" ht="172.95" customHeight="1" x14ac:dyDescent="0.3">
      <c r="A64" s="6" t="str">
        <f>IF(ISNA(MATCH(51,Engine!$C$2:$C$1199,0)),"",INDEX('Compliance Database'!$A$2:$A$1199,MATCH(51,Engine!$C$2:$C$1199,0)))</f>
        <v/>
      </c>
      <c r="B64" s="6" t="str">
        <f>IF(ISNA(MATCH(51,Engine!$C$2:$C$1199,0)),"",INDEX('Compliance Database'!$B$2:$B$1199,MATCH(51,Engine!$C$2:$C$1199,0)))</f>
        <v/>
      </c>
      <c r="C64" s="6" t="str">
        <f>IF(ISNA(MATCH(51,Engine!$C$2:$C$1199,0)),"",INDEX('Compliance Database'!$C$2:$C$1199,MATCH(51,Engine!$C$2:$C$1199,0)))</f>
        <v/>
      </c>
      <c r="D64" s="7" t="str">
        <f>IF(ISNA(MATCH(51,Engine!$C$2:$C$1199,0)),"",INDEX('Compliance Database'!$D$2:$D$1199,MATCH(51,Engine!$C$2:$C$1199,0)))</f>
        <v/>
      </c>
      <c r="E64" s="6" t="str">
        <f>IF(ISNA(MATCH(51,Engine!$C$2:$C$1199,0)),"",INDEX('Compliance Database'!$E$2:$E$1199,MATCH(51,Engine!$C$2:$C$1199,0)))</f>
        <v/>
      </c>
      <c r="F64" s="6" t="str">
        <f>IF(ISNA(MATCH(51,Engine!$C$2:$C$1199,0)),"",INDEX('Compliance Database'!$F$2:$F$1199,MATCH(51,Engine!$C$2:$C$1199,0)))</f>
        <v/>
      </c>
      <c r="G64" s="6" t="str">
        <f>IF(ISNA(MATCH(51,Engine!$C$2:$C$1199,0)),"",INDEX('Compliance Database'!$G$2:$G$1199,MATCH(51,Engine!$C$2:$C$1199,0)))</f>
        <v/>
      </c>
      <c r="H64" s="7" t="str">
        <f>IF(ISNA(MATCH(51,Engine!$C$2:$C$1199,0)),"",INDEX('Compliance Database'!$H$2:$H$1199,MATCH(51,Engine!$C$2:$C$1199,0)))</f>
        <v/>
      </c>
      <c r="I64" s="7" t="str">
        <f>IF(ISNA(MATCH(51,Engine!$C$2:$C$1199,0)),"",INDEX('Compliance Database'!$I$2:$I$1199,MATCH(51,Engine!$C$2:$C$1199,0)))</f>
        <v/>
      </c>
      <c r="J64" s="6" t="str">
        <f>IF(ISNA(MATCH(51,Engine!$C$2:$C$1199,0)),"",INDEX('Compliance Database'!$J$2:$J$1199,MATCH(51,Engine!$C$2:$C$1199,0)))</f>
        <v/>
      </c>
      <c r="K64" s="7" t="str">
        <f>IF(ISNA(MATCH(51,Engine!$C$2:$C$1199,0)),"",INDEX('Compliance Database'!$K$2:$K$1199,MATCH(51,Engine!$C$2:$C$1199,0)))</f>
        <v/>
      </c>
      <c r="L64" s="7" t="str">
        <f>IF(ISNA(MATCH(51,Engine!$C$2:$C$1199,0)),"",INDEX('Compliance Database'!$L$2:$L$1199,MATCH(51,Engine!$C$2:$C$1199,0)))</f>
        <v/>
      </c>
      <c r="M64" s="7" t="str">
        <f>IF(ISNA(MATCH(51,Engine!$C$2:$C$1199,0)),"",INDEX('Compliance Database'!$M$2:$M$1199,MATCH(51,Engine!$C$2:$C$1199,0)))</f>
        <v/>
      </c>
      <c r="N64" s="7" t="str">
        <f>IF(ISNA(MATCH(51,Engine!$C$2:$C$1199,0)),"",INDEX('Compliance Database'!$N$2:$N$1199,MATCH(51,Engine!$C$2:$C$1199,0)))</f>
        <v/>
      </c>
      <c r="O64" s="7" t="str">
        <f>IF(ISNA(MATCH(51,Engine!$C$2:$C$1199,0)),"",INDEX('Compliance Database'!$O$2:$O$1199,MATCH(51,Engine!$C$2:$C$1199,0)))</f>
        <v/>
      </c>
      <c r="P64" s="6" t="str">
        <f>IF(ISNA(MATCH(51,Engine!$C$2:$C$1199,0)),"",HYPERLINK("#Acts!A"&amp;INDEX('Compliance Database'!$P$2:$P$1199,MATCH(51,Engine!$C$2:$C$1199,0)),"Go to Act"))</f>
        <v/>
      </c>
    </row>
    <row r="65" spans="1:16" ht="172.95" customHeight="1" x14ac:dyDescent="0.3">
      <c r="A65" s="6" t="str">
        <f>IF(ISNA(MATCH(52,Engine!$C$2:$C$1199,0)),"",INDEX('Compliance Database'!$A$2:$A$1199,MATCH(52,Engine!$C$2:$C$1199,0)))</f>
        <v/>
      </c>
      <c r="B65" s="6" t="str">
        <f>IF(ISNA(MATCH(52,Engine!$C$2:$C$1199,0)),"",INDEX('Compliance Database'!$B$2:$B$1199,MATCH(52,Engine!$C$2:$C$1199,0)))</f>
        <v/>
      </c>
      <c r="C65" s="6" t="str">
        <f>IF(ISNA(MATCH(52,Engine!$C$2:$C$1199,0)),"",INDEX('Compliance Database'!$C$2:$C$1199,MATCH(52,Engine!$C$2:$C$1199,0)))</f>
        <v/>
      </c>
      <c r="D65" s="7" t="str">
        <f>IF(ISNA(MATCH(52,Engine!$C$2:$C$1199,0)),"",INDEX('Compliance Database'!$D$2:$D$1199,MATCH(52,Engine!$C$2:$C$1199,0)))</f>
        <v/>
      </c>
      <c r="E65" s="6" t="str">
        <f>IF(ISNA(MATCH(52,Engine!$C$2:$C$1199,0)),"",INDEX('Compliance Database'!$E$2:$E$1199,MATCH(52,Engine!$C$2:$C$1199,0)))</f>
        <v/>
      </c>
      <c r="F65" s="6" t="str">
        <f>IF(ISNA(MATCH(52,Engine!$C$2:$C$1199,0)),"",INDEX('Compliance Database'!$F$2:$F$1199,MATCH(52,Engine!$C$2:$C$1199,0)))</f>
        <v/>
      </c>
      <c r="G65" s="6" t="str">
        <f>IF(ISNA(MATCH(52,Engine!$C$2:$C$1199,0)),"",INDEX('Compliance Database'!$G$2:$G$1199,MATCH(52,Engine!$C$2:$C$1199,0)))</f>
        <v/>
      </c>
      <c r="H65" s="7" t="str">
        <f>IF(ISNA(MATCH(52,Engine!$C$2:$C$1199,0)),"",INDEX('Compliance Database'!$H$2:$H$1199,MATCH(52,Engine!$C$2:$C$1199,0)))</f>
        <v/>
      </c>
      <c r="I65" s="7" t="str">
        <f>IF(ISNA(MATCH(52,Engine!$C$2:$C$1199,0)),"",INDEX('Compliance Database'!$I$2:$I$1199,MATCH(52,Engine!$C$2:$C$1199,0)))</f>
        <v/>
      </c>
      <c r="J65" s="6" t="str">
        <f>IF(ISNA(MATCH(52,Engine!$C$2:$C$1199,0)),"",INDEX('Compliance Database'!$J$2:$J$1199,MATCH(52,Engine!$C$2:$C$1199,0)))</f>
        <v/>
      </c>
      <c r="K65" s="7" t="str">
        <f>IF(ISNA(MATCH(52,Engine!$C$2:$C$1199,0)),"",INDEX('Compliance Database'!$K$2:$K$1199,MATCH(52,Engine!$C$2:$C$1199,0)))</f>
        <v/>
      </c>
      <c r="L65" s="7" t="str">
        <f>IF(ISNA(MATCH(52,Engine!$C$2:$C$1199,0)),"",INDEX('Compliance Database'!$L$2:$L$1199,MATCH(52,Engine!$C$2:$C$1199,0)))</f>
        <v/>
      </c>
      <c r="M65" s="7" t="str">
        <f>IF(ISNA(MATCH(52,Engine!$C$2:$C$1199,0)),"",INDEX('Compliance Database'!$M$2:$M$1199,MATCH(52,Engine!$C$2:$C$1199,0)))</f>
        <v/>
      </c>
      <c r="N65" s="7" t="str">
        <f>IF(ISNA(MATCH(52,Engine!$C$2:$C$1199,0)),"",INDEX('Compliance Database'!$N$2:$N$1199,MATCH(52,Engine!$C$2:$C$1199,0)))</f>
        <v/>
      </c>
      <c r="O65" s="7" t="str">
        <f>IF(ISNA(MATCH(52,Engine!$C$2:$C$1199,0)),"",INDEX('Compliance Database'!$O$2:$O$1199,MATCH(52,Engine!$C$2:$C$1199,0)))</f>
        <v/>
      </c>
      <c r="P65" s="6" t="str">
        <f>IF(ISNA(MATCH(52,Engine!$C$2:$C$1199,0)),"",HYPERLINK("#Acts!A"&amp;INDEX('Compliance Database'!$P$2:$P$1199,MATCH(52,Engine!$C$2:$C$1199,0)),"Go to Act"))</f>
        <v/>
      </c>
    </row>
    <row r="66" spans="1:16" ht="172.95" customHeight="1" x14ac:dyDescent="0.3">
      <c r="A66" s="6" t="str">
        <f>IF(ISNA(MATCH(53,Engine!$C$2:$C$1199,0)),"",INDEX('Compliance Database'!$A$2:$A$1199,MATCH(53,Engine!$C$2:$C$1199,0)))</f>
        <v/>
      </c>
      <c r="B66" s="6" t="str">
        <f>IF(ISNA(MATCH(53,Engine!$C$2:$C$1199,0)),"",INDEX('Compliance Database'!$B$2:$B$1199,MATCH(53,Engine!$C$2:$C$1199,0)))</f>
        <v/>
      </c>
      <c r="C66" s="6" t="str">
        <f>IF(ISNA(MATCH(53,Engine!$C$2:$C$1199,0)),"",INDEX('Compliance Database'!$C$2:$C$1199,MATCH(53,Engine!$C$2:$C$1199,0)))</f>
        <v/>
      </c>
      <c r="D66" s="7" t="str">
        <f>IF(ISNA(MATCH(53,Engine!$C$2:$C$1199,0)),"",INDEX('Compliance Database'!$D$2:$D$1199,MATCH(53,Engine!$C$2:$C$1199,0)))</f>
        <v/>
      </c>
      <c r="E66" s="6" t="str">
        <f>IF(ISNA(MATCH(53,Engine!$C$2:$C$1199,0)),"",INDEX('Compliance Database'!$E$2:$E$1199,MATCH(53,Engine!$C$2:$C$1199,0)))</f>
        <v/>
      </c>
      <c r="F66" s="6" t="str">
        <f>IF(ISNA(MATCH(53,Engine!$C$2:$C$1199,0)),"",INDEX('Compliance Database'!$F$2:$F$1199,MATCH(53,Engine!$C$2:$C$1199,0)))</f>
        <v/>
      </c>
      <c r="G66" s="6" t="str">
        <f>IF(ISNA(MATCH(53,Engine!$C$2:$C$1199,0)),"",INDEX('Compliance Database'!$G$2:$G$1199,MATCH(53,Engine!$C$2:$C$1199,0)))</f>
        <v/>
      </c>
      <c r="H66" s="7" t="str">
        <f>IF(ISNA(MATCH(53,Engine!$C$2:$C$1199,0)),"",INDEX('Compliance Database'!$H$2:$H$1199,MATCH(53,Engine!$C$2:$C$1199,0)))</f>
        <v/>
      </c>
      <c r="I66" s="7" t="str">
        <f>IF(ISNA(MATCH(53,Engine!$C$2:$C$1199,0)),"",INDEX('Compliance Database'!$I$2:$I$1199,MATCH(53,Engine!$C$2:$C$1199,0)))</f>
        <v/>
      </c>
      <c r="J66" s="6" t="str">
        <f>IF(ISNA(MATCH(53,Engine!$C$2:$C$1199,0)),"",INDEX('Compliance Database'!$J$2:$J$1199,MATCH(53,Engine!$C$2:$C$1199,0)))</f>
        <v/>
      </c>
      <c r="K66" s="7" t="str">
        <f>IF(ISNA(MATCH(53,Engine!$C$2:$C$1199,0)),"",INDEX('Compliance Database'!$K$2:$K$1199,MATCH(53,Engine!$C$2:$C$1199,0)))</f>
        <v/>
      </c>
      <c r="L66" s="7" t="str">
        <f>IF(ISNA(MATCH(53,Engine!$C$2:$C$1199,0)),"",INDEX('Compliance Database'!$L$2:$L$1199,MATCH(53,Engine!$C$2:$C$1199,0)))</f>
        <v/>
      </c>
      <c r="M66" s="7" t="str">
        <f>IF(ISNA(MATCH(53,Engine!$C$2:$C$1199,0)),"",INDEX('Compliance Database'!$M$2:$M$1199,MATCH(53,Engine!$C$2:$C$1199,0)))</f>
        <v/>
      </c>
      <c r="N66" s="7" t="str">
        <f>IF(ISNA(MATCH(53,Engine!$C$2:$C$1199,0)),"",INDEX('Compliance Database'!$N$2:$N$1199,MATCH(53,Engine!$C$2:$C$1199,0)))</f>
        <v/>
      </c>
      <c r="O66" s="7" t="str">
        <f>IF(ISNA(MATCH(53,Engine!$C$2:$C$1199,0)),"",INDEX('Compliance Database'!$O$2:$O$1199,MATCH(53,Engine!$C$2:$C$1199,0)))</f>
        <v/>
      </c>
      <c r="P66" s="6" t="str">
        <f>IF(ISNA(MATCH(53,Engine!$C$2:$C$1199,0)),"",HYPERLINK("#Acts!A"&amp;INDEX('Compliance Database'!$P$2:$P$1199,MATCH(53,Engine!$C$2:$C$1199,0)),"Go to Act"))</f>
        <v/>
      </c>
    </row>
    <row r="67" spans="1:16" ht="172.95" customHeight="1" x14ac:dyDescent="0.3">
      <c r="A67" s="6" t="str">
        <f>IF(ISNA(MATCH(54,Engine!$C$2:$C$1199,0)),"",INDEX('Compliance Database'!$A$2:$A$1199,MATCH(54,Engine!$C$2:$C$1199,0)))</f>
        <v/>
      </c>
      <c r="B67" s="6" t="str">
        <f>IF(ISNA(MATCH(54,Engine!$C$2:$C$1199,0)),"",INDEX('Compliance Database'!$B$2:$B$1199,MATCH(54,Engine!$C$2:$C$1199,0)))</f>
        <v/>
      </c>
      <c r="C67" s="6" t="str">
        <f>IF(ISNA(MATCH(54,Engine!$C$2:$C$1199,0)),"",INDEX('Compliance Database'!$C$2:$C$1199,MATCH(54,Engine!$C$2:$C$1199,0)))</f>
        <v/>
      </c>
      <c r="D67" s="7" t="str">
        <f>IF(ISNA(MATCH(54,Engine!$C$2:$C$1199,0)),"",INDEX('Compliance Database'!$D$2:$D$1199,MATCH(54,Engine!$C$2:$C$1199,0)))</f>
        <v/>
      </c>
      <c r="E67" s="6" t="str">
        <f>IF(ISNA(MATCH(54,Engine!$C$2:$C$1199,0)),"",INDEX('Compliance Database'!$E$2:$E$1199,MATCH(54,Engine!$C$2:$C$1199,0)))</f>
        <v/>
      </c>
      <c r="F67" s="6" t="str">
        <f>IF(ISNA(MATCH(54,Engine!$C$2:$C$1199,0)),"",INDEX('Compliance Database'!$F$2:$F$1199,MATCH(54,Engine!$C$2:$C$1199,0)))</f>
        <v/>
      </c>
      <c r="G67" s="6" t="str">
        <f>IF(ISNA(MATCH(54,Engine!$C$2:$C$1199,0)),"",INDEX('Compliance Database'!$G$2:$G$1199,MATCH(54,Engine!$C$2:$C$1199,0)))</f>
        <v/>
      </c>
      <c r="H67" s="7" t="str">
        <f>IF(ISNA(MATCH(54,Engine!$C$2:$C$1199,0)),"",INDEX('Compliance Database'!$H$2:$H$1199,MATCH(54,Engine!$C$2:$C$1199,0)))</f>
        <v/>
      </c>
      <c r="I67" s="7" t="str">
        <f>IF(ISNA(MATCH(54,Engine!$C$2:$C$1199,0)),"",INDEX('Compliance Database'!$I$2:$I$1199,MATCH(54,Engine!$C$2:$C$1199,0)))</f>
        <v/>
      </c>
      <c r="J67" s="6" t="str">
        <f>IF(ISNA(MATCH(54,Engine!$C$2:$C$1199,0)),"",INDEX('Compliance Database'!$J$2:$J$1199,MATCH(54,Engine!$C$2:$C$1199,0)))</f>
        <v/>
      </c>
      <c r="K67" s="7" t="str">
        <f>IF(ISNA(MATCH(54,Engine!$C$2:$C$1199,0)),"",INDEX('Compliance Database'!$K$2:$K$1199,MATCH(54,Engine!$C$2:$C$1199,0)))</f>
        <v/>
      </c>
      <c r="L67" s="7" t="str">
        <f>IF(ISNA(MATCH(54,Engine!$C$2:$C$1199,0)),"",INDEX('Compliance Database'!$L$2:$L$1199,MATCH(54,Engine!$C$2:$C$1199,0)))</f>
        <v/>
      </c>
      <c r="M67" s="7" t="str">
        <f>IF(ISNA(MATCH(54,Engine!$C$2:$C$1199,0)),"",INDEX('Compliance Database'!$M$2:$M$1199,MATCH(54,Engine!$C$2:$C$1199,0)))</f>
        <v/>
      </c>
      <c r="N67" s="7" t="str">
        <f>IF(ISNA(MATCH(54,Engine!$C$2:$C$1199,0)),"",INDEX('Compliance Database'!$N$2:$N$1199,MATCH(54,Engine!$C$2:$C$1199,0)))</f>
        <v/>
      </c>
      <c r="O67" s="7" t="str">
        <f>IF(ISNA(MATCH(54,Engine!$C$2:$C$1199,0)),"",INDEX('Compliance Database'!$O$2:$O$1199,MATCH(54,Engine!$C$2:$C$1199,0)))</f>
        <v/>
      </c>
      <c r="P67" s="6" t="str">
        <f>IF(ISNA(MATCH(54,Engine!$C$2:$C$1199,0)),"",HYPERLINK("#Acts!A"&amp;INDEX('Compliance Database'!$P$2:$P$1199,MATCH(54,Engine!$C$2:$C$1199,0)),"Go to Act"))</f>
        <v/>
      </c>
    </row>
    <row r="68" spans="1:16" ht="172.95" customHeight="1" x14ac:dyDescent="0.3">
      <c r="A68" s="6" t="str">
        <f>IF(ISNA(MATCH(55,Engine!$C$2:$C$1199,0)),"",INDEX('Compliance Database'!$A$2:$A$1199,MATCH(55,Engine!$C$2:$C$1199,0)))</f>
        <v/>
      </c>
      <c r="B68" s="6" t="str">
        <f>IF(ISNA(MATCH(55,Engine!$C$2:$C$1199,0)),"",INDEX('Compliance Database'!$B$2:$B$1199,MATCH(55,Engine!$C$2:$C$1199,0)))</f>
        <v/>
      </c>
      <c r="C68" s="6" t="str">
        <f>IF(ISNA(MATCH(55,Engine!$C$2:$C$1199,0)),"",INDEX('Compliance Database'!$C$2:$C$1199,MATCH(55,Engine!$C$2:$C$1199,0)))</f>
        <v/>
      </c>
      <c r="D68" s="7" t="str">
        <f>IF(ISNA(MATCH(55,Engine!$C$2:$C$1199,0)),"",INDEX('Compliance Database'!$D$2:$D$1199,MATCH(55,Engine!$C$2:$C$1199,0)))</f>
        <v/>
      </c>
      <c r="E68" s="6" t="str">
        <f>IF(ISNA(MATCH(55,Engine!$C$2:$C$1199,0)),"",INDEX('Compliance Database'!$E$2:$E$1199,MATCH(55,Engine!$C$2:$C$1199,0)))</f>
        <v/>
      </c>
      <c r="F68" s="6" t="str">
        <f>IF(ISNA(MATCH(55,Engine!$C$2:$C$1199,0)),"",INDEX('Compliance Database'!$F$2:$F$1199,MATCH(55,Engine!$C$2:$C$1199,0)))</f>
        <v/>
      </c>
      <c r="G68" s="6" t="str">
        <f>IF(ISNA(MATCH(55,Engine!$C$2:$C$1199,0)),"",INDEX('Compliance Database'!$G$2:$G$1199,MATCH(55,Engine!$C$2:$C$1199,0)))</f>
        <v/>
      </c>
      <c r="H68" s="7" t="str">
        <f>IF(ISNA(MATCH(55,Engine!$C$2:$C$1199,0)),"",INDEX('Compliance Database'!$H$2:$H$1199,MATCH(55,Engine!$C$2:$C$1199,0)))</f>
        <v/>
      </c>
      <c r="I68" s="7" t="str">
        <f>IF(ISNA(MATCH(55,Engine!$C$2:$C$1199,0)),"",INDEX('Compliance Database'!$I$2:$I$1199,MATCH(55,Engine!$C$2:$C$1199,0)))</f>
        <v/>
      </c>
      <c r="J68" s="6" t="str">
        <f>IF(ISNA(MATCH(55,Engine!$C$2:$C$1199,0)),"",INDEX('Compliance Database'!$J$2:$J$1199,MATCH(55,Engine!$C$2:$C$1199,0)))</f>
        <v/>
      </c>
      <c r="K68" s="7" t="str">
        <f>IF(ISNA(MATCH(55,Engine!$C$2:$C$1199,0)),"",INDEX('Compliance Database'!$K$2:$K$1199,MATCH(55,Engine!$C$2:$C$1199,0)))</f>
        <v/>
      </c>
      <c r="L68" s="7" t="str">
        <f>IF(ISNA(MATCH(55,Engine!$C$2:$C$1199,0)),"",INDEX('Compliance Database'!$L$2:$L$1199,MATCH(55,Engine!$C$2:$C$1199,0)))</f>
        <v/>
      </c>
      <c r="M68" s="7" t="str">
        <f>IF(ISNA(MATCH(55,Engine!$C$2:$C$1199,0)),"",INDEX('Compliance Database'!$M$2:$M$1199,MATCH(55,Engine!$C$2:$C$1199,0)))</f>
        <v/>
      </c>
      <c r="N68" s="7" t="str">
        <f>IF(ISNA(MATCH(55,Engine!$C$2:$C$1199,0)),"",INDEX('Compliance Database'!$N$2:$N$1199,MATCH(55,Engine!$C$2:$C$1199,0)))</f>
        <v/>
      </c>
      <c r="O68" s="7" t="str">
        <f>IF(ISNA(MATCH(55,Engine!$C$2:$C$1199,0)),"",INDEX('Compliance Database'!$O$2:$O$1199,MATCH(55,Engine!$C$2:$C$1199,0)))</f>
        <v/>
      </c>
      <c r="P68" s="6" t="str">
        <f>IF(ISNA(MATCH(55,Engine!$C$2:$C$1199,0)),"",HYPERLINK("#Acts!A"&amp;INDEX('Compliance Database'!$P$2:$P$1199,MATCH(55,Engine!$C$2:$C$1199,0)),"Go to Act"))</f>
        <v/>
      </c>
    </row>
    <row r="69" spans="1:16" ht="172.95" customHeight="1" x14ac:dyDescent="0.3">
      <c r="A69" s="6" t="str">
        <f>IF(ISNA(MATCH(56,Engine!$C$2:$C$1199,0)),"",INDEX('Compliance Database'!$A$2:$A$1199,MATCH(56,Engine!$C$2:$C$1199,0)))</f>
        <v/>
      </c>
      <c r="B69" s="6" t="str">
        <f>IF(ISNA(MATCH(56,Engine!$C$2:$C$1199,0)),"",INDEX('Compliance Database'!$B$2:$B$1199,MATCH(56,Engine!$C$2:$C$1199,0)))</f>
        <v/>
      </c>
      <c r="C69" s="6" t="str">
        <f>IF(ISNA(MATCH(56,Engine!$C$2:$C$1199,0)),"",INDEX('Compliance Database'!$C$2:$C$1199,MATCH(56,Engine!$C$2:$C$1199,0)))</f>
        <v/>
      </c>
      <c r="D69" s="7" t="str">
        <f>IF(ISNA(MATCH(56,Engine!$C$2:$C$1199,0)),"",INDEX('Compliance Database'!$D$2:$D$1199,MATCH(56,Engine!$C$2:$C$1199,0)))</f>
        <v/>
      </c>
      <c r="E69" s="6" t="str">
        <f>IF(ISNA(MATCH(56,Engine!$C$2:$C$1199,0)),"",INDEX('Compliance Database'!$E$2:$E$1199,MATCH(56,Engine!$C$2:$C$1199,0)))</f>
        <v/>
      </c>
      <c r="F69" s="6" t="str">
        <f>IF(ISNA(MATCH(56,Engine!$C$2:$C$1199,0)),"",INDEX('Compliance Database'!$F$2:$F$1199,MATCH(56,Engine!$C$2:$C$1199,0)))</f>
        <v/>
      </c>
      <c r="G69" s="6" t="str">
        <f>IF(ISNA(MATCH(56,Engine!$C$2:$C$1199,0)),"",INDEX('Compliance Database'!$G$2:$G$1199,MATCH(56,Engine!$C$2:$C$1199,0)))</f>
        <v/>
      </c>
      <c r="H69" s="7" t="str">
        <f>IF(ISNA(MATCH(56,Engine!$C$2:$C$1199,0)),"",INDEX('Compliance Database'!$H$2:$H$1199,MATCH(56,Engine!$C$2:$C$1199,0)))</f>
        <v/>
      </c>
      <c r="I69" s="7" t="str">
        <f>IF(ISNA(MATCH(56,Engine!$C$2:$C$1199,0)),"",INDEX('Compliance Database'!$I$2:$I$1199,MATCH(56,Engine!$C$2:$C$1199,0)))</f>
        <v/>
      </c>
      <c r="J69" s="6" t="str">
        <f>IF(ISNA(MATCH(56,Engine!$C$2:$C$1199,0)),"",INDEX('Compliance Database'!$J$2:$J$1199,MATCH(56,Engine!$C$2:$C$1199,0)))</f>
        <v/>
      </c>
      <c r="K69" s="7" t="str">
        <f>IF(ISNA(MATCH(56,Engine!$C$2:$C$1199,0)),"",INDEX('Compliance Database'!$K$2:$K$1199,MATCH(56,Engine!$C$2:$C$1199,0)))</f>
        <v/>
      </c>
      <c r="L69" s="7" t="str">
        <f>IF(ISNA(MATCH(56,Engine!$C$2:$C$1199,0)),"",INDEX('Compliance Database'!$L$2:$L$1199,MATCH(56,Engine!$C$2:$C$1199,0)))</f>
        <v/>
      </c>
      <c r="M69" s="7" t="str">
        <f>IF(ISNA(MATCH(56,Engine!$C$2:$C$1199,0)),"",INDEX('Compliance Database'!$M$2:$M$1199,MATCH(56,Engine!$C$2:$C$1199,0)))</f>
        <v/>
      </c>
      <c r="N69" s="7" t="str">
        <f>IF(ISNA(MATCH(56,Engine!$C$2:$C$1199,0)),"",INDEX('Compliance Database'!$N$2:$N$1199,MATCH(56,Engine!$C$2:$C$1199,0)))</f>
        <v/>
      </c>
      <c r="O69" s="7" t="str">
        <f>IF(ISNA(MATCH(56,Engine!$C$2:$C$1199,0)),"",INDEX('Compliance Database'!$O$2:$O$1199,MATCH(56,Engine!$C$2:$C$1199,0)))</f>
        <v/>
      </c>
      <c r="P69" s="6" t="str">
        <f>IF(ISNA(MATCH(56,Engine!$C$2:$C$1199,0)),"",HYPERLINK("#Acts!A"&amp;INDEX('Compliance Database'!$P$2:$P$1199,MATCH(56,Engine!$C$2:$C$1199,0)),"Go to Act"))</f>
        <v/>
      </c>
    </row>
    <row r="70" spans="1:16" ht="172.95" customHeight="1" x14ac:dyDescent="0.3">
      <c r="A70" s="6" t="str">
        <f>IF(ISNA(MATCH(57,Engine!$C$2:$C$1199,0)),"",INDEX('Compliance Database'!$A$2:$A$1199,MATCH(57,Engine!$C$2:$C$1199,0)))</f>
        <v/>
      </c>
      <c r="B70" s="6" t="str">
        <f>IF(ISNA(MATCH(57,Engine!$C$2:$C$1199,0)),"",INDEX('Compliance Database'!$B$2:$B$1199,MATCH(57,Engine!$C$2:$C$1199,0)))</f>
        <v/>
      </c>
      <c r="C70" s="6" t="str">
        <f>IF(ISNA(MATCH(57,Engine!$C$2:$C$1199,0)),"",INDEX('Compliance Database'!$C$2:$C$1199,MATCH(57,Engine!$C$2:$C$1199,0)))</f>
        <v/>
      </c>
      <c r="D70" s="7" t="str">
        <f>IF(ISNA(MATCH(57,Engine!$C$2:$C$1199,0)),"",INDEX('Compliance Database'!$D$2:$D$1199,MATCH(57,Engine!$C$2:$C$1199,0)))</f>
        <v/>
      </c>
      <c r="E70" s="6" t="str">
        <f>IF(ISNA(MATCH(57,Engine!$C$2:$C$1199,0)),"",INDEX('Compliance Database'!$E$2:$E$1199,MATCH(57,Engine!$C$2:$C$1199,0)))</f>
        <v/>
      </c>
      <c r="F70" s="6" t="str">
        <f>IF(ISNA(MATCH(57,Engine!$C$2:$C$1199,0)),"",INDEX('Compliance Database'!$F$2:$F$1199,MATCH(57,Engine!$C$2:$C$1199,0)))</f>
        <v/>
      </c>
      <c r="G70" s="6" t="str">
        <f>IF(ISNA(MATCH(57,Engine!$C$2:$C$1199,0)),"",INDEX('Compliance Database'!$G$2:$G$1199,MATCH(57,Engine!$C$2:$C$1199,0)))</f>
        <v/>
      </c>
      <c r="H70" s="7" t="str">
        <f>IF(ISNA(MATCH(57,Engine!$C$2:$C$1199,0)),"",INDEX('Compliance Database'!$H$2:$H$1199,MATCH(57,Engine!$C$2:$C$1199,0)))</f>
        <v/>
      </c>
      <c r="I70" s="7" t="str">
        <f>IF(ISNA(MATCH(57,Engine!$C$2:$C$1199,0)),"",INDEX('Compliance Database'!$I$2:$I$1199,MATCH(57,Engine!$C$2:$C$1199,0)))</f>
        <v/>
      </c>
      <c r="J70" s="6" t="str">
        <f>IF(ISNA(MATCH(57,Engine!$C$2:$C$1199,0)),"",INDEX('Compliance Database'!$J$2:$J$1199,MATCH(57,Engine!$C$2:$C$1199,0)))</f>
        <v/>
      </c>
      <c r="K70" s="7" t="str">
        <f>IF(ISNA(MATCH(57,Engine!$C$2:$C$1199,0)),"",INDEX('Compliance Database'!$K$2:$K$1199,MATCH(57,Engine!$C$2:$C$1199,0)))</f>
        <v/>
      </c>
      <c r="L70" s="7" t="str">
        <f>IF(ISNA(MATCH(57,Engine!$C$2:$C$1199,0)),"",INDEX('Compliance Database'!$L$2:$L$1199,MATCH(57,Engine!$C$2:$C$1199,0)))</f>
        <v/>
      </c>
      <c r="M70" s="7" t="str">
        <f>IF(ISNA(MATCH(57,Engine!$C$2:$C$1199,0)),"",INDEX('Compliance Database'!$M$2:$M$1199,MATCH(57,Engine!$C$2:$C$1199,0)))</f>
        <v/>
      </c>
      <c r="N70" s="7" t="str">
        <f>IF(ISNA(MATCH(57,Engine!$C$2:$C$1199,0)),"",INDEX('Compliance Database'!$N$2:$N$1199,MATCH(57,Engine!$C$2:$C$1199,0)))</f>
        <v/>
      </c>
      <c r="O70" s="7" t="str">
        <f>IF(ISNA(MATCH(57,Engine!$C$2:$C$1199,0)),"",INDEX('Compliance Database'!$O$2:$O$1199,MATCH(57,Engine!$C$2:$C$1199,0)))</f>
        <v/>
      </c>
      <c r="P70" s="6" t="str">
        <f>IF(ISNA(MATCH(57,Engine!$C$2:$C$1199,0)),"",HYPERLINK("#Acts!A"&amp;INDEX('Compliance Database'!$P$2:$P$1199,MATCH(57,Engine!$C$2:$C$1199,0)),"Go to Act"))</f>
        <v/>
      </c>
    </row>
    <row r="71" spans="1:16" ht="172.95" customHeight="1" x14ac:dyDescent="0.3">
      <c r="A71" s="6" t="str">
        <f>IF(ISNA(MATCH(58,Engine!$C$2:$C$1199,0)),"",INDEX('Compliance Database'!$A$2:$A$1199,MATCH(58,Engine!$C$2:$C$1199,0)))</f>
        <v/>
      </c>
      <c r="B71" s="6" t="str">
        <f>IF(ISNA(MATCH(58,Engine!$C$2:$C$1199,0)),"",INDEX('Compliance Database'!$B$2:$B$1199,MATCH(58,Engine!$C$2:$C$1199,0)))</f>
        <v/>
      </c>
      <c r="C71" s="6" t="str">
        <f>IF(ISNA(MATCH(58,Engine!$C$2:$C$1199,0)),"",INDEX('Compliance Database'!$C$2:$C$1199,MATCH(58,Engine!$C$2:$C$1199,0)))</f>
        <v/>
      </c>
      <c r="D71" s="7" t="str">
        <f>IF(ISNA(MATCH(58,Engine!$C$2:$C$1199,0)),"",INDEX('Compliance Database'!$D$2:$D$1199,MATCH(58,Engine!$C$2:$C$1199,0)))</f>
        <v/>
      </c>
      <c r="E71" s="6" t="str">
        <f>IF(ISNA(MATCH(58,Engine!$C$2:$C$1199,0)),"",INDEX('Compliance Database'!$E$2:$E$1199,MATCH(58,Engine!$C$2:$C$1199,0)))</f>
        <v/>
      </c>
      <c r="F71" s="6" t="str">
        <f>IF(ISNA(MATCH(58,Engine!$C$2:$C$1199,0)),"",INDEX('Compliance Database'!$F$2:$F$1199,MATCH(58,Engine!$C$2:$C$1199,0)))</f>
        <v/>
      </c>
      <c r="G71" s="6" t="str">
        <f>IF(ISNA(MATCH(58,Engine!$C$2:$C$1199,0)),"",INDEX('Compliance Database'!$G$2:$G$1199,MATCH(58,Engine!$C$2:$C$1199,0)))</f>
        <v/>
      </c>
      <c r="H71" s="7" t="str">
        <f>IF(ISNA(MATCH(58,Engine!$C$2:$C$1199,0)),"",INDEX('Compliance Database'!$H$2:$H$1199,MATCH(58,Engine!$C$2:$C$1199,0)))</f>
        <v/>
      </c>
      <c r="I71" s="7" t="str">
        <f>IF(ISNA(MATCH(58,Engine!$C$2:$C$1199,0)),"",INDEX('Compliance Database'!$I$2:$I$1199,MATCH(58,Engine!$C$2:$C$1199,0)))</f>
        <v/>
      </c>
      <c r="J71" s="6" t="str">
        <f>IF(ISNA(MATCH(58,Engine!$C$2:$C$1199,0)),"",INDEX('Compliance Database'!$J$2:$J$1199,MATCH(58,Engine!$C$2:$C$1199,0)))</f>
        <v/>
      </c>
      <c r="K71" s="7" t="str">
        <f>IF(ISNA(MATCH(58,Engine!$C$2:$C$1199,0)),"",INDEX('Compliance Database'!$K$2:$K$1199,MATCH(58,Engine!$C$2:$C$1199,0)))</f>
        <v/>
      </c>
      <c r="L71" s="7" t="str">
        <f>IF(ISNA(MATCH(58,Engine!$C$2:$C$1199,0)),"",INDEX('Compliance Database'!$L$2:$L$1199,MATCH(58,Engine!$C$2:$C$1199,0)))</f>
        <v/>
      </c>
      <c r="M71" s="7" t="str">
        <f>IF(ISNA(MATCH(58,Engine!$C$2:$C$1199,0)),"",INDEX('Compliance Database'!$M$2:$M$1199,MATCH(58,Engine!$C$2:$C$1199,0)))</f>
        <v/>
      </c>
      <c r="N71" s="7" t="str">
        <f>IF(ISNA(MATCH(58,Engine!$C$2:$C$1199,0)),"",INDEX('Compliance Database'!$N$2:$N$1199,MATCH(58,Engine!$C$2:$C$1199,0)))</f>
        <v/>
      </c>
      <c r="O71" s="7" t="str">
        <f>IF(ISNA(MATCH(58,Engine!$C$2:$C$1199,0)),"",INDEX('Compliance Database'!$O$2:$O$1199,MATCH(58,Engine!$C$2:$C$1199,0)))</f>
        <v/>
      </c>
      <c r="P71" s="6" t="str">
        <f>IF(ISNA(MATCH(58,Engine!$C$2:$C$1199,0)),"",HYPERLINK("#Acts!A"&amp;INDEX('Compliance Database'!$P$2:$P$1199,MATCH(58,Engine!$C$2:$C$1199,0)),"Go to Act"))</f>
        <v/>
      </c>
    </row>
    <row r="72" spans="1:16" ht="172.95" customHeight="1" x14ac:dyDescent="0.3">
      <c r="A72" s="6" t="str">
        <f>IF(ISNA(MATCH(59,Engine!$C$2:$C$1199,0)),"",INDEX('Compliance Database'!$A$2:$A$1199,MATCH(59,Engine!$C$2:$C$1199,0)))</f>
        <v/>
      </c>
      <c r="B72" s="6" t="str">
        <f>IF(ISNA(MATCH(59,Engine!$C$2:$C$1199,0)),"",INDEX('Compliance Database'!$B$2:$B$1199,MATCH(59,Engine!$C$2:$C$1199,0)))</f>
        <v/>
      </c>
      <c r="C72" s="6" t="str">
        <f>IF(ISNA(MATCH(59,Engine!$C$2:$C$1199,0)),"",INDEX('Compliance Database'!$C$2:$C$1199,MATCH(59,Engine!$C$2:$C$1199,0)))</f>
        <v/>
      </c>
      <c r="D72" s="7" t="str">
        <f>IF(ISNA(MATCH(59,Engine!$C$2:$C$1199,0)),"",INDEX('Compliance Database'!$D$2:$D$1199,MATCH(59,Engine!$C$2:$C$1199,0)))</f>
        <v/>
      </c>
      <c r="E72" s="6" t="str">
        <f>IF(ISNA(MATCH(59,Engine!$C$2:$C$1199,0)),"",INDEX('Compliance Database'!$E$2:$E$1199,MATCH(59,Engine!$C$2:$C$1199,0)))</f>
        <v/>
      </c>
      <c r="F72" s="6" t="str">
        <f>IF(ISNA(MATCH(59,Engine!$C$2:$C$1199,0)),"",INDEX('Compliance Database'!$F$2:$F$1199,MATCH(59,Engine!$C$2:$C$1199,0)))</f>
        <v/>
      </c>
      <c r="G72" s="6" t="str">
        <f>IF(ISNA(MATCH(59,Engine!$C$2:$C$1199,0)),"",INDEX('Compliance Database'!$G$2:$G$1199,MATCH(59,Engine!$C$2:$C$1199,0)))</f>
        <v/>
      </c>
      <c r="H72" s="7" t="str">
        <f>IF(ISNA(MATCH(59,Engine!$C$2:$C$1199,0)),"",INDEX('Compliance Database'!$H$2:$H$1199,MATCH(59,Engine!$C$2:$C$1199,0)))</f>
        <v/>
      </c>
      <c r="I72" s="7" t="str">
        <f>IF(ISNA(MATCH(59,Engine!$C$2:$C$1199,0)),"",INDEX('Compliance Database'!$I$2:$I$1199,MATCH(59,Engine!$C$2:$C$1199,0)))</f>
        <v/>
      </c>
      <c r="J72" s="6" t="str">
        <f>IF(ISNA(MATCH(59,Engine!$C$2:$C$1199,0)),"",INDEX('Compliance Database'!$J$2:$J$1199,MATCH(59,Engine!$C$2:$C$1199,0)))</f>
        <v/>
      </c>
      <c r="K72" s="7" t="str">
        <f>IF(ISNA(MATCH(59,Engine!$C$2:$C$1199,0)),"",INDEX('Compliance Database'!$K$2:$K$1199,MATCH(59,Engine!$C$2:$C$1199,0)))</f>
        <v/>
      </c>
      <c r="L72" s="7" t="str">
        <f>IF(ISNA(MATCH(59,Engine!$C$2:$C$1199,0)),"",INDEX('Compliance Database'!$L$2:$L$1199,MATCH(59,Engine!$C$2:$C$1199,0)))</f>
        <v/>
      </c>
      <c r="M72" s="7" t="str">
        <f>IF(ISNA(MATCH(59,Engine!$C$2:$C$1199,0)),"",INDEX('Compliance Database'!$M$2:$M$1199,MATCH(59,Engine!$C$2:$C$1199,0)))</f>
        <v/>
      </c>
      <c r="N72" s="7" t="str">
        <f>IF(ISNA(MATCH(59,Engine!$C$2:$C$1199,0)),"",INDEX('Compliance Database'!$N$2:$N$1199,MATCH(59,Engine!$C$2:$C$1199,0)))</f>
        <v/>
      </c>
      <c r="O72" s="7" t="str">
        <f>IF(ISNA(MATCH(59,Engine!$C$2:$C$1199,0)),"",INDEX('Compliance Database'!$O$2:$O$1199,MATCH(59,Engine!$C$2:$C$1199,0)))</f>
        <v/>
      </c>
      <c r="P72" s="6" t="str">
        <f>IF(ISNA(MATCH(59,Engine!$C$2:$C$1199,0)),"",HYPERLINK("#Acts!A"&amp;INDEX('Compliance Database'!$P$2:$P$1199,MATCH(59,Engine!$C$2:$C$1199,0)),"Go to Act"))</f>
        <v/>
      </c>
    </row>
    <row r="73" spans="1:16" ht="172.95" customHeight="1" x14ac:dyDescent="0.3">
      <c r="A73" s="6" t="str">
        <f>IF(ISNA(MATCH(60,Engine!$C$2:$C$1199,0)),"",INDEX('Compliance Database'!$A$2:$A$1199,MATCH(60,Engine!$C$2:$C$1199,0)))</f>
        <v/>
      </c>
      <c r="B73" s="6" t="str">
        <f>IF(ISNA(MATCH(60,Engine!$C$2:$C$1199,0)),"",INDEX('Compliance Database'!$B$2:$B$1199,MATCH(60,Engine!$C$2:$C$1199,0)))</f>
        <v/>
      </c>
      <c r="C73" s="6" t="str">
        <f>IF(ISNA(MATCH(60,Engine!$C$2:$C$1199,0)),"",INDEX('Compliance Database'!$C$2:$C$1199,MATCH(60,Engine!$C$2:$C$1199,0)))</f>
        <v/>
      </c>
      <c r="D73" s="7" t="str">
        <f>IF(ISNA(MATCH(60,Engine!$C$2:$C$1199,0)),"",INDEX('Compliance Database'!$D$2:$D$1199,MATCH(60,Engine!$C$2:$C$1199,0)))</f>
        <v/>
      </c>
      <c r="E73" s="6" t="str">
        <f>IF(ISNA(MATCH(60,Engine!$C$2:$C$1199,0)),"",INDEX('Compliance Database'!$E$2:$E$1199,MATCH(60,Engine!$C$2:$C$1199,0)))</f>
        <v/>
      </c>
      <c r="F73" s="6" t="str">
        <f>IF(ISNA(MATCH(60,Engine!$C$2:$C$1199,0)),"",INDEX('Compliance Database'!$F$2:$F$1199,MATCH(60,Engine!$C$2:$C$1199,0)))</f>
        <v/>
      </c>
      <c r="G73" s="6" t="str">
        <f>IF(ISNA(MATCH(60,Engine!$C$2:$C$1199,0)),"",INDEX('Compliance Database'!$G$2:$G$1199,MATCH(60,Engine!$C$2:$C$1199,0)))</f>
        <v/>
      </c>
      <c r="H73" s="7" t="str">
        <f>IF(ISNA(MATCH(60,Engine!$C$2:$C$1199,0)),"",INDEX('Compliance Database'!$H$2:$H$1199,MATCH(60,Engine!$C$2:$C$1199,0)))</f>
        <v/>
      </c>
      <c r="I73" s="7" t="str">
        <f>IF(ISNA(MATCH(60,Engine!$C$2:$C$1199,0)),"",INDEX('Compliance Database'!$I$2:$I$1199,MATCH(60,Engine!$C$2:$C$1199,0)))</f>
        <v/>
      </c>
      <c r="J73" s="6" t="str">
        <f>IF(ISNA(MATCH(60,Engine!$C$2:$C$1199,0)),"",INDEX('Compliance Database'!$J$2:$J$1199,MATCH(60,Engine!$C$2:$C$1199,0)))</f>
        <v/>
      </c>
      <c r="K73" s="7" t="str">
        <f>IF(ISNA(MATCH(60,Engine!$C$2:$C$1199,0)),"",INDEX('Compliance Database'!$K$2:$K$1199,MATCH(60,Engine!$C$2:$C$1199,0)))</f>
        <v/>
      </c>
      <c r="L73" s="7" t="str">
        <f>IF(ISNA(MATCH(60,Engine!$C$2:$C$1199,0)),"",INDEX('Compliance Database'!$L$2:$L$1199,MATCH(60,Engine!$C$2:$C$1199,0)))</f>
        <v/>
      </c>
      <c r="M73" s="7" t="str">
        <f>IF(ISNA(MATCH(60,Engine!$C$2:$C$1199,0)),"",INDEX('Compliance Database'!$M$2:$M$1199,MATCH(60,Engine!$C$2:$C$1199,0)))</f>
        <v/>
      </c>
      <c r="N73" s="7" t="str">
        <f>IF(ISNA(MATCH(60,Engine!$C$2:$C$1199,0)),"",INDEX('Compliance Database'!$N$2:$N$1199,MATCH(60,Engine!$C$2:$C$1199,0)))</f>
        <v/>
      </c>
      <c r="O73" s="7" t="str">
        <f>IF(ISNA(MATCH(60,Engine!$C$2:$C$1199,0)),"",INDEX('Compliance Database'!$O$2:$O$1199,MATCH(60,Engine!$C$2:$C$1199,0)))</f>
        <v/>
      </c>
      <c r="P73" s="6" t="str">
        <f>IF(ISNA(MATCH(60,Engine!$C$2:$C$1199,0)),"",HYPERLINK("#Acts!A"&amp;INDEX('Compliance Database'!$P$2:$P$1199,MATCH(60,Engine!$C$2:$C$1199,0)),"Go to Act"))</f>
        <v/>
      </c>
    </row>
    <row r="74" spans="1:16" ht="172.95" customHeight="1" x14ac:dyDescent="0.3">
      <c r="A74" s="6" t="str">
        <f>IF(ISNA(MATCH(61,Engine!$C$2:$C$1199,0)),"",INDEX('Compliance Database'!$A$2:$A$1199,MATCH(61,Engine!$C$2:$C$1199,0)))</f>
        <v/>
      </c>
      <c r="B74" s="6" t="str">
        <f>IF(ISNA(MATCH(61,Engine!$C$2:$C$1199,0)),"",INDEX('Compliance Database'!$B$2:$B$1199,MATCH(61,Engine!$C$2:$C$1199,0)))</f>
        <v/>
      </c>
      <c r="C74" s="6" t="str">
        <f>IF(ISNA(MATCH(61,Engine!$C$2:$C$1199,0)),"",INDEX('Compliance Database'!$C$2:$C$1199,MATCH(61,Engine!$C$2:$C$1199,0)))</f>
        <v/>
      </c>
      <c r="D74" s="7" t="str">
        <f>IF(ISNA(MATCH(61,Engine!$C$2:$C$1199,0)),"",INDEX('Compliance Database'!$D$2:$D$1199,MATCH(61,Engine!$C$2:$C$1199,0)))</f>
        <v/>
      </c>
      <c r="E74" s="6" t="str">
        <f>IF(ISNA(MATCH(61,Engine!$C$2:$C$1199,0)),"",INDEX('Compliance Database'!$E$2:$E$1199,MATCH(61,Engine!$C$2:$C$1199,0)))</f>
        <v/>
      </c>
      <c r="F74" s="6" t="str">
        <f>IF(ISNA(MATCH(61,Engine!$C$2:$C$1199,0)),"",INDEX('Compliance Database'!$F$2:$F$1199,MATCH(61,Engine!$C$2:$C$1199,0)))</f>
        <v/>
      </c>
      <c r="G74" s="6" t="str">
        <f>IF(ISNA(MATCH(61,Engine!$C$2:$C$1199,0)),"",INDEX('Compliance Database'!$G$2:$G$1199,MATCH(61,Engine!$C$2:$C$1199,0)))</f>
        <v/>
      </c>
      <c r="H74" s="7" t="str">
        <f>IF(ISNA(MATCH(61,Engine!$C$2:$C$1199,0)),"",INDEX('Compliance Database'!$H$2:$H$1199,MATCH(61,Engine!$C$2:$C$1199,0)))</f>
        <v/>
      </c>
      <c r="I74" s="7" t="str">
        <f>IF(ISNA(MATCH(61,Engine!$C$2:$C$1199,0)),"",INDEX('Compliance Database'!$I$2:$I$1199,MATCH(61,Engine!$C$2:$C$1199,0)))</f>
        <v/>
      </c>
      <c r="J74" s="6" t="str">
        <f>IF(ISNA(MATCH(61,Engine!$C$2:$C$1199,0)),"",INDEX('Compliance Database'!$J$2:$J$1199,MATCH(61,Engine!$C$2:$C$1199,0)))</f>
        <v/>
      </c>
      <c r="K74" s="7" t="str">
        <f>IF(ISNA(MATCH(61,Engine!$C$2:$C$1199,0)),"",INDEX('Compliance Database'!$K$2:$K$1199,MATCH(61,Engine!$C$2:$C$1199,0)))</f>
        <v/>
      </c>
      <c r="L74" s="7" t="str">
        <f>IF(ISNA(MATCH(61,Engine!$C$2:$C$1199,0)),"",INDEX('Compliance Database'!$L$2:$L$1199,MATCH(61,Engine!$C$2:$C$1199,0)))</f>
        <v/>
      </c>
      <c r="M74" s="7" t="str">
        <f>IF(ISNA(MATCH(61,Engine!$C$2:$C$1199,0)),"",INDEX('Compliance Database'!$M$2:$M$1199,MATCH(61,Engine!$C$2:$C$1199,0)))</f>
        <v/>
      </c>
      <c r="N74" s="7" t="str">
        <f>IF(ISNA(MATCH(61,Engine!$C$2:$C$1199,0)),"",INDEX('Compliance Database'!$N$2:$N$1199,MATCH(61,Engine!$C$2:$C$1199,0)))</f>
        <v/>
      </c>
      <c r="O74" s="7" t="str">
        <f>IF(ISNA(MATCH(61,Engine!$C$2:$C$1199,0)),"",INDEX('Compliance Database'!$O$2:$O$1199,MATCH(61,Engine!$C$2:$C$1199,0)))</f>
        <v/>
      </c>
      <c r="P74" s="6" t="str">
        <f>IF(ISNA(MATCH(61,Engine!$C$2:$C$1199,0)),"",HYPERLINK("#Acts!A"&amp;INDEX('Compliance Database'!$P$2:$P$1199,MATCH(61,Engine!$C$2:$C$1199,0)),"Go to Act"))</f>
        <v/>
      </c>
    </row>
    <row r="75" spans="1:16" ht="172.95" customHeight="1" x14ac:dyDescent="0.3">
      <c r="A75" s="6" t="str">
        <f>IF(ISNA(MATCH(62,Engine!$C$2:$C$1199,0)),"",INDEX('Compliance Database'!$A$2:$A$1199,MATCH(62,Engine!$C$2:$C$1199,0)))</f>
        <v/>
      </c>
      <c r="B75" s="6" t="str">
        <f>IF(ISNA(MATCH(62,Engine!$C$2:$C$1199,0)),"",INDEX('Compliance Database'!$B$2:$B$1199,MATCH(62,Engine!$C$2:$C$1199,0)))</f>
        <v/>
      </c>
      <c r="C75" s="6" t="str">
        <f>IF(ISNA(MATCH(62,Engine!$C$2:$C$1199,0)),"",INDEX('Compliance Database'!$C$2:$C$1199,MATCH(62,Engine!$C$2:$C$1199,0)))</f>
        <v/>
      </c>
      <c r="D75" s="7" t="str">
        <f>IF(ISNA(MATCH(62,Engine!$C$2:$C$1199,0)),"",INDEX('Compliance Database'!$D$2:$D$1199,MATCH(62,Engine!$C$2:$C$1199,0)))</f>
        <v/>
      </c>
      <c r="E75" s="6" t="str">
        <f>IF(ISNA(MATCH(62,Engine!$C$2:$C$1199,0)),"",INDEX('Compliance Database'!$E$2:$E$1199,MATCH(62,Engine!$C$2:$C$1199,0)))</f>
        <v/>
      </c>
      <c r="F75" s="6" t="str">
        <f>IF(ISNA(MATCH(62,Engine!$C$2:$C$1199,0)),"",INDEX('Compliance Database'!$F$2:$F$1199,MATCH(62,Engine!$C$2:$C$1199,0)))</f>
        <v/>
      </c>
      <c r="G75" s="6" t="str">
        <f>IF(ISNA(MATCH(62,Engine!$C$2:$C$1199,0)),"",INDEX('Compliance Database'!$G$2:$G$1199,MATCH(62,Engine!$C$2:$C$1199,0)))</f>
        <v/>
      </c>
      <c r="H75" s="7" t="str">
        <f>IF(ISNA(MATCH(62,Engine!$C$2:$C$1199,0)),"",INDEX('Compliance Database'!$H$2:$H$1199,MATCH(62,Engine!$C$2:$C$1199,0)))</f>
        <v/>
      </c>
      <c r="I75" s="7" t="str">
        <f>IF(ISNA(MATCH(62,Engine!$C$2:$C$1199,0)),"",INDEX('Compliance Database'!$I$2:$I$1199,MATCH(62,Engine!$C$2:$C$1199,0)))</f>
        <v/>
      </c>
      <c r="J75" s="6" t="str">
        <f>IF(ISNA(MATCH(62,Engine!$C$2:$C$1199,0)),"",INDEX('Compliance Database'!$J$2:$J$1199,MATCH(62,Engine!$C$2:$C$1199,0)))</f>
        <v/>
      </c>
      <c r="K75" s="7" t="str">
        <f>IF(ISNA(MATCH(62,Engine!$C$2:$C$1199,0)),"",INDEX('Compliance Database'!$K$2:$K$1199,MATCH(62,Engine!$C$2:$C$1199,0)))</f>
        <v/>
      </c>
      <c r="L75" s="7" t="str">
        <f>IF(ISNA(MATCH(62,Engine!$C$2:$C$1199,0)),"",INDEX('Compliance Database'!$L$2:$L$1199,MATCH(62,Engine!$C$2:$C$1199,0)))</f>
        <v/>
      </c>
      <c r="M75" s="7" t="str">
        <f>IF(ISNA(MATCH(62,Engine!$C$2:$C$1199,0)),"",INDEX('Compliance Database'!$M$2:$M$1199,MATCH(62,Engine!$C$2:$C$1199,0)))</f>
        <v/>
      </c>
      <c r="N75" s="7" t="str">
        <f>IF(ISNA(MATCH(62,Engine!$C$2:$C$1199,0)),"",INDEX('Compliance Database'!$N$2:$N$1199,MATCH(62,Engine!$C$2:$C$1199,0)))</f>
        <v/>
      </c>
      <c r="O75" s="7" t="str">
        <f>IF(ISNA(MATCH(62,Engine!$C$2:$C$1199,0)),"",INDEX('Compliance Database'!$O$2:$O$1199,MATCH(62,Engine!$C$2:$C$1199,0)))</f>
        <v/>
      </c>
      <c r="P75" s="6" t="str">
        <f>IF(ISNA(MATCH(62,Engine!$C$2:$C$1199,0)),"",HYPERLINK("#Acts!A"&amp;INDEX('Compliance Database'!$P$2:$P$1199,MATCH(62,Engine!$C$2:$C$1199,0)),"Go to Act"))</f>
        <v/>
      </c>
    </row>
    <row r="76" spans="1:16" ht="172.95" customHeight="1" x14ac:dyDescent="0.3">
      <c r="A76" s="6" t="str">
        <f>IF(ISNA(MATCH(63,Engine!$C$2:$C$1199,0)),"",INDEX('Compliance Database'!$A$2:$A$1199,MATCH(63,Engine!$C$2:$C$1199,0)))</f>
        <v/>
      </c>
      <c r="B76" s="6" t="str">
        <f>IF(ISNA(MATCH(63,Engine!$C$2:$C$1199,0)),"",INDEX('Compliance Database'!$B$2:$B$1199,MATCH(63,Engine!$C$2:$C$1199,0)))</f>
        <v/>
      </c>
      <c r="C76" s="6" t="str">
        <f>IF(ISNA(MATCH(63,Engine!$C$2:$C$1199,0)),"",INDEX('Compliance Database'!$C$2:$C$1199,MATCH(63,Engine!$C$2:$C$1199,0)))</f>
        <v/>
      </c>
      <c r="D76" s="7" t="str">
        <f>IF(ISNA(MATCH(63,Engine!$C$2:$C$1199,0)),"",INDEX('Compliance Database'!$D$2:$D$1199,MATCH(63,Engine!$C$2:$C$1199,0)))</f>
        <v/>
      </c>
      <c r="E76" s="6" t="str">
        <f>IF(ISNA(MATCH(63,Engine!$C$2:$C$1199,0)),"",INDEX('Compliance Database'!$E$2:$E$1199,MATCH(63,Engine!$C$2:$C$1199,0)))</f>
        <v/>
      </c>
      <c r="F76" s="6" t="str">
        <f>IF(ISNA(MATCH(63,Engine!$C$2:$C$1199,0)),"",INDEX('Compliance Database'!$F$2:$F$1199,MATCH(63,Engine!$C$2:$C$1199,0)))</f>
        <v/>
      </c>
      <c r="G76" s="6" t="str">
        <f>IF(ISNA(MATCH(63,Engine!$C$2:$C$1199,0)),"",INDEX('Compliance Database'!$G$2:$G$1199,MATCH(63,Engine!$C$2:$C$1199,0)))</f>
        <v/>
      </c>
      <c r="H76" s="7" t="str">
        <f>IF(ISNA(MATCH(63,Engine!$C$2:$C$1199,0)),"",INDEX('Compliance Database'!$H$2:$H$1199,MATCH(63,Engine!$C$2:$C$1199,0)))</f>
        <v/>
      </c>
      <c r="I76" s="7" t="str">
        <f>IF(ISNA(MATCH(63,Engine!$C$2:$C$1199,0)),"",INDEX('Compliance Database'!$I$2:$I$1199,MATCH(63,Engine!$C$2:$C$1199,0)))</f>
        <v/>
      </c>
      <c r="J76" s="6" t="str">
        <f>IF(ISNA(MATCH(63,Engine!$C$2:$C$1199,0)),"",INDEX('Compliance Database'!$J$2:$J$1199,MATCH(63,Engine!$C$2:$C$1199,0)))</f>
        <v/>
      </c>
      <c r="K76" s="7" t="str">
        <f>IF(ISNA(MATCH(63,Engine!$C$2:$C$1199,0)),"",INDEX('Compliance Database'!$K$2:$K$1199,MATCH(63,Engine!$C$2:$C$1199,0)))</f>
        <v/>
      </c>
      <c r="L76" s="7" t="str">
        <f>IF(ISNA(MATCH(63,Engine!$C$2:$C$1199,0)),"",INDEX('Compliance Database'!$L$2:$L$1199,MATCH(63,Engine!$C$2:$C$1199,0)))</f>
        <v/>
      </c>
      <c r="M76" s="7" t="str">
        <f>IF(ISNA(MATCH(63,Engine!$C$2:$C$1199,0)),"",INDEX('Compliance Database'!$M$2:$M$1199,MATCH(63,Engine!$C$2:$C$1199,0)))</f>
        <v/>
      </c>
      <c r="N76" s="7" t="str">
        <f>IF(ISNA(MATCH(63,Engine!$C$2:$C$1199,0)),"",INDEX('Compliance Database'!$N$2:$N$1199,MATCH(63,Engine!$C$2:$C$1199,0)))</f>
        <v/>
      </c>
      <c r="O76" s="7" t="str">
        <f>IF(ISNA(MATCH(63,Engine!$C$2:$C$1199,0)),"",INDEX('Compliance Database'!$O$2:$O$1199,MATCH(63,Engine!$C$2:$C$1199,0)))</f>
        <v/>
      </c>
      <c r="P76" s="6" t="str">
        <f>IF(ISNA(MATCH(63,Engine!$C$2:$C$1199,0)),"",HYPERLINK("#Acts!A"&amp;INDEX('Compliance Database'!$P$2:$P$1199,MATCH(63,Engine!$C$2:$C$1199,0)),"Go to Act"))</f>
        <v/>
      </c>
    </row>
    <row r="77" spans="1:16" ht="172.95" customHeight="1" x14ac:dyDescent="0.3">
      <c r="A77" s="6" t="str">
        <f>IF(ISNA(MATCH(64,Engine!$C$2:$C$1199,0)),"",INDEX('Compliance Database'!$A$2:$A$1199,MATCH(64,Engine!$C$2:$C$1199,0)))</f>
        <v/>
      </c>
      <c r="B77" s="6" t="str">
        <f>IF(ISNA(MATCH(64,Engine!$C$2:$C$1199,0)),"",INDEX('Compliance Database'!$B$2:$B$1199,MATCH(64,Engine!$C$2:$C$1199,0)))</f>
        <v/>
      </c>
      <c r="C77" s="6" t="str">
        <f>IF(ISNA(MATCH(64,Engine!$C$2:$C$1199,0)),"",INDEX('Compliance Database'!$C$2:$C$1199,MATCH(64,Engine!$C$2:$C$1199,0)))</f>
        <v/>
      </c>
      <c r="D77" s="7" t="str">
        <f>IF(ISNA(MATCH(64,Engine!$C$2:$C$1199,0)),"",INDEX('Compliance Database'!$D$2:$D$1199,MATCH(64,Engine!$C$2:$C$1199,0)))</f>
        <v/>
      </c>
      <c r="E77" s="6" t="str">
        <f>IF(ISNA(MATCH(64,Engine!$C$2:$C$1199,0)),"",INDEX('Compliance Database'!$E$2:$E$1199,MATCH(64,Engine!$C$2:$C$1199,0)))</f>
        <v/>
      </c>
      <c r="F77" s="6" t="str">
        <f>IF(ISNA(MATCH(64,Engine!$C$2:$C$1199,0)),"",INDEX('Compliance Database'!$F$2:$F$1199,MATCH(64,Engine!$C$2:$C$1199,0)))</f>
        <v/>
      </c>
      <c r="G77" s="6" t="str">
        <f>IF(ISNA(MATCH(64,Engine!$C$2:$C$1199,0)),"",INDEX('Compliance Database'!$G$2:$G$1199,MATCH(64,Engine!$C$2:$C$1199,0)))</f>
        <v/>
      </c>
      <c r="H77" s="7" t="str">
        <f>IF(ISNA(MATCH(64,Engine!$C$2:$C$1199,0)),"",INDEX('Compliance Database'!$H$2:$H$1199,MATCH(64,Engine!$C$2:$C$1199,0)))</f>
        <v/>
      </c>
      <c r="I77" s="7" t="str">
        <f>IF(ISNA(MATCH(64,Engine!$C$2:$C$1199,0)),"",INDEX('Compliance Database'!$I$2:$I$1199,MATCH(64,Engine!$C$2:$C$1199,0)))</f>
        <v/>
      </c>
      <c r="J77" s="6" t="str">
        <f>IF(ISNA(MATCH(64,Engine!$C$2:$C$1199,0)),"",INDEX('Compliance Database'!$J$2:$J$1199,MATCH(64,Engine!$C$2:$C$1199,0)))</f>
        <v/>
      </c>
      <c r="K77" s="7" t="str">
        <f>IF(ISNA(MATCH(64,Engine!$C$2:$C$1199,0)),"",INDEX('Compliance Database'!$K$2:$K$1199,MATCH(64,Engine!$C$2:$C$1199,0)))</f>
        <v/>
      </c>
      <c r="L77" s="7" t="str">
        <f>IF(ISNA(MATCH(64,Engine!$C$2:$C$1199,0)),"",INDEX('Compliance Database'!$L$2:$L$1199,MATCH(64,Engine!$C$2:$C$1199,0)))</f>
        <v/>
      </c>
      <c r="M77" s="7" t="str">
        <f>IF(ISNA(MATCH(64,Engine!$C$2:$C$1199,0)),"",INDEX('Compliance Database'!$M$2:$M$1199,MATCH(64,Engine!$C$2:$C$1199,0)))</f>
        <v/>
      </c>
      <c r="N77" s="7" t="str">
        <f>IF(ISNA(MATCH(64,Engine!$C$2:$C$1199,0)),"",INDEX('Compliance Database'!$N$2:$N$1199,MATCH(64,Engine!$C$2:$C$1199,0)))</f>
        <v/>
      </c>
      <c r="O77" s="7" t="str">
        <f>IF(ISNA(MATCH(64,Engine!$C$2:$C$1199,0)),"",INDEX('Compliance Database'!$O$2:$O$1199,MATCH(64,Engine!$C$2:$C$1199,0)))</f>
        <v/>
      </c>
      <c r="P77" s="6" t="str">
        <f>IF(ISNA(MATCH(64,Engine!$C$2:$C$1199,0)),"",HYPERLINK("#Acts!A"&amp;INDEX('Compliance Database'!$P$2:$P$1199,MATCH(64,Engine!$C$2:$C$1199,0)),"Go to Act"))</f>
        <v/>
      </c>
    </row>
    <row r="78" spans="1:16" ht="172.95" customHeight="1" x14ac:dyDescent="0.3">
      <c r="A78" s="6" t="str">
        <f>IF(ISNA(MATCH(65,Engine!$C$2:$C$1199,0)),"",INDEX('Compliance Database'!$A$2:$A$1199,MATCH(65,Engine!$C$2:$C$1199,0)))</f>
        <v/>
      </c>
      <c r="B78" s="6" t="str">
        <f>IF(ISNA(MATCH(65,Engine!$C$2:$C$1199,0)),"",INDEX('Compliance Database'!$B$2:$B$1199,MATCH(65,Engine!$C$2:$C$1199,0)))</f>
        <v/>
      </c>
      <c r="C78" s="6" t="str">
        <f>IF(ISNA(MATCH(65,Engine!$C$2:$C$1199,0)),"",INDEX('Compliance Database'!$C$2:$C$1199,MATCH(65,Engine!$C$2:$C$1199,0)))</f>
        <v/>
      </c>
      <c r="D78" s="7" t="str">
        <f>IF(ISNA(MATCH(65,Engine!$C$2:$C$1199,0)),"",INDEX('Compliance Database'!$D$2:$D$1199,MATCH(65,Engine!$C$2:$C$1199,0)))</f>
        <v/>
      </c>
      <c r="E78" s="6" t="str">
        <f>IF(ISNA(MATCH(65,Engine!$C$2:$C$1199,0)),"",INDEX('Compliance Database'!$E$2:$E$1199,MATCH(65,Engine!$C$2:$C$1199,0)))</f>
        <v/>
      </c>
      <c r="F78" s="6" t="str">
        <f>IF(ISNA(MATCH(65,Engine!$C$2:$C$1199,0)),"",INDEX('Compliance Database'!$F$2:$F$1199,MATCH(65,Engine!$C$2:$C$1199,0)))</f>
        <v/>
      </c>
      <c r="G78" s="6" t="str">
        <f>IF(ISNA(MATCH(65,Engine!$C$2:$C$1199,0)),"",INDEX('Compliance Database'!$G$2:$G$1199,MATCH(65,Engine!$C$2:$C$1199,0)))</f>
        <v/>
      </c>
      <c r="H78" s="7" t="str">
        <f>IF(ISNA(MATCH(65,Engine!$C$2:$C$1199,0)),"",INDEX('Compliance Database'!$H$2:$H$1199,MATCH(65,Engine!$C$2:$C$1199,0)))</f>
        <v/>
      </c>
      <c r="I78" s="7" t="str">
        <f>IF(ISNA(MATCH(65,Engine!$C$2:$C$1199,0)),"",INDEX('Compliance Database'!$I$2:$I$1199,MATCH(65,Engine!$C$2:$C$1199,0)))</f>
        <v/>
      </c>
      <c r="J78" s="6" t="str">
        <f>IF(ISNA(MATCH(65,Engine!$C$2:$C$1199,0)),"",INDEX('Compliance Database'!$J$2:$J$1199,MATCH(65,Engine!$C$2:$C$1199,0)))</f>
        <v/>
      </c>
      <c r="K78" s="7" t="str">
        <f>IF(ISNA(MATCH(65,Engine!$C$2:$C$1199,0)),"",INDEX('Compliance Database'!$K$2:$K$1199,MATCH(65,Engine!$C$2:$C$1199,0)))</f>
        <v/>
      </c>
      <c r="L78" s="7" t="str">
        <f>IF(ISNA(MATCH(65,Engine!$C$2:$C$1199,0)),"",INDEX('Compliance Database'!$L$2:$L$1199,MATCH(65,Engine!$C$2:$C$1199,0)))</f>
        <v/>
      </c>
      <c r="M78" s="7" t="str">
        <f>IF(ISNA(MATCH(65,Engine!$C$2:$C$1199,0)),"",INDEX('Compliance Database'!$M$2:$M$1199,MATCH(65,Engine!$C$2:$C$1199,0)))</f>
        <v/>
      </c>
      <c r="N78" s="7" t="str">
        <f>IF(ISNA(MATCH(65,Engine!$C$2:$C$1199,0)),"",INDEX('Compliance Database'!$N$2:$N$1199,MATCH(65,Engine!$C$2:$C$1199,0)))</f>
        <v/>
      </c>
      <c r="O78" s="7" t="str">
        <f>IF(ISNA(MATCH(65,Engine!$C$2:$C$1199,0)),"",INDEX('Compliance Database'!$O$2:$O$1199,MATCH(65,Engine!$C$2:$C$1199,0)))</f>
        <v/>
      </c>
      <c r="P78" s="6" t="str">
        <f>IF(ISNA(MATCH(65,Engine!$C$2:$C$1199,0)),"",HYPERLINK("#Acts!A"&amp;INDEX('Compliance Database'!$P$2:$P$1199,MATCH(65,Engine!$C$2:$C$1199,0)),"Go to Act"))</f>
        <v/>
      </c>
    </row>
    <row r="79" spans="1:16" ht="172.95" customHeight="1" x14ac:dyDescent="0.3">
      <c r="A79" s="6" t="str">
        <f>IF(ISNA(MATCH(66,Engine!$C$2:$C$1199,0)),"",INDEX('Compliance Database'!$A$2:$A$1199,MATCH(66,Engine!$C$2:$C$1199,0)))</f>
        <v/>
      </c>
      <c r="B79" s="6" t="str">
        <f>IF(ISNA(MATCH(66,Engine!$C$2:$C$1199,0)),"",INDEX('Compliance Database'!$B$2:$B$1199,MATCH(66,Engine!$C$2:$C$1199,0)))</f>
        <v/>
      </c>
      <c r="C79" s="6" t="str">
        <f>IF(ISNA(MATCH(66,Engine!$C$2:$C$1199,0)),"",INDEX('Compliance Database'!$C$2:$C$1199,MATCH(66,Engine!$C$2:$C$1199,0)))</f>
        <v/>
      </c>
      <c r="D79" s="7" t="str">
        <f>IF(ISNA(MATCH(66,Engine!$C$2:$C$1199,0)),"",INDEX('Compliance Database'!$D$2:$D$1199,MATCH(66,Engine!$C$2:$C$1199,0)))</f>
        <v/>
      </c>
      <c r="E79" s="6" t="str">
        <f>IF(ISNA(MATCH(66,Engine!$C$2:$C$1199,0)),"",INDEX('Compliance Database'!$E$2:$E$1199,MATCH(66,Engine!$C$2:$C$1199,0)))</f>
        <v/>
      </c>
      <c r="F79" s="6" t="str">
        <f>IF(ISNA(MATCH(66,Engine!$C$2:$C$1199,0)),"",INDEX('Compliance Database'!$F$2:$F$1199,MATCH(66,Engine!$C$2:$C$1199,0)))</f>
        <v/>
      </c>
      <c r="G79" s="6" t="str">
        <f>IF(ISNA(MATCH(66,Engine!$C$2:$C$1199,0)),"",INDEX('Compliance Database'!$G$2:$G$1199,MATCH(66,Engine!$C$2:$C$1199,0)))</f>
        <v/>
      </c>
      <c r="H79" s="7" t="str">
        <f>IF(ISNA(MATCH(66,Engine!$C$2:$C$1199,0)),"",INDEX('Compliance Database'!$H$2:$H$1199,MATCH(66,Engine!$C$2:$C$1199,0)))</f>
        <v/>
      </c>
      <c r="I79" s="7" t="str">
        <f>IF(ISNA(MATCH(66,Engine!$C$2:$C$1199,0)),"",INDEX('Compliance Database'!$I$2:$I$1199,MATCH(66,Engine!$C$2:$C$1199,0)))</f>
        <v/>
      </c>
      <c r="J79" s="6" t="str">
        <f>IF(ISNA(MATCH(66,Engine!$C$2:$C$1199,0)),"",INDEX('Compliance Database'!$J$2:$J$1199,MATCH(66,Engine!$C$2:$C$1199,0)))</f>
        <v/>
      </c>
      <c r="K79" s="7" t="str">
        <f>IF(ISNA(MATCH(66,Engine!$C$2:$C$1199,0)),"",INDEX('Compliance Database'!$K$2:$K$1199,MATCH(66,Engine!$C$2:$C$1199,0)))</f>
        <v/>
      </c>
      <c r="L79" s="7" t="str">
        <f>IF(ISNA(MATCH(66,Engine!$C$2:$C$1199,0)),"",INDEX('Compliance Database'!$L$2:$L$1199,MATCH(66,Engine!$C$2:$C$1199,0)))</f>
        <v/>
      </c>
      <c r="M79" s="7" t="str">
        <f>IF(ISNA(MATCH(66,Engine!$C$2:$C$1199,0)),"",INDEX('Compliance Database'!$M$2:$M$1199,MATCH(66,Engine!$C$2:$C$1199,0)))</f>
        <v/>
      </c>
      <c r="N79" s="7" t="str">
        <f>IF(ISNA(MATCH(66,Engine!$C$2:$C$1199,0)),"",INDEX('Compliance Database'!$N$2:$N$1199,MATCH(66,Engine!$C$2:$C$1199,0)))</f>
        <v/>
      </c>
      <c r="O79" s="7" t="str">
        <f>IF(ISNA(MATCH(66,Engine!$C$2:$C$1199,0)),"",INDEX('Compliance Database'!$O$2:$O$1199,MATCH(66,Engine!$C$2:$C$1199,0)))</f>
        <v/>
      </c>
      <c r="P79" s="6" t="str">
        <f>IF(ISNA(MATCH(66,Engine!$C$2:$C$1199,0)),"",HYPERLINK("#Acts!A"&amp;INDEX('Compliance Database'!$P$2:$P$1199,MATCH(66,Engine!$C$2:$C$1199,0)),"Go to Act"))</f>
        <v/>
      </c>
    </row>
    <row r="80" spans="1:16" ht="172.95" customHeight="1" x14ac:dyDescent="0.3">
      <c r="A80" s="6" t="str">
        <f>IF(ISNA(MATCH(67,Engine!$C$2:$C$1199,0)),"",INDEX('Compliance Database'!$A$2:$A$1199,MATCH(67,Engine!$C$2:$C$1199,0)))</f>
        <v/>
      </c>
      <c r="B80" s="6" t="str">
        <f>IF(ISNA(MATCH(67,Engine!$C$2:$C$1199,0)),"",INDEX('Compliance Database'!$B$2:$B$1199,MATCH(67,Engine!$C$2:$C$1199,0)))</f>
        <v/>
      </c>
      <c r="C80" s="6" t="str">
        <f>IF(ISNA(MATCH(67,Engine!$C$2:$C$1199,0)),"",INDEX('Compliance Database'!$C$2:$C$1199,MATCH(67,Engine!$C$2:$C$1199,0)))</f>
        <v/>
      </c>
      <c r="D80" s="7" t="str">
        <f>IF(ISNA(MATCH(67,Engine!$C$2:$C$1199,0)),"",INDEX('Compliance Database'!$D$2:$D$1199,MATCH(67,Engine!$C$2:$C$1199,0)))</f>
        <v/>
      </c>
      <c r="E80" s="6" t="str">
        <f>IF(ISNA(MATCH(67,Engine!$C$2:$C$1199,0)),"",INDEX('Compliance Database'!$E$2:$E$1199,MATCH(67,Engine!$C$2:$C$1199,0)))</f>
        <v/>
      </c>
      <c r="F80" s="6" t="str">
        <f>IF(ISNA(MATCH(67,Engine!$C$2:$C$1199,0)),"",INDEX('Compliance Database'!$F$2:$F$1199,MATCH(67,Engine!$C$2:$C$1199,0)))</f>
        <v/>
      </c>
      <c r="G80" s="6" t="str">
        <f>IF(ISNA(MATCH(67,Engine!$C$2:$C$1199,0)),"",INDEX('Compliance Database'!$G$2:$G$1199,MATCH(67,Engine!$C$2:$C$1199,0)))</f>
        <v/>
      </c>
      <c r="H80" s="7" t="str">
        <f>IF(ISNA(MATCH(67,Engine!$C$2:$C$1199,0)),"",INDEX('Compliance Database'!$H$2:$H$1199,MATCH(67,Engine!$C$2:$C$1199,0)))</f>
        <v/>
      </c>
      <c r="I80" s="7" t="str">
        <f>IF(ISNA(MATCH(67,Engine!$C$2:$C$1199,0)),"",INDEX('Compliance Database'!$I$2:$I$1199,MATCH(67,Engine!$C$2:$C$1199,0)))</f>
        <v/>
      </c>
      <c r="J80" s="6" t="str">
        <f>IF(ISNA(MATCH(67,Engine!$C$2:$C$1199,0)),"",INDEX('Compliance Database'!$J$2:$J$1199,MATCH(67,Engine!$C$2:$C$1199,0)))</f>
        <v/>
      </c>
      <c r="K80" s="7" t="str">
        <f>IF(ISNA(MATCH(67,Engine!$C$2:$C$1199,0)),"",INDEX('Compliance Database'!$K$2:$K$1199,MATCH(67,Engine!$C$2:$C$1199,0)))</f>
        <v/>
      </c>
      <c r="L80" s="7" t="str">
        <f>IF(ISNA(MATCH(67,Engine!$C$2:$C$1199,0)),"",INDEX('Compliance Database'!$L$2:$L$1199,MATCH(67,Engine!$C$2:$C$1199,0)))</f>
        <v/>
      </c>
      <c r="M80" s="7" t="str">
        <f>IF(ISNA(MATCH(67,Engine!$C$2:$C$1199,0)),"",INDEX('Compliance Database'!$M$2:$M$1199,MATCH(67,Engine!$C$2:$C$1199,0)))</f>
        <v/>
      </c>
      <c r="N80" s="7" t="str">
        <f>IF(ISNA(MATCH(67,Engine!$C$2:$C$1199,0)),"",INDEX('Compliance Database'!$N$2:$N$1199,MATCH(67,Engine!$C$2:$C$1199,0)))</f>
        <v/>
      </c>
      <c r="O80" s="7" t="str">
        <f>IF(ISNA(MATCH(67,Engine!$C$2:$C$1199,0)),"",INDEX('Compliance Database'!$O$2:$O$1199,MATCH(67,Engine!$C$2:$C$1199,0)))</f>
        <v/>
      </c>
      <c r="P80" s="6" t="str">
        <f>IF(ISNA(MATCH(67,Engine!$C$2:$C$1199,0)),"",HYPERLINK("#Acts!A"&amp;INDEX('Compliance Database'!$P$2:$P$1199,MATCH(67,Engine!$C$2:$C$1199,0)),"Go to Act"))</f>
        <v/>
      </c>
    </row>
    <row r="81" spans="1:16" ht="172.95" customHeight="1" x14ac:dyDescent="0.3">
      <c r="A81" s="6" t="str">
        <f>IF(ISNA(MATCH(68,Engine!$C$2:$C$1199,0)),"",INDEX('Compliance Database'!$A$2:$A$1199,MATCH(68,Engine!$C$2:$C$1199,0)))</f>
        <v/>
      </c>
      <c r="B81" s="6" t="str">
        <f>IF(ISNA(MATCH(68,Engine!$C$2:$C$1199,0)),"",INDEX('Compliance Database'!$B$2:$B$1199,MATCH(68,Engine!$C$2:$C$1199,0)))</f>
        <v/>
      </c>
      <c r="C81" s="6" t="str">
        <f>IF(ISNA(MATCH(68,Engine!$C$2:$C$1199,0)),"",INDEX('Compliance Database'!$C$2:$C$1199,MATCH(68,Engine!$C$2:$C$1199,0)))</f>
        <v/>
      </c>
      <c r="D81" s="7" t="str">
        <f>IF(ISNA(MATCH(68,Engine!$C$2:$C$1199,0)),"",INDEX('Compliance Database'!$D$2:$D$1199,MATCH(68,Engine!$C$2:$C$1199,0)))</f>
        <v/>
      </c>
      <c r="E81" s="6" t="str">
        <f>IF(ISNA(MATCH(68,Engine!$C$2:$C$1199,0)),"",INDEX('Compliance Database'!$E$2:$E$1199,MATCH(68,Engine!$C$2:$C$1199,0)))</f>
        <v/>
      </c>
      <c r="F81" s="6" t="str">
        <f>IF(ISNA(MATCH(68,Engine!$C$2:$C$1199,0)),"",INDEX('Compliance Database'!$F$2:$F$1199,MATCH(68,Engine!$C$2:$C$1199,0)))</f>
        <v/>
      </c>
      <c r="G81" s="6" t="str">
        <f>IF(ISNA(MATCH(68,Engine!$C$2:$C$1199,0)),"",INDEX('Compliance Database'!$G$2:$G$1199,MATCH(68,Engine!$C$2:$C$1199,0)))</f>
        <v/>
      </c>
      <c r="H81" s="7" t="str">
        <f>IF(ISNA(MATCH(68,Engine!$C$2:$C$1199,0)),"",INDEX('Compliance Database'!$H$2:$H$1199,MATCH(68,Engine!$C$2:$C$1199,0)))</f>
        <v/>
      </c>
      <c r="I81" s="7" t="str">
        <f>IF(ISNA(MATCH(68,Engine!$C$2:$C$1199,0)),"",INDEX('Compliance Database'!$I$2:$I$1199,MATCH(68,Engine!$C$2:$C$1199,0)))</f>
        <v/>
      </c>
      <c r="J81" s="6" t="str">
        <f>IF(ISNA(MATCH(68,Engine!$C$2:$C$1199,0)),"",INDEX('Compliance Database'!$J$2:$J$1199,MATCH(68,Engine!$C$2:$C$1199,0)))</f>
        <v/>
      </c>
      <c r="K81" s="7" t="str">
        <f>IF(ISNA(MATCH(68,Engine!$C$2:$C$1199,0)),"",INDEX('Compliance Database'!$K$2:$K$1199,MATCH(68,Engine!$C$2:$C$1199,0)))</f>
        <v/>
      </c>
      <c r="L81" s="7" t="str">
        <f>IF(ISNA(MATCH(68,Engine!$C$2:$C$1199,0)),"",INDEX('Compliance Database'!$L$2:$L$1199,MATCH(68,Engine!$C$2:$C$1199,0)))</f>
        <v/>
      </c>
      <c r="M81" s="7" t="str">
        <f>IF(ISNA(MATCH(68,Engine!$C$2:$C$1199,0)),"",INDEX('Compliance Database'!$M$2:$M$1199,MATCH(68,Engine!$C$2:$C$1199,0)))</f>
        <v/>
      </c>
      <c r="N81" s="7" t="str">
        <f>IF(ISNA(MATCH(68,Engine!$C$2:$C$1199,0)),"",INDEX('Compliance Database'!$N$2:$N$1199,MATCH(68,Engine!$C$2:$C$1199,0)))</f>
        <v/>
      </c>
      <c r="O81" s="7" t="str">
        <f>IF(ISNA(MATCH(68,Engine!$C$2:$C$1199,0)),"",INDEX('Compliance Database'!$O$2:$O$1199,MATCH(68,Engine!$C$2:$C$1199,0)))</f>
        <v/>
      </c>
      <c r="P81" s="6" t="str">
        <f>IF(ISNA(MATCH(68,Engine!$C$2:$C$1199,0)),"",HYPERLINK("#Acts!A"&amp;INDEX('Compliance Database'!$P$2:$P$1199,MATCH(68,Engine!$C$2:$C$1199,0)),"Go to Act"))</f>
        <v/>
      </c>
    </row>
    <row r="82" spans="1:16" ht="172.95" customHeight="1" x14ac:dyDescent="0.3">
      <c r="A82" s="6" t="str">
        <f>IF(ISNA(MATCH(69,Engine!$C$2:$C$1199,0)),"",INDEX('Compliance Database'!$A$2:$A$1199,MATCH(69,Engine!$C$2:$C$1199,0)))</f>
        <v/>
      </c>
      <c r="B82" s="6" t="str">
        <f>IF(ISNA(MATCH(69,Engine!$C$2:$C$1199,0)),"",INDEX('Compliance Database'!$B$2:$B$1199,MATCH(69,Engine!$C$2:$C$1199,0)))</f>
        <v/>
      </c>
      <c r="C82" s="6" t="str">
        <f>IF(ISNA(MATCH(69,Engine!$C$2:$C$1199,0)),"",INDEX('Compliance Database'!$C$2:$C$1199,MATCH(69,Engine!$C$2:$C$1199,0)))</f>
        <v/>
      </c>
      <c r="D82" s="7" t="str">
        <f>IF(ISNA(MATCH(69,Engine!$C$2:$C$1199,0)),"",INDEX('Compliance Database'!$D$2:$D$1199,MATCH(69,Engine!$C$2:$C$1199,0)))</f>
        <v/>
      </c>
      <c r="E82" s="6" t="str">
        <f>IF(ISNA(MATCH(69,Engine!$C$2:$C$1199,0)),"",INDEX('Compliance Database'!$E$2:$E$1199,MATCH(69,Engine!$C$2:$C$1199,0)))</f>
        <v/>
      </c>
      <c r="F82" s="6" t="str">
        <f>IF(ISNA(MATCH(69,Engine!$C$2:$C$1199,0)),"",INDEX('Compliance Database'!$F$2:$F$1199,MATCH(69,Engine!$C$2:$C$1199,0)))</f>
        <v/>
      </c>
      <c r="G82" s="6" t="str">
        <f>IF(ISNA(MATCH(69,Engine!$C$2:$C$1199,0)),"",INDEX('Compliance Database'!$G$2:$G$1199,MATCH(69,Engine!$C$2:$C$1199,0)))</f>
        <v/>
      </c>
      <c r="H82" s="7" t="str">
        <f>IF(ISNA(MATCH(69,Engine!$C$2:$C$1199,0)),"",INDEX('Compliance Database'!$H$2:$H$1199,MATCH(69,Engine!$C$2:$C$1199,0)))</f>
        <v/>
      </c>
      <c r="I82" s="7" t="str">
        <f>IF(ISNA(MATCH(69,Engine!$C$2:$C$1199,0)),"",INDEX('Compliance Database'!$I$2:$I$1199,MATCH(69,Engine!$C$2:$C$1199,0)))</f>
        <v/>
      </c>
      <c r="J82" s="6" t="str">
        <f>IF(ISNA(MATCH(69,Engine!$C$2:$C$1199,0)),"",INDEX('Compliance Database'!$J$2:$J$1199,MATCH(69,Engine!$C$2:$C$1199,0)))</f>
        <v/>
      </c>
      <c r="K82" s="7" t="str">
        <f>IF(ISNA(MATCH(69,Engine!$C$2:$C$1199,0)),"",INDEX('Compliance Database'!$K$2:$K$1199,MATCH(69,Engine!$C$2:$C$1199,0)))</f>
        <v/>
      </c>
      <c r="L82" s="7" t="str">
        <f>IF(ISNA(MATCH(69,Engine!$C$2:$C$1199,0)),"",INDEX('Compliance Database'!$L$2:$L$1199,MATCH(69,Engine!$C$2:$C$1199,0)))</f>
        <v/>
      </c>
      <c r="M82" s="7" t="str">
        <f>IF(ISNA(MATCH(69,Engine!$C$2:$C$1199,0)),"",INDEX('Compliance Database'!$M$2:$M$1199,MATCH(69,Engine!$C$2:$C$1199,0)))</f>
        <v/>
      </c>
      <c r="N82" s="7" t="str">
        <f>IF(ISNA(MATCH(69,Engine!$C$2:$C$1199,0)),"",INDEX('Compliance Database'!$N$2:$N$1199,MATCH(69,Engine!$C$2:$C$1199,0)))</f>
        <v/>
      </c>
      <c r="O82" s="7" t="str">
        <f>IF(ISNA(MATCH(69,Engine!$C$2:$C$1199,0)),"",INDEX('Compliance Database'!$O$2:$O$1199,MATCH(69,Engine!$C$2:$C$1199,0)))</f>
        <v/>
      </c>
      <c r="P82" s="6" t="str">
        <f>IF(ISNA(MATCH(69,Engine!$C$2:$C$1199,0)),"",HYPERLINK("#Acts!A"&amp;INDEX('Compliance Database'!$P$2:$P$1199,MATCH(69,Engine!$C$2:$C$1199,0)),"Go to Act"))</f>
        <v/>
      </c>
    </row>
    <row r="83" spans="1:16" ht="172.95" customHeight="1" x14ac:dyDescent="0.3">
      <c r="A83" s="6" t="str">
        <f>IF(ISNA(MATCH(70,Engine!$C$2:$C$1199,0)),"",INDEX('Compliance Database'!$A$2:$A$1199,MATCH(70,Engine!$C$2:$C$1199,0)))</f>
        <v/>
      </c>
      <c r="B83" s="6" t="str">
        <f>IF(ISNA(MATCH(70,Engine!$C$2:$C$1199,0)),"",INDEX('Compliance Database'!$B$2:$B$1199,MATCH(70,Engine!$C$2:$C$1199,0)))</f>
        <v/>
      </c>
      <c r="C83" s="6" t="str">
        <f>IF(ISNA(MATCH(70,Engine!$C$2:$C$1199,0)),"",INDEX('Compliance Database'!$C$2:$C$1199,MATCH(70,Engine!$C$2:$C$1199,0)))</f>
        <v/>
      </c>
      <c r="D83" s="7" t="str">
        <f>IF(ISNA(MATCH(70,Engine!$C$2:$C$1199,0)),"",INDEX('Compliance Database'!$D$2:$D$1199,MATCH(70,Engine!$C$2:$C$1199,0)))</f>
        <v/>
      </c>
      <c r="E83" s="6" t="str">
        <f>IF(ISNA(MATCH(70,Engine!$C$2:$C$1199,0)),"",INDEX('Compliance Database'!$E$2:$E$1199,MATCH(70,Engine!$C$2:$C$1199,0)))</f>
        <v/>
      </c>
      <c r="F83" s="6" t="str">
        <f>IF(ISNA(MATCH(70,Engine!$C$2:$C$1199,0)),"",INDEX('Compliance Database'!$F$2:$F$1199,MATCH(70,Engine!$C$2:$C$1199,0)))</f>
        <v/>
      </c>
      <c r="G83" s="6" t="str">
        <f>IF(ISNA(MATCH(70,Engine!$C$2:$C$1199,0)),"",INDEX('Compliance Database'!$G$2:$G$1199,MATCH(70,Engine!$C$2:$C$1199,0)))</f>
        <v/>
      </c>
      <c r="H83" s="7" t="str">
        <f>IF(ISNA(MATCH(70,Engine!$C$2:$C$1199,0)),"",INDEX('Compliance Database'!$H$2:$H$1199,MATCH(70,Engine!$C$2:$C$1199,0)))</f>
        <v/>
      </c>
      <c r="I83" s="7" t="str">
        <f>IF(ISNA(MATCH(70,Engine!$C$2:$C$1199,0)),"",INDEX('Compliance Database'!$I$2:$I$1199,MATCH(70,Engine!$C$2:$C$1199,0)))</f>
        <v/>
      </c>
      <c r="J83" s="6" t="str">
        <f>IF(ISNA(MATCH(70,Engine!$C$2:$C$1199,0)),"",INDEX('Compliance Database'!$J$2:$J$1199,MATCH(70,Engine!$C$2:$C$1199,0)))</f>
        <v/>
      </c>
      <c r="K83" s="7" t="str">
        <f>IF(ISNA(MATCH(70,Engine!$C$2:$C$1199,0)),"",INDEX('Compliance Database'!$K$2:$K$1199,MATCH(70,Engine!$C$2:$C$1199,0)))</f>
        <v/>
      </c>
      <c r="L83" s="7" t="str">
        <f>IF(ISNA(MATCH(70,Engine!$C$2:$C$1199,0)),"",INDEX('Compliance Database'!$L$2:$L$1199,MATCH(70,Engine!$C$2:$C$1199,0)))</f>
        <v/>
      </c>
      <c r="M83" s="7" t="str">
        <f>IF(ISNA(MATCH(70,Engine!$C$2:$C$1199,0)),"",INDEX('Compliance Database'!$M$2:$M$1199,MATCH(70,Engine!$C$2:$C$1199,0)))</f>
        <v/>
      </c>
      <c r="N83" s="7" t="str">
        <f>IF(ISNA(MATCH(70,Engine!$C$2:$C$1199,0)),"",INDEX('Compliance Database'!$N$2:$N$1199,MATCH(70,Engine!$C$2:$C$1199,0)))</f>
        <v/>
      </c>
      <c r="O83" s="7" t="str">
        <f>IF(ISNA(MATCH(70,Engine!$C$2:$C$1199,0)),"",INDEX('Compliance Database'!$O$2:$O$1199,MATCH(70,Engine!$C$2:$C$1199,0)))</f>
        <v/>
      </c>
      <c r="P83" s="6" t="str">
        <f>IF(ISNA(MATCH(70,Engine!$C$2:$C$1199,0)),"",HYPERLINK("#Acts!A"&amp;INDEX('Compliance Database'!$P$2:$P$1199,MATCH(70,Engine!$C$2:$C$1199,0)),"Go to Act"))</f>
        <v/>
      </c>
    </row>
    <row r="84" spans="1:16" ht="172.95" customHeight="1" x14ac:dyDescent="0.3">
      <c r="A84" s="6" t="str">
        <f>IF(ISNA(MATCH(71,Engine!$C$2:$C$1199,0)),"",INDEX('Compliance Database'!$A$2:$A$1199,MATCH(71,Engine!$C$2:$C$1199,0)))</f>
        <v/>
      </c>
      <c r="B84" s="6" t="str">
        <f>IF(ISNA(MATCH(71,Engine!$C$2:$C$1199,0)),"",INDEX('Compliance Database'!$B$2:$B$1199,MATCH(71,Engine!$C$2:$C$1199,0)))</f>
        <v/>
      </c>
      <c r="C84" s="6" t="str">
        <f>IF(ISNA(MATCH(71,Engine!$C$2:$C$1199,0)),"",INDEX('Compliance Database'!$C$2:$C$1199,MATCH(71,Engine!$C$2:$C$1199,0)))</f>
        <v/>
      </c>
      <c r="D84" s="7" t="str">
        <f>IF(ISNA(MATCH(71,Engine!$C$2:$C$1199,0)),"",INDEX('Compliance Database'!$D$2:$D$1199,MATCH(71,Engine!$C$2:$C$1199,0)))</f>
        <v/>
      </c>
      <c r="E84" s="6" t="str">
        <f>IF(ISNA(MATCH(71,Engine!$C$2:$C$1199,0)),"",INDEX('Compliance Database'!$E$2:$E$1199,MATCH(71,Engine!$C$2:$C$1199,0)))</f>
        <v/>
      </c>
      <c r="F84" s="6" t="str">
        <f>IF(ISNA(MATCH(71,Engine!$C$2:$C$1199,0)),"",INDEX('Compliance Database'!$F$2:$F$1199,MATCH(71,Engine!$C$2:$C$1199,0)))</f>
        <v/>
      </c>
      <c r="G84" s="6" t="str">
        <f>IF(ISNA(MATCH(71,Engine!$C$2:$C$1199,0)),"",INDEX('Compliance Database'!$G$2:$G$1199,MATCH(71,Engine!$C$2:$C$1199,0)))</f>
        <v/>
      </c>
      <c r="H84" s="7" t="str">
        <f>IF(ISNA(MATCH(71,Engine!$C$2:$C$1199,0)),"",INDEX('Compliance Database'!$H$2:$H$1199,MATCH(71,Engine!$C$2:$C$1199,0)))</f>
        <v/>
      </c>
      <c r="I84" s="7" t="str">
        <f>IF(ISNA(MATCH(71,Engine!$C$2:$C$1199,0)),"",INDEX('Compliance Database'!$I$2:$I$1199,MATCH(71,Engine!$C$2:$C$1199,0)))</f>
        <v/>
      </c>
      <c r="J84" s="6" t="str">
        <f>IF(ISNA(MATCH(71,Engine!$C$2:$C$1199,0)),"",INDEX('Compliance Database'!$J$2:$J$1199,MATCH(71,Engine!$C$2:$C$1199,0)))</f>
        <v/>
      </c>
      <c r="K84" s="7" t="str">
        <f>IF(ISNA(MATCH(71,Engine!$C$2:$C$1199,0)),"",INDEX('Compliance Database'!$K$2:$K$1199,MATCH(71,Engine!$C$2:$C$1199,0)))</f>
        <v/>
      </c>
      <c r="L84" s="7" t="str">
        <f>IF(ISNA(MATCH(71,Engine!$C$2:$C$1199,0)),"",INDEX('Compliance Database'!$L$2:$L$1199,MATCH(71,Engine!$C$2:$C$1199,0)))</f>
        <v/>
      </c>
      <c r="M84" s="7" t="str">
        <f>IF(ISNA(MATCH(71,Engine!$C$2:$C$1199,0)),"",INDEX('Compliance Database'!$M$2:$M$1199,MATCH(71,Engine!$C$2:$C$1199,0)))</f>
        <v/>
      </c>
      <c r="N84" s="7" t="str">
        <f>IF(ISNA(MATCH(71,Engine!$C$2:$C$1199,0)),"",INDEX('Compliance Database'!$N$2:$N$1199,MATCH(71,Engine!$C$2:$C$1199,0)))</f>
        <v/>
      </c>
      <c r="O84" s="7" t="str">
        <f>IF(ISNA(MATCH(71,Engine!$C$2:$C$1199,0)),"",INDEX('Compliance Database'!$O$2:$O$1199,MATCH(71,Engine!$C$2:$C$1199,0)))</f>
        <v/>
      </c>
      <c r="P84" s="6" t="str">
        <f>IF(ISNA(MATCH(71,Engine!$C$2:$C$1199,0)),"",HYPERLINK("#Acts!A"&amp;INDEX('Compliance Database'!$P$2:$P$1199,MATCH(71,Engine!$C$2:$C$1199,0)),"Go to Act"))</f>
        <v/>
      </c>
    </row>
    <row r="85" spans="1:16" ht="172.95" customHeight="1" x14ac:dyDescent="0.3">
      <c r="A85" s="6" t="str">
        <f>IF(ISNA(MATCH(72,Engine!$C$2:$C$1199,0)),"",INDEX('Compliance Database'!$A$2:$A$1199,MATCH(72,Engine!$C$2:$C$1199,0)))</f>
        <v/>
      </c>
      <c r="B85" s="6" t="str">
        <f>IF(ISNA(MATCH(72,Engine!$C$2:$C$1199,0)),"",INDEX('Compliance Database'!$B$2:$B$1199,MATCH(72,Engine!$C$2:$C$1199,0)))</f>
        <v/>
      </c>
      <c r="C85" s="6" t="str">
        <f>IF(ISNA(MATCH(72,Engine!$C$2:$C$1199,0)),"",INDEX('Compliance Database'!$C$2:$C$1199,MATCH(72,Engine!$C$2:$C$1199,0)))</f>
        <v/>
      </c>
      <c r="D85" s="7" t="str">
        <f>IF(ISNA(MATCH(72,Engine!$C$2:$C$1199,0)),"",INDEX('Compliance Database'!$D$2:$D$1199,MATCH(72,Engine!$C$2:$C$1199,0)))</f>
        <v/>
      </c>
      <c r="E85" s="6" t="str">
        <f>IF(ISNA(MATCH(72,Engine!$C$2:$C$1199,0)),"",INDEX('Compliance Database'!$E$2:$E$1199,MATCH(72,Engine!$C$2:$C$1199,0)))</f>
        <v/>
      </c>
      <c r="F85" s="6" t="str">
        <f>IF(ISNA(MATCH(72,Engine!$C$2:$C$1199,0)),"",INDEX('Compliance Database'!$F$2:$F$1199,MATCH(72,Engine!$C$2:$C$1199,0)))</f>
        <v/>
      </c>
      <c r="G85" s="6" t="str">
        <f>IF(ISNA(MATCH(72,Engine!$C$2:$C$1199,0)),"",INDEX('Compliance Database'!$G$2:$G$1199,MATCH(72,Engine!$C$2:$C$1199,0)))</f>
        <v/>
      </c>
      <c r="H85" s="7" t="str">
        <f>IF(ISNA(MATCH(72,Engine!$C$2:$C$1199,0)),"",INDEX('Compliance Database'!$H$2:$H$1199,MATCH(72,Engine!$C$2:$C$1199,0)))</f>
        <v/>
      </c>
      <c r="I85" s="7" t="str">
        <f>IF(ISNA(MATCH(72,Engine!$C$2:$C$1199,0)),"",INDEX('Compliance Database'!$I$2:$I$1199,MATCH(72,Engine!$C$2:$C$1199,0)))</f>
        <v/>
      </c>
      <c r="J85" s="6" t="str">
        <f>IF(ISNA(MATCH(72,Engine!$C$2:$C$1199,0)),"",INDEX('Compliance Database'!$J$2:$J$1199,MATCH(72,Engine!$C$2:$C$1199,0)))</f>
        <v/>
      </c>
      <c r="K85" s="7" t="str">
        <f>IF(ISNA(MATCH(72,Engine!$C$2:$C$1199,0)),"",INDEX('Compliance Database'!$K$2:$K$1199,MATCH(72,Engine!$C$2:$C$1199,0)))</f>
        <v/>
      </c>
      <c r="L85" s="7" t="str">
        <f>IF(ISNA(MATCH(72,Engine!$C$2:$C$1199,0)),"",INDEX('Compliance Database'!$L$2:$L$1199,MATCH(72,Engine!$C$2:$C$1199,0)))</f>
        <v/>
      </c>
      <c r="M85" s="7" t="str">
        <f>IF(ISNA(MATCH(72,Engine!$C$2:$C$1199,0)),"",INDEX('Compliance Database'!$M$2:$M$1199,MATCH(72,Engine!$C$2:$C$1199,0)))</f>
        <v/>
      </c>
      <c r="N85" s="7" t="str">
        <f>IF(ISNA(MATCH(72,Engine!$C$2:$C$1199,0)),"",INDEX('Compliance Database'!$N$2:$N$1199,MATCH(72,Engine!$C$2:$C$1199,0)))</f>
        <v/>
      </c>
      <c r="O85" s="7" t="str">
        <f>IF(ISNA(MATCH(72,Engine!$C$2:$C$1199,0)),"",INDEX('Compliance Database'!$O$2:$O$1199,MATCH(72,Engine!$C$2:$C$1199,0)))</f>
        <v/>
      </c>
      <c r="P85" s="6" t="str">
        <f>IF(ISNA(MATCH(72,Engine!$C$2:$C$1199,0)),"",HYPERLINK("#Acts!A"&amp;INDEX('Compliance Database'!$P$2:$P$1199,MATCH(72,Engine!$C$2:$C$1199,0)),"Go to Act"))</f>
        <v/>
      </c>
    </row>
    <row r="86" spans="1:16" ht="172.95" customHeight="1" x14ac:dyDescent="0.3">
      <c r="A86" s="6" t="str">
        <f>IF(ISNA(MATCH(73,Engine!$C$2:$C$1199,0)),"",INDEX('Compliance Database'!$A$2:$A$1199,MATCH(73,Engine!$C$2:$C$1199,0)))</f>
        <v/>
      </c>
      <c r="B86" s="6" t="str">
        <f>IF(ISNA(MATCH(73,Engine!$C$2:$C$1199,0)),"",INDEX('Compliance Database'!$B$2:$B$1199,MATCH(73,Engine!$C$2:$C$1199,0)))</f>
        <v/>
      </c>
      <c r="C86" s="6" t="str">
        <f>IF(ISNA(MATCH(73,Engine!$C$2:$C$1199,0)),"",INDEX('Compliance Database'!$C$2:$C$1199,MATCH(73,Engine!$C$2:$C$1199,0)))</f>
        <v/>
      </c>
      <c r="D86" s="7" t="str">
        <f>IF(ISNA(MATCH(73,Engine!$C$2:$C$1199,0)),"",INDEX('Compliance Database'!$D$2:$D$1199,MATCH(73,Engine!$C$2:$C$1199,0)))</f>
        <v/>
      </c>
      <c r="E86" s="6" t="str">
        <f>IF(ISNA(MATCH(73,Engine!$C$2:$C$1199,0)),"",INDEX('Compliance Database'!$E$2:$E$1199,MATCH(73,Engine!$C$2:$C$1199,0)))</f>
        <v/>
      </c>
      <c r="F86" s="6" t="str">
        <f>IF(ISNA(MATCH(73,Engine!$C$2:$C$1199,0)),"",INDEX('Compliance Database'!$F$2:$F$1199,MATCH(73,Engine!$C$2:$C$1199,0)))</f>
        <v/>
      </c>
      <c r="G86" s="6" t="str">
        <f>IF(ISNA(MATCH(73,Engine!$C$2:$C$1199,0)),"",INDEX('Compliance Database'!$G$2:$G$1199,MATCH(73,Engine!$C$2:$C$1199,0)))</f>
        <v/>
      </c>
      <c r="H86" s="7" t="str">
        <f>IF(ISNA(MATCH(73,Engine!$C$2:$C$1199,0)),"",INDEX('Compliance Database'!$H$2:$H$1199,MATCH(73,Engine!$C$2:$C$1199,0)))</f>
        <v/>
      </c>
      <c r="I86" s="7" t="str">
        <f>IF(ISNA(MATCH(73,Engine!$C$2:$C$1199,0)),"",INDEX('Compliance Database'!$I$2:$I$1199,MATCH(73,Engine!$C$2:$C$1199,0)))</f>
        <v/>
      </c>
      <c r="J86" s="6" t="str">
        <f>IF(ISNA(MATCH(73,Engine!$C$2:$C$1199,0)),"",INDEX('Compliance Database'!$J$2:$J$1199,MATCH(73,Engine!$C$2:$C$1199,0)))</f>
        <v/>
      </c>
      <c r="K86" s="7" t="str">
        <f>IF(ISNA(MATCH(73,Engine!$C$2:$C$1199,0)),"",INDEX('Compliance Database'!$K$2:$K$1199,MATCH(73,Engine!$C$2:$C$1199,0)))</f>
        <v/>
      </c>
      <c r="L86" s="7" t="str">
        <f>IF(ISNA(MATCH(73,Engine!$C$2:$C$1199,0)),"",INDEX('Compliance Database'!$L$2:$L$1199,MATCH(73,Engine!$C$2:$C$1199,0)))</f>
        <v/>
      </c>
      <c r="M86" s="7" t="str">
        <f>IF(ISNA(MATCH(73,Engine!$C$2:$C$1199,0)),"",INDEX('Compliance Database'!$M$2:$M$1199,MATCH(73,Engine!$C$2:$C$1199,0)))</f>
        <v/>
      </c>
      <c r="N86" s="7" t="str">
        <f>IF(ISNA(MATCH(73,Engine!$C$2:$C$1199,0)),"",INDEX('Compliance Database'!$N$2:$N$1199,MATCH(73,Engine!$C$2:$C$1199,0)))</f>
        <v/>
      </c>
      <c r="O86" s="7" t="str">
        <f>IF(ISNA(MATCH(73,Engine!$C$2:$C$1199,0)),"",INDEX('Compliance Database'!$O$2:$O$1199,MATCH(73,Engine!$C$2:$C$1199,0)))</f>
        <v/>
      </c>
      <c r="P86" s="6" t="str">
        <f>IF(ISNA(MATCH(73,Engine!$C$2:$C$1199,0)),"",HYPERLINK("#Acts!A"&amp;INDEX('Compliance Database'!$P$2:$P$1199,MATCH(73,Engine!$C$2:$C$1199,0)),"Go to Act"))</f>
        <v/>
      </c>
    </row>
    <row r="87" spans="1:16" ht="172.95" customHeight="1" x14ac:dyDescent="0.3">
      <c r="A87" s="6" t="str">
        <f>IF(ISNA(MATCH(74,Engine!$C$2:$C$1199,0)),"",INDEX('Compliance Database'!$A$2:$A$1199,MATCH(74,Engine!$C$2:$C$1199,0)))</f>
        <v/>
      </c>
      <c r="B87" s="6" t="str">
        <f>IF(ISNA(MATCH(74,Engine!$C$2:$C$1199,0)),"",INDEX('Compliance Database'!$B$2:$B$1199,MATCH(74,Engine!$C$2:$C$1199,0)))</f>
        <v/>
      </c>
      <c r="C87" s="6" t="str">
        <f>IF(ISNA(MATCH(74,Engine!$C$2:$C$1199,0)),"",INDEX('Compliance Database'!$C$2:$C$1199,MATCH(74,Engine!$C$2:$C$1199,0)))</f>
        <v/>
      </c>
      <c r="D87" s="7" t="str">
        <f>IF(ISNA(MATCH(74,Engine!$C$2:$C$1199,0)),"",INDEX('Compliance Database'!$D$2:$D$1199,MATCH(74,Engine!$C$2:$C$1199,0)))</f>
        <v/>
      </c>
      <c r="E87" s="6" t="str">
        <f>IF(ISNA(MATCH(74,Engine!$C$2:$C$1199,0)),"",INDEX('Compliance Database'!$E$2:$E$1199,MATCH(74,Engine!$C$2:$C$1199,0)))</f>
        <v/>
      </c>
      <c r="F87" s="6" t="str">
        <f>IF(ISNA(MATCH(74,Engine!$C$2:$C$1199,0)),"",INDEX('Compliance Database'!$F$2:$F$1199,MATCH(74,Engine!$C$2:$C$1199,0)))</f>
        <v/>
      </c>
      <c r="G87" s="6" t="str">
        <f>IF(ISNA(MATCH(74,Engine!$C$2:$C$1199,0)),"",INDEX('Compliance Database'!$G$2:$G$1199,MATCH(74,Engine!$C$2:$C$1199,0)))</f>
        <v/>
      </c>
      <c r="H87" s="7" t="str">
        <f>IF(ISNA(MATCH(74,Engine!$C$2:$C$1199,0)),"",INDEX('Compliance Database'!$H$2:$H$1199,MATCH(74,Engine!$C$2:$C$1199,0)))</f>
        <v/>
      </c>
      <c r="I87" s="7" t="str">
        <f>IF(ISNA(MATCH(74,Engine!$C$2:$C$1199,0)),"",INDEX('Compliance Database'!$I$2:$I$1199,MATCH(74,Engine!$C$2:$C$1199,0)))</f>
        <v/>
      </c>
      <c r="J87" s="6" t="str">
        <f>IF(ISNA(MATCH(74,Engine!$C$2:$C$1199,0)),"",INDEX('Compliance Database'!$J$2:$J$1199,MATCH(74,Engine!$C$2:$C$1199,0)))</f>
        <v/>
      </c>
      <c r="K87" s="7" t="str">
        <f>IF(ISNA(MATCH(74,Engine!$C$2:$C$1199,0)),"",INDEX('Compliance Database'!$K$2:$K$1199,MATCH(74,Engine!$C$2:$C$1199,0)))</f>
        <v/>
      </c>
      <c r="L87" s="7" t="str">
        <f>IF(ISNA(MATCH(74,Engine!$C$2:$C$1199,0)),"",INDEX('Compliance Database'!$L$2:$L$1199,MATCH(74,Engine!$C$2:$C$1199,0)))</f>
        <v/>
      </c>
      <c r="M87" s="7" t="str">
        <f>IF(ISNA(MATCH(74,Engine!$C$2:$C$1199,0)),"",INDEX('Compliance Database'!$M$2:$M$1199,MATCH(74,Engine!$C$2:$C$1199,0)))</f>
        <v/>
      </c>
      <c r="N87" s="7" t="str">
        <f>IF(ISNA(MATCH(74,Engine!$C$2:$C$1199,0)),"",INDEX('Compliance Database'!$N$2:$N$1199,MATCH(74,Engine!$C$2:$C$1199,0)))</f>
        <v/>
      </c>
      <c r="O87" s="7" t="str">
        <f>IF(ISNA(MATCH(74,Engine!$C$2:$C$1199,0)),"",INDEX('Compliance Database'!$O$2:$O$1199,MATCH(74,Engine!$C$2:$C$1199,0)))</f>
        <v/>
      </c>
      <c r="P87" s="6" t="str">
        <f>IF(ISNA(MATCH(74,Engine!$C$2:$C$1199,0)),"",HYPERLINK("#Acts!A"&amp;INDEX('Compliance Database'!$P$2:$P$1199,MATCH(74,Engine!$C$2:$C$1199,0)),"Go to Act"))</f>
        <v/>
      </c>
    </row>
    <row r="88" spans="1:16" ht="172.95" customHeight="1" x14ac:dyDescent="0.3">
      <c r="A88" s="6" t="str">
        <f>IF(ISNA(MATCH(75,Engine!$C$2:$C$1199,0)),"",INDEX('Compliance Database'!$A$2:$A$1199,MATCH(75,Engine!$C$2:$C$1199,0)))</f>
        <v/>
      </c>
      <c r="B88" s="6" t="str">
        <f>IF(ISNA(MATCH(75,Engine!$C$2:$C$1199,0)),"",INDEX('Compliance Database'!$B$2:$B$1199,MATCH(75,Engine!$C$2:$C$1199,0)))</f>
        <v/>
      </c>
      <c r="C88" s="6" t="str">
        <f>IF(ISNA(MATCH(75,Engine!$C$2:$C$1199,0)),"",INDEX('Compliance Database'!$C$2:$C$1199,MATCH(75,Engine!$C$2:$C$1199,0)))</f>
        <v/>
      </c>
      <c r="D88" s="7" t="str">
        <f>IF(ISNA(MATCH(75,Engine!$C$2:$C$1199,0)),"",INDEX('Compliance Database'!$D$2:$D$1199,MATCH(75,Engine!$C$2:$C$1199,0)))</f>
        <v/>
      </c>
      <c r="E88" s="6" t="str">
        <f>IF(ISNA(MATCH(75,Engine!$C$2:$C$1199,0)),"",INDEX('Compliance Database'!$E$2:$E$1199,MATCH(75,Engine!$C$2:$C$1199,0)))</f>
        <v/>
      </c>
      <c r="F88" s="6" t="str">
        <f>IF(ISNA(MATCH(75,Engine!$C$2:$C$1199,0)),"",INDEX('Compliance Database'!$F$2:$F$1199,MATCH(75,Engine!$C$2:$C$1199,0)))</f>
        <v/>
      </c>
      <c r="G88" s="6" t="str">
        <f>IF(ISNA(MATCH(75,Engine!$C$2:$C$1199,0)),"",INDEX('Compliance Database'!$G$2:$G$1199,MATCH(75,Engine!$C$2:$C$1199,0)))</f>
        <v/>
      </c>
      <c r="H88" s="7" t="str">
        <f>IF(ISNA(MATCH(75,Engine!$C$2:$C$1199,0)),"",INDEX('Compliance Database'!$H$2:$H$1199,MATCH(75,Engine!$C$2:$C$1199,0)))</f>
        <v/>
      </c>
      <c r="I88" s="7" t="str">
        <f>IF(ISNA(MATCH(75,Engine!$C$2:$C$1199,0)),"",INDEX('Compliance Database'!$I$2:$I$1199,MATCH(75,Engine!$C$2:$C$1199,0)))</f>
        <v/>
      </c>
      <c r="J88" s="6" t="str">
        <f>IF(ISNA(MATCH(75,Engine!$C$2:$C$1199,0)),"",INDEX('Compliance Database'!$J$2:$J$1199,MATCH(75,Engine!$C$2:$C$1199,0)))</f>
        <v/>
      </c>
      <c r="K88" s="7" t="str">
        <f>IF(ISNA(MATCH(75,Engine!$C$2:$C$1199,0)),"",INDEX('Compliance Database'!$K$2:$K$1199,MATCH(75,Engine!$C$2:$C$1199,0)))</f>
        <v/>
      </c>
      <c r="L88" s="7" t="str">
        <f>IF(ISNA(MATCH(75,Engine!$C$2:$C$1199,0)),"",INDEX('Compliance Database'!$L$2:$L$1199,MATCH(75,Engine!$C$2:$C$1199,0)))</f>
        <v/>
      </c>
      <c r="M88" s="7" t="str">
        <f>IF(ISNA(MATCH(75,Engine!$C$2:$C$1199,0)),"",INDEX('Compliance Database'!$M$2:$M$1199,MATCH(75,Engine!$C$2:$C$1199,0)))</f>
        <v/>
      </c>
      <c r="N88" s="7" t="str">
        <f>IF(ISNA(MATCH(75,Engine!$C$2:$C$1199,0)),"",INDEX('Compliance Database'!$N$2:$N$1199,MATCH(75,Engine!$C$2:$C$1199,0)))</f>
        <v/>
      </c>
      <c r="O88" s="7" t="str">
        <f>IF(ISNA(MATCH(75,Engine!$C$2:$C$1199,0)),"",INDEX('Compliance Database'!$O$2:$O$1199,MATCH(75,Engine!$C$2:$C$1199,0)))</f>
        <v/>
      </c>
      <c r="P88" s="6" t="str">
        <f>IF(ISNA(MATCH(75,Engine!$C$2:$C$1199,0)),"",HYPERLINK("#Acts!A"&amp;INDEX('Compliance Database'!$P$2:$P$1199,MATCH(75,Engine!$C$2:$C$1199,0)),"Go to Act"))</f>
        <v/>
      </c>
    </row>
    <row r="89" spans="1:16" ht="172.95" customHeight="1" x14ac:dyDescent="0.3">
      <c r="A89" s="6" t="str">
        <f>IF(ISNA(MATCH(76,Engine!$C$2:$C$1199,0)),"",INDEX('Compliance Database'!$A$2:$A$1199,MATCH(76,Engine!$C$2:$C$1199,0)))</f>
        <v/>
      </c>
      <c r="B89" s="6" t="str">
        <f>IF(ISNA(MATCH(76,Engine!$C$2:$C$1199,0)),"",INDEX('Compliance Database'!$B$2:$B$1199,MATCH(76,Engine!$C$2:$C$1199,0)))</f>
        <v/>
      </c>
      <c r="C89" s="6" t="str">
        <f>IF(ISNA(MATCH(76,Engine!$C$2:$C$1199,0)),"",INDEX('Compliance Database'!$C$2:$C$1199,MATCH(76,Engine!$C$2:$C$1199,0)))</f>
        <v/>
      </c>
      <c r="D89" s="7" t="str">
        <f>IF(ISNA(MATCH(76,Engine!$C$2:$C$1199,0)),"",INDEX('Compliance Database'!$D$2:$D$1199,MATCH(76,Engine!$C$2:$C$1199,0)))</f>
        <v/>
      </c>
      <c r="E89" s="6" t="str">
        <f>IF(ISNA(MATCH(76,Engine!$C$2:$C$1199,0)),"",INDEX('Compliance Database'!$E$2:$E$1199,MATCH(76,Engine!$C$2:$C$1199,0)))</f>
        <v/>
      </c>
      <c r="F89" s="6" t="str">
        <f>IF(ISNA(MATCH(76,Engine!$C$2:$C$1199,0)),"",INDEX('Compliance Database'!$F$2:$F$1199,MATCH(76,Engine!$C$2:$C$1199,0)))</f>
        <v/>
      </c>
      <c r="G89" s="6" t="str">
        <f>IF(ISNA(MATCH(76,Engine!$C$2:$C$1199,0)),"",INDEX('Compliance Database'!$G$2:$G$1199,MATCH(76,Engine!$C$2:$C$1199,0)))</f>
        <v/>
      </c>
      <c r="H89" s="7" t="str">
        <f>IF(ISNA(MATCH(76,Engine!$C$2:$C$1199,0)),"",INDEX('Compliance Database'!$H$2:$H$1199,MATCH(76,Engine!$C$2:$C$1199,0)))</f>
        <v/>
      </c>
      <c r="I89" s="7" t="str">
        <f>IF(ISNA(MATCH(76,Engine!$C$2:$C$1199,0)),"",INDEX('Compliance Database'!$I$2:$I$1199,MATCH(76,Engine!$C$2:$C$1199,0)))</f>
        <v/>
      </c>
      <c r="J89" s="6" t="str">
        <f>IF(ISNA(MATCH(76,Engine!$C$2:$C$1199,0)),"",INDEX('Compliance Database'!$J$2:$J$1199,MATCH(76,Engine!$C$2:$C$1199,0)))</f>
        <v/>
      </c>
      <c r="K89" s="7" t="str">
        <f>IF(ISNA(MATCH(76,Engine!$C$2:$C$1199,0)),"",INDEX('Compliance Database'!$K$2:$K$1199,MATCH(76,Engine!$C$2:$C$1199,0)))</f>
        <v/>
      </c>
      <c r="L89" s="7" t="str">
        <f>IF(ISNA(MATCH(76,Engine!$C$2:$C$1199,0)),"",INDEX('Compliance Database'!$L$2:$L$1199,MATCH(76,Engine!$C$2:$C$1199,0)))</f>
        <v/>
      </c>
      <c r="M89" s="7" t="str">
        <f>IF(ISNA(MATCH(76,Engine!$C$2:$C$1199,0)),"",INDEX('Compliance Database'!$M$2:$M$1199,MATCH(76,Engine!$C$2:$C$1199,0)))</f>
        <v/>
      </c>
      <c r="N89" s="7" t="str">
        <f>IF(ISNA(MATCH(76,Engine!$C$2:$C$1199,0)),"",INDEX('Compliance Database'!$N$2:$N$1199,MATCH(76,Engine!$C$2:$C$1199,0)))</f>
        <v/>
      </c>
      <c r="O89" s="7" t="str">
        <f>IF(ISNA(MATCH(76,Engine!$C$2:$C$1199,0)),"",INDEX('Compliance Database'!$O$2:$O$1199,MATCH(76,Engine!$C$2:$C$1199,0)))</f>
        <v/>
      </c>
      <c r="P89" s="6" t="str">
        <f>IF(ISNA(MATCH(76,Engine!$C$2:$C$1199,0)),"",HYPERLINK("#Acts!A"&amp;INDEX('Compliance Database'!$P$2:$P$1199,MATCH(76,Engine!$C$2:$C$1199,0)),"Go to Act"))</f>
        <v/>
      </c>
    </row>
    <row r="90" spans="1:16" ht="172.95" customHeight="1" x14ac:dyDescent="0.3">
      <c r="A90" s="6" t="str">
        <f>IF(ISNA(MATCH(77,Engine!$C$2:$C$1199,0)),"",INDEX('Compliance Database'!$A$2:$A$1199,MATCH(77,Engine!$C$2:$C$1199,0)))</f>
        <v/>
      </c>
      <c r="B90" s="6" t="str">
        <f>IF(ISNA(MATCH(77,Engine!$C$2:$C$1199,0)),"",INDEX('Compliance Database'!$B$2:$B$1199,MATCH(77,Engine!$C$2:$C$1199,0)))</f>
        <v/>
      </c>
      <c r="C90" s="6" t="str">
        <f>IF(ISNA(MATCH(77,Engine!$C$2:$C$1199,0)),"",INDEX('Compliance Database'!$C$2:$C$1199,MATCH(77,Engine!$C$2:$C$1199,0)))</f>
        <v/>
      </c>
      <c r="D90" s="7" t="str">
        <f>IF(ISNA(MATCH(77,Engine!$C$2:$C$1199,0)),"",INDEX('Compliance Database'!$D$2:$D$1199,MATCH(77,Engine!$C$2:$C$1199,0)))</f>
        <v/>
      </c>
      <c r="E90" s="6" t="str">
        <f>IF(ISNA(MATCH(77,Engine!$C$2:$C$1199,0)),"",INDEX('Compliance Database'!$E$2:$E$1199,MATCH(77,Engine!$C$2:$C$1199,0)))</f>
        <v/>
      </c>
      <c r="F90" s="6" t="str">
        <f>IF(ISNA(MATCH(77,Engine!$C$2:$C$1199,0)),"",INDEX('Compliance Database'!$F$2:$F$1199,MATCH(77,Engine!$C$2:$C$1199,0)))</f>
        <v/>
      </c>
      <c r="G90" s="6" t="str">
        <f>IF(ISNA(MATCH(77,Engine!$C$2:$C$1199,0)),"",INDEX('Compliance Database'!$G$2:$G$1199,MATCH(77,Engine!$C$2:$C$1199,0)))</f>
        <v/>
      </c>
      <c r="H90" s="7" t="str">
        <f>IF(ISNA(MATCH(77,Engine!$C$2:$C$1199,0)),"",INDEX('Compliance Database'!$H$2:$H$1199,MATCH(77,Engine!$C$2:$C$1199,0)))</f>
        <v/>
      </c>
      <c r="I90" s="7" t="str">
        <f>IF(ISNA(MATCH(77,Engine!$C$2:$C$1199,0)),"",INDEX('Compliance Database'!$I$2:$I$1199,MATCH(77,Engine!$C$2:$C$1199,0)))</f>
        <v/>
      </c>
      <c r="J90" s="6" t="str">
        <f>IF(ISNA(MATCH(77,Engine!$C$2:$C$1199,0)),"",INDEX('Compliance Database'!$J$2:$J$1199,MATCH(77,Engine!$C$2:$C$1199,0)))</f>
        <v/>
      </c>
      <c r="K90" s="7" t="str">
        <f>IF(ISNA(MATCH(77,Engine!$C$2:$C$1199,0)),"",INDEX('Compliance Database'!$K$2:$K$1199,MATCH(77,Engine!$C$2:$C$1199,0)))</f>
        <v/>
      </c>
      <c r="L90" s="7" t="str">
        <f>IF(ISNA(MATCH(77,Engine!$C$2:$C$1199,0)),"",INDEX('Compliance Database'!$L$2:$L$1199,MATCH(77,Engine!$C$2:$C$1199,0)))</f>
        <v/>
      </c>
      <c r="M90" s="7" t="str">
        <f>IF(ISNA(MATCH(77,Engine!$C$2:$C$1199,0)),"",INDEX('Compliance Database'!$M$2:$M$1199,MATCH(77,Engine!$C$2:$C$1199,0)))</f>
        <v/>
      </c>
      <c r="N90" s="7" t="str">
        <f>IF(ISNA(MATCH(77,Engine!$C$2:$C$1199,0)),"",INDEX('Compliance Database'!$N$2:$N$1199,MATCH(77,Engine!$C$2:$C$1199,0)))</f>
        <v/>
      </c>
      <c r="O90" s="7" t="str">
        <f>IF(ISNA(MATCH(77,Engine!$C$2:$C$1199,0)),"",INDEX('Compliance Database'!$O$2:$O$1199,MATCH(77,Engine!$C$2:$C$1199,0)))</f>
        <v/>
      </c>
      <c r="P90" s="6" t="str">
        <f>IF(ISNA(MATCH(77,Engine!$C$2:$C$1199,0)),"",HYPERLINK("#Acts!A"&amp;INDEX('Compliance Database'!$P$2:$P$1199,MATCH(77,Engine!$C$2:$C$1199,0)),"Go to Act"))</f>
        <v/>
      </c>
    </row>
    <row r="91" spans="1:16" ht="172.95" customHeight="1" x14ac:dyDescent="0.3">
      <c r="A91" s="6" t="str">
        <f>IF(ISNA(MATCH(78,Engine!$C$2:$C$1199,0)),"",INDEX('Compliance Database'!$A$2:$A$1199,MATCH(78,Engine!$C$2:$C$1199,0)))</f>
        <v/>
      </c>
      <c r="B91" s="6" t="str">
        <f>IF(ISNA(MATCH(78,Engine!$C$2:$C$1199,0)),"",INDEX('Compliance Database'!$B$2:$B$1199,MATCH(78,Engine!$C$2:$C$1199,0)))</f>
        <v/>
      </c>
      <c r="C91" s="6" t="str">
        <f>IF(ISNA(MATCH(78,Engine!$C$2:$C$1199,0)),"",INDEX('Compliance Database'!$C$2:$C$1199,MATCH(78,Engine!$C$2:$C$1199,0)))</f>
        <v/>
      </c>
      <c r="D91" s="7" t="str">
        <f>IF(ISNA(MATCH(78,Engine!$C$2:$C$1199,0)),"",INDEX('Compliance Database'!$D$2:$D$1199,MATCH(78,Engine!$C$2:$C$1199,0)))</f>
        <v/>
      </c>
      <c r="E91" s="6" t="str">
        <f>IF(ISNA(MATCH(78,Engine!$C$2:$C$1199,0)),"",INDEX('Compliance Database'!$E$2:$E$1199,MATCH(78,Engine!$C$2:$C$1199,0)))</f>
        <v/>
      </c>
      <c r="F91" s="6" t="str">
        <f>IF(ISNA(MATCH(78,Engine!$C$2:$C$1199,0)),"",INDEX('Compliance Database'!$F$2:$F$1199,MATCH(78,Engine!$C$2:$C$1199,0)))</f>
        <v/>
      </c>
      <c r="G91" s="6" t="str">
        <f>IF(ISNA(MATCH(78,Engine!$C$2:$C$1199,0)),"",INDEX('Compliance Database'!$G$2:$G$1199,MATCH(78,Engine!$C$2:$C$1199,0)))</f>
        <v/>
      </c>
      <c r="H91" s="7" t="str">
        <f>IF(ISNA(MATCH(78,Engine!$C$2:$C$1199,0)),"",INDEX('Compliance Database'!$H$2:$H$1199,MATCH(78,Engine!$C$2:$C$1199,0)))</f>
        <v/>
      </c>
      <c r="I91" s="7" t="str">
        <f>IF(ISNA(MATCH(78,Engine!$C$2:$C$1199,0)),"",INDEX('Compliance Database'!$I$2:$I$1199,MATCH(78,Engine!$C$2:$C$1199,0)))</f>
        <v/>
      </c>
      <c r="J91" s="6" t="str">
        <f>IF(ISNA(MATCH(78,Engine!$C$2:$C$1199,0)),"",INDEX('Compliance Database'!$J$2:$J$1199,MATCH(78,Engine!$C$2:$C$1199,0)))</f>
        <v/>
      </c>
      <c r="K91" s="7" t="str">
        <f>IF(ISNA(MATCH(78,Engine!$C$2:$C$1199,0)),"",INDEX('Compliance Database'!$K$2:$K$1199,MATCH(78,Engine!$C$2:$C$1199,0)))</f>
        <v/>
      </c>
      <c r="L91" s="7" t="str">
        <f>IF(ISNA(MATCH(78,Engine!$C$2:$C$1199,0)),"",INDEX('Compliance Database'!$L$2:$L$1199,MATCH(78,Engine!$C$2:$C$1199,0)))</f>
        <v/>
      </c>
      <c r="M91" s="7" t="str">
        <f>IF(ISNA(MATCH(78,Engine!$C$2:$C$1199,0)),"",INDEX('Compliance Database'!$M$2:$M$1199,MATCH(78,Engine!$C$2:$C$1199,0)))</f>
        <v/>
      </c>
      <c r="N91" s="7" t="str">
        <f>IF(ISNA(MATCH(78,Engine!$C$2:$C$1199,0)),"",INDEX('Compliance Database'!$N$2:$N$1199,MATCH(78,Engine!$C$2:$C$1199,0)))</f>
        <v/>
      </c>
      <c r="O91" s="7" t="str">
        <f>IF(ISNA(MATCH(78,Engine!$C$2:$C$1199,0)),"",INDEX('Compliance Database'!$O$2:$O$1199,MATCH(78,Engine!$C$2:$C$1199,0)))</f>
        <v/>
      </c>
      <c r="P91" s="6" t="str">
        <f>IF(ISNA(MATCH(78,Engine!$C$2:$C$1199,0)),"",HYPERLINK("#Acts!A"&amp;INDEX('Compliance Database'!$P$2:$P$1199,MATCH(78,Engine!$C$2:$C$1199,0)),"Go to Act"))</f>
        <v/>
      </c>
    </row>
    <row r="92" spans="1:16" ht="172.95" customHeight="1" x14ac:dyDescent="0.3">
      <c r="A92" s="6" t="str">
        <f>IF(ISNA(MATCH(79,Engine!$C$2:$C$1199,0)),"",INDEX('Compliance Database'!$A$2:$A$1199,MATCH(79,Engine!$C$2:$C$1199,0)))</f>
        <v/>
      </c>
      <c r="B92" s="6" t="str">
        <f>IF(ISNA(MATCH(79,Engine!$C$2:$C$1199,0)),"",INDEX('Compliance Database'!$B$2:$B$1199,MATCH(79,Engine!$C$2:$C$1199,0)))</f>
        <v/>
      </c>
      <c r="C92" s="6" t="str">
        <f>IF(ISNA(MATCH(79,Engine!$C$2:$C$1199,0)),"",INDEX('Compliance Database'!$C$2:$C$1199,MATCH(79,Engine!$C$2:$C$1199,0)))</f>
        <v/>
      </c>
      <c r="D92" s="7" t="str">
        <f>IF(ISNA(MATCH(79,Engine!$C$2:$C$1199,0)),"",INDEX('Compliance Database'!$D$2:$D$1199,MATCH(79,Engine!$C$2:$C$1199,0)))</f>
        <v/>
      </c>
      <c r="E92" s="6" t="str">
        <f>IF(ISNA(MATCH(79,Engine!$C$2:$C$1199,0)),"",INDEX('Compliance Database'!$E$2:$E$1199,MATCH(79,Engine!$C$2:$C$1199,0)))</f>
        <v/>
      </c>
      <c r="F92" s="6" t="str">
        <f>IF(ISNA(MATCH(79,Engine!$C$2:$C$1199,0)),"",INDEX('Compliance Database'!$F$2:$F$1199,MATCH(79,Engine!$C$2:$C$1199,0)))</f>
        <v/>
      </c>
      <c r="G92" s="6" t="str">
        <f>IF(ISNA(MATCH(79,Engine!$C$2:$C$1199,0)),"",INDEX('Compliance Database'!$G$2:$G$1199,MATCH(79,Engine!$C$2:$C$1199,0)))</f>
        <v/>
      </c>
      <c r="H92" s="7" t="str">
        <f>IF(ISNA(MATCH(79,Engine!$C$2:$C$1199,0)),"",INDEX('Compliance Database'!$H$2:$H$1199,MATCH(79,Engine!$C$2:$C$1199,0)))</f>
        <v/>
      </c>
      <c r="I92" s="7" t="str">
        <f>IF(ISNA(MATCH(79,Engine!$C$2:$C$1199,0)),"",INDEX('Compliance Database'!$I$2:$I$1199,MATCH(79,Engine!$C$2:$C$1199,0)))</f>
        <v/>
      </c>
      <c r="J92" s="6" t="str">
        <f>IF(ISNA(MATCH(79,Engine!$C$2:$C$1199,0)),"",INDEX('Compliance Database'!$J$2:$J$1199,MATCH(79,Engine!$C$2:$C$1199,0)))</f>
        <v/>
      </c>
      <c r="K92" s="7" t="str">
        <f>IF(ISNA(MATCH(79,Engine!$C$2:$C$1199,0)),"",INDEX('Compliance Database'!$K$2:$K$1199,MATCH(79,Engine!$C$2:$C$1199,0)))</f>
        <v/>
      </c>
      <c r="L92" s="7" t="str">
        <f>IF(ISNA(MATCH(79,Engine!$C$2:$C$1199,0)),"",INDEX('Compliance Database'!$L$2:$L$1199,MATCH(79,Engine!$C$2:$C$1199,0)))</f>
        <v/>
      </c>
      <c r="M92" s="7" t="str">
        <f>IF(ISNA(MATCH(79,Engine!$C$2:$C$1199,0)),"",INDEX('Compliance Database'!$M$2:$M$1199,MATCH(79,Engine!$C$2:$C$1199,0)))</f>
        <v/>
      </c>
      <c r="N92" s="7" t="str">
        <f>IF(ISNA(MATCH(79,Engine!$C$2:$C$1199,0)),"",INDEX('Compliance Database'!$N$2:$N$1199,MATCH(79,Engine!$C$2:$C$1199,0)))</f>
        <v/>
      </c>
      <c r="O92" s="7" t="str">
        <f>IF(ISNA(MATCH(79,Engine!$C$2:$C$1199,0)),"",INDEX('Compliance Database'!$O$2:$O$1199,MATCH(79,Engine!$C$2:$C$1199,0)))</f>
        <v/>
      </c>
      <c r="P92" s="6" t="str">
        <f>IF(ISNA(MATCH(79,Engine!$C$2:$C$1199,0)),"",HYPERLINK("#Acts!A"&amp;INDEX('Compliance Database'!$P$2:$P$1199,MATCH(79,Engine!$C$2:$C$1199,0)),"Go to Act"))</f>
        <v/>
      </c>
    </row>
    <row r="93" spans="1:16" ht="172.95" customHeight="1" x14ac:dyDescent="0.3">
      <c r="A93" s="6" t="str">
        <f>IF(ISNA(MATCH(80,Engine!$C$2:$C$1199,0)),"",INDEX('Compliance Database'!$A$2:$A$1199,MATCH(80,Engine!$C$2:$C$1199,0)))</f>
        <v/>
      </c>
      <c r="B93" s="6" t="str">
        <f>IF(ISNA(MATCH(80,Engine!$C$2:$C$1199,0)),"",INDEX('Compliance Database'!$B$2:$B$1199,MATCH(80,Engine!$C$2:$C$1199,0)))</f>
        <v/>
      </c>
      <c r="C93" s="6" t="str">
        <f>IF(ISNA(MATCH(80,Engine!$C$2:$C$1199,0)),"",INDEX('Compliance Database'!$C$2:$C$1199,MATCH(80,Engine!$C$2:$C$1199,0)))</f>
        <v/>
      </c>
      <c r="D93" s="7" t="str">
        <f>IF(ISNA(MATCH(80,Engine!$C$2:$C$1199,0)),"",INDEX('Compliance Database'!$D$2:$D$1199,MATCH(80,Engine!$C$2:$C$1199,0)))</f>
        <v/>
      </c>
      <c r="E93" s="6" t="str">
        <f>IF(ISNA(MATCH(80,Engine!$C$2:$C$1199,0)),"",INDEX('Compliance Database'!$E$2:$E$1199,MATCH(80,Engine!$C$2:$C$1199,0)))</f>
        <v/>
      </c>
      <c r="F93" s="6" t="str">
        <f>IF(ISNA(MATCH(80,Engine!$C$2:$C$1199,0)),"",INDEX('Compliance Database'!$F$2:$F$1199,MATCH(80,Engine!$C$2:$C$1199,0)))</f>
        <v/>
      </c>
      <c r="G93" s="6" t="str">
        <f>IF(ISNA(MATCH(80,Engine!$C$2:$C$1199,0)),"",INDEX('Compliance Database'!$G$2:$G$1199,MATCH(80,Engine!$C$2:$C$1199,0)))</f>
        <v/>
      </c>
      <c r="H93" s="7" t="str">
        <f>IF(ISNA(MATCH(80,Engine!$C$2:$C$1199,0)),"",INDEX('Compliance Database'!$H$2:$H$1199,MATCH(80,Engine!$C$2:$C$1199,0)))</f>
        <v/>
      </c>
      <c r="I93" s="7" t="str">
        <f>IF(ISNA(MATCH(80,Engine!$C$2:$C$1199,0)),"",INDEX('Compliance Database'!$I$2:$I$1199,MATCH(80,Engine!$C$2:$C$1199,0)))</f>
        <v/>
      </c>
      <c r="J93" s="6" t="str">
        <f>IF(ISNA(MATCH(80,Engine!$C$2:$C$1199,0)),"",INDEX('Compliance Database'!$J$2:$J$1199,MATCH(80,Engine!$C$2:$C$1199,0)))</f>
        <v/>
      </c>
      <c r="K93" s="7" t="str">
        <f>IF(ISNA(MATCH(80,Engine!$C$2:$C$1199,0)),"",INDEX('Compliance Database'!$K$2:$K$1199,MATCH(80,Engine!$C$2:$C$1199,0)))</f>
        <v/>
      </c>
      <c r="L93" s="7" t="str">
        <f>IF(ISNA(MATCH(80,Engine!$C$2:$C$1199,0)),"",INDEX('Compliance Database'!$L$2:$L$1199,MATCH(80,Engine!$C$2:$C$1199,0)))</f>
        <v/>
      </c>
      <c r="M93" s="7" t="str">
        <f>IF(ISNA(MATCH(80,Engine!$C$2:$C$1199,0)),"",INDEX('Compliance Database'!$M$2:$M$1199,MATCH(80,Engine!$C$2:$C$1199,0)))</f>
        <v/>
      </c>
      <c r="N93" s="7" t="str">
        <f>IF(ISNA(MATCH(80,Engine!$C$2:$C$1199,0)),"",INDEX('Compliance Database'!$N$2:$N$1199,MATCH(80,Engine!$C$2:$C$1199,0)))</f>
        <v/>
      </c>
      <c r="O93" s="7" t="str">
        <f>IF(ISNA(MATCH(80,Engine!$C$2:$C$1199,0)),"",INDEX('Compliance Database'!$O$2:$O$1199,MATCH(80,Engine!$C$2:$C$1199,0)))</f>
        <v/>
      </c>
      <c r="P93" s="6" t="str">
        <f>IF(ISNA(MATCH(80,Engine!$C$2:$C$1199,0)),"",HYPERLINK("#Acts!A"&amp;INDEX('Compliance Database'!$P$2:$P$1199,MATCH(80,Engine!$C$2:$C$1199,0)),"Go to Act"))</f>
        <v/>
      </c>
    </row>
    <row r="94" spans="1:16" ht="172.95" customHeight="1" x14ac:dyDescent="0.3">
      <c r="A94" s="6" t="str">
        <f>IF(ISNA(MATCH(81,Engine!$C$2:$C$1199,0)),"",INDEX('Compliance Database'!$A$2:$A$1199,MATCH(81,Engine!$C$2:$C$1199,0)))</f>
        <v/>
      </c>
      <c r="B94" s="6" t="str">
        <f>IF(ISNA(MATCH(81,Engine!$C$2:$C$1199,0)),"",INDEX('Compliance Database'!$B$2:$B$1199,MATCH(81,Engine!$C$2:$C$1199,0)))</f>
        <v/>
      </c>
      <c r="C94" s="6" t="str">
        <f>IF(ISNA(MATCH(81,Engine!$C$2:$C$1199,0)),"",INDEX('Compliance Database'!$C$2:$C$1199,MATCH(81,Engine!$C$2:$C$1199,0)))</f>
        <v/>
      </c>
      <c r="D94" s="7" t="str">
        <f>IF(ISNA(MATCH(81,Engine!$C$2:$C$1199,0)),"",INDEX('Compliance Database'!$D$2:$D$1199,MATCH(81,Engine!$C$2:$C$1199,0)))</f>
        <v/>
      </c>
      <c r="E94" s="6" t="str">
        <f>IF(ISNA(MATCH(81,Engine!$C$2:$C$1199,0)),"",INDEX('Compliance Database'!$E$2:$E$1199,MATCH(81,Engine!$C$2:$C$1199,0)))</f>
        <v/>
      </c>
      <c r="F94" s="6" t="str">
        <f>IF(ISNA(MATCH(81,Engine!$C$2:$C$1199,0)),"",INDEX('Compliance Database'!$F$2:$F$1199,MATCH(81,Engine!$C$2:$C$1199,0)))</f>
        <v/>
      </c>
      <c r="G94" s="6" t="str">
        <f>IF(ISNA(MATCH(81,Engine!$C$2:$C$1199,0)),"",INDEX('Compliance Database'!$G$2:$G$1199,MATCH(81,Engine!$C$2:$C$1199,0)))</f>
        <v/>
      </c>
      <c r="H94" s="7" t="str">
        <f>IF(ISNA(MATCH(81,Engine!$C$2:$C$1199,0)),"",INDEX('Compliance Database'!$H$2:$H$1199,MATCH(81,Engine!$C$2:$C$1199,0)))</f>
        <v/>
      </c>
      <c r="I94" s="7" t="str">
        <f>IF(ISNA(MATCH(81,Engine!$C$2:$C$1199,0)),"",INDEX('Compliance Database'!$I$2:$I$1199,MATCH(81,Engine!$C$2:$C$1199,0)))</f>
        <v/>
      </c>
      <c r="J94" s="6" t="str">
        <f>IF(ISNA(MATCH(81,Engine!$C$2:$C$1199,0)),"",INDEX('Compliance Database'!$J$2:$J$1199,MATCH(81,Engine!$C$2:$C$1199,0)))</f>
        <v/>
      </c>
      <c r="K94" s="7" t="str">
        <f>IF(ISNA(MATCH(81,Engine!$C$2:$C$1199,0)),"",INDEX('Compliance Database'!$K$2:$K$1199,MATCH(81,Engine!$C$2:$C$1199,0)))</f>
        <v/>
      </c>
      <c r="L94" s="7" t="str">
        <f>IF(ISNA(MATCH(81,Engine!$C$2:$C$1199,0)),"",INDEX('Compliance Database'!$L$2:$L$1199,MATCH(81,Engine!$C$2:$C$1199,0)))</f>
        <v/>
      </c>
      <c r="M94" s="7" t="str">
        <f>IF(ISNA(MATCH(81,Engine!$C$2:$C$1199,0)),"",INDEX('Compliance Database'!$M$2:$M$1199,MATCH(81,Engine!$C$2:$C$1199,0)))</f>
        <v/>
      </c>
      <c r="N94" s="7" t="str">
        <f>IF(ISNA(MATCH(81,Engine!$C$2:$C$1199,0)),"",INDEX('Compliance Database'!$N$2:$N$1199,MATCH(81,Engine!$C$2:$C$1199,0)))</f>
        <v/>
      </c>
      <c r="O94" s="7" t="str">
        <f>IF(ISNA(MATCH(81,Engine!$C$2:$C$1199,0)),"",INDEX('Compliance Database'!$O$2:$O$1199,MATCH(81,Engine!$C$2:$C$1199,0)))</f>
        <v/>
      </c>
      <c r="P94" s="6" t="str">
        <f>IF(ISNA(MATCH(81,Engine!$C$2:$C$1199,0)),"",HYPERLINK("#Acts!A"&amp;INDEX('Compliance Database'!$P$2:$P$1199,MATCH(81,Engine!$C$2:$C$1199,0)),"Go to Act"))</f>
        <v/>
      </c>
    </row>
    <row r="95" spans="1:16" ht="172.95" customHeight="1" x14ac:dyDescent="0.3">
      <c r="A95" s="6" t="str">
        <f>IF(ISNA(MATCH(82,Engine!$C$2:$C$1199,0)),"",INDEX('Compliance Database'!$A$2:$A$1199,MATCH(82,Engine!$C$2:$C$1199,0)))</f>
        <v/>
      </c>
      <c r="B95" s="6" t="str">
        <f>IF(ISNA(MATCH(82,Engine!$C$2:$C$1199,0)),"",INDEX('Compliance Database'!$B$2:$B$1199,MATCH(82,Engine!$C$2:$C$1199,0)))</f>
        <v/>
      </c>
      <c r="C95" s="6" t="str">
        <f>IF(ISNA(MATCH(82,Engine!$C$2:$C$1199,0)),"",INDEX('Compliance Database'!$C$2:$C$1199,MATCH(82,Engine!$C$2:$C$1199,0)))</f>
        <v/>
      </c>
      <c r="D95" s="7" t="str">
        <f>IF(ISNA(MATCH(82,Engine!$C$2:$C$1199,0)),"",INDEX('Compliance Database'!$D$2:$D$1199,MATCH(82,Engine!$C$2:$C$1199,0)))</f>
        <v/>
      </c>
      <c r="E95" s="6" t="str">
        <f>IF(ISNA(MATCH(82,Engine!$C$2:$C$1199,0)),"",INDEX('Compliance Database'!$E$2:$E$1199,MATCH(82,Engine!$C$2:$C$1199,0)))</f>
        <v/>
      </c>
      <c r="F95" s="6" t="str">
        <f>IF(ISNA(MATCH(82,Engine!$C$2:$C$1199,0)),"",INDEX('Compliance Database'!$F$2:$F$1199,MATCH(82,Engine!$C$2:$C$1199,0)))</f>
        <v/>
      </c>
      <c r="G95" s="6" t="str">
        <f>IF(ISNA(MATCH(82,Engine!$C$2:$C$1199,0)),"",INDEX('Compliance Database'!$G$2:$G$1199,MATCH(82,Engine!$C$2:$C$1199,0)))</f>
        <v/>
      </c>
      <c r="H95" s="7" t="str">
        <f>IF(ISNA(MATCH(82,Engine!$C$2:$C$1199,0)),"",INDEX('Compliance Database'!$H$2:$H$1199,MATCH(82,Engine!$C$2:$C$1199,0)))</f>
        <v/>
      </c>
      <c r="I95" s="7" t="str">
        <f>IF(ISNA(MATCH(82,Engine!$C$2:$C$1199,0)),"",INDEX('Compliance Database'!$I$2:$I$1199,MATCH(82,Engine!$C$2:$C$1199,0)))</f>
        <v/>
      </c>
      <c r="J95" s="6" t="str">
        <f>IF(ISNA(MATCH(82,Engine!$C$2:$C$1199,0)),"",INDEX('Compliance Database'!$J$2:$J$1199,MATCH(82,Engine!$C$2:$C$1199,0)))</f>
        <v/>
      </c>
      <c r="K95" s="7" t="str">
        <f>IF(ISNA(MATCH(82,Engine!$C$2:$C$1199,0)),"",INDEX('Compliance Database'!$K$2:$K$1199,MATCH(82,Engine!$C$2:$C$1199,0)))</f>
        <v/>
      </c>
      <c r="L95" s="7" t="str">
        <f>IF(ISNA(MATCH(82,Engine!$C$2:$C$1199,0)),"",INDEX('Compliance Database'!$L$2:$L$1199,MATCH(82,Engine!$C$2:$C$1199,0)))</f>
        <v/>
      </c>
      <c r="M95" s="7" t="str">
        <f>IF(ISNA(MATCH(82,Engine!$C$2:$C$1199,0)),"",INDEX('Compliance Database'!$M$2:$M$1199,MATCH(82,Engine!$C$2:$C$1199,0)))</f>
        <v/>
      </c>
      <c r="N95" s="7" t="str">
        <f>IF(ISNA(MATCH(82,Engine!$C$2:$C$1199,0)),"",INDEX('Compliance Database'!$N$2:$N$1199,MATCH(82,Engine!$C$2:$C$1199,0)))</f>
        <v/>
      </c>
      <c r="O95" s="7" t="str">
        <f>IF(ISNA(MATCH(82,Engine!$C$2:$C$1199,0)),"",INDEX('Compliance Database'!$O$2:$O$1199,MATCH(82,Engine!$C$2:$C$1199,0)))</f>
        <v/>
      </c>
      <c r="P95" s="6" t="str">
        <f>IF(ISNA(MATCH(82,Engine!$C$2:$C$1199,0)),"",HYPERLINK("#Acts!A"&amp;INDEX('Compliance Database'!$P$2:$P$1199,MATCH(82,Engine!$C$2:$C$1199,0)),"Go to Act"))</f>
        <v/>
      </c>
    </row>
    <row r="96" spans="1:16" ht="172.95" customHeight="1" x14ac:dyDescent="0.3">
      <c r="A96" s="6" t="str">
        <f>IF(ISNA(MATCH(83,Engine!$C$2:$C$1199,0)),"",INDEX('Compliance Database'!$A$2:$A$1199,MATCH(83,Engine!$C$2:$C$1199,0)))</f>
        <v/>
      </c>
      <c r="B96" s="6" t="str">
        <f>IF(ISNA(MATCH(83,Engine!$C$2:$C$1199,0)),"",INDEX('Compliance Database'!$B$2:$B$1199,MATCH(83,Engine!$C$2:$C$1199,0)))</f>
        <v/>
      </c>
      <c r="C96" s="6" t="str">
        <f>IF(ISNA(MATCH(83,Engine!$C$2:$C$1199,0)),"",INDEX('Compliance Database'!$C$2:$C$1199,MATCH(83,Engine!$C$2:$C$1199,0)))</f>
        <v/>
      </c>
      <c r="D96" s="7" t="str">
        <f>IF(ISNA(MATCH(83,Engine!$C$2:$C$1199,0)),"",INDEX('Compliance Database'!$D$2:$D$1199,MATCH(83,Engine!$C$2:$C$1199,0)))</f>
        <v/>
      </c>
      <c r="E96" s="6" t="str">
        <f>IF(ISNA(MATCH(83,Engine!$C$2:$C$1199,0)),"",INDEX('Compliance Database'!$E$2:$E$1199,MATCH(83,Engine!$C$2:$C$1199,0)))</f>
        <v/>
      </c>
      <c r="F96" s="6" t="str">
        <f>IF(ISNA(MATCH(83,Engine!$C$2:$C$1199,0)),"",INDEX('Compliance Database'!$F$2:$F$1199,MATCH(83,Engine!$C$2:$C$1199,0)))</f>
        <v/>
      </c>
      <c r="G96" s="6" t="str">
        <f>IF(ISNA(MATCH(83,Engine!$C$2:$C$1199,0)),"",INDEX('Compliance Database'!$G$2:$G$1199,MATCH(83,Engine!$C$2:$C$1199,0)))</f>
        <v/>
      </c>
      <c r="H96" s="7" t="str">
        <f>IF(ISNA(MATCH(83,Engine!$C$2:$C$1199,0)),"",INDEX('Compliance Database'!$H$2:$H$1199,MATCH(83,Engine!$C$2:$C$1199,0)))</f>
        <v/>
      </c>
      <c r="I96" s="7" t="str">
        <f>IF(ISNA(MATCH(83,Engine!$C$2:$C$1199,0)),"",INDEX('Compliance Database'!$I$2:$I$1199,MATCH(83,Engine!$C$2:$C$1199,0)))</f>
        <v/>
      </c>
      <c r="J96" s="6" t="str">
        <f>IF(ISNA(MATCH(83,Engine!$C$2:$C$1199,0)),"",INDEX('Compliance Database'!$J$2:$J$1199,MATCH(83,Engine!$C$2:$C$1199,0)))</f>
        <v/>
      </c>
      <c r="K96" s="7" t="str">
        <f>IF(ISNA(MATCH(83,Engine!$C$2:$C$1199,0)),"",INDEX('Compliance Database'!$K$2:$K$1199,MATCH(83,Engine!$C$2:$C$1199,0)))</f>
        <v/>
      </c>
      <c r="L96" s="7" t="str">
        <f>IF(ISNA(MATCH(83,Engine!$C$2:$C$1199,0)),"",INDEX('Compliance Database'!$L$2:$L$1199,MATCH(83,Engine!$C$2:$C$1199,0)))</f>
        <v/>
      </c>
      <c r="M96" s="7" t="str">
        <f>IF(ISNA(MATCH(83,Engine!$C$2:$C$1199,0)),"",INDEX('Compliance Database'!$M$2:$M$1199,MATCH(83,Engine!$C$2:$C$1199,0)))</f>
        <v/>
      </c>
      <c r="N96" s="7" t="str">
        <f>IF(ISNA(MATCH(83,Engine!$C$2:$C$1199,0)),"",INDEX('Compliance Database'!$N$2:$N$1199,MATCH(83,Engine!$C$2:$C$1199,0)))</f>
        <v/>
      </c>
      <c r="O96" s="7" t="str">
        <f>IF(ISNA(MATCH(83,Engine!$C$2:$C$1199,0)),"",INDEX('Compliance Database'!$O$2:$O$1199,MATCH(83,Engine!$C$2:$C$1199,0)))</f>
        <v/>
      </c>
      <c r="P96" s="6" t="str">
        <f>IF(ISNA(MATCH(83,Engine!$C$2:$C$1199,0)),"",HYPERLINK("#Acts!A"&amp;INDEX('Compliance Database'!$P$2:$P$1199,MATCH(83,Engine!$C$2:$C$1199,0)),"Go to Act"))</f>
        <v/>
      </c>
    </row>
    <row r="97" spans="1:16" ht="172.95" customHeight="1" x14ac:dyDescent="0.3">
      <c r="A97" s="6" t="str">
        <f>IF(ISNA(MATCH(84,Engine!$C$2:$C$1199,0)),"",INDEX('Compliance Database'!$A$2:$A$1199,MATCH(84,Engine!$C$2:$C$1199,0)))</f>
        <v/>
      </c>
      <c r="B97" s="6" t="str">
        <f>IF(ISNA(MATCH(84,Engine!$C$2:$C$1199,0)),"",INDEX('Compliance Database'!$B$2:$B$1199,MATCH(84,Engine!$C$2:$C$1199,0)))</f>
        <v/>
      </c>
      <c r="C97" s="6" t="str">
        <f>IF(ISNA(MATCH(84,Engine!$C$2:$C$1199,0)),"",INDEX('Compliance Database'!$C$2:$C$1199,MATCH(84,Engine!$C$2:$C$1199,0)))</f>
        <v/>
      </c>
      <c r="D97" s="7" t="str">
        <f>IF(ISNA(MATCH(84,Engine!$C$2:$C$1199,0)),"",INDEX('Compliance Database'!$D$2:$D$1199,MATCH(84,Engine!$C$2:$C$1199,0)))</f>
        <v/>
      </c>
      <c r="E97" s="6" t="str">
        <f>IF(ISNA(MATCH(84,Engine!$C$2:$C$1199,0)),"",INDEX('Compliance Database'!$E$2:$E$1199,MATCH(84,Engine!$C$2:$C$1199,0)))</f>
        <v/>
      </c>
      <c r="F97" s="6" t="str">
        <f>IF(ISNA(MATCH(84,Engine!$C$2:$C$1199,0)),"",INDEX('Compliance Database'!$F$2:$F$1199,MATCH(84,Engine!$C$2:$C$1199,0)))</f>
        <v/>
      </c>
      <c r="G97" s="6" t="str">
        <f>IF(ISNA(MATCH(84,Engine!$C$2:$C$1199,0)),"",INDEX('Compliance Database'!$G$2:$G$1199,MATCH(84,Engine!$C$2:$C$1199,0)))</f>
        <v/>
      </c>
      <c r="H97" s="7" t="str">
        <f>IF(ISNA(MATCH(84,Engine!$C$2:$C$1199,0)),"",INDEX('Compliance Database'!$H$2:$H$1199,MATCH(84,Engine!$C$2:$C$1199,0)))</f>
        <v/>
      </c>
      <c r="I97" s="7" t="str">
        <f>IF(ISNA(MATCH(84,Engine!$C$2:$C$1199,0)),"",INDEX('Compliance Database'!$I$2:$I$1199,MATCH(84,Engine!$C$2:$C$1199,0)))</f>
        <v/>
      </c>
      <c r="J97" s="6" t="str">
        <f>IF(ISNA(MATCH(84,Engine!$C$2:$C$1199,0)),"",INDEX('Compliance Database'!$J$2:$J$1199,MATCH(84,Engine!$C$2:$C$1199,0)))</f>
        <v/>
      </c>
      <c r="K97" s="7" t="str">
        <f>IF(ISNA(MATCH(84,Engine!$C$2:$C$1199,0)),"",INDEX('Compliance Database'!$K$2:$K$1199,MATCH(84,Engine!$C$2:$C$1199,0)))</f>
        <v/>
      </c>
      <c r="L97" s="7" t="str">
        <f>IF(ISNA(MATCH(84,Engine!$C$2:$C$1199,0)),"",INDEX('Compliance Database'!$L$2:$L$1199,MATCH(84,Engine!$C$2:$C$1199,0)))</f>
        <v/>
      </c>
      <c r="M97" s="7" t="str">
        <f>IF(ISNA(MATCH(84,Engine!$C$2:$C$1199,0)),"",INDEX('Compliance Database'!$M$2:$M$1199,MATCH(84,Engine!$C$2:$C$1199,0)))</f>
        <v/>
      </c>
      <c r="N97" s="7" t="str">
        <f>IF(ISNA(MATCH(84,Engine!$C$2:$C$1199,0)),"",INDEX('Compliance Database'!$N$2:$N$1199,MATCH(84,Engine!$C$2:$C$1199,0)))</f>
        <v/>
      </c>
      <c r="O97" s="7" t="str">
        <f>IF(ISNA(MATCH(84,Engine!$C$2:$C$1199,0)),"",INDEX('Compliance Database'!$O$2:$O$1199,MATCH(84,Engine!$C$2:$C$1199,0)))</f>
        <v/>
      </c>
      <c r="P97" s="6" t="str">
        <f>IF(ISNA(MATCH(84,Engine!$C$2:$C$1199,0)),"",HYPERLINK("#Acts!A"&amp;INDEX('Compliance Database'!$P$2:$P$1199,MATCH(84,Engine!$C$2:$C$1199,0)),"Go to Act"))</f>
        <v/>
      </c>
    </row>
    <row r="98" spans="1:16" ht="172.95" customHeight="1" x14ac:dyDescent="0.3">
      <c r="A98" s="6" t="str">
        <f>IF(ISNA(MATCH(85,Engine!$C$2:$C$1199,0)),"",INDEX('Compliance Database'!$A$2:$A$1199,MATCH(85,Engine!$C$2:$C$1199,0)))</f>
        <v/>
      </c>
      <c r="B98" s="6" t="str">
        <f>IF(ISNA(MATCH(85,Engine!$C$2:$C$1199,0)),"",INDEX('Compliance Database'!$B$2:$B$1199,MATCH(85,Engine!$C$2:$C$1199,0)))</f>
        <v/>
      </c>
      <c r="C98" s="6" t="str">
        <f>IF(ISNA(MATCH(85,Engine!$C$2:$C$1199,0)),"",INDEX('Compliance Database'!$C$2:$C$1199,MATCH(85,Engine!$C$2:$C$1199,0)))</f>
        <v/>
      </c>
      <c r="D98" s="7" t="str">
        <f>IF(ISNA(MATCH(85,Engine!$C$2:$C$1199,0)),"",INDEX('Compliance Database'!$D$2:$D$1199,MATCH(85,Engine!$C$2:$C$1199,0)))</f>
        <v/>
      </c>
      <c r="E98" s="6" t="str">
        <f>IF(ISNA(MATCH(85,Engine!$C$2:$C$1199,0)),"",INDEX('Compliance Database'!$E$2:$E$1199,MATCH(85,Engine!$C$2:$C$1199,0)))</f>
        <v/>
      </c>
      <c r="F98" s="6" t="str">
        <f>IF(ISNA(MATCH(85,Engine!$C$2:$C$1199,0)),"",INDEX('Compliance Database'!$F$2:$F$1199,MATCH(85,Engine!$C$2:$C$1199,0)))</f>
        <v/>
      </c>
      <c r="G98" s="6" t="str">
        <f>IF(ISNA(MATCH(85,Engine!$C$2:$C$1199,0)),"",INDEX('Compliance Database'!$G$2:$G$1199,MATCH(85,Engine!$C$2:$C$1199,0)))</f>
        <v/>
      </c>
      <c r="H98" s="7" t="str">
        <f>IF(ISNA(MATCH(85,Engine!$C$2:$C$1199,0)),"",INDEX('Compliance Database'!$H$2:$H$1199,MATCH(85,Engine!$C$2:$C$1199,0)))</f>
        <v/>
      </c>
      <c r="I98" s="7" t="str">
        <f>IF(ISNA(MATCH(85,Engine!$C$2:$C$1199,0)),"",INDEX('Compliance Database'!$I$2:$I$1199,MATCH(85,Engine!$C$2:$C$1199,0)))</f>
        <v/>
      </c>
      <c r="J98" s="6" t="str">
        <f>IF(ISNA(MATCH(85,Engine!$C$2:$C$1199,0)),"",INDEX('Compliance Database'!$J$2:$J$1199,MATCH(85,Engine!$C$2:$C$1199,0)))</f>
        <v/>
      </c>
      <c r="K98" s="7" t="str">
        <f>IF(ISNA(MATCH(85,Engine!$C$2:$C$1199,0)),"",INDEX('Compliance Database'!$K$2:$K$1199,MATCH(85,Engine!$C$2:$C$1199,0)))</f>
        <v/>
      </c>
      <c r="L98" s="7" t="str">
        <f>IF(ISNA(MATCH(85,Engine!$C$2:$C$1199,0)),"",INDEX('Compliance Database'!$L$2:$L$1199,MATCH(85,Engine!$C$2:$C$1199,0)))</f>
        <v/>
      </c>
      <c r="M98" s="7" t="str">
        <f>IF(ISNA(MATCH(85,Engine!$C$2:$C$1199,0)),"",INDEX('Compliance Database'!$M$2:$M$1199,MATCH(85,Engine!$C$2:$C$1199,0)))</f>
        <v/>
      </c>
      <c r="N98" s="7" t="str">
        <f>IF(ISNA(MATCH(85,Engine!$C$2:$C$1199,0)),"",INDEX('Compliance Database'!$N$2:$N$1199,MATCH(85,Engine!$C$2:$C$1199,0)))</f>
        <v/>
      </c>
      <c r="O98" s="7" t="str">
        <f>IF(ISNA(MATCH(85,Engine!$C$2:$C$1199,0)),"",INDEX('Compliance Database'!$O$2:$O$1199,MATCH(85,Engine!$C$2:$C$1199,0)))</f>
        <v/>
      </c>
      <c r="P98" s="6" t="str">
        <f>IF(ISNA(MATCH(85,Engine!$C$2:$C$1199,0)),"",HYPERLINK("#Acts!A"&amp;INDEX('Compliance Database'!$P$2:$P$1199,MATCH(85,Engine!$C$2:$C$1199,0)),"Go to Act"))</f>
        <v/>
      </c>
    </row>
    <row r="99" spans="1:16" ht="172.95" customHeight="1" x14ac:dyDescent="0.3">
      <c r="A99" s="6" t="str">
        <f>IF(ISNA(MATCH(86,Engine!$C$2:$C$1199,0)),"",INDEX('Compliance Database'!$A$2:$A$1199,MATCH(86,Engine!$C$2:$C$1199,0)))</f>
        <v/>
      </c>
      <c r="B99" s="6" t="str">
        <f>IF(ISNA(MATCH(86,Engine!$C$2:$C$1199,0)),"",INDEX('Compliance Database'!$B$2:$B$1199,MATCH(86,Engine!$C$2:$C$1199,0)))</f>
        <v/>
      </c>
      <c r="C99" s="6" t="str">
        <f>IF(ISNA(MATCH(86,Engine!$C$2:$C$1199,0)),"",INDEX('Compliance Database'!$C$2:$C$1199,MATCH(86,Engine!$C$2:$C$1199,0)))</f>
        <v/>
      </c>
      <c r="D99" s="7" t="str">
        <f>IF(ISNA(MATCH(86,Engine!$C$2:$C$1199,0)),"",INDEX('Compliance Database'!$D$2:$D$1199,MATCH(86,Engine!$C$2:$C$1199,0)))</f>
        <v/>
      </c>
      <c r="E99" s="6" t="str">
        <f>IF(ISNA(MATCH(86,Engine!$C$2:$C$1199,0)),"",INDEX('Compliance Database'!$E$2:$E$1199,MATCH(86,Engine!$C$2:$C$1199,0)))</f>
        <v/>
      </c>
      <c r="F99" s="6" t="str">
        <f>IF(ISNA(MATCH(86,Engine!$C$2:$C$1199,0)),"",INDEX('Compliance Database'!$F$2:$F$1199,MATCH(86,Engine!$C$2:$C$1199,0)))</f>
        <v/>
      </c>
      <c r="G99" s="6" t="str">
        <f>IF(ISNA(MATCH(86,Engine!$C$2:$C$1199,0)),"",INDEX('Compliance Database'!$G$2:$G$1199,MATCH(86,Engine!$C$2:$C$1199,0)))</f>
        <v/>
      </c>
      <c r="H99" s="7" t="str">
        <f>IF(ISNA(MATCH(86,Engine!$C$2:$C$1199,0)),"",INDEX('Compliance Database'!$H$2:$H$1199,MATCH(86,Engine!$C$2:$C$1199,0)))</f>
        <v/>
      </c>
      <c r="I99" s="7" t="str">
        <f>IF(ISNA(MATCH(86,Engine!$C$2:$C$1199,0)),"",INDEX('Compliance Database'!$I$2:$I$1199,MATCH(86,Engine!$C$2:$C$1199,0)))</f>
        <v/>
      </c>
      <c r="J99" s="6" t="str">
        <f>IF(ISNA(MATCH(86,Engine!$C$2:$C$1199,0)),"",INDEX('Compliance Database'!$J$2:$J$1199,MATCH(86,Engine!$C$2:$C$1199,0)))</f>
        <v/>
      </c>
      <c r="K99" s="7" t="str">
        <f>IF(ISNA(MATCH(86,Engine!$C$2:$C$1199,0)),"",INDEX('Compliance Database'!$K$2:$K$1199,MATCH(86,Engine!$C$2:$C$1199,0)))</f>
        <v/>
      </c>
      <c r="L99" s="7" t="str">
        <f>IF(ISNA(MATCH(86,Engine!$C$2:$C$1199,0)),"",INDEX('Compliance Database'!$L$2:$L$1199,MATCH(86,Engine!$C$2:$C$1199,0)))</f>
        <v/>
      </c>
      <c r="M99" s="7" t="str">
        <f>IF(ISNA(MATCH(86,Engine!$C$2:$C$1199,0)),"",INDEX('Compliance Database'!$M$2:$M$1199,MATCH(86,Engine!$C$2:$C$1199,0)))</f>
        <v/>
      </c>
      <c r="N99" s="7" t="str">
        <f>IF(ISNA(MATCH(86,Engine!$C$2:$C$1199,0)),"",INDEX('Compliance Database'!$N$2:$N$1199,MATCH(86,Engine!$C$2:$C$1199,0)))</f>
        <v/>
      </c>
      <c r="O99" s="7" t="str">
        <f>IF(ISNA(MATCH(86,Engine!$C$2:$C$1199,0)),"",INDEX('Compliance Database'!$O$2:$O$1199,MATCH(86,Engine!$C$2:$C$1199,0)))</f>
        <v/>
      </c>
      <c r="P99" s="6" t="str">
        <f>IF(ISNA(MATCH(86,Engine!$C$2:$C$1199,0)),"",HYPERLINK("#Acts!A"&amp;INDEX('Compliance Database'!$P$2:$P$1199,MATCH(86,Engine!$C$2:$C$1199,0)),"Go to Act"))</f>
        <v/>
      </c>
    </row>
    <row r="100" spans="1:16" ht="172.95" customHeight="1" x14ac:dyDescent="0.3">
      <c r="A100" s="6" t="str">
        <f>IF(ISNA(MATCH(87,Engine!$C$2:$C$1199,0)),"",INDEX('Compliance Database'!$A$2:$A$1199,MATCH(87,Engine!$C$2:$C$1199,0)))</f>
        <v/>
      </c>
      <c r="B100" s="6" t="str">
        <f>IF(ISNA(MATCH(87,Engine!$C$2:$C$1199,0)),"",INDEX('Compliance Database'!$B$2:$B$1199,MATCH(87,Engine!$C$2:$C$1199,0)))</f>
        <v/>
      </c>
      <c r="C100" s="6" t="str">
        <f>IF(ISNA(MATCH(87,Engine!$C$2:$C$1199,0)),"",INDEX('Compliance Database'!$C$2:$C$1199,MATCH(87,Engine!$C$2:$C$1199,0)))</f>
        <v/>
      </c>
      <c r="D100" s="7" t="str">
        <f>IF(ISNA(MATCH(87,Engine!$C$2:$C$1199,0)),"",INDEX('Compliance Database'!$D$2:$D$1199,MATCH(87,Engine!$C$2:$C$1199,0)))</f>
        <v/>
      </c>
      <c r="E100" s="6" t="str">
        <f>IF(ISNA(MATCH(87,Engine!$C$2:$C$1199,0)),"",INDEX('Compliance Database'!$E$2:$E$1199,MATCH(87,Engine!$C$2:$C$1199,0)))</f>
        <v/>
      </c>
      <c r="F100" s="6" t="str">
        <f>IF(ISNA(MATCH(87,Engine!$C$2:$C$1199,0)),"",INDEX('Compliance Database'!$F$2:$F$1199,MATCH(87,Engine!$C$2:$C$1199,0)))</f>
        <v/>
      </c>
      <c r="G100" s="6" t="str">
        <f>IF(ISNA(MATCH(87,Engine!$C$2:$C$1199,0)),"",INDEX('Compliance Database'!$G$2:$G$1199,MATCH(87,Engine!$C$2:$C$1199,0)))</f>
        <v/>
      </c>
      <c r="H100" s="7" t="str">
        <f>IF(ISNA(MATCH(87,Engine!$C$2:$C$1199,0)),"",INDEX('Compliance Database'!$H$2:$H$1199,MATCH(87,Engine!$C$2:$C$1199,0)))</f>
        <v/>
      </c>
      <c r="I100" s="7" t="str">
        <f>IF(ISNA(MATCH(87,Engine!$C$2:$C$1199,0)),"",INDEX('Compliance Database'!$I$2:$I$1199,MATCH(87,Engine!$C$2:$C$1199,0)))</f>
        <v/>
      </c>
      <c r="J100" s="6" t="str">
        <f>IF(ISNA(MATCH(87,Engine!$C$2:$C$1199,0)),"",INDEX('Compliance Database'!$J$2:$J$1199,MATCH(87,Engine!$C$2:$C$1199,0)))</f>
        <v/>
      </c>
      <c r="K100" s="7" t="str">
        <f>IF(ISNA(MATCH(87,Engine!$C$2:$C$1199,0)),"",INDEX('Compliance Database'!$K$2:$K$1199,MATCH(87,Engine!$C$2:$C$1199,0)))</f>
        <v/>
      </c>
      <c r="L100" s="7" t="str">
        <f>IF(ISNA(MATCH(87,Engine!$C$2:$C$1199,0)),"",INDEX('Compliance Database'!$L$2:$L$1199,MATCH(87,Engine!$C$2:$C$1199,0)))</f>
        <v/>
      </c>
      <c r="M100" s="7" t="str">
        <f>IF(ISNA(MATCH(87,Engine!$C$2:$C$1199,0)),"",INDEX('Compliance Database'!$M$2:$M$1199,MATCH(87,Engine!$C$2:$C$1199,0)))</f>
        <v/>
      </c>
      <c r="N100" s="7" t="str">
        <f>IF(ISNA(MATCH(87,Engine!$C$2:$C$1199,0)),"",INDEX('Compliance Database'!$N$2:$N$1199,MATCH(87,Engine!$C$2:$C$1199,0)))</f>
        <v/>
      </c>
      <c r="O100" s="7" t="str">
        <f>IF(ISNA(MATCH(87,Engine!$C$2:$C$1199,0)),"",INDEX('Compliance Database'!$O$2:$O$1199,MATCH(87,Engine!$C$2:$C$1199,0)))</f>
        <v/>
      </c>
      <c r="P100" s="6" t="str">
        <f>IF(ISNA(MATCH(87,Engine!$C$2:$C$1199,0)),"",HYPERLINK("#Acts!A"&amp;INDEX('Compliance Database'!$P$2:$P$1199,MATCH(87,Engine!$C$2:$C$1199,0)),"Go to Act"))</f>
        <v/>
      </c>
    </row>
    <row r="101" spans="1:16" ht="172.95" customHeight="1" x14ac:dyDescent="0.3">
      <c r="A101" s="6" t="str">
        <f>IF(ISNA(MATCH(88,Engine!$C$2:$C$1199,0)),"",INDEX('Compliance Database'!$A$2:$A$1199,MATCH(88,Engine!$C$2:$C$1199,0)))</f>
        <v/>
      </c>
      <c r="B101" s="6" t="str">
        <f>IF(ISNA(MATCH(88,Engine!$C$2:$C$1199,0)),"",INDEX('Compliance Database'!$B$2:$B$1199,MATCH(88,Engine!$C$2:$C$1199,0)))</f>
        <v/>
      </c>
      <c r="C101" s="6" t="str">
        <f>IF(ISNA(MATCH(88,Engine!$C$2:$C$1199,0)),"",INDEX('Compliance Database'!$C$2:$C$1199,MATCH(88,Engine!$C$2:$C$1199,0)))</f>
        <v/>
      </c>
      <c r="D101" s="7" t="str">
        <f>IF(ISNA(MATCH(88,Engine!$C$2:$C$1199,0)),"",INDEX('Compliance Database'!$D$2:$D$1199,MATCH(88,Engine!$C$2:$C$1199,0)))</f>
        <v/>
      </c>
      <c r="E101" s="6" t="str">
        <f>IF(ISNA(MATCH(88,Engine!$C$2:$C$1199,0)),"",INDEX('Compliance Database'!$E$2:$E$1199,MATCH(88,Engine!$C$2:$C$1199,0)))</f>
        <v/>
      </c>
      <c r="F101" s="6" t="str">
        <f>IF(ISNA(MATCH(88,Engine!$C$2:$C$1199,0)),"",INDEX('Compliance Database'!$F$2:$F$1199,MATCH(88,Engine!$C$2:$C$1199,0)))</f>
        <v/>
      </c>
      <c r="G101" s="6" t="str">
        <f>IF(ISNA(MATCH(88,Engine!$C$2:$C$1199,0)),"",INDEX('Compliance Database'!$G$2:$G$1199,MATCH(88,Engine!$C$2:$C$1199,0)))</f>
        <v/>
      </c>
      <c r="H101" s="7" t="str">
        <f>IF(ISNA(MATCH(88,Engine!$C$2:$C$1199,0)),"",INDEX('Compliance Database'!$H$2:$H$1199,MATCH(88,Engine!$C$2:$C$1199,0)))</f>
        <v/>
      </c>
      <c r="I101" s="7" t="str">
        <f>IF(ISNA(MATCH(88,Engine!$C$2:$C$1199,0)),"",INDEX('Compliance Database'!$I$2:$I$1199,MATCH(88,Engine!$C$2:$C$1199,0)))</f>
        <v/>
      </c>
      <c r="J101" s="6" t="str">
        <f>IF(ISNA(MATCH(88,Engine!$C$2:$C$1199,0)),"",INDEX('Compliance Database'!$J$2:$J$1199,MATCH(88,Engine!$C$2:$C$1199,0)))</f>
        <v/>
      </c>
      <c r="K101" s="7" t="str">
        <f>IF(ISNA(MATCH(88,Engine!$C$2:$C$1199,0)),"",INDEX('Compliance Database'!$K$2:$K$1199,MATCH(88,Engine!$C$2:$C$1199,0)))</f>
        <v/>
      </c>
      <c r="L101" s="7" t="str">
        <f>IF(ISNA(MATCH(88,Engine!$C$2:$C$1199,0)),"",INDEX('Compliance Database'!$L$2:$L$1199,MATCH(88,Engine!$C$2:$C$1199,0)))</f>
        <v/>
      </c>
      <c r="M101" s="7" t="str">
        <f>IF(ISNA(MATCH(88,Engine!$C$2:$C$1199,0)),"",INDEX('Compliance Database'!$M$2:$M$1199,MATCH(88,Engine!$C$2:$C$1199,0)))</f>
        <v/>
      </c>
      <c r="N101" s="7" t="str">
        <f>IF(ISNA(MATCH(88,Engine!$C$2:$C$1199,0)),"",INDEX('Compliance Database'!$N$2:$N$1199,MATCH(88,Engine!$C$2:$C$1199,0)))</f>
        <v/>
      </c>
      <c r="O101" s="7" t="str">
        <f>IF(ISNA(MATCH(88,Engine!$C$2:$C$1199,0)),"",INDEX('Compliance Database'!$O$2:$O$1199,MATCH(88,Engine!$C$2:$C$1199,0)))</f>
        <v/>
      </c>
      <c r="P101" s="6" t="str">
        <f>IF(ISNA(MATCH(88,Engine!$C$2:$C$1199,0)),"",HYPERLINK("#Acts!A"&amp;INDEX('Compliance Database'!$P$2:$P$1199,MATCH(88,Engine!$C$2:$C$1199,0)),"Go to Act"))</f>
        <v/>
      </c>
    </row>
    <row r="102" spans="1:16" ht="172.95" customHeight="1" x14ac:dyDescent="0.3">
      <c r="A102" s="6" t="str">
        <f>IF(ISNA(MATCH(89,Engine!$C$2:$C$1199,0)),"",INDEX('Compliance Database'!$A$2:$A$1199,MATCH(89,Engine!$C$2:$C$1199,0)))</f>
        <v/>
      </c>
      <c r="B102" s="6" t="str">
        <f>IF(ISNA(MATCH(89,Engine!$C$2:$C$1199,0)),"",INDEX('Compliance Database'!$B$2:$B$1199,MATCH(89,Engine!$C$2:$C$1199,0)))</f>
        <v/>
      </c>
      <c r="C102" s="6" t="str">
        <f>IF(ISNA(MATCH(89,Engine!$C$2:$C$1199,0)),"",INDEX('Compliance Database'!$C$2:$C$1199,MATCH(89,Engine!$C$2:$C$1199,0)))</f>
        <v/>
      </c>
      <c r="D102" s="7" t="str">
        <f>IF(ISNA(MATCH(89,Engine!$C$2:$C$1199,0)),"",INDEX('Compliance Database'!$D$2:$D$1199,MATCH(89,Engine!$C$2:$C$1199,0)))</f>
        <v/>
      </c>
      <c r="E102" s="6" t="str">
        <f>IF(ISNA(MATCH(89,Engine!$C$2:$C$1199,0)),"",INDEX('Compliance Database'!$E$2:$E$1199,MATCH(89,Engine!$C$2:$C$1199,0)))</f>
        <v/>
      </c>
      <c r="F102" s="6" t="str">
        <f>IF(ISNA(MATCH(89,Engine!$C$2:$C$1199,0)),"",INDEX('Compliance Database'!$F$2:$F$1199,MATCH(89,Engine!$C$2:$C$1199,0)))</f>
        <v/>
      </c>
      <c r="G102" s="6" t="str">
        <f>IF(ISNA(MATCH(89,Engine!$C$2:$C$1199,0)),"",INDEX('Compliance Database'!$G$2:$G$1199,MATCH(89,Engine!$C$2:$C$1199,0)))</f>
        <v/>
      </c>
      <c r="H102" s="7" t="str">
        <f>IF(ISNA(MATCH(89,Engine!$C$2:$C$1199,0)),"",INDEX('Compliance Database'!$H$2:$H$1199,MATCH(89,Engine!$C$2:$C$1199,0)))</f>
        <v/>
      </c>
      <c r="I102" s="7" t="str">
        <f>IF(ISNA(MATCH(89,Engine!$C$2:$C$1199,0)),"",INDEX('Compliance Database'!$I$2:$I$1199,MATCH(89,Engine!$C$2:$C$1199,0)))</f>
        <v/>
      </c>
      <c r="J102" s="6" t="str">
        <f>IF(ISNA(MATCH(89,Engine!$C$2:$C$1199,0)),"",INDEX('Compliance Database'!$J$2:$J$1199,MATCH(89,Engine!$C$2:$C$1199,0)))</f>
        <v/>
      </c>
      <c r="K102" s="7" t="str">
        <f>IF(ISNA(MATCH(89,Engine!$C$2:$C$1199,0)),"",INDEX('Compliance Database'!$K$2:$K$1199,MATCH(89,Engine!$C$2:$C$1199,0)))</f>
        <v/>
      </c>
      <c r="L102" s="7" t="str">
        <f>IF(ISNA(MATCH(89,Engine!$C$2:$C$1199,0)),"",INDEX('Compliance Database'!$L$2:$L$1199,MATCH(89,Engine!$C$2:$C$1199,0)))</f>
        <v/>
      </c>
      <c r="M102" s="7" t="str">
        <f>IF(ISNA(MATCH(89,Engine!$C$2:$C$1199,0)),"",INDEX('Compliance Database'!$M$2:$M$1199,MATCH(89,Engine!$C$2:$C$1199,0)))</f>
        <v/>
      </c>
      <c r="N102" s="7" t="str">
        <f>IF(ISNA(MATCH(89,Engine!$C$2:$C$1199,0)),"",INDEX('Compliance Database'!$N$2:$N$1199,MATCH(89,Engine!$C$2:$C$1199,0)))</f>
        <v/>
      </c>
      <c r="O102" s="7" t="str">
        <f>IF(ISNA(MATCH(89,Engine!$C$2:$C$1199,0)),"",INDEX('Compliance Database'!$O$2:$O$1199,MATCH(89,Engine!$C$2:$C$1199,0)))</f>
        <v/>
      </c>
      <c r="P102" s="6" t="str">
        <f>IF(ISNA(MATCH(89,Engine!$C$2:$C$1199,0)),"",HYPERLINK("#Acts!A"&amp;INDEX('Compliance Database'!$P$2:$P$1199,MATCH(89,Engine!$C$2:$C$1199,0)),"Go to Act"))</f>
        <v/>
      </c>
    </row>
    <row r="103" spans="1:16" ht="172.95" customHeight="1" x14ac:dyDescent="0.3">
      <c r="A103" s="6" t="str">
        <f>IF(ISNA(MATCH(90,Engine!$C$2:$C$1199,0)),"",INDEX('Compliance Database'!$A$2:$A$1199,MATCH(90,Engine!$C$2:$C$1199,0)))</f>
        <v/>
      </c>
      <c r="B103" s="6" t="str">
        <f>IF(ISNA(MATCH(90,Engine!$C$2:$C$1199,0)),"",INDEX('Compliance Database'!$B$2:$B$1199,MATCH(90,Engine!$C$2:$C$1199,0)))</f>
        <v/>
      </c>
      <c r="C103" s="6" t="str">
        <f>IF(ISNA(MATCH(90,Engine!$C$2:$C$1199,0)),"",INDEX('Compliance Database'!$C$2:$C$1199,MATCH(90,Engine!$C$2:$C$1199,0)))</f>
        <v/>
      </c>
      <c r="D103" s="7" t="str">
        <f>IF(ISNA(MATCH(90,Engine!$C$2:$C$1199,0)),"",INDEX('Compliance Database'!$D$2:$D$1199,MATCH(90,Engine!$C$2:$C$1199,0)))</f>
        <v/>
      </c>
      <c r="E103" s="6" t="str">
        <f>IF(ISNA(MATCH(90,Engine!$C$2:$C$1199,0)),"",INDEX('Compliance Database'!$E$2:$E$1199,MATCH(90,Engine!$C$2:$C$1199,0)))</f>
        <v/>
      </c>
      <c r="F103" s="6" t="str">
        <f>IF(ISNA(MATCH(90,Engine!$C$2:$C$1199,0)),"",INDEX('Compliance Database'!$F$2:$F$1199,MATCH(90,Engine!$C$2:$C$1199,0)))</f>
        <v/>
      </c>
      <c r="G103" s="6" t="str">
        <f>IF(ISNA(MATCH(90,Engine!$C$2:$C$1199,0)),"",INDEX('Compliance Database'!$G$2:$G$1199,MATCH(90,Engine!$C$2:$C$1199,0)))</f>
        <v/>
      </c>
      <c r="H103" s="7" t="str">
        <f>IF(ISNA(MATCH(90,Engine!$C$2:$C$1199,0)),"",INDEX('Compliance Database'!$H$2:$H$1199,MATCH(90,Engine!$C$2:$C$1199,0)))</f>
        <v/>
      </c>
      <c r="I103" s="7" t="str">
        <f>IF(ISNA(MATCH(90,Engine!$C$2:$C$1199,0)),"",INDEX('Compliance Database'!$I$2:$I$1199,MATCH(90,Engine!$C$2:$C$1199,0)))</f>
        <v/>
      </c>
      <c r="J103" s="6" t="str">
        <f>IF(ISNA(MATCH(90,Engine!$C$2:$C$1199,0)),"",INDEX('Compliance Database'!$J$2:$J$1199,MATCH(90,Engine!$C$2:$C$1199,0)))</f>
        <v/>
      </c>
      <c r="K103" s="7" t="str">
        <f>IF(ISNA(MATCH(90,Engine!$C$2:$C$1199,0)),"",INDEX('Compliance Database'!$K$2:$K$1199,MATCH(90,Engine!$C$2:$C$1199,0)))</f>
        <v/>
      </c>
      <c r="L103" s="7" t="str">
        <f>IF(ISNA(MATCH(90,Engine!$C$2:$C$1199,0)),"",INDEX('Compliance Database'!$L$2:$L$1199,MATCH(90,Engine!$C$2:$C$1199,0)))</f>
        <v/>
      </c>
      <c r="M103" s="7" t="str">
        <f>IF(ISNA(MATCH(90,Engine!$C$2:$C$1199,0)),"",INDEX('Compliance Database'!$M$2:$M$1199,MATCH(90,Engine!$C$2:$C$1199,0)))</f>
        <v/>
      </c>
      <c r="N103" s="7" t="str">
        <f>IF(ISNA(MATCH(90,Engine!$C$2:$C$1199,0)),"",INDEX('Compliance Database'!$N$2:$N$1199,MATCH(90,Engine!$C$2:$C$1199,0)))</f>
        <v/>
      </c>
      <c r="O103" s="7" t="str">
        <f>IF(ISNA(MATCH(90,Engine!$C$2:$C$1199,0)),"",INDEX('Compliance Database'!$O$2:$O$1199,MATCH(90,Engine!$C$2:$C$1199,0)))</f>
        <v/>
      </c>
      <c r="P103" s="6" t="str">
        <f>IF(ISNA(MATCH(90,Engine!$C$2:$C$1199,0)),"",HYPERLINK("#Acts!A"&amp;INDEX('Compliance Database'!$P$2:$P$1199,MATCH(90,Engine!$C$2:$C$1199,0)),"Go to Act"))</f>
        <v/>
      </c>
    </row>
    <row r="104" spans="1:16" ht="172.95" customHeight="1" x14ac:dyDescent="0.3">
      <c r="A104" s="6" t="str">
        <f>IF(ISNA(MATCH(91,Engine!$C$2:$C$1199,0)),"",INDEX('Compliance Database'!$A$2:$A$1199,MATCH(91,Engine!$C$2:$C$1199,0)))</f>
        <v/>
      </c>
      <c r="B104" s="6" t="str">
        <f>IF(ISNA(MATCH(91,Engine!$C$2:$C$1199,0)),"",INDEX('Compliance Database'!$B$2:$B$1199,MATCH(91,Engine!$C$2:$C$1199,0)))</f>
        <v/>
      </c>
      <c r="C104" s="6" t="str">
        <f>IF(ISNA(MATCH(91,Engine!$C$2:$C$1199,0)),"",INDEX('Compliance Database'!$C$2:$C$1199,MATCH(91,Engine!$C$2:$C$1199,0)))</f>
        <v/>
      </c>
      <c r="D104" s="7" t="str">
        <f>IF(ISNA(MATCH(91,Engine!$C$2:$C$1199,0)),"",INDEX('Compliance Database'!$D$2:$D$1199,MATCH(91,Engine!$C$2:$C$1199,0)))</f>
        <v/>
      </c>
      <c r="E104" s="6" t="str">
        <f>IF(ISNA(MATCH(91,Engine!$C$2:$C$1199,0)),"",INDEX('Compliance Database'!$E$2:$E$1199,MATCH(91,Engine!$C$2:$C$1199,0)))</f>
        <v/>
      </c>
      <c r="F104" s="6" t="str">
        <f>IF(ISNA(MATCH(91,Engine!$C$2:$C$1199,0)),"",INDEX('Compliance Database'!$F$2:$F$1199,MATCH(91,Engine!$C$2:$C$1199,0)))</f>
        <v/>
      </c>
      <c r="G104" s="6" t="str">
        <f>IF(ISNA(MATCH(91,Engine!$C$2:$C$1199,0)),"",INDEX('Compliance Database'!$G$2:$G$1199,MATCH(91,Engine!$C$2:$C$1199,0)))</f>
        <v/>
      </c>
      <c r="H104" s="7" t="str">
        <f>IF(ISNA(MATCH(91,Engine!$C$2:$C$1199,0)),"",INDEX('Compliance Database'!$H$2:$H$1199,MATCH(91,Engine!$C$2:$C$1199,0)))</f>
        <v/>
      </c>
      <c r="I104" s="7" t="str">
        <f>IF(ISNA(MATCH(91,Engine!$C$2:$C$1199,0)),"",INDEX('Compliance Database'!$I$2:$I$1199,MATCH(91,Engine!$C$2:$C$1199,0)))</f>
        <v/>
      </c>
      <c r="J104" s="6" t="str">
        <f>IF(ISNA(MATCH(91,Engine!$C$2:$C$1199,0)),"",INDEX('Compliance Database'!$J$2:$J$1199,MATCH(91,Engine!$C$2:$C$1199,0)))</f>
        <v/>
      </c>
      <c r="K104" s="7" t="str">
        <f>IF(ISNA(MATCH(91,Engine!$C$2:$C$1199,0)),"",INDEX('Compliance Database'!$K$2:$K$1199,MATCH(91,Engine!$C$2:$C$1199,0)))</f>
        <v/>
      </c>
      <c r="L104" s="7" t="str">
        <f>IF(ISNA(MATCH(91,Engine!$C$2:$C$1199,0)),"",INDEX('Compliance Database'!$L$2:$L$1199,MATCH(91,Engine!$C$2:$C$1199,0)))</f>
        <v/>
      </c>
      <c r="M104" s="7" t="str">
        <f>IF(ISNA(MATCH(91,Engine!$C$2:$C$1199,0)),"",INDEX('Compliance Database'!$M$2:$M$1199,MATCH(91,Engine!$C$2:$C$1199,0)))</f>
        <v/>
      </c>
      <c r="N104" s="7" t="str">
        <f>IF(ISNA(MATCH(91,Engine!$C$2:$C$1199,0)),"",INDEX('Compliance Database'!$N$2:$N$1199,MATCH(91,Engine!$C$2:$C$1199,0)))</f>
        <v/>
      </c>
      <c r="O104" s="7" t="str">
        <f>IF(ISNA(MATCH(91,Engine!$C$2:$C$1199,0)),"",INDEX('Compliance Database'!$O$2:$O$1199,MATCH(91,Engine!$C$2:$C$1199,0)))</f>
        <v/>
      </c>
      <c r="P104" s="6" t="str">
        <f>IF(ISNA(MATCH(91,Engine!$C$2:$C$1199,0)),"",HYPERLINK("#Acts!A"&amp;INDEX('Compliance Database'!$P$2:$P$1199,MATCH(91,Engine!$C$2:$C$1199,0)),"Go to Act"))</f>
        <v/>
      </c>
    </row>
    <row r="105" spans="1:16" ht="172.95" customHeight="1" x14ac:dyDescent="0.3">
      <c r="A105" s="6" t="str">
        <f>IF(ISNA(MATCH(92,Engine!$C$2:$C$1199,0)),"",INDEX('Compliance Database'!$A$2:$A$1199,MATCH(92,Engine!$C$2:$C$1199,0)))</f>
        <v/>
      </c>
      <c r="B105" s="6" t="str">
        <f>IF(ISNA(MATCH(92,Engine!$C$2:$C$1199,0)),"",INDEX('Compliance Database'!$B$2:$B$1199,MATCH(92,Engine!$C$2:$C$1199,0)))</f>
        <v/>
      </c>
      <c r="C105" s="6" t="str">
        <f>IF(ISNA(MATCH(92,Engine!$C$2:$C$1199,0)),"",INDEX('Compliance Database'!$C$2:$C$1199,MATCH(92,Engine!$C$2:$C$1199,0)))</f>
        <v/>
      </c>
      <c r="D105" s="7" t="str">
        <f>IF(ISNA(MATCH(92,Engine!$C$2:$C$1199,0)),"",INDEX('Compliance Database'!$D$2:$D$1199,MATCH(92,Engine!$C$2:$C$1199,0)))</f>
        <v/>
      </c>
      <c r="E105" s="6" t="str">
        <f>IF(ISNA(MATCH(92,Engine!$C$2:$C$1199,0)),"",INDEX('Compliance Database'!$E$2:$E$1199,MATCH(92,Engine!$C$2:$C$1199,0)))</f>
        <v/>
      </c>
      <c r="F105" s="6" t="str">
        <f>IF(ISNA(MATCH(92,Engine!$C$2:$C$1199,0)),"",INDEX('Compliance Database'!$F$2:$F$1199,MATCH(92,Engine!$C$2:$C$1199,0)))</f>
        <v/>
      </c>
      <c r="G105" s="6" t="str">
        <f>IF(ISNA(MATCH(92,Engine!$C$2:$C$1199,0)),"",INDEX('Compliance Database'!$G$2:$G$1199,MATCH(92,Engine!$C$2:$C$1199,0)))</f>
        <v/>
      </c>
      <c r="H105" s="7" t="str">
        <f>IF(ISNA(MATCH(92,Engine!$C$2:$C$1199,0)),"",INDEX('Compliance Database'!$H$2:$H$1199,MATCH(92,Engine!$C$2:$C$1199,0)))</f>
        <v/>
      </c>
      <c r="I105" s="7" t="str">
        <f>IF(ISNA(MATCH(92,Engine!$C$2:$C$1199,0)),"",INDEX('Compliance Database'!$I$2:$I$1199,MATCH(92,Engine!$C$2:$C$1199,0)))</f>
        <v/>
      </c>
      <c r="J105" s="6" t="str">
        <f>IF(ISNA(MATCH(92,Engine!$C$2:$C$1199,0)),"",INDEX('Compliance Database'!$J$2:$J$1199,MATCH(92,Engine!$C$2:$C$1199,0)))</f>
        <v/>
      </c>
      <c r="K105" s="7" t="str">
        <f>IF(ISNA(MATCH(92,Engine!$C$2:$C$1199,0)),"",INDEX('Compliance Database'!$K$2:$K$1199,MATCH(92,Engine!$C$2:$C$1199,0)))</f>
        <v/>
      </c>
      <c r="L105" s="7" t="str">
        <f>IF(ISNA(MATCH(92,Engine!$C$2:$C$1199,0)),"",INDEX('Compliance Database'!$L$2:$L$1199,MATCH(92,Engine!$C$2:$C$1199,0)))</f>
        <v/>
      </c>
      <c r="M105" s="7" t="str">
        <f>IF(ISNA(MATCH(92,Engine!$C$2:$C$1199,0)),"",INDEX('Compliance Database'!$M$2:$M$1199,MATCH(92,Engine!$C$2:$C$1199,0)))</f>
        <v/>
      </c>
      <c r="N105" s="7" t="str">
        <f>IF(ISNA(MATCH(92,Engine!$C$2:$C$1199,0)),"",INDEX('Compliance Database'!$N$2:$N$1199,MATCH(92,Engine!$C$2:$C$1199,0)))</f>
        <v/>
      </c>
      <c r="O105" s="7" t="str">
        <f>IF(ISNA(MATCH(92,Engine!$C$2:$C$1199,0)),"",INDEX('Compliance Database'!$O$2:$O$1199,MATCH(92,Engine!$C$2:$C$1199,0)))</f>
        <v/>
      </c>
      <c r="P105" s="6" t="str">
        <f>IF(ISNA(MATCH(92,Engine!$C$2:$C$1199,0)),"",HYPERLINK("#Acts!A"&amp;INDEX('Compliance Database'!$P$2:$P$1199,MATCH(92,Engine!$C$2:$C$1199,0)),"Go to Act"))</f>
        <v/>
      </c>
    </row>
    <row r="106" spans="1:16" ht="172.95" customHeight="1" x14ac:dyDescent="0.3">
      <c r="A106" s="6" t="str">
        <f>IF(ISNA(MATCH(93,Engine!$C$2:$C$1199,0)),"",INDEX('Compliance Database'!$A$2:$A$1199,MATCH(93,Engine!$C$2:$C$1199,0)))</f>
        <v/>
      </c>
      <c r="B106" s="6" t="str">
        <f>IF(ISNA(MATCH(93,Engine!$C$2:$C$1199,0)),"",INDEX('Compliance Database'!$B$2:$B$1199,MATCH(93,Engine!$C$2:$C$1199,0)))</f>
        <v/>
      </c>
      <c r="C106" s="6" t="str">
        <f>IF(ISNA(MATCH(93,Engine!$C$2:$C$1199,0)),"",INDEX('Compliance Database'!$C$2:$C$1199,MATCH(93,Engine!$C$2:$C$1199,0)))</f>
        <v/>
      </c>
      <c r="D106" s="7" t="str">
        <f>IF(ISNA(MATCH(93,Engine!$C$2:$C$1199,0)),"",INDEX('Compliance Database'!$D$2:$D$1199,MATCH(93,Engine!$C$2:$C$1199,0)))</f>
        <v/>
      </c>
      <c r="E106" s="6" t="str">
        <f>IF(ISNA(MATCH(93,Engine!$C$2:$C$1199,0)),"",INDEX('Compliance Database'!$E$2:$E$1199,MATCH(93,Engine!$C$2:$C$1199,0)))</f>
        <v/>
      </c>
      <c r="F106" s="6" t="str">
        <f>IF(ISNA(MATCH(93,Engine!$C$2:$C$1199,0)),"",INDEX('Compliance Database'!$F$2:$F$1199,MATCH(93,Engine!$C$2:$C$1199,0)))</f>
        <v/>
      </c>
      <c r="G106" s="6" t="str">
        <f>IF(ISNA(MATCH(93,Engine!$C$2:$C$1199,0)),"",INDEX('Compliance Database'!$G$2:$G$1199,MATCH(93,Engine!$C$2:$C$1199,0)))</f>
        <v/>
      </c>
      <c r="H106" s="7" t="str">
        <f>IF(ISNA(MATCH(93,Engine!$C$2:$C$1199,0)),"",INDEX('Compliance Database'!$H$2:$H$1199,MATCH(93,Engine!$C$2:$C$1199,0)))</f>
        <v/>
      </c>
      <c r="I106" s="7" t="str">
        <f>IF(ISNA(MATCH(93,Engine!$C$2:$C$1199,0)),"",INDEX('Compliance Database'!$I$2:$I$1199,MATCH(93,Engine!$C$2:$C$1199,0)))</f>
        <v/>
      </c>
      <c r="J106" s="6" t="str">
        <f>IF(ISNA(MATCH(93,Engine!$C$2:$C$1199,0)),"",INDEX('Compliance Database'!$J$2:$J$1199,MATCH(93,Engine!$C$2:$C$1199,0)))</f>
        <v/>
      </c>
      <c r="K106" s="7" t="str">
        <f>IF(ISNA(MATCH(93,Engine!$C$2:$C$1199,0)),"",INDEX('Compliance Database'!$K$2:$K$1199,MATCH(93,Engine!$C$2:$C$1199,0)))</f>
        <v/>
      </c>
      <c r="L106" s="7" t="str">
        <f>IF(ISNA(MATCH(93,Engine!$C$2:$C$1199,0)),"",INDEX('Compliance Database'!$L$2:$L$1199,MATCH(93,Engine!$C$2:$C$1199,0)))</f>
        <v/>
      </c>
      <c r="M106" s="7" t="str">
        <f>IF(ISNA(MATCH(93,Engine!$C$2:$C$1199,0)),"",INDEX('Compliance Database'!$M$2:$M$1199,MATCH(93,Engine!$C$2:$C$1199,0)))</f>
        <v/>
      </c>
      <c r="N106" s="7" t="str">
        <f>IF(ISNA(MATCH(93,Engine!$C$2:$C$1199,0)),"",INDEX('Compliance Database'!$N$2:$N$1199,MATCH(93,Engine!$C$2:$C$1199,0)))</f>
        <v/>
      </c>
      <c r="O106" s="7" t="str">
        <f>IF(ISNA(MATCH(93,Engine!$C$2:$C$1199,0)),"",INDEX('Compliance Database'!$O$2:$O$1199,MATCH(93,Engine!$C$2:$C$1199,0)))</f>
        <v/>
      </c>
      <c r="P106" s="6" t="str">
        <f>IF(ISNA(MATCH(93,Engine!$C$2:$C$1199,0)),"",HYPERLINK("#Acts!A"&amp;INDEX('Compliance Database'!$P$2:$P$1199,MATCH(93,Engine!$C$2:$C$1199,0)),"Go to Act"))</f>
        <v/>
      </c>
    </row>
    <row r="107" spans="1:16" ht="172.95" customHeight="1" x14ac:dyDescent="0.3">
      <c r="A107" s="6" t="str">
        <f>IF(ISNA(MATCH(94,Engine!$C$2:$C$1199,0)),"",INDEX('Compliance Database'!$A$2:$A$1199,MATCH(94,Engine!$C$2:$C$1199,0)))</f>
        <v/>
      </c>
      <c r="B107" s="6" t="str">
        <f>IF(ISNA(MATCH(94,Engine!$C$2:$C$1199,0)),"",INDEX('Compliance Database'!$B$2:$B$1199,MATCH(94,Engine!$C$2:$C$1199,0)))</f>
        <v/>
      </c>
      <c r="C107" s="6" t="str">
        <f>IF(ISNA(MATCH(94,Engine!$C$2:$C$1199,0)),"",INDEX('Compliance Database'!$C$2:$C$1199,MATCH(94,Engine!$C$2:$C$1199,0)))</f>
        <v/>
      </c>
      <c r="D107" s="7" t="str">
        <f>IF(ISNA(MATCH(94,Engine!$C$2:$C$1199,0)),"",INDEX('Compliance Database'!$D$2:$D$1199,MATCH(94,Engine!$C$2:$C$1199,0)))</f>
        <v/>
      </c>
      <c r="E107" s="6" t="str">
        <f>IF(ISNA(MATCH(94,Engine!$C$2:$C$1199,0)),"",INDEX('Compliance Database'!$E$2:$E$1199,MATCH(94,Engine!$C$2:$C$1199,0)))</f>
        <v/>
      </c>
      <c r="F107" s="6" t="str">
        <f>IF(ISNA(MATCH(94,Engine!$C$2:$C$1199,0)),"",INDEX('Compliance Database'!$F$2:$F$1199,MATCH(94,Engine!$C$2:$C$1199,0)))</f>
        <v/>
      </c>
      <c r="G107" s="6" t="str">
        <f>IF(ISNA(MATCH(94,Engine!$C$2:$C$1199,0)),"",INDEX('Compliance Database'!$G$2:$G$1199,MATCH(94,Engine!$C$2:$C$1199,0)))</f>
        <v/>
      </c>
      <c r="H107" s="7" t="str">
        <f>IF(ISNA(MATCH(94,Engine!$C$2:$C$1199,0)),"",INDEX('Compliance Database'!$H$2:$H$1199,MATCH(94,Engine!$C$2:$C$1199,0)))</f>
        <v/>
      </c>
      <c r="I107" s="7" t="str">
        <f>IF(ISNA(MATCH(94,Engine!$C$2:$C$1199,0)),"",INDEX('Compliance Database'!$I$2:$I$1199,MATCH(94,Engine!$C$2:$C$1199,0)))</f>
        <v/>
      </c>
      <c r="J107" s="6" t="str">
        <f>IF(ISNA(MATCH(94,Engine!$C$2:$C$1199,0)),"",INDEX('Compliance Database'!$J$2:$J$1199,MATCH(94,Engine!$C$2:$C$1199,0)))</f>
        <v/>
      </c>
      <c r="K107" s="7" t="str">
        <f>IF(ISNA(MATCH(94,Engine!$C$2:$C$1199,0)),"",INDEX('Compliance Database'!$K$2:$K$1199,MATCH(94,Engine!$C$2:$C$1199,0)))</f>
        <v/>
      </c>
      <c r="L107" s="7" t="str">
        <f>IF(ISNA(MATCH(94,Engine!$C$2:$C$1199,0)),"",INDEX('Compliance Database'!$L$2:$L$1199,MATCH(94,Engine!$C$2:$C$1199,0)))</f>
        <v/>
      </c>
      <c r="M107" s="7" t="str">
        <f>IF(ISNA(MATCH(94,Engine!$C$2:$C$1199,0)),"",INDEX('Compliance Database'!$M$2:$M$1199,MATCH(94,Engine!$C$2:$C$1199,0)))</f>
        <v/>
      </c>
      <c r="N107" s="7" t="str">
        <f>IF(ISNA(MATCH(94,Engine!$C$2:$C$1199,0)),"",INDEX('Compliance Database'!$N$2:$N$1199,MATCH(94,Engine!$C$2:$C$1199,0)))</f>
        <v/>
      </c>
      <c r="O107" s="7" t="str">
        <f>IF(ISNA(MATCH(94,Engine!$C$2:$C$1199,0)),"",INDEX('Compliance Database'!$O$2:$O$1199,MATCH(94,Engine!$C$2:$C$1199,0)))</f>
        <v/>
      </c>
      <c r="P107" s="6" t="str">
        <f>IF(ISNA(MATCH(94,Engine!$C$2:$C$1199,0)),"",HYPERLINK("#Acts!A"&amp;INDEX('Compliance Database'!$P$2:$P$1199,MATCH(94,Engine!$C$2:$C$1199,0)),"Go to Act"))</f>
        <v/>
      </c>
    </row>
    <row r="108" spans="1:16" ht="172.95" customHeight="1" x14ac:dyDescent="0.3">
      <c r="A108" s="6" t="str">
        <f>IF(ISNA(MATCH(95,Engine!$C$2:$C$1199,0)),"",INDEX('Compliance Database'!$A$2:$A$1199,MATCH(95,Engine!$C$2:$C$1199,0)))</f>
        <v/>
      </c>
      <c r="B108" s="6" t="str">
        <f>IF(ISNA(MATCH(95,Engine!$C$2:$C$1199,0)),"",INDEX('Compliance Database'!$B$2:$B$1199,MATCH(95,Engine!$C$2:$C$1199,0)))</f>
        <v/>
      </c>
      <c r="C108" s="6" t="str">
        <f>IF(ISNA(MATCH(95,Engine!$C$2:$C$1199,0)),"",INDEX('Compliance Database'!$C$2:$C$1199,MATCH(95,Engine!$C$2:$C$1199,0)))</f>
        <v/>
      </c>
      <c r="D108" s="7" t="str">
        <f>IF(ISNA(MATCH(95,Engine!$C$2:$C$1199,0)),"",INDEX('Compliance Database'!$D$2:$D$1199,MATCH(95,Engine!$C$2:$C$1199,0)))</f>
        <v/>
      </c>
      <c r="E108" s="6" t="str">
        <f>IF(ISNA(MATCH(95,Engine!$C$2:$C$1199,0)),"",INDEX('Compliance Database'!$E$2:$E$1199,MATCH(95,Engine!$C$2:$C$1199,0)))</f>
        <v/>
      </c>
      <c r="F108" s="6" t="str">
        <f>IF(ISNA(MATCH(95,Engine!$C$2:$C$1199,0)),"",INDEX('Compliance Database'!$F$2:$F$1199,MATCH(95,Engine!$C$2:$C$1199,0)))</f>
        <v/>
      </c>
      <c r="G108" s="6" t="str">
        <f>IF(ISNA(MATCH(95,Engine!$C$2:$C$1199,0)),"",INDEX('Compliance Database'!$G$2:$G$1199,MATCH(95,Engine!$C$2:$C$1199,0)))</f>
        <v/>
      </c>
      <c r="H108" s="7" t="str">
        <f>IF(ISNA(MATCH(95,Engine!$C$2:$C$1199,0)),"",INDEX('Compliance Database'!$H$2:$H$1199,MATCH(95,Engine!$C$2:$C$1199,0)))</f>
        <v/>
      </c>
      <c r="I108" s="7" t="str">
        <f>IF(ISNA(MATCH(95,Engine!$C$2:$C$1199,0)),"",INDEX('Compliance Database'!$I$2:$I$1199,MATCH(95,Engine!$C$2:$C$1199,0)))</f>
        <v/>
      </c>
      <c r="J108" s="6" t="str">
        <f>IF(ISNA(MATCH(95,Engine!$C$2:$C$1199,0)),"",INDEX('Compliance Database'!$J$2:$J$1199,MATCH(95,Engine!$C$2:$C$1199,0)))</f>
        <v/>
      </c>
      <c r="K108" s="7" t="str">
        <f>IF(ISNA(MATCH(95,Engine!$C$2:$C$1199,0)),"",INDEX('Compliance Database'!$K$2:$K$1199,MATCH(95,Engine!$C$2:$C$1199,0)))</f>
        <v/>
      </c>
      <c r="L108" s="7" t="str">
        <f>IF(ISNA(MATCH(95,Engine!$C$2:$C$1199,0)),"",INDEX('Compliance Database'!$L$2:$L$1199,MATCH(95,Engine!$C$2:$C$1199,0)))</f>
        <v/>
      </c>
      <c r="M108" s="7" t="str">
        <f>IF(ISNA(MATCH(95,Engine!$C$2:$C$1199,0)),"",INDEX('Compliance Database'!$M$2:$M$1199,MATCH(95,Engine!$C$2:$C$1199,0)))</f>
        <v/>
      </c>
      <c r="N108" s="7" t="str">
        <f>IF(ISNA(MATCH(95,Engine!$C$2:$C$1199,0)),"",INDEX('Compliance Database'!$N$2:$N$1199,MATCH(95,Engine!$C$2:$C$1199,0)))</f>
        <v/>
      </c>
      <c r="O108" s="7" t="str">
        <f>IF(ISNA(MATCH(95,Engine!$C$2:$C$1199,0)),"",INDEX('Compliance Database'!$O$2:$O$1199,MATCH(95,Engine!$C$2:$C$1199,0)))</f>
        <v/>
      </c>
      <c r="P108" s="6" t="str">
        <f>IF(ISNA(MATCH(95,Engine!$C$2:$C$1199,0)),"",HYPERLINK("#Acts!A"&amp;INDEX('Compliance Database'!$P$2:$P$1199,MATCH(95,Engine!$C$2:$C$1199,0)),"Go to Act"))</f>
        <v/>
      </c>
    </row>
    <row r="109" spans="1:16" ht="172.95" customHeight="1" x14ac:dyDescent="0.3">
      <c r="A109" s="6" t="str">
        <f>IF(ISNA(MATCH(96,Engine!$C$2:$C$1199,0)),"",INDEX('Compliance Database'!$A$2:$A$1199,MATCH(96,Engine!$C$2:$C$1199,0)))</f>
        <v/>
      </c>
      <c r="B109" s="6" t="str">
        <f>IF(ISNA(MATCH(96,Engine!$C$2:$C$1199,0)),"",INDEX('Compliance Database'!$B$2:$B$1199,MATCH(96,Engine!$C$2:$C$1199,0)))</f>
        <v/>
      </c>
      <c r="C109" s="6" t="str">
        <f>IF(ISNA(MATCH(96,Engine!$C$2:$C$1199,0)),"",INDEX('Compliance Database'!$C$2:$C$1199,MATCH(96,Engine!$C$2:$C$1199,0)))</f>
        <v/>
      </c>
      <c r="D109" s="7" t="str">
        <f>IF(ISNA(MATCH(96,Engine!$C$2:$C$1199,0)),"",INDEX('Compliance Database'!$D$2:$D$1199,MATCH(96,Engine!$C$2:$C$1199,0)))</f>
        <v/>
      </c>
      <c r="E109" s="6" t="str">
        <f>IF(ISNA(MATCH(96,Engine!$C$2:$C$1199,0)),"",INDEX('Compliance Database'!$E$2:$E$1199,MATCH(96,Engine!$C$2:$C$1199,0)))</f>
        <v/>
      </c>
      <c r="F109" s="6" t="str">
        <f>IF(ISNA(MATCH(96,Engine!$C$2:$C$1199,0)),"",INDEX('Compliance Database'!$F$2:$F$1199,MATCH(96,Engine!$C$2:$C$1199,0)))</f>
        <v/>
      </c>
      <c r="G109" s="6" t="str">
        <f>IF(ISNA(MATCH(96,Engine!$C$2:$C$1199,0)),"",INDEX('Compliance Database'!$G$2:$G$1199,MATCH(96,Engine!$C$2:$C$1199,0)))</f>
        <v/>
      </c>
      <c r="H109" s="7" t="str">
        <f>IF(ISNA(MATCH(96,Engine!$C$2:$C$1199,0)),"",INDEX('Compliance Database'!$H$2:$H$1199,MATCH(96,Engine!$C$2:$C$1199,0)))</f>
        <v/>
      </c>
      <c r="I109" s="7" t="str">
        <f>IF(ISNA(MATCH(96,Engine!$C$2:$C$1199,0)),"",INDEX('Compliance Database'!$I$2:$I$1199,MATCH(96,Engine!$C$2:$C$1199,0)))</f>
        <v/>
      </c>
      <c r="J109" s="6" t="str">
        <f>IF(ISNA(MATCH(96,Engine!$C$2:$C$1199,0)),"",INDEX('Compliance Database'!$J$2:$J$1199,MATCH(96,Engine!$C$2:$C$1199,0)))</f>
        <v/>
      </c>
      <c r="K109" s="7" t="str">
        <f>IF(ISNA(MATCH(96,Engine!$C$2:$C$1199,0)),"",INDEX('Compliance Database'!$K$2:$K$1199,MATCH(96,Engine!$C$2:$C$1199,0)))</f>
        <v/>
      </c>
      <c r="L109" s="7" t="str">
        <f>IF(ISNA(MATCH(96,Engine!$C$2:$C$1199,0)),"",INDEX('Compliance Database'!$L$2:$L$1199,MATCH(96,Engine!$C$2:$C$1199,0)))</f>
        <v/>
      </c>
      <c r="M109" s="7" t="str">
        <f>IF(ISNA(MATCH(96,Engine!$C$2:$C$1199,0)),"",INDEX('Compliance Database'!$M$2:$M$1199,MATCH(96,Engine!$C$2:$C$1199,0)))</f>
        <v/>
      </c>
      <c r="N109" s="7" t="str">
        <f>IF(ISNA(MATCH(96,Engine!$C$2:$C$1199,0)),"",INDEX('Compliance Database'!$N$2:$N$1199,MATCH(96,Engine!$C$2:$C$1199,0)))</f>
        <v/>
      </c>
      <c r="O109" s="7" t="str">
        <f>IF(ISNA(MATCH(96,Engine!$C$2:$C$1199,0)),"",INDEX('Compliance Database'!$O$2:$O$1199,MATCH(96,Engine!$C$2:$C$1199,0)))</f>
        <v/>
      </c>
      <c r="P109" s="6" t="str">
        <f>IF(ISNA(MATCH(96,Engine!$C$2:$C$1199,0)),"",HYPERLINK("#Acts!A"&amp;INDEX('Compliance Database'!$P$2:$P$1199,MATCH(96,Engine!$C$2:$C$1199,0)),"Go to Act"))</f>
        <v/>
      </c>
    </row>
    <row r="110" spans="1:16" ht="172.95" customHeight="1" x14ac:dyDescent="0.3">
      <c r="A110" s="6" t="str">
        <f>IF(ISNA(MATCH(97,Engine!$C$2:$C$1199,0)),"",INDEX('Compliance Database'!$A$2:$A$1199,MATCH(97,Engine!$C$2:$C$1199,0)))</f>
        <v/>
      </c>
      <c r="B110" s="6" t="str">
        <f>IF(ISNA(MATCH(97,Engine!$C$2:$C$1199,0)),"",INDEX('Compliance Database'!$B$2:$B$1199,MATCH(97,Engine!$C$2:$C$1199,0)))</f>
        <v/>
      </c>
      <c r="C110" s="6" t="str">
        <f>IF(ISNA(MATCH(97,Engine!$C$2:$C$1199,0)),"",INDEX('Compliance Database'!$C$2:$C$1199,MATCH(97,Engine!$C$2:$C$1199,0)))</f>
        <v/>
      </c>
      <c r="D110" s="7" t="str">
        <f>IF(ISNA(MATCH(97,Engine!$C$2:$C$1199,0)),"",INDEX('Compliance Database'!$D$2:$D$1199,MATCH(97,Engine!$C$2:$C$1199,0)))</f>
        <v/>
      </c>
      <c r="E110" s="6" t="str">
        <f>IF(ISNA(MATCH(97,Engine!$C$2:$C$1199,0)),"",INDEX('Compliance Database'!$E$2:$E$1199,MATCH(97,Engine!$C$2:$C$1199,0)))</f>
        <v/>
      </c>
      <c r="F110" s="6" t="str">
        <f>IF(ISNA(MATCH(97,Engine!$C$2:$C$1199,0)),"",INDEX('Compliance Database'!$F$2:$F$1199,MATCH(97,Engine!$C$2:$C$1199,0)))</f>
        <v/>
      </c>
      <c r="G110" s="6" t="str">
        <f>IF(ISNA(MATCH(97,Engine!$C$2:$C$1199,0)),"",INDEX('Compliance Database'!$G$2:$G$1199,MATCH(97,Engine!$C$2:$C$1199,0)))</f>
        <v/>
      </c>
      <c r="H110" s="7" t="str">
        <f>IF(ISNA(MATCH(97,Engine!$C$2:$C$1199,0)),"",INDEX('Compliance Database'!$H$2:$H$1199,MATCH(97,Engine!$C$2:$C$1199,0)))</f>
        <v/>
      </c>
      <c r="I110" s="7" t="str">
        <f>IF(ISNA(MATCH(97,Engine!$C$2:$C$1199,0)),"",INDEX('Compliance Database'!$I$2:$I$1199,MATCH(97,Engine!$C$2:$C$1199,0)))</f>
        <v/>
      </c>
      <c r="J110" s="6" t="str">
        <f>IF(ISNA(MATCH(97,Engine!$C$2:$C$1199,0)),"",INDEX('Compliance Database'!$J$2:$J$1199,MATCH(97,Engine!$C$2:$C$1199,0)))</f>
        <v/>
      </c>
      <c r="K110" s="7" t="str">
        <f>IF(ISNA(MATCH(97,Engine!$C$2:$C$1199,0)),"",INDEX('Compliance Database'!$K$2:$K$1199,MATCH(97,Engine!$C$2:$C$1199,0)))</f>
        <v/>
      </c>
      <c r="L110" s="7" t="str">
        <f>IF(ISNA(MATCH(97,Engine!$C$2:$C$1199,0)),"",INDEX('Compliance Database'!$L$2:$L$1199,MATCH(97,Engine!$C$2:$C$1199,0)))</f>
        <v/>
      </c>
      <c r="M110" s="7" t="str">
        <f>IF(ISNA(MATCH(97,Engine!$C$2:$C$1199,0)),"",INDEX('Compliance Database'!$M$2:$M$1199,MATCH(97,Engine!$C$2:$C$1199,0)))</f>
        <v/>
      </c>
      <c r="N110" s="7" t="str">
        <f>IF(ISNA(MATCH(97,Engine!$C$2:$C$1199,0)),"",INDEX('Compliance Database'!$N$2:$N$1199,MATCH(97,Engine!$C$2:$C$1199,0)))</f>
        <v/>
      </c>
      <c r="O110" s="7" t="str">
        <f>IF(ISNA(MATCH(97,Engine!$C$2:$C$1199,0)),"",INDEX('Compliance Database'!$O$2:$O$1199,MATCH(97,Engine!$C$2:$C$1199,0)))</f>
        <v/>
      </c>
      <c r="P110" s="6" t="str">
        <f>IF(ISNA(MATCH(97,Engine!$C$2:$C$1199,0)),"",HYPERLINK("#Acts!A"&amp;INDEX('Compliance Database'!$P$2:$P$1199,MATCH(97,Engine!$C$2:$C$1199,0)),"Go to Act"))</f>
        <v/>
      </c>
    </row>
    <row r="111" spans="1:16" ht="172.95" customHeight="1" x14ac:dyDescent="0.3">
      <c r="A111" s="6" t="str">
        <f>IF(ISNA(MATCH(98,Engine!$C$2:$C$1199,0)),"",INDEX('Compliance Database'!$A$2:$A$1199,MATCH(98,Engine!$C$2:$C$1199,0)))</f>
        <v/>
      </c>
      <c r="B111" s="6" t="str">
        <f>IF(ISNA(MATCH(98,Engine!$C$2:$C$1199,0)),"",INDEX('Compliance Database'!$B$2:$B$1199,MATCH(98,Engine!$C$2:$C$1199,0)))</f>
        <v/>
      </c>
      <c r="C111" s="6" t="str">
        <f>IF(ISNA(MATCH(98,Engine!$C$2:$C$1199,0)),"",INDEX('Compliance Database'!$C$2:$C$1199,MATCH(98,Engine!$C$2:$C$1199,0)))</f>
        <v/>
      </c>
      <c r="D111" s="7" t="str">
        <f>IF(ISNA(MATCH(98,Engine!$C$2:$C$1199,0)),"",INDEX('Compliance Database'!$D$2:$D$1199,MATCH(98,Engine!$C$2:$C$1199,0)))</f>
        <v/>
      </c>
      <c r="E111" s="6" t="str">
        <f>IF(ISNA(MATCH(98,Engine!$C$2:$C$1199,0)),"",INDEX('Compliance Database'!$E$2:$E$1199,MATCH(98,Engine!$C$2:$C$1199,0)))</f>
        <v/>
      </c>
      <c r="F111" s="6" t="str">
        <f>IF(ISNA(MATCH(98,Engine!$C$2:$C$1199,0)),"",INDEX('Compliance Database'!$F$2:$F$1199,MATCH(98,Engine!$C$2:$C$1199,0)))</f>
        <v/>
      </c>
      <c r="G111" s="6" t="str">
        <f>IF(ISNA(MATCH(98,Engine!$C$2:$C$1199,0)),"",INDEX('Compliance Database'!$G$2:$G$1199,MATCH(98,Engine!$C$2:$C$1199,0)))</f>
        <v/>
      </c>
      <c r="H111" s="7" t="str">
        <f>IF(ISNA(MATCH(98,Engine!$C$2:$C$1199,0)),"",INDEX('Compliance Database'!$H$2:$H$1199,MATCH(98,Engine!$C$2:$C$1199,0)))</f>
        <v/>
      </c>
      <c r="I111" s="7" t="str">
        <f>IF(ISNA(MATCH(98,Engine!$C$2:$C$1199,0)),"",INDEX('Compliance Database'!$I$2:$I$1199,MATCH(98,Engine!$C$2:$C$1199,0)))</f>
        <v/>
      </c>
      <c r="J111" s="6" t="str">
        <f>IF(ISNA(MATCH(98,Engine!$C$2:$C$1199,0)),"",INDEX('Compliance Database'!$J$2:$J$1199,MATCH(98,Engine!$C$2:$C$1199,0)))</f>
        <v/>
      </c>
      <c r="K111" s="7" t="str">
        <f>IF(ISNA(MATCH(98,Engine!$C$2:$C$1199,0)),"",INDEX('Compliance Database'!$K$2:$K$1199,MATCH(98,Engine!$C$2:$C$1199,0)))</f>
        <v/>
      </c>
      <c r="L111" s="7" t="str">
        <f>IF(ISNA(MATCH(98,Engine!$C$2:$C$1199,0)),"",INDEX('Compliance Database'!$L$2:$L$1199,MATCH(98,Engine!$C$2:$C$1199,0)))</f>
        <v/>
      </c>
      <c r="M111" s="7" t="str">
        <f>IF(ISNA(MATCH(98,Engine!$C$2:$C$1199,0)),"",INDEX('Compliance Database'!$M$2:$M$1199,MATCH(98,Engine!$C$2:$C$1199,0)))</f>
        <v/>
      </c>
      <c r="N111" s="7" t="str">
        <f>IF(ISNA(MATCH(98,Engine!$C$2:$C$1199,0)),"",INDEX('Compliance Database'!$N$2:$N$1199,MATCH(98,Engine!$C$2:$C$1199,0)))</f>
        <v/>
      </c>
      <c r="O111" s="7" t="str">
        <f>IF(ISNA(MATCH(98,Engine!$C$2:$C$1199,0)),"",INDEX('Compliance Database'!$O$2:$O$1199,MATCH(98,Engine!$C$2:$C$1199,0)))</f>
        <v/>
      </c>
      <c r="P111" s="6" t="str">
        <f>IF(ISNA(MATCH(98,Engine!$C$2:$C$1199,0)),"",HYPERLINK("#Acts!A"&amp;INDEX('Compliance Database'!$P$2:$P$1199,MATCH(98,Engine!$C$2:$C$1199,0)),"Go to Act"))</f>
        <v/>
      </c>
    </row>
    <row r="112" spans="1:16" ht="172.95" customHeight="1" x14ac:dyDescent="0.3">
      <c r="A112" s="6" t="str">
        <f>IF(ISNA(MATCH(99,Engine!$C$2:$C$1199,0)),"",INDEX('Compliance Database'!$A$2:$A$1199,MATCH(99,Engine!$C$2:$C$1199,0)))</f>
        <v/>
      </c>
      <c r="B112" s="6" t="str">
        <f>IF(ISNA(MATCH(99,Engine!$C$2:$C$1199,0)),"",INDEX('Compliance Database'!$B$2:$B$1199,MATCH(99,Engine!$C$2:$C$1199,0)))</f>
        <v/>
      </c>
      <c r="C112" s="6" t="str">
        <f>IF(ISNA(MATCH(99,Engine!$C$2:$C$1199,0)),"",INDEX('Compliance Database'!$C$2:$C$1199,MATCH(99,Engine!$C$2:$C$1199,0)))</f>
        <v/>
      </c>
      <c r="D112" s="7" t="str">
        <f>IF(ISNA(MATCH(99,Engine!$C$2:$C$1199,0)),"",INDEX('Compliance Database'!$D$2:$D$1199,MATCH(99,Engine!$C$2:$C$1199,0)))</f>
        <v/>
      </c>
      <c r="E112" s="6" t="str">
        <f>IF(ISNA(MATCH(99,Engine!$C$2:$C$1199,0)),"",INDEX('Compliance Database'!$E$2:$E$1199,MATCH(99,Engine!$C$2:$C$1199,0)))</f>
        <v/>
      </c>
      <c r="F112" s="6" t="str">
        <f>IF(ISNA(MATCH(99,Engine!$C$2:$C$1199,0)),"",INDEX('Compliance Database'!$F$2:$F$1199,MATCH(99,Engine!$C$2:$C$1199,0)))</f>
        <v/>
      </c>
      <c r="G112" s="6" t="str">
        <f>IF(ISNA(MATCH(99,Engine!$C$2:$C$1199,0)),"",INDEX('Compliance Database'!$G$2:$G$1199,MATCH(99,Engine!$C$2:$C$1199,0)))</f>
        <v/>
      </c>
      <c r="H112" s="7" t="str">
        <f>IF(ISNA(MATCH(99,Engine!$C$2:$C$1199,0)),"",INDEX('Compliance Database'!$H$2:$H$1199,MATCH(99,Engine!$C$2:$C$1199,0)))</f>
        <v/>
      </c>
      <c r="I112" s="7" t="str">
        <f>IF(ISNA(MATCH(99,Engine!$C$2:$C$1199,0)),"",INDEX('Compliance Database'!$I$2:$I$1199,MATCH(99,Engine!$C$2:$C$1199,0)))</f>
        <v/>
      </c>
      <c r="J112" s="6" t="str">
        <f>IF(ISNA(MATCH(99,Engine!$C$2:$C$1199,0)),"",INDEX('Compliance Database'!$J$2:$J$1199,MATCH(99,Engine!$C$2:$C$1199,0)))</f>
        <v/>
      </c>
      <c r="K112" s="7" t="str">
        <f>IF(ISNA(MATCH(99,Engine!$C$2:$C$1199,0)),"",INDEX('Compliance Database'!$K$2:$K$1199,MATCH(99,Engine!$C$2:$C$1199,0)))</f>
        <v/>
      </c>
      <c r="L112" s="7" t="str">
        <f>IF(ISNA(MATCH(99,Engine!$C$2:$C$1199,0)),"",INDEX('Compliance Database'!$L$2:$L$1199,MATCH(99,Engine!$C$2:$C$1199,0)))</f>
        <v/>
      </c>
      <c r="M112" s="7" t="str">
        <f>IF(ISNA(MATCH(99,Engine!$C$2:$C$1199,0)),"",INDEX('Compliance Database'!$M$2:$M$1199,MATCH(99,Engine!$C$2:$C$1199,0)))</f>
        <v/>
      </c>
      <c r="N112" s="7" t="str">
        <f>IF(ISNA(MATCH(99,Engine!$C$2:$C$1199,0)),"",INDEX('Compliance Database'!$N$2:$N$1199,MATCH(99,Engine!$C$2:$C$1199,0)))</f>
        <v/>
      </c>
      <c r="O112" s="7" t="str">
        <f>IF(ISNA(MATCH(99,Engine!$C$2:$C$1199,0)),"",INDEX('Compliance Database'!$O$2:$O$1199,MATCH(99,Engine!$C$2:$C$1199,0)))</f>
        <v/>
      </c>
      <c r="P112" s="6" t="str">
        <f>IF(ISNA(MATCH(99,Engine!$C$2:$C$1199,0)),"",HYPERLINK("#Acts!A"&amp;INDEX('Compliance Database'!$P$2:$P$1199,MATCH(99,Engine!$C$2:$C$1199,0)),"Go to Act"))</f>
        <v/>
      </c>
    </row>
    <row r="113" spans="1:16" ht="172.95" customHeight="1" x14ac:dyDescent="0.3">
      <c r="A113" s="6" t="str">
        <f>IF(ISNA(MATCH(100,Engine!$C$2:$C$1199,0)),"",INDEX('Compliance Database'!$A$2:$A$1199,MATCH(100,Engine!$C$2:$C$1199,0)))</f>
        <v/>
      </c>
      <c r="B113" s="6" t="str">
        <f>IF(ISNA(MATCH(100,Engine!$C$2:$C$1199,0)),"",INDEX('Compliance Database'!$B$2:$B$1199,MATCH(100,Engine!$C$2:$C$1199,0)))</f>
        <v/>
      </c>
      <c r="C113" s="6" t="str">
        <f>IF(ISNA(MATCH(100,Engine!$C$2:$C$1199,0)),"",INDEX('Compliance Database'!$C$2:$C$1199,MATCH(100,Engine!$C$2:$C$1199,0)))</f>
        <v/>
      </c>
      <c r="D113" s="7" t="str">
        <f>IF(ISNA(MATCH(100,Engine!$C$2:$C$1199,0)),"",INDEX('Compliance Database'!$D$2:$D$1199,MATCH(100,Engine!$C$2:$C$1199,0)))</f>
        <v/>
      </c>
      <c r="E113" s="6" t="str">
        <f>IF(ISNA(MATCH(100,Engine!$C$2:$C$1199,0)),"",INDEX('Compliance Database'!$E$2:$E$1199,MATCH(100,Engine!$C$2:$C$1199,0)))</f>
        <v/>
      </c>
      <c r="F113" s="6" t="str">
        <f>IF(ISNA(MATCH(100,Engine!$C$2:$C$1199,0)),"",INDEX('Compliance Database'!$F$2:$F$1199,MATCH(100,Engine!$C$2:$C$1199,0)))</f>
        <v/>
      </c>
      <c r="G113" s="6" t="str">
        <f>IF(ISNA(MATCH(100,Engine!$C$2:$C$1199,0)),"",INDEX('Compliance Database'!$G$2:$G$1199,MATCH(100,Engine!$C$2:$C$1199,0)))</f>
        <v/>
      </c>
      <c r="H113" s="7" t="str">
        <f>IF(ISNA(MATCH(100,Engine!$C$2:$C$1199,0)),"",INDEX('Compliance Database'!$H$2:$H$1199,MATCH(100,Engine!$C$2:$C$1199,0)))</f>
        <v/>
      </c>
      <c r="I113" s="7" t="str">
        <f>IF(ISNA(MATCH(100,Engine!$C$2:$C$1199,0)),"",INDEX('Compliance Database'!$I$2:$I$1199,MATCH(100,Engine!$C$2:$C$1199,0)))</f>
        <v/>
      </c>
      <c r="J113" s="6" t="str">
        <f>IF(ISNA(MATCH(100,Engine!$C$2:$C$1199,0)),"",INDEX('Compliance Database'!$J$2:$J$1199,MATCH(100,Engine!$C$2:$C$1199,0)))</f>
        <v/>
      </c>
      <c r="K113" s="7" t="str">
        <f>IF(ISNA(MATCH(100,Engine!$C$2:$C$1199,0)),"",INDEX('Compliance Database'!$K$2:$K$1199,MATCH(100,Engine!$C$2:$C$1199,0)))</f>
        <v/>
      </c>
      <c r="L113" s="7" t="str">
        <f>IF(ISNA(MATCH(100,Engine!$C$2:$C$1199,0)),"",INDEX('Compliance Database'!$L$2:$L$1199,MATCH(100,Engine!$C$2:$C$1199,0)))</f>
        <v/>
      </c>
      <c r="M113" s="7" t="str">
        <f>IF(ISNA(MATCH(100,Engine!$C$2:$C$1199,0)),"",INDEX('Compliance Database'!$M$2:$M$1199,MATCH(100,Engine!$C$2:$C$1199,0)))</f>
        <v/>
      </c>
      <c r="N113" s="7" t="str">
        <f>IF(ISNA(MATCH(100,Engine!$C$2:$C$1199,0)),"",INDEX('Compliance Database'!$N$2:$N$1199,MATCH(100,Engine!$C$2:$C$1199,0)))</f>
        <v/>
      </c>
      <c r="O113" s="7" t="str">
        <f>IF(ISNA(MATCH(100,Engine!$C$2:$C$1199,0)),"",INDEX('Compliance Database'!$O$2:$O$1199,MATCH(100,Engine!$C$2:$C$1199,0)))</f>
        <v/>
      </c>
      <c r="P113" s="6" t="str">
        <f>IF(ISNA(MATCH(100,Engine!$C$2:$C$1199,0)),"",HYPERLINK("#Acts!A"&amp;INDEX('Compliance Database'!$P$2:$P$1199,MATCH(100,Engine!$C$2:$C$1199,0)),"Go to Act"))</f>
        <v/>
      </c>
    </row>
    <row r="114" spans="1:16" ht="172.95" customHeight="1" x14ac:dyDescent="0.3">
      <c r="A114" s="6" t="str">
        <f>IF(ISNA(MATCH(101,Engine!$C$2:$C$1199,0)),"",INDEX('Compliance Database'!$A$2:$A$1199,MATCH(101,Engine!$C$2:$C$1199,0)))</f>
        <v/>
      </c>
      <c r="B114" s="6" t="str">
        <f>IF(ISNA(MATCH(101,Engine!$C$2:$C$1199,0)),"",INDEX('Compliance Database'!$B$2:$B$1199,MATCH(101,Engine!$C$2:$C$1199,0)))</f>
        <v/>
      </c>
      <c r="C114" s="6" t="str">
        <f>IF(ISNA(MATCH(101,Engine!$C$2:$C$1199,0)),"",INDEX('Compliance Database'!$C$2:$C$1199,MATCH(101,Engine!$C$2:$C$1199,0)))</f>
        <v/>
      </c>
      <c r="D114" s="7" t="str">
        <f>IF(ISNA(MATCH(101,Engine!$C$2:$C$1199,0)),"",INDEX('Compliance Database'!$D$2:$D$1199,MATCH(101,Engine!$C$2:$C$1199,0)))</f>
        <v/>
      </c>
      <c r="E114" s="6" t="str">
        <f>IF(ISNA(MATCH(101,Engine!$C$2:$C$1199,0)),"",INDEX('Compliance Database'!$E$2:$E$1199,MATCH(101,Engine!$C$2:$C$1199,0)))</f>
        <v/>
      </c>
      <c r="F114" s="6" t="str">
        <f>IF(ISNA(MATCH(101,Engine!$C$2:$C$1199,0)),"",INDEX('Compliance Database'!$F$2:$F$1199,MATCH(101,Engine!$C$2:$C$1199,0)))</f>
        <v/>
      </c>
      <c r="G114" s="6" t="str">
        <f>IF(ISNA(MATCH(101,Engine!$C$2:$C$1199,0)),"",INDEX('Compliance Database'!$G$2:$G$1199,MATCH(101,Engine!$C$2:$C$1199,0)))</f>
        <v/>
      </c>
      <c r="H114" s="7" t="str">
        <f>IF(ISNA(MATCH(101,Engine!$C$2:$C$1199,0)),"",INDEX('Compliance Database'!$H$2:$H$1199,MATCH(101,Engine!$C$2:$C$1199,0)))</f>
        <v/>
      </c>
      <c r="I114" s="7" t="str">
        <f>IF(ISNA(MATCH(101,Engine!$C$2:$C$1199,0)),"",INDEX('Compliance Database'!$I$2:$I$1199,MATCH(101,Engine!$C$2:$C$1199,0)))</f>
        <v/>
      </c>
      <c r="J114" s="6" t="str">
        <f>IF(ISNA(MATCH(101,Engine!$C$2:$C$1199,0)),"",INDEX('Compliance Database'!$J$2:$J$1199,MATCH(101,Engine!$C$2:$C$1199,0)))</f>
        <v/>
      </c>
      <c r="K114" s="7" t="str">
        <f>IF(ISNA(MATCH(101,Engine!$C$2:$C$1199,0)),"",INDEX('Compliance Database'!$K$2:$K$1199,MATCH(101,Engine!$C$2:$C$1199,0)))</f>
        <v/>
      </c>
      <c r="L114" s="7" t="str">
        <f>IF(ISNA(MATCH(101,Engine!$C$2:$C$1199,0)),"",INDEX('Compliance Database'!$L$2:$L$1199,MATCH(101,Engine!$C$2:$C$1199,0)))</f>
        <v/>
      </c>
      <c r="M114" s="7" t="str">
        <f>IF(ISNA(MATCH(101,Engine!$C$2:$C$1199,0)),"",INDEX('Compliance Database'!$M$2:$M$1199,MATCH(101,Engine!$C$2:$C$1199,0)))</f>
        <v/>
      </c>
      <c r="N114" s="7" t="str">
        <f>IF(ISNA(MATCH(101,Engine!$C$2:$C$1199,0)),"",INDEX('Compliance Database'!$N$2:$N$1199,MATCH(101,Engine!$C$2:$C$1199,0)))</f>
        <v/>
      </c>
      <c r="O114" s="7" t="str">
        <f>IF(ISNA(MATCH(101,Engine!$C$2:$C$1199,0)),"",INDEX('Compliance Database'!$O$2:$O$1199,MATCH(101,Engine!$C$2:$C$1199,0)))</f>
        <v/>
      </c>
      <c r="P114" s="6" t="str">
        <f>IF(ISNA(MATCH(101,Engine!$C$2:$C$1199,0)),"",HYPERLINK("#Acts!A"&amp;INDEX('Compliance Database'!$P$2:$P$1199,MATCH(101,Engine!$C$2:$C$1199,0)),"Go to Act"))</f>
        <v/>
      </c>
    </row>
    <row r="115" spans="1:16" ht="172.95" customHeight="1" x14ac:dyDescent="0.3">
      <c r="A115" s="6" t="str">
        <f>IF(ISNA(MATCH(102,Engine!$C$2:$C$1199,0)),"",INDEX('Compliance Database'!$A$2:$A$1199,MATCH(102,Engine!$C$2:$C$1199,0)))</f>
        <v/>
      </c>
      <c r="B115" s="6" t="str">
        <f>IF(ISNA(MATCH(102,Engine!$C$2:$C$1199,0)),"",INDEX('Compliance Database'!$B$2:$B$1199,MATCH(102,Engine!$C$2:$C$1199,0)))</f>
        <v/>
      </c>
      <c r="C115" s="6" t="str">
        <f>IF(ISNA(MATCH(102,Engine!$C$2:$C$1199,0)),"",INDEX('Compliance Database'!$C$2:$C$1199,MATCH(102,Engine!$C$2:$C$1199,0)))</f>
        <v/>
      </c>
      <c r="D115" s="7" t="str">
        <f>IF(ISNA(MATCH(102,Engine!$C$2:$C$1199,0)),"",INDEX('Compliance Database'!$D$2:$D$1199,MATCH(102,Engine!$C$2:$C$1199,0)))</f>
        <v/>
      </c>
      <c r="E115" s="6" t="str">
        <f>IF(ISNA(MATCH(102,Engine!$C$2:$C$1199,0)),"",INDEX('Compliance Database'!$E$2:$E$1199,MATCH(102,Engine!$C$2:$C$1199,0)))</f>
        <v/>
      </c>
      <c r="F115" s="6" t="str">
        <f>IF(ISNA(MATCH(102,Engine!$C$2:$C$1199,0)),"",INDEX('Compliance Database'!$F$2:$F$1199,MATCH(102,Engine!$C$2:$C$1199,0)))</f>
        <v/>
      </c>
      <c r="G115" s="6" t="str">
        <f>IF(ISNA(MATCH(102,Engine!$C$2:$C$1199,0)),"",INDEX('Compliance Database'!$G$2:$G$1199,MATCH(102,Engine!$C$2:$C$1199,0)))</f>
        <v/>
      </c>
      <c r="H115" s="7" t="str">
        <f>IF(ISNA(MATCH(102,Engine!$C$2:$C$1199,0)),"",INDEX('Compliance Database'!$H$2:$H$1199,MATCH(102,Engine!$C$2:$C$1199,0)))</f>
        <v/>
      </c>
      <c r="I115" s="7" t="str">
        <f>IF(ISNA(MATCH(102,Engine!$C$2:$C$1199,0)),"",INDEX('Compliance Database'!$I$2:$I$1199,MATCH(102,Engine!$C$2:$C$1199,0)))</f>
        <v/>
      </c>
      <c r="J115" s="6" t="str">
        <f>IF(ISNA(MATCH(102,Engine!$C$2:$C$1199,0)),"",INDEX('Compliance Database'!$J$2:$J$1199,MATCH(102,Engine!$C$2:$C$1199,0)))</f>
        <v/>
      </c>
      <c r="K115" s="7" t="str">
        <f>IF(ISNA(MATCH(102,Engine!$C$2:$C$1199,0)),"",INDEX('Compliance Database'!$K$2:$K$1199,MATCH(102,Engine!$C$2:$C$1199,0)))</f>
        <v/>
      </c>
      <c r="L115" s="7" t="str">
        <f>IF(ISNA(MATCH(102,Engine!$C$2:$C$1199,0)),"",INDEX('Compliance Database'!$L$2:$L$1199,MATCH(102,Engine!$C$2:$C$1199,0)))</f>
        <v/>
      </c>
      <c r="M115" s="7" t="str">
        <f>IF(ISNA(MATCH(102,Engine!$C$2:$C$1199,0)),"",INDEX('Compliance Database'!$M$2:$M$1199,MATCH(102,Engine!$C$2:$C$1199,0)))</f>
        <v/>
      </c>
      <c r="N115" s="7" t="str">
        <f>IF(ISNA(MATCH(102,Engine!$C$2:$C$1199,0)),"",INDEX('Compliance Database'!$N$2:$N$1199,MATCH(102,Engine!$C$2:$C$1199,0)))</f>
        <v/>
      </c>
      <c r="O115" s="7" t="str">
        <f>IF(ISNA(MATCH(102,Engine!$C$2:$C$1199,0)),"",INDEX('Compliance Database'!$O$2:$O$1199,MATCH(102,Engine!$C$2:$C$1199,0)))</f>
        <v/>
      </c>
      <c r="P115" s="6" t="str">
        <f>IF(ISNA(MATCH(102,Engine!$C$2:$C$1199,0)),"",HYPERLINK("#Acts!A"&amp;INDEX('Compliance Database'!$P$2:$P$1199,MATCH(102,Engine!$C$2:$C$1199,0)),"Go to Act"))</f>
        <v/>
      </c>
    </row>
    <row r="116" spans="1:16" ht="172.95" customHeight="1" x14ac:dyDescent="0.3">
      <c r="A116" s="6" t="str">
        <f>IF(ISNA(MATCH(103,Engine!$C$2:$C$1199,0)),"",INDEX('Compliance Database'!$A$2:$A$1199,MATCH(103,Engine!$C$2:$C$1199,0)))</f>
        <v/>
      </c>
      <c r="B116" s="6" t="str">
        <f>IF(ISNA(MATCH(103,Engine!$C$2:$C$1199,0)),"",INDEX('Compliance Database'!$B$2:$B$1199,MATCH(103,Engine!$C$2:$C$1199,0)))</f>
        <v/>
      </c>
      <c r="C116" s="6" t="str">
        <f>IF(ISNA(MATCH(103,Engine!$C$2:$C$1199,0)),"",INDEX('Compliance Database'!$C$2:$C$1199,MATCH(103,Engine!$C$2:$C$1199,0)))</f>
        <v/>
      </c>
      <c r="D116" s="7" t="str">
        <f>IF(ISNA(MATCH(103,Engine!$C$2:$C$1199,0)),"",INDEX('Compliance Database'!$D$2:$D$1199,MATCH(103,Engine!$C$2:$C$1199,0)))</f>
        <v/>
      </c>
      <c r="E116" s="6" t="str">
        <f>IF(ISNA(MATCH(103,Engine!$C$2:$C$1199,0)),"",INDEX('Compliance Database'!$E$2:$E$1199,MATCH(103,Engine!$C$2:$C$1199,0)))</f>
        <v/>
      </c>
      <c r="F116" s="6" t="str">
        <f>IF(ISNA(MATCH(103,Engine!$C$2:$C$1199,0)),"",INDEX('Compliance Database'!$F$2:$F$1199,MATCH(103,Engine!$C$2:$C$1199,0)))</f>
        <v/>
      </c>
      <c r="G116" s="6" t="str">
        <f>IF(ISNA(MATCH(103,Engine!$C$2:$C$1199,0)),"",INDEX('Compliance Database'!$G$2:$G$1199,MATCH(103,Engine!$C$2:$C$1199,0)))</f>
        <v/>
      </c>
      <c r="H116" s="7" t="str">
        <f>IF(ISNA(MATCH(103,Engine!$C$2:$C$1199,0)),"",INDEX('Compliance Database'!$H$2:$H$1199,MATCH(103,Engine!$C$2:$C$1199,0)))</f>
        <v/>
      </c>
      <c r="I116" s="7" t="str">
        <f>IF(ISNA(MATCH(103,Engine!$C$2:$C$1199,0)),"",INDEX('Compliance Database'!$I$2:$I$1199,MATCH(103,Engine!$C$2:$C$1199,0)))</f>
        <v/>
      </c>
      <c r="J116" s="6" t="str">
        <f>IF(ISNA(MATCH(103,Engine!$C$2:$C$1199,0)),"",INDEX('Compliance Database'!$J$2:$J$1199,MATCH(103,Engine!$C$2:$C$1199,0)))</f>
        <v/>
      </c>
      <c r="K116" s="7" t="str">
        <f>IF(ISNA(MATCH(103,Engine!$C$2:$C$1199,0)),"",INDEX('Compliance Database'!$K$2:$K$1199,MATCH(103,Engine!$C$2:$C$1199,0)))</f>
        <v/>
      </c>
      <c r="L116" s="7" t="str">
        <f>IF(ISNA(MATCH(103,Engine!$C$2:$C$1199,0)),"",INDEX('Compliance Database'!$L$2:$L$1199,MATCH(103,Engine!$C$2:$C$1199,0)))</f>
        <v/>
      </c>
      <c r="M116" s="7" t="str">
        <f>IF(ISNA(MATCH(103,Engine!$C$2:$C$1199,0)),"",INDEX('Compliance Database'!$M$2:$M$1199,MATCH(103,Engine!$C$2:$C$1199,0)))</f>
        <v/>
      </c>
      <c r="N116" s="7" t="str">
        <f>IF(ISNA(MATCH(103,Engine!$C$2:$C$1199,0)),"",INDEX('Compliance Database'!$N$2:$N$1199,MATCH(103,Engine!$C$2:$C$1199,0)))</f>
        <v/>
      </c>
      <c r="O116" s="7" t="str">
        <f>IF(ISNA(MATCH(103,Engine!$C$2:$C$1199,0)),"",INDEX('Compliance Database'!$O$2:$O$1199,MATCH(103,Engine!$C$2:$C$1199,0)))</f>
        <v/>
      </c>
      <c r="P116" s="6" t="str">
        <f>IF(ISNA(MATCH(103,Engine!$C$2:$C$1199,0)),"",HYPERLINK("#Acts!A"&amp;INDEX('Compliance Database'!$P$2:$P$1199,MATCH(103,Engine!$C$2:$C$1199,0)),"Go to Act"))</f>
        <v/>
      </c>
    </row>
    <row r="117" spans="1:16" ht="172.95" customHeight="1" x14ac:dyDescent="0.3">
      <c r="A117" s="6" t="str">
        <f>IF(ISNA(MATCH(104,Engine!$C$2:$C$1199,0)),"",INDEX('Compliance Database'!$A$2:$A$1199,MATCH(104,Engine!$C$2:$C$1199,0)))</f>
        <v/>
      </c>
      <c r="B117" s="6" t="str">
        <f>IF(ISNA(MATCH(104,Engine!$C$2:$C$1199,0)),"",INDEX('Compliance Database'!$B$2:$B$1199,MATCH(104,Engine!$C$2:$C$1199,0)))</f>
        <v/>
      </c>
      <c r="C117" s="6" t="str">
        <f>IF(ISNA(MATCH(104,Engine!$C$2:$C$1199,0)),"",INDEX('Compliance Database'!$C$2:$C$1199,MATCH(104,Engine!$C$2:$C$1199,0)))</f>
        <v/>
      </c>
      <c r="D117" s="7" t="str">
        <f>IF(ISNA(MATCH(104,Engine!$C$2:$C$1199,0)),"",INDEX('Compliance Database'!$D$2:$D$1199,MATCH(104,Engine!$C$2:$C$1199,0)))</f>
        <v/>
      </c>
      <c r="E117" s="6" t="str">
        <f>IF(ISNA(MATCH(104,Engine!$C$2:$C$1199,0)),"",INDEX('Compliance Database'!$E$2:$E$1199,MATCH(104,Engine!$C$2:$C$1199,0)))</f>
        <v/>
      </c>
      <c r="F117" s="6" t="str">
        <f>IF(ISNA(MATCH(104,Engine!$C$2:$C$1199,0)),"",INDEX('Compliance Database'!$F$2:$F$1199,MATCH(104,Engine!$C$2:$C$1199,0)))</f>
        <v/>
      </c>
      <c r="G117" s="6" t="str">
        <f>IF(ISNA(MATCH(104,Engine!$C$2:$C$1199,0)),"",INDEX('Compliance Database'!$G$2:$G$1199,MATCH(104,Engine!$C$2:$C$1199,0)))</f>
        <v/>
      </c>
      <c r="H117" s="7" t="str">
        <f>IF(ISNA(MATCH(104,Engine!$C$2:$C$1199,0)),"",INDEX('Compliance Database'!$H$2:$H$1199,MATCH(104,Engine!$C$2:$C$1199,0)))</f>
        <v/>
      </c>
      <c r="I117" s="7" t="str">
        <f>IF(ISNA(MATCH(104,Engine!$C$2:$C$1199,0)),"",INDEX('Compliance Database'!$I$2:$I$1199,MATCH(104,Engine!$C$2:$C$1199,0)))</f>
        <v/>
      </c>
      <c r="J117" s="6" t="str">
        <f>IF(ISNA(MATCH(104,Engine!$C$2:$C$1199,0)),"",INDEX('Compliance Database'!$J$2:$J$1199,MATCH(104,Engine!$C$2:$C$1199,0)))</f>
        <v/>
      </c>
      <c r="K117" s="7" t="str">
        <f>IF(ISNA(MATCH(104,Engine!$C$2:$C$1199,0)),"",INDEX('Compliance Database'!$K$2:$K$1199,MATCH(104,Engine!$C$2:$C$1199,0)))</f>
        <v/>
      </c>
      <c r="L117" s="7" t="str">
        <f>IF(ISNA(MATCH(104,Engine!$C$2:$C$1199,0)),"",INDEX('Compliance Database'!$L$2:$L$1199,MATCH(104,Engine!$C$2:$C$1199,0)))</f>
        <v/>
      </c>
      <c r="M117" s="7" t="str">
        <f>IF(ISNA(MATCH(104,Engine!$C$2:$C$1199,0)),"",INDEX('Compliance Database'!$M$2:$M$1199,MATCH(104,Engine!$C$2:$C$1199,0)))</f>
        <v/>
      </c>
      <c r="N117" s="7" t="str">
        <f>IF(ISNA(MATCH(104,Engine!$C$2:$C$1199,0)),"",INDEX('Compliance Database'!$N$2:$N$1199,MATCH(104,Engine!$C$2:$C$1199,0)))</f>
        <v/>
      </c>
      <c r="O117" s="7" t="str">
        <f>IF(ISNA(MATCH(104,Engine!$C$2:$C$1199,0)),"",INDEX('Compliance Database'!$O$2:$O$1199,MATCH(104,Engine!$C$2:$C$1199,0)))</f>
        <v/>
      </c>
      <c r="P117" s="6" t="str">
        <f>IF(ISNA(MATCH(104,Engine!$C$2:$C$1199,0)),"",HYPERLINK("#Acts!A"&amp;INDEX('Compliance Database'!$P$2:$P$1199,MATCH(104,Engine!$C$2:$C$1199,0)),"Go to Act"))</f>
        <v/>
      </c>
    </row>
    <row r="118" spans="1:16" ht="172.95" customHeight="1" x14ac:dyDescent="0.3">
      <c r="A118" s="6" t="str">
        <f>IF(ISNA(MATCH(105,Engine!$C$2:$C$1199,0)),"",INDEX('Compliance Database'!$A$2:$A$1199,MATCH(105,Engine!$C$2:$C$1199,0)))</f>
        <v/>
      </c>
      <c r="B118" s="6" t="str">
        <f>IF(ISNA(MATCH(105,Engine!$C$2:$C$1199,0)),"",INDEX('Compliance Database'!$B$2:$B$1199,MATCH(105,Engine!$C$2:$C$1199,0)))</f>
        <v/>
      </c>
      <c r="C118" s="6" t="str">
        <f>IF(ISNA(MATCH(105,Engine!$C$2:$C$1199,0)),"",INDEX('Compliance Database'!$C$2:$C$1199,MATCH(105,Engine!$C$2:$C$1199,0)))</f>
        <v/>
      </c>
      <c r="D118" s="7" t="str">
        <f>IF(ISNA(MATCH(105,Engine!$C$2:$C$1199,0)),"",INDEX('Compliance Database'!$D$2:$D$1199,MATCH(105,Engine!$C$2:$C$1199,0)))</f>
        <v/>
      </c>
      <c r="E118" s="6" t="str">
        <f>IF(ISNA(MATCH(105,Engine!$C$2:$C$1199,0)),"",INDEX('Compliance Database'!$E$2:$E$1199,MATCH(105,Engine!$C$2:$C$1199,0)))</f>
        <v/>
      </c>
      <c r="F118" s="6" t="str">
        <f>IF(ISNA(MATCH(105,Engine!$C$2:$C$1199,0)),"",INDEX('Compliance Database'!$F$2:$F$1199,MATCH(105,Engine!$C$2:$C$1199,0)))</f>
        <v/>
      </c>
      <c r="G118" s="6" t="str">
        <f>IF(ISNA(MATCH(105,Engine!$C$2:$C$1199,0)),"",INDEX('Compliance Database'!$G$2:$G$1199,MATCH(105,Engine!$C$2:$C$1199,0)))</f>
        <v/>
      </c>
      <c r="H118" s="7" t="str">
        <f>IF(ISNA(MATCH(105,Engine!$C$2:$C$1199,0)),"",INDEX('Compliance Database'!$H$2:$H$1199,MATCH(105,Engine!$C$2:$C$1199,0)))</f>
        <v/>
      </c>
      <c r="I118" s="7" t="str">
        <f>IF(ISNA(MATCH(105,Engine!$C$2:$C$1199,0)),"",INDEX('Compliance Database'!$I$2:$I$1199,MATCH(105,Engine!$C$2:$C$1199,0)))</f>
        <v/>
      </c>
      <c r="J118" s="6" t="str">
        <f>IF(ISNA(MATCH(105,Engine!$C$2:$C$1199,0)),"",INDEX('Compliance Database'!$J$2:$J$1199,MATCH(105,Engine!$C$2:$C$1199,0)))</f>
        <v/>
      </c>
      <c r="K118" s="7" t="str">
        <f>IF(ISNA(MATCH(105,Engine!$C$2:$C$1199,0)),"",INDEX('Compliance Database'!$K$2:$K$1199,MATCH(105,Engine!$C$2:$C$1199,0)))</f>
        <v/>
      </c>
      <c r="L118" s="7" t="str">
        <f>IF(ISNA(MATCH(105,Engine!$C$2:$C$1199,0)),"",INDEX('Compliance Database'!$L$2:$L$1199,MATCH(105,Engine!$C$2:$C$1199,0)))</f>
        <v/>
      </c>
      <c r="M118" s="7" t="str">
        <f>IF(ISNA(MATCH(105,Engine!$C$2:$C$1199,0)),"",INDEX('Compliance Database'!$M$2:$M$1199,MATCH(105,Engine!$C$2:$C$1199,0)))</f>
        <v/>
      </c>
      <c r="N118" s="7" t="str">
        <f>IF(ISNA(MATCH(105,Engine!$C$2:$C$1199,0)),"",INDEX('Compliance Database'!$N$2:$N$1199,MATCH(105,Engine!$C$2:$C$1199,0)))</f>
        <v/>
      </c>
      <c r="O118" s="7" t="str">
        <f>IF(ISNA(MATCH(105,Engine!$C$2:$C$1199,0)),"",INDEX('Compliance Database'!$O$2:$O$1199,MATCH(105,Engine!$C$2:$C$1199,0)))</f>
        <v/>
      </c>
      <c r="P118" s="6" t="str">
        <f>IF(ISNA(MATCH(105,Engine!$C$2:$C$1199,0)),"",HYPERLINK("#Acts!A"&amp;INDEX('Compliance Database'!$P$2:$P$1199,MATCH(105,Engine!$C$2:$C$1199,0)),"Go to Act"))</f>
        <v/>
      </c>
    </row>
    <row r="119" spans="1:16" ht="172.95" customHeight="1" x14ac:dyDescent="0.3">
      <c r="A119" s="6" t="str">
        <f>IF(ISNA(MATCH(106,Engine!$C$2:$C$1199,0)),"",INDEX('Compliance Database'!$A$2:$A$1199,MATCH(106,Engine!$C$2:$C$1199,0)))</f>
        <v/>
      </c>
      <c r="B119" s="6" t="str">
        <f>IF(ISNA(MATCH(106,Engine!$C$2:$C$1199,0)),"",INDEX('Compliance Database'!$B$2:$B$1199,MATCH(106,Engine!$C$2:$C$1199,0)))</f>
        <v/>
      </c>
      <c r="C119" s="6" t="str">
        <f>IF(ISNA(MATCH(106,Engine!$C$2:$C$1199,0)),"",INDEX('Compliance Database'!$C$2:$C$1199,MATCH(106,Engine!$C$2:$C$1199,0)))</f>
        <v/>
      </c>
      <c r="D119" s="7" t="str">
        <f>IF(ISNA(MATCH(106,Engine!$C$2:$C$1199,0)),"",INDEX('Compliance Database'!$D$2:$D$1199,MATCH(106,Engine!$C$2:$C$1199,0)))</f>
        <v/>
      </c>
      <c r="E119" s="6" t="str">
        <f>IF(ISNA(MATCH(106,Engine!$C$2:$C$1199,0)),"",INDEX('Compliance Database'!$E$2:$E$1199,MATCH(106,Engine!$C$2:$C$1199,0)))</f>
        <v/>
      </c>
      <c r="F119" s="6" t="str">
        <f>IF(ISNA(MATCH(106,Engine!$C$2:$C$1199,0)),"",INDEX('Compliance Database'!$F$2:$F$1199,MATCH(106,Engine!$C$2:$C$1199,0)))</f>
        <v/>
      </c>
      <c r="G119" s="6" t="str">
        <f>IF(ISNA(MATCH(106,Engine!$C$2:$C$1199,0)),"",INDEX('Compliance Database'!$G$2:$G$1199,MATCH(106,Engine!$C$2:$C$1199,0)))</f>
        <v/>
      </c>
      <c r="H119" s="7" t="str">
        <f>IF(ISNA(MATCH(106,Engine!$C$2:$C$1199,0)),"",INDEX('Compliance Database'!$H$2:$H$1199,MATCH(106,Engine!$C$2:$C$1199,0)))</f>
        <v/>
      </c>
      <c r="I119" s="7" t="str">
        <f>IF(ISNA(MATCH(106,Engine!$C$2:$C$1199,0)),"",INDEX('Compliance Database'!$I$2:$I$1199,MATCH(106,Engine!$C$2:$C$1199,0)))</f>
        <v/>
      </c>
      <c r="J119" s="6" t="str">
        <f>IF(ISNA(MATCH(106,Engine!$C$2:$C$1199,0)),"",INDEX('Compliance Database'!$J$2:$J$1199,MATCH(106,Engine!$C$2:$C$1199,0)))</f>
        <v/>
      </c>
      <c r="K119" s="7" t="str">
        <f>IF(ISNA(MATCH(106,Engine!$C$2:$C$1199,0)),"",INDEX('Compliance Database'!$K$2:$K$1199,MATCH(106,Engine!$C$2:$C$1199,0)))</f>
        <v/>
      </c>
      <c r="L119" s="7" t="str">
        <f>IF(ISNA(MATCH(106,Engine!$C$2:$C$1199,0)),"",INDEX('Compliance Database'!$L$2:$L$1199,MATCH(106,Engine!$C$2:$C$1199,0)))</f>
        <v/>
      </c>
      <c r="M119" s="7" t="str">
        <f>IF(ISNA(MATCH(106,Engine!$C$2:$C$1199,0)),"",INDEX('Compliance Database'!$M$2:$M$1199,MATCH(106,Engine!$C$2:$C$1199,0)))</f>
        <v/>
      </c>
      <c r="N119" s="7" t="str">
        <f>IF(ISNA(MATCH(106,Engine!$C$2:$C$1199,0)),"",INDEX('Compliance Database'!$N$2:$N$1199,MATCH(106,Engine!$C$2:$C$1199,0)))</f>
        <v/>
      </c>
      <c r="O119" s="7" t="str">
        <f>IF(ISNA(MATCH(106,Engine!$C$2:$C$1199,0)),"",INDEX('Compliance Database'!$O$2:$O$1199,MATCH(106,Engine!$C$2:$C$1199,0)))</f>
        <v/>
      </c>
      <c r="P119" s="6" t="str">
        <f>IF(ISNA(MATCH(106,Engine!$C$2:$C$1199,0)),"",HYPERLINK("#Acts!A"&amp;INDEX('Compliance Database'!$P$2:$P$1199,MATCH(106,Engine!$C$2:$C$1199,0)),"Go to Act"))</f>
        <v/>
      </c>
    </row>
    <row r="120" spans="1:16" ht="172.95" customHeight="1" x14ac:dyDescent="0.3">
      <c r="A120" s="6" t="str">
        <f>IF(ISNA(MATCH(107,Engine!$C$2:$C$1199,0)),"",INDEX('Compliance Database'!$A$2:$A$1199,MATCH(107,Engine!$C$2:$C$1199,0)))</f>
        <v/>
      </c>
      <c r="B120" s="6" t="str">
        <f>IF(ISNA(MATCH(107,Engine!$C$2:$C$1199,0)),"",INDEX('Compliance Database'!$B$2:$B$1199,MATCH(107,Engine!$C$2:$C$1199,0)))</f>
        <v/>
      </c>
      <c r="C120" s="6" t="str">
        <f>IF(ISNA(MATCH(107,Engine!$C$2:$C$1199,0)),"",INDEX('Compliance Database'!$C$2:$C$1199,MATCH(107,Engine!$C$2:$C$1199,0)))</f>
        <v/>
      </c>
      <c r="D120" s="7" t="str">
        <f>IF(ISNA(MATCH(107,Engine!$C$2:$C$1199,0)),"",INDEX('Compliance Database'!$D$2:$D$1199,MATCH(107,Engine!$C$2:$C$1199,0)))</f>
        <v/>
      </c>
      <c r="E120" s="6" t="str">
        <f>IF(ISNA(MATCH(107,Engine!$C$2:$C$1199,0)),"",INDEX('Compliance Database'!$E$2:$E$1199,MATCH(107,Engine!$C$2:$C$1199,0)))</f>
        <v/>
      </c>
      <c r="F120" s="6" t="str">
        <f>IF(ISNA(MATCH(107,Engine!$C$2:$C$1199,0)),"",INDEX('Compliance Database'!$F$2:$F$1199,MATCH(107,Engine!$C$2:$C$1199,0)))</f>
        <v/>
      </c>
      <c r="G120" s="6" t="str">
        <f>IF(ISNA(MATCH(107,Engine!$C$2:$C$1199,0)),"",INDEX('Compliance Database'!$G$2:$G$1199,MATCH(107,Engine!$C$2:$C$1199,0)))</f>
        <v/>
      </c>
      <c r="H120" s="7" t="str">
        <f>IF(ISNA(MATCH(107,Engine!$C$2:$C$1199,0)),"",INDEX('Compliance Database'!$H$2:$H$1199,MATCH(107,Engine!$C$2:$C$1199,0)))</f>
        <v/>
      </c>
      <c r="I120" s="7" t="str">
        <f>IF(ISNA(MATCH(107,Engine!$C$2:$C$1199,0)),"",INDEX('Compliance Database'!$I$2:$I$1199,MATCH(107,Engine!$C$2:$C$1199,0)))</f>
        <v/>
      </c>
      <c r="J120" s="6" t="str">
        <f>IF(ISNA(MATCH(107,Engine!$C$2:$C$1199,0)),"",INDEX('Compliance Database'!$J$2:$J$1199,MATCH(107,Engine!$C$2:$C$1199,0)))</f>
        <v/>
      </c>
      <c r="K120" s="7" t="str">
        <f>IF(ISNA(MATCH(107,Engine!$C$2:$C$1199,0)),"",INDEX('Compliance Database'!$K$2:$K$1199,MATCH(107,Engine!$C$2:$C$1199,0)))</f>
        <v/>
      </c>
      <c r="L120" s="7" t="str">
        <f>IF(ISNA(MATCH(107,Engine!$C$2:$C$1199,0)),"",INDEX('Compliance Database'!$L$2:$L$1199,MATCH(107,Engine!$C$2:$C$1199,0)))</f>
        <v/>
      </c>
      <c r="M120" s="7" t="str">
        <f>IF(ISNA(MATCH(107,Engine!$C$2:$C$1199,0)),"",INDEX('Compliance Database'!$M$2:$M$1199,MATCH(107,Engine!$C$2:$C$1199,0)))</f>
        <v/>
      </c>
      <c r="N120" s="7" t="str">
        <f>IF(ISNA(MATCH(107,Engine!$C$2:$C$1199,0)),"",INDEX('Compliance Database'!$N$2:$N$1199,MATCH(107,Engine!$C$2:$C$1199,0)))</f>
        <v/>
      </c>
      <c r="O120" s="7" t="str">
        <f>IF(ISNA(MATCH(107,Engine!$C$2:$C$1199,0)),"",INDEX('Compliance Database'!$O$2:$O$1199,MATCH(107,Engine!$C$2:$C$1199,0)))</f>
        <v/>
      </c>
      <c r="P120" s="6" t="str">
        <f>IF(ISNA(MATCH(107,Engine!$C$2:$C$1199,0)),"",HYPERLINK("#Acts!A"&amp;INDEX('Compliance Database'!$P$2:$P$1199,MATCH(107,Engine!$C$2:$C$1199,0)),"Go to Act"))</f>
        <v/>
      </c>
    </row>
    <row r="121" spans="1:16" ht="172.95" customHeight="1" x14ac:dyDescent="0.3">
      <c r="A121" s="6" t="str">
        <f>IF(ISNA(MATCH(108,Engine!$C$2:$C$1199,0)),"",INDEX('Compliance Database'!$A$2:$A$1199,MATCH(108,Engine!$C$2:$C$1199,0)))</f>
        <v/>
      </c>
      <c r="B121" s="6" t="str">
        <f>IF(ISNA(MATCH(108,Engine!$C$2:$C$1199,0)),"",INDEX('Compliance Database'!$B$2:$B$1199,MATCH(108,Engine!$C$2:$C$1199,0)))</f>
        <v/>
      </c>
      <c r="C121" s="6" t="str">
        <f>IF(ISNA(MATCH(108,Engine!$C$2:$C$1199,0)),"",INDEX('Compliance Database'!$C$2:$C$1199,MATCH(108,Engine!$C$2:$C$1199,0)))</f>
        <v/>
      </c>
      <c r="D121" s="7" t="str">
        <f>IF(ISNA(MATCH(108,Engine!$C$2:$C$1199,0)),"",INDEX('Compliance Database'!$D$2:$D$1199,MATCH(108,Engine!$C$2:$C$1199,0)))</f>
        <v/>
      </c>
      <c r="E121" s="6" t="str">
        <f>IF(ISNA(MATCH(108,Engine!$C$2:$C$1199,0)),"",INDEX('Compliance Database'!$E$2:$E$1199,MATCH(108,Engine!$C$2:$C$1199,0)))</f>
        <v/>
      </c>
      <c r="F121" s="6" t="str">
        <f>IF(ISNA(MATCH(108,Engine!$C$2:$C$1199,0)),"",INDEX('Compliance Database'!$F$2:$F$1199,MATCH(108,Engine!$C$2:$C$1199,0)))</f>
        <v/>
      </c>
      <c r="G121" s="6" t="str">
        <f>IF(ISNA(MATCH(108,Engine!$C$2:$C$1199,0)),"",INDEX('Compliance Database'!$G$2:$G$1199,MATCH(108,Engine!$C$2:$C$1199,0)))</f>
        <v/>
      </c>
      <c r="H121" s="7" t="str">
        <f>IF(ISNA(MATCH(108,Engine!$C$2:$C$1199,0)),"",INDEX('Compliance Database'!$H$2:$H$1199,MATCH(108,Engine!$C$2:$C$1199,0)))</f>
        <v/>
      </c>
      <c r="I121" s="7" t="str">
        <f>IF(ISNA(MATCH(108,Engine!$C$2:$C$1199,0)),"",INDEX('Compliance Database'!$I$2:$I$1199,MATCH(108,Engine!$C$2:$C$1199,0)))</f>
        <v/>
      </c>
      <c r="J121" s="6" t="str">
        <f>IF(ISNA(MATCH(108,Engine!$C$2:$C$1199,0)),"",INDEX('Compliance Database'!$J$2:$J$1199,MATCH(108,Engine!$C$2:$C$1199,0)))</f>
        <v/>
      </c>
      <c r="K121" s="7" t="str">
        <f>IF(ISNA(MATCH(108,Engine!$C$2:$C$1199,0)),"",INDEX('Compliance Database'!$K$2:$K$1199,MATCH(108,Engine!$C$2:$C$1199,0)))</f>
        <v/>
      </c>
      <c r="L121" s="7" t="str">
        <f>IF(ISNA(MATCH(108,Engine!$C$2:$C$1199,0)),"",INDEX('Compliance Database'!$L$2:$L$1199,MATCH(108,Engine!$C$2:$C$1199,0)))</f>
        <v/>
      </c>
      <c r="M121" s="7" t="str">
        <f>IF(ISNA(MATCH(108,Engine!$C$2:$C$1199,0)),"",INDEX('Compliance Database'!$M$2:$M$1199,MATCH(108,Engine!$C$2:$C$1199,0)))</f>
        <v/>
      </c>
      <c r="N121" s="7" t="str">
        <f>IF(ISNA(MATCH(108,Engine!$C$2:$C$1199,0)),"",INDEX('Compliance Database'!$N$2:$N$1199,MATCH(108,Engine!$C$2:$C$1199,0)))</f>
        <v/>
      </c>
      <c r="O121" s="7" t="str">
        <f>IF(ISNA(MATCH(108,Engine!$C$2:$C$1199,0)),"",INDEX('Compliance Database'!$O$2:$O$1199,MATCH(108,Engine!$C$2:$C$1199,0)))</f>
        <v/>
      </c>
      <c r="P121" s="6" t="str">
        <f>IF(ISNA(MATCH(108,Engine!$C$2:$C$1199,0)),"",HYPERLINK("#Acts!A"&amp;INDEX('Compliance Database'!$P$2:$P$1199,MATCH(108,Engine!$C$2:$C$1199,0)),"Go to Act"))</f>
        <v/>
      </c>
    </row>
    <row r="122" spans="1:16" ht="172.95" customHeight="1" x14ac:dyDescent="0.3">
      <c r="A122" s="6" t="str">
        <f>IF(ISNA(MATCH(109,Engine!$C$2:$C$1199,0)),"",INDEX('Compliance Database'!$A$2:$A$1199,MATCH(109,Engine!$C$2:$C$1199,0)))</f>
        <v/>
      </c>
      <c r="B122" s="6" t="str">
        <f>IF(ISNA(MATCH(109,Engine!$C$2:$C$1199,0)),"",INDEX('Compliance Database'!$B$2:$B$1199,MATCH(109,Engine!$C$2:$C$1199,0)))</f>
        <v/>
      </c>
      <c r="C122" s="6" t="str">
        <f>IF(ISNA(MATCH(109,Engine!$C$2:$C$1199,0)),"",INDEX('Compliance Database'!$C$2:$C$1199,MATCH(109,Engine!$C$2:$C$1199,0)))</f>
        <v/>
      </c>
      <c r="D122" s="7" t="str">
        <f>IF(ISNA(MATCH(109,Engine!$C$2:$C$1199,0)),"",INDEX('Compliance Database'!$D$2:$D$1199,MATCH(109,Engine!$C$2:$C$1199,0)))</f>
        <v/>
      </c>
      <c r="E122" s="6" t="str">
        <f>IF(ISNA(MATCH(109,Engine!$C$2:$C$1199,0)),"",INDEX('Compliance Database'!$E$2:$E$1199,MATCH(109,Engine!$C$2:$C$1199,0)))</f>
        <v/>
      </c>
      <c r="F122" s="6" t="str">
        <f>IF(ISNA(MATCH(109,Engine!$C$2:$C$1199,0)),"",INDEX('Compliance Database'!$F$2:$F$1199,MATCH(109,Engine!$C$2:$C$1199,0)))</f>
        <v/>
      </c>
      <c r="G122" s="6" t="str">
        <f>IF(ISNA(MATCH(109,Engine!$C$2:$C$1199,0)),"",INDEX('Compliance Database'!$G$2:$G$1199,MATCH(109,Engine!$C$2:$C$1199,0)))</f>
        <v/>
      </c>
      <c r="H122" s="7" t="str">
        <f>IF(ISNA(MATCH(109,Engine!$C$2:$C$1199,0)),"",INDEX('Compliance Database'!$H$2:$H$1199,MATCH(109,Engine!$C$2:$C$1199,0)))</f>
        <v/>
      </c>
      <c r="I122" s="7" t="str">
        <f>IF(ISNA(MATCH(109,Engine!$C$2:$C$1199,0)),"",INDEX('Compliance Database'!$I$2:$I$1199,MATCH(109,Engine!$C$2:$C$1199,0)))</f>
        <v/>
      </c>
      <c r="J122" s="6" t="str">
        <f>IF(ISNA(MATCH(109,Engine!$C$2:$C$1199,0)),"",INDEX('Compliance Database'!$J$2:$J$1199,MATCH(109,Engine!$C$2:$C$1199,0)))</f>
        <v/>
      </c>
      <c r="K122" s="7" t="str">
        <f>IF(ISNA(MATCH(109,Engine!$C$2:$C$1199,0)),"",INDEX('Compliance Database'!$K$2:$K$1199,MATCH(109,Engine!$C$2:$C$1199,0)))</f>
        <v/>
      </c>
      <c r="L122" s="7" t="str">
        <f>IF(ISNA(MATCH(109,Engine!$C$2:$C$1199,0)),"",INDEX('Compliance Database'!$L$2:$L$1199,MATCH(109,Engine!$C$2:$C$1199,0)))</f>
        <v/>
      </c>
      <c r="M122" s="7" t="str">
        <f>IF(ISNA(MATCH(109,Engine!$C$2:$C$1199,0)),"",INDEX('Compliance Database'!$M$2:$M$1199,MATCH(109,Engine!$C$2:$C$1199,0)))</f>
        <v/>
      </c>
      <c r="N122" s="7" t="str">
        <f>IF(ISNA(MATCH(109,Engine!$C$2:$C$1199,0)),"",INDEX('Compliance Database'!$N$2:$N$1199,MATCH(109,Engine!$C$2:$C$1199,0)))</f>
        <v/>
      </c>
      <c r="O122" s="7" t="str">
        <f>IF(ISNA(MATCH(109,Engine!$C$2:$C$1199,0)),"",INDEX('Compliance Database'!$O$2:$O$1199,MATCH(109,Engine!$C$2:$C$1199,0)))</f>
        <v/>
      </c>
      <c r="P122" s="6" t="str">
        <f>IF(ISNA(MATCH(109,Engine!$C$2:$C$1199,0)),"",HYPERLINK("#Acts!A"&amp;INDEX('Compliance Database'!$P$2:$P$1199,MATCH(109,Engine!$C$2:$C$1199,0)),"Go to Act"))</f>
        <v/>
      </c>
    </row>
    <row r="123" spans="1:16" ht="172.95" customHeight="1" x14ac:dyDescent="0.3">
      <c r="A123" s="6" t="str">
        <f>IF(ISNA(MATCH(110,Engine!$C$2:$C$1199,0)),"",INDEX('Compliance Database'!$A$2:$A$1199,MATCH(110,Engine!$C$2:$C$1199,0)))</f>
        <v/>
      </c>
      <c r="B123" s="6" t="str">
        <f>IF(ISNA(MATCH(110,Engine!$C$2:$C$1199,0)),"",INDEX('Compliance Database'!$B$2:$B$1199,MATCH(110,Engine!$C$2:$C$1199,0)))</f>
        <v/>
      </c>
      <c r="C123" s="6" t="str">
        <f>IF(ISNA(MATCH(110,Engine!$C$2:$C$1199,0)),"",INDEX('Compliance Database'!$C$2:$C$1199,MATCH(110,Engine!$C$2:$C$1199,0)))</f>
        <v/>
      </c>
      <c r="D123" s="7" t="str">
        <f>IF(ISNA(MATCH(110,Engine!$C$2:$C$1199,0)),"",INDEX('Compliance Database'!$D$2:$D$1199,MATCH(110,Engine!$C$2:$C$1199,0)))</f>
        <v/>
      </c>
      <c r="E123" s="6" t="str">
        <f>IF(ISNA(MATCH(110,Engine!$C$2:$C$1199,0)),"",INDEX('Compliance Database'!$E$2:$E$1199,MATCH(110,Engine!$C$2:$C$1199,0)))</f>
        <v/>
      </c>
      <c r="F123" s="6" t="str">
        <f>IF(ISNA(MATCH(110,Engine!$C$2:$C$1199,0)),"",INDEX('Compliance Database'!$F$2:$F$1199,MATCH(110,Engine!$C$2:$C$1199,0)))</f>
        <v/>
      </c>
      <c r="G123" s="6" t="str">
        <f>IF(ISNA(MATCH(110,Engine!$C$2:$C$1199,0)),"",INDEX('Compliance Database'!$G$2:$G$1199,MATCH(110,Engine!$C$2:$C$1199,0)))</f>
        <v/>
      </c>
      <c r="H123" s="7" t="str">
        <f>IF(ISNA(MATCH(110,Engine!$C$2:$C$1199,0)),"",INDEX('Compliance Database'!$H$2:$H$1199,MATCH(110,Engine!$C$2:$C$1199,0)))</f>
        <v/>
      </c>
      <c r="I123" s="7" t="str">
        <f>IF(ISNA(MATCH(110,Engine!$C$2:$C$1199,0)),"",INDEX('Compliance Database'!$I$2:$I$1199,MATCH(110,Engine!$C$2:$C$1199,0)))</f>
        <v/>
      </c>
      <c r="J123" s="6" t="str">
        <f>IF(ISNA(MATCH(110,Engine!$C$2:$C$1199,0)),"",INDEX('Compliance Database'!$J$2:$J$1199,MATCH(110,Engine!$C$2:$C$1199,0)))</f>
        <v/>
      </c>
      <c r="K123" s="7" t="str">
        <f>IF(ISNA(MATCH(110,Engine!$C$2:$C$1199,0)),"",INDEX('Compliance Database'!$K$2:$K$1199,MATCH(110,Engine!$C$2:$C$1199,0)))</f>
        <v/>
      </c>
      <c r="L123" s="7" t="str">
        <f>IF(ISNA(MATCH(110,Engine!$C$2:$C$1199,0)),"",INDEX('Compliance Database'!$L$2:$L$1199,MATCH(110,Engine!$C$2:$C$1199,0)))</f>
        <v/>
      </c>
      <c r="M123" s="7" t="str">
        <f>IF(ISNA(MATCH(110,Engine!$C$2:$C$1199,0)),"",INDEX('Compliance Database'!$M$2:$M$1199,MATCH(110,Engine!$C$2:$C$1199,0)))</f>
        <v/>
      </c>
      <c r="N123" s="7" t="str">
        <f>IF(ISNA(MATCH(110,Engine!$C$2:$C$1199,0)),"",INDEX('Compliance Database'!$N$2:$N$1199,MATCH(110,Engine!$C$2:$C$1199,0)))</f>
        <v/>
      </c>
      <c r="O123" s="7" t="str">
        <f>IF(ISNA(MATCH(110,Engine!$C$2:$C$1199,0)),"",INDEX('Compliance Database'!$O$2:$O$1199,MATCH(110,Engine!$C$2:$C$1199,0)))</f>
        <v/>
      </c>
      <c r="P123" s="6" t="str">
        <f>IF(ISNA(MATCH(110,Engine!$C$2:$C$1199,0)),"",HYPERLINK("#Acts!A"&amp;INDEX('Compliance Database'!$P$2:$P$1199,MATCH(110,Engine!$C$2:$C$1199,0)),"Go to Act"))</f>
        <v/>
      </c>
    </row>
    <row r="124" spans="1:16" ht="172.95" customHeight="1" x14ac:dyDescent="0.3">
      <c r="A124" s="6" t="str">
        <f>IF(ISNA(MATCH(111,Engine!$C$2:$C$1199,0)),"",INDEX('Compliance Database'!$A$2:$A$1199,MATCH(111,Engine!$C$2:$C$1199,0)))</f>
        <v/>
      </c>
      <c r="B124" s="6" t="str">
        <f>IF(ISNA(MATCH(111,Engine!$C$2:$C$1199,0)),"",INDEX('Compliance Database'!$B$2:$B$1199,MATCH(111,Engine!$C$2:$C$1199,0)))</f>
        <v/>
      </c>
      <c r="C124" s="6" t="str">
        <f>IF(ISNA(MATCH(111,Engine!$C$2:$C$1199,0)),"",INDEX('Compliance Database'!$C$2:$C$1199,MATCH(111,Engine!$C$2:$C$1199,0)))</f>
        <v/>
      </c>
      <c r="D124" s="7" t="str">
        <f>IF(ISNA(MATCH(111,Engine!$C$2:$C$1199,0)),"",INDEX('Compliance Database'!$D$2:$D$1199,MATCH(111,Engine!$C$2:$C$1199,0)))</f>
        <v/>
      </c>
      <c r="E124" s="6" t="str">
        <f>IF(ISNA(MATCH(111,Engine!$C$2:$C$1199,0)),"",INDEX('Compliance Database'!$E$2:$E$1199,MATCH(111,Engine!$C$2:$C$1199,0)))</f>
        <v/>
      </c>
      <c r="F124" s="6" t="str">
        <f>IF(ISNA(MATCH(111,Engine!$C$2:$C$1199,0)),"",INDEX('Compliance Database'!$F$2:$F$1199,MATCH(111,Engine!$C$2:$C$1199,0)))</f>
        <v/>
      </c>
      <c r="G124" s="6" t="str">
        <f>IF(ISNA(MATCH(111,Engine!$C$2:$C$1199,0)),"",INDEX('Compliance Database'!$G$2:$G$1199,MATCH(111,Engine!$C$2:$C$1199,0)))</f>
        <v/>
      </c>
      <c r="H124" s="7" t="str">
        <f>IF(ISNA(MATCH(111,Engine!$C$2:$C$1199,0)),"",INDEX('Compliance Database'!$H$2:$H$1199,MATCH(111,Engine!$C$2:$C$1199,0)))</f>
        <v/>
      </c>
      <c r="I124" s="7" t="str">
        <f>IF(ISNA(MATCH(111,Engine!$C$2:$C$1199,0)),"",INDEX('Compliance Database'!$I$2:$I$1199,MATCH(111,Engine!$C$2:$C$1199,0)))</f>
        <v/>
      </c>
      <c r="J124" s="6" t="str">
        <f>IF(ISNA(MATCH(111,Engine!$C$2:$C$1199,0)),"",INDEX('Compliance Database'!$J$2:$J$1199,MATCH(111,Engine!$C$2:$C$1199,0)))</f>
        <v/>
      </c>
      <c r="K124" s="7" t="str">
        <f>IF(ISNA(MATCH(111,Engine!$C$2:$C$1199,0)),"",INDEX('Compliance Database'!$K$2:$K$1199,MATCH(111,Engine!$C$2:$C$1199,0)))</f>
        <v/>
      </c>
      <c r="L124" s="7" t="str">
        <f>IF(ISNA(MATCH(111,Engine!$C$2:$C$1199,0)),"",INDEX('Compliance Database'!$L$2:$L$1199,MATCH(111,Engine!$C$2:$C$1199,0)))</f>
        <v/>
      </c>
      <c r="M124" s="7" t="str">
        <f>IF(ISNA(MATCH(111,Engine!$C$2:$C$1199,0)),"",INDEX('Compliance Database'!$M$2:$M$1199,MATCH(111,Engine!$C$2:$C$1199,0)))</f>
        <v/>
      </c>
      <c r="N124" s="7" t="str">
        <f>IF(ISNA(MATCH(111,Engine!$C$2:$C$1199,0)),"",INDEX('Compliance Database'!$N$2:$N$1199,MATCH(111,Engine!$C$2:$C$1199,0)))</f>
        <v/>
      </c>
      <c r="O124" s="7" t="str">
        <f>IF(ISNA(MATCH(111,Engine!$C$2:$C$1199,0)),"",INDEX('Compliance Database'!$O$2:$O$1199,MATCH(111,Engine!$C$2:$C$1199,0)))</f>
        <v/>
      </c>
      <c r="P124" s="6" t="str">
        <f>IF(ISNA(MATCH(111,Engine!$C$2:$C$1199,0)),"",HYPERLINK("#Acts!A"&amp;INDEX('Compliance Database'!$P$2:$P$1199,MATCH(111,Engine!$C$2:$C$1199,0)),"Go to Act"))</f>
        <v/>
      </c>
    </row>
    <row r="125" spans="1:16" ht="172.95" customHeight="1" x14ac:dyDescent="0.3">
      <c r="A125" s="6" t="str">
        <f>IF(ISNA(MATCH(112,Engine!$C$2:$C$1199,0)),"",INDEX('Compliance Database'!$A$2:$A$1199,MATCH(112,Engine!$C$2:$C$1199,0)))</f>
        <v/>
      </c>
      <c r="B125" s="6" t="str">
        <f>IF(ISNA(MATCH(112,Engine!$C$2:$C$1199,0)),"",INDEX('Compliance Database'!$B$2:$B$1199,MATCH(112,Engine!$C$2:$C$1199,0)))</f>
        <v/>
      </c>
      <c r="C125" s="6" t="str">
        <f>IF(ISNA(MATCH(112,Engine!$C$2:$C$1199,0)),"",INDEX('Compliance Database'!$C$2:$C$1199,MATCH(112,Engine!$C$2:$C$1199,0)))</f>
        <v/>
      </c>
      <c r="D125" s="7" t="str">
        <f>IF(ISNA(MATCH(112,Engine!$C$2:$C$1199,0)),"",INDEX('Compliance Database'!$D$2:$D$1199,MATCH(112,Engine!$C$2:$C$1199,0)))</f>
        <v/>
      </c>
      <c r="E125" s="6" t="str">
        <f>IF(ISNA(MATCH(112,Engine!$C$2:$C$1199,0)),"",INDEX('Compliance Database'!$E$2:$E$1199,MATCH(112,Engine!$C$2:$C$1199,0)))</f>
        <v/>
      </c>
      <c r="F125" s="6" t="str">
        <f>IF(ISNA(MATCH(112,Engine!$C$2:$C$1199,0)),"",INDEX('Compliance Database'!$F$2:$F$1199,MATCH(112,Engine!$C$2:$C$1199,0)))</f>
        <v/>
      </c>
      <c r="G125" s="6" t="str">
        <f>IF(ISNA(MATCH(112,Engine!$C$2:$C$1199,0)),"",INDEX('Compliance Database'!$G$2:$G$1199,MATCH(112,Engine!$C$2:$C$1199,0)))</f>
        <v/>
      </c>
      <c r="H125" s="7" t="str">
        <f>IF(ISNA(MATCH(112,Engine!$C$2:$C$1199,0)),"",INDEX('Compliance Database'!$H$2:$H$1199,MATCH(112,Engine!$C$2:$C$1199,0)))</f>
        <v/>
      </c>
      <c r="I125" s="7" t="str">
        <f>IF(ISNA(MATCH(112,Engine!$C$2:$C$1199,0)),"",INDEX('Compliance Database'!$I$2:$I$1199,MATCH(112,Engine!$C$2:$C$1199,0)))</f>
        <v/>
      </c>
      <c r="J125" s="6" t="str">
        <f>IF(ISNA(MATCH(112,Engine!$C$2:$C$1199,0)),"",INDEX('Compliance Database'!$J$2:$J$1199,MATCH(112,Engine!$C$2:$C$1199,0)))</f>
        <v/>
      </c>
      <c r="K125" s="7" t="str">
        <f>IF(ISNA(MATCH(112,Engine!$C$2:$C$1199,0)),"",INDEX('Compliance Database'!$K$2:$K$1199,MATCH(112,Engine!$C$2:$C$1199,0)))</f>
        <v/>
      </c>
      <c r="L125" s="7" t="str">
        <f>IF(ISNA(MATCH(112,Engine!$C$2:$C$1199,0)),"",INDEX('Compliance Database'!$L$2:$L$1199,MATCH(112,Engine!$C$2:$C$1199,0)))</f>
        <v/>
      </c>
      <c r="M125" s="7" t="str">
        <f>IF(ISNA(MATCH(112,Engine!$C$2:$C$1199,0)),"",INDEX('Compliance Database'!$M$2:$M$1199,MATCH(112,Engine!$C$2:$C$1199,0)))</f>
        <v/>
      </c>
      <c r="N125" s="7" t="str">
        <f>IF(ISNA(MATCH(112,Engine!$C$2:$C$1199,0)),"",INDEX('Compliance Database'!$N$2:$N$1199,MATCH(112,Engine!$C$2:$C$1199,0)))</f>
        <v/>
      </c>
      <c r="O125" s="7" t="str">
        <f>IF(ISNA(MATCH(112,Engine!$C$2:$C$1199,0)),"",INDEX('Compliance Database'!$O$2:$O$1199,MATCH(112,Engine!$C$2:$C$1199,0)))</f>
        <v/>
      </c>
      <c r="P125" s="6" t="str">
        <f>IF(ISNA(MATCH(112,Engine!$C$2:$C$1199,0)),"",HYPERLINK("#Acts!A"&amp;INDEX('Compliance Database'!$P$2:$P$1199,MATCH(112,Engine!$C$2:$C$1199,0)),"Go to Act"))</f>
        <v/>
      </c>
    </row>
    <row r="126" spans="1:16" ht="172.95" customHeight="1" x14ac:dyDescent="0.3">
      <c r="A126" s="6" t="str">
        <f>IF(ISNA(MATCH(113,Engine!$C$2:$C$1199,0)),"",INDEX('Compliance Database'!$A$2:$A$1199,MATCH(113,Engine!$C$2:$C$1199,0)))</f>
        <v/>
      </c>
      <c r="B126" s="6" t="str">
        <f>IF(ISNA(MATCH(113,Engine!$C$2:$C$1199,0)),"",INDEX('Compliance Database'!$B$2:$B$1199,MATCH(113,Engine!$C$2:$C$1199,0)))</f>
        <v/>
      </c>
      <c r="C126" s="6" t="str">
        <f>IF(ISNA(MATCH(113,Engine!$C$2:$C$1199,0)),"",INDEX('Compliance Database'!$C$2:$C$1199,MATCH(113,Engine!$C$2:$C$1199,0)))</f>
        <v/>
      </c>
      <c r="D126" s="7" t="str">
        <f>IF(ISNA(MATCH(113,Engine!$C$2:$C$1199,0)),"",INDEX('Compliance Database'!$D$2:$D$1199,MATCH(113,Engine!$C$2:$C$1199,0)))</f>
        <v/>
      </c>
      <c r="E126" s="6" t="str">
        <f>IF(ISNA(MATCH(113,Engine!$C$2:$C$1199,0)),"",INDEX('Compliance Database'!$E$2:$E$1199,MATCH(113,Engine!$C$2:$C$1199,0)))</f>
        <v/>
      </c>
      <c r="F126" s="6" t="str">
        <f>IF(ISNA(MATCH(113,Engine!$C$2:$C$1199,0)),"",INDEX('Compliance Database'!$F$2:$F$1199,MATCH(113,Engine!$C$2:$C$1199,0)))</f>
        <v/>
      </c>
      <c r="G126" s="6" t="str">
        <f>IF(ISNA(MATCH(113,Engine!$C$2:$C$1199,0)),"",INDEX('Compliance Database'!$G$2:$G$1199,MATCH(113,Engine!$C$2:$C$1199,0)))</f>
        <v/>
      </c>
      <c r="H126" s="7" t="str">
        <f>IF(ISNA(MATCH(113,Engine!$C$2:$C$1199,0)),"",INDEX('Compliance Database'!$H$2:$H$1199,MATCH(113,Engine!$C$2:$C$1199,0)))</f>
        <v/>
      </c>
      <c r="I126" s="7" t="str">
        <f>IF(ISNA(MATCH(113,Engine!$C$2:$C$1199,0)),"",INDEX('Compliance Database'!$I$2:$I$1199,MATCH(113,Engine!$C$2:$C$1199,0)))</f>
        <v/>
      </c>
      <c r="J126" s="6" t="str">
        <f>IF(ISNA(MATCH(113,Engine!$C$2:$C$1199,0)),"",INDEX('Compliance Database'!$J$2:$J$1199,MATCH(113,Engine!$C$2:$C$1199,0)))</f>
        <v/>
      </c>
      <c r="K126" s="7" t="str">
        <f>IF(ISNA(MATCH(113,Engine!$C$2:$C$1199,0)),"",INDEX('Compliance Database'!$K$2:$K$1199,MATCH(113,Engine!$C$2:$C$1199,0)))</f>
        <v/>
      </c>
      <c r="L126" s="7" t="str">
        <f>IF(ISNA(MATCH(113,Engine!$C$2:$C$1199,0)),"",INDEX('Compliance Database'!$L$2:$L$1199,MATCH(113,Engine!$C$2:$C$1199,0)))</f>
        <v/>
      </c>
      <c r="M126" s="7" t="str">
        <f>IF(ISNA(MATCH(113,Engine!$C$2:$C$1199,0)),"",INDEX('Compliance Database'!$M$2:$M$1199,MATCH(113,Engine!$C$2:$C$1199,0)))</f>
        <v/>
      </c>
      <c r="N126" s="7" t="str">
        <f>IF(ISNA(MATCH(113,Engine!$C$2:$C$1199,0)),"",INDEX('Compliance Database'!$N$2:$N$1199,MATCH(113,Engine!$C$2:$C$1199,0)))</f>
        <v/>
      </c>
      <c r="O126" s="7" t="str">
        <f>IF(ISNA(MATCH(113,Engine!$C$2:$C$1199,0)),"",INDEX('Compliance Database'!$O$2:$O$1199,MATCH(113,Engine!$C$2:$C$1199,0)))</f>
        <v/>
      </c>
      <c r="P126" s="6" t="str">
        <f>IF(ISNA(MATCH(113,Engine!$C$2:$C$1199,0)),"",HYPERLINK("#Acts!A"&amp;INDEX('Compliance Database'!$P$2:$P$1199,MATCH(113,Engine!$C$2:$C$1199,0)),"Go to Act"))</f>
        <v/>
      </c>
    </row>
    <row r="127" spans="1:16" ht="172.95" customHeight="1" x14ac:dyDescent="0.3">
      <c r="A127" s="6" t="str">
        <f>IF(ISNA(MATCH(114,Engine!$C$2:$C$1199,0)),"",INDEX('Compliance Database'!$A$2:$A$1199,MATCH(114,Engine!$C$2:$C$1199,0)))</f>
        <v/>
      </c>
      <c r="B127" s="6" t="str">
        <f>IF(ISNA(MATCH(114,Engine!$C$2:$C$1199,0)),"",INDEX('Compliance Database'!$B$2:$B$1199,MATCH(114,Engine!$C$2:$C$1199,0)))</f>
        <v/>
      </c>
      <c r="C127" s="6" t="str">
        <f>IF(ISNA(MATCH(114,Engine!$C$2:$C$1199,0)),"",INDEX('Compliance Database'!$C$2:$C$1199,MATCH(114,Engine!$C$2:$C$1199,0)))</f>
        <v/>
      </c>
      <c r="D127" s="7" t="str">
        <f>IF(ISNA(MATCH(114,Engine!$C$2:$C$1199,0)),"",INDEX('Compliance Database'!$D$2:$D$1199,MATCH(114,Engine!$C$2:$C$1199,0)))</f>
        <v/>
      </c>
      <c r="E127" s="6" t="str">
        <f>IF(ISNA(MATCH(114,Engine!$C$2:$C$1199,0)),"",INDEX('Compliance Database'!$E$2:$E$1199,MATCH(114,Engine!$C$2:$C$1199,0)))</f>
        <v/>
      </c>
      <c r="F127" s="6" t="str">
        <f>IF(ISNA(MATCH(114,Engine!$C$2:$C$1199,0)),"",INDEX('Compliance Database'!$F$2:$F$1199,MATCH(114,Engine!$C$2:$C$1199,0)))</f>
        <v/>
      </c>
      <c r="G127" s="6" t="str">
        <f>IF(ISNA(MATCH(114,Engine!$C$2:$C$1199,0)),"",INDEX('Compliance Database'!$G$2:$G$1199,MATCH(114,Engine!$C$2:$C$1199,0)))</f>
        <v/>
      </c>
      <c r="H127" s="7" t="str">
        <f>IF(ISNA(MATCH(114,Engine!$C$2:$C$1199,0)),"",INDEX('Compliance Database'!$H$2:$H$1199,MATCH(114,Engine!$C$2:$C$1199,0)))</f>
        <v/>
      </c>
      <c r="I127" s="7" t="str">
        <f>IF(ISNA(MATCH(114,Engine!$C$2:$C$1199,0)),"",INDEX('Compliance Database'!$I$2:$I$1199,MATCH(114,Engine!$C$2:$C$1199,0)))</f>
        <v/>
      </c>
      <c r="J127" s="6" t="str">
        <f>IF(ISNA(MATCH(114,Engine!$C$2:$C$1199,0)),"",INDEX('Compliance Database'!$J$2:$J$1199,MATCH(114,Engine!$C$2:$C$1199,0)))</f>
        <v/>
      </c>
      <c r="K127" s="7" t="str">
        <f>IF(ISNA(MATCH(114,Engine!$C$2:$C$1199,0)),"",INDEX('Compliance Database'!$K$2:$K$1199,MATCH(114,Engine!$C$2:$C$1199,0)))</f>
        <v/>
      </c>
      <c r="L127" s="7" t="str">
        <f>IF(ISNA(MATCH(114,Engine!$C$2:$C$1199,0)),"",INDEX('Compliance Database'!$L$2:$L$1199,MATCH(114,Engine!$C$2:$C$1199,0)))</f>
        <v/>
      </c>
      <c r="M127" s="7" t="str">
        <f>IF(ISNA(MATCH(114,Engine!$C$2:$C$1199,0)),"",INDEX('Compliance Database'!$M$2:$M$1199,MATCH(114,Engine!$C$2:$C$1199,0)))</f>
        <v/>
      </c>
      <c r="N127" s="7" t="str">
        <f>IF(ISNA(MATCH(114,Engine!$C$2:$C$1199,0)),"",INDEX('Compliance Database'!$N$2:$N$1199,MATCH(114,Engine!$C$2:$C$1199,0)))</f>
        <v/>
      </c>
      <c r="O127" s="7" t="str">
        <f>IF(ISNA(MATCH(114,Engine!$C$2:$C$1199,0)),"",INDEX('Compliance Database'!$O$2:$O$1199,MATCH(114,Engine!$C$2:$C$1199,0)))</f>
        <v/>
      </c>
      <c r="P127" s="6" t="str">
        <f>IF(ISNA(MATCH(114,Engine!$C$2:$C$1199,0)),"",HYPERLINK("#Acts!A"&amp;INDEX('Compliance Database'!$P$2:$P$1199,MATCH(114,Engine!$C$2:$C$1199,0)),"Go to Act"))</f>
        <v/>
      </c>
    </row>
    <row r="128" spans="1:16" ht="172.95" customHeight="1" x14ac:dyDescent="0.3">
      <c r="A128" s="6" t="str">
        <f>IF(ISNA(MATCH(115,Engine!$C$2:$C$1199,0)),"",INDEX('Compliance Database'!$A$2:$A$1199,MATCH(115,Engine!$C$2:$C$1199,0)))</f>
        <v/>
      </c>
      <c r="B128" s="6" t="str">
        <f>IF(ISNA(MATCH(115,Engine!$C$2:$C$1199,0)),"",INDEX('Compliance Database'!$B$2:$B$1199,MATCH(115,Engine!$C$2:$C$1199,0)))</f>
        <v/>
      </c>
      <c r="C128" s="6" t="str">
        <f>IF(ISNA(MATCH(115,Engine!$C$2:$C$1199,0)),"",INDEX('Compliance Database'!$C$2:$C$1199,MATCH(115,Engine!$C$2:$C$1199,0)))</f>
        <v/>
      </c>
      <c r="D128" s="7" t="str">
        <f>IF(ISNA(MATCH(115,Engine!$C$2:$C$1199,0)),"",INDEX('Compliance Database'!$D$2:$D$1199,MATCH(115,Engine!$C$2:$C$1199,0)))</f>
        <v/>
      </c>
      <c r="E128" s="6" t="str">
        <f>IF(ISNA(MATCH(115,Engine!$C$2:$C$1199,0)),"",INDEX('Compliance Database'!$E$2:$E$1199,MATCH(115,Engine!$C$2:$C$1199,0)))</f>
        <v/>
      </c>
      <c r="F128" s="6" t="str">
        <f>IF(ISNA(MATCH(115,Engine!$C$2:$C$1199,0)),"",INDEX('Compliance Database'!$F$2:$F$1199,MATCH(115,Engine!$C$2:$C$1199,0)))</f>
        <v/>
      </c>
      <c r="G128" s="6" t="str">
        <f>IF(ISNA(MATCH(115,Engine!$C$2:$C$1199,0)),"",INDEX('Compliance Database'!$G$2:$G$1199,MATCH(115,Engine!$C$2:$C$1199,0)))</f>
        <v/>
      </c>
      <c r="H128" s="7" t="str">
        <f>IF(ISNA(MATCH(115,Engine!$C$2:$C$1199,0)),"",INDEX('Compliance Database'!$H$2:$H$1199,MATCH(115,Engine!$C$2:$C$1199,0)))</f>
        <v/>
      </c>
      <c r="I128" s="7" t="str">
        <f>IF(ISNA(MATCH(115,Engine!$C$2:$C$1199,0)),"",INDEX('Compliance Database'!$I$2:$I$1199,MATCH(115,Engine!$C$2:$C$1199,0)))</f>
        <v/>
      </c>
      <c r="J128" s="6" t="str">
        <f>IF(ISNA(MATCH(115,Engine!$C$2:$C$1199,0)),"",INDEX('Compliance Database'!$J$2:$J$1199,MATCH(115,Engine!$C$2:$C$1199,0)))</f>
        <v/>
      </c>
      <c r="K128" s="7" t="str">
        <f>IF(ISNA(MATCH(115,Engine!$C$2:$C$1199,0)),"",INDEX('Compliance Database'!$K$2:$K$1199,MATCH(115,Engine!$C$2:$C$1199,0)))</f>
        <v/>
      </c>
      <c r="L128" s="7" t="str">
        <f>IF(ISNA(MATCH(115,Engine!$C$2:$C$1199,0)),"",INDEX('Compliance Database'!$L$2:$L$1199,MATCH(115,Engine!$C$2:$C$1199,0)))</f>
        <v/>
      </c>
      <c r="M128" s="7" t="str">
        <f>IF(ISNA(MATCH(115,Engine!$C$2:$C$1199,0)),"",INDEX('Compliance Database'!$M$2:$M$1199,MATCH(115,Engine!$C$2:$C$1199,0)))</f>
        <v/>
      </c>
      <c r="N128" s="7" t="str">
        <f>IF(ISNA(MATCH(115,Engine!$C$2:$C$1199,0)),"",INDEX('Compliance Database'!$N$2:$N$1199,MATCH(115,Engine!$C$2:$C$1199,0)))</f>
        <v/>
      </c>
      <c r="O128" s="7" t="str">
        <f>IF(ISNA(MATCH(115,Engine!$C$2:$C$1199,0)),"",INDEX('Compliance Database'!$O$2:$O$1199,MATCH(115,Engine!$C$2:$C$1199,0)))</f>
        <v/>
      </c>
      <c r="P128" s="6" t="str">
        <f>IF(ISNA(MATCH(115,Engine!$C$2:$C$1199,0)),"",HYPERLINK("#Acts!A"&amp;INDEX('Compliance Database'!$P$2:$P$1199,MATCH(115,Engine!$C$2:$C$1199,0)),"Go to Act"))</f>
        <v/>
      </c>
    </row>
    <row r="129" spans="1:16" ht="172.95" customHeight="1" x14ac:dyDescent="0.3">
      <c r="A129" s="6" t="str">
        <f>IF(ISNA(MATCH(116,Engine!$C$2:$C$1199,0)),"",INDEX('Compliance Database'!$A$2:$A$1199,MATCH(116,Engine!$C$2:$C$1199,0)))</f>
        <v/>
      </c>
      <c r="B129" s="6" t="str">
        <f>IF(ISNA(MATCH(116,Engine!$C$2:$C$1199,0)),"",INDEX('Compliance Database'!$B$2:$B$1199,MATCH(116,Engine!$C$2:$C$1199,0)))</f>
        <v/>
      </c>
      <c r="C129" s="6" t="str">
        <f>IF(ISNA(MATCH(116,Engine!$C$2:$C$1199,0)),"",INDEX('Compliance Database'!$C$2:$C$1199,MATCH(116,Engine!$C$2:$C$1199,0)))</f>
        <v/>
      </c>
      <c r="D129" s="7" t="str">
        <f>IF(ISNA(MATCH(116,Engine!$C$2:$C$1199,0)),"",INDEX('Compliance Database'!$D$2:$D$1199,MATCH(116,Engine!$C$2:$C$1199,0)))</f>
        <v/>
      </c>
      <c r="E129" s="6" t="str">
        <f>IF(ISNA(MATCH(116,Engine!$C$2:$C$1199,0)),"",INDEX('Compliance Database'!$E$2:$E$1199,MATCH(116,Engine!$C$2:$C$1199,0)))</f>
        <v/>
      </c>
      <c r="F129" s="6" t="str">
        <f>IF(ISNA(MATCH(116,Engine!$C$2:$C$1199,0)),"",INDEX('Compliance Database'!$F$2:$F$1199,MATCH(116,Engine!$C$2:$C$1199,0)))</f>
        <v/>
      </c>
      <c r="G129" s="6" t="str">
        <f>IF(ISNA(MATCH(116,Engine!$C$2:$C$1199,0)),"",INDEX('Compliance Database'!$G$2:$G$1199,MATCH(116,Engine!$C$2:$C$1199,0)))</f>
        <v/>
      </c>
      <c r="H129" s="7" t="str">
        <f>IF(ISNA(MATCH(116,Engine!$C$2:$C$1199,0)),"",INDEX('Compliance Database'!$H$2:$H$1199,MATCH(116,Engine!$C$2:$C$1199,0)))</f>
        <v/>
      </c>
      <c r="I129" s="7" t="str">
        <f>IF(ISNA(MATCH(116,Engine!$C$2:$C$1199,0)),"",INDEX('Compliance Database'!$I$2:$I$1199,MATCH(116,Engine!$C$2:$C$1199,0)))</f>
        <v/>
      </c>
      <c r="J129" s="6" t="str">
        <f>IF(ISNA(MATCH(116,Engine!$C$2:$C$1199,0)),"",INDEX('Compliance Database'!$J$2:$J$1199,MATCH(116,Engine!$C$2:$C$1199,0)))</f>
        <v/>
      </c>
      <c r="K129" s="7" t="str">
        <f>IF(ISNA(MATCH(116,Engine!$C$2:$C$1199,0)),"",INDEX('Compliance Database'!$K$2:$K$1199,MATCH(116,Engine!$C$2:$C$1199,0)))</f>
        <v/>
      </c>
      <c r="L129" s="7" t="str">
        <f>IF(ISNA(MATCH(116,Engine!$C$2:$C$1199,0)),"",INDEX('Compliance Database'!$L$2:$L$1199,MATCH(116,Engine!$C$2:$C$1199,0)))</f>
        <v/>
      </c>
      <c r="M129" s="7" t="str">
        <f>IF(ISNA(MATCH(116,Engine!$C$2:$C$1199,0)),"",INDEX('Compliance Database'!$M$2:$M$1199,MATCH(116,Engine!$C$2:$C$1199,0)))</f>
        <v/>
      </c>
      <c r="N129" s="7" t="str">
        <f>IF(ISNA(MATCH(116,Engine!$C$2:$C$1199,0)),"",INDEX('Compliance Database'!$N$2:$N$1199,MATCH(116,Engine!$C$2:$C$1199,0)))</f>
        <v/>
      </c>
      <c r="O129" s="7" t="str">
        <f>IF(ISNA(MATCH(116,Engine!$C$2:$C$1199,0)),"",INDEX('Compliance Database'!$O$2:$O$1199,MATCH(116,Engine!$C$2:$C$1199,0)))</f>
        <v/>
      </c>
      <c r="P129" s="6" t="str">
        <f>IF(ISNA(MATCH(116,Engine!$C$2:$C$1199,0)),"",HYPERLINK("#Acts!A"&amp;INDEX('Compliance Database'!$P$2:$P$1199,MATCH(116,Engine!$C$2:$C$1199,0)),"Go to Act"))</f>
        <v/>
      </c>
    </row>
    <row r="130" spans="1:16" ht="172.95" customHeight="1" x14ac:dyDescent="0.3">
      <c r="A130" s="6" t="str">
        <f>IF(ISNA(MATCH(117,Engine!$C$2:$C$1199,0)),"",INDEX('Compliance Database'!$A$2:$A$1199,MATCH(117,Engine!$C$2:$C$1199,0)))</f>
        <v/>
      </c>
      <c r="B130" s="6" t="str">
        <f>IF(ISNA(MATCH(117,Engine!$C$2:$C$1199,0)),"",INDEX('Compliance Database'!$B$2:$B$1199,MATCH(117,Engine!$C$2:$C$1199,0)))</f>
        <v/>
      </c>
      <c r="C130" s="6" t="str">
        <f>IF(ISNA(MATCH(117,Engine!$C$2:$C$1199,0)),"",INDEX('Compliance Database'!$C$2:$C$1199,MATCH(117,Engine!$C$2:$C$1199,0)))</f>
        <v/>
      </c>
      <c r="D130" s="7" t="str">
        <f>IF(ISNA(MATCH(117,Engine!$C$2:$C$1199,0)),"",INDEX('Compliance Database'!$D$2:$D$1199,MATCH(117,Engine!$C$2:$C$1199,0)))</f>
        <v/>
      </c>
      <c r="E130" s="6" t="str">
        <f>IF(ISNA(MATCH(117,Engine!$C$2:$C$1199,0)),"",INDEX('Compliance Database'!$E$2:$E$1199,MATCH(117,Engine!$C$2:$C$1199,0)))</f>
        <v/>
      </c>
      <c r="F130" s="6" t="str">
        <f>IF(ISNA(MATCH(117,Engine!$C$2:$C$1199,0)),"",INDEX('Compliance Database'!$F$2:$F$1199,MATCH(117,Engine!$C$2:$C$1199,0)))</f>
        <v/>
      </c>
      <c r="G130" s="6" t="str">
        <f>IF(ISNA(MATCH(117,Engine!$C$2:$C$1199,0)),"",INDEX('Compliance Database'!$G$2:$G$1199,MATCH(117,Engine!$C$2:$C$1199,0)))</f>
        <v/>
      </c>
      <c r="H130" s="7" t="str">
        <f>IF(ISNA(MATCH(117,Engine!$C$2:$C$1199,0)),"",INDEX('Compliance Database'!$H$2:$H$1199,MATCH(117,Engine!$C$2:$C$1199,0)))</f>
        <v/>
      </c>
      <c r="I130" s="7" t="str">
        <f>IF(ISNA(MATCH(117,Engine!$C$2:$C$1199,0)),"",INDEX('Compliance Database'!$I$2:$I$1199,MATCH(117,Engine!$C$2:$C$1199,0)))</f>
        <v/>
      </c>
      <c r="J130" s="6" t="str">
        <f>IF(ISNA(MATCH(117,Engine!$C$2:$C$1199,0)),"",INDEX('Compliance Database'!$J$2:$J$1199,MATCH(117,Engine!$C$2:$C$1199,0)))</f>
        <v/>
      </c>
      <c r="K130" s="7" t="str">
        <f>IF(ISNA(MATCH(117,Engine!$C$2:$C$1199,0)),"",INDEX('Compliance Database'!$K$2:$K$1199,MATCH(117,Engine!$C$2:$C$1199,0)))</f>
        <v/>
      </c>
      <c r="L130" s="7" t="str">
        <f>IF(ISNA(MATCH(117,Engine!$C$2:$C$1199,0)),"",INDEX('Compliance Database'!$L$2:$L$1199,MATCH(117,Engine!$C$2:$C$1199,0)))</f>
        <v/>
      </c>
      <c r="M130" s="7" t="str">
        <f>IF(ISNA(MATCH(117,Engine!$C$2:$C$1199,0)),"",INDEX('Compliance Database'!$M$2:$M$1199,MATCH(117,Engine!$C$2:$C$1199,0)))</f>
        <v/>
      </c>
      <c r="N130" s="7" t="str">
        <f>IF(ISNA(MATCH(117,Engine!$C$2:$C$1199,0)),"",INDEX('Compliance Database'!$N$2:$N$1199,MATCH(117,Engine!$C$2:$C$1199,0)))</f>
        <v/>
      </c>
      <c r="O130" s="7" t="str">
        <f>IF(ISNA(MATCH(117,Engine!$C$2:$C$1199,0)),"",INDEX('Compliance Database'!$O$2:$O$1199,MATCH(117,Engine!$C$2:$C$1199,0)))</f>
        <v/>
      </c>
      <c r="P130" s="6" t="str">
        <f>IF(ISNA(MATCH(117,Engine!$C$2:$C$1199,0)),"",HYPERLINK("#Acts!A"&amp;INDEX('Compliance Database'!$P$2:$P$1199,MATCH(117,Engine!$C$2:$C$1199,0)),"Go to Act"))</f>
        <v/>
      </c>
    </row>
    <row r="131" spans="1:16" ht="172.95" customHeight="1" x14ac:dyDescent="0.3">
      <c r="A131" s="6" t="str">
        <f>IF(ISNA(MATCH(118,Engine!$C$2:$C$1199,0)),"",INDEX('Compliance Database'!$A$2:$A$1199,MATCH(118,Engine!$C$2:$C$1199,0)))</f>
        <v/>
      </c>
      <c r="B131" s="6" t="str">
        <f>IF(ISNA(MATCH(118,Engine!$C$2:$C$1199,0)),"",INDEX('Compliance Database'!$B$2:$B$1199,MATCH(118,Engine!$C$2:$C$1199,0)))</f>
        <v/>
      </c>
      <c r="C131" s="6" t="str">
        <f>IF(ISNA(MATCH(118,Engine!$C$2:$C$1199,0)),"",INDEX('Compliance Database'!$C$2:$C$1199,MATCH(118,Engine!$C$2:$C$1199,0)))</f>
        <v/>
      </c>
      <c r="D131" s="7" t="str">
        <f>IF(ISNA(MATCH(118,Engine!$C$2:$C$1199,0)),"",INDEX('Compliance Database'!$D$2:$D$1199,MATCH(118,Engine!$C$2:$C$1199,0)))</f>
        <v/>
      </c>
      <c r="E131" s="6" t="str">
        <f>IF(ISNA(MATCH(118,Engine!$C$2:$C$1199,0)),"",INDEX('Compliance Database'!$E$2:$E$1199,MATCH(118,Engine!$C$2:$C$1199,0)))</f>
        <v/>
      </c>
      <c r="F131" s="6" t="str">
        <f>IF(ISNA(MATCH(118,Engine!$C$2:$C$1199,0)),"",INDEX('Compliance Database'!$F$2:$F$1199,MATCH(118,Engine!$C$2:$C$1199,0)))</f>
        <v/>
      </c>
      <c r="G131" s="6" t="str">
        <f>IF(ISNA(MATCH(118,Engine!$C$2:$C$1199,0)),"",INDEX('Compliance Database'!$G$2:$G$1199,MATCH(118,Engine!$C$2:$C$1199,0)))</f>
        <v/>
      </c>
      <c r="H131" s="7" t="str">
        <f>IF(ISNA(MATCH(118,Engine!$C$2:$C$1199,0)),"",INDEX('Compliance Database'!$H$2:$H$1199,MATCH(118,Engine!$C$2:$C$1199,0)))</f>
        <v/>
      </c>
      <c r="I131" s="7" t="str">
        <f>IF(ISNA(MATCH(118,Engine!$C$2:$C$1199,0)),"",INDEX('Compliance Database'!$I$2:$I$1199,MATCH(118,Engine!$C$2:$C$1199,0)))</f>
        <v/>
      </c>
      <c r="J131" s="6" t="str">
        <f>IF(ISNA(MATCH(118,Engine!$C$2:$C$1199,0)),"",INDEX('Compliance Database'!$J$2:$J$1199,MATCH(118,Engine!$C$2:$C$1199,0)))</f>
        <v/>
      </c>
      <c r="K131" s="7" t="str">
        <f>IF(ISNA(MATCH(118,Engine!$C$2:$C$1199,0)),"",INDEX('Compliance Database'!$K$2:$K$1199,MATCH(118,Engine!$C$2:$C$1199,0)))</f>
        <v/>
      </c>
      <c r="L131" s="7" t="str">
        <f>IF(ISNA(MATCH(118,Engine!$C$2:$C$1199,0)),"",INDEX('Compliance Database'!$L$2:$L$1199,MATCH(118,Engine!$C$2:$C$1199,0)))</f>
        <v/>
      </c>
      <c r="M131" s="7" t="str">
        <f>IF(ISNA(MATCH(118,Engine!$C$2:$C$1199,0)),"",INDEX('Compliance Database'!$M$2:$M$1199,MATCH(118,Engine!$C$2:$C$1199,0)))</f>
        <v/>
      </c>
      <c r="N131" s="7" t="str">
        <f>IF(ISNA(MATCH(118,Engine!$C$2:$C$1199,0)),"",INDEX('Compliance Database'!$N$2:$N$1199,MATCH(118,Engine!$C$2:$C$1199,0)))</f>
        <v/>
      </c>
      <c r="O131" s="7" t="str">
        <f>IF(ISNA(MATCH(118,Engine!$C$2:$C$1199,0)),"",INDEX('Compliance Database'!$O$2:$O$1199,MATCH(118,Engine!$C$2:$C$1199,0)))</f>
        <v/>
      </c>
      <c r="P131" s="6" t="str">
        <f>IF(ISNA(MATCH(118,Engine!$C$2:$C$1199,0)),"",HYPERLINK("#Acts!A"&amp;INDEX('Compliance Database'!$P$2:$P$1199,MATCH(118,Engine!$C$2:$C$1199,0)),"Go to Act"))</f>
        <v/>
      </c>
    </row>
    <row r="132" spans="1:16" ht="172.95" customHeight="1" x14ac:dyDescent="0.3">
      <c r="A132" s="6" t="str">
        <f>IF(ISNA(MATCH(119,Engine!$C$2:$C$1199,0)),"",INDEX('Compliance Database'!$A$2:$A$1199,MATCH(119,Engine!$C$2:$C$1199,0)))</f>
        <v/>
      </c>
      <c r="B132" s="6" t="str">
        <f>IF(ISNA(MATCH(119,Engine!$C$2:$C$1199,0)),"",INDEX('Compliance Database'!$B$2:$B$1199,MATCH(119,Engine!$C$2:$C$1199,0)))</f>
        <v/>
      </c>
      <c r="C132" s="6" t="str">
        <f>IF(ISNA(MATCH(119,Engine!$C$2:$C$1199,0)),"",INDEX('Compliance Database'!$C$2:$C$1199,MATCH(119,Engine!$C$2:$C$1199,0)))</f>
        <v/>
      </c>
      <c r="D132" s="7" t="str">
        <f>IF(ISNA(MATCH(119,Engine!$C$2:$C$1199,0)),"",INDEX('Compliance Database'!$D$2:$D$1199,MATCH(119,Engine!$C$2:$C$1199,0)))</f>
        <v/>
      </c>
      <c r="E132" s="6" t="str">
        <f>IF(ISNA(MATCH(119,Engine!$C$2:$C$1199,0)),"",INDEX('Compliance Database'!$E$2:$E$1199,MATCH(119,Engine!$C$2:$C$1199,0)))</f>
        <v/>
      </c>
      <c r="F132" s="6" t="str">
        <f>IF(ISNA(MATCH(119,Engine!$C$2:$C$1199,0)),"",INDEX('Compliance Database'!$F$2:$F$1199,MATCH(119,Engine!$C$2:$C$1199,0)))</f>
        <v/>
      </c>
      <c r="G132" s="6" t="str">
        <f>IF(ISNA(MATCH(119,Engine!$C$2:$C$1199,0)),"",INDEX('Compliance Database'!$G$2:$G$1199,MATCH(119,Engine!$C$2:$C$1199,0)))</f>
        <v/>
      </c>
      <c r="H132" s="7" t="str">
        <f>IF(ISNA(MATCH(119,Engine!$C$2:$C$1199,0)),"",INDEX('Compliance Database'!$H$2:$H$1199,MATCH(119,Engine!$C$2:$C$1199,0)))</f>
        <v/>
      </c>
      <c r="I132" s="7" t="str">
        <f>IF(ISNA(MATCH(119,Engine!$C$2:$C$1199,0)),"",INDEX('Compliance Database'!$I$2:$I$1199,MATCH(119,Engine!$C$2:$C$1199,0)))</f>
        <v/>
      </c>
      <c r="J132" s="6" t="str">
        <f>IF(ISNA(MATCH(119,Engine!$C$2:$C$1199,0)),"",INDEX('Compliance Database'!$J$2:$J$1199,MATCH(119,Engine!$C$2:$C$1199,0)))</f>
        <v/>
      </c>
      <c r="K132" s="7" t="str">
        <f>IF(ISNA(MATCH(119,Engine!$C$2:$C$1199,0)),"",INDEX('Compliance Database'!$K$2:$K$1199,MATCH(119,Engine!$C$2:$C$1199,0)))</f>
        <v/>
      </c>
      <c r="L132" s="7" t="str">
        <f>IF(ISNA(MATCH(119,Engine!$C$2:$C$1199,0)),"",INDEX('Compliance Database'!$L$2:$L$1199,MATCH(119,Engine!$C$2:$C$1199,0)))</f>
        <v/>
      </c>
      <c r="M132" s="7" t="str">
        <f>IF(ISNA(MATCH(119,Engine!$C$2:$C$1199,0)),"",INDEX('Compliance Database'!$M$2:$M$1199,MATCH(119,Engine!$C$2:$C$1199,0)))</f>
        <v/>
      </c>
      <c r="N132" s="7" t="str">
        <f>IF(ISNA(MATCH(119,Engine!$C$2:$C$1199,0)),"",INDEX('Compliance Database'!$N$2:$N$1199,MATCH(119,Engine!$C$2:$C$1199,0)))</f>
        <v/>
      </c>
      <c r="O132" s="7" t="str">
        <f>IF(ISNA(MATCH(119,Engine!$C$2:$C$1199,0)),"",INDEX('Compliance Database'!$O$2:$O$1199,MATCH(119,Engine!$C$2:$C$1199,0)))</f>
        <v/>
      </c>
      <c r="P132" s="6" t="str">
        <f>IF(ISNA(MATCH(119,Engine!$C$2:$C$1199,0)),"",HYPERLINK("#Acts!A"&amp;INDEX('Compliance Database'!$P$2:$P$1199,MATCH(119,Engine!$C$2:$C$1199,0)),"Go to Act"))</f>
        <v/>
      </c>
    </row>
    <row r="133" spans="1:16" ht="172.95" customHeight="1" x14ac:dyDescent="0.3">
      <c r="A133" s="6" t="str">
        <f>IF(ISNA(MATCH(120,Engine!$C$2:$C$1199,0)),"",INDEX('Compliance Database'!$A$2:$A$1199,MATCH(120,Engine!$C$2:$C$1199,0)))</f>
        <v/>
      </c>
      <c r="B133" s="6" t="str">
        <f>IF(ISNA(MATCH(120,Engine!$C$2:$C$1199,0)),"",INDEX('Compliance Database'!$B$2:$B$1199,MATCH(120,Engine!$C$2:$C$1199,0)))</f>
        <v/>
      </c>
      <c r="C133" s="6" t="str">
        <f>IF(ISNA(MATCH(120,Engine!$C$2:$C$1199,0)),"",INDEX('Compliance Database'!$C$2:$C$1199,MATCH(120,Engine!$C$2:$C$1199,0)))</f>
        <v/>
      </c>
      <c r="D133" s="7" t="str">
        <f>IF(ISNA(MATCH(120,Engine!$C$2:$C$1199,0)),"",INDEX('Compliance Database'!$D$2:$D$1199,MATCH(120,Engine!$C$2:$C$1199,0)))</f>
        <v/>
      </c>
      <c r="E133" s="6" t="str">
        <f>IF(ISNA(MATCH(120,Engine!$C$2:$C$1199,0)),"",INDEX('Compliance Database'!$E$2:$E$1199,MATCH(120,Engine!$C$2:$C$1199,0)))</f>
        <v/>
      </c>
      <c r="F133" s="6" t="str">
        <f>IF(ISNA(MATCH(120,Engine!$C$2:$C$1199,0)),"",INDEX('Compliance Database'!$F$2:$F$1199,MATCH(120,Engine!$C$2:$C$1199,0)))</f>
        <v/>
      </c>
      <c r="G133" s="6" t="str">
        <f>IF(ISNA(MATCH(120,Engine!$C$2:$C$1199,0)),"",INDEX('Compliance Database'!$G$2:$G$1199,MATCH(120,Engine!$C$2:$C$1199,0)))</f>
        <v/>
      </c>
      <c r="H133" s="7" t="str">
        <f>IF(ISNA(MATCH(120,Engine!$C$2:$C$1199,0)),"",INDEX('Compliance Database'!$H$2:$H$1199,MATCH(120,Engine!$C$2:$C$1199,0)))</f>
        <v/>
      </c>
      <c r="I133" s="7" t="str">
        <f>IF(ISNA(MATCH(120,Engine!$C$2:$C$1199,0)),"",INDEX('Compliance Database'!$I$2:$I$1199,MATCH(120,Engine!$C$2:$C$1199,0)))</f>
        <v/>
      </c>
      <c r="J133" s="6" t="str">
        <f>IF(ISNA(MATCH(120,Engine!$C$2:$C$1199,0)),"",INDEX('Compliance Database'!$J$2:$J$1199,MATCH(120,Engine!$C$2:$C$1199,0)))</f>
        <v/>
      </c>
      <c r="K133" s="7" t="str">
        <f>IF(ISNA(MATCH(120,Engine!$C$2:$C$1199,0)),"",INDEX('Compliance Database'!$K$2:$K$1199,MATCH(120,Engine!$C$2:$C$1199,0)))</f>
        <v/>
      </c>
      <c r="L133" s="7" t="str">
        <f>IF(ISNA(MATCH(120,Engine!$C$2:$C$1199,0)),"",INDEX('Compliance Database'!$L$2:$L$1199,MATCH(120,Engine!$C$2:$C$1199,0)))</f>
        <v/>
      </c>
      <c r="M133" s="7" t="str">
        <f>IF(ISNA(MATCH(120,Engine!$C$2:$C$1199,0)),"",INDEX('Compliance Database'!$M$2:$M$1199,MATCH(120,Engine!$C$2:$C$1199,0)))</f>
        <v/>
      </c>
      <c r="N133" s="7" t="str">
        <f>IF(ISNA(MATCH(120,Engine!$C$2:$C$1199,0)),"",INDEX('Compliance Database'!$N$2:$N$1199,MATCH(120,Engine!$C$2:$C$1199,0)))</f>
        <v/>
      </c>
      <c r="O133" s="7" t="str">
        <f>IF(ISNA(MATCH(120,Engine!$C$2:$C$1199,0)),"",INDEX('Compliance Database'!$O$2:$O$1199,MATCH(120,Engine!$C$2:$C$1199,0)))</f>
        <v/>
      </c>
      <c r="P133" s="6" t="str">
        <f>IF(ISNA(MATCH(120,Engine!$C$2:$C$1199,0)),"",HYPERLINK("#Acts!A"&amp;INDEX('Compliance Database'!$P$2:$P$1199,MATCH(120,Engine!$C$2:$C$1199,0)),"Go to Act"))</f>
        <v/>
      </c>
    </row>
    <row r="134" spans="1:16" ht="172.95" customHeight="1" x14ac:dyDescent="0.3">
      <c r="A134" s="6" t="str">
        <f>IF(ISNA(MATCH(121,Engine!$C$2:$C$1199,0)),"",INDEX('Compliance Database'!$A$2:$A$1199,MATCH(121,Engine!$C$2:$C$1199,0)))</f>
        <v/>
      </c>
      <c r="B134" s="6" t="str">
        <f>IF(ISNA(MATCH(121,Engine!$C$2:$C$1199,0)),"",INDEX('Compliance Database'!$B$2:$B$1199,MATCH(121,Engine!$C$2:$C$1199,0)))</f>
        <v/>
      </c>
      <c r="C134" s="6" t="str">
        <f>IF(ISNA(MATCH(121,Engine!$C$2:$C$1199,0)),"",INDEX('Compliance Database'!$C$2:$C$1199,MATCH(121,Engine!$C$2:$C$1199,0)))</f>
        <v/>
      </c>
      <c r="D134" s="7" t="str">
        <f>IF(ISNA(MATCH(121,Engine!$C$2:$C$1199,0)),"",INDEX('Compliance Database'!$D$2:$D$1199,MATCH(121,Engine!$C$2:$C$1199,0)))</f>
        <v/>
      </c>
      <c r="E134" s="6" t="str">
        <f>IF(ISNA(MATCH(121,Engine!$C$2:$C$1199,0)),"",INDEX('Compliance Database'!$E$2:$E$1199,MATCH(121,Engine!$C$2:$C$1199,0)))</f>
        <v/>
      </c>
      <c r="F134" s="6" t="str">
        <f>IF(ISNA(MATCH(121,Engine!$C$2:$C$1199,0)),"",INDEX('Compliance Database'!$F$2:$F$1199,MATCH(121,Engine!$C$2:$C$1199,0)))</f>
        <v/>
      </c>
      <c r="G134" s="6" t="str">
        <f>IF(ISNA(MATCH(121,Engine!$C$2:$C$1199,0)),"",INDEX('Compliance Database'!$G$2:$G$1199,MATCH(121,Engine!$C$2:$C$1199,0)))</f>
        <v/>
      </c>
      <c r="H134" s="7" t="str">
        <f>IF(ISNA(MATCH(121,Engine!$C$2:$C$1199,0)),"",INDEX('Compliance Database'!$H$2:$H$1199,MATCH(121,Engine!$C$2:$C$1199,0)))</f>
        <v/>
      </c>
      <c r="I134" s="7" t="str">
        <f>IF(ISNA(MATCH(121,Engine!$C$2:$C$1199,0)),"",INDEX('Compliance Database'!$I$2:$I$1199,MATCH(121,Engine!$C$2:$C$1199,0)))</f>
        <v/>
      </c>
      <c r="J134" s="6" t="str">
        <f>IF(ISNA(MATCH(121,Engine!$C$2:$C$1199,0)),"",INDEX('Compliance Database'!$J$2:$J$1199,MATCH(121,Engine!$C$2:$C$1199,0)))</f>
        <v/>
      </c>
      <c r="K134" s="7" t="str">
        <f>IF(ISNA(MATCH(121,Engine!$C$2:$C$1199,0)),"",INDEX('Compliance Database'!$K$2:$K$1199,MATCH(121,Engine!$C$2:$C$1199,0)))</f>
        <v/>
      </c>
      <c r="L134" s="7" t="str">
        <f>IF(ISNA(MATCH(121,Engine!$C$2:$C$1199,0)),"",INDEX('Compliance Database'!$L$2:$L$1199,MATCH(121,Engine!$C$2:$C$1199,0)))</f>
        <v/>
      </c>
      <c r="M134" s="7" t="str">
        <f>IF(ISNA(MATCH(121,Engine!$C$2:$C$1199,0)),"",INDEX('Compliance Database'!$M$2:$M$1199,MATCH(121,Engine!$C$2:$C$1199,0)))</f>
        <v/>
      </c>
      <c r="N134" s="7" t="str">
        <f>IF(ISNA(MATCH(121,Engine!$C$2:$C$1199,0)),"",INDEX('Compliance Database'!$N$2:$N$1199,MATCH(121,Engine!$C$2:$C$1199,0)))</f>
        <v/>
      </c>
      <c r="O134" s="7" t="str">
        <f>IF(ISNA(MATCH(121,Engine!$C$2:$C$1199,0)),"",INDEX('Compliance Database'!$O$2:$O$1199,MATCH(121,Engine!$C$2:$C$1199,0)))</f>
        <v/>
      </c>
      <c r="P134" s="6" t="str">
        <f>IF(ISNA(MATCH(121,Engine!$C$2:$C$1199,0)),"",HYPERLINK("#Acts!A"&amp;INDEX('Compliance Database'!$P$2:$P$1199,MATCH(121,Engine!$C$2:$C$1199,0)),"Go to Act"))</f>
        <v/>
      </c>
    </row>
    <row r="135" spans="1:16" ht="172.95" customHeight="1" x14ac:dyDescent="0.3">
      <c r="A135" s="6" t="str">
        <f>IF(ISNA(MATCH(122,Engine!$C$2:$C$1199,0)),"",INDEX('Compliance Database'!$A$2:$A$1199,MATCH(122,Engine!$C$2:$C$1199,0)))</f>
        <v/>
      </c>
      <c r="B135" s="6" t="str">
        <f>IF(ISNA(MATCH(122,Engine!$C$2:$C$1199,0)),"",INDEX('Compliance Database'!$B$2:$B$1199,MATCH(122,Engine!$C$2:$C$1199,0)))</f>
        <v/>
      </c>
      <c r="C135" s="6" t="str">
        <f>IF(ISNA(MATCH(122,Engine!$C$2:$C$1199,0)),"",INDEX('Compliance Database'!$C$2:$C$1199,MATCH(122,Engine!$C$2:$C$1199,0)))</f>
        <v/>
      </c>
      <c r="D135" s="7" t="str">
        <f>IF(ISNA(MATCH(122,Engine!$C$2:$C$1199,0)),"",INDEX('Compliance Database'!$D$2:$D$1199,MATCH(122,Engine!$C$2:$C$1199,0)))</f>
        <v/>
      </c>
      <c r="E135" s="6" t="str">
        <f>IF(ISNA(MATCH(122,Engine!$C$2:$C$1199,0)),"",INDEX('Compliance Database'!$E$2:$E$1199,MATCH(122,Engine!$C$2:$C$1199,0)))</f>
        <v/>
      </c>
      <c r="F135" s="6" t="str">
        <f>IF(ISNA(MATCH(122,Engine!$C$2:$C$1199,0)),"",INDEX('Compliance Database'!$F$2:$F$1199,MATCH(122,Engine!$C$2:$C$1199,0)))</f>
        <v/>
      </c>
      <c r="G135" s="6" t="str">
        <f>IF(ISNA(MATCH(122,Engine!$C$2:$C$1199,0)),"",INDEX('Compliance Database'!$G$2:$G$1199,MATCH(122,Engine!$C$2:$C$1199,0)))</f>
        <v/>
      </c>
      <c r="H135" s="7" t="str">
        <f>IF(ISNA(MATCH(122,Engine!$C$2:$C$1199,0)),"",INDEX('Compliance Database'!$H$2:$H$1199,MATCH(122,Engine!$C$2:$C$1199,0)))</f>
        <v/>
      </c>
      <c r="I135" s="7" t="str">
        <f>IF(ISNA(MATCH(122,Engine!$C$2:$C$1199,0)),"",INDEX('Compliance Database'!$I$2:$I$1199,MATCH(122,Engine!$C$2:$C$1199,0)))</f>
        <v/>
      </c>
      <c r="J135" s="6" t="str">
        <f>IF(ISNA(MATCH(122,Engine!$C$2:$C$1199,0)),"",INDEX('Compliance Database'!$J$2:$J$1199,MATCH(122,Engine!$C$2:$C$1199,0)))</f>
        <v/>
      </c>
      <c r="K135" s="7" t="str">
        <f>IF(ISNA(MATCH(122,Engine!$C$2:$C$1199,0)),"",INDEX('Compliance Database'!$K$2:$K$1199,MATCH(122,Engine!$C$2:$C$1199,0)))</f>
        <v/>
      </c>
      <c r="L135" s="7" t="str">
        <f>IF(ISNA(MATCH(122,Engine!$C$2:$C$1199,0)),"",INDEX('Compliance Database'!$L$2:$L$1199,MATCH(122,Engine!$C$2:$C$1199,0)))</f>
        <v/>
      </c>
      <c r="M135" s="7" t="str">
        <f>IF(ISNA(MATCH(122,Engine!$C$2:$C$1199,0)),"",INDEX('Compliance Database'!$M$2:$M$1199,MATCH(122,Engine!$C$2:$C$1199,0)))</f>
        <v/>
      </c>
      <c r="N135" s="7" t="str">
        <f>IF(ISNA(MATCH(122,Engine!$C$2:$C$1199,0)),"",INDEX('Compliance Database'!$N$2:$N$1199,MATCH(122,Engine!$C$2:$C$1199,0)))</f>
        <v/>
      </c>
      <c r="O135" s="7" t="str">
        <f>IF(ISNA(MATCH(122,Engine!$C$2:$C$1199,0)),"",INDEX('Compliance Database'!$O$2:$O$1199,MATCH(122,Engine!$C$2:$C$1199,0)))</f>
        <v/>
      </c>
      <c r="P135" s="6" t="str">
        <f>IF(ISNA(MATCH(122,Engine!$C$2:$C$1199,0)),"",HYPERLINK("#Acts!A"&amp;INDEX('Compliance Database'!$P$2:$P$1199,MATCH(122,Engine!$C$2:$C$1199,0)),"Go to Act"))</f>
        <v/>
      </c>
    </row>
    <row r="136" spans="1:16" ht="172.95" customHeight="1" x14ac:dyDescent="0.3">
      <c r="A136" s="6" t="str">
        <f>IF(ISNA(MATCH(123,Engine!$C$2:$C$1199,0)),"",INDEX('Compliance Database'!$A$2:$A$1199,MATCH(123,Engine!$C$2:$C$1199,0)))</f>
        <v/>
      </c>
      <c r="B136" s="6" t="str">
        <f>IF(ISNA(MATCH(123,Engine!$C$2:$C$1199,0)),"",INDEX('Compliance Database'!$B$2:$B$1199,MATCH(123,Engine!$C$2:$C$1199,0)))</f>
        <v/>
      </c>
      <c r="C136" s="6" t="str">
        <f>IF(ISNA(MATCH(123,Engine!$C$2:$C$1199,0)),"",INDEX('Compliance Database'!$C$2:$C$1199,MATCH(123,Engine!$C$2:$C$1199,0)))</f>
        <v/>
      </c>
      <c r="D136" s="7" t="str">
        <f>IF(ISNA(MATCH(123,Engine!$C$2:$C$1199,0)),"",INDEX('Compliance Database'!$D$2:$D$1199,MATCH(123,Engine!$C$2:$C$1199,0)))</f>
        <v/>
      </c>
      <c r="E136" s="6" t="str">
        <f>IF(ISNA(MATCH(123,Engine!$C$2:$C$1199,0)),"",INDEX('Compliance Database'!$E$2:$E$1199,MATCH(123,Engine!$C$2:$C$1199,0)))</f>
        <v/>
      </c>
      <c r="F136" s="6" t="str">
        <f>IF(ISNA(MATCH(123,Engine!$C$2:$C$1199,0)),"",INDEX('Compliance Database'!$F$2:$F$1199,MATCH(123,Engine!$C$2:$C$1199,0)))</f>
        <v/>
      </c>
      <c r="G136" s="6" t="str">
        <f>IF(ISNA(MATCH(123,Engine!$C$2:$C$1199,0)),"",INDEX('Compliance Database'!$G$2:$G$1199,MATCH(123,Engine!$C$2:$C$1199,0)))</f>
        <v/>
      </c>
      <c r="H136" s="7" t="str">
        <f>IF(ISNA(MATCH(123,Engine!$C$2:$C$1199,0)),"",INDEX('Compliance Database'!$H$2:$H$1199,MATCH(123,Engine!$C$2:$C$1199,0)))</f>
        <v/>
      </c>
      <c r="I136" s="7" t="str">
        <f>IF(ISNA(MATCH(123,Engine!$C$2:$C$1199,0)),"",INDEX('Compliance Database'!$I$2:$I$1199,MATCH(123,Engine!$C$2:$C$1199,0)))</f>
        <v/>
      </c>
      <c r="J136" s="6" t="str">
        <f>IF(ISNA(MATCH(123,Engine!$C$2:$C$1199,0)),"",INDEX('Compliance Database'!$J$2:$J$1199,MATCH(123,Engine!$C$2:$C$1199,0)))</f>
        <v/>
      </c>
      <c r="K136" s="7" t="str">
        <f>IF(ISNA(MATCH(123,Engine!$C$2:$C$1199,0)),"",INDEX('Compliance Database'!$K$2:$K$1199,MATCH(123,Engine!$C$2:$C$1199,0)))</f>
        <v/>
      </c>
      <c r="L136" s="7" t="str">
        <f>IF(ISNA(MATCH(123,Engine!$C$2:$C$1199,0)),"",INDEX('Compliance Database'!$L$2:$L$1199,MATCH(123,Engine!$C$2:$C$1199,0)))</f>
        <v/>
      </c>
      <c r="M136" s="7" t="str">
        <f>IF(ISNA(MATCH(123,Engine!$C$2:$C$1199,0)),"",INDEX('Compliance Database'!$M$2:$M$1199,MATCH(123,Engine!$C$2:$C$1199,0)))</f>
        <v/>
      </c>
      <c r="N136" s="7" t="str">
        <f>IF(ISNA(MATCH(123,Engine!$C$2:$C$1199,0)),"",INDEX('Compliance Database'!$N$2:$N$1199,MATCH(123,Engine!$C$2:$C$1199,0)))</f>
        <v/>
      </c>
      <c r="O136" s="7" t="str">
        <f>IF(ISNA(MATCH(123,Engine!$C$2:$C$1199,0)),"",INDEX('Compliance Database'!$O$2:$O$1199,MATCH(123,Engine!$C$2:$C$1199,0)))</f>
        <v/>
      </c>
      <c r="P136" s="6" t="str">
        <f>IF(ISNA(MATCH(123,Engine!$C$2:$C$1199,0)),"",HYPERLINK("#Acts!A"&amp;INDEX('Compliance Database'!$P$2:$P$1199,MATCH(123,Engine!$C$2:$C$1199,0)),"Go to Act"))</f>
        <v/>
      </c>
    </row>
    <row r="137" spans="1:16" ht="172.95" customHeight="1" x14ac:dyDescent="0.3">
      <c r="A137" s="6" t="str">
        <f>IF(ISNA(MATCH(124,Engine!$C$2:$C$1199,0)),"",INDEX('Compliance Database'!$A$2:$A$1199,MATCH(124,Engine!$C$2:$C$1199,0)))</f>
        <v/>
      </c>
      <c r="B137" s="6" t="str">
        <f>IF(ISNA(MATCH(124,Engine!$C$2:$C$1199,0)),"",INDEX('Compliance Database'!$B$2:$B$1199,MATCH(124,Engine!$C$2:$C$1199,0)))</f>
        <v/>
      </c>
      <c r="C137" s="6" t="str">
        <f>IF(ISNA(MATCH(124,Engine!$C$2:$C$1199,0)),"",INDEX('Compliance Database'!$C$2:$C$1199,MATCH(124,Engine!$C$2:$C$1199,0)))</f>
        <v/>
      </c>
      <c r="D137" s="7" t="str">
        <f>IF(ISNA(MATCH(124,Engine!$C$2:$C$1199,0)),"",INDEX('Compliance Database'!$D$2:$D$1199,MATCH(124,Engine!$C$2:$C$1199,0)))</f>
        <v/>
      </c>
      <c r="E137" s="6" t="str">
        <f>IF(ISNA(MATCH(124,Engine!$C$2:$C$1199,0)),"",INDEX('Compliance Database'!$E$2:$E$1199,MATCH(124,Engine!$C$2:$C$1199,0)))</f>
        <v/>
      </c>
      <c r="F137" s="6" t="str">
        <f>IF(ISNA(MATCH(124,Engine!$C$2:$C$1199,0)),"",INDEX('Compliance Database'!$F$2:$F$1199,MATCH(124,Engine!$C$2:$C$1199,0)))</f>
        <v/>
      </c>
      <c r="G137" s="6" t="str">
        <f>IF(ISNA(MATCH(124,Engine!$C$2:$C$1199,0)),"",INDEX('Compliance Database'!$G$2:$G$1199,MATCH(124,Engine!$C$2:$C$1199,0)))</f>
        <v/>
      </c>
      <c r="H137" s="7" t="str">
        <f>IF(ISNA(MATCH(124,Engine!$C$2:$C$1199,0)),"",INDEX('Compliance Database'!$H$2:$H$1199,MATCH(124,Engine!$C$2:$C$1199,0)))</f>
        <v/>
      </c>
      <c r="I137" s="7" t="str">
        <f>IF(ISNA(MATCH(124,Engine!$C$2:$C$1199,0)),"",INDEX('Compliance Database'!$I$2:$I$1199,MATCH(124,Engine!$C$2:$C$1199,0)))</f>
        <v/>
      </c>
      <c r="J137" s="6" t="str">
        <f>IF(ISNA(MATCH(124,Engine!$C$2:$C$1199,0)),"",INDEX('Compliance Database'!$J$2:$J$1199,MATCH(124,Engine!$C$2:$C$1199,0)))</f>
        <v/>
      </c>
      <c r="K137" s="7" t="str">
        <f>IF(ISNA(MATCH(124,Engine!$C$2:$C$1199,0)),"",INDEX('Compliance Database'!$K$2:$K$1199,MATCH(124,Engine!$C$2:$C$1199,0)))</f>
        <v/>
      </c>
      <c r="L137" s="7" t="str">
        <f>IF(ISNA(MATCH(124,Engine!$C$2:$C$1199,0)),"",INDEX('Compliance Database'!$L$2:$L$1199,MATCH(124,Engine!$C$2:$C$1199,0)))</f>
        <v/>
      </c>
      <c r="M137" s="7" t="str">
        <f>IF(ISNA(MATCH(124,Engine!$C$2:$C$1199,0)),"",INDEX('Compliance Database'!$M$2:$M$1199,MATCH(124,Engine!$C$2:$C$1199,0)))</f>
        <v/>
      </c>
      <c r="N137" s="7" t="str">
        <f>IF(ISNA(MATCH(124,Engine!$C$2:$C$1199,0)),"",INDEX('Compliance Database'!$N$2:$N$1199,MATCH(124,Engine!$C$2:$C$1199,0)))</f>
        <v/>
      </c>
      <c r="O137" s="7" t="str">
        <f>IF(ISNA(MATCH(124,Engine!$C$2:$C$1199,0)),"",INDEX('Compliance Database'!$O$2:$O$1199,MATCH(124,Engine!$C$2:$C$1199,0)))</f>
        <v/>
      </c>
      <c r="P137" s="6" t="str">
        <f>IF(ISNA(MATCH(124,Engine!$C$2:$C$1199,0)),"",HYPERLINK("#Acts!A"&amp;INDEX('Compliance Database'!$P$2:$P$1199,MATCH(124,Engine!$C$2:$C$1199,0)),"Go to Act"))</f>
        <v/>
      </c>
    </row>
    <row r="138" spans="1:16" ht="172.95" customHeight="1" x14ac:dyDescent="0.3">
      <c r="A138" s="6" t="str">
        <f>IF(ISNA(MATCH(125,Engine!$C$2:$C$1199,0)),"",INDEX('Compliance Database'!$A$2:$A$1199,MATCH(125,Engine!$C$2:$C$1199,0)))</f>
        <v/>
      </c>
      <c r="B138" s="6" t="str">
        <f>IF(ISNA(MATCH(125,Engine!$C$2:$C$1199,0)),"",INDEX('Compliance Database'!$B$2:$B$1199,MATCH(125,Engine!$C$2:$C$1199,0)))</f>
        <v/>
      </c>
      <c r="C138" s="6" t="str">
        <f>IF(ISNA(MATCH(125,Engine!$C$2:$C$1199,0)),"",INDEX('Compliance Database'!$C$2:$C$1199,MATCH(125,Engine!$C$2:$C$1199,0)))</f>
        <v/>
      </c>
      <c r="D138" s="7" t="str">
        <f>IF(ISNA(MATCH(125,Engine!$C$2:$C$1199,0)),"",INDEX('Compliance Database'!$D$2:$D$1199,MATCH(125,Engine!$C$2:$C$1199,0)))</f>
        <v/>
      </c>
      <c r="E138" s="6" t="str">
        <f>IF(ISNA(MATCH(125,Engine!$C$2:$C$1199,0)),"",INDEX('Compliance Database'!$E$2:$E$1199,MATCH(125,Engine!$C$2:$C$1199,0)))</f>
        <v/>
      </c>
      <c r="F138" s="6" t="str">
        <f>IF(ISNA(MATCH(125,Engine!$C$2:$C$1199,0)),"",INDEX('Compliance Database'!$F$2:$F$1199,MATCH(125,Engine!$C$2:$C$1199,0)))</f>
        <v/>
      </c>
      <c r="G138" s="6" t="str">
        <f>IF(ISNA(MATCH(125,Engine!$C$2:$C$1199,0)),"",INDEX('Compliance Database'!$G$2:$G$1199,MATCH(125,Engine!$C$2:$C$1199,0)))</f>
        <v/>
      </c>
      <c r="H138" s="7" t="str">
        <f>IF(ISNA(MATCH(125,Engine!$C$2:$C$1199,0)),"",INDEX('Compliance Database'!$H$2:$H$1199,MATCH(125,Engine!$C$2:$C$1199,0)))</f>
        <v/>
      </c>
      <c r="I138" s="7" t="str">
        <f>IF(ISNA(MATCH(125,Engine!$C$2:$C$1199,0)),"",INDEX('Compliance Database'!$I$2:$I$1199,MATCH(125,Engine!$C$2:$C$1199,0)))</f>
        <v/>
      </c>
      <c r="J138" s="6" t="str">
        <f>IF(ISNA(MATCH(125,Engine!$C$2:$C$1199,0)),"",INDEX('Compliance Database'!$J$2:$J$1199,MATCH(125,Engine!$C$2:$C$1199,0)))</f>
        <v/>
      </c>
      <c r="K138" s="7" t="str">
        <f>IF(ISNA(MATCH(125,Engine!$C$2:$C$1199,0)),"",INDEX('Compliance Database'!$K$2:$K$1199,MATCH(125,Engine!$C$2:$C$1199,0)))</f>
        <v/>
      </c>
      <c r="L138" s="7" t="str">
        <f>IF(ISNA(MATCH(125,Engine!$C$2:$C$1199,0)),"",INDEX('Compliance Database'!$L$2:$L$1199,MATCH(125,Engine!$C$2:$C$1199,0)))</f>
        <v/>
      </c>
      <c r="M138" s="7" t="str">
        <f>IF(ISNA(MATCH(125,Engine!$C$2:$C$1199,0)),"",INDEX('Compliance Database'!$M$2:$M$1199,MATCH(125,Engine!$C$2:$C$1199,0)))</f>
        <v/>
      </c>
      <c r="N138" s="7" t="str">
        <f>IF(ISNA(MATCH(125,Engine!$C$2:$C$1199,0)),"",INDEX('Compliance Database'!$N$2:$N$1199,MATCH(125,Engine!$C$2:$C$1199,0)))</f>
        <v/>
      </c>
      <c r="O138" s="7" t="str">
        <f>IF(ISNA(MATCH(125,Engine!$C$2:$C$1199,0)),"",INDEX('Compliance Database'!$O$2:$O$1199,MATCH(125,Engine!$C$2:$C$1199,0)))</f>
        <v/>
      </c>
      <c r="P138" s="6" t="str">
        <f>IF(ISNA(MATCH(125,Engine!$C$2:$C$1199,0)),"",HYPERLINK("#Acts!A"&amp;INDEX('Compliance Database'!$P$2:$P$1199,MATCH(125,Engine!$C$2:$C$1199,0)),"Go to Act"))</f>
        <v/>
      </c>
    </row>
    <row r="139" spans="1:16" ht="172.95" customHeight="1" x14ac:dyDescent="0.3">
      <c r="A139" s="6" t="str">
        <f>IF(ISNA(MATCH(126,Engine!$C$2:$C$1199,0)),"",INDEX('Compliance Database'!$A$2:$A$1199,MATCH(126,Engine!$C$2:$C$1199,0)))</f>
        <v/>
      </c>
      <c r="B139" s="6" t="str">
        <f>IF(ISNA(MATCH(126,Engine!$C$2:$C$1199,0)),"",INDEX('Compliance Database'!$B$2:$B$1199,MATCH(126,Engine!$C$2:$C$1199,0)))</f>
        <v/>
      </c>
      <c r="C139" s="6" t="str">
        <f>IF(ISNA(MATCH(126,Engine!$C$2:$C$1199,0)),"",INDEX('Compliance Database'!$C$2:$C$1199,MATCH(126,Engine!$C$2:$C$1199,0)))</f>
        <v/>
      </c>
      <c r="D139" s="7" t="str">
        <f>IF(ISNA(MATCH(126,Engine!$C$2:$C$1199,0)),"",INDEX('Compliance Database'!$D$2:$D$1199,MATCH(126,Engine!$C$2:$C$1199,0)))</f>
        <v/>
      </c>
      <c r="E139" s="6" t="str">
        <f>IF(ISNA(MATCH(126,Engine!$C$2:$C$1199,0)),"",INDEX('Compliance Database'!$E$2:$E$1199,MATCH(126,Engine!$C$2:$C$1199,0)))</f>
        <v/>
      </c>
      <c r="F139" s="6" t="str">
        <f>IF(ISNA(MATCH(126,Engine!$C$2:$C$1199,0)),"",INDEX('Compliance Database'!$F$2:$F$1199,MATCH(126,Engine!$C$2:$C$1199,0)))</f>
        <v/>
      </c>
      <c r="G139" s="6" t="str">
        <f>IF(ISNA(MATCH(126,Engine!$C$2:$C$1199,0)),"",INDEX('Compliance Database'!$G$2:$G$1199,MATCH(126,Engine!$C$2:$C$1199,0)))</f>
        <v/>
      </c>
      <c r="H139" s="7" t="str">
        <f>IF(ISNA(MATCH(126,Engine!$C$2:$C$1199,0)),"",INDEX('Compliance Database'!$H$2:$H$1199,MATCH(126,Engine!$C$2:$C$1199,0)))</f>
        <v/>
      </c>
      <c r="I139" s="7" t="str">
        <f>IF(ISNA(MATCH(126,Engine!$C$2:$C$1199,0)),"",INDEX('Compliance Database'!$I$2:$I$1199,MATCH(126,Engine!$C$2:$C$1199,0)))</f>
        <v/>
      </c>
      <c r="J139" s="6" t="str">
        <f>IF(ISNA(MATCH(126,Engine!$C$2:$C$1199,0)),"",INDEX('Compliance Database'!$J$2:$J$1199,MATCH(126,Engine!$C$2:$C$1199,0)))</f>
        <v/>
      </c>
      <c r="K139" s="7" t="str">
        <f>IF(ISNA(MATCH(126,Engine!$C$2:$C$1199,0)),"",INDEX('Compliance Database'!$K$2:$K$1199,MATCH(126,Engine!$C$2:$C$1199,0)))</f>
        <v/>
      </c>
      <c r="L139" s="7" t="str">
        <f>IF(ISNA(MATCH(126,Engine!$C$2:$C$1199,0)),"",INDEX('Compliance Database'!$L$2:$L$1199,MATCH(126,Engine!$C$2:$C$1199,0)))</f>
        <v/>
      </c>
      <c r="M139" s="7" t="str">
        <f>IF(ISNA(MATCH(126,Engine!$C$2:$C$1199,0)),"",INDEX('Compliance Database'!$M$2:$M$1199,MATCH(126,Engine!$C$2:$C$1199,0)))</f>
        <v/>
      </c>
      <c r="N139" s="7" t="str">
        <f>IF(ISNA(MATCH(126,Engine!$C$2:$C$1199,0)),"",INDEX('Compliance Database'!$N$2:$N$1199,MATCH(126,Engine!$C$2:$C$1199,0)))</f>
        <v/>
      </c>
      <c r="O139" s="7" t="str">
        <f>IF(ISNA(MATCH(126,Engine!$C$2:$C$1199,0)),"",INDEX('Compliance Database'!$O$2:$O$1199,MATCH(126,Engine!$C$2:$C$1199,0)))</f>
        <v/>
      </c>
      <c r="P139" s="6" t="str">
        <f>IF(ISNA(MATCH(126,Engine!$C$2:$C$1199,0)),"",HYPERLINK("#Acts!A"&amp;INDEX('Compliance Database'!$P$2:$P$1199,MATCH(126,Engine!$C$2:$C$1199,0)),"Go to Act"))</f>
        <v/>
      </c>
    </row>
    <row r="140" spans="1:16" ht="172.95" customHeight="1" x14ac:dyDescent="0.3">
      <c r="A140" s="6" t="str">
        <f>IF(ISNA(MATCH(127,Engine!$C$2:$C$1199,0)),"",INDEX('Compliance Database'!$A$2:$A$1199,MATCH(127,Engine!$C$2:$C$1199,0)))</f>
        <v/>
      </c>
      <c r="B140" s="6" t="str">
        <f>IF(ISNA(MATCH(127,Engine!$C$2:$C$1199,0)),"",INDEX('Compliance Database'!$B$2:$B$1199,MATCH(127,Engine!$C$2:$C$1199,0)))</f>
        <v/>
      </c>
      <c r="C140" s="6" t="str">
        <f>IF(ISNA(MATCH(127,Engine!$C$2:$C$1199,0)),"",INDEX('Compliance Database'!$C$2:$C$1199,MATCH(127,Engine!$C$2:$C$1199,0)))</f>
        <v/>
      </c>
      <c r="D140" s="7" t="str">
        <f>IF(ISNA(MATCH(127,Engine!$C$2:$C$1199,0)),"",INDEX('Compliance Database'!$D$2:$D$1199,MATCH(127,Engine!$C$2:$C$1199,0)))</f>
        <v/>
      </c>
      <c r="E140" s="6" t="str">
        <f>IF(ISNA(MATCH(127,Engine!$C$2:$C$1199,0)),"",INDEX('Compliance Database'!$E$2:$E$1199,MATCH(127,Engine!$C$2:$C$1199,0)))</f>
        <v/>
      </c>
      <c r="F140" s="6" t="str">
        <f>IF(ISNA(MATCH(127,Engine!$C$2:$C$1199,0)),"",INDEX('Compliance Database'!$F$2:$F$1199,MATCH(127,Engine!$C$2:$C$1199,0)))</f>
        <v/>
      </c>
      <c r="G140" s="6" t="str">
        <f>IF(ISNA(MATCH(127,Engine!$C$2:$C$1199,0)),"",INDEX('Compliance Database'!$G$2:$G$1199,MATCH(127,Engine!$C$2:$C$1199,0)))</f>
        <v/>
      </c>
      <c r="H140" s="7" t="str">
        <f>IF(ISNA(MATCH(127,Engine!$C$2:$C$1199,0)),"",INDEX('Compliance Database'!$H$2:$H$1199,MATCH(127,Engine!$C$2:$C$1199,0)))</f>
        <v/>
      </c>
      <c r="I140" s="7" t="str">
        <f>IF(ISNA(MATCH(127,Engine!$C$2:$C$1199,0)),"",INDEX('Compliance Database'!$I$2:$I$1199,MATCH(127,Engine!$C$2:$C$1199,0)))</f>
        <v/>
      </c>
      <c r="J140" s="6" t="str">
        <f>IF(ISNA(MATCH(127,Engine!$C$2:$C$1199,0)),"",INDEX('Compliance Database'!$J$2:$J$1199,MATCH(127,Engine!$C$2:$C$1199,0)))</f>
        <v/>
      </c>
      <c r="K140" s="7" t="str">
        <f>IF(ISNA(MATCH(127,Engine!$C$2:$C$1199,0)),"",INDEX('Compliance Database'!$K$2:$K$1199,MATCH(127,Engine!$C$2:$C$1199,0)))</f>
        <v/>
      </c>
      <c r="L140" s="7" t="str">
        <f>IF(ISNA(MATCH(127,Engine!$C$2:$C$1199,0)),"",INDEX('Compliance Database'!$L$2:$L$1199,MATCH(127,Engine!$C$2:$C$1199,0)))</f>
        <v/>
      </c>
      <c r="M140" s="7" t="str">
        <f>IF(ISNA(MATCH(127,Engine!$C$2:$C$1199,0)),"",INDEX('Compliance Database'!$M$2:$M$1199,MATCH(127,Engine!$C$2:$C$1199,0)))</f>
        <v/>
      </c>
      <c r="N140" s="7" t="str">
        <f>IF(ISNA(MATCH(127,Engine!$C$2:$C$1199,0)),"",INDEX('Compliance Database'!$N$2:$N$1199,MATCH(127,Engine!$C$2:$C$1199,0)))</f>
        <v/>
      </c>
      <c r="O140" s="7" t="str">
        <f>IF(ISNA(MATCH(127,Engine!$C$2:$C$1199,0)),"",INDEX('Compliance Database'!$O$2:$O$1199,MATCH(127,Engine!$C$2:$C$1199,0)))</f>
        <v/>
      </c>
      <c r="P140" s="6" t="str">
        <f>IF(ISNA(MATCH(127,Engine!$C$2:$C$1199,0)),"",HYPERLINK("#Acts!A"&amp;INDEX('Compliance Database'!$P$2:$P$1199,MATCH(127,Engine!$C$2:$C$1199,0)),"Go to Act"))</f>
        <v/>
      </c>
    </row>
    <row r="141" spans="1:16" ht="172.95" customHeight="1" x14ac:dyDescent="0.3">
      <c r="A141" s="6" t="str">
        <f>IF(ISNA(MATCH(128,Engine!$C$2:$C$1199,0)),"",INDEX('Compliance Database'!$A$2:$A$1199,MATCH(128,Engine!$C$2:$C$1199,0)))</f>
        <v/>
      </c>
      <c r="B141" s="6" t="str">
        <f>IF(ISNA(MATCH(128,Engine!$C$2:$C$1199,0)),"",INDEX('Compliance Database'!$B$2:$B$1199,MATCH(128,Engine!$C$2:$C$1199,0)))</f>
        <v/>
      </c>
      <c r="C141" s="6" t="str">
        <f>IF(ISNA(MATCH(128,Engine!$C$2:$C$1199,0)),"",INDEX('Compliance Database'!$C$2:$C$1199,MATCH(128,Engine!$C$2:$C$1199,0)))</f>
        <v/>
      </c>
      <c r="D141" s="7" t="str">
        <f>IF(ISNA(MATCH(128,Engine!$C$2:$C$1199,0)),"",INDEX('Compliance Database'!$D$2:$D$1199,MATCH(128,Engine!$C$2:$C$1199,0)))</f>
        <v/>
      </c>
      <c r="E141" s="6" t="str">
        <f>IF(ISNA(MATCH(128,Engine!$C$2:$C$1199,0)),"",INDEX('Compliance Database'!$E$2:$E$1199,MATCH(128,Engine!$C$2:$C$1199,0)))</f>
        <v/>
      </c>
      <c r="F141" s="6" t="str">
        <f>IF(ISNA(MATCH(128,Engine!$C$2:$C$1199,0)),"",INDEX('Compliance Database'!$F$2:$F$1199,MATCH(128,Engine!$C$2:$C$1199,0)))</f>
        <v/>
      </c>
      <c r="G141" s="6" t="str">
        <f>IF(ISNA(MATCH(128,Engine!$C$2:$C$1199,0)),"",INDEX('Compliance Database'!$G$2:$G$1199,MATCH(128,Engine!$C$2:$C$1199,0)))</f>
        <v/>
      </c>
      <c r="H141" s="7" t="str">
        <f>IF(ISNA(MATCH(128,Engine!$C$2:$C$1199,0)),"",INDEX('Compliance Database'!$H$2:$H$1199,MATCH(128,Engine!$C$2:$C$1199,0)))</f>
        <v/>
      </c>
      <c r="I141" s="7" t="str">
        <f>IF(ISNA(MATCH(128,Engine!$C$2:$C$1199,0)),"",INDEX('Compliance Database'!$I$2:$I$1199,MATCH(128,Engine!$C$2:$C$1199,0)))</f>
        <v/>
      </c>
      <c r="J141" s="6" t="str">
        <f>IF(ISNA(MATCH(128,Engine!$C$2:$C$1199,0)),"",INDEX('Compliance Database'!$J$2:$J$1199,MATCH(128,Engine!$C$2:$C$1199,0)))</f>
        <v/>
      </c>
      <c r="K141" s="7" t="str">
        <f>IF(ISNA(MATCH(128,Engine!$C$2:$C$1199,0)),"",INDEX('Compliance Database'!$K$2:$K$1199,MATCH(128,Engine!$C$2:$C$1199,0)))</f>
        <v/>
      </c>
      <c r="L141" s="7" t="str">
        <f>IF(ISNA(MATCH(128,Engine!$C$2:$C$1199,0)),"",INDEX('Compliance Database'!$L$2:$L$1199,MATCH(128,Engine!$C$2:$C$1199,0)))</f>
        <v/>
      </c>
      <c r="M141" s="7" t="str">
        <f>IF(ISNA(MATCH(128,Engine!$C$2:$C$1199,0)),"",INDEX('Compliance Database'!$M$2:$M$1199,MATCH(128,Engine!$C$2:$C$1199,0)))</f>
        <v/>
      </c>
      <c r="N141" s="7" t="str">
        <f>IF(ISNA(MATCH(128,Engine!$C$2:$C$1199,0)),"",INDEX('Compliance Database'!$N$2:$N$1199,MATCH(128,Engine!$C$2:$C$1199,0)))</f>
        <v/>
      </c>
      <c r="O141" s="7" t="str">
        <f>IF(ISNA(MATCH(128,Engine!$C$2:$C$1199,0)),"",INDEX('Compliance Database'!$O$2:$O$1199,MATCH(128,Engine!$C$2:$C$1199,0)))</f>
        <v/>
      </c>
      <c r="P141" s="6" t="str">
        <f>IF(ISNA(MATCH(128,Engine!$C$2:$C$1199,0)),"",HYPERLINK("#Acts!A"&amp;INDEX('Compliance Database'!$P$2:$P$1199,MATCH(128,Engine!$C$2:$C$1199,0)),"Go to Act"))</f>
        <v/>
      </c>
    </row>
    <row r="142" spans="1:16" ht="172.95" customHeight="1" x14ac:dyDescent="0.3">
      <c r="A142" s="6" t="str">
        <f>IF(ISNA(MATCH(129,Engine!$C$2:$C$1199,0)),"",INDEX('Compliance Database'!$A$2:$A$1199,MATCH(129,Engine!$C$2:$C$1199,0)))</f>
        <v/>
      </c>
      <c r="B142" s="6" t="str">
        <f>IF(ISNA(MATCH(129,Engine!$C$2:$C$1199,0)),"",INDEX('Compliance Database'!$B$2:$B$1199,MATCH(129,Engine!$C$2:$C$1199,0)))</f>
        <v/>
      </c>
      <c r="C142" s="6" t="str">
        <f>IF(ISNA(MATCH(129,Engine!$C$2:$C$1199,0)),"",INDEX('Compliance Database'!$C$2:$C$1199,MATCH(129,Engine!$C$2:$C$1199,0)))</f>
        <v/>
      </c>
      <c r="D142" s="7" t="str">
        <f>IF(ISNA(MATCH(129,Engine!$C$2:$C$1199,0)),"",INDEX('Compliance Database'!$D$2:$D$1199,MATCH(129,Engine!$C$2:$C$1199,0)))</f>
        <v/>
      </c>
      <c r="E142" s="6" t="str">
        <f>IF(ISNA(MATCH(129,Engine!$C$2:$C$1199,0)),"",INDEX('Compliance Database'!$E$2:$E$1199,MATCH(129,Engine!$C$2:$C$1199,0)))</f>
        <v/>
      </c>
      <c r="F142" s="6" t="str">
        <f>IF(ISNA(MATCH(129,Engine!$C$2:$C$1199,0)),"",INDEX('Compliance Database'!$F$2:$F$1199,MATCH(129,Engine!$C$2:$C$1199,0)))</f>
        <v/>
      </c>
      <c r="G142" s="6" t="str">
        <f>IF(ISNA(MATCH(129,Engine!$C$2:$C$1199,0)),"",INDEX('Compliance Database'!$G$2:$G$1199,MATCH(129,Engine!$C$2:$C$1199,0)))</f>
        <v/>
      </c>
      <c r="H142" s="7" t="str">
        <f>IF(ISNA(MATCH(129,Engine!$C$2:$C$1199,0)),"",INDEX('Compliance Database'!$H$2:$H$1199,MATCH(129,Engine!$C$2:$C$1199,0)))</f>
        <v/>
      </c>
      <c r="I142" s="7" t="str">
        <f>IF(ISNA(MATCH(129,Engine!$C$2:$C$1199,0)),"",INDEX('Compliance Database'!$I$2:$I$1199,MATCH(129,Engine!$C$2:$C$1199,0)))</f>
        <v/>
      </c>
      <c r="J142" s="6" t="str">
        <f>IF(ISNA(MATCH(129,Engine!$C$2:$C$1199,0)),"",INDEX('Compliance Database'!$J$2:$J$1199,MATCH(129,Engine!$C$2:$C$1199,0)))</f>
        <v/>
      </c>
      <c r="K142" s="7" t="str">
        <f>IF(ISNA(MATCH(129,Engine!$C$2:$C$1199,0)),"",INDEX('Compliance Database'!$K$2:$K$1199,MATCH(129,Engine!$C$2:$C$1199,0)))</f>
        <v/>
      </c>
      <c r="L142" s="7" t="str">
        <f>IF(ISNA(MATCH(129,Engine!$C$2:$C$1199,0)),"",INDEX('Compliance Database'!$L$2:$L$1199,MATCH(129,Engine!$C$2:$C$1199,0)))</f>
        <v/>
      </c>
      <c r="M142" s="7" t="str">
        <f>IF(ISNA(MATCH(129,Engine!$C$2:$C$1199,0)),"",INDEX('Compliance Database'!$M$2:$M$1199,MATCH(129,Engine!$C$2:$C$1199,0)))</f>
        <v/>
      </c>
      <c r="N142" s="7" t="str">
        <f>IF(ISNA(MATCH(129,Engine!$C$2:$C$1199,0)),"",INDEX('Compliance Database'!$N$2:$N$1199,MATCH(129,Engine!$C$2:$C$1199,0)))</f>
        <v/>
      </c>
      <c r="O142" s="7" t="str">
        <f>IF(ISNA(MATCH(129,Engine!$C$2:$C$1199,0)),"",INDEX('Compliance Database'!$O$2:$O$1199,MATCH(129,Engine!$C$2:$C$1199,0)))</f>
        <v/>
      </c>
      <c r="P142" s="6" t="str">
        <f>IF(ISNA(MATCH(129,Engine!$C$2:$C$1199,0)),"",HYPERLINK("#Acts!A"&amp;INDEX('Compliance Database'!$P$2:$P$1199,MATCH(129,Engine!$C$2:$C$1199,0)),"Go to Act"))</f>
        <v/>
      </c>
    </row>
    <row r="143" spans="1:16" ht="172.95" customHeight="1" x14ac:dyDescent="0.3">
      <c r="A143" s="6" t="str">
        <f>IF(ISNA(MATCH(130,Engine!$C$2:$C$1199,0)),"",INDEX('Compliance Database'!$A$2:$A$1199,MATCH(130,Engine!$C$2:$C$1199,0)))</f>
        <v/>
      </c>
      <c r="B143" s="6" t="str">
        <f>IF(ISNA(MATCH(130,Engine!$C$2:$C$1199,0)),"",INDEX('Compliance Database'!$B$2:$B$1199,MATCH(130,Engine!$C$2:$C$1199,0)))</f>
        <v/>
      </c>
      <c r="C143" s="6" t="str">
        <f>IF(ISNA(MATCH(130,Engine!$C$2:$C$1199,0)),"",INDEX('Compliance Database'!$C$2:$C$1199,MATCH(130,Engine!$C$2:$C$1199,0)))</f>
        <v/>
      </c>
      <c r="D143" s="7" t="str">
        <f>IF(ISNA(MATCH(130,Engine!$C$2:$C$1199,0)),"",INDEX('Compliance Database'!$D$2:$D$1199,MATCH(130,Engine!$C$2:$C$1199,0)))</f>
        <v/>
      </c>
      <c r="E143" s="6" t="str">
        <f>IF(ISNA(MATCH(130,Engine!$C$2:$C$1199,0)),"",INDEX('Compliance Database'!$E$2:$E$1199,MATCH(130,Engine!$C$2:$C$1199,0)))</f>
        <v/>
      </c>
      <c r="F143" s="6" t="str">
        <f>IF(ISNA(MATCH(130,Engine!$C$2:$C$1199,0)),"",INDEX('Compliance Database'!$F$2:$F$1199,MATCH(130,Engine!$C$2:$C$1199,0)))</f>
        <v/>
      </c>
      <c r="G143" s="6" t="str">
        <f>IF(ISNA(MATCH(130,Engine!$C$2:$C$1199,0)),"",INDEX('Compliance Database'!$G$2:$G$1199,MATCH(130,Engine!$C$2:$C$1199,0)))</f>
        <v/>
      </c>
      <c r="H143" s="7" t="str">
        <f>IF(ISNA(MATCH(130,Engine!$C$2:$C$1199,0)),"",INDEX('Compliance Database'!$H$2:$H$1199,MATCH(130,Engine!$C$2:$C$1199,0)))</f>
        <v/>
      </c>
      <c r="I143" s="7" t="str">
        <f>IF(ISNA(MATCH(130,Engine!$C$2:$C$1199,0)),"",INDEX('Compliance Database'!$I$2:$I$1199,MATCH(130,Engine!$C$2:$C$1199,0)))</f>
        <v/>
      </c>
      <c r="J143" s="6" t="str">
        <f>IF(ISNA(MATCH(130,Engine!$C$2:$C$1199,0)),"",INDEX('Compliance Database'!$J$2:$J$1199,MATCH(130,Engine!$C$2:$C$1199,0)))</f>
        <v/>
      </c>
      <c r="K143" s="7" t="str">
        <f>IF(ISNA(MATCH(130,Engine!$C$2:$C$1199,0)),"",INDEX('Compliance Database'!$K$2:$K$1199,MATCH(130,Engine!$C$2:$C$1199,0)))</f>
        <v/>
      </c>
      <c r="L143" s="7" t="str">
        <f>IF(ISNA(MATCH(130,Engine!$C$2:$C$1199,0)),"",INDEX('Compliance Database'!$L$2:$L$1199,MATCH(130,Engine!$C$2:$C$1199,0)))</f>
        <v/>
      </c>
      <c r="M143" s="7" t="str">
        <f>IF(ISNA(MATCH(130,Engine!$C$2:$C$1199,0)),"",INDEX('Compliance Database'!$M$2:$M$1199,MATCH(130,Engine!$C$2:$C$1199,0)))</f>
        <v/>
      </c>
      <c r="N143" s="7" t="str">
        <f>IF(ISNA(MATCH(130,Engine!$C$2:$C$1199,0)),"",INDEX('Compliance Database'!$N$2:$N$1199,MATCH(130,Engine!$C$2:$C$1199,0)))</f>
        <v/>
      </c>
      <c r="O143" s="7" t="str">
        <f>IF(ISNA(MATCH(130,Engine!$C$2:$C$1199,0)),"",INDEX('Compliance Database'!$O$2:$O$1199,MATCH(130,Engine!$C$2:$C$1199,0)))</f>
        <v/>
      </c>
      <c r="P143" s="6" t="str">
        <f>IF(ISNA(MATCH(130,Engine!$C$2:$C$1199,0)),"",HYPERLINK("#Acts!A"&amp;INDEX('Compliance Database'!$P$2:$P$1199,MATCH(130,Engine!$C$2:$C$1199,0)),"Go to Act"))</f>
        <v/>
      </c>
    </row>
    <row r="144" spans="1:16" ht="172.95" customHeight="1" x14ac:dyDescent="0.3">
      <c r="A144" s="6" t="str">
        <f>IF(ISNA(MATCH(131,Engine!$C$2:$C$1199,0)),"",INDEX('Compliance Database'!$A$2:$A$1199,MATCH(131,Engine!$C$2:$C$1199,0)))</f>
        <v/>
      </c>
      <c r="B144" s="6" t="str">
        <f>IF(ISNA(MATCH(131,Engine!$C$2:$C$1199,0)),"",INDEX('Compliance Database'!$B$2:$B$1199,MATCH(131,Engine!$C$2:$C$1199,0)))</f>
        <v/>
      </c>
      <c r="C144" s="6" t="str">
        <f>IF(ISNA(MATCH(131,Engine!$C$2:$C$1199,0)),"",INDEX('Compliance Database'!$C$2:$C$1199,MATCH(131,Engine!$C$2:$C$1199,0)))</f>
        <v/>
      </c>
      <c r="D144" s="7" t="str">
        <f>IF(ISNA(MATCH(131,Engine!$C$2:$C$1199,0)),"",INDEX('Compliance Database'!$D$2:$D$1199,MATCH(131,Engine!$C$2:$C$1199,0)))</f>
        <v/>
      </c>
      <c r="E144" s="6" t="str">
        <f>IF(ISNA(MATCH(131,Engine!$C$2:$C$1199,0)),"",INDEX('Compliance Database'!$E$2:$E$1199,MATCH(131,Engine!$C$2:$C$1199,0)))</f>
        <v/>
      </c>
      <c r="F144" s="6" t="str">
        <f>IF(ISNA(MATCH(131,Engine!$C$2:$C$1199,0)),"",INDEX('Compliance Database'!$F$2:$F$1199,MATCH(131,Engine!$C$2:$C$1199,0)))</f>
        <v/>
      </c>
      <c r="G144" s="6" t="str">
        <f>IF(ISNA(MATCH(131,Engine!$C$2:$C$1199,0)),"",INDEX('Compliance Database'!$G$2:$G$1199,MATCH(131,Engine!$C$2:$C$1199,0)))</f>
        <v/>
      </c>
      <c r="H144" s="7" t="str">
        <f>IF(ISNA(MATCH(131,Engine!$C$2:$C$1199,0)),"",INDEX('Compliance Database'!$H$2:$H$1199,MATCH(131,Engine!$C$2:$C$1199,0)))</f>
        <v/>
      </c>
      <c r="I144" s="7" t="str">
        <f>IF(ISNA(MATCH(131,Engine!$C$2:$C$1199,0)),"",INDEX('Compliance Database'!$I$2:$I$1199,MATCH(131,Engine!$C$2:$C$1199,0)))</f>
        <v/>
      </c>
      <c r="J144" s="6" t="str">
        <f>IF(ISNA(MATCH(131,Engine!$C$2:$C$1199,0)),"",INDEX('Compliance Database'!$J$2:$J$1199,MATCH(131,Engine!$C$2:$C$1199,0)))</f>
        <v/>
      </c>
      <c r="K144" s="7" t="str">
        <f>IF(ISNA(MATCH(131,Engine!$C$2:$C$1199,0)),"",INDEX('Compliance Database'!$K$2:$K$1199,MATCH(131,Engine!$C$2:$C$1199,0)))</f>
        <v/>
      </c>
      <c r="L144" s="7" t="str">
        <f>IF(ISNA(MATCH(131,Engine!$C$2:$C$1199,0)),"",INDEX('Compliance Database'!$L$2:$L$1199,MATCH(131,Engine!$C$2:$C$1199,0)))</f>
        <v/>
      </c>
      <c r="M144" s="7" t="str">
        <f>IF(ISNA(MATCH(131,Engine!$C$2:$C$1199,0)),"",INDEX('Compliance Database'!$M$2:$M$1199,MATCH(131,Engine!$C$2:$C$1199,0)))</f>
        <v/>
      </c>
      <c r="N144" s="7" t="str">
        <f>IF(ISNA(MATCH(131,Engine!$C$2:$C$1199,0)),"",INDEX('Compliance Database'!$N$2:$N$1199,MATCH(131,Engine!$C$2:$C$1199,0)))</f>
        <v/>
      </c>
      <c r="O144" s="7" t="str">
        <f>IF(ISNA(MATCH(131,Engine!$C$2:$C$1199,0)),"",INDEX('Compliance Database'!$O$2:$O$1199,MATCH(131,Engine!$C$2:$C$1199,0)))</f>
        <v/>
      </c>
      <c r="P144" s="6" t="str">
        <f>IF(ISNA(MATCH(131,Engine!$C$2:$C$1199,0)),"",HYPERLINK("#Acts!A"&amp;INDEX('Compliance Database'!$P$2:$P$1199,MATCH(131,Engine!$C$2:$C$1199,0)),"Go to Act"))</f>
        <v/>
      </c>
    </row>
    <row r="145" spans="1:16" ht="172.95" customHeight="1" x14ac:dyDescent="0.3">
      <c r="A145" s="6" t="str">
        <f>IF(ISNA(MATCH(132,Engine!$C$2:$C$1199,0)),"",INDEX('Compliance Database'!$A$2:$A$1199,MATCH(132,Engine!$C$2:$C$1199,0)))</f>
        <v/>
      </c>
      <c r="B145" s="6" t="str">
        <f>IF(ISNA(MATCH(132,Engine!$C$2:$C$1199,0)),"",INDEX('Compliance Database'!$B$2:$B$1199,MATCH(132,Engine!$C$2:$C$1199,0)))</f>
        <v/>
      </c>
      <c r="C145" s="6" t="str">
        <f>IF(ISNA(MATCH(132,Engine!$C$2:$C$1199,0)),"",INDEX('Compliance Database'!$C$2:$C$1199,MATCH(132,Engine!$C$2:$C$1199,0)))</f>
        <v/>
      </c>
      <c r="D145" s="7" t="str">
        <f>IF(ISNA(MATCH(132,Engine!$C$2:$C$1199,0)),"",INDEX('Compliance Database'!$D$2:$D$1199,MATCH(132,Engine!$C$2:$C$1199,0)))</f>
        <v/>
      </c>
      <c r="E145" s="6" t="str">
        <f>IF(ISNA(MATCH(132,Engine!$C$2:$C$1199,0)),"",INDEX('Compliance Database'!$E$2:$E$1199,MATCH(132,Engine!$C$2:$C$1199,0)))</f>
        <v/>
      </c>
      <c r="F145" s="6" t="str">
        <f>IF(ISNA(MATCH(132,Engine!$C$2:$C$1199,0)),"",INDEX('Compliance Database'!$F$2:$F$1199,MATCH(132,Engine!$C$2:$C$1199,0)))</f>
        <v/>
      </c>
      <c r="G145" s="6" t="str">
        <f>IF(ISNA(MATCH(132,Engine!$C$2:$C$1199,0)),"",INDEX('Compliance Database'!$G$2:$G$1199,MATCH(132,Engine!$C$2:$C$1199,0)))</f>
        <v/>
      </c>
      <c r="H145" s="7" t="str">
        <f>IF(ISNA(MATCH(132,Engine!$C$2:$C$1199,0)),"",INDEX('Compliance Database'!$H$2:$H$1199,MATCH(132,Engine!$C$2:$C$1199,0)))</f>
        <v/>
      </c>
      <c r="I145" s="7" t="str">
        <f>IF(ISNA(MATCH(132,Engine!$C$2:$C$1199,0)),"",INDEX('Compliance Database'!$I$2:$I$1199,MATCH(132,Engine!$C$2:$C$1199,0)))</f>
        <v/>
      </c>
      <c r="J145" s="6" t="str">
        <f>IF(ISNA(MATCH(132,Engine!$C$2:$C$1199,0)),"",INDEX('Compliance Database'!$J$2:$J$1199,MATCH(132,Engine!$C$2:$C$1199,0)))</f>
        <v/>
      </c>
      <c r="K145" s="7" t="str">
        <f>IF(ISNA(MATCH(132,Engine!$C$2:$C$1199,0)),"",INDEX('Compliance Database'!$K$2:$K$1199,MATCH(132,Engine!$C$2:$C$1199,0)))</f>
        <v/>
      </c>
      <c r="L145" s="7" t="str">
        <f>IF(ISNA(MATCH(132,Engine!$C$2:$C$1199,0)),"",INDEX('Compliance Database'!$L$2:$L$1199,MATCH(132,Engine!$C$2:$C$1199,0)))</f>
        <v/>
      </c>
      <c r="M145" s="7" t="str">
        <f>IF(ISNA(MATCH(132,Engine!$C$2:$C$1199,0)),"",INDEX('Compliance Database'!$M$2:$M$1199,MATCH(132,Engine!$C$2:$C$1199,0)))</f>
        <v/>
      </c>
      <c r="N145" s="7" t="str">
        <f>IF(ISNA(MATCH(132,Engine!$C$2:$C$1199,0)),"",INDEX('Compliance Database'!$N$2:$N$1199,MATCH(132,Engine!$C$2:$C$1199,0)))</f>
        <v/>
      </c>
      <c r="O145" s="7" t="str">
        <f>IF(ISNA(MATCH(132,Engine!$C$2:$C$1199,0)),"",INDEX('Compliance Database'!$O$2:$O$1199,MATCH(132,Engine!$C$2:$C$1199,0)))</f>
        <v/>
      </c>
      <c r="P145" s="6" t="str">
        <f>IF(ISNA(MATCH(132,Engine!$C$2:$C$1199,0)),"",HYPERLINK("#Acts!A"&amp;INDEX('Compliance Database'!$P$2:$P$1199,MATCH(132,Engine!$C$2:$C$1199,0)),"Go to Act"))</f>
        <v/>
      </c>
    </row>
    <row r="146" spans="1:16" ht="172.95" customHeight="1" x14ac:dyDescent="0.3">
      <c r="A146" s="6" t="str">
        <f>IF(ISNA(MATCH(133,Engine!$C$2:$C$1199,0)),"",INDEX('Compliance Database'!$A$2:$A$1199,MATCH(133,Engine!$C$2:$C$1199,0)))</f>
        <v/>
      </c>
      <c r="B146" s="6" t="str">
        <f>IF(ISNA(MATCH(133,Engine!$C$2:$C$1199,0)),"",INDEX('Compliance Database'!$B$2:$B$1199,MATCH(133,Engine!$C$2:$C$1199,0)))</f>
        <v/>
      </c>
      <c r="C146" s="6" t="str">
        <f>IF(ISNA(MATCH(133,Engine!$C$2:$C$1199,0)),"",INDEX('Compliance Database'!$C$2:$C$1199,MATCH(133,Engine!$C$2:$C$1199,0)))</f>
        <v/>
      </c>
      <c r="D146" s="7" t="str">
        <f>IF(ISNA(MATCH(133,Engine!$C$2:$C$1199,0)),"",INDEX('Compliance Database'!$D$2:$D$1199,MATCH(133,Engine!$C$2:$C$1199,0)))</f>
        <v/>
      </c>
      <c r="E146" s="6" t="str">
        <f>IF(ISNA(MATCH(133,Engine!$C$2:$C$1199,0)),"",INDEX('Compliance Database'!$E$2:$E$1199,MATCH(133,Engine!$C$2:$C$1199,0)))</f>
        <v/>
      </c>
      <c r="F146" s="6" t="str">
        <f>IF(ISNA(MATCH(133,Engine!$C$2:$C$1199,0)),"",INDEX('Compliance Database'!$F$2:$F$1199,MATCH(133,Engine!$C$2:$C$1199,0)))</f>
        <v/>
      </c>
      <c r="G146" s="6" t="str">
        <f>IF(ISNA(MATCH(133,Engine!$C$2:$C$1199,0)),"",INDEX('Compliance Database'!$G$2:$G$1199,MATCH(133,Engine!$C$2:$C$1199,0)))</f>
        <v/>
      </c>
      <c r="H146" s="7" t="str">
        <f>IF(ISNA(MATCH(133,Engine!$C$2:$C$1199,0)),"",INDEX('Compliance Database'!$H$2:$H$1199,MATCH(133,Engine!$C$2:$C$1199,0)))</f>
        <v/>
      </c>
      <c r="I146" s="7" t="str">
        <f>IF(ISNA(MATCH(133,Engine!$C$2:$C$1199,0)),"",INDEX('Compliance Database'!$I$2:$I$1199,MATCH(133,Engine!$C$2:$C$1199,0)))</f>
        <v/>
      </c>
      <c r="J146" s="6" t="str">
        <f>IF(ISNA(MATCH(133,Engine!$C$2:$C$1199,0)),"",INDEX('Compliance Database'!$J$2:$J$1199,MATCH(133,Engine!$C$2:$C$1199,0)))</f>
        <v/>
      </c>
      <c r="K146" s="7" t="str">
        <f>IF(ISNA(MATCH(133,Engine!$C$2:$C$1199,0)),"",INDEX('Compliance Database'!$K$2:$K$1199,MATCH(133,Engine!$C$2:$C$1199,0)))</f>
        <v/>
      </c>
      <c r="L146" s="7" t="str">
        <f>IF(ISNA(MATCH(133,Engine!$C$2:$C$1199,0)),"",INDEX('Compliance Database'!$L$2:$L$1199,MATCH(133,Engine!$C$2:$C$1199,0)))</f>
        <v/>
      </c>
      <c r="M146" s="7" t="str">
        <f>IF(ISNA(MATCH(133,Engine!$C$2:$C$1199,0)),"",INDEX('Compliance Database'!$M$2:$M$1199,MATCH(133,Engine!$C$2:$C$1199,0)))</f>
        <v/>
      </c>
      <c r="N146" s="7" t="str">
        <f>IF(ISNA(MATCH(133,Engine!$C$2:$C$1199,0)),"",INDEX('Compliance Database'!$N$2:$N$1199,MATCH(133,Engine!$C$2:$C$1199,0)))</f>
        <v/>
      </c>
      <c r="O146" s="7" t="str">
        <f>IF(ISNA(MATCH(133,Engine!$C$2:$C$1199,0)),"",INDEX('Compliance Database'!$O$2:$O$1199,MATCH(133,Engine!$C$2:$C$1199,0)))</f>
        <v/>
      </c>
      <c r="P146" s="6" t="str">
        <f>IF(ISNA(MATCH(133,Engine!$C$2:$C$1199,0)),"",HYPERLINK("#Acts!A"&amp;INDEX('Compliance Database'!$P$2:$P$1199,MATCH(133,Engine!$C$2:$C$1199,0)),"Go to Act"))</f>
        <v/>
      </c>
    </row>
    <row r="147" spans="1:16" ht="172.95" customHeight="1" x14ac:dyDescent="0.3">
      <c r="A147" s="6" t="str">
        <f>IF(ISNA(MATCH(134,Engine!$C$2:$C$1199,0)),"",INDEX('Compliance Database'!$A$2:$A$1199,MATCH(134,Engine!$C$2:$C$1199,0)))</f>
        <v/>
      </c>
      <c r="B147" s="6" t="str">
        <f>IF(ISNA(MATCH(134,Engine!$C$2:$C$1199,0)),"",INDEX('Compliance Database'!$B$2:$B$1199,MATCH(134,Engine!$C$2:$C$1199,0)))</f>
        <v/>
      </c>
      <c r="C147" s="6" t="str">
        <f>IF(ISNA(MATCH(134,Engine!$C$2:$C$1199,0)),"",INDEX('Compliance Database'!$C$2:$C$1199,MATCH(134,Engine!$C$2:$C$1199,0)))</f>
        <v/>
      </c>
      <c r="D147" s="7" t="str">
        <f>IF(ISNA(MATCH(134,Engine!$C$2:$C$1199,0)),"",INDEX('Compliance Database'!$D$2:$D$1199,MATCH(134,Engine!$C$2:$C$1199,0)))</f>
        <v/>
      </c>
      <c r="E147" s="6" t="str">
        <f>IF(ISNA(MATCH(134,Engine!$C$2:$C$1199,0)),"",INDEX('Compliance Database'!$E$2:$E$1199,MATCH(134,Engine!$C$2:$C$1199,0)))</f>
        <v/>
      </c>
      <c r="F147" s="6" t="str">
        <f>IF(ISNA(MATCH(134,Engine!$C$2:$C$1199,0)),"",INDEX('Compliance Database'!$F$2:$F$1199,MATCH(134,Engine!$C$2:$C$1199,0)))</f>
        <v/>
      </c>
      <c r="G147" s="6" t="str">
        <f>IF(ISNA(MATCH(134,Engine!$C$2:$C$1199,0)),"",INDEX('Compliance Database'!$G$2:$G$1199,MATCH(134,Engine!$C$2:$C$1199,0)))</f>
        <v/>
      </c>
      <c r="H147" s="7" t="str">
        <f>IF(ISNA(MATCH(134,Engine!$C$2:$C$1199,0)),"",INDEX('Compliance Database'!$H$2:$H$1199,MATCH(134,Engine!$C$2:$C$1199,0)))</f>
        <v/>
      </c>
      <c r="I147" s="7" t="str">
        <f>IF(ISNA(MATCH(134,Engine!$C$2:$C$1199,0)),"",INDEX('Compliance Database'!$I$2:$I$1199,MATCH(134,Engine!$C$2:$C$1199,0)))</f>
        <v/>
      </c>
      <c r="J147" s="6" t="str">
        <f>IF(ISNA(MATCH(134,Engine!$C$2:$C$1199,0)),"",INDEX('Compliance Database'!$J$2:$J$1199,MATCH(134,Engine!$C$2:$C$1199,0)))</f>
        <v/>
      </c>
      <c r="K147" s="7" t="str">
        <f>IF(ISNA(MATCH(134,Engine!$C$2:$C$1199,0)),"",INDEX('Compliance Database'!$K$2:$K$1199,MATCH(134,Engine!$C$2:$C$1199,0)))</f>
        <v/>
      </c>
      <c r="L147" s="7" t="str">
        <f>IF(ISNA(MATCH(134,Engine!$C$2:$C$1199,0)),"",INDEX('Compliance Database'!$L$2:$L$1199,MATCH(134,Engine!$C$2:$C$1199,0)))</f>
        <v/>
      </c>
      <c r="M147" s="7" t="str">
        <f>IF(ISNA(MATCH(134,Engine!$C$2:$C$1199,0)),"",INDEX('Compliance Database'!$M$2:$M$1199,MATCH(134,Engine!$C$2:$C$1199,0)))</f>
        <v/>
      </c>
      <c r="N147" s="7" t="str">
        <f>IF(ISNA(MATCH(134,Engine!$C$2:$C$1199,0)),"",INDEX('Compliance Database'!$N$2:$N$1199,MATCH(134,Engine!$C$2:$C$1199,0)))</f>
        <v/>
      </c>
      <c r="O147" s="7" t="str">
        <f>IF(ISNA(MATCH(134,Engine!$C$2:$C$1199,0)),"",INDEX('Compliance Database'!$O$2:$O$1199,MATCH(134,Engine!$C$2:$C$1199,0)))</f>
        <v/>
      </c>
      <c r="P147" s="6" t="str">
        <f>IF(ISNA(MATCH(134,Engine!$C$2:$C$1199,0)),"",HYPERLINK("#Acts!A"&amp;INDEX('Compliance Database'!$P$2:$P$1199,MATCH(134,Engine!$C$2:$C$1199,0)),"Go to Act"))</f>
        <v/>
      </c>
    </row>
    <row r="148" spans="1:16" ht="172.95" customHeight="1" x14ac:dyDescent="0.3">
      <c r="A148" s="6" t="str">
        <f>IF(ISNA(MATCH(135,Engine!$C$2:$C$1199,0)),"",INDEX('Compliance Database'!$A$2:$A$1199,MATCH(135,Engine!$C$2:$C$1199,0)))</f>
        <v/>
      </c>
      <c r="B148" s="6" t="str">
        <f>IF(ISNA(MATCH(135,Engine!$C$2:$C$1199,0)),"",INDEX('Compliance Database'!$B$2:$B$1199,MATCH(135,Engine!$C$2:$C$1199,0)))</f>
        <v/>
      </c>
      <c r="C148" s="6" t="str">
        <f>IF(ISNA(MATCH(135,Engine!$C$2:$C$1199,0)),"",INDEX('Compliance Database'!$C$2:$C$1199,MATCH(135,Engine!$C$2:$C$1199,0)))</f>
        <v/>
      </c>
      <c r="D148" s="7" t="str">
        <f>IF(ISNA(MATCH(135,Engine!$C$2:$C$1199,0)),"",INDEX('Compliance Database'!$D$2:$D$1199,MATCH(135,Engine!$C$2:$C$1199,0)))</f>
        <v/>
      </c>
      <c r="E148" s="6" t="str">
        <f>IF(ISNA(MATCH(135,Engine!$C$2:$C$1199,0)),"",INDEX('Compliance Database'!$E$2:$E$1199,MATCH(135,Engine!$C$2:$C$1199,0)))</f>
        <v/>
      </c>
      <c r="F148" s="6" t="str">
        <f>IF(ISNA(MATCH(135,Engine!$C$2:$C$1199,0)),"",INDEX('Compliance Database'!$F$2:$F$1199,MATCH(135,Engine!$C$2:$C$1199,0)))</f>
        <v/>
      </c>
      <c r="G148" s="6" t="str">
        <f>IF(ISNA(MATCH(135,Engine!$C$2:$C$1199,0)),"",INDEX('Compliance Database'!$G$2:$G$1199,MATCH(135,Engine!$C$2:$C$1199,0)))</f>
        <v/>
      </c>
      <c r="H148" s="7" t="str">
        <f>IF(ISNA(MATCH(135,Engine!$C$2:$C$1199,0)),"",INDEX('Compliance Database'!$H$2:$H$1199,MATCH(135,Engine!$C$2:$C$1199,0)))</f>
        <v/>
      </c>
      <c r="I148" s="7" t="str">
        <f>IF(ISNA(MATCH(135,Engine!$C$2:$C$1199,0)),"",INDEX('Compliance Database'!$I$2:$I$1199,MATCH(135,Engine!$C$2:$C$1199,0)))</f>
        <v/>
      </c>
      <c r="J148" s="6" t="str">
        <f>IF(ISNA(MATCH(135,Engine!$C$2:$C$1199,0)),"",INDEX('Compliance Database'!$J$2:$J$1199,MATCH(135,Engine!$C$2:$C$1199,0)))</f>
        <v/>
      </c>
      <c r="K148" s="7" t="str">
        <f>IF(ISNA(MATCH(135,Engine!$C$2:$C$1199,0)),"",INDEX('Compliance Database'!$K$2:$K$1199,MATCH(135,Engine!$C$2:$C$1199,0)))</f>
        <v/>
      </c>
      <c r="L148" s="7" t="str">
        <f>IF(ISNA(MATCH(135,Engine!$C$2:$C$1199,0)),"",INDEX('Compliance Database'!$L$2:$L$1199,MATCH(135,Engine!$C$2:$C$1199,0)))</f>
        <v/>
      </c>
      <c r="M148" s="7" t="str">
        <f>IF(ISNA(MATCH(135,Engine!$C$2:$C$1199,0)),"",INDEX('Compliance Database'!$M$2:$M$1199,MATCH(135,Engine!$C$2:$C$1199,0)))</f>
        <v/>
      </c>
      <c r="N148" s="7" t="str">
        <f>IF(ISNA(MATCH(135,Engine!$C$2:$C$1199,0)),"",INDEX('Compliance Database'!$N$2:$N$1199,MATCH(135,Engine!$C$2:$C$1199,0)))</f>
        <v/>
      </c>
      <c r="O148" s="7" t="str">
        <f>IF(ISNA(MATCH(135,Engine!$C$2:$C$1199,0)),"",INDEX('Compliance Database'!$O$2:$O$1199,MATCH(135,Engine!$C$2:$C$1199,0)))</f>
        <v/>
      </c>
      <c r="P148" s="6" t="str">
        <f>IF(ISNA(MATCH(135,Engine!$C$2:$C$1199,0)),"",HYPERLINK("#Acts!A"&amp;INDEX('Compliance Database'!$P$2:$P$1199,MATCH(135,Engine!$C$2:$C$1199,0)),"Go to Act"))</f>
        <v/>
      </c>
    </row>
    <row r="149" spans="1:16" ht="172.95" customHeight="1" x14ac:dyDescent="0.3">
      <c r="A149" s="6" t="str">
        <f>IF(ISNA(MATCH(136,Engine!$C$2:$C$1199,0)),"",INDEX('Compliance Database'!$A$2:$A$1199,MATCH(136,Engine!$C$2:$C$1199,0)))</f>
        <v/>
      </c>
      <c r="B149" s="6" t="str">
        <f>IF(ISNA(MATCH(136,Engine!$C$2:$C$1199,0)),"",INDEX('Compliance Database'!$B$2:$B$1199,MATCH(136,Engine!$C$2:$C$1199,0)))</f>
        <v/>
      </c>
      <c r="C149" s="6" t="str">
        <f>IF(ISNA(MATCH(136,Engine!$C$2:$C$1199,0)),"",INDEX('Compliance Database'!$C$2:$C$1199,MATCH(136,Engine!$C$2:$C$1199,0)))</f>
        <v/>
      </c>
      <c r="D149" s="7" t="str">
        <f>IF(ISNA(MATCH(136,Engine!$C$2:$C$1199,0)),"",INDEX('Compliance Database'!$D$2:$D$1199,MATCH(136,Engine!$C$2:$C$1199,0)))</f>
        <v/>
      </c>
      <c r="E149" s="6" t="str">
        <f>IF(ISNA(MATCH(136,Engine!$C$2:$C$1199,0)),"",INDEX('Compliance Database'!$E$2:$E$1199,MATCH(136,Engine!$C$2:$C$1199,0)))</f>
        <v/>
      </c>
      <c r="F149" s="6" t="str">
        <f>IF(ISNA(MATCH(136,Engine!$C$2:$C$1199,0)),"",INDEX('Compliance Database'!$F$2:$F$1199,MATCH(136,Engine!$C$2:$C$1199,0)))</f>
        <v/>
      </c>
      <c r="G149" s="6" t="str">
        <f>IF(ISNA(MATCH(136,Engine!$C$2:$C$1199,0)),"",INDEX('Compliance Database'!$G$2:$G$1199,MATCH(136,Engine!$C$2:$C$1199,0)))</f>
        <v/>
      </c>
      <c r="H149" s="7" t="str">
        <f>IF(ISNA(MATCH(136,Engine!$C$2:$C$1199,0)),"",INDEX('Compliance Database'!$H$2:$H$1199,MATCH(136,Engine!$C$2:$C$1199,0)))</f>
        <v/>
      </c>
      <c r="I149" s="7" t="str">
        <f>IF(ISNA(MATCH(136,Engine!$C$2:$C$1199,0)),"",INDEX('Compliance Database'!$I$2:$I$1199,MATCH(136,Engine!$C$2:$C$1199,0)))</f>
        <v/>
      </c>
      <c r="J149" s="6" t="str">
        <f>IF(ISNA(MATCH(136,Engine!$C$2:$C$1199,0)),"",INDEX('Compliance Database'!$J$2:$J$1199,MATCH(136,Engine!$C$2:$C$1199,0)))</f>
        <v/>
      </c>
      <c r="K149" s="7" t="str">
        <f>IF(ISNA(MATCH(136,Engine!$C$2:$C$1199,0)),"",INDEX('Compliance Database'!$K$2:$K$1199,MATCH(136,Engine!$C$2:$C$1199,0)))</f>
        <v/>
      </c>
      <c r="L149" s="7" t="str">
        <f>IF(ISNA(MATCH(136,Engine!$C$2:$C$1199,0)),"",INDEX('Compliance Database'!$L$2:$L$1199,MATCH(136,Engine!$C$2:$C$1199,0)))</f>
        <v/>
      </c>
      <c r="M149" s="7" t="str">
        <f>IF(ISNA(MATCH(136,Engine!$C$2:$C$1199,0)),"",INDEX('Compliance Database'!$M$2:$M$1199,MATCH(136,Engine!$C$2:$C$1199,0)))</f>
        <v/>
      </c>
      <c r="N149" s="7" t="str">
        <f>IF(ISNA(MATCH(136,Engine!$C$2:$C$1199,0)),"",INDEX('Compliance Database'!$N$2:$N$1199,MATCH(136,Engine!$C$2:$C$1199,0)))</f>
        <v/>
      </c>
      <c r="O149" s="7" t="str">
        <f>IF(ISNA(MATCH(136,Engine!$C$2:$C$1199,0)),"",INDEX('Compliance Database'!$O$2:$O$1199,MATCH(136,Engine!$C$2:$C$1199,0)))</f>
        <v/>
      </c>
      <c r="P149" s="6" t="str">
        <f>IF(ISNA(MATCH(136,Engine!$C$2:$C$1199,0)),"",HYPERLINK("#Acts!A"&amp;INDEX('Compliance Database'!$P$2:$P$1199,MATCH(136,Engine!$C$2:$C$1199,0)),"Go to Act"))</f>
        <v/>
      </c>
    </row>
    <row r="150" spans="1:16" ht="172.95" customHeight="1" x14ac:dyDescent="0.3">
      <c r="A150" s="6" t="str">
        <f>IF(ISNA(MATCH(137,Engine!$C$2:$C$1199,0)),"",INDEX('Compliance Database'!$A$2:$A$1199,MATCH(137,Engine!$C$2:$C$1199,0)))</f>
        <v/>
      </c>
      <c r="B150" s="6" t="str">
        <f>IF(ISNA(MATCH(137,Engine!$C$2:$C$1199,0)),"",INDEX('Compliance Database'!$B$2:$B$1199,MATCH(137,Engine!$C$2:$C$1199,0)))</f>
        <v/>
      </c>
      <c r="C150" s="6" t="str">
        <f>IF(ISNA(MATCH(137,Engine!$C$2:$C$1199,0)),"",INDEX('Compliance Database'!$C$2:$C$1199,MATCH(137,Engine!$C$2:$C$1199,0)))</f>
        <v/>
      </c>
      <c r="D150" s="7" t="str">
        <f>IF(ISNA(MATCH(137,Engine!$C$2:$C$1199,0)),"",INDEX('Compliance Database'!$D$2:$D$1199,MATCH(137,Engine!$C$2:$C$1199,0)))</f>
        <v/>
      </c>
      <c r="E150" s="6" t="str">
        <f>IF(ISNA(MATCH(137,Engine!$C$2:$C$1199,0)),"",INDEX('Compliance Database'!$E$2:$E$1199,MATCH(137,Engine!$C$2:$C$1199,0)))</f>
        <v/>
      </c>
      <c r="F150" s="6" t="str">
        <f>IF(ISNA(MATCH(137,Engine!$C$2:$C$1199,0)),"",INDEX('Compliance Database'!$F$2:$F$1199,MATCH(137,Engine!$C$2:$C$1199,0)))</f>
        <v/>
      </c>
      <c r="G150" s="6" t="str">
        <f>IF(ISNA(MATCH(137,Engine!$C$2:$C$1199,0)),"",INDEX('Compliance Database'!$G$2:$G$1199,MATCH(137,Engine!$C$2:$C$1199,0)))</f>
        <v/>
      </c>
      <c r="H150" s="7" t="str">
        <f>IF(ISNA(MATCH(137,Engine!$C$2:$C$1199,0)),"",INDEX('Compliance Database'!$H$2:$H$1199,MATCH(137,Engine!$C$2:$C$1199,0)))</f>
        <v/>
      </c>
      <c r="I150" s="7" t="str">
        <f>IF(ISNA(MATCH(137,Engine!$C$2:$C$1199,0)),"",INDEX('Compliance Database'!$I$2:$I$1199,MATCH(137,Engine!$C$2:$C$1199,0)))</f>
        <v/>
      </c>
      <c r="J150" s="6" t="str">
        <f>IF(ISNA(MATCH(137,Engine!$C$2:$C$1199,0)),"",INDEX('Compliance Database'!$J$2:$J$1199,MATCH(137,Engine!$C$2:$C$1199,0)))</f>
        <v/>
      </c>
      <c r="K150" s="7" t="str">
        <f>IF(ISNA(MATCH(137,Engine!$C$2:$C$1199,0)),"",INDEX('Compliance Database'!$K$2:$K$1199,MATCH(137,Engine!$C$2:$C$1199,0)))</f>
        <v/>
      </c>
      <c r="L150" s="7" t="str">
        <f>IF(ISNA(MATCH(137,Engine!$C$2:$C$1199,0)),"",INDEX('Compliance Database'!$L$2:$L$1199,MATCH(137,Engine!$C$2:$C$1199,0)))</f>
        <v/>
      </c>
      <c r="M150" s="7" t="str">
        <f>IF(ISNA(MATCH(137,Engine!$C$2:$C$1199,0)),"",INDEX('Compliance Database'!$M$2:$M$1199,MATCH(137,Engine!$C$2:$C$1199,0)))</f>
        <v/>
      </c>
      <c r="N150" s="7" t="str">
        <f>IF(ISNA(MATCH(137,Engine!$C$2:$C$1199,0)),"",INDEX('Compliance Database'!$N$2:$N$1199,MATCH(137,Engine!$C$2:$C$1199,0)))</f>
        <v/>
      </c>
      <c r="O150" s="7" t="str">
        <f>IF(ISNA(MATCH(137,Engine!$C$2:$C$1199,0)),"",INDEX('Compliance Database'!$O$2:$O$1199,MATCH(137,Engine!$C$2:$C$1199,0)))</f>
        <v/>
      </c>
      <c r="P150" s="6" t="str">
        <f>IF(ISNA(MATCH(137,Engine!$C$2:$C$1199,0)),"",HYPERLINK("#Acts!A"&amp;INDEX('Compliance Database'!$P$2:$P$1199,MATCH(137,Engine!$C$2:$C$1199,0)),"Go to Act"))</f>
        <v/>
      </c>
    </row>
    <row r="151" spans="1:16" ht="172.95" customHeight="1" x14ac:dyDescent="0.3">
      <c r="A151" s="6" t="str">
        <f>IF(ISNA(MATCH(138,Engine!$C$2:$C$1199,0)),"",INDEX('Compliance Database'!$A$2:$A$1199,MATCH(138,Engine!$C$2:$C$1199,0)))</f>
        <v/>
      </c>
      <c r="B151" s="6" t="str">
        <f>IF(ISNA(MATCH(138,Engine!$C$2:$C$1199,0)),"",INDEX('Compliance Database'!$B$2:$B$1199,MATCH(138,Engine!$C$2:$C$1199,0)))</f>
        <v/>
      </c>
      <c r="C151" s="6" t="str">
        <f>IF(ISNA(MATCH(138,Engine!$C$2:$C$1199,0)),"",INDEX('Compliance Database'!$C$2:$C$1199,MATCH(138,Engine!$C$2:$C$1199,0)))</f>
        <v/>
      </c>
      <c r="D151" s="7" t="str">
        <f>IF(ISNA(MATCH(138,Engine!$C$2:$C$1199,0)),"",INDEX('Compliance Database'!$D$2:$D$1199,MATCH(138,Engine!$C$2:$C$1199,0)))</f>
        <v/>
      </c>
      <c r="E151" s="6" t="str">
        <f>IF(ISNA(MATCH(138,Engine!$C$2:$C$1199,0)),"",INDEX('Compliance Database'!$E$2:$E$1199,MATCH(138,Engine!$C$2:$C$1199,0)))</f>
        <v/>
      </c>
      <c r="F151" s="6" t="str">
        <f>IF(ISNA(MATCH(138,Engine!$C$2:$C$1199,0)),"",INDEX('Compliance Database'!$F$2:$F$1199,MATCH(138,Engine!$C$2:$C$1199,0)))</f>
        <v/>
      </c>
      <c r="G151" s="6" t="str">
        <f>IF(ISNA(MATCH(138,Engine!$C$2:$C$1199,0)),"",INDEX('Compliance Database'!$G$2:$G$1199,MATCH(138,Engine!$C$2:$C$1199,0)))</f>
        <v/>
      </c>
      <c r="H151" s="7" t="str">
        <f>IF(ISNA(MATCH(138,Engine!$C$2:$C$1199,0)),"",INDEX('Compliance Database'!$H$2:$H$1199,MATCH(138,Engine!$C$2:$C$1199,0)))</f>
        <v/>
      </c>
      <c r="I151" s="7" t="str">
        <f>IF(ISNA(MATCH(138,Engine!$C$2:$C$1199,0)),"",INDEX('Compliance Database'!$I$2:$I$1199,MATCH(138,Engine!$C$2:$C$1199,0)))</f>
        <v/>
      </c>
      <c r="J151" s="6" t="str">
        <f>IF(ISNA(MATCH(138,Engine!$C$2:$C$1199,0)),"",INDEX('Compliance Database'!$J$2:$J$1199,MATCH(138,Engine!$C$2:$C$1199,0)))</f>
        <v/>
      </c>
      <c r="K151" s="7" t="str">
        <f>IF(ISNA(MATCH(138,Engine!$C$2:$C$1199,0)),"",INDEX('Compliance Database'!$K$2:$K$1199,MATCH(138,Engine!$C$2:$C$1199,0)))</f>
        <v/>
      </c>
      <c r="L151" s="7" t="str">
        <f>IF(ISNA(MATCH(138,Engine!$C$2:$C$1199,0)),"",INDEX('Compliance Database'!$L$2:$L$1199,MATCH(138,Engine!$C$2:$C$1199,0)))</f>
        <v/>
      </c>
      <c r="M151" s="7" t="str">
        <f>IF(ISNA(MATCH(138,Engine!$C$2:$C$1199,0)),"",INDEX('Compliance Database'!$M$2:$M$1199,MATCH(138,Engine!$C$2:$C$1199,0)))</f>
        <v/>
      </c>
      <c r="N151" s="7" t="str">
        <f>IF(ISNA(MATCH(138,Engine!$C$2:$C$1199,0)),"",INDEX('Compliance Database'!$N$2:$N$1199,MATCH(138,Engine!$C$2:$C$1199,0)))</f>
        <v/>
      </c>
      <c r="O151" s="7" t="str">
        <f>IF(ISNA(MATCH(138,Engine!$C$2:$C$1199,0)),"",INDEX('Compliance Database'!$O$2:$O$1199,MATCH(138,Engine!$C$2:$C$1199,0)))</f>
        <v/>
      </c>
      <c r="P151" s="6" t="str">
        <f>IF(ISNA(MATCH(138,Engine!$C$2:$C$1199,0)),"",HYPERLINK("#Acts!A"&amp;INDEX('Compliance Database'!$P$2:$P$1199,MATCH(138,Engine!$C$2:$C$1199,0)),"Go to Act"))</f>
        <v/>
      </c>
    </row>
    <row r="152" spans="1:16" ht="172.95" customHeight="1" x14ac:dyDescent="0.3">
      <c r="A152" s="6" t="str">
        <f>IF(ISNA(MATCH(139,Engine!$C$2:$C$1199,0)),"",INDEX('Compliance Database'!$A$2:$A$1199,MATCH(139,Engine!$C$2:$C$1199,0)))</f>
        <v/>
      </c>
      <c r="B152" s="6" t="str">
        <f>IF(ISNA(MATCH(139,Engine!$C$2:$C$1199,0)),"",INDEX('Compliance Database'!$B$2:$B$1199,MATCH(139,Engine!$C$2:$C$1199,0)))</f>
        <v/>
      </c>
      <c r="C152" s="6" t="str">
        <f>IF(ISNA(MATCH(139,Engine!$C$2:$C$1199,0)),"",INDEX('Compliance Database'!$C$2:$C$1199,MATCH(139,Engine!$C$2:$C$1199,0)))</f>
        <v/>
      </c>
      <c r="D152" s="7" t="str">
        <f>IF(ISNA(MATCH(139,Engine!$C$2:$C$1199,0)),"",INDEX('Compliance Database'!$D$2:$D$1199,MATCH(139,Engine!$C$2:$C$1199,0)))</f>
        <v/>
      </c>
      <c r="E152" s="6" t="str">
        <f>IF(ISNA(MATCH(139,Engine!$C$2:$C$1199,0)),"",INDEX('Compliance Database'!$E$2:$E$1199,MATCH(139,Engine!$C$2:$C$1199,0)))</f>
        <v/>
      </c>
      <c r="F152" s="6" t="str">
        <f>IF(ISNA(MATCH(139,Engine!$C$2:$C$1199,0)),"",INDEX('Compliance Database'!$F$2:$F$1199,MATCH(139,Engine!$C$2:$C$1199,0)))</f>
        <v/>
      </c>
      <c r="G152" s="6" t="str">
        <f>IF(ISNA(MATCH(139,Engine!$C$2:$C$1199,0)),"",INDEX('Compliance Database'!$G$2:$G$1199,MATCH(139,Engine!$C$2:$C$1199,0)))</f>
        <v/>
      </c>
      <c r="H152" s="7" t="str">
        <f>IF(ISNA(MATCH(139,Engine!$C$2:$C$1199,0)),"",INDEX('Compliance Database'!$H$2:$H$1199,MATCH(139,Engine!$C$2:$C$1199,0)))</f>
        <v/>
      </c>
      <c r="I152" s="7" t="str">
        <f>IF(ISNA(MATCH(139,Engine!$C$2:$C$1199,0)),"",INDEX('Compliance Database'!$I$2:$I$1199,MATCH(139,Engine!$C$2:$C$1199,0)))</f>
        <v/>
      </c>
      <c r="J152" s="6" t="str">
        <f>IF(ISNA(MATCH(139,Engine!$C$2:$C$1199,0)),"",INDEX('Compliance Database'!$J$2:$J$1199,MATCH(139,Engine!$C$2:$C$1199,0)))</f>
        <v/>
      </c>
      <c r="K152" s="7" t="str">
        <f>IF(ISNA(MATCH(139,Engine!$C$2:$C$1199,0)),"",INDEX('Compliance Database'!$K$2:$K$1199,MATCH(139,Engine!$C$2:$C$1199,0)))</f>
        <v/>
      </c>
      <c r="L152" s="7" t="str">
        <f>IF(ISNA(MATCH(139,Engine!$C$2:$C$1199,0)),"",INDEX('Compliance Database'!$L$2:$L$1199,MATCH(139,Engine!$C$2:$C$1199,0)))</f>
        <v/>
      </c>
      <c r="M152" s="7" t="str">
        <f>IF(ISNA(MATCH(139,Engine!$C$2:$C$1199,0)),"",INDEX('Compliance Database'!$M$2:$M$1199,MATCH(139,Engine!$C$2:$C$1199,0)))</f>
        <v/>
      </c>
      <c r="N152" s="7" t="str">
        <f>IF(ISNA(MATCH(139,Engine!$C$2:$C$1199,0)),"",INDEX('Compliance Database'!$N$2:$N$1199,MATCH(139,Engine!$C$2:$C$1199,0)))</f>
        <v/>
      </c>
      <c r="O152" s="7" t="str">
        <f>IF(ISNA(MATCH(139,Engine!$C$2:$C$1199,0)),"",INDEX('Compliance Database'!$O$2:$O$1199,MATCH(139,Engine!$C$2:$C$1199,0)))</f>
        <v/>
      </c>
      <c r="P152" s="6" t="str">
        <f>IF(ISNA(MATCH(139,Engine!$C$2:$C$1199,0)),"",HYPERLINK("#Acts!A"&amp;INDEX('Compliance Database'!$P$2:$P$1199,MATCH(139,Engine!$C$2:$C$1199,0)),"Go to Act"))</f>
        <v/>
      </c>
    </row>
    <row r="153" spans="1:16" ht="172.95" customHeight="1" x14ac:dyDescent="0.3">
      <c r="A153" s="6" t="str">
        <f>IF(ISNA(MATCH(140,Engine!$C$2:$C$1199,0)),"",INDEX('Compliance Database'!$A$2:$A$1199,MATCH(140,Engine!$C$2:$C$1199,0)))</f>
        <v/>
      </c>
      <c r="B153" s="6" t="str">
        <f>IF(ISNA(MATCH(140,Engine!$C$2:$C$1199,0)),"",INDEX('Compliance Database'!$B$2:$B$1199,MATCH(140,Engine!$C$2:$C$1199,0)))</f>
        <v/>
      </c>
      <c r="C153" s="6" t="str">
        <f>IF(ISNA(MATCH(140,Engine!$C$2:$C$1199,0)),"",INDEX('Compliance Database'!$C$2:$C$1199,MATCH(140,Engine!$C$2:$C$1199,0)))</f>
        <v/>
      </c>
      <c r="D153" s="7" t="str">
        <f>IF(ISNA(MATCH(140,Engine!$C$2:$C$1199,0)),"",INDEX('Compliance Database'!$D$2:$D$1199,MATCH(140,Engine!$C$2:$C$1199,0)))</f>
        <v/>
      </c>
      <c r="E153" s="6" t="str">
        <f>IF(ISNA(MATCH(140,Engine!$C$2:$C$1199,0)),"",INDEX('Compliance Database'!$E$2:$E$1199,MATCH(140,Engine!$C$2:$C$1199,0)))</f>
        <v/>
      </c>
      <c r="F153" s="6" t="str">
        <f>IF(ISNA(MATCH(140,Engine!$C$2:$C$1199,0)),"",INDEX('Compliance Database'!$F$2:$F$1199,MATCH(140,Engine!$C$2:$C$1199,0)))</f>
        <v/>
      </c>
      <c r="G153" s="6" t="str">
        <f>IF(ISNA(MATCH(140,Engine!$C$2:$C$1199,0)),"",INDEX('Compliance Database'!$G$2:$G$1199,MATCH(140,Engine!$C$2:$C$1199,0)))</f>
        <v/>
      </c>
      <c r="H153" s="7" t="str">
        <f>IF(ISNA(MATCH(140,Engine!$C$2:$C$1199,0)),"",INDEX('Compliance Database'!$H$2:$H$1199,MATCH(140,Engine!$C$2:$C$1199,0)))</f>
        <v/>
      </c>
      <c r="I153" s="7" t="str">
        <f>IF(ISNA(MATCH(140,Engine!$C$2:$C$1199,0)),"",INDEX('Compliance Database'!$I$2:$I$1199,MATCH(140,Engine!$C$2:$C$1199,0)))</f>
        <v/>
      </c>
      <c r="J153" s="6" t="str">
        <f>IF(ISNA(MATCH(140,Engine!$C$2:$C$1199,0)),"",INDEX('Compliance Database'!$J$2:$J$1199,MATCH(140,Engine!$C$2:$C$1199,0)))</f>
        <v/>
      </c>
      <c r="K153" s="7" t="str">
        <f>IF(ISNA(MATCH(140,Engine!$C$2:$C$1199,0)),"",INDEX('Compliance Database'!$K$2:$K$1199,MATCH(140,Engine!$C$2:$C$1199,0)))</f>
        <v/>
      </c>
      <c r="L153" s="7" t="str">
        <f>IF(ISNA(MATCH(140,Engine!$C$2:$C$1199,0)),"",INDEX('Compliance Database'!$L$2:$L$1199,MATCH(140,Engine!$C$2:$C$1199,0)))</f>
        <v/>
      </c>
      <c r="M153" s="7" t="str">
        <f>IF(ISNA(MATCH(140,Engine!$C$2:$C$1199,0)),"",INDEX('Compliance Database'!$M$2:$M$1199,MATCH(140,Engine!$C$2:$C$1199,0)))</f>
        <v/>
      </c>
      <c r="N153" s="7" t="str">
        <f>IF(ISNA(MATCH(140,Engine!$C$2:$C$1199,0)),"",INDEX('Compliance Database'!$N$2:$N$1199,MATCH(140,Engine!$C$2:$C$1199,0)))</f>
        <v/>
      </c>
      <c r="O153" s="7" t="str">
        <f>IF(ISNA(MATCH(140,Engine!$C$2:$C$1199,0)),"",INDEX('Compliance Database'!$O$2:$O$1199,MATCH(140,Engine!$C$2:$C$1199,0)))</f>
        <v/>
      </c>
      <c r="P153" s="6" t="str">
        <f>IF(ISNA(MATCH(140,Engine!$C$2:$C$1199,0)),"",HYPERLINK("#Acts!A"&amp;INDEX('Compliance Database'!$P$2:$P$1199,MATCH(140,Engine!$C$2:$C$1199,0)),"Go to Act"))</f>
        <v/>
      </c>
    </row>
    <row r="154" spans="1:16" ht="172.95" customHeight="1" x14ac:dyDescent="0.3">
      <c r="A154" s="6" t="str">
        <f>IF(ISNA(MATCH(141,Engine!$C$2:$C$1199,0)),"",INDEX('Compliance Database'!$A$2:$A$1199,MATCH(141,Engine!$C$2:$C$1199,0)))</f>
        <v/>
      </c>
      <c r="B154" s="6" t="str">
        <f>IF(ISNA(MATCH(141,Engine!$C$2:$C$1199,0)),"",INDEX('Compliance Database'!$B$2:$B$1199,MATCH(141,Engine!$C$2:$C$1199,0)))</f>
        <v/>
      </c>
      <c r="C154" s="6" t="str">
        <f>IF(ISNA(MATCH(141,Engine!$C$2:$C$1199,0)),"",INDEX('Compliance Database'!$C$2:$C$1199,MATCH(141,Engine!$C$2:$C$1199,0)))</f>
        <v/>
      </c>
      <c r="D154" s="7" t="str">
        <f>IF(ISNA(MATCH(141,Engine!$C$2:$C$1199,0)),"",INDEX('Compliance Database'!$D$2:$D$1199,MATCH(141,Engine!$C$2:$C$1199,0)))</f>
        <v/>
      </c>
      <c r="E154" s="6" t="str">
        <f>IF(ISNA(MATCH(141,Engine!$C$2:$C$1199,0)),"",INDEX('Compliance Database'!$E$2:$E$1199,MATCH(141,Engine!$C$2:$C$1199,0)))</f>
        <v/>
      </c>
      <c r="F154" s="6" t="str">
        <f>IF(ISNA(MATCH(141,Engine!$C$2:$C$1199,0)),"",INDEX('Compliance Database'!$F$2:$F$1199,MATCH(141,Engine!$C$2:$C$1199,0)))</f>
        <v/>
      </c>
      <c r="G154" s="6" t="str">
        <f>IF(ISNA(MATCH(141,Engine!$C$2:$C$1199,0)),"",INDEX('Compliance Database'!$G$2:$G$1199,MATCH(141,Engine!$C$2:$C$1199,0)))</f>
        <v/>
      </c>
      <c r="H154" s="7" t="str">
        <f>IF(ISNA(MATCH(141,Engine!$C$2:$C$1199,0)),"",INDEX('Compliance Database'!$H$2:$H$1199,MATCH(141,Engine!$C$2:$C$1199,0)))</f>
        <v/>
      </c>
      <c r="I154" s="7" t="str">
        <f>IF(ISNA(MATCH(141,Engine!$C$2:$C$1199,0)),"",INDEX('Compliance Database'!$I$2:$I$1199,MATCH(141,Engine!$C$2:$C$1199,0)))</f>
        <v/>
      </c>
      <c r="J154" s="6" t="str">
        <f>IF(ISNA(MATCH(141,Engine!$C$2:$C$1199,0)),"",INDEX('Compliance Database'!$J$2:$J$1199,MATCH(141,Engine!$C$2:$C$1199,0)))</f>
        <v/>
      </c>
      <c r="K154" s="7" t="str">
        <f>IF(ISNA(MATCH(141,Engine!$C$2:$C$1199,0)),"",INDEX('Compliance Database'!$K$2:$K$1199,MATCH(141,Engine!$C$2:$C$1199,0)))</f>
        <v/>
      </c>
      <c r="L154" s="7" t="str">
        <f>IF(ISNA(MATCH(141,Engine!$C$2:$C$1199,0)),"",INDEX('Compliance Database'!$L$2:$L$1199,MATCH(141,Engine!$C$2:$C$1199,0)))</f>
        <v/>
      </c>
      <c r="M154" s="7" t="str">
        <f>IF(ISNA(MATCH(141,Engine!$C$2:$C$1199,0)),"",INDEX('Compliance Database'!$M$2:$M$1199,MATCH(141,Engine!$C$2:$C$1199,0)))</f>
        <v/>
      </c>
      <c r="N154" s="7" t="str">
        <f>IF(ISNA(MATCH(141,Engine!$C$2:$C$1199,0)),"",INDEX('Compliance Database'!$N$2:$N$1199,MATCH(141,Engine!$C$2:$C$1199,0)))</f>
        <v/>
      </c>
      <c r="O154" s="7" t="str">
        <f>IF(ISNA(MATCH(141,Engine!$C$2:$C$1199,0)),"",INDEX('Compliance Database'!$O$2:$O$1199,MATCH(141,Engine!$C$2:$C$1199,0)))</f>
        <v/>
      </c>
      <c r="P154" s="6" t="str">
        <f>IF(ISNA(MATCH(141,Engine!$C$2:$C$1199,0)),"",HYPERLINK("#Acts!A"&amp;INDEX('Compliance Database'!$P$2:$P$1199,MATCH(141,Engine!$C$2:$C$1199,0)),"Go to Act"))</f>
        <v/>
      </c>
    </row>
    <row r="155" spans="1:16" ht="172.95" customHeight="1" x14ac:dyDescent="0.3">
      <c r="A155" s="6" t="str">
        <f>IF(ISNA(MATCH(142,Engine!$C$2:$C$1199,0)),"",INDEX('Compliance Database'!$A$2:$A$1199,MATCH(142,Engine!$C$2:$C$1199,0)))</f>
        <v/>
      </c>
      <c r="B155" s="6" t="str">
        <f>IF(ISNA(MATCH(142,Engine!$C$2:$C$1199,0)),"",INDEX('Compliance Database'!$B$2:$B$1199,MATCH(142,Engine!$C$2:$C$1199,0)))</f>
        <v/>
      </c>
      <c r="C155" s="6" t="str">
        <f>IF(ISNA(MATCH(142,Engine!$C$2:$C$1199,0)),"",INDEX('Compliance Database'!$C$2:$C$1199,MATCH(142,Engine!$C$2:$C$1199,0)))</f>
        <v/>
      </c>
      <c r="D155" s="7" t="str">
        <f>IF(ISNA(MATCH(142,Engine!$C$2:$C$1199,0)),"",INDEX('Compliance Database'!$D$2:$D$1199,MATCH(142,Engine!$C$2:$C$1199,0)))</f>
        <v/>
      </c>
      <c r="E155" s="6" t="str">
        <f>IF(ISNA(MATCH(142,Engine!$C$2:$C$1199,0)),"",INDEX('Compliance Database'!$E$2:$E$1199,MATCH(142,Engine!$C$2:$C$1199,0)))</f>
        <v/>
      </c>
      <c r="F155" s="6" t="str">
        <f>IF(ISNA(MATCH(142,Engine!$C$2:$C$1199,0)),"",INDEX('Compliance Database'!$F$2:$F$1199,MATCH(142,Engine!$C$2:$C$1199,0)))</f>
        <v/>
      </c>
      <c r="G155" s="6" t="str">
        <f>IF(ISNA(MATCH(142,Engine!$C$2:$C$1199,0)),"",INDEX('Compliance Database'!$G$2:$G$1199,MATCH(142,Engine!$C$2:$C$1199,0)))</f>
        <v/>
      </c>
      <c r="H155" s="7" t="str">
        <f>IF(ISNA(MATCH(142,Engine!$C$2:$C$1199,0)),"",INDEX('Compliance Database'!$H$2:$H$1199,MATCH(142,Engine!$C$2:$C$1199,0)))</f>
        <v/>
      </c>
      <c r="I155" s="7" t="str">
        <f>IF(ISNA(MATCH(142,Engine!$C$2:$C$1199,0)),"",INDEX('Compliance Database'!$I$2:$I$1199,MATCH(142,Engine!$C$2:$C$1199,0)))</f>
        <v/>
      </c>
      <c r="J155" s="6" t="str">
        <f>IF(ISNA(MATCH(142,Engine!$C$2:$C$1199,0)),"",INDEX('Compliance Database'!$J$2:$J$1199,MATCH(142,Engine!$C$2:$C$1199,0)))</f>
        <v/>
      </c>
      <c r="K155" s="7" t="str">
        <f>IF(ISNA(MATCH(142,Engine!$C$2:$C$1199,0)),"",INDEX('Compliance Database'!$K$2:$K$1199,MATCH(142,Engine!$C$2:$C$1199,0)))</f>
        <v/>
      </c>
      <c r="L155" s="7" t="str">
        <f>IF(ISNA(MATCH(142,Engine!$C$2:$C$1199,0)),"",INDEX('Compliance Database'!$L$2:$L$1199,MATCH(142,Engine!$C$2:$C$1199,0)))</f>
        <v/>
      </c>
      <c r="M155" s="7" t="str">
        <f>IF(ISNA(MATCH(142,Engine!$C$2:$C$1199,0)),"",INDEX('Compliance Database'!$M$2:$M$1199,MATCH(142,Engine!$C$2:$C$1199,0)))</f>
        <v/>
      </c>
      <c r="N155" s="7" t="str">
        <f>IF(ISNA(MATCH(142,Engine!$C$2:$C$1199,0)),"",INDEX('Compliance Database'!$N$2:$N$1199,MATCH(142,Engine!$C$2:$C$1199,0)))</f>
        <v/>
      </c>
      <c r="O155" s="7" t="str">
        <f>IF(ISNA(MATCH(142,Engine!$C$2:$C$1199,0)),"",INDEX('Compliance Database'!$O$2:$O$1199,MATCH(142,Engine!$C$2:$C$1199,0)))</f>
        <v/>
      </c>
      <c r="P155" s="6" t="str">
        <f>IF(ISNA(MATCH(142,Engine!$C$2:$C$1199,0)),"",HYPERLINK("#Acts!A"&amp;INDEX('Compliance Database'!$P$2:$P$1199,MATCH(142,Engine!$C$2:$C$1199,0)),"Go to Act"))</f>
        <v/>
      </c>
    </row>
    <row r="156" spans="1:16" ht="172.95" customHeight="1" x14ac:dyDescent="0.3">
      <c r="A156" s="6" t="str">
        <f>IF(ISNA(MATCH(143,Engine!$C$2:$C$1199,0)),"",INDEX('Compliance Database'!$A$2:$A$1199,MATCH(143,Engine!$C$2:$C$1199,0)))</f>
        <v/>
      </c>
      <c r="B156" s="6" t="str">
        <f>IF(ISNA(MATCH(143,Engine!$C$2:$C$1199,0)),"",INDEX('Compliance Database'!$B$2:$B$1199,MATCH(143,Engine!$C$2:$C$1199,0)))</f>
        <v/>
      </c>
      <c r="C156" s="6" t="str">
        <f>IF(ISNA(MATCH(143,Engine!$C$2:$C$1199,0)),"",INDEX('Compliance Database'!$C$2:$C$1199,MATCH(143,Engine!$C$2:$C$1199,0)))</f>
        <v/>
      </c>
      <c r="D156" s="7" t="str">
        <f>IF(ISNA(MATCH(143,Engine!$C$2:$C$1199,0)),"",INDEX('Compliance Database'!$D$2:$D$1199,MATCH(143,Engine!$C$2:$C$1199,0)))</f>
        <v/>
      </c>
      <c r="E156" s="6" t="str">
        <f>IF(ISNA(MATCH(143,Engine!$C$2:$C$1199,0)),"",INDEX('Compliance Database'!$E$2:$E$1199,MATCH(143,Engine!$C$2:$C$1199,0)))</f>
        <v/>
      </c>
      <c r="F156" s="6" t="str">
        <f>IF(ISNA(MATCH(143,Engine!$C$2:$C$1199,0)),"",INDEX('Compliance Database'!$F$2:$F$1199,MATCH(143,Engine!$C$2:$C$1199,0)))</f>
        <v/>
      </c>
      <c r="G156" s="6" t="str">
        <f>IF(ISNA(MATCH(143,Engine!$C$2:$C$1199,0)),"",INDEX('Compliance Database'!$G$2:$G$1199,MATCH(143,Engine!$C$2:$C$1199,0)))</f>
        <v/>
      </c>
      <c r="H156" s="7" t="str">
        <f>IF(ISNA(MATCH(143,Engine!$C$2:$C$1199,0)),"",INDEX('Compliance Database'!$H$2:$H$1199,MATCH(143,Engine!$C$2:$C$1199,0)))</f>
        <v/>
      </c>
      <c r="I156" s="7" t="str">
        <f>IF(ISNA(MATCH(143,Engine!$C$2:$C$1199,0)),"",INDEX('Compliance Database'!$I$2:$I$1199,MATCH(143,Engine!$C$2:$C$1199,0)))</f>
        <v/>
      </c>
      <c r="J156" s="6" t="str">
        <f>IF(ISNA(MATCH(143,Engine!$C$2:$C$1199,0)),"",INDEX('Compliance Database'!$J$2:$J$1199,MATCH(143,Engine!$C$2:$C$1199,0)))</f>
        <v/>
      </c>
      <c r="K156" s="7" t="str">
        <f>IF(ISNA(MATCH(143,Engine!$C$2:$C$1199,0)),"",INDEX('Compliance Database'!$K$2:$K$1199,MATCH(143,Engine!$C$2:$C$1199,0)))</f>
        <v/>
      </c>
      <c r="L156" s="7" t="str">
        <f>IF(ISNA(MATCH(143,Engine!$C$2:$C$1199,0)),"",INDEX('Compliance Database'!$L$2:$L$1199,MATCH(143,Engine!$C$2:$C$1199,0)))</f>
        <v/>
      </c>
      <c r="M156" s="7" t="str">
        <f>IF(ISNA(MATCH(143,Engine!$C$2:$C$1199,0)),"",INDEX('Compliance Database'!$M$2:$M$1199,MATCH(143,Engine!$C$2:$C$1199,0)))</f>
        <v/>
      </c>
      <c r="N156" s="7" t="str">
        <f>IF(ISNA(MATCH(143,Engine!$C$2:$C$1199,0)),"",INDEX('Compliance Database'!$N$2:$N$1199,MATCH(143,Engine!$C$2:$C$1199,0)))</f>
        <v/>
      </c>
      <c r="O156" s="7" t="str">
        <f>IF(ISNA(MATCH(143,Engine!$C$2:$C$1199,0)),"",INDEX('Compliance Database'!$O$2:$O$1199,MATCH(143,Engine!$C$2:$C$1199,0)))</f>
        <v/>
      </c>
      <c r="P156" s="6" t="str">
        <f>IF(ISNA(MATCH(143,Engine!$C$2:$C$1199,0)),"",HYPERLINK("#Acts!A"&amp;INDEX('Compliance Database'!$P$2:$P$1199,MATCH(143,Engine!$C$2:$C$1199,0)),"Go to Act"))</f>
        <v/>
      </c>
    </row>
    <row r="157" spans="1:16" ht="172.95" customHeight="1" x14ac:dyDescent="0.3">
      <c r="A157" s="6" t="str">
        <f>IF(ISNA(MATCH(144,Engine!$C$2:$C$1199,0)),"",INDEX('Compliance Database'!$A$2:$A$1199,MATCH(144,Engine!$C$2:$C$1199,0)))</f>
        <v/>
      </c>
      <c r="B157" s="6" t="str">
        <f>IF(ISNA(MATCH(144,Engine!$C$2:$C$1199,0)),"",INDEX('Compliance Database'!$B$2:$B$1199,MATCH(144,Engine!$C$2:$C$1199,0)))</f>
        <v/>
      </c>
      <c r="C157" s="6" t="str">
        <f>IF(ISNA(MATCH(144,Engine!$C$2:$C$1199,0)),"",INDEX('Compliance Database'!$C$2:$C$1199,MATCH(144,Engine!$C$2:$C$1199,0)))</f>
        <v/>
      </c>
      <c r="D157" s="7" t="str">
        <f>IF(ISNA(MATCH(144,Engine!$C$2:$C$1199,0)),"",INDEX('Compliance Database'!$D$2:$D$1199,MATCH(144,Engine!$C$2:$C$1199,0)))</f>
        <v/>
      </c>
      <c r="E157" s="6" t="str">
        <f>IF(ISNA(MATCH(144,Engine!$C$2:$C$1199,0)),"",INDEX('Compliance Database'!$E$2:$E$1199,MATCH(144,Engine!$C$2:$C$1199,0)))</f>
        <v/>
      </c>
      <c r="F157" s="6" t="str">
        <f>IF(ISNA(MATCH(144,Engine!$C$2:$C$1199,0)),"",INDEX('Compliance Database'!$F$2:$F$1199,MATCH(144,Engine!$C$2:$C$1199,0)))</f>
        <v/>
      </c>
      <c r="G157" s="6" t="str">
        <f>IF(ISNA(MATCH(144,Engine!$C$2:$C$1199,0)),"",INDEX('Compliance Database'!$G$2:$G$1199,MATCH(144,Engine!$C$2:$C$1199,0)))</f>
        <v/>
      </c>
      <c r="H157" s="7" t="str">
        <f>IF(ISNA(MATCH(144,Engine!$C$2:$C$1199,0)),"",INDEX('Compliance Database'!$H$2:$H$1199,MATCH(144,Engine!$C$2:$C$1199,0)))</f>
        <v/>
      </c>
      <c r="I157" s="7" t="str">
        <f>IF(ISNA(MATCH(144,Engine!$C$2:$C$1199,0)),"",INDEX('Compliance Database'!$I$2:$I$1199,MATCH(144,Engine!$C$2:$C$1199,0)))</f>
        <v/>
      </c>
      <c r="J157" s="6" t="str">
        <f>IF(ISNA(MATCH(144,Engine!$C$2:$C$1199,0)),"",INDEX('Compliance Database'!$J$2:$J$1199,MATCH(144,Engine!$C$2:$C$1199,0)))</f>
        <v/>
      </c>
      <c r="K157" s="7" t="str">
        <f>IF(ISNA(MATCH(144,Engine!$C$2:$C$1199,0)),"",INDEX('Compliance Database'!$K$2:$K$1199,MATCH(144,Engine!$C$2:$C$1199,0)))</f>
        <v/>
      </c>
      <c r="L157" s="7" t="str">
        <f>IF(ISNA(MATCH(144,Engine!$C$2:$C$1199,0)),"",INDEX('Compliance Database'!$L$2:$L$1199,MATCH(144,Engine!$C$2:$C$1199,0)))</f>
        <v/>
      </c>
      <c r="M157" s="7" t="str">
        <f>IF(ISNA(MATCH(144,Engine!$C$2:$C$1199,0)),"",INDEX('Compliance Database'!$M$2:$M$1199,MATCH(144,Engine!$C$2:$C$1199,0)))</f>
        <v/>
      </c>
      <c r="N157" s="7" t="str">
        <f>IF(ISNA(MATCH(144,Engine!$C$2:$C$1199,0)),"",INDEX('Compliance Database'!$N$2:$N$1199,MATCH(144,Engine!$C$2:$C$1199,0)))</f>
        <v/>
      </c>
      <c r="O157" s="7" t="str">
        <f>IF(ISNA(MATCH(144,Engine!$C$2:$C$1199,0)),"",INDEX('Compliance Database'!$O$2:$O$1199,MATCH(144,Engine!$C$2:$C$1199,0)))</f>
        <v/>
      </c>
      <c r="P157" s="6" t="str">
        <f>IF(ISNA(MATCH(144,Engine!$C$2:$C$1199,0)),"",HYPERLINK("#Acts!A"&amp;INDEX('Compliance Database'!$P$2:$P$1199,MATCH(144,Engine!$C$2:$C$1199,0)),"Go to Act"))</f>
        <v/>
      </c>
    </row>
    <row r="158" spans="1:16" ht="172.95" customHeight="1" x14ac:dyDescent="0.3">
      <c r="A158" s="6" t="str">
        <f>IF(ISNA(MATCH(145,Engine!$C$2:$C$1199,0)),"",INDEX('Compliance Database'!$A$2:$A$1199,MATCH(145,Engine!$C$2:$C$1199,0)))</f>
        <v/>
      </c>
      <c r="B158" s="6" t="str">
        <f>IF(ISNA(MATCH(145,Engine!$C$2:$C$1199,0)),"",INDEX('Compliance Database'!$B$2:$B$1199,MATCH(145,Engine!$C$2:$C$1199,0)))</f>
        <v/>
      </c>
      <c r="C158" s="6" t="str">
        <f>IF(ISNA(MATCH(145,Engine!$C$2:$C$1199,0)),"",INDEX('Compliance Database'!$C$2:$C$1199,MATCH(145,Engine!$C$2:$C$1199,0)))</f>
        <v/>
      </c>
      <c r="D158" s="7" t="str">
        <f>IF(ISNA(MATCH(145,Engine!$C$2:$C$1199,0)),"",INDEX('Compliance Database'!$D$2:$D$1199,MATCH(145,Engine!$C$2:$C$1199,0)))</f>
        <v/>
      </c>
      <c r="E158" s="6" t="str">
        <f>IF(ISNA(MATCH(145,Engine!$C$2:$C$1199,0)),"",INDEX('Compliance Database'!$E$2:$E$1199,MATCH(145,Engine!$C$2:$C$1199,0)))</f>
        <v/>
      </c>
      <c r="F158" s="6" t="str">
        <f>IF(ISNA(MATCH(145,Engine!$C$2:$C$1199,0)),"",INDEX('Compliance Database'!$F$2:$F$1199,MATCH(145,Engine!$C$2:$C$1199,0)))</f>
        <v/>
      </c>
      <c r="G158" s="6" t="str">
        <f>IF(ISNA(MATCH(145,Engine!$C$2:$C$1199,0)),"",INDEX('Compliance Database'!$G$2:$G$1199,MATCH(145,Engine!$C$2:$C$1199,0)))</f>
        <v/>
      </c>
      <c r="H158" s="7" t="str">
        <f>IF(ISNA(MATCH(145,Engine!$C$2:$C$1199,0)),"",INDEX('Compliance Database'!$H$2:$H$1199,MATCH(145,Engine!$C$2:$C$1199,0)))</f>
        <v/>
      </c>
      <c r="I158" s="7" t="str">
        <f>IF(ISNA(MATCH(145,Engine!$C$2:$C$1199,0)),"",INDEX('Compliance Database'!$I$2:$I$1199,MATCH(145,Engine!$C$2:$C$1199,0)))</f>
        <v/>
      </c>
      <c r="J158" s="6" t="str">
        <f>IF(ISNA(MATCH(145,Engine!$C$2:$C$1199,0)),"",INDEX('Compliance Database'!$J$2:$J$1199,MATCH(145,Engine!$C$2:$C$1199,0)))</f>
        <v/>
      </c>
      <c r="K158" s="7" t="str">
        <f>IF(ISNA(MATCH(145,Engine!$C$2:$C$1199,0)),"",INDEX('Compliance Database'!$K$2:$K$1199,MATCH(145,Engine!$C$2:$C$1199,0)))</f>
        <v/>
      </c>
      <c r="L158" s="7" t="str">
        <f>IF(ISNA(MATCH(145,Engine!$C$2:$C$1199,0)),"",INDEX('Compliance Database'!$L$2:$L$1199,MATCH(145,Engine!$C$2:$C$1199,0)))</f>
        <v/>
      </c>
      <c r="M158" s="7" t="str">
        <f>IF(ISNA(MATCH(145,Engine!$C$2:$C$1199,0)),"",INDEX('Compliance Database'!$M$2:$M$1199,MATCH(145,Engine!$C$2:$C$1199,0)))</f>
        <v/>
      </c>
      <c r="N158" s="7" t="str">
        <f>IF(ISNA(MATCH(145,Engine!$C$2:$C$1199,0)),"",INDEX('Compliance Database'!$N$2:$N$1199,MATCH(145,Engine!$C$2:$C$1199,0)))</f>
        <v/>
      </c>
      <c r="O158" s="7" t="str">
        <f>IF(ISNA(MATCH(145,Engine!$C$2:$C$1199,0)),"",INDEX('Compliance Database'!$O$2:$O$1199,MATCH(145,Engine!$C$2:$C$1199,0)))</f>
        <v/>
      </c>
      <c r="P158" s="6" t="str">
        <f>IF(ISNA(MATCH(145,Engine!$C$2:$C$1199,0)),"",HYPERLINK("#Acts!A"&amp;INDEX('Compliance Database'!$P$2:$P$1199,MATCH(145,Engine!$C$2:$C$1199,0)),"Go to Act"))</f>
        <v/>
      </c>
    </row>
    <row r="159" spans="1:16" ht="172.95" customHeight="1" x14ac:dyDescent="0.3">
      <c r="A159" s="6" t="str">
        <f>IF(ISNA(MATCH(146,Engine!$C$2:$C$1199,0)),"",INDEX('Compliance Database'!$A$2:$A$1199,MATCH(146,Engine!$C$2:$C$1199,0)))</f>
        <v/>
      </c>
      <c r="B159" s="6" t="str">
        <f>IF(ISNA(MATCH(146,Engine!$C$2:$C$1199,0)),"",INDEX('Compliance Database'!$B$2:$B$1199,MATCH(146,Engine!$C$2:$C$1199,0)))</f>
        <v/>
      </c>
      <c r="C159" s="6" t="str">
        <f>IF(ISNA(MATCH(146,Engine!$C$2:$C$1199,0)),"",INDEX('Compliance Database'!$C$2:$C$1199,MATCH(146,Engine!$C$2:$C$1199,0)))</f>
        <v/>
      </c>
      <c r="D159" s="7" t="str">
        <f>IF(ISNA(MATCH(146,Engine!$C$2:$C$1199,0)),"",INDEX('Compliance Database'!$D$2:$D$1199,MATCH(146,Engine!$C$2:$C$1199,0)))</f>
        <v/>
      </c>
      <c r="E159" s="6" t="str">
        <f>IF(ISNA(MATCH(146,Engine!$C$2:$C$1199,0)),"",INDEX('Compliance Database'!$E$2:$E$1199,MATCH(146,Engine!$C$2:$C$1199,0)))</f>
        <v/>
      </c>
      <c r="F159" s="6" t="str">
        <f>IF(ISNA(MATCH(146,Engine!$C$2:$C$1199,0)),"",INDEX('Compliance Database'!$F$2:$F$1199,MATCH(146,Engine!$C$2:$C$1199,0)))</f>
        <v/>
      </c>
      <c r="G159" s="6" t="str">
        <f>IF(ISNA(MATCH(146,Engine!$C$2:$C$1199,0)),"",INDEX('Compliance Database'!$G$2:$G$1199,MATCH(146,Engine!$C$2:$C$1199,0)))</f>
        <v/>
      </c>
      <c r="H159" s="7" t="str">
        <f>IF(ISNA(MATCH(146,Engine!$C$2:$C$1199,0)),"",INDEX('Compliance Database'!$H$2:$H$1199,MATCH(146,Engine!$C$2:$C$1199,0)))</f>
        <v/>
      </c>
      <c r="I159" s="7" t="str">
        <f>IF(ISNA(MATCH(146,Engine!$C$2:$C$1199,0)),"",INDEX('Compliance Database'!$I$2:$I$1199,MATCH(146,Engine!$C$2:$C$1199,0)))</f>
        <v/>
      </c>
      <c r="J159" s="6" t="str">
        <f>IF(ISNA(MATCH(146,Engine!$C$2:$C$1199,0)),"",INDEX('Compliance Database'!$J$2:$J$1199,MATCH(146,Engine!$C$2:$C$1199,0)))</f>
        <v/>
      </c>
      <c r="K159" s="7" t="str">
        <f>IF(ISNA(MATCH(146,Engine!$C$2:$C$1199,0)),"",INDEX('Compliance Database'!$K$2:$K$1199,MATCH(146,Engine!$C$2:$C$1199,0)))</f>
        <v/>
      </c>
      <c r="L159" s="7" t="str">
        <f>IF(ISNA(MATCH(146,Engine!$C$2:$C$1199,0)),"",INDEX('Compliance Database'!$L$2:$L$1199,MATCH(146,Engine!$C$2:$C$1199,0)))</f>
        <v/>
      </c>
      <c r="M159" s="7" t="str">
        <f>IF(ISNA(MATCH(146,Engine!$C$2:$C$1199,0)),"",INDEX('Compliance Database'!$M$2:$M$1199,MATCH(146,Engine!$C$2:$C$1199,0)))</f>
        <v/>
      </c>
      <c r="N159" s="7" t="str">
        <f>IF(ISNA(MATCH(146,Engine!$C$2:$C$1199,0)),"",INDEX('Compliance Database'!$N$2:$N$1199,MATCH(146,Engine!$C$2:$C$1199,0)))</f>
        <v/>
      </c>
      <c r="O159" s="7" t="str">
        <f>IF(ISNA(MATCH(146,Engine!$C$2:$C$1199,0)),"",INDEX('Compliance Database'!$O$2:$O$1199,MATCH(146,Engine!$C$2:$C$1199,0)))</f>
        <v/>
      </c>
      <c r="P159" s="6" t="str">
        <f>IF(ISNA(MATCH(146,Engine!$C$2:$C$1199,0)),"",HYPERLINK("#Acts!A"&amp;INDEX('Compliance Database'!$P$2:$P$1199,MATCH(146,Engine!$C$2:$C$1199,0)),"Go to Act"))</f>
        <v/>
      </c>
    </row>
    <row r="160" spans="1:16" ht="172.95" customHeight="1" x14ac:dyDescent="0.3">
      <c r="A160" s="6" t="str">
        <f>IF(ISNA(MATCH(147,Engine!$C$2:$C$1199,0)),"",INDEX('Compliance Database'!$A$2:$A$1199,MATCH(147,Engine!$C$2:$C$1199,0)))</f>
        <v/>
      </c>
      <c r="B160" s="6" t="str">
        <f>IF(ISNA(MATCH(147,Engine!$C$2:$C$1199,0)),"",INDEX('Compliance Database'!$B$2:$B$1199,MATCH(147,Engine!$C$2:$C$1199,0)))</f>
        <v/>
      </c>
      <c r="C160" s="6" t="str">
        <f>IF(ISNA(MATCH(147,Engine!$C$2:$C$1199,0)),"",INDEX('Compliance Database'!$C$2:$C$1199,MATCH(147,Engine!$C$2:$C$1199,0)))</f>
        <v/>
      </c>
      <c r="D160" s="7" t="str">
        <f>IF(ISNA(MATCH(147,Engine!$C$2:$C$1199,0)),"",INDEX('Compliance Database'!$D$2:$D$1199,MATCH(147,Engine!$C$2:$C$1199,0)))</f>
        <v/>
      </c>
      <c r="E160" s="6" t="str">
        <f>IF(ISNA(MATCH(147,Engine!$C$2:$C$1199,0)),"",INDEX('Compliance Database'!$E$2:$E$1199,MATCH(147,Engine!$C$2:$C$1199,0)))</f>
        <v/>
      </c>
      <c r="F160" s="6" t="str">
        <f>IF(ISNA(MATCH(147,Engine!$C$2:$C$1199,0)),"",INDEX('Compliance Database'!$F$2:$F$1199,MATCH(147,Engine!$C$2:$C$1199,0)))</f>
        <v/>
      </c>
      <c r="G160" s="6" t="str">
        <f>IF(ISNA(MATCH(147,Engine!$C$2:$C$1199,0)),"",INDEX('Compliance Database'!$G$2:$G$1199,MATCH(147,Engine!$C$2:$C$1199,0)))</f>
        <v/>
      </c>
      <c r="H160" s="7" t="str">
        <f>IF(ISNA(MATCH(147,Engine!$C$2:$C$1199,0)),"",INDEX('Compliance Database'!$H$2:$H$1199,MATCH(147,Engine!$C$2:$C$1199,0)))</f>
        <v/>
      </c>
      <c r="I160" s="7" t="str">
        <f>IF(ISNA(MATCH(147,Engine!$C$2:$C$1199,0)),"",INDEX('Compliance Database'!$I$2:$I$1199,MATCH(147,Engine!$C$2:$C$1199,0)))</f>
        <v/>
      </c>
      <c r="J160" s="6" t="str">
        <f>IF(ISNA(MATCH(147,Engine!$C$2:$C$1199,0)),"",INDEX('Compliance Database'!$J$2:$J$1199,MATCH(147,Engine!$C$2:$C$1199,0)))</f>
        <v/>
      </c>
      <c r="K160" s="7" t="str">
        <f>IF(ISNA(MATCH(147,Engine!$C$2:$C$1199,0)),"",INDEX('Compliance Database'!$K$2:$K$1199,MATCH(147,Engine!$C$2:$C$1199,0)))</f>
        <v/>
      </c>
      <c r="L160" s="7" t="str">
        <f>IF(ISNA(MATCH(147,Engine!$C$2:$C$1199,0)),"",INDEX('Compliance Database'!$L$2:$L$1199,MATCH(147,Engine!$C$2:$C$1199,0)))</f>
        <v/>
      </c>
      <c r="M160" s="7" t="str">
        <f>IF(ISNA(MATCH(147,Engine!$C$2:$C$1199,0)),"",INDEX('Compliance Database'!$M$2:$M$1199,MATCH(147,Engine!$C$2:$C$1199,0)))</f>
        <v/>
      </c>
      <c r="N160" s="7" t="str">
        <f>IF(ISNA(MATCH(147,Engine!$C$2:$C$1199,0)),"",INDEX('Compliance Database'!$N$2:$N$1199,MATCH(147,Engine!$C$2:$C$1199,0)))</f>
        <v/>
      </c>
      <c r="O160" s="7" t="str">
        <f>IF(ISNA(MATCH(147,Engine!$C$2:$C$1199,0)),"",INDEX('Compliance Database'!$O$2:$O$1199,MATCH(147,Engine!$C$2:$C$1199,0)))</f>
        <v/>
      </c>
      <c r="P160" s="6" t="str">
        <f>IF(ISNA(MATCH(147,Engine!$C$2:$C$1199,0)),"",HYPERLINK("#Acts!A"&amp;INDEX('Compliance Database'!$P$2:$P$1199,MATCH(147,Engine!$C$2:$C$1199,0)),"Go to Act"))</f>
        <v/>
      </c>
    </row>
    <row r="161" spans="1:16" ht="172.95" customHeight="1" x14ac:dyDescent="0.3">
      <c r="A161" s="6" t="str">
        <f>IF(ISNA(MATCH(148,Engine!$C$2:$C$1199,0)),"",INDEX('Compliance Database'!$A$2:$A$1199,MATCH(148,Engine!$C$2:$C$1199,0)))</f>
        <v/>
      </c>
      <c r="B161" s="6" t="str">
        <f>IF(ISNA(MATCH(148,Engine!$C$2:$C$1199,0)),"",INDEX('Compliance Database'!$B$2:$B$1199,MATCH(148,Engine!$C$2:$C$1199,0)))</f>
        <v/>
      </c>
      <c r="C161" s="6" t="str">
        <f>IF(ISNA(MATCH(148,Engine!$C$2:$C$1199,0)),"",INDEX('Compliance Database'!$C$2:$C$1199,MATCH(148,Engine!$C$2:$C$1199,0)))</f>
        <v/>
      </c>
      <c r="D161" s="7" t="str">
        <f>IF(ISNA(MATCH(148,Engine!$C$2:$C$1199,0)),"",INDEX('Compliance Database'!$D$2:$D$1199,MATCH(148,Engine!$C$2:$C$1199,0)))</f>
        <v/>
      </c>
      <c r="E161" s="6" t="str">
        <f>IF(ISNA(MATCH(148,Engine!$C$2:$C$1199,0)),"",INDEX('Compliance Database'!$E$2:$E$1199,MATCH(148,Engine!$C$2:$C$1199,0)))</f>
        <v/>
      </c>
      <c r="F161" s="6" t="str">
        <f>IF(ISNA(MATCH(148,Engine!$C$2:$C$1199,0)),"",INDEX('Compliance Database'!$F$2:$F$1199,MATCH(148,Engine!$C$2:$C$1199,0)))</f>
        <v/>
      </c>
      <c r="G161" s="6" t="str">
        <f>IF(ISNA(MATCH(148,Engine!$C$2:$C$1199,0)),"",INDEX('Compliance Database'!$G$2:$G$1199,MATCH(148,Engine!$C$2:$C$1199,0)))</f>
        <v/>
      </c>
      <c r="H161" s="7" t="str">
        <f>IF(ISNA(MATCH(148,Engine!$C$2:$C$1199,0)),"",INDEX('Compliance Database'!$H$2:$H$1199,MATCH(148,Engine!$C$2:$C$1199,0)))</f>
        <v/>
      </c>
      <c r="I161" s="7" t="str">
        <f>IF(ISNA(MATCH(148,Engine!$C$2:$C$1199,0)),"",INDEX('Compliance Database'!$I$2:$I$1199,MATCH(148,Engine!$C$2:$C$1199,0)))</f>
        <v/>
      </c>
      <c r="J161" s="6" t="str">
        <f>IF(ISNA(MATCH(148,Engine!$C$2:$C$1199,0)),"",INDEX('Compliance Database'!$J$2:$J$1199,MATCH(148,Engine!$C$2:$C$1199,0)))</f>
        <v/>
      </c>
      <c r="K161" s="7" t="str">
        <f>IF(ISNA(MATCH(148,Engine!$C$2:$C$1199,0)),"",INDEX('Compliance Database'!$K$2:$K$1199,MATCH(148,Engine!$C$2:$C$1199,0)))</f>
        <v/>
      </c>
      <c r="L161" s="7" t="str">
        <f>IF(ISNA(MATCH(148,Engine!$C$2:$C$1199,0)),"",INDEX('Compliance Database'!$L$2:$L$1199,MATCH(148,Engine!$C$2:$C$1199,0)))</f>
        <v/>
      </c>
      <c r="M161" s="7" t="str">
        <f>IF(ISNA(MATCH(148,Engine!$C$2:$C$1199,0)),"",INDEX('Compliance Database'!$M$2:$M$1199,MATCH(148,Engine!$C$2:$C$1199,0)))</f>
        <v/>
      </c>
      <c r="N161" s="7" t="str">
        <f>IF(ISNA(MATCH(148,Engine!$C$2:$C$1199,0)),"",INDEX('Compliance Database'!$N$2:$N$1199,MATCH(148,Engine!$C$2:$C$1199,0)))</f>
        <v/>
      </c>
      <c r="O161" s="7" t="str">
        <f>IF(ISNA(MATCH(148,Engine!$C$2:$C$1199,0)),"",INDEX('Compliance Database'!$O$2:$O$1199,MATCH(148,Engine!$C$2:$C$1199,0)))</f>
        <v/>
      </c>
      <c r="P161" s="6" t="str">
        <f>IF(ISNA(MATCH(148,Engine!$C$2:$C$1199,0)),"",HYPERLINK("#Acts!A"&amp;INDEX('Compliance Database'!$P$2:$P$1199,MATCH(148,Engine!$C$2:$C$1199,0)),"Go to Act"))</f>
        <v/>
      </c>
    </row>
    <row r="162" spans="1:16" ht="172.95" customHeight="1" x14ac:dyDescent="0.3">
      <c r="A162" s="6" t="str">
        <f>IF(ISNA(MATCH(149,Engine!$C$2:$C$1199,0)),"",INDEX('Compliance Database'!$A$2:$A$1199,MATCH(149,Engine!$C$2:$C$1199,0)))</f>
        <v/>
      </c>
      <c r="B162" s="6" t="str">
        <f>IF(ISNA(MATCH(149,Engine!$C$2:$C$1199,0)),"",INDEX('Compliance Database'!$B$2:$B$1199,MATCH(149,Engine!$C$2:$C$1199,0)))</f>
        <v/>
      </c>
      <c r="C162" s="6" t="str">
        <f>IF(ISNA(MATCH(149,Engine!$C$2:$C$1199,0)),"",INDEX('Compliance Database'!$C$2:$C$1199,MATCH(149,Engine!$C$2:$C$1199,0)))</f>
        <v/>
      </c>
      <c r="D162" s="7" t="str">
        <f>IF(ISNA(MATCH(149,Engine!$C$2:$C$1199,0)),"",INDEX('Compliance Database'!$D$2:$D$1199,MATCH(149,Engine!$C$2:$C$1199,0)))</f>
        <v/>
      </c>
      <c r="E162" s="6" t="str">
        <f>IF(ISNA(MATCH(149,Engine!$C$2:$C$1199,0)),"",INDEX('Compliance Database'!$E$2:$E$1199,MATCH(149,Engine!$C$2:$C$1199,0)))</f>
        <v/>
      </c>
      <c r="F162" s="6" t="str">
        <f>IF(ISNA(MATCH(149,Engine!$C$2:$C$1199,0)),"",INDEX('Compliance Database'!$F$2:$F$1199,MATCH(149,Engine!$C$2:$C$1199,0)))</f>
        <v/>
      </c>
      <c r="G162" s="6" t="str">
        <f>IF(ISNA(MATCH(149,Engine!$C$2:$C$1199,0)),"",INDEX('Compliance Database'!$G$2:$G$1199,MATCH(149,Engine!$C$2:$C$1199,0)))</f>
        <v/>
      </c>
      <c r="H162" s="7" t="str">
        <f>IF(ISNA(MATCH(149,Engine!$C$2:$C$1199,0)),"",INDEX('Compliance Database'!$H$2:$H$1199,MATCH(149,Engine!$C$2:$C$1199,0)))</f>
        <v/>
      </c>
      <c r="I162" s="7" t="str">
        <f>IF(ISNA(MATCH(149,Engine!$C$2:$C$1199,0)),"",INDEX('Compliance Database'!$I$2:$I$1199,MATCH(149,Engine!$C$2:$C$1199,0)))</f>
        <v/>
      </c>
      <c r="J162" s="6" t="str">
        <f>IF(ISNA(MATCH(149,Engine!$C$2:$C$1199,0)),"",INDEX('Compliance Database'!$J$2:$J$1199,MATCH(149,Engine!$C$2:$C$1199,0)))</f>
        <v/>
      </c>
      <c r="K162" s="7" t="str">
        <f>IF(ISNA(MATCH(149,Engine!$C$2:$C$1199,0)),"",INDEX('Compliance Database'!$K$2:$K$1199,MATCH(149,Engine!$C$2:$C$1199,0)))</f>
        <v/>
      </c>
      <c r="L162" s="7" t="str">
        <f>IF(ISNA(MATCH(149,Engine!$C$2:$C$1199,0)),"",INDEX('Compliance Database'!$L$2:$L$1199,MATCH(149,Engine!$C$2:$C$1199,0)))</f>
        <v/>
      </c>
      <c r="M162" s="7" t="str">
        <f>IF(ISNA(MATCH(149,Engine!$C$2:$C$1199,0)),"",INDEX('Compliance Database'!$M$2:$M$1199,MATCH(149,Engine!$C$2:$C$1199,0)))</f>
        <v/>
      </c>
      <c r="N162" s="7" t="str">
        <f>IF(ISNA(MATCH(149,Engine!$C$2:$C$1199,0)),"",INDEX('Compliance Database'!$N$2:$N$1199,MATCH(149,Engine!$C$2:$C$1199,0)))</f>
        <v/>
      </c>
      <c r="O162" s="7" t="str">
        <f>IF(ISNA(MATCH(149,Engine!$C$2:$C$1199,0)),"",INDEX('Compliance Database'!$O$2:$O$1199,MATCH(149,Engine!$C$2:$C$1199,0)))</f>
        <v/>
      </c>
      <c r="P162" s="6" t="str">
        <f>IF(ISNA(MATCH(149,Engine!$C$2:$C$1199,0)),"",HYPERLINK("#Acts!A"&amp;INDEX('Compliance Database'!$P$2:$P$1199,MATCH(149,Engine!$C$2:$C$1199,0)),"Go to Act"))</f>
        <v/>
      </c>
    </row>
    <row r="163" spans="1:16" ht="172.95" customHeight="1" x14ac:dyDescent="0.3">
      <c r="A163" s="6" t="str">
        <f>IF(ISNA(MATCH(150,Engine!$C$2:$C$1199,0)),"",INDEX('Compliance Database'!$A$2:$A$1199,MATCH(150,Engine!$C$2:$C$1199,0)))</f>
        <v/>
      </c>
      <c r="B163" s="6" t="str">
        <f>IF(ISNA(MATCH(150,Engine!$C$2:$C$1199,0)),"",INDEX('Compliance Database'!$B$2:$B$1199,MATCH(150,Engine!$C$2:$C$1199,0)))</f>
        <v/>
      </c>
      <c r="C163" s="6" t="str">
        <f>IF(ISNA(MATCH(150,Engine!$C$2:$C$1199,0)),"",INDEX('Compliance Database'!$C$2:$C$1199,MATCH(150,Engine!$C$2:$C$1199,0)))</f>
        <v/>
      </c>
      <c r="D163" s="7" t="str">
        <f>IF(ISNA(MATCH(150,Engine!$C$2:$C$1199,0)),"",INDEX('Compliance Database'!$D$2:$D$1199,MATCH(150,Engine!$C$2:$C$1199,0)))</f>
        <v/>
      </c>
      <c r="E163" s="6" t="str">
        <f>IF(ISNA(MATCH(150,Engine!$C$2:$C$1199,0)),"",INDEX('Compliance Database'!$E$2:$E$1199,MATCH(150,Engine!$C$2:$C$1199,0)))</f>
        <v/>
      </c>
      <c r="F163" s="6" t="str">
        <f>IF(ISNA(MATCH(150,Engine!$C$2:$C$1199,0)),"",INDEX('Compliance Database'!$F$2:$F$1199,MATCH(150,Engine!$C$2:$C$1199,0)))</f>
        <v/>
      </c>
      <c r="G163" s="6" t="str">
        <f>IF(ISNA(MATCH(150,Engine!$C$2:$C$1199,0)),"",INDEX('Compliance Database'!$G$2:$G$1199,MATCH(150,Engine!$C$2:$C$1199,0)))</f>
        <v/>
      </c>
      <c r="H163" s="7" t="str">
        <f>IF(ISNA(MATCH(150,Engine!$C$2:$C$1199,0)),"",INDEX('Compliance Database'!$H$2:$H$1199,MATCH(150,Engine!$C$2:$C$1199,0)))</f>
        <v/>
      </c>
      <c r="I163" s="7" t="str">
        <f>IF(ISNA(MATCH(150,Engine!$C$2:$C$1199,0)),"",INDEX('Compliance Database'!$I$2:$I$1199,MATCH(150,Engine!$C$2:$C$1199,0)))</f>
        <v/>
      </c>
      <c r="J163" s="6" t="str">
        <f>IF(ISNA(MATCH(150,Engine!$C$2:$C$1199,0)),"",INDEX('Compliance Database'!$J$2:$J$1199,MATCH(150,Engine!$C$2:$C$1199,0)))</f>
        <v/>
      </c>
      <c r="K163" s="7" t="str">
        <f>IF(ISNA(MATCH(150,Engine!$C$2:$C$1199,0)),"",INDEX('Compliance Database'!$K$2:$K$1199,MATCH(150,Engine!$C$2:$C$1199,0)))</f>
        <v/>
      </c>
      <c r="L163" s="7" t="str">
        <f>IF(ISNA(MATCH(150,Engine!$C$2:$C$1199,0)),"",INDEX('Compliance Database'!$L$2:$L$1199,MATCH(150,Engine!$C$2:$C$1199,0)))</f>
        <v/>
      </c>
      <c r="M163" s="7" t="str">
        <f>IF(ISNA(MATCH(150,Engine!$C$2:$C$1199,0)),"",INDEX('Compliance Database'!$M$2:$M$1199,MATCH(150,Engine!$C$2:$C$1199,0)))</f>
        <v/>
      </c>
      <c r="N163" s="7" t="str">
        <f>IF(ISNA(MATCH(150,Engine!$C$2:$C$1199,0)),"",INDEX('Compliance Database'!$N$2:$N$1199,MATCH(150,Engine!$C$2:$C$1199,0)))</f>
        <v/>
      </c>
      <c r="O163" s="7" t="str">
        <f>IF(ISNA(MATCH(150,Engine!$C$2:$C$1199,0)),"",INDEX('Compliance Database'!$O$2:$O$1199,MATCH(150,Engine!$C$2:$C$1199,0)))</f>
        <v/>
      </c>
      <c r="P163" s="6" t="str">
        <f>IF(ISNA(MATCH(150,Engine!$C$2:$C$1199,0)),"",HYPERLINK("#Acts!A"&amp;INDEX('Compliance Database'!$P$2:$P$1199,MATCH(150,Engine!$C$2:$C$1199,0)),"Go to Act"))</f>
        <v/>
      </c>
    </row>
    <row r="164" spans="1:16" ht="172.95" customHeight="1" x14ac:dyDescent="0.3">
      <c r="A164" s="6" t="str">
        <f>IF(ISNA(MATCH(151,Engine!$C$2:$C$1199,0)),"",INDEX('Compliance Database'!$A$2:$A$1199,MATCH(151,Engine!$C$2:$C$1199,0)))</f>
        <v/>
      </c>
      <c r="B164" s="6" t="str">
        <f>IF(ISNA(MATCH(151,Engine!$C$2:$C$1199,0)),"",INDEX('Compliance Database'!$B$2:$B$1199,MATCH(151,Engine!$C$2:$C$1199,0)))</f>
        <v/>
      </c>
      <c r="C164" s="6" t="str">
        <f>IF(ISNA(MATCH(151,Engine!$C$2:$C$1199,0)),"",INDEX('Compliance Database'!$C$2:$C$1199,MATCH(151,Engine!$C$2:$C$1199,0)))</f>
        <v/>
      </c>
      <c r="D164" s="7" t="str">
        <f>IF(ISNA(MATCH(151,Engine!$C$2:$C$1199,0)),"",INDEX('Compliance Database'!$D$2:$D$1199,MATCH(151,Engine!$C$2:$C$1199,0)))</f>
        <v/>
      </c>
      <c r="E164" s="6" t="str">
        <f>IF(ISNA(MATCH(151,Engine!$C$2:$C$1199,0)),"",INDEX('Compliance Database'!$E$2:$E$1199,MATCH(151,Engine!$C$2:$C$1199,0)))</f>
        <v/>
      </c>
      <c r="F164" s="6" t="str">
        <f>IF(ISNA(MATCH(151,Engine!$C$2:$C$1199,0)),"",INDEX('Compliance Database'!$F$2:$F$1199,MATCH(151,Engine!$C$2:$C$1199,0)))</f>
        <v/>
      </c>
      <c r="G164" s="6" t="str">
        <f>IF(ISNA(MATCH(151,Engine!$C$2:$C$1199,0)),"",INDEX('Compliance Database'!$G$2:$G$1199,MATCH(151,Engine!$C$2:$C$1199,0)))</f>
        <v/>
      </c>
      <c r="H164" s="7" t="str">
        <f>IF(ISNA(MATCH(151,Engine!$C$2:$C$1199,0)),"",INDEX('Compliance Database'!$H$2:$H$1199,MATCH(151,Engine!$C$2:$C$1199,0)))</f>
        <v/>
      </c>
      <c r="I164" s="7" t="str">
        <f>IF(ISNA(MATCH(151,Engine!$C$2:$C$1199,0)),"",INDEX('Compliance Database'!$I$2:$I$1199,MATCH(151,Engine!$C$2:$C$1199,0)))</f>
        <v/>
      </c>
      <c r="J164" s="6" t="str">
        <f>IF(ISNA(MATCH(151,Engine!$C$2:$C$1199,0)),"",INDEX('Compliance Database'!$J$2:$J$1199,MATCH(151,Engine!$C$2:$C$1199,0)))</f>
        <v/>
      </c>
      <c r="K164" s="7" t="str">
        <f>IF(ISNA(MATCH(151,Engine!$C$2:$C$1199,0)),"",INDEX('Compliance Database'!$K$2:$K$1199,MATCH(151,Engine!$C$2:$C$1199,0)))</f>
        <v/>
      </c>
      <c r="L164" s="7" t="str">
        <f>IF(ISNA(MATCH(151,Engine!$C$2:$C$1199,0)),"",INDEX('Compliance Database'!$L$2:$L$1199,MATCH(151,Engine!$C$2:$C$1199,0)))</f>
        <v/>
      </c>
      <c r="M164" s="7" t="str">
        <f>IF(ISNA(MATCH(151,Engine!$C$2:$C$1199,0)),"",INDEX('Compliance Database'!$M$2:$M$1199,MATCH(151,Engine!$C$2:$C$1199,0)))</f>
        <v/>
      </c>
      <c r="N164" s="7" t="str">
        <f>IF(ISNA(MATCH(151,Engine!$C$2:$C$1199,0)),"",INDEX('Compliance Database'!$N$2:$N$1199,MATCH(151,Engine!$C$2:$C$1199,0)))</f>
        <v/>
      </c>
      <c r="O164" s="7" t="str">
        <f>IF(ISNA(MATCH(151,Engine!$C$2:$C$1199,0)),"",INDEX('Compliance Database'!$O$2:$O$1199,MATCH(151,Engine!$C$2:$C$1199,0)))</f>
        <v/>
      </c>
      <c r="P164" s="6" t="str">
        <f>IF(ISNA(MATCH(151,Engine!$C$2:$C$1199,0)),"",HYPERLINK("#Acts!A"&amp;INDEX('Compliance Database'!$P$2:$P$1199,MATCH(151,Engine!$C$2:$C$1199,0)),"Go to Act"))</f>
        <v/>
      </c>
    </row>
    <row r="165" spans="1:16" ht="172.95" customHeight="1" x14ac:dyDescent="0.3">
      <c r="A165" s="6" t="str">
        <f>IF(ISNA(MATCH(152,Engine!$C$2:$C$1199,0)),"",INDEX('Compliance Database'!$A$2:$A$1199,MATCH(152,Engine!$C$2:$C$1199,0)))</f>
        <v/>
      </c>
      <c r="B165" s="6" t="str">
        <f>IF(ISNA(MATCH(152,Engine!$C$2:$C$1199,0)),"",INDEX('Compliance Database'!$B$2:$B$1199,MATCH(152,Engine!$C$2:$C$1199,0)))</f>
        <v/>
      </c>
      <c r="C165" s="6" t="str">
        <f>IF(ISNA(MATCH(152,Engine!$C$2:$C$1199,0)),"",INDEX('Compliance Database'!$C$2:$C$1199,MATCH(152,Engine!$C$2:$C$1199,0)))</f>
        <v/>
      </c>
      <c r="D165" s="7" t="str">
        <f>IF(ISNA(MATCH(152,Engine!$C$2:$C$1199,0)),"",INDEX('Compliance Database'!$D$2:$D$1199,MATCH(152,Engine!$C$2:$C$1199,0)))</f>
        <v/>
      </c>
      <c r="E165" s="6" t="str">
        <f>IF(ISNA(MATCH(152,Engine!$C$2:$C$1199,0)),"",INDEX('Compliance Database'!$E$2:$E$1199,MATCH(152,Engine!$C$2:$C$1199,0)))</f>
        <v/>
      </c>
      <c r="F165" s="6" t="str">
        <f>IF(ISNA(MATCH(152,Engine!$C$2:$C$1199,0)),"",INDEX('Compliance Database'!$F$2:$F$1199,MATCH(152,Engine!$C$2:$C$1199,0)))</f>
        <v/>
      </c>
      <c r="G165" s="6" t="str">
        <f>IF(ISNA(MATCH(152,Engine!$C$2:$C$1199,0)),"",INDEX('Compliance Database'!$G$2:$G$1199,MATCH(152,Engine!$C$2:$C$1199,0)))</f>
        <v/>
      </c>
      <c r="H165" s="7" t="str">
        <f>IF(ISNA(MATCH(152,Engine!$C$2:$C$1199,0)),"",INDEX('Compliance Database'!$H$2:$H$1199,MATCH(152,Engine!$C$2:$C$1199,0)))</f>
        <v/>
      </c>
      <c r="I165" s="7" t="str">
        <f>IF(ISNA(MATCH(152,Engine!$C$2:$C$1199,0)),"",INDEX('Compliance Database'!$I$2:$I$1199,MATCH(152,Engine!$C$2:$C$1199,0)))</f>
        <v/>
      </c>
      <c r="J165" s="6" t="str">
        <f>IF(ISNA(MATCH(152,Engine!$C$2:$C$1199,0)),"",INDEX('Compliance Database'!$J$2:$J$1199,MATCH(152,Engine!$C$2:$C$1199,0)))</f>
        <v/>
      </c>
      <c r="K165" s="7" t="str">
        <f>IF(ISNA(MATCH(152,Engine!$C$2:$C$1199,0)),"",INDEX('Compliance Database'!$K$2:$K$1199,MATCH(152,Engine!$C$2:$C$1199,0)))</f>
        <v/>
      </c>
      <c r="L165" s="7" t="str">
        <f>IF(ISNA(MATCH(152,Engine!$C$2:$C$1199,0)),"",INDEX('Compliance Database'!$L$2:$L$1199,MATCH(152,Engine!$C$2:$C$1199,0)))</f>
        <v/>
      </c>
      <c r="M165" s="7" t="str">
        <f>IF(ISNA(MATCH(152,Engine!$C$2:$C$1199,0)),"",INDEX('Compliance Database'!$M$2:$M$1199,MATCH(152,Engine!$C$2:$C$1199,0)))</f>
        <v/>
      </c>
      <c r="N165" s="7" t="str">
        <f>IF(ISNA(MATCH(152,Engine!$C$2:$C$1199,0)),"",INDEX('Compliance Database'!$N$2:$N$1199,MATCH(152,Engine!$C$2:$C$1199,0)))</f>
        <v/>
      </c>
      <c r="O165" s="7" t="str">
        <f>IF(ISNA(MATCH(152,Engine!$C$2:$C$1199,0)),"",INDEX('Compliance Database'!$O$2:$O$1199,MATCH(152,Engine!$C$2:$C$1199,0)))</f>
        <v/>
      </c>
      <c r="P165" s="6" t="str">
        <f>IF(ISNA(MATCH(152,Engine!$C$2:$C$1199,0)),"",HYPERLINK("#Acts!A"&amp;INDEX('Compliance Database'!$P$2:$P$1199,MATCH(152,Engine!$C$2:$C$1199,0)),"Go to Act"))</f>
        <v/>
      </c>
    </row>
    <row r="166" spans="1:16" ht="172.95" customHeight="1" x14ac:dyDescent="0.3">
      <c r="A166" s="6" t="str">
        <f>IF(ISNA(MATCH(153,Engine!$C$2:$C$1199,0)),"",INDEX('Compliance Database'!$A$2:$A$1199,MATCH(153,Engine!$C$2:$C$1199,0)))</f>
        <v/>
      </c>
      <c r="B166" s="6" t="str">
        <f>IF(ISNA(MATCH(153,Engine!$C$2:$C$1199,0)),"",INDEX('Compliance Database'!$B$2:$B$1199,MATCH(153,Engine!$C$2:$C$1199,0)))</f>
        <v/>
      </c>
      <c r="C166" s="6" t="str">
        <f>IF(ISNA(MATCH(153,Engine!$C$2:$C$1199,0)),"",INDEX('Compliance Database'!$C$2:$C$1199,MATCH(153,Engine!$C$2:$C$1199,0)))</f>
        <v/>
      </c>
      <c r="D166" s="7" t="str">
        <f>IF(ISNA(MATCH(153,Engine!$C$2:$C$1199,0)),"",INDEX('Compliance Database'!$D$2:$D$1199,MATCH(153,Engine!$C$2:$C$1199,0)))</f>
        <v/>
      </c>
      <c r="E166" s="6" t="str">
        <f>IF(ISNA(MATCH(153,Engine!$C$2:$C$1199,0)),"",INDEX('Compliance Database'!$E$2:$E$1199,MATCH(153,Engine!$C$2:$C$1199,0)))</f>
        <v/>
      </c>
      <c r="F166" s="6" t="str">
        <f>IF(ISNA(MATCH(153,Engine!$C$2:$C$1199,0)),"",INDEX('Compliance Database'!$F$2:$F$1199,MATCH(153,Engine!$C$2:$C$1199,0)))</f>
        <v/>
      </c>
      <c r="G166" s="6" t="str">
        <f>IF(ISNA(MATCH(153,Engine!$C$2:$C$1199,0)),"",INDEX('Compliance Database'!$G$2:$G$1199,MATCH(153,Engine!$C$2:$C$1199,0)))</f>
        <v/>
      </c>
      <c r="H166" s="7" t="str">
        <f>IF(ISNA(MATCH(153,Engine!$C$2:$C$1199,0)),"",INDEX('Compliance Database'!$H$2:$H$1199,MATCH(153,Engine!$C$2:$C$1199,0)))</f>
        <v/>
      </c>
      <c r="I166" s="7" t="str">
        <f>IF(ISNA(MATCH(153,Engine!$C$2:$C$1199,0)),"",INDEX('Compliance Database'!$I$2:$I$1199,MATCH(153,Engine!$C$2:$C$1199,0)))</f>
        <v/>
      </c>
      <c r="J166" s="6" t="str">
        <f>IF(ISNA(MATCH(153,Engine!$C$2:$C$1199,0)),"",INDEX('Compliance Database'!$J$2:$J$1199,MATCH(153,Engine!$C$2:$C$1199,0)))</f>
        <v/>
      </c>
      <c r="K166" s="7" t="str">
        <f>IF(ISNA(MATCH(153,Engine!$C$2:$C$1199,0)),"",INDEX('Compliance Database'!$K$2:$K$1199,MATCH(153,Engine!$C$2:$C$1199,0)))</f>
        <v/>
      </c>
      <c r="L166" s="7" t="str">
        <f>IF(ISNA(MATCH(153,Engine!$C$2:$C$1199,0)),"",INDEX('Compliance Database'!$L$2:$L$1199,MATCH(153,Engine!$C$2:$C$1199,0)))</f>
        <v/>
      </c>
      <c r="M166" s="7" t="str">
        <f>IF(ISNA(MATCH(153,Engine!$C$2:$C$1199,0)),"",INDEX('Compliance Database'!$M$2:$M$1199,MATCH(153,Engine!$C$2:$C$1199,0)))</f>
        <v/>
      </c>
      <c r="N166" s="7" t="str">
        <f>IF(ISNA(MATCH(153,Engine!$C$2:$C$1199,0)),"",INDEX('Compliance Database'!$N$2:$N$1199,MATCH(153,Engine!$C$2:$C$1199,0)))</f>
        <v/>
      </c>
      <c r="O166" s="7" t="str">
        <f>IF(ISNA(MATCH(153,Engine!$C$2:$C$1199,0)),"",INDEX('Compliance Database'!$O$2:$O$1199,MATCH(153,Engine!$C$2:$C$1199,0)))</f>
        <v/>
      </c>
      <c r="P166" s="6" t="str">
        <f>IF(ISNA(MATCH(153,Engine!$C$2:$C$1199,0)),"",HYPERLINK("#Acts!A"&amp;INDEX('Compliance Database'!$P$2:$P$1199,MATCH(153,Engine!$C$2:$C$1199,0)),"Go to Act"))</f>
        <v/>
      </c>
    </row>
    <row r="167" spans="1:16" ht="172.95" customHeight="1" x14ac:dyDescent="0.3">
      <c r="A167" s="6" t="str">
        <f>IF(ISNA(MATCH(154,Engine!$C$2:$C$1199,0)),"",INDEX('Compliance Database'!$A$2:$A$1199,MATCH(154,Engine!$C$2:$C$1199,0)))</f>
        <v/>
      </c>
      <c r="B167" s="6" t="str">
        <f>IF(ISNA(MATCH(154,Engine!$C$2:$C$1199,0)),"",INDEX('Compliance Database'!$B$2:$B$1199,MATCH(154,Engine!$C$2:$C$1199,0)))</f>
        <v/>
      </c>
      <c r="C167" s="6" t="str">
        <f>IF(ISNA(MATCH(154,Engine!$C$2:$C$1199,0)),"",INDEX('Compliance Database'!$C$2:$C$1199,MATCH(154,Engine!$C$2:$C$1199,0)))</f>
        <v/>
      </c>
      <c r="D167" s="7" t="str">
        <f>IF(ISNA(MATCH(154,Engine!$C$2:$C$1199,0)),"",INDEX('Compliance Database'!$D$2:$D$1199,MATCH(154,Engine!$C$2:$C$1199,0)))</f>
        <v/>
      </c>
      <c r="E167" s="6" t="str">
        <f>IF(ISNA(MATCH(154,Engine!$C$2:$C$1199,0)),"",INDEX('Compliance Database'!$E$2:$E$1199,MATCH(154,Engine!$C$2:$C$1199,0)))</f>
        <v/>
      </c>
      <c r="F167" s="6" t="str">
        <f>IF(ISNA(MATCH(154,Engine!$C$2:$C$1199,0)),"",INDEX('Compliance Database'!$F$2:$F$1199,MATCH(154,Engine!$C$2:$C$1199,0)))</f>
        <v/>
      </c>
      <c r="G167" s="6" t="str">
        <f>IF(ISNA(MATCH(154,Engine!$C$2:$C$1199,0)),"",INDEX('Compliance Database'!$G$2:$G$1199,MATCH(154,Engine!$C$2:$C$1199,0)))</f>
        <v/>
      </c>
      <c r="H167" s="7" t="str">
        <f>IF(ISNA(MATCH(154,Engine!$C$2:$C$1199,0)),"",INDEX('Compliance Database'!$H$2:$H$1199,MATCH(154,Engine!$C$2:$C$1199,0)))</f>
        <v/>
      </c>
      <c r="I167" s="7" t="str">
        <f>IF(ISNA(MATCH(154,Engine!$C$2:$C$1199,0)),"",INDEX('Compliance Database'!$I$2:$I$1199,MATCH(154,Engine!$C$2:$C$1199,0)))</f>
        <v/>
      </c>
      <c r="J167" s="6" t="str">
        <f>IF(ISNA(MATCH(154,Engine!$C$2:$C$1199,0)),"",INDEX('Compliance Database'!$J$2:$J$1199,MATCH(154,Engine!$C$2:$C$1199,0)))</f>
        <v/>
      </c>
      <c r="K167" s="7" t="str">
        <f>IF(ISNA(MATCH(154,Engine!$C$2:$C$1199,0)),"",INDEX('Compliance Database'!$K$2:$K$1199,MATCH(154,Engine!$C$2:$C$1199,0)))</f>
        <v/>
      </c>
      <c r="L167" s="7" t="str">
        <f>IF(ISNA(MATCH(154,Engine!$C$2:$C$1199,0)),"",INDEX('Compliance Database'!$L$2:$L$1199,MATCH(154,Engine!$C$2:$C$1199,0)))</f>
        <v/>
      </c>
      <c r="M167" s="7" t="str">
        <f>IF(ISNA(MATCH(154,Engine!$C$2:$C$1199,0)),"",INDEX('Compliance Database'!$M$2:$M$1199,MATCH(154,Engine!$C$2:$C$1199,0)))</f>
        <v/>
      </c>
      <c r="N167" s="7" t="str">
        <f>IF(ISNA(MATCH(154,Engine!$C$2:$C$1199,0)),"",INDEX('Compliance Database'!$N$2:$N$1199,MATCH(154,Engine!$C$2:$C$1199,0)))</f>
        <v/>
      </c>
      <c r="O167" s="7" t="str">
        <f>IF(ISNA(MATCH(154,Engine!$C$2:$C$1199,0)),"",INDEX('Compliance Database'!$O$2:$O$1199,MATCH(154,Engine!$C$2:$C$1199,0)))</f>
        <v/>
      </c>
      <c r="P167" s="6" t="str">
        <f>IF(ISNA(MATCH(154,Engine!$C$2:$C$1199,0)),"",HYPERLINK("#Acts!A"&amp;INDEX('Compliance Database'!$P$2:$P$1199,MATCH(154,Engine!$C$2:$C$1199,0)),"Go to Act"))</f>
        <v/>
      </c>
    </row>
    <row r="168" spans="1:16" ht="172.95" customHeight="1" x14ac:dyDescent="0.3">
      <c r="A168" s="6" t="str">
        <f>IF(ISNA(MATCH(155,Engine!$C$2:$C$1199,0)),"",INDEX('Compliance Database'!$A$2:$A$1199,MATCH(155,Engine!$C$2:$C$1199,0)))</f>
        <v/>
      </c>
      <c r="B168" s="6" t="str">
        <f>IF(ISNA(MATCH(155,Engine!$C$2:$C$1199,0)),"",INDEX('Compliance Database'!$B$2:$B$1199,MATCH(155,Engine!$C$2:$C$1199,0)))</f>
        <v/>
      </c>
      <c r="C168" s="6" t="str">
        <f>IF(ISNA(MATCH(155,Engine!$C$2:$C$1199,0)),"",INDEX('Compliance Database'!$C$2:$C$1199,MATCH(155,Engine!$C$2:$C$1199,0)))</f>
        <v/>
      </c>
      <c r="D168" s="7" t="str">
        <f>IF(ISNA(MATCH(155,Engine!$C$2:$C$1199,0)),"",INDEX('Compliance Database'!$D$2:$D$1199,MATCH(155,Engine!$C$2:$C$1199,0)))</f>
        <v/>
      </c>
      <c r="E168" s="6" t="str">
        <f>IF(ISNA(MATCH(155,Engine!$C$2:$C$1199,0)),"",INDEX('Compliance Database'!$E$2:$E$1199,MATCH(155,Engine!$C$2:$C$1199,0)))</f>
        <v/>
      </c>
      <c r="F168" s="6" t="str">
        <f>IF(ISNA(MATCH(155,Engine!$C$2:$C$1199,0)),"",INDEX('Compliance Database'!$F$2:$F$1199,MATCH(155,Engine!$C$2:$C$1199,0)))</f>
        <v/>
      </c>
      <c r="G168" s="6" t="str">
        <f>IF(ISNA(MATCH(155,Engine!$C$2:$C$1199,0)),"",INDEX('Compliance Database'!$G$2:$G$1199,MATCH(155,Engine!$C$2:$C$1199,0)))</f>
        <v/>
      </c>
      <c r="H168" s="7" t="str">
        <f>IF(ISNA(MATCH(155,Engine!$C$2:$C$1199,0)),"",INDEX('Compliance Database'!$H$2:$H$1199,MATCH(155,Engine!$C$2:$C$1199,0)))</f>
        <v/>
      </c>
      <c r="I168" s="7" t="str">
        <f>IF(ISNA(MATCH(155,Engine!$C$2:$C$1199,0)),"",INDEX('Compliance Database'!$I$2:$I$1199,MATCH(155,Engine!$C$2:$C$1199,0)))</f>
        <v/>
      </c>
      <c r="J168" s="6" t="str">
        <f>IF(ISNA(MATCH(155,Engine!$C$2:$C$1199,0)),"",INDEX('Compliance Database'!$J$2:$J$1199,MATCH(155,Engine!$C$2:$C$1199,0)))</f>
        <v/>
      </c>
      <c r="K168" s="7" t="str">
        <f>IF(ISNA(MATCH(155,Engine!$C$2:$C$1199,0)),"",INDEX('Compliance Database'!$K$2:$K$1199,MATCH(155,Engine!$C$2:$C$1199,0)))</f>
        <v/>
      </c>
      <c r="L168" s="7" t="str">
        <f>IF(ISNA(MATCH(155,Engine!$C$2:$C$1199,0)),"",INDEX('Compliance Database'!$L$2:$L$1199,MATCH(155,Engine!$C$2:$C$1199,0)))</f>
        <v/>
      </c>
      <c r="M168" s="7" t="str">
        <f>IF(ISNA(MATCH(155,Engine!$C$2:$C$1199,0)),"",INDEX('Compliance Database'!$M$2:$M$1199,MATCH(155,Engine!$C$2:$C$1199,0)))</f>
        <v/>
      </c>
      <c r="N168" s="7" t="str">
        <f>IF(ISNA(MATCH(155,Engine!$C$2:$C$1199,0)),"",INDEX('Compliance Database'!$N$2:$N$1199,MATCH(155,Engine!$C$2:$C$1199,0)))</f>
        <v/>
      </c>
      <c r="O168" s="7" t="str">
        <f>IF(ISNA(MATCH(155,Engine!$C$2:$C$1199,0)),"",INDEX('Compliance Database'!$O$2:$O$1199,MATCH(155,Engine!$C$2:$C$1199,0)))</f>
        <v/>
      </c>
      <c r="P168" s="6" t="str">
        <f>IF(ISNA(MATCH(155,Engine!$C$2:$C$1199,0)),"",HYPERLINK("#Acts!A"&amp;INDEX('Compliance Database'!$P$2:$P$1199,MATCH(155,Engine!$C$2:$C$1199,0)),"Go to Act"))</f>
        <v/>
      </c>
    </row>
    <row r="169" spans="1:16" ht="172.95" customHeight="1" x14ac:dyDescent="0.3">
      <c r="A169" s="6" t="str">
        <f>IF(ISNA(MATCH(156,Engine!$C$2:$C$1199,0)),"",INDEX('Compliance Database'!$A$2:$A$1199,MATCH(156,Engine!$C$2:$C$1199,0)))</f>
        <v/>
      </c>
      <c r="B169" s="6" t="str">
        <f>IF(ISNA(MATCH(156,Engine!$C$2:$C$1199,0)),"",INDEX('Compliance Database'!$B$2:$B$1199,MATCH(156,Engine!$C$2:$C$1199,0)))</f>
        <v/>
      </c>
      <c r="C169" s="6" t="str">
        <f>IF(ISNA(MATCH(156,Engine!$C$2:$C$1199,0)),"",INDEX('Compliance Database'!$C$2:$C$1199,MATCH(156,Engine!$C$2:$C$1199,0)))</f>
        <v/>
      </c>
      <c r="D169" s="7" t="str">
        <f>IF(ISNA(MATCH(156,Engine!$C$2:$C$1199,0)),"",INDEX('Compliance Database'!$D$2:$D$1199,MATCH(156,Engine!$C$2:$C$1199,0)))</f>
        <v/>
      </c>
      <c r="E169" s="6" t="str">
        <f>IF(ISNA(MATCH(156,Engine!$C$2:$C$1199,0)),"",INDEX('Compliance Database'!$E$2:$E$1199,MATCH(156,Engine!$C$2:$C$1199,0)))</f>
        <v/>
      </c>
      <c r="F169" s="6" t="str">
        <f>IF(ISNA(MATCH(156,Engine!$C$2:$C$1199,0)),"",INDEX('Compliance Database'!$F$2:$F$1199,MATCH(156,Engine!$C$2:$C$1199,0)))</f>
        <v/>
      </c>
      <c r="G169" s="6" t="str">
        <f>IF(ISNA(MATCH(156,Engine!$C$2:$C$1199,0)),"",INDEX('Compliance Database'!$G$2:$G$1199,MATCH(156,Engine!$C$2:$C$1199,0)))</f>
        <v/>
      </c>
      <c r="H169" s="7" t="str">
        <f>IF(ISNA(MATCH(156,Engine!$C$2:$C$1199,0)),"",INDEX('Compliance Database'!$H$2:$H$1199,MATCH(156,Engine!$C$2:$C$1199,0)))</f>
        <v/>
      </c>
      <c r="I169" s="7" t="str">
        <f>IF(ISNA(MATCH(156,Engine!$C$2:$C$1199,0)),"",INDEX('Compliance Database'!$I$2:$I$1199,MATCH(156,Engine!$C$2:$C$1199,0)))</f>
        <v/>
      </c>
      <c r="J169" s="6" t="str">
        <f>IF(ISNA(MATCH(156,Engine!$C$2:$C$1199,0)),"",INDEX('Compliance Database'!$J$2:$J$1199,MATCH(156,Engine!$C$2:$C$1199,0)))</f>
        <v/>
      </c>
      <c r="K169" s="7" t="str">
        <f>IF(ISNA(MATCH(156,Engine!$C$2:$C$1199,0)),"",INDEX('Compliance Database'!$K$2:$K$1199,MATCH(156,Engine!$C$2:$C$1199,0)))</f>
        <v/>
      </c>
      <c r="L169" s="7" t="str">
        <f>IF(ISNA(MATCH(156,Engine!$C$2:$C$1199,0)),"",INDEX('Compliance Database'!$L$2:$L$1199,MATCH(156,Engine!$C$2:$C$1199,0)))</f>
        <v/>
      </c>
      <c r="M169" s="7" t="str">
        <f>IF(ISNA(MATCH(156,Engine!$C$2:$C$1199,0)),"",INDEX('Compliance Database'!$M$2:$M$1199,MATCH(156,Engine!$C$2:$C$1199,0)))</f>
        <v/>
      </c>
      <c r="N169" s="7" t="str">
        <f>IF(ISNA(MATCH(156,Engine!$C$2:$C$1199,0)),"",INDEX('Compliance Database'!$N$2:$N$1199,MATCH(156,Engine!$C$2:$C$1199,0)))</f>
        <v/>
      </c>
      <c r="O169" s="7" t="str">
        <f>IF(ISNA(MATCH(156,Engine!$C$2:$C$1199,0)),"",INDEX('Compliance Database'!$O$2:$O$1199,MATCH(156,Engine!$C$2:$C$1199,0)))</f>
        <v/>
      </c>
      <c r="P169" s="6" t="str">
        <f>IF(ISNA(MATCH(156,Engine!$C$2:$C$1199,0)),"",HYPERLINK("#Acts!A"&amp;INDEX('Compliance Database'!$P$2:$P$1199,MATCH(156,Engine!$C$2:$C$1199,0)),"Go to Act"))</f>
        <v/>
      </c>
    </row>
    <row r="170" spans="1:16" ht="172.95" customHeight="1" x14ac:dyDescent="0.3">
      <c r="A170" s="6" t="str">
        <f>IF(ISNA(MATCH(157,Engine!$C$2:$C$1199,0)),"",INDEX('Compliance Database'!$A$2:$A$1199,MATCH(157,Engine!$C$2:$C$1199,0)))</f>
        <v/>
      </c>
      <c r="B170" s="6" t="str">
        <f>IF(ISNA(MATCH(157,Engine!$C$2:$C$1199,0)),"",INDEX('Compliance Database'!$B$2:$B$1199,MATCH(157,Engine!$C$2:$C$1199,0)))</f>
        <v/>
      </c>
      <c r="C170" s="6" t="str">
        <f>IF(ISNA(MATCH(157,Engine!$C$2:$C$1199,0)),"",INDEX('Compliance Database'!$C$2:$C$1199,MATCH(157,Engine!$C$2:$C$1199,0)))</f>
        <v/>
      </c>
      <c r="D170" s="7" t="str">
        <f>IF(ISNA(MATCH(157,Engine!$C$2:$C$1199,0)),"",INDEX('Compliance Database'!$D$2:$D$1199,MATCH(157,Engine!$C$2:$C$1199,0)))</f>
        <v/>
      </c>
      <c r="E170" s="6" t="str">
        <f>IF(ISNA(MATCH(157,Engine!$C$2:$C$1199,0)),"",INDEX('Compliance Database'!$E$2:$E$1199,MATCH(157,Engine!$C$2:$C$1199,0)))</f>
        <v/>
      </c>
      <c r="F170" s="6" t="str">
        <f>IF(ISNA(MATCH(157,Engine!$C$2:$C$1199,0)),"",INDEX('Compliance Database'!$F$2:$F$1199,MATCH(157,Engine!$C$2:$C$1199,0)))</f>
        <v/>
      </c>
      <c r="G170" s="6" t="str">
        <f>IF(ISNA(MATCH(157,Engine!$C$2:$C$1199,0)),"",INDEX('Compliance Database'!$G$2:$G$1199,MATCH(157,Engine!$C$2:$C$1199,0)))</f>
        <v/>
      </c>
      <c r="H170" s="7" t="str">
        <f>IF(ISNA(MATCH(157,Engine!$C$2:$C$1199,0)),"",INDEX('Compliance Database'!$H$2:$H$1199,MATCH(157,Engine!$C$2:$C$1199,0)))</f>
        <v/>
      </c>
      <c r="I170" s="7" t="str">
        <f>IF(ISNA(MATCH(157,Engine!$C$2:$C$1199,0)),"",INDEX('Compliance Database'!$I$2:$I$1199,MATCH(157,Engine!$C$2:$C$1199,0)))</f>
        <v/>
      </c>
      <c r="J170" s="6" t="str">
        <f>IF(ISNA(MATCH(157,Engine!$C$2:$C$1199,0)),"",INDEX('Compliance Database'!$J$2:$J$1199,MATCH(157,Engine!$C$2:$C$1199,0)))</f>
        <v/>
      </c>
      <c r="K170" s="7" t="str">
        <f>IF(ISNA(MATCH(157,Engine!$C$2:$C$1199,0)),"",INDEX('Compliance Database'!$K$2:$K$1199,MATCH(157,Engine!$C$2:$C$1199,0)))</f>
        <v/>
      </c>
      <c r="L170" s="7" t="str">
        <f>IF(ISNA(MATCH(157,Engine!$C$2:$C$1199,0)),"",INDEX('Compliance Database'!$L$2:$L$1199,MATCH(157,Engine!$C$2:$C$1199,0)))</f>
        <v/>
      </c>
      <c r="M170" s="7" t="str">
        <f>IF(ISNA(MATCH(157,Engine!$C$2:$C$1199,0)),"",INDEX('Compliance Database'!$M$2:$M$1199,MATCH(157,Engine!$C$2:$C$1199,0)))</f>
        <v/>
      </c>
      <c r="N170" s="7" t="str">
        <f>IF(ISNA(MATCH(157,Engine!$C$2:$C$1199,0)),"",INDEX('Compliance Database'!$N$2:$N$1199,MATCH(157,Engine!$C$2:$C$1199,0)))</f>
        <v/>
      </c>
      <c r="O170" s="7" t="str">
        <f>IF(ISNA(MATCH(157,Engine!$C$2:$C$1199,0)),"",INDEX('Compliance Database'!$O$2:$O$1199,MATCH(157,Engine!$C$2:$C$1199,0)))</f>
        <v/>
      </c>
      <c r="P170" s="6" t="str">
        <f>IF(ISNA(MATCH(157,Engine!$C$2:$C$1199,0)),"",HYPERLINK("#Acts!A"&amp;INDEX('Compliance Database'!$P$2:$P$1199,MATCH(157,Engine!$C$2:$C$1199,0)),"Go to Act"))</f>
        <v/>
      </c>
    </row>
    <row r="171" spans="1:16" ht="172.95" customHeight="1" x14ac:dyDescent="0.3">
      <c r="A171" s="6" t="str">
        <f>IF(ISNA(MATCH(158,Engine!$C$2:$C$1199,0)),"",INDEX('Compliance Database'!$A$2:$A$1199,MATCH(158,Engine!$C$2:$C$1199,0)))</f>
        <v/>
      </c>
      <c r="B171" s="6" t="str">
        <f>IF(ISNA(MATCH(158,Engine!$C$2:$C$1199,0)),"",INDEX('Compliance Database'!$B$2:$B$1199,MATCH(158,Engine!$C$2:$C$1199,0)))</f>
        <v/>
      </c>
      <c r="C171" s="6" t="str">
        <f>IF(ISNA(MATCH(158,Engine!$C$2:$C$1199,0)),"",INDEX('Compliance Database'!$C$2:$C$1199,MATCH(158,Engine!$C$2:$C$1199,0)))</f>
        <v/>
      </c>
      <c r="D171" s="7" t="str">
        <f>IF(ISNA(MATCH(158,Engine!$C$2:$C$1199,0)),"",INDEX('Compliance Database'!$D$2:$D$1199,MATCH(158,Engine!$C$2:$C$1199,0)))</f>
        <v/>
      </c>
      <c r="E171" s="6" t="str">
        <f>IF(ISNA(MATCH(158,Engine!$C$2:$C$1199,0)),"",INDEX('Compliance Database'!$E$2:$E$1199,MATCH(158,Engine!$C$2:$C$1199,0)))</f>
        <v/>
      </c>
      <c r="F171" s="6" t="str">
        <f>IF(ISNA(MATCH(158,Engine!$C$2:$C$1199,0)),"",INDEX('Compliance Database'!$F$2:$F$1199,MATCH(158,Engine!$C$2:$C$1199,0)))</f>
        <v/>
      </c>
      <c r="G171" s="6" t="str">
        <f>IF(ISNA(MATCH(158,Engine!$C$2:$C$1199,0)),"",INDEX('Compliance Database'!$G$2:$G$1199,MATCH(158,Engine!$C$2:$C$1199,0)))</f>
        <v/>
      </c>
      <c r="H171" s="7" t="str">
        <f>IF(ISNA(MATCH(158,Engine!$C$2:$C$1199,0)),"",INDEX('Compliance Database'!$H$2:$H$1199,MATCH(158,Engine!$C$2:$C$1199,0)))</f>
        <v/>
      </c>
      <c r="I171" s="7" t="str">
        <f>IF(ISNA(MATCH(158,Engine!$C$2:$C$1199,0)),"",INDEX('Compliance Database'!$I$2:$I$1199,MATCH(158,Engine!$C$2:$C$1199,0)))</f>
        <v/>
      </c>
      <c r="J171" s="6" t="str">
        <f>IF(ISNA(MATCH(158,Engine!$C$2:$C$1199,0)),"",INDEX('Compliance Database'!$J$2:$J$1199,MATCH(158,Engine!$C$2:$C$1199,0)))</f>
        <v/>
      </c>
      <c r="K171" s="7" t="str">
        <f>IF(ISNA(MATCH(158,Engine!$C$2:$C$1199,0)),"",INDEX('Compliance Database'!$K$2:$K$1199,MATCH(158,Engine!$C$2:$C$1199,0)))</f>
        <v/>
      </c>
      <c r="L171" s="7" t="str">
        <f>IF(ISNA(MATCH(158,Engine!$C$2:$C$1199,0)),"",INDEX('Compliance Database'!$L$2:$L$1199,MATCH(158,Engine!$C$2:$C$1199,0)))</f>
        <v/>
      </c>
      <c r="M171" s="7" t="str">
        <f>IF(ISNA(MATCH(158,Engine!$C$2:$C$1199,0)),"",INDEX('Compliance Database'!$M$2:$M$1199,MATCH(158,Engine!$C$2:$C$1199,0)))</f>
        <v/>
      </c>
      <c r="N171" s="7" t="str">
        <f>IF(ISNA(MATCH(158,Engine!$C$2:$C$1199,0)),"",INDEX('Compliance Database'!$N$2:$N$1199,MATCH(158,Engine!$C$2:$C$1199,0)))</f>
        <v/>
      </c>
      <c r="O171" s="7" t="str">
        <f>IF(ISNA(MATCH(158,Engine!$C$2:$C$1199,0)),"",INDEX('Compliance Database'!$O$2:$O$1199,MATCH(158,Engine!$C$2:$C$1199,0)))</f>
        <v/>
      </c>
      <c r="P171" s="6" t="str">
        <f>IF(ISNA(MATCH(158,Engine!$C$2:$C$1199,0)),"",HYPERLINK("#Acts!A"&amp;INDEX('Compliance Database'!$P$2:$P$1199,MATCH(158,Engine!$C$2:$C$1199,0)),"Go to Act"))</f>
        <v/>
      </c>
    </row>
    <row r="172" spans="1:16" ht="172.95" customHeight="1" x14ac:dyDescent="0.3">
      <c r="A172" s="6" t="str">
        <f>IF(ISNA(MATCH(159,Engine!$C$2:$C$1199,0)),"",INDEX('Compliance Database'!$A$2:$A$1199,MATCH(159,Engine!$C$2:$C$1199,0)))</f>
        <v/>
      </c>
      <c r="B172" s="6" t="str">
        <f>IF(ISNA(MATCH(159,Engine!$C$2:$C$1199,0)),"",INDEX('Compliance Database'!$B$2:$B$1199,MATCH(159,Engine!$C$2:$C$1199,0)))</f>
        <v/>
      </c>
      <c r="C172" s="6" t="str">
        <f>IF(ISNA(MATCH(159,Engine!$C$2:$C$1199,0)),"",INDEX('Compliance Database'!$C$2:$C$1199,MATCH(159,Engine!$C$2:$C$1199,0)))</f>
        <v/>
      </c>
      <c r="D172" s="7" t="str">
        <f>IF(ISNA(MATCH(159,Engine!$C$2:$C$1199,0)),"",INDEX('Compliance Database'!$D$2:$D$1199,MATCH(159,Engine!$C$2:$C$1199,0)))</f>
        <v/>
      </c>
      <c r="E172" s="6" t="str">
        <f>IF(ISNA(MATCH(159,Engine!$C$2:$C$1199,0)),"",INDEX('Compliance Database'!$E$2:$E$1199,MATCH(159,Engine!$C$2:$C$1199,0)))</f>
        <v/>
      </c>
      <c r="F172" s="6" t="str">
        <f>IF(ISNA(MATCH(159,Engine!$C$2:$C$1199,0)),"",INDEX('Compliance Database'!$F$2:$F$1199,MATCH(159,Engine!$C$2:$C$1199,0)))</f>
        <v/>
      </c>
      <c r="G172" s="6" t="str">
        <f>IF(ISNA(MATCH(159,Engine!$C$2:$C$1199,0)),"",INDEX('Compliance Database'!$G$2:$G$1199,MATCH(159,Engine!$C$2:$C$1199,0)))</f>
        <v/>
      </c>
      <c r="H172" s="7" t="str">
        <f>IF(ISNA(MATCH(159,Engine!$C$2:$C$1199,0)),"",INDEX('Compliance Database'!$H$2:$H$1199,MATCH(159,Engine!$C$2:$C$1199,0)))</f>
        <v/>
      </c>
      <c r="I172" s="7" t="str">
        <f>IF(ISNA(MATCH(159,Engine!$C$2:$C$1199,0)),"",INDEX('Compliance Database'!$I$2:$I$1199,MATCH(159,Engine!$C$2:$C$1199,0)))</f>
        <v/>
      </c>
      <c r="J172" s="6" t="str">
        <f>IF(ISNA(MATCH(159,Engine!$C$2:$C$1199,0)),"",INDEX('Compliance Database'!$J$2:$J$1199,MATCH(159,Engine!$C$2:$C$1199,0)))</f>
        <v/>
      </c>
      <c r="K172" s="7" t="str">
        <f>IF(ISNA(MATCH(159,Engine!$C$2:$C$1199,0)),"",INDEX('Compliance Database'!$K$2:$K$1199,MATCH(159,Engine!$C$2:$C$1199,0)))</f>
        <v/>
      </c>
      <c r="L172" s="7" t="str">
        <f>IF(ISNA(MATCH(159,Engine!$C$2:$C$1199,0)),"",INDEX('Compliance Database'!$L$2:$L$1199,MATCH(159,Engine!$C$2:$C$1199,0)))</f>
        <v/>
      </c>
      <c r="M172" s="7" t="str">
        <f>IF(ISNA(MATCH(159,Engine!$C$2:$C$1199,0)),"",INDEX('Compliance Database'!$M$2:$M$1199,MATCH(159,Engine!$C$2:$C$1199,0)))</f>
        <v/>
      </c>
      <c r="N172" s="7" t="str">
        <f>IF(ISNA(MATCH(159,Engine!$C$2:$C$1199,0)),"",INDEX('Compliance Database'!$N$2:$N$1199,MATCH(159,Engine!$C$2:$C$1199,0)))</f>
        <v/>
      </c>
      <c r="O172" s="7" t="str">
        <f>IF(ISNA(MATCH(159,Engine!$C$2:$C$1199,0)),"",INDEX('Compliance Database'!$O$2:$O$1199,MATCH(159,Engine!$C$2:$C$1199,0)))</f>
        <v/>
      </c>
      <c r="P172" s="6" t="str">
        <f>IF(ISNA(MATCH(159,Engine!$C$2:$C$1199,0)),"",HYPERLINK("#Acts!A"&amp;INDEX('Compliance Database'!$P$2:$P$1199,MATCH(159,Engine!$C$2:$C$1199,0)),"Go to Act"))</f>
        <v/>
      </c>
    </row>
    <row r="173" spans="1:16" ht="172.95" customHeight="1" x14ac:dyDescent="0.3">
      <c r="A173" s="6" t="str">
        <f>IF(ISNA(MATCH(160,Engine!$C$2:$C$1199,0)),"",INDEX('Compliance Database'!$A$2:$A$1199,MATCH(160,Engine!$C$2:$C$1199,0)))</f>
        <v/>
      </c>
      <c r="B173" s="6" t="str">
        <f>IF(ISNA(MATCH(160,Engine!$C$2:$C$1199,0)),"",INDEX('Compliance Database'!$B$2:$B$1199,MATCH(160,Engine!$C$2:$C$1199,0)))</f>
        <v/>
      </c>
      <c r="C173" s="6" t="str">
        <f>IF(ISNA(MATCH(160,Engine!$C$2:$C$1199,0)),"",INDEX('Compliance Database'!$C$2:$C$1199,MATCH(160,Engine!$C$2:$C$1199,0)))</f>
        <v/>
      </c>
      <c r="D173" s="7" t="str">
        <f>IF(ISNA(MATCH(160,Engine!$C$2:$C$1199,0)),"",INDEX('Compliance Database'!$D$2:$D$1199,MATCH(160,Engine!$C$2:$C$1199,0)))</f>
        <v/>
      </c>
      <c r="E173" s="6" t="str">
        <f>IF(ISNA(MATCH(160,Engine!$C$2:$C$1199,0)),"",INDEX('Compliance Database'!$E$2:$E$1199,MATCH(160,Engine!$C$2:$C$1199,0)))</f>
        <v/>
      </c>
      <c r="F173" s="6" t="str">
        <f>IF(ISNA(MATCH(160,Engine!$C$2:$C$1199,0)),"",INDEX('Compliance Database'!$F$2:$F$1199,MATCH(160,Engine!$C$2:$C$1199,0)))</f>
        <v/>
      </c>
      <c r="G173" s="6" t="str">
        <f>IF(ISNA(MATCH(160,Engine!$C$2:$C$1199,0)),"",INDEX('Compliance Database'!$G$2:$G$1199,MATCH(160,Engine!$C$2:$C$1199,0)))</f>
        <v/>
      </c>
      <c r="H173" s="7" t="str">
        <f>IF(ISNA(MATCH(160,Engine!$C$2:$C$1199,0)),"",INDEX('Compliance Database'!$H$2:$H$1199,MATCH(160,Engine!$C$2:$C$1199,0)))</f>
        <v/>
      </c>
      <c r="I173" s="7" t="str">
        <f>IF(ISNA(MATCH(160,Engine!$C$2:$C$1199,0)),"",INDEX('Compliance Database'!$I$2:$I$1199,MATCH(160,Engine!$C$2:$C$1199,0)))</f>
        <v/>
      </c>
      <c r="J173" s="6" t="str">
        <f>IF(ISNA(MATCH(160,Engine!$C$2:$C$1199,0)),"",INDEX('Compliance Database'!$J$2:$J$1199,MATCH(160,Engine!$C$2:$C$1199,0)))</f>
        <v/>
      </c>
      <c r="K173" s="7" t="str">
        <f>IF(ISNA(MATCH(160,Engine!$C$2:$C$1199,0)),"",INDEX('Compliance Database'!$K$2:$K$1199,MATCH(160,Engine!$C$2:$C$1199,0)))</f>
        <v/>
      </c>
      <c r="L173" s="7" t="str">
        <f>IF(ISNA(MATCH(160,Engine!$C$2:$C$1199,0)),"",INDEX('Compliance Database'!$L$2:$L$1199,MATCH(160,Engine!$C$2:$C$1199,0)))</f>
        <v/>
      </c>
      <c r="M173" s="7" t="str">
        <f>IF(ISNA(MATCH(160,Engine!$C$2:$C$1199,0)),"",INDEX('Compliance Database'!$M$2:$M$1199,MATCH(160,Engine!$C$2:$C$1199,0)))</f>
        <v/>
      </c>
      <c r="N173" s="7" t="str">
        <f>IF(ISNA(MATCH(160,Engine!$C$2:$C$1199,0)),"",INDEX('Compliance Database'!$N$2:$N$1199,MATCH(160,Engine!$C$2:$C$1199,0)))</f>
        <v/>
      </c>
      <c r="O173" s="7" t="str">
        <f>IF(ISNA(MATCH(160,Engine!$C$2:$C$1199,0)),"",INDEX('Compliance Database'!$O$2:$O$1199,MATCH(160,Engine!$C$2:$C$1199,0)))</f>
        <v/>
      </c>
      <c r="P173" s="6" t="str">
        <f>IF(ISNA(MATCH(160,Engine!$C$2:$C$1199,0)),"",HYPERLINK("#Acts!A"&amp;INDEX('Compliance Database'!$P$2:$P$1199,MATCH(160,Engine!$C$2:$C$1199,0)),"Go to Act"))</f>
        <v/>
      </c>
    </row>
    <row r="174" spans="1:16" ht="172.95" customHeight="1" x14ac:dyDescent="0.3">
      <c r="A174" s="6" t="str">
        <f>IF(ISNA(MATCH(161,Engine!$C$2:$C$1199,0)),"",INDEX('Compliance Database'!$A$2:$A$1199,MATCH(161,Engine!$C$2:$C$1199,0)))</f>
        <v/>
      </c>
      <c r="B174" s="6" t="str">
        <f>IF(ISNA(MATCH(161,Engine!$C$2:$C$1199,0)),"",INDEX('Compliance Database'!$B$2:$B$1199,MATCH(161,Engine!$C$2:$C$1199,0)))</f>
        <v/>
      </c>
      <c r="C174" s="6" t="str">
        <f>IF(ISNA(MATCH(161,Engine!$C$2:$C$1199,0)),"",INDEX('Compliance Database'!$C$2:$C$1199,MATCH(161,Engine!$C$2:$C$1199,0)))</f>
        <v/>
      </c>
      <c r="D174" s="7" t="str">
        <f>IF(ISNA(MATCH(161,Engine!$C$2:$C$1199,0)),"",INDEX('Compliance Database'!$D$2:$D$1199,MATCH(161,Engine!$C$2:$C$1199,0)))</f>
        <v/>
      </c>
      <c r="E174" s="6" t="str">
        <f>IF(ISNA(MATCH(161,Engine!$C$2:$C$1199,0)),"",INDEX('Compliance Database'!$E$2:$E$1199,MATCH(161,Engine!$C$2:$C$1199,0)))</f>
        <v/>
      </c>
      <c r="F174" s="6" t="str">
        <f>IF(ISNA(MATCH(161,Engine!$C$2:$C$1199,0)),"",INDEX('Compliance Database'!$F$2:$F$1199,MATCH(161,Engine!$C$2:$C$1199,0)))</f>
        <v/>
      </c>
      <c r="G174" s="6" t="str">
        <f>IF(ISNA(MATCH(161,Engine!$C$2:$C$1199,0)),"",INDEX('Compliance Database'!$G$2:$G$1199,MATCH(161,Engine!$C$2:$C$1199,0)))</f>
        <v/>
      </c>
      <c r="H174" s="7" t="str">
        <f>IF(ISNA(MATCH(161,Engine!$C$2:$C$1199,0)),"",INDEX('Compliance Database'!$H$2:$H$1199,MATCH(161,Engine!$C$2:$C$1199,0)))</f>
        <v/>
      </c>
      <c r="I174" s="7" t="str">
        <f>IF(ISNA(MATCH(161,Engine!$C$2:$C$1199,0)),"",INDEX('Compliance Database'!$I$2:$I$1199,MATCH(161,Engine!$C$2:$C$1199,0)))</f>
        <v/>
      </c>
      <c r="J174" s="6" t="str">
        <f>IF(ISNA(MATCH(161,Engine!$C$2:$C$1199,0)),"",INDEX('Compliance Database'!$J$2:$J$1199,MATCH(161,Engine!$C$2:$C$1199,0)))</f>
        <v/>
      </c>
      <c r="K174" s="7" t="str">
        <f>IF(ISNA(MATCH(161,Engine!$C$2:$C$1199,0)),"",INDEX('Compliance Database'!$K$2:$K$1199,MATCH(161,Engine!$C$2:$C$1199,0)))</f>
        <v/>
      </c>
      <c r="L174" s="7" t="str">
        <f>IF(ISNA(MATCH(161,Engine!$C$2:$C$1199,0)),"",INDEX('Compliance Database'!$L$2:$L$1199,MATCH(161,Engine!$C$2:$C$1199,0)))</f>
        <v/>
      </c>
      <c r="M174" s="7" t="str">
        <f>IF(ISNA(MATCH(161,Engine!$C$2:$C$1199,0)),"",INDEX('Compliance Database'!$M$2:$M$1199,MATCH(161,Engine!$C$2:$C$1199,0)))</f>
        <v/>
      </c>
      <c r="N174" s="7" t="str">
        <f>IF(ISNA(MATCH(161,Engine!$C$2:$C$1199,0)),"",INDEX('Compliance Database'!$N$2:$N$1199,MATCH(161,Engine!$C$2:$C$1199,0)))</f>
        <v/>
      </c>
      <c r="O174" s="7" t="str">
        <f>IF(ISNA(MATCH(161,Engine!$C$2:$C$1199,0)),"",INDEX('Compliance Database'!$O$2:$O$1199,MATCH(161,Engine!$C$2:$C$1199,0)))</f>
        <v/>
      </c>
      <c r="P174" s="6" t="str">
        <f>IF(ISNA(MATCH(161,Engine!$C$2:$C$1199,0)),"",HYPERLINK("#Acts!A"&amp;INDEX('Compliance Database'!$P$2:$P$1199,MATCH(161,Engine!$C$2:$C$1199,0)),"Go to Act"))</f>
        <v/>
      </c>
    </row>
    <row r="175" spans="1:16" ht="172.95" customHeight="1" x14ac:dyDescent="0.3">
      <c r="A175" s="6" t="str">
        <f>IF(ISNA(MATCH(162,Engine!$C$2:$C$1199,0)),"",INDEX('Compliance Database'!$A$2:$A$1199,MATCH(162,Engine!$C$2:$C$1199,0)))</f>
        <v/>
      </c>
      <c r="B175" s="6" t="str">
        <f>IF(ISNA(MATCH(162,Engine!$C$2:$C$1199,0)),"",INDEX('Compliance Database'!$B$2:$B$1199,MATCH(162,Engine!$C$2:$C$1199,0)))</f>
        <v/>
      </c>
      <c r="C175" s="6" t="str">
        <f>IF(ISNA(MATCH(162,Engine!$C$2:$C$1199,0)),"",INDEX('Compliance Database'!$C$2:$C$1199,MATCH(162,Engine!$C$2:$C$1199,0)))</f>
        <v/>
      </c>
      <c r="D175" s="7" t="str">
        <f>IF(ISNA(MATCH(162,Engine!$C$2:$C$1199,0)),"",INDEX('Compliance Database'!$D$2:$D$1199,MATCH(162,Engine!$C$2:$C$1199,0)))</f>
        <v/>
      </c>
      <c r="E175" s="6" t="str">
        <f>IF(ISNA(MATCH(162,Engine!$C$2:$C$1199,0)),"",INDEX('Compliance Database'!$E$2:$E$1199,MATCH(162,Engine!$C$2:$C$1199,0)))</f>
        <v/>
      </c>
      <c r="F175" s="6" t="str">
        <f>IF(ISNA(MATCH(162,Engine!$C$2:$C$1199,0)),"",INDEX('Compliance Database'!$F$2:$F$1199,MATCH(162,Engine!$C$2:$C$1199,0)))</f>
        <v/>
      </c>
      <c r="G175" s="6" t="str">
        <f>IF(ISNA(MATCH(162,Engine!$C$2:$C$1199,0)),"",INDEX('Compliance Database'!$G$2:$G$1199,MATCH(162,Engine!$C$2:$C$1199,0)))</f>
        <v/>
      </c>
      <c r="H175" s="7" t="str">
        <f>IF(ISNA(MATCH(162,Engine!$C$2:$C$1199,0)),"",INDEX('Compliance Database'!$H$2:$H$1199,MATCH(162,Engine!$C$2:$C$1199,0)))</f>
        <v/>
      </c>
      <c r="I175" s="7" t="str">
        <f>IF(ISNA(MATCH(162,Engine!$C$2:$C$1199,0)),"",INDEX('Compliance Database'!$I$2:$I$1199,MATCH(162,Engine!$C$2:$C$1199,0)))</f>
        <v/>
      </c>
      <c r="J175" s="6" t="str">
        <f>IF(ISNA(MATCH(162,Engine!$C$2:$C$1199,0)),"",INDEX('Compliance Database'!$J$2:$J$1199,MATCH(162,Engine!$C$2:$C$1199,0)))</f>
        <v/>
      </c>
      <c r="K175" s="7" t="str">
        <f>IF(ISNA(MATCH(162,Engine!$C$2:$C$1199,0)),"",INDEX('Compliance Database'!$K$2:$K$1199,MATCH(162,Engine!$C$2:$C$1199,0)))</f>
        <v/>
      </c>
      <c r="L175" s="7" t="str">
        <f>IF(ISNA(MATCH(162,Engine!$C$2:$C$1199,0)),"",INDEX('Compliance Database'!$L$2:$L$1199,MATCH(162,Engine!$C$2:$C$1199,0)))</f>
        <v/>
      </c>
      <c r="M175" s="7" t="str">
        <f>IF(ISNA(MATCH(162,Engine!$C$2:$C$1199,0)),"",INDEX('Compliance Database'!$M$2:$M$1199,MATCH(162,Engine!$C$2:$C$1199,0)))</f>
        <v/>
      </c>
      <c r="N175" s="7" t="str">
        <f>IF(ISNA(MATCH(162,Engine!$C$2:$C$1199,0)),"",INDEX('Compliance Database'!$N$2:$N$1199,MATCH(162,Engine!$C$2:$C$1199,0)))</f>
        <v/>
      </c>
      <c r="O175" s="7" t="str">
        <f>IF(ISNA(MATCH(162,Engine!$C$2:$C$1199,0)),"",INDEX('Compliance Database'!$O$2:$O$1199,MATCH(162,Engine!$C$2:$C$1199,0)))</f>
        <v/>
      </c>
      <c r="P175" s="6" t="str">
        <f>IF(ISNA(MATCH(162,Engine!$C$2:$C$1199,0)),"",HYPERLINK("#Acts!A"&amp;INDEX('Compliance Database'!$P$2:$P$1199,MATCH(162,Engine!$C$2:$C$1199,0)),"Go to Act"))</f>
        <v/>
      </c>
    </row>
    <row r="176" spans="1:16" ht="172.95" customHeight="1" x14ac:dyDescent="0.3">
      <c r="A176" s="6" t="str">
        <f>IF(ISNA(MATCH(163,Engine!$C$2:$C$1199,0)),"",INDEX('Compliance Database'!$A$2:$A$1199,MATCH(163,Engine!$C$2:$C$1199,0)))</f>
        <v/>
      </c>
      <c r="B176" s="6" t="str">
        <f>IF(ISNA(MATCH(163,Engine!$C$2:$C$1199,0)),"",INDEX('Compliance Database'!$B$2:$B$1199,MATCH(163,Engine!$C$2:$C$1199,0)))</f>
        <v/>
      </c>
      <c r="C176" s="6" t="str">
        <f>IF(ISNA(MATCH(163,Engine!$C$2:$C$1199,0)),"",INDEX('Compliance Database'!$C$2:$C$1199,MATCH(163,Engine!$C$2:$C$1199,0)))</f>
        <v/>
      </c>
      <c r="D176" s="7" t="str">
        <f>IF(ISNA(MATCH(163,Engine!$C$2:$C$1199,0)),"",INDEX('Compliance Database'!$D$2:$D$1199,MATCH(163,Engine!$C$2:$C$1199,0)))</f>
        <v/>
      </c>
      <c r="E176" s="6" t="str">
        <f>IF(ISNA(MATCH(163,Engine!$C$2:$C$1199,0)),"",INDEX('Compliance Database'!$E$2:$E$1199,MATCH(163,Engine!$C$2:$C$1199,0)))</f>
        <v/>
      </c>
      <c r="F176" s="6" t="str">
        <f>IF(ISNA(MATCH(163,Engine!$C$2:$C$1199,0)),"",INDEX('Compliance Database'!$F$2:$F$1199,MATCH(163,Engine!$C$2:$C$1199,0)))</f>
        <v/>
      </c>
      <c r="G176" s="6" t="str">
        <f>IF(ISNA(MATCH(163,Engine!$C$2:$C$1199,0)),"",INDEX('Compliance Database'!$G$2:$G$1199,MATCH(163,Engine!$C$2:$C$1199,0)))</f>
        <v/>
      </c>
      <c r="H176" s="7" t="str">
        <f>IF(ISNA(MATCH(163,Engine!$C$2:$C$1199,0)),"",INDEX('Compliance Database'!$H$2:$H$1199,MATCH(163,Engine!$C$2:$C$1199,0)))</f>
        <v/>
      </c>
      <c r="I176" s="7" t="str">
        <f>IF(ISNA(MATCH(163,Engine!$C$2:$C$1199,0)),"",INDEX('Compliance Database'!$I$2:$I$1199,MATCH(163,Engine!$C$2:$C$1199,0)))</f>
        <v/>
      </c>
      <c r="J176" s="6" t="str">
        <f>IF(ISNA(MATCH(163,Engine!$C$2:$C$1199,0)),"",INDEX('Compliance Database'!$J$2:$J$1199,MATCH(163,Engine!$C$2:$C$1199,0)))</f>
        <v/>
      </c>
      <c r="K176" s="7" t="str">
        <f>IF(ISNA(MATCH(163,Engine!$C$2:$C$1199,0)),"",INDEX('Compliance Database'!$K$2:$K$1199,MATCH(163,Engine!$C$2:$C$1199,0)))</f>
        <v/>
      </c>
      <c r="L176" s="7" t="str">
        <f>IF(ISNA(MATCH(163,Engine!$C$2:$C$1199,0)),"",INDEX('Compliance Database'!$L$2:$L$1199,MATCH(163,Engine!$C$2:$C$1199,0)))</f>
        <v/>
      </c>
      <c r="M176" s="7" t="str">
        <f>IF(ISNA(MATCH(163,Engine!$C$2:$C$1199,0)),"",INDEX('Compliance Database'!$M$2:$M$1199,MATCH(163,Engine!$C$2:$C$1199,0)))</f>
        <v/>
      </c>
      <c r="N176" s="7" t="str">
        <f>IF(ISNA(MATCH(163,Engine!$C$2:$C$1199,0)),"",INDEX('Compliance Database'!$N$2:$N$1199,MATCH(163,Engine!$C$2:$C$1199,0)))</f>
        <v/>
      </c>
      <c r="O176" s="7" t="str">
        <f>IF(ISNA(MATCH(163,Engine!$C$2:$C$1199,0)),"",INDEX('Compliance Database'!$O$2:$O$1199,MATCH(163,Engine!$C$2:$C$1199,0)))</f>
        <v/>
      </c>
      <c r="P176" s="6" t="str">
        <f>IF(ISNA(MATCH(163,Engine!$C$2:$C$1199,0)),"",HYPERLINK("#Acts!A"&amp;INDEX('Compliance Database'!$P$2:$P$1199,MATCH(163,Engine!$C$2:$C$1199,0)),"Go to Act"))</f>
        <v/>
      </c>
    </row>
    <row r="177" spans="1:16" ht="172.95" customHeight="1" x14ac:dyDescent="0.3">
      <c r="A177" s="6" t="str">
        <f>IF(ISNA(MATCH(164,Engine!$C$2:$C$1199,0)),"",INDEX('Compliance Database'!$A$2:$A$1199,MATCH(164,Engine!$C$2:$C$1199,0)))</f>
        <v/>
      </c>
      <c r="B177" s="6" t="str">
        <f>IF(ISNA(MATCH(164,Engine!$C$2:$C$1199,0)),"",INDEX('Compliance Database'!$B$2:$B$1199,MATCH(164,Engine!$C$2:$C$1199,0)))</f>
        <v/>
      </c>
      <c r="C177" s="6" t="str">
        <f>IF(ISNA(MATCH(164,Engine!$C$2:$C$1199,0)),"",INDEX('Compliance Database'!$C$2:$C$1199,MATCH(164,Engine!$C$2:$C$1199,0)))</f>
        <v/>
      </c>
      <c r="D177" s="7" t="str">
        <f>IF(ISNA(MATCH(164,Engine!$C$2:$C$1199,0)),"",INDEX('Compliance Database'!$D$2:$D$1199,MATCH(164,Engine!$C$2:$C$1199,0)))</f>
        <v/>
      </c>
      <c r="E177" s="6" t="str">
        <f>IF(ISNA(MATCH(164,Engine!$C$2:$C$1199,0)),"",INDEX('Compliance Database'!$E$2:$E$1199,MATCH(164,Engine!$C$2:$C$1199,0)))</f>
        <v/>
      </c>
      <c r="F177" s="6" t="str">
        <f>IF(ISNA(MATCH(164,Engine!$C$2:$C$1199,0)),"",INDEX('Compliance Database'!$F$2:$F$1199,MATCH(164,Engine!$C$2:$C$1199,0)))</f>
        <v/>
      </c>
      <c r="G177" s="6" t="str">
        <f>IF(ISNA(MATCH(164,Engine!$C$2:$C$1199,0)),"",INDEX('Compliance Database'!$G$2:$G$1199,MATCH(164,Engine!$C$2:$C$1199,0)))</f>
        <v/>
      </c>
      <c r="H177" s="7" t="str">
        <f>IF(ISNA(MATCH(164,Engine!$C$2:$C$1199,0)),"",INDEX('Compliance Database'!$H$2:$H$1199,MATCH(164,Engine!$C$2:$C$1199,0)))</f>
        <v/>
      </c>
      <c r="I177" s="7" t="str">
        <f>IF(ISNA(MATCH(164,Engine!$C$2:$C$1199,0)),"",INDEX('Compliance Database'!$I$2:$I$1199,MATCH(164,Engine!$C$2:$C$1199,0)))</f>
        <v/>
      </c>
      <c r="J177" s="6" t="str">
        <f>IF(ISNA(MATCH(164,Engine!$C$2:$C$1199,0)),"",INDEX('Compliance Database'!$J$2:$J$1199,MATCH(164,Engine!$C$2:$C$1199,0)))</f>
        <v/>
      </c>
      <c r="K177" s="7" t="str">
        <f>IF(ISNA(MATCH(164,Engine!$C$2:$C$1199,0)),"",INDEX('Compliance Database'!$K$2:$K$1199,MATCH(164,Engine!$C$2:$C$1199,0)))</f>
        <v/>
      </c>
      <c r="L177" s="7" t="str">
        <f>IF(ISNA(MATCH(164,Engine!$C$2:$C$1199,0)),"",INDEX('Compliance Database'!$L$2:$L$1199,MATCH(164,Engine!$C$2:$C$1199,0)))</f>
        <v/>
      </c>
      <c r="M177" s="7" t="str">
        <f>IF(ISNA(MATCH(164,Engine!$C$2:$C$1199,0)),"",INDEX('Compliance Database'!$M$2:$M$1199,MATCH(164,Engine!$C$2:$C$1199,0)))</f>
        <v/>
      </c>
      <c r="N177" s="7" t="str">
        <f>IF(ISNA(MATCH(164,Engine!$C$2:$C$1199,0)),"",INDEX('Compliance Database'!$N$2:$N$1199,MATCH(164,Engine!$C$2:$C$1199,0)))</f>
        <v/>
      </c>
      <c r="O177" s="7" t="str">
        <f>IF(ISNA(MATCH(164,Engine!$C$2:$C$1199,0)),"",INDEX('Compliance Database'!$O$2:$O$1199,MATCH(164,Engine!$C$2:$C$1199,0)))</f>
        <v/>
      </c>
      <c r="P177" s="6" t="str">
        <f>IF(ISNA(MATCH(164,Engine!$C$2:$C$1199,0)),"",HYPERLINK("#Acts!A"&amp;INDEX('Compliance Database'!$P$2:$P$1199,MATCH(164,Engine!$C$2:$C$1199,0)),"Go to Act"))</f>
        <v/>
      </c>
    </row>
    <row r="178" spans="1:16" ht="172.95" customHeight="1" x14ac:dyDescent="0.3">
      <c r="A178" s="6" t="str">
        <f>IF(ISNA(MATCH(165,Engine!$C$2:$C$1199,0)),"",INDEX('Compliance Database'!$A$2:$A$1199,MATCH(165,Engine!$C$2:$C$1199,0)))</f>
        <v/>
      </c>
      <c r="B178" s="6" t="str">
        <f>IF(ISNA(MATCH(165,Engine!$C$2:$C$1199,0)),"",INDEX('Compliance Database'!$B$2:$B$1199,MATCH(165,Engine!$C$2:$C$1199,0)))</f>
        <v/>
      </c>
      <c r="C178" s="6" t="str">
        <f>IF(ISNA(MATCH(165,Engine!$C$2:$C$1199,0)),"",INDEX('Compliance Database'!$C$2:$C$1199,MATCH(165,Engine!$C$2:$C$1199,0)))</f>
        <v/>
      </c>
      <c r="D178" s="7" t="str">
        <f>IF(ISNA(MATCH(165,Engine!$C$2:$C$1199,0)),"",INDEX('Compliance Database'!$D$2:$D$1199,MATCH(165,Engine!$C$2:$C$1199,0)))</f>
        <v/>
      </c>
      <c r="E178" s="6" t="str">
        <f>IF(ISNA(MATCH(165,Engine!$C$2:$C$1199,0)),"",INDEX('Compliance Database'!$E$2:$E$1199,MATCH(165,Engine!$C$2:$C$1199,0)))</f>
        <v/>
      </c>
      <c r="F178" s="6" t="str">
        <f>IF(ISNA(MATCH(165,Engine!$C$2:$C$1199,0)),"",INDEX('Compliance Database'!$F$2:$F$1199,MATCH(165,Engine!$C$2:$C$1199,0)))</f>
        <v/>
      </c>
      <c r="G178" s="6" t="str">
        <f>IF(ISNA(MATCH(165,Engine!$C$2:$C$1199,0)),"",INDEX('Compliance Database'!$G$2:$G$1199,MATCH(165,Engine!$C$2:$C$1199,0)))</f>
        <v/>
      </c>
      <c r="H178" s="7" t="str">
        <f>IF(ISNA(MATCH(165,Engine!$C$2:$C$1199,0)),"",INDEX('Compliance Database'!$H$2:$H$1199,MATCH(165,Engine!$C$2:$C$1199,0)))</f>
        <v/>
      </c>
      <c r="I178" s="7" t="str">
        <f>IF(ISNA(MATCH(165,Engine!$C$2:$C$1199,0)),"",INDEX('Compliance Database'!$I$2:$I$1199,MATCH(165,Engine!$C$2:$C$1199,0)))</f>
        <v/>
      </c>
      <c r="J178" s="6" t="str">
        <f>IF(ISNA(MATCH(165,Engine!$C$2:$C$1199,0)),"",INDEX('Compliance Database'!$J$2:$J$1199,MATCH(165,Engine!$C$2:$C$1199,0)))</f>
        <v/>
      </c>
      <c r="K178" s="7" t="str">
        <f>IF(ISNA(MATCH(165,Engine!$C$2:$C$1199,0)),"",INDEX('Compliance Database'!$K$2:$K$1199,MATCH(165,Engine!$C$2:$C$1199,0)))</f>
        <v/>
      </c>
      <c r="L178" s="7" t="str">
        <f>IF(ISNA(MATCH(165,Engine!$C$2:$C$1199,0)),"",INDEX('Compliance Database'!$L$2:$L$1199,MATCH(165,Engine!$C$2:$C$1199,0)))</f>
        <v/>
      </c>
      <c r="M178" s="7" t="str">
        <f>IF(ISNA(MATCH(165,Engine!$C$2:$C$1199,0)),"",INDEX('Compliance Database'!$M$2:$M$1199,MATCH(165,Engine!$C$2:$C$1199,0)))</f>
        <v/>
      </c>
      <c r="N178" s="7" t="str">
        <f>IF(ISNA(MATCH(165,Engine!$C$2:$C$1199,0)),"",INDEX('Compliance Database'!$N$2:$N$1199,MATCH(165,Engine!$C$2:$C$1199,0)))</f>
        <v/>
      </c>
      <c r="O178" s="7" t="str">
        <f>IF(ISNA(MATCH(165,Engine!$C$2:$C$1199,0)),"",INDEX('Compliance Database'!$O$2:$O$1199,MATCH(165,Engine!$C$2:$C$1199,0)))</f>
        <v/>
      </c>
      <c r="P178" s="6" t="str">
        <f>IF(ISNA(MATCH(165,Engine!$C$2:$C$1199,0)),"",HYPERLINK("#Acts!A"&amp;INDEX('Compliance Database'!$P$2:$P$1199,MATCH(165,Engine!$C$2:$C$1199,0)),"Go to Act"))</f>
        <v/>
      </c>
    </row>
    <row r="179" spans="1:16" ht="172.95" customHeight="1" x14ac:dyDescent="0.3">
      <c r="A179" s="6" t="str">
        <f>IF(ISNA(MATCH(166,Engine!$C$2:$C$1199,0)),"",INDEX('Compliance Database'!$A$2:$A$1199,MATCH(166,Engine!$C$2:$C$1199,0)))</f>
        <v/>
      </c>
      <c r="B179" s="6" t="str">
        <f>IF(ISNA(MATCH(166,Engine!$C$2:$C$1199,0)),"",INDEX('Compliance Database'!$B$2:$B$1199,MATCH(166,Engine!$C$2:$C$1199,0)))</f>
        <v/>
      </c>
      <c r="C179" s="6" t="str">
        <f>IF(ISNA(MATCH(166,Engine!$C$2:$C$1199,0)),"",INDEX('Compliance Database'!$C$2:$C$1199,MATCH(166,Engine!$C$2:$C$1199,0)))</f>
        <v/>
      </c>
      <c r="D179" s="7" t="str">
        <f>IF(ISNA(MATCH(166,Engine!$C$2:$C$1199,0)),"",INDEX('Compliance Database'!$D$2:$D$1199,MATCH(166,Engine!$C$2:$C$1199,0)))</f>
        <v/>
      </c>
      <c r="E179" s="6" t="str">
        <f>IF(ISNA(MATCH(166,Engine!$C$2:$C$1199,0)),"",INDEX('Compliance Database'!$E$2:$E$1199,MATCH(166,Engine!$C$2:$C$1199,0)))</f>
        <v/>
      </c>
      <c r="F179" s="6" t="str">
        <f>IF(ISNA(MATCH(166,Engine!$C$2:$C$1199,0)),"",INDEX('Compliance Database'!$F$2:$F$1199,MATCH(166,Engine!$C$2:$C$1199,0)))</f>
        <v/>
      </c>
      <c r="G179" s="6" t="str">
        <f>IF(ISNA(MATCH(166,Engine!$C$2:$C$1199,0)),"",INDEX('Compliance Database'!$G$2:$G$1199,MATCH(166,Engine!$C$2:$C$1199,0)))</f>
        <v/>
      </c>
      <c r="H179" s="7" t="str">
        <f>IF(ISNA(MATCH(166,Engine!$C$2:$C$1199,0)),"",INDEX('Compliance Database'!$H$2:$H$1199,MATCH(166,Engine!$C$2:$C$1199,0)))</f>
        <v/>
      </c>
      <c r="I179" s="7" t="str">
        <f>IF(ISNA(MATCH(166,Engine!$C$2:$C$1199,0)),"",INDEX('Compliance Database'!$I$2:$I$1199,MATCH(166,Engine!$C$2:$C$1199,0)))</f>
        <v/>
      </c>
      <c r="J179" s="6" t="str">
        <f>IF(ISNA(MATCH(166,Engine!$C$2:$C$1199,0)),"",INDEX('Compliance Database'!$J$2:$J$1199,MATCH(166,Engine!$C$2:$C$1199,0)))</f>
        <v/>
      </c>
      <c r="K179" s="7" t="str">
        <f>IF(ISNA(MATCH(166,Engine!$C$2:$C$1199,0)),"",INDEX('Compliance Database'!$K$2:$K$1199,MATCH(166,Engine!$C$2:$C$1199,0)))</f>
        <v/>
      </c>
      <c r="L179" s="7" t="str">
        <f>IF(ISNA(MATCH(166,Engine!$C$2:$C$1199,0)),"",INDEX('Compliance Database'!$L$2:$L$1199,MATCH(166,Engine!$C$2:$C$1199,0)))</f>
        <v/>
      </c>
      <c r="M179" s="7" t="str">
        <f>IF(ISNA(MATCH(166,Engine!$C$2:$C$1199,0)),"",INDEX('Compliance Database'!$M$2:$M$1199,MATCH(166,Engine!$C$2:$C$1199,0)))</f>
        <v/>
      </c>
      <c r="N179" s="7" t="str">
        <f>IF(ISNA(MATCH(166,Engine!$C$2:$C$1199,0)),"",INDEX('Compliance Database'!$N$2:$N$1199,MATCH(166,Engine!$C$2:$C$1199,0)))</f>
        <v/>
      </c>
      <c r="O179" s="7" t="str">
        <f>IF(ISNA(MATCH(166,Engine!$C$2:$C$1199,0)),"",INDEX('Compliance Database'!$O$2:$O$1199,MATCH(166,Engine!$C$2:$C$1199,0)))</f>
        <v/>
      </c>
      <c r="P179" s="6" t="str">
        <f>IF(ISNA(MATCH(166,Engine!$C$2:$C$1199,0)),"",HYPERLINK("#Acts!A"&amp;INDEX('Compliance Database'!$P$2:$P$1199,MATCH(166,Engine!$C$2:$C$1199,0)),"Go to Act"))</f>
        <v/>
      </c>
    </row>
    <row r="180" spans="1:16" ht="172.95" customHeight="1" x14ac:dyDescent="0.3">
      <c r="A180" s="6" t="str">
        <f>IF(ISNA(MATCH(167,Engine!$C$2:$C$1199,0)),"",INDEX('Compliance Database'!$A$2:$A$1199,MATCH(167,Engine!$C$2:$C$1199,0)))</f>
        <v/>
      </c>
      <c r="B180" s="6" t="str">
        <f>IF(ISNA(MATCH(167,Engine!$C$2:$C$1199,0)),"",INDEX('Compliance Database'!$B$2:$B$1199,MATCH(167,Engine!$C$2:$C$1199,0)))</f>
        <v/>
      </c>
      <c r="C180" s="6" t="str">
        <f>IF(ISNA(MATCH(167,Engine!$C$2:$C$1199,0)),"",INDEX('Compliance Database'!$C$2:$C$1199,MATCH(167,Engine!$C$2:$C$1199,0)))</f>
        <v/>
      </c>
      <c r="D180" s="7" t="str">
        <f>IF(ISNA(MATCH(167,Engine!$C$2:$C$1199,0)),"",INDEX('Compliance Database'!$D$2:$D$1199,MATCH(167,Engine!$C$2:$C$1199,0)))</f>
        <v/>
      </c>
      <c r="E180" s="6" t="str">
        <f>IF(ISNA(MATCH(167,Engine!$C$2:$C$1199,0)),"",INDEX('Compliance Database'!$E$2:$E$1199,MATCH(167,Engine!$C$2:$C$1199,0)))</f>
        <v/>
      </c>
      <c r="F180" s="6" t="str">
        <f>IF(ISNA(MATCH(167,Engine!$C$2:$C$1199,0)),"",INDEX('Compliance Database'!$F$2:$F$1199,MATCH(167,Engine!$C$2:$C$1199,0)))</f>
        <v/>
      </c>
      <c r="G180" s="6" t="str">
        <f>IF(ISNA(MATCH(167,Engine!$C$2:$C$1199,0)),"",INDEX('Compliance Database'!$G$2:$G$1199,MATCH(167,Engine!$C$2:$C$1199,0)))</f>
        <v/>
      </c>
      <c r="H180" s="7" t="str">
        <f>IF(ISNA(MATCH(167,Engine!$C$2:$C$1199,0)),"",INDEX('Compliance Database'!$H$2:$H$1199,MATCH(167,Engine!$C$2:$C$1199,0)))</f>
        <v/>
      </c>
      <c r="I180" s="7" t="str">
        <f>IF(ISNA(MATCH(167,Engine!$C$2:$C$1199,0)),"",INDEX('Compliance Database'!$I$2:$I$1199,MATCH(167,Engine!$C$2:$C$1199,0)))</f>
        <v/>
      </c>
      <c r="J180" s="6" t="str">
        <f>IF(ISNA(MATCH(167,Engine!$C$2:$C$1199,0)),"",INDEX('Compliance Database'!$J$2:$J$1199,MATCH(167,Engine!$C$2:$C$1199,0)))</f>
        <v/>
      </c>
      <c r="K180" s="7" t="str">
        <f>IF(ISNA(MATCH(167,Engine!$C$2:$C$1199,0)),"",INDEX('Compliance Database'!$K$2:$K$1199,MATCH(167,Engine!$C$2:$C$1199,0)))</f>
        <v/>
      </c>
      <c r="L180" s="7" t="str">
        <f>IF(ISNA(MATCH(167,Engine!$C$2:$C$1199,0)),"",INDEX('Compliance Database'!$L$2:$L$1199,MATCH(167,Engine!$C$2:$C$1199,0)))</f>
        <v/>
      </c>
      <c r="M180" s="7" t="str">
        <f>IF(ISNA(MATCH(167,Engine!$C$2:$C$1199,0)),"",INDEX('Compliance Database'!$M$2:$M$1199,MATCH(167,Engine!$C$2:$C$1199,0)))</f>
        <v/>
      </c>
      <c r="N180" s="7" t="str">
        <f>IF(ISNA(MATCH(167,Engine!$C$2:$C$1199,0)),"",INDEX('Compliance Database'!$N$2:$N$1199,MATCH(167,Engine!$C$2:$C$1199,0)))</f>
        <v/>
      </c>
      <c r="O180" s="7" t="str">
        <f>IF(ISNA(MATCH(167,Engine!$C$2:$C$1199,0)),"",INDEX('Compliance Database'!$O$2:$O$1199,MATCH(167,Engine!$C$2:$C$1199,0)))</f>
        <v/>
      </c>
      <c r="P180" s="6" t="str">
        <f>IF(ISNA(MATCH(167,Engine!$C$2:$C$1199,0)),"",HYPERLINK("#Acts!A"&amp;INDEX('Compliance Database'!$P$2:$P$1199,MATCH(167,Engine!$C$2:$C$1199,0)),"Go to Act"))</f>
        <v/>
      </c>
    </row>
    <row r="181" spans="1:16" ht="172.95" customHeight="1" x14ac:dyDescent="0.3">
      <c r="A181" s="6" t="str">
        <f>IF(ISNA(MATCH(168,Engine!$C$2:$C$1199,0)),"",INDEX('Compliance Database'!$A$2:$A$1199,MATCH(168,Engine!$C$2:$C$1199,0)))</f>
        <v/>
      </c>
      <c r="B181" s="6" t="str">
        <f>IF(ISNA(MATCH(168,Engine!$C$2:$C$1199,0)),"",INDEX('Compliance Database'!$B$2:$B$1199,MATCH(168,Engine!$C$2:$C$1199,0)))</f>
        <v/>
      </c>
      <c r="C181" s="6" t="str">
        <f>IF(ISNA(MATCH(168,Engine!$C$2:$C$1199,0)),"",INDEX('Compliance Database'!$C$2:$C$1199,MATCH(168,Engine!$C$2:$C$1199,0)))</f>
        <v/>
      </c>
      <c r="D181" s="7" t="str">
        <f>IF(ISNA(MATCH(168,Engine!$C$2:$C$1199,0)),"",INDEX('Compliance Database'!$D$2:$D$1199,MATCH(168,Engine!$C$2:$C$1199,0)))</f>
        <v/>
      </c>
      <c r="E181" s="6" t="str">
        <f>IF(ISNA(MATCH(168,Engine!$C$2:$C$1199,0)),"",INDEX('Compliance Database'!$E$2:$E$1199,MATCH(168,Engine!$C$2:$C$1199,0)))</f>
        <v/>
      </c>
      <c r="F181" s="6" t="str">
        <f>IF(ISNA(MATCH(168,Engine!$C$2:$C$1199,0)),"",INDEX('Compliance Database'!$F$2:$F$1199,MATCH(168,Engine!$C$2:$C$1199,0)))</f>
        <v/>
      </c>
      <c r="G181" s="6" t="str">
        <f>IF(ISNA(MATCH(168,Engine!$C$2:$C$1199,0)),"",INDEX('Compliance Database'!$G$2:$G$1199,MATCH(168,Engine!$C$2:$C$1199,0)))</f>
        <v/>
      </c>
      <c r="H181" s="7" t="str">
        <f>IF(ISNA(MATCH(168,Engine!$C$2:$C$1199,0)),"",INDEX('Compliance Database'!$H$2:$H$1199,MATCH(168,Engine!$C$2:$C$1199,0)))</f>
        <v/>
      </c>
      <c r="I181" s="7" t="str">
        <f>IF(ISNA(MATCH(168,Engine!$C$2:$C$1199,0)),"",INDEX('Compliance Database'!$I$2:$I$1199,MATCH(168,Engine!$C$2:$C$1199,0)))</f>
        <v/>
      </c>
      <c r="J181" s="6" t="str">
        <f>IF(ISNA(MATCH(168,Engine!$C$2:$C$1199,0)),"",INDEX('Compliance Database'!$J$2:$J$1199,MATCH(168,Engine!$C$2:$C$1199,0)))</f>
        <v/>
      </c>
      <c r="K181" s="7" t="str">
        <f>IF(ISNA(MATCH(168,Engine!$C$2:$C$1199,0)),"",INDEX('Compliance Database'!$K$2:$K$1199,MATCH(168,Engine!$C$2:$C$1199,0)))</f>
        <v/>
      </c>
      <c r="L181" s="7" t="str">
        <f>IF(ISNA(MATCH(168,Engine!$C$2:$C$1199,0)),"",INDEX('Compliance Database'!$L$2:$L$1199,MATCH(168,Engine!$C$2:$C$1199,0)))</f>
        <v/>
      </c>
      <c r="M181" s="7" t="str">
        <f>IF(ISNA(MATCH(168,Engine!$C$2:$C$1199,0)),"",INDEX('Compliance Database'!$M$2:$M$1199,MATCH(168,Engine!$C$2:$C$1199,0)))</f>
        <v/>
      </c>
      <c r="N181" s="7" t="str">
        <f>IF(ISNA(MATCH(168,Engine!$C$2:$C$1199,0)),"",INDEX('Compliance Database'!$N$2:$N$1199,MATCH(168,Engine!$C$2:$C$1199,0)))</f>
        <v/>
      </c>
      <c r="O181" s="7" t="str">
        <f>IF(ISNA(MATCH(168,Engine!$C$2:$C$1199,0)),"",INDEX('Compliance Database'!$O$2:$O$1199,MATCH(168,Engine!$C$2:$C$1199,0)))</f>
        <v/>
      </c>
      <c r="P181" s="6" t="str">
        <f>IF(ISNA(MATCH(168,Engine!$C$2:$C$1199,0)),"",HYPERLINK("#Acts!A"&amp;INDEX('Compliance Database'!$P$2:$P$1199,MATCH(168,Engine!$C$2:$C$1199,0)),"Go to Act"))</f>
        <v/>
      </c>
    </row>
    <row r="182" spans="1:16" ht="172.95" customHeight="1" x14ac:dyDescent="0.3">
      <c r="A182" s="6" t="str">
        <f>IF(ISNA(MATCH(169,Engine!$C$2:$C$1199,0)),"",INDEX('Compliance Database'!$A$2:$A$1199,MATCH(169,Engine!$C$2:$C$1199,0)))</f>
        <v/>
      </c>
      <c r="B182" s="6" t="str">
        <f>IF(ISNA(MATCH(169,Engine!$C$2:$C$1199,0)),"",INDEX('Compliance Database'!$B$2:$B$1199,MATCH(169,Engine!$C$2:$C$1199,0)))</f>
        <v/>
      </c>
      <c r="C182" s="6" t="str">
        <f>IF(ISNA(MATCH(169,Engine!$C$2:$C$1199,0)),"",INDEX('Compliance Database'!$C$2:$C$1199,MATCH(169,Engine!$C$2:$C$1199,0)))</f>
        <v/>
      </c>
      <c r="D182" s="7" t="str">
        <f>IF(ISNA(MATCH(169,Engine!$C$2:$C$1199,0)),"",INDEX('Compliance Database'!$D$2:$D$1199,MATCH(169,Engine!$C$2:$C$1199,0)))</f>
        <v/>
      </c>
      <c r="E182" s="6" t="str">
        <f>IF(ISNA(MATCH(169,Engine!$C$2:$C$1199,0)),"",INDEX('Compliance Database'!$E$2:$E$1199,MATCH(169,Engine!$C$2:$C$1199,0)))</f>
        <v/>
      </c>
      <c r="F182" s="6" t="str">
        <f>IF(ISNA(MATCH(169,Engine!$C$2:$C$1199,0)),"",INDEX('Compliance Database'!$F$2:$F$1199,MATCH(169,Engine!$C$2:$C$1199,0)))</f>
        <v/>
      </c>
      <c r="G182" s="6" t="str">
        <f>IF(ISNA(MATCH(169,Engine!$C$2:$C$1199,0)),"",INDEX('Compliance Database'!$G$2:$G$1199,MATCH(169,Engine!$C$2:$C$1199,0)))</f>
        <v/>
      </c>
      <c r="H182" s="7" t="str">
        <f>IF(ISNA(MATCH(169,Engine!$C$2:$C$1199,0)),"",INDEX('Compliance Database'!$H$2:$H$1199,MATCH(169,Engine!$C$2:$C$1199,0)))</f>
        <v/>
      </c>
      <c r="I182" s="7" t="str">
        <f>IF(ISNA(MATCH(169,Engine!$C$2:$C$1199,0)),"",INDEX('Compliance Database'!$I$2:$I$1199,MATCH(169,Engine!$C$2:$C$1199,0)))</f>
        <v/>
      </c>
      <c r="J182" s="6" t="str">
        <f>IF(ISNA(MATCH(169,Engine!$C$2:$C$1199,0)),"",INDEX('Compliance Database'!$J$2:$J$1199,MATCH(169,Engine!$C$2:$C$1199,0)))</f>
        <v/>
      </c>
      <c r="K182" s="7" t="str">
        <f>IF(ISNA(MATCH(169,Engine!$C$2:$C$1199,0)),"",INDEX('Compliance Database'!$K$2:$K$1199,MATCH(169,Engine!$C$2:$C$1199,0)))</f>
        <v/>
      </c>
      <c r="L182" s="7" t="str">
        <f>IF(ISNA(MATCH(169,Engine!$C$2:$C$1199,0)),"",INDEX('Compliance Database'!$L$2:$L$1199,MATCH(169,Engine!$C$2:$C$1199,0)))</f>
        <v/>
      </c>
      <c r="M182" s="7" t="str">
        <f>IF(ISNA(MATCH(169,Engine!$C$2:$C$1199,0)),"",INDEX('Compliance Database'!$M$2:$M$1199,MATCH(169,Engine!$C$2:$C$1199,0)))</f>
        <v/>
      </c>
      <c r="N182" s="7" t="str">
        <f>IF(ISNA(MATCH(169,Engine!$C$2:$C$1199,0)),"",INDEX('Compliance Database'!$N$2:$N$1199,MATCH(169,Engine!$C$2:$C$1199,0)))</f>
        <v/>
      </c>
      <c r="O182" s="7" t="str">
        <f>IF(ISNA(MATCH(169,Engine!$C$2:$C$1199,0)),"",INDEX('Compliance Database'!$O$2:$O$1199,MATCH(169,Engine!$C$2:$C$1199,0)))</f>
        <v/>
      </c>
      <c r="P182" s="6" t="str">
        <f>IF(ISNA(MATCH(169,Engine!$C$2:$C$1199,0)),"",HYPERLINK("#Acts!A"&amp;INDEX('Compliance Database'!$P$2:$P$1199,MATCH(169,Engine!$C$2:$C$1199,0)),"Go to Act"))</f>
        <v/>
      </c>
    </row>
    <row r="183" spans="1:16" ht="172.95" customHeight="1" x14ac:dyDescent="0.3">
      <c r="A183" s="6" t="str">
        <f>IF(ISNA(MATCH(170,Engine!$C$2:$C$1199,0)),"",INDEX('Compliance Database'!$A$2:$A$1199,MATCH(170,Engine!$C$2:$C$1199,0)))</f>
        <v/>
      </c>
      <c r="B183" s="6" t="str">
        <f>IF(ISNA(MATCH(170,Engine!$C$2:$C$1199,0)),"",INDEX('Compliance Database'!$B$2:$B$1199,MATCH(170,Engine!$C$2:$C$1199,0)))</f>
        <v/>
      </c>
      <c r="C183" s="6" t="str">
        <f>IF(ISNA(MATCH(170,Engine!$C$2:$C$1199,0)),"",INDEX('Compliance Database'!$C$2:$C$1199,MATCH(170,Engine!$C$2:$C$1199,0)))</f>
        <v/>
      </c>
      <c r="D183" s="7" t="str">
        <f>IF(ISNA(MATCH(170,Engine!$C$2:$C$1199,0)),"",INDEX('Compliance Database'!$D$2:$D$1199,MATCH(170,Engine!$C$2:$C$1199,0)))</f>
        <v/>
      </c>
      <c r="E183" s="6" t="str">
        <f>IF(ISNA(MATCH(170,Engine!$C$2:$C$1199,0)),"",INDEX('Compliance Database'!$E$2:$E$1199,MATCH(170,Engine!$C$2:$C$1199,0)))</f>
        <v/>
      </c>
      <c r="F183" s="6" t="str">
        <f>IF(ISNA(MATCH(170,Engine!$C$2:$C$1199,0)),"",INDEX('Compliance Database'!$F$2:$F$1199,MATCH(170,Engine!$C$2:$C$1199,0)))</f>
        <v/>
      </c>
      <c r="G183" s="6" t="str">
        <f>IF(ISNA(MATCH(170,Engine!$C$2:$C$1199,0)),"",INDEX('Compliance Database'!$G$2:$G$1199,MATCH(170,Engine!$C$2:$C$1199,0)))</f>
        <v/>
      </c>
      <c r="H183" s="7" t="str">
        <f>IF(ISNA(MATCH(170,Engine!$C$2:$C$1199,0)),"",INDEX('Compliance Database'!$H$2:$H$1199,MATCH(170,Engine!$C$2:$C$1199,0)))</f>
        <v/>
      </c>
      <c r="I183" s="7" t="str">
        <f>IF(ISNA(MATCH(170,Engine!$C$2:$C$1199,0)),"",INDEX('Compliance Database'!$I$2:$I$1199,MATCH(170,Engine!$C$2:$C$1199,0)))</f>
        <v/>
      </c>
      <c r="J183" s="6" t="str">
        <f>IF(ISNA(MATCH(170,Engine!$C$2:$C$1199,0)),"",INDEX('Compliance Database'!$J$2:$J$1199,MATCH(170,Engine!$C$2:$C$1199,0)))</f>
        <v/>
      </c>
      <c r="K183" s="7" t="str">
        <f>IF(ISNA(MATCH(170,Engine!$C$2:$C$1199,0)),"",INDEX('Compliance Database'!$K$2:$K$1199,MATCH(170,Engine!$C$2:$C$1199,0)))</f>
        <v/>
      </c>
      <c r="L183" s="7" t="str">
        <f>IF(ISNA(MATCH(170,Engine!$C$2:$C$1199,0)),"",INDEX('Compliance Database'!$L$2:$L$1199,MATCH(170,Engine!$C$2:$C$1199,0)))</f>
        <v/>
      </c>
      <c r="M183" s="7" t="str">
        <f>IF(ISNA(MATCH(170,Engine!$C$2:$C$1199,0)),"",INDEX('Compliance Database'!$M$2:$M$1199,MATCH(170,Engine!$C$2:$C$1199,0)))</f>
        <v/>
      </c>
      <c r="N183" s="7" t="str">
        <f>IF(ISNA(MATCH(170,Engine!$C$2:$C$1199,0)),"",INDEX('Compliance Database'!$N$2:$N$1199,MATCH(170,Engine!$C$2:$C$1199,0)))</f>
        <v/>
      </c>
      <c r="O183" s="7" t="str">
        <f>IF(ISNA(MATCH(170,Engine!$C$2:$C$1199,0)),"",INDEX('Compliance Database'!$O$2:$O$1199,MATCH(170,Engine!$C$2:$C$1199,0)))</f>
        <v/>
      </c>
      <c r="P183" s="6" t="str">
        <f>IF(ISNA(MATCH(170,Engine!$C$2:$C$1199,0)),"",HYPERLINK("#Acts!A"&amp;INDEX('Compliance Database'!$P$2:$P$1199,MATCH(170,Engine!$C$2:$C$1199,0)),"Go to Act"))</f>
        <v/>
      </c>
    </row>
    <row r="184" spans="1:16" ht="172.95" customHeight="1" x14ac:dyDescent="0.3">
      <c r="A184" s="6" t="str">
        <f>IF(ISNA(MATCH(171,Engine!$C$2:$C$1199,0)),"",INDEX('Compliance Database'!$A$2:$A$1199,MATCH(171,Engine!$C$2:$C$1199,0)))</f>
        <v/>
      </c>
      <c r="B184" s="6" t="str">
        <f>IF(ISNA(MATCH(171,Engine!$C$2:$C$1199,0)),"",INDEX('Compliance Database'!$B$2:$B$1199,MATCH(171,Engine!$C$2:$C$1199,0)))</f>
        <v/>
      </c>
      <c r="C184" s="6" t="str">
        <f>IF(ISNA(MATCH(171,Engine!$C$2:$C$1199,0)),"",INDEX('Compliance Database'!$C$2:$C$1199,MATCH(171,Engine!$C$2:$C$1199,0)))</f>
        <v/>
      </c>
      <c r="D184" s="7" t="str">
        <f>IF(ISNA(MATCH(171,Engine!$C$2:$C$1199,0)),"",INDEX('Compliance Database'!$D$2:$D$1199,MATCH(171,Engine!$C$2:$C$1199,0)))</f>
        <v/>
      </c>
      <c r="E184" s="6" t="str">
        <f>IF(ISNA(MATCH(171,Engine!$C$2:$C$1199,0)),"",INDEX('Compliance Database'!$E$2:$E$1199,MATCH(171,Engine!$C$2:$C$1199,0)))</f>
        <v/>
      </c>
      <c r="F184" s="6" t="str">
        <f>IF(ISNA(MATCH(171,Engine!$C$2:$C$1199,0)),"",INDEX('Compliance Database'!$F$2:$F$1199,MATCH(171,Engine!$C$2:$C$1199,0)))</f>
        <v/>
      </c>
      <c r="G184" s="6" t="str">
        <f>IF(ISNA(MATCH(171,Engine!$C$2:$C$1199,0)),"",INDEX('Compliance Database'!$G$2:$G$1199,MATCH(171,Engine!$C$2:$C$1199,0)))</f>
        <v/>
      </c>
      <c r="H184" s="7" t="str">
        <f>IF(ISNA(MATCH(171,Engine!$C$2:$C$1199,0)),"",INDEX('Compliance Database'!$H$2:$H$1199,MATCH(171,Engine!$C$2:$C$1199,0)))</f>
        <v/>
      </c>
      <c r="I184" s="7" t="str">
        <f>IF(ISNA(MATCH(171,Engine!$C$2:$C$1199,0)),"",INDEX('Compliance Database'!$I$2:$I$1199,MATCH(171,Engine!$C$2:$C$1199,0)))</f>
        <v/>
      </c>
      <c r="J184" s="6" t="str">
        <f>IF(ISNA(MATCH(171,Engine!$C$2:$C$1199,0)),"",INDEX('Compliance Database'!$J$2:$J$1199,MATCH(171,Engine!$C$2:$C$1199,0)))</f>
        <v/>
      </c>
      <c r="K184" s="7" t="str">
        <f>IF(ISNA(MATCH(171,Engine!$C$2:$C$1199,0)),"",INDEX('Compliance Database'!$K$2:$K$1199,MATCH(171,Engine!$C$2:$C$1199,0)))</f>
        <v/>
      </c>
      <c r="L184" s="7" t="str">
        <f>IF(ISNA(MATCH(171,Engine!$C$2:$C$1199,0)),"",INDEX('Compliance Database'!$L$2:$L$1199,MATCH(171,Engine!$C$2:$C$1199,0)))</f>
        <v/>
      </c>
      <c r="M184" s="7" t="str">
        <f>IF(ISNA(MATCH(171,Engine!$C$2:$C$1199,0)),"",INDEX('Compliance Database'!$M$2:$M$1199,MATCH(171,Engine!$C$2:$C$1199,0)))</f>
        <v/>
      </c>
      <c r="N184" s="7" t="str">
        <f>IF(ISNA(MATCH(171,Engine!$C$2:$C$1199,0)),"",INDEX('Compliance Database'!$N$2:$N$1199,MATCH(171,Engine!$C$2:$C$1199,0)))</f>
        <v/>
      </c>
      <c r="O184" s="7" t="str">
        <f>IF(ISNA(MATCH(171,Engine!$C$2:$C$1199,0)),"",INDEX('Compliance Database'!$O$2:$O$1199,MATCH(171,Engine!$C$2:$C$1199,0)))</f>
        <v/>
      </c>
      <c r="P184" s="6" t="str">
        <f>IF(ISNA(MATCH(171,Engine!$C$2:$C$1199,0)),"",HYPERLINK("#Acts!A"&amp;INDEX('Compliance Database'!$P$2:$P$1199,MATCH(171,Engine!$C$2:$C$1199,0)),"Go to Act"))</f>
        <v/>
      </c>
    </row>
    <row r="185" spans="1:16" ht="172.95" customHeight="1" x14ac:dyDescent="0.3">
      <c r="A185" s="6" t="str">
        <f>IF(ISNA(MATCH(172,Engine!$C$2:$C$1199,0)),"",INDEX('Compliance Database'!$A$2:$A$1199,MATCH(172,Engine!$C$2:$C$1199,0)))</f>
        <v/>
      </c>
      <c r="B185" s="6" t="str">
        <f>IF(ISNA(MATCH(172,Engine!$C$2:$C$1199,0)),"",INDEX('Compliance Database'!$B$2:$B$1199,MATCH(172,Engine!$C$2:$C$1199,0)))</f>
        <v/>
      </c>
      <c r="C185" s="6" t="str">
        <f>IF(ISNA(MATCH(172,Engine!$C$2:$C$1199,0)),"",INDEX('Compliance Database'!$C$2:$C$1199,MATCH(172,Engine!$C$2:$C$1199,0)))</f>
        <v/>
      </c>
      <c r="D185" s="7" t="str">
        <f>IF(ISNA(MATCH(172,Engine!$C$2:$C$1199,0)),"",INDEX('Compliance Database'!$D$2:$D$1199,MATCH(172,Engine!$C$2:$C$1199,0)))</f>
        <v/>
      </c>
      <c r="E185" s="6" t="str">
        <f>IF(ISNA(MATCH(172,Engine!$C$2:$C$1199,0)),"",INDEX('Compliance Database'!$E$2:$E$1199,MATCH(172,Engine!$C$2:$C$1199,0)))</f>
        <v/>
      </c>
      <c r="F185" s="6" t="str">
        <f>IF(ISNA(MATCH(172,Engine!$C$2:$C$1199,0)),"",INDEX('Compliance Database'!$F$2:$F$1199,MATCH(172,Engine!$C$2:$C$1199,0)))</f>
        <v/>
      </c>
      <c r="G185" s="6" t="str">
        <f>IF(ISNA(MATCH(172,Engine!$C$2:$C$1199,0)),"",INDEX('Compliance Database'!$G$2:$G$1199,MATCH(172,Engine!$C$2:$C$1199,0)))</f>
        <v/>
      </c>
      <c r="H185" s="7" t="str">
        <f>IF(ISNA(MATCH(172,Engine!$C$2:$C$1199,0)),"",INDEX('Compliance Database'!$H$2:$H$1199,MATCH(172,Engine!$C$2:$C$1199,0)))</f>
        <v/>
      </c>
      <c r="I185" s="7" t="str">
        <f>IF(ISNA(MATCH(172,Engine!$C$2:$C$1199,0)),"",INDEX('Compliance Database'!$I$2:$I$1199,MATCH(172,Engine!$C$2:$C$1199,0)))</f>
        <v/>
      </c>
      <c r="J185" s="6" t="str">
        <f>IF(ISNA(MATCH(172,Engine!$C$2:$C$1199,0)),"",INDEX('Compliance Database'!$J$2:$J$1199,MATCH(172,Engine!$C$2:$C$1199,0)))</f>
        <v/>
      </c>
      <c r="K185" s="7" t="str">
        <f>IF(ISNA(MATCH(172,Engine!$C$2:$C$1199,0)),"",INDEX('Compliance Database'!$K$2:$K$1199,MATCH(172,Engine!$C$2:$C$1199,0)))</f>
        <v/>
      </c>
      <c r="L185" s="7" t="str">
        <f>IF(ISNA(MATCH(172,Engine!$C$2:$C$1199,0)),"",INDEX('Compliance Database'!$L$2:$L$1199,MATCH(172,Engine!$C$2:$C$1199,0)))</f>
        <v/>
      </c>
      <c r="M185" s="7" t="str">
        <f>IF(ISNA(MATCH(172,Engine!$C$2:$C$1199,0)),"",INDEX('Compliance Database'!$M$2:$M$1199,MATCH(172,Engine!$C$2:$C$1199,0)))</f>
        <v/>
      </c>
      <c r="N185" s="7" t="str">
        <f>IF(ISNA(MATCH(172,Engine!$C$2:$C$1199,0)),"",INDEX('Compliance Database'!$N$2:$N$1199,MATCH(172,Engine!$C$2:$C$1199,0)))</f>
        <v/>
      </c>
      <c r="O185" s="7" t="str">
        <f>IF(ISNA(MATCH(172,Engine!$C$2:$C$1199,0)),"",INDEX('Compliance Database'!$O$2:$O$1199,MATCH(172,Engine!$C$2:$C$1199,0)))</f>
        <v/>
      </c>
      <c r="P185" s="6" t="str">
        <f>IF(ISNA(MATCH(172,Engine!$C$2:$C$1199,0)),"",HYPERLINK("#Acts!A"&amp;INDEX('Compliance Database'!$P$2:$P$1199,MATCH(172,Engine!$C$2:$C$1199,0)),"Go to Act"))</f>
        <v/>
      </c>
    </row>
    <row r="186" spans="1:16" ht="172.95" customHeight="1" x14ac:dyDescent="0.3">
      <c r="A186" s="6" t="str">
        <f>IF(ISNA(MATCH(173,Engine!$C$2:$C$1199,0)),"",INDEX('Compliance Database'!$A$2:$A$1199,MATCH(173,Engine!$C$2:$C$1199,0)))</f>
        <v/>
      </c>
      <c r="B186" s="6" t="str">
        <f>IF(ISNA(MATCH(173,Engine!$C$2:$C$1199,0)),"",INDEX('Compliance Database'!$B$2:$B$1199,MATCH(173,Engine!$C$2:$C$1199,0)))</f>
        <v/>
      </c>
      <c r="C186" s="6" t="str">
        <f>IF(ISNA(MATCH(173,Engine!$C$2:$C$1199,0)),"",INDEX('Compliance Database'!$C$2:$C$1199,MATCH(173,Engine!$C$2:$C$1199,0)))</f>
        <v/>
      </c>
      <c r="D186" s="7" t="str">
        <f>IF(ISNA(MATCH(173,Engine!$C$2:$C$1199,0)),"",INDEX('Compliance Database'!$D$2:$D$1199,MATCH(173,Engine!$C$2:$C$1199,0)))</f>
        <v/>
      </c>
      <c r="E186" s="6" t="str">
        <f>IF(ISNA(MATCH(173,Engine!$C$2:$C$1199,0)),"",INDEX('Compliance Database'!$E$2:$E$1199,MATCH(173,Engine!$C$2:$C$1199,0)))</f>
        <v/>
      </c>
      <c r="F186" s="6" t="str">
        <f>IF(ISNA(MATCH(173,Engine!$C$2:$C$1199,0)),"",INDEX('Compliance Database'!$F$2:$F$1199,MATCH(173,Engine!$C$2:$C$1199,0)))</f>
        <v/>
      </c>
      <c r="G186" s="6" t="str">
        <f>IF(ISNA(MATCH(173,Engine!$C$2:$C$1199,0)),"",INDEX('Compliance Database'!$G$2:$G$1199,MATCH(173,Engine!$C$2:$C$1199,0)))</f>
        <v/>
      </c>
      <c r="H186" s="7" t="str">
        <f>IF(ISNA(MATCH(173,Engine!$C$2:$C$1199,0)),"",INDEX('Compliance Database'!$H$2:$H$1199,MATCH(173,Engine!$C$2:$C$1199,0)))</f>
        <v/>
      </c>
      <c r="I186" s="7" t="str">
        <f>IF(ISNA(MATCH(173,Engine!$C$2:$C$1199,0)),"",INDEX('Compliance Database'!$I$2:$I$1199,MATCH(173,Engine!$C$2:$C$1199,0)))</f>
        <v/>
      </c>
      <c r="J186" s="6" t="str">
        <f>IF(ISNA(MATCH(173,Engine!$C$2:$C$1199,0)),"",INDEX('Compliance Database'!$J$2:$J$1199,MATCH(173,Engine!$C$2:$C$1199,0)))</f>
        <v/>
      </c>
      <c r="K186" s="7" t="str">
        <f>IF(ISNA(MATCH(173,Engine!$C$2:$C$1199,0)),"",INDEX('Compliance Database'!$K$2:$K$1199,MATCH(173,Engine!$C$2:$C$1199,0)))</f>
        <v/>
      </c>
      <c r="L186" s="7" t="str">
        <f>IF(ISNA(MATCH(173,Engine!$C$2:$C$1199,0)),"",INDEX('Compliance Database'!$L$2:$L$1199,MATCH(173,Engine!$C$2:$C$1199,0)))</f>
        <v/>
      </c>
      <c r="M186" s="7" t="str">
        <f>IF(ISNA(MATCH(173,Engine!$C$2:$C$1199,0)),"",INDEX('Compliance Database'!$M$2:$M$1199,MATCH(173,Engine!$C$2:$C$1199,0)))</f>
        <v/>
      </c>
      <c r="N186" s="7" t="str">
        <f>IF(ISNA(MATCH(173,Engine!$C$2:$C$1199,0)),"",INDEX('Compliance Database'!$N$2:$N$1199,MATCH(173,Engine!$C$2:$C$1199,0)))</f>
        <v/>
      </c>
      <c r="O186" s="7" t="str">
        <f>IF(ISNA(MATCH(173,Engine!$C$2:$C$1199,0)),"",INDEX('Compliance Database'!$O$2:$O$1199,MATCH(173,Engine!$C$2:$C$1199,0)))</f>
        <v/>
      </c>
      <c r="P186" s="6" t="str">
        <f>IF(ISNA(MATCH(173,Engine!$C$2:$C$1199,0)),"",HYPERLINK("#Acts!A"&amp;INDEX('Compliance Database'!$P$2:$P$1199,MATCH(173,Engine!$C$2:$C$1199,0)),"Go to Act"))</f>
        <v/>
      </c>
    </row>
    <row r="187" spans="1:16" ht="172.95" customHeight="1" x14ac:dyDescent="0.3">
      <c r="A187" s="6" t="str">
        <f>IF(ISNA(MATCH(174,Engine!$C$2:$C$1199,0)),"",INDEX('Compliance Database'!$A$2:$A$1199,MATCH(174,Engine!$C$2:$C$1199,0)))</f>
        <v/>
      </c>
      <c r="B187" s="6" t="str">
        <f>IF(ISNA(MATCH(174,Engine!$C$2:$C$1199,0)),"",INDEX('Compliance Database'!$B$2:$B$1199,MATCH(174,Engine!$C$2:$C$1199,0)))</f>
        <v/>
      </c>
      <c r="C187" s="6" t="str">
        <f>IF(ISNA(MATCH(174,Engine!$C$2:$C$1199,0)),"",INDEX('Compliance Database'!$C$2:$C$1199,MATCH(174,Engine!$C$2:$C$1199,0)))</f>
        <v/>
      </c>
      <c r="D187" s="7" t="str">
        <f>IF(ISNA(MATCH(174,Engine!$C$2:$C$1199,0)),"",INDEX('Compliance Database'!$D$2:$D$1199,MATCH(174,Engine!$C$2:$C$1199,0)))</f>
        <v/>
      </c>
      <c r="E187" s="6" t="str">
        <f>IF(ISNA(MATCH(174,Engine!$C$2:$C$1199,0)),"",INDEX('Compliance Database'!$E$2:$E$1199,MATCH(174,Engine!$C$2:$C$1199,0)))</f>
        <v/>
      </c>
      <c r="F187" s="6" t="str">
        <f>IF(ISNA(MATCH(174,Engine!$C$2:$C$1199,0)),"",INDEX('Compliance Database'!$F$2:$F$1199,MATCH(174,Engine!$C$2:$C$1199,0)))</f>
        <v/>
      </c>
      <c r="G187" s="6" t="str">
        <f>IF(ISNA(MATCH(174,Engine!$C$2:$C$1199,0)),"",INDEX('Compliance Database'!$G$2:$G$1199,MATCH(174,Engine!$C$2:$C$1199,0)))</f>
        <v/>
      </c>
      <c r="H187" s="7" t="str">
        <f>IF(ISNA(MATCH(174,Engine!$C$2:$C$1199,0)),"",INDEX('Compliance Database'!$H$2:$H$1199,MATCH(174,Engine!$C$2:$C$1199,0)))</f>
        <v/>
      </c>
      <c r="I187" s="7" t="str">
        <f>IF(ISNA(MATCH(174,Engine!$C$2:$C$1199,0)),"",INDEX('Compliance Database'!$I$2:$I$1199,MATCH(174,Engine!$C$2:$C$1199,0)))</f>
        <v/>
      </c>
      <c r="J187" s="6" t="str">
        <f>IF(ISNA(MATCH(174,Engine!$C$2:$C$1199,0)),"",INDEX('Compliance Database'!$J$2:$J$1199,MATCH(174,Engine!$C$2:$C$1199,0)))</f>
        <v/>
      </c>
      <c r="K187" s="7" t="str">
        <f>IF(ISNA(MATCH(174,Engine!$C$2:$C$1199,0)),"",INDEX('Compliance Database'!$K$2:$K$1199,MATCH(174,Engine!$C$2:$C$1199,0)))</f>
        <v/>
      </c>
      <c r="L187" s="7" t="str">
        <f>IF(ISNA(MATCH(174,Engine!$C$2:$C$1199,0)),"",INDEX('Compliance Database'!$L$2:$L$1199,MATCH(174,Engine!$C$2:$C$1199,0)))</f>
        <v/>
      </c>
      <c r="M187" s="7" t="str">
        <f>IF(ISNA(MATCH(174,Engine!$C$2:$C$1199,0)),"",INDEX('Compliance Database'!$M$2:$M$1199,MATCH(174,Engine!$C$2:$C$1199,0)))</f>
        <v/>
      </c>
      <c r="N187" s="7" t="str">
        <f>IF(ISNA(MATCH(174,Engine!$C$2:$C$1199,0)),"",INDEX('Compliance Database'!$N$2:$N$1199,MATCH(174,Engine!$C$2:$C$1199,0)))</f>
        <v/>
      </c>
      <c r="O187" s="7" t="str">
        <f>IF(ISNA(MATCH(174,Engine!$C$2:$C$1199,0)),"",INDEX('Compliance Database'!$O$2:$O$1199,MATCH(174,Engine!$C$2:$C$1199,0)))</f>
        <v/>
      </c>
      <c r="P187" s="6" t="str">
        <f>IF(ISNA(MATCH(174,Engine!$C$2:$C$1199,0)),"",HYPERLINK("#Acts!A"&amp;INDEX('Compliance Database'!$P$2:$P$1199,MATCH(174,Engine!$C$2:$C$1199,0)),"Go to Act"))</f>
        <v/>
      </c>
    </row>
    <row r="188" spans="1:16" ht="172.95" customHeight="1" x14ac:dyDescent="0.3">
      <c r="A188" s="6" t="str">
        <f>IF(ISNA(MATCH(175,Engine!$C$2:$C$1199,0)),"",INDEX('Compliance Database'!$A$2:$A$1199,MATCH(175,Engine!$C$2:$C$1199,0)))</f>
        <v/>
      </c>
      <c r="B188" s="6" t="str">
        <f>IF(ISNA(MATCH(175,Engine!$C$2:$C$1199,0)),"",INDEX('Compliance Database'!$B$2:$B$1199,MATCH(175,Engine!$C$2:$C$1199,0)))</f>
        <v/>
      </c>
      <c r="C188" s="6" t="str">
        <f>IF(ISNA(MATCH(175,Engine!$C$2:$C$1199,0)),"",INDEX('Compliance Database'!$C$2:$C$1199,MATCH(175,Engine!$C$2:$C$1199,0)))</f>
        <v/>
      </c>
      <c r="D188" s="7" t="str">
        <f>IF(ISNA(MATCH(175,Engine!$C$2:$C$1199,0)),"",INDEX('Compliance Database'!$D$2:$D$1199,MATCH(175,Engine!$C$2:$C$1199,0)))</f>
        <v/>
      </c>
      <c r="E188" s="6" t="str">
        <f>IF(ISNA(MATCH(175,Engine!$C$2:$C$1199,0)),"",INDEX('Compliance Database'!$E$2:$E$1199,MATCH(175,Engine!$C$2:$C$1199,0)))</f>
        <v/>
      </c>
      <c r="F188" s="6" t="str">
        <f>IF(ISNA(MATCH(175,Engine!$C$2:$C$1199,0)),"",INDEX('Compliance Database'!$F$2:$F$1199,MATCH(175,Engine!$C$2:$C$1199,0)))</f>
        <v/>
      </c>
      <c r="G188" s="6" t="str">
        <f>IF(ISNA(MATCH(175,Engine!$C$2:$C$1199,0)),"",INDEX('Compliance Database'!$G$2:$G$1199,MATCH(175,Engine!$C$2:$C$1199,0)))</f>
        <v/>
      </c>
      <c r="H188" s="7" t="str">
        <f>IF(ISNA(MATCH(175,Engine!$C$2:$C$1199,0)),"",INDEX('Compliance Database'!$H$2:$H$1199,MATCH(175,Engine!$C$2:$C$1199,0)))</f>
        <v/>
      </c>
      <c r="I188" s="7" t="str">
        <f>IF(ISNA(MATCH(175,Engine!$C$2:$C$1199,0)),"",INDEX('Compliance Database'!$I$2:$I$1199,MATCH(175,Engine!$C$2:$C$1199,0)))</f>
        <v/>
      </c>
      <c r="J188" s="6" t="str">
        <f>IF(ISNA(MATCH(175,Engine!$C$2:$C$1199,0)),"",INDEX('Compliance Database'!$J$2:$J$1199,MATCH(175,Engine!$C$2:$C$1199,0)))</f>
        <v/>
      </c>
      <c r="K188" s="7" t="str">
        <f>IF(ISNA(MATCH(175,Engine!$C$2:$C$1199,0)),"",INDEX('Compliance Database'!$K$2:$K$1199,MATCH(175,Engine!$C$2:$C$1199,0)))</f>
        <v/>
      </c>
      <c r="L188" s="7" t="str">
        <f>IF(ISNA(MATCH(175,Engine!$C$2:$C$1199,0)),"",INDEX('Compliance Database'!$L$2:$L$1199,MATCH(175,Engine!$C$2:$C$1199,0)))</f>
        <v/>
      </c>
      <c r="M188" s="7" t="str">
        <f>IF(ISNA(MATCH(175,Engine!$C$2:$C$1199,0)),"",INDEX('Compliance Database'!$M$2:$M$1199,MATCH(175,Engine!$C$2:$C$1199,0)))</f>
        <v/>
      </c>
      <c r="N188" s="7" t="str">
        <f>IF(ISNA(MATCH(175,Engine!$C$2:$C$1199,0)),"",INDEX('Compliance Database'!$N$2:$N$1199,MATCH(175,Engine!$C$2:$C$1199,0)))</f>
        <v/>
      </c>
      <c r="O188" s="7" t="str">
        <f>IF(ISNA(MATCH(175,Engine!$C$2:$C$1199,0)),"",INDEX('Compliance Database'!$O$2:$O$1199,MATCH(175,Engine!$C$2:$C$1199,0)))</f>
        <v/>
      </c>
      <c r="P188" s="6" t="str">
        <f>IF(ISNA(MATCH(175,Engine!$C$2:$C$1199,0)),"",HYPERLINK("#Acts!A"&amp;INDEX('Compliance Database'!$P$2:$P$1199,MATCH(175,Engine!$C$2:$C$1199,0)),"Go to Act"))</f>
        <v/>
      </c>
    </row>
    <row r="189" spans="1:16" ht="172.95" customHeight="1" x14ac:dyDescent="0.3">
      <c r="A189" s="6" t="str">
        <f>IF(ISNA(MATCH(176,Engine!$C$2:$C$1199,0)),"",INDEX('Compliance Database'!$A$2:$A$1199,MATCH(176,Engine!$C$2:$C$1199,0)))</f>
        <v/>
      </c>
      <c r="B189" s="6" t="str">
        <f>IF(ISNA(MATCH(176,Engine!$C$2:$C$1199,0)),"",INDEX('Compliance Database'!$B$2:$B$1199,MATCH(176,Engine!$C$2:$C$1199,0)))</f>
        <v/>
      </c>
      <c r="C189" s="6" t="str">
        <f>IF(ISNA(MATCH(176,Engine!$C$2:$C$1199,0)),"",INDEX('Compliance Database'!$C$2:$C$1199,MATCH(176,Engine!$C$2:$C$1199,0)))</f>
        <v/>
      </c>
      <c r="D189" s="7" t="str">
        <f>IF(ISNA(MATCH(176,Engine!$C$2:$C$1199,0)),"",INDEX('Compliance Database'!$D$2:$D$1199,MATCH(176,Engine!$C$2:$C$1199,0)))</f>
        <v/>
      </c>
      <c r="E189" s="6" t="str">
        <f>IF(ISNA(MATCH(176,Engine!$C$2:$C$1199,0)),"",INDEX('Compliance Database'!$E$2:$E$1199,MATCH(176,Engine!$C$2:$C$1199,0)))</f>
        <v/>
      </c>
      <c r="F189" s="6" t="str">
        <f>IF(ISNA(MATCH(176,Engine!$C$2:$C$1199,0)),"",INDEX('Compliance Database'!$F$2:$F$1199,MATCH(176,Engine!$C$2:$C$1199,0)))</f>
        <v/>
      </c>
      <c r="G189" s="6" t="str">
        <f>IF(ISNA(MATCH(176,Engine!$C$2:$C$1199,0)),"",INDEX('Compliance Database'!$G$2:$G$1199,MATCH(176,Engine!$C$2:$C$1199,0)))</f>
        <v/>
      </c>
      <c r="H189" s="7" t="str">
        <f>IF(ISNA(MATCH(176,Engine!$C$2:$C$1199,0)),"",INDEX('Compliance Database'!$H$2:$H$1199,MATCH(176,Engine!$C$2:$C$1199,0)))</f>
        <v/>
      </c>
      <c r="I189" s="7" t="str">
        <f>IF(ISNA(MATCH(176,Engine!$C$2:$C$1199,0)),"",INDEX('Compliance Database'!$I$2:$I$1199,MATCH(176,Engine!$C$2:$C$1199,0)))</f>
        <v/>
      </c>
      <c r="J189" s="6" t="str">
        <f>IF(ISNA(MATCH(176,Engine!$C$2:$C$1199,0)),"",INDEX('Compliance Database'!$J$2:$J$1199,MATCH(176,Engine!$C$2:$C$1199,0)))</f>
        <v/>
      </c>
      <c r="K189" s="7" t="str">
        <f>IF(ISNA(MATCH(176,Engine!$C$2:$C$1199,0)),"",INDEX('Compliance Database'!$K$2:$K$1199,MATCH(176,Engine!$C$2:$C$1199,0)))</f>
        <v/>
      </c>
      <c r="L189" s="7" t="str">
        <f>IF(ISNA(MATCH(176,Engine!$C$2:$C$1199,0)),"",INDEX('Compliance Database'!$L$2:$L$1199,MATCH(176,Engine!$C$2:$C$1199,0)))</f>
        <v/>
      </c>
      <c r="M189" s="7" t="str">
        <f>IF(ISNA(MATCH(176,Engine!$C$2:$C$1199,0)),"",INDEX('Compliance Database'!$M$2:$M$1199,MATCH(176,Engine!$C$2:$C$1199,0)))</f>
        <v/>
      </c>
      <c r="N189" s="7" t="str">
        <f>IF(ISNA(MATCH(176,Engine!$C$2:$C$1199,0)),"",INDEX('Compliance Database'!$N$2:$N$1199,MATCH(176,Engine!$C$2:$C$1199,0)))</f>
        <v/>
      </c>
      <c r="O189" s="7" t="str">
        <f>IF(ISNA(MATCH(176,Engine!$C$2:$C$1199,0)),"",INDEX('Compliance Database'!$O$2:$O$1199,MATCH(176,Engine!$C$2:$C$1199,0)))</f>
        <v/>
      </c>
      <c r="P189" s="6" t="str">
        <f>IF(ISNA(MATCH(176,Engine!$C$2:$C$1199,0)),"",HYPERLINK("#Acts!A"&amp;INDEX('Compliance Database'!$P$2:$P$1199,MATCH(176,Engine!$C$2:$C$1199,0)),"Go to Act"))</f>
        <v/>
      </c>
    </row>
    <row r="190" spans="1:16" ht="172.95" customHeight="1" x14ac:dyDescent="0.3">
      <c r="A190" s="6" t="str">
        <f>IF(ISNA(MATCH(177,Engine!$C$2:$C$1199,0)),"",INDEX('Compliance Database'!$A$2:$A$1199,MATCH(177,Engine!$C$2:$C$1199,0)))</f>
        <v/>
      </c>
      <c r="B190" s="6" t="str">
        <f>IF(ISNA(MATCH(177,Engine!$C$2:$C$1199,0)),"",INDEX('Compliance Database'!$B$2:$B$1199,MATCH(177,Engine!$C$2:$C$1199,0)))</f>
        <v/>
      </c>
      <c r="C190" s="6" t="str">
        <f>IF(ISNA(MATCH(177,Engine!$C$2:$C$1199,0)),"",INDEX('Compliance Database'!$C$2:$C$1199,MATCH(177,Engine!$C$2:$C$1199,0)))</f>
        <v/>
      </c>
      <c r="D190" s="7" t="str">
        <f>IF(ISNA(MATCH(177,Engine!$C$2:$C$1199,0)),"",INDEX('Compliance Database'!$D$2:$D$1199,MATCH(177,Engine!$C$2:$C$1199,0)))</f>
        <v/>
      </c>
      <c r="E190" s="6" t="str">
        <f>IF(ISNA(MATCH(177,Engine!$C$2:$C$1199,0)),"",INDEX('Compliance Database'!$E$2:$E$1199,MATCH(177,Engine!$C$2:$C$1199,0)))</f>
        <v/>
      </c>
      <c r="F190" s="6" t="str">
        <f>IF(ISNA(MATCH(177,Engine!$C$2:$C$1199,0)),"",INDEX('Compliance Database'!$F$2:$F$1199,MATCH(177,Engine!$C$2:$C$1199,0)))</f>
        <v/>
      </c>
      <c r="G190" s="6" t="str">
        <f>IF(ISNA(MATCH(177,Engine!$C$2:$C$1199,0)),"",INDEX('Compliance Database'!$G$2:$G$1199,MATCH(177,Engine!$C$2:$C$1199,0)))</f>
        <v/>
      </c>
      <c r="H190" s="7" t="str">
        <f>IF(ISNA(MATCH(177,Engine!$C$2:$C$1199,0)),"",INDEX('Compliance Database'!$H$2:$H$1199,MATCH(177,Engine!$C$2:$C$1199,0)))</f>
        <v/>
      </c>
      <c r="I190" s="7" t="str">
        <f>IF(ISNA(MATCH(177,Engine!$C$2:$C$1199,0)),"",INDEX('Compliance Database'!$I$2:$I$1199,MATCH(177,Engine!$C$2:$C$1199,0)))</f>
        <v/>
      </c>
      <c r="J190" s="6" t="str">
        <f>IF(ISNA(MATCH(177,Engine!$C$2:$C$1199,0)),"",INDEX('Compliance Database'!$J$2:$J$1199,MATCH(177,Engine!$C$2:$C$1199,0)))</f>
        <v/>
      </c>
      <c r="K190" s="7" t="str">
        <f>IF(ISNA(MATCH(177,Engine!$C$2:$C$1199,0)),"",INDEX('Compliance Database'!$K$2:$K$1199,MATCH(177,Engine!$C$2:$C$1199,0)))</f>
        <v/>
      </c>
      <c r="L190" s="7" t="str">
        <f>IF(ISNA(MATCH(177,Engine!$C$2:$C$1199,0)),"",INDEX('Compliance Database'!$L$2:$L$1199,MATCH(177,Engine!$C$2:$C$1199,0)))</f>
        <v/>
      </c>
      <c r="M190" s="7" t="str">
        <f>IF(ISNA(MATCH(177,Engine!$C$2:$C$1199,0)),"",INDEX('Compliance Database'!$M$2:$M$1199,MATCH(177,Engine!$C$2:$C$1199,0)))</f>
        <v/>
      </c>
      <c r="N190" s="7" t="str">
        <f>IF(ISNA(MATCH(177,Engine!$C$2:$C$1199,0)),"",INDEX('Compliance Database'!$N$2:$N$1199,MATCH(177,Engine!$C$2:$C$1199,0)))</f>
        <v/>
      </c>
      <c r="O190" s="7" t="str">
        <f>IF(ISNA(MATCH(177,Engine!$C$2:$C$1199,0)),"",INDEX('Compliance Database'!$O$2:$O$1199,MATCH(177,Engine!$C$2:$C$1199,0)))</f>
        <v/>
      </c>
      <c r="P190" s="6" t="str">
        <f>IF(ISNA(MATCH(177,Engine!$C$2:$C$1199,0)),"",HYPERLINK("#Acts!A"&amp;INDEX('Compliance Database'!$P$2:$P$1199,MATCH(177,Engine!$C$2:$C$1199,0)),"Go to Act"))</f>
        <v/>
      </c>
    </row>
    <row r="191" spans="1:16" ht="172.95" customHeight="1" x14ac:dyDescent="0.3">
      <c r="A191" s="6" t="str">
        <f>IF(ISNA(MATCH(178,Engine!$C$2:$C$1199,0)),"",INDEX('Compliance Database'!$A$2:$A$1199,MATCH(178,Engine!$C$2:$C$1199,0)))</f>
        <v/>
      </c>
      <c r="B191" s="6" t="str">
        <f>IF(ISNA(MATCH(178,Engine!$C$2:$C$1199,0)),"",INDEX('Compliance Database'!$B$2:$B$1199,MATCH(178,Engine!$C$2:$C$1199,0)))</f>
        <v/>
      </c>
      <c r="C191" s="6" t="str">
        <f>IF(ISNA(MATCH(178,Engine!$C$2:$C$1199,0)),"",INDEX('Compliance Database'!$C$2:$C$1199,MATCH(178,Engine!$C$2:$C$1199,0)))</f>
        <v/>
      </c>
      <c r="D191" s="7" t="str">
        <f>IF(ISNA(MATCH(178,Engine!$C$2:$C$1199,0)),"",INDEX('Compliance Database'!$D$2:$D$1199,MATCH(178,Engine!$C$2:$C$1199,0)))</f>
        <v/>
      </c>
      <c r="E191" s="6" t="str">
        <f>IF(ISNA(MATCH(178,Engine!$C$2:$C$1199,0)),"",INDEX('Compliance Database'!$E$2:$E$1199,MATCH(178,Engine!$C$2:$C$1199,0)))</f>
        <v/>
      </c>
      <c r="F191" s="6" t="str">
        <f>IF(ISNA(MATCH(178,Engine!$C$2:$C$1199,0)),"",INDEX('Compliance Database'!$F$2:$F$1199,MATCH(178,Engine!$C$2:$C$1199,0)))</f>
        <v/>
      </c>
      <c r="G191" s="6" t="str">
        <f>IF(ISNA(MATCH(178,Engine!$C$2:$C$1199,0)),"",INDEX('Compliance Database'!$G$2:$G$1199,MATCH(178,Engine!$C$2:$C$1199,0)))</f>
        <v/>
      </c>
      <c r="H191" s="7" t="str">
        <f>IF(ISNA(MATCH(178,Engine!$C$2:$C$1199,0)),"",INDEX('Compliance Database'!$H$2:$H$1199,MATCH(178,Engine!$C$2:$C$1199,0)))</f>
        <v/>
      </c>
      <c r="I191" s="7" t="str">
        <f>IF(ISNA(MATCH(178,Engine!$C$2:$C$1199,0)),"",INDEX('Compliance Database'!$I$2:$I$1199,MATCH(178,Engine!$C$2:$C$1199,0)))</f>
        <v/>
      </c>
      <c r="J191" s="6" t="str">
        <f>IF(ISNA(MATCH(178,Engine!$C$2:$C$1199,0)),"",INDEX('Compliance Database'!$J$2:$J$1199,MATCH(178,Engine!$C$2:$C$1199,0)))</f>
        <v/>
      </c>
      <c r="K191" s="7" t="str">
        <f>IF(ISNA(MATCH(178,Engine!$C$2:$C$1199,0)),"",INDEX('Compliance Database'!$K$2:$K$1199,MATCH(178,Engine!$C$2:$C$1199,0)))</f>
        <v/>
      </c>
      <c r="L191" s="7" t="str">
        <f>IF(ISNA(MATCH(178,Engine!$C$2:$C$1199,0)),"",INDEX('Compliance Database'!$L$2:$L$1199,MATCH(178,Engine!$C$2:$C$1199,0)))</f>
        <v/>
      </c>
      <c r="M191" s="7" t="str">
        <f>IF(ISNA(MATCH(178,Engine!$C$2:$C$1199,0)),"",INDEX('Compliance Database'!$M$2:$M$1199,MATCH(178,Engine!$C$2:$C$1199,0)))</f>
        <v/>
      </c>
      <c r="N191" s="7" t="str">
        <f>IF(ISNA(MATCH(178,Engine!$C$2:$C$1199,0)),"",INDEX('Compliance Database'!$N$2:$N$1199,MATCH(178,Engine!$C$2:$C$1199,0)))</f>
        <v/>
      </c>
      <c r="O191" s="7" t="str">
        <f>IF(ISNA(MATCH(178,Engine!$C$2:$C$1199,0)),"",INDEX('Compliance Database'!$O$2:$O$1199,MATCH(178,Engine!$C$2:$C$1199,0)))</f>
        <v/>
      </c>
      <c r="P191" s="6" t="str">
        <f>IF(ISNA(MATCH(178,Engine!$C$2:$C$1199,0)),"",HYPERLINK("#Acts!A"&amp;INDEX('Compliance Database'!$P$2:$P$1199,MATCH(178,Engine!$C$2:$C$1199,0)),"Go to Act"))</f>
        <v/>
      </c>
    </row>
    <row r="192" spans="1:16" ht="172.95" customHeight="1" x14ac:dyDescent="0.3">
      <c r="A192" s="6" t="str">
        <f>IF(ISNA(MATCH(179,Engine!$C$2:$C$1199,0)),"",INDEX('Compliance Database'!$A$2:$A$1199,MATCH(179,Engine!$C$2:$C$1199,0)))</f>
        <v/>
      </c>
      <c r="B192" s="6" t="str">
        <f>IF(ISNA(MATCH(179,Engine!$C$2:$C$1199,0)),"",INDEX('Compliance Database'!$B$2:$B$1199,MATCH(179,Engine!$C$2:$C$1199,0)))</f>
        <v/>
      </c>
      <c r="C192" s="6" t="str">
        <f>IF(ISNA(MATCH(179,Engine!$C$2:$C$1199,0)),"",INDEX('Compliance Database'!$C$2:$C$1199,MATCH(179,Engine!$C$2:$C$1199,0)))</f>
        <v/>
      </c>
      <c r="D192" s="7" t="str">
        <f>IF(ISNA(MATCH(179,Engine!$C$2:$C$1199,0)),"",INDEX('Compliance Database'!$D$2:$D$1199,MATCH(179,Engine!$C$2:$C$1199,0)))</f>
        <v/>
      </c>
      <c r="E192" s="6" t="str">
        <f>IF(ISNA(MATCH(179,Engine!$C$2:$C$1199,0)),"",INDEX('Compliance Database'!$E$2:$E$1199,MATCH(179,Engine!$C$2:$C$1199,0)))</f>
        <v/>
      </c>
      <c r="F192" s="6" t="str">
        <f>IF(ISNA(MATCH(179,Engine!$C$2:$C$1199,0)),"",INDEX('Compliance Database'!$F$2:$F$1199,MATCH(179,Engine!$C$2:$C$1199,0)))</f>
        <v/>
      </c>
      <c r="G192" s="6" t="str">
        <f>IF(ISNA(MATCH(179,Engine!$C$2:$C$1199,0)),"",INDEX('Compliance Database'!$G$2:$G$1199,MATCH(179,Engine!$C$2:$C$1199,0)))</f>
        <v/>
      </c>
      <c r="H192" s="7" t="str">
        <f>IF(ISNA(MATCH(179,Engine!$C$2:$C$1199,0)),"",INDEX('Compliance Database'!$H$2:$H$1199,MATCH(179,Engine!$C$2:$C$1199,0)))</f>
        <v/>
      </c>
      <c r="I192" s="7" t="str">
        <f>IF(ISNA(MATCH(179,Engine!$C$2:$C$1199,0)),"",INDEX('Compliance Database'!$I$2:$I$1199,MATCH(179,Engine!$C$2:$C$1199,0)))</f>
        <v/>
      </c>
      <c r="J192" s="6" t="str">
        <f>IF(ISNA(MATCH(179,Engine!$C$2:$C$1199,0)),"",INDEX('Compliance Database'!$J$2:$J$1199,MATCH(179,Engine!$C$2:$C$1199,0)))</f>
        <v/>
      </c>
      <c r="K192" s="7" t="str">
        <f>IF(ISNA(MATCH(179,Engine!$C$2:$C$1199,0)),"",INDEX('Compliance Database'!$K$2:$K$1199,MATCH(179,Engine!$C$2:$C$1199,0)))</f>
        <v/>
      </c>
      <c r="L192" s="7" t="str">
        <f>IF(ISNA(MATCH(179,Engine!$C$2:$C$1199,0)),"",INDEX('Compliance Database'!$L$2:$L$1199,MATCH(179,Engine!$C$2:$C$1199,0)))</f>
        <v/>
      </c>
      <c r="M192" s="7" t="str">
        <f>IF(ISNA(MATCH(179,Engine!$C$2:$C$1199,0)),"",INDEX('Compliance Database'!$M$2:$M$1199,MATCH(179,Engine!$C$2:$C$1199,0)))</f>
        <v/>
      </c>
      <c r="N192" s="7" t="str">
        <f>IF(ISNA(MATCH(179,Engine!$C$2:$C$1199,0)),"",INDEX('Compliance Database'!$N$2:$N$1199,MATCH(179,Engine!$C$2:$C$1199,0)))</f>
        <v/>
      </c>
      <c r="O192" s="7" t="str">
        <f>IF(ISNA(MATCH(179,Engine!$C$2:$C$1199,0)),"",INDEX('Compliance Database'!$O$2:$O$1199,MATCH(179,Engine!$C$2:$C$1199,0)))</f>
        <v/>
      </c>
      <c r="P192" s="6" t="str">
        <f>IF(ISNA(MATCH(179,Engine!$C$2:$C$1199,0)),"",HYPERLINK("#Acts!A"&amp;INDEX('Compliance Database'!$P$2:$P$1199,MATCH(179,Engine!$C$2:$C$1199,0)),"Go to Act"))</f>
        <v/>
      </c>
    </row>
    <row r="193" spans="1:16" ht="172.95" customHeight="1" x14ac:dyDescent="0.3">
      <c r="A193" s="6" t="str">
        <f>IF(ISNA(MATCH(180,Engine!$C$2:$C$1199,0)),"",INDEX('Compliance Database'!$A$2:$A$1199,MATCH(180,Engine!$C$2:$C$1199,0)))</f>
        <v/>
      </c>
      <c r="B193" s="6" t="str">
        <f>IF(ISNA(MATCH(180,Engine!$C$2:$C$1199,0)),"",INDEX('Compliance Database'!$B$2:$B$1199,MATCH(180,Engine!$C$2:$C$1199,0)))</f>
        <v/>
      </c>
      <c r="C193" s="6" t="str">
        <f>IF(ISNA(MATCH(180,Engine!$C$2:$C$1199,0)),"",INDEX('Compliance Database'!$C$2:$C$1199,MATCH(180,Engine!$C$2:$C$1199,0)))</f>
        <v/>
      </c>
      <c r="D193" s="7" t="str">
        <f>IF(ISNA(MATCH(180,Engine!$C$2:$C$1199,0)),"",INDEX('Compliance Database'!$D$2:$D$1199,MATCH(180,Engine!$C$2:$C$1199,0)))</f>
        <v/>
      </c>
      <c r="E193" s="6" t="str">
        <f>IF(ISNA(MATCH(180,Engine!$C$2:$C$1199,0)),"",INDEX('Compliance Database'!$E$2:$E$1199,MATCH(180,Engine!$C$2:$C$1199,0)))</f>
        <v/>
      </c>
      <c r="F193" s="6" t="str">
        <f>IF(ISNA(MATCH(180,Engine!$C$2:$C$1199,0)),"",INDEX('Compliance Database'!$F$2:$F$1199,MATCH(180,Engine!$C$2:$C$1199,0)))</f>
        <v/>
      </c>
      <c r="G193" s="6" t="str">
        <f>IF(ISNA(MATCH(180,Engine!$C$2:$C$1199,0)),"",INDEX('Compliance Database'!$G$2:$G$1199,MATCH(180,Engine!$C$2:$C$1199,0)))</f>
        <v/>
      </c>
      <c r="H193" s="7" t="str">
        <f>IF(ISNA(MATCH(180,Engine!$C$2:$C$1199,0)),"",INDEX('Compliance Database'!$H$2:$H$1199,MATCH(180,Engine!$C$2:$C$1199,0)))</f>
        <v/>
      </c>
      <c r="I193" s="7" t="str">
        <f>IF(ISNA(MATCH(180,Engine!$C$2:$C$1199,0)),"",INDEX('Compliance Database'!$I$2:$I$1199,MATCH(180,Engine!$C$2:$C$1199,0)))</f>
        <v/>
      </c>
      <c r="J193" s="6" t="str">
        <f>IF(ISNA(MATCH(180,Engine!$C$2:$C$1199,0)),"",INDEX('Compliance Database'!$J$2:$J$1199,MATCH(180,Engine!$C$2:$C$1199,0)))</f>
        <v/>
      </c>
      <c r="K193" s="7" t="str">
        <f>IF(ISNA(MATCH(180,Engine!$C$2:$C$1199,0)),"",INDEX('Compliance Database'!$K$2:$K$1199,MATCH(180,Engine!$C$2:$C$1199,0)))</f>
        <v/>
      </c>
      <c r="L193" s="7" t="str">
        <f>IF(ISNA(MATCH(180,Engine!$C$2:$C$1199,0)),"",INDEX('Compliance Database'!$L$2:$L$1199,MATCH(180,Engine!$C$2:$C$1199,0)))</f>
        <v/>
      </c>
      <c r="M193" s="7" t="str">
        <f>IF(ISNA(MATCH(180,Engine!$C$2:$C$1199,0)),"",INDEX('Compliance Database'!$M$2:$M$1199,MATCH(180,Engine!$C$2:$C$1199,0)))</f>
        <v/>
      </c>
      <c r="N193" s="7" t="str">
        <f>IF(ISNA(MATCH(180,Engine!$C$2:$C$1199,0)),"",INDEX('Compliance Database'!$N$2:$N$1199,MATCH(180,Engine!$C$2:$C$1199,0)))</f>
        <v/>
      </c>
      <c r="O193" s="7" t="str">
        <f>IF(ISNA(MATCH(180,Engine!$C$2:$C$1199,0)),"",INDEX('Compliance Database'!$O$2:$O$1199,MATCH(180,Engine!$C$2:$C$1199,0)))</f>
        <v/>
      </c>
      <c r="P193" s="6" t="str">
        <f>IF(ISNA(MATCH(180,Engine!$C$2:$C$1199,0)),"",HYPERLINK("#Acts!A"&amp;INDEX('Compliance Database'!$P$2:$P$1199,MATCH(180,Engine!$C$2:$C$1199,0)),"Go to Act"))</f>
        <v/>
      </c>
    </row>
    <row r="194" spans="1:16" ht="172.95" customHeight="1" x14ac:dyDescent="0.3">
      <c r="A194" s="6" t="str">
        <f>IF(ISNA(MATCH(181,Engine!$C$2:$C$1199,0)),"",INDEX('Compliance Database'!$A$2:$A$1199,MATCH(181,Engine!$C$2:$C$1199,0)))</f>
        <v/>
      </c>
      <c r="B194" s="6" t="str">
        <f>IF(ISNA(MATCH(181,Engine!$C$2:$C$1199,0)),"",INDEX('Compliance Database'!$B$2:$B$1199,MATCH(181,Engine!$C$2:$C$1199,0)))</f>
        <v/>
      </c>
      <c r="C194" s="6" t="str">
        <f>IF(ISNA(MATCH(181,Engine!$C$2:$C$1199,0)),"",INDEX('Compliance Database'!$C$2:$C$1199,MATCH(181,Engine!$C$2:$C$1199,0)))</f>
        <v/>
      </c>
      <c r="D194" s="7" t="str">
        <f>IF(ISNA(MATCH(181,Engine!$C$2:$C$1199,0)),"",INDEX('Compliance Database'!$D$2:$D$1199,MATCH(181,Engine!$C$2:$C$1199,0)))</f>
        <v/>
      </c>
      <c r="E194" s="6" t="str">
        <f>IF(ISNA(MATCH(181,Engine!$C$2:$C$1199,0)),"",INDEX('Compliance Database'!$E$2:$E$1199,MATCH(181,Engine!$C$2:$C$1199,0)))</f>
        <v/>
      </c>
      <c r="F194" s="6" t="str">
        <f>IF(ISNA(MATCH(181,Engine!$C$2:$C$1199,0)),"",INDEX('Compliance Database'!$F$2:$F$1199,MATCH(181,Engine!$C$2:$C$1199,0)))</f>
        <v/>
      </c>
      <c r="G194" s="6" t="str">
        <f>IF(ISNA(MATCH(181,Engine!$C$2:$C$1199,0)),"",INDEX('Compliance Database'!$G$2:$G$1199,MATCH(181,Engine!$C$2:$C$1199,0)))</f>
        <v/>
      </c>
      <c r="H194" s="7" t="str">
        <f>IF(ISNA(MATCH(181,Engine!$C$2:$C$1199,0)),"",INDEX('Compliance Database'!$H$2:$H$1199,MATCH(181,Engine!$C$2:$C$1199,0)))</f>
        <v/>
      </c>
      <c r="I194" s="7" t="str">
        <f>IF(ISNA(MATCH(181,Engine!$C$2:$C$1199,0)),"",INDEX('Compliance Database'!$I$2:$I$1199,MATCH(181,Engine!$C$2:$C$1199,0)))</f>
        <v/>
      </c>
      <c r="J194" s="6" t="str">
        <f>IF(ISNA(MATCH(181,Engine!$C$2:$C$1199,0)),"",INDEX('Compliance Database'!$J$2:$J$1199,MATCH(181,Engine!$C$2:$C$1199,0)))</f>
        <v/>
      </c>
      <c r="K194" s="7" t="str">
        <f>IF(ISNA(MATCH(181,Engine!$C$2:$C$1199,0)),"",INDEX('Compliance Database'!$K$2:$K$1199,MATCH(181,Engine!$C$2:$C$1199,0)))</f>
        <v/>
      </c>
      <c r="L194" s="7" t="str">
        <f>IF(ISNA(MATCH(181,Engine!$C$2:$C$1199,0)),"",INDEX('Compliance Database'!$L$2:$L$1199,MATCH(181,Engine!$C$2:$C$1199,0)))</f>
        <v/>
      </c>
      <c r="M194" s="7" t="str">
        <f>IF(ISNA(MATCH(181,Engine!$C$2:$C$1199,0)),"",INDEX('Compliance Database'!$M$2:$M$1199,MATCH(181,Engine!$C$2:$C$1199,0)))</f>
        <v/>
      </c>
      <c r="N194" s="7" t="str">
        <f>IF(ISNA(MATCH(181,Engine!$C$2:$C$1199,0)),"",INDEX('Compliance Database'!$N$2:$N$1199,MATCH(181,Engine!$C$2:$C$1199,0)))</f>
        <v/>
      </c>
      <c r="O194" s="7" t="str">
        <f>IF(ISNA(MATCH(181,Engine!$C$2:$C$1199,0)),"",INDEX('Compliance Database'!$O$2:$O$1199,MATCH(181,Engine!$C$2:$C$1199,0)))</f>
        <v/>
      </c>
      <c r="P194" s="6" t="str">
        <f>IF(ISNA(MATCH(181,Engine!$C$2:$C$1199,0)),"",HYPERLINK("#Acts!A"&amp;INDEX('Compliance Database'!$P$2:$P$1199,MATCH(181,Engine!$C$2:$C$1199,0)),"Go to Act"))</f>
        <v/>
      </c>
    </row>
    <row r="195" spans="1:16" ht="172.95" customHeight="1" x14ac:dyDescent="0.3">
      <c r="A195" s="6" t="str">
        <f>IF(ISNA(MATCH(182,Engine!$C$2:$C$1199,0)),"",INDEX('Compliance Database'!$A$2:$A$1199,MATCH(182,Engine!$C$2:$C$1199,0)))</f>
        <v/>
      </c>
      <c r="B195" s="6" t="str">
        <f>IF(ISNA(MATCH(182,Engine!$C$2:$C$1199,0)),"",INDEX('Compliance Database'!$B$2:$B$1199,MATCH(182,Engine!$C$2:$C$1199,0)))</f>
        <v/>
      </c>
      <c r="C195" s="6" t="str">
        <f>IF(ISNA(MATCH(182,Engine!$C$2:$C$1199,0)),"",INDEX('Compliance Database'!$C$2:$C$1199,MATCH(182,Engine!$C$2:$C$1199,0)))</f>
        <v/>
      </c>
      <c r="D195" s="7" t="str">
        <f>IF(ISNA(MATCH(182,Engine!$C$2:$C$1199,0)),"",INDEX('Compliance Database'!$D$2:$D$1199,MATCH(182,Engine!$C$2:$C$1199,0)))</f>
        <v/>
      </c>
      <c r="E195" s="6" t="str">
        <f>IF(ISNA(MATCH(182,Engine!$C$2:$C$1199,0)),"",INDEX('Compliance Database'!$E$2:$E$1199,MATCH(182,Engine!$C$2:$C$1199,0)))</f>
        <v/>
      </c>
      <c r="F195" s="6" t="str">
        <f>IF(ISNA(MATCH(182,Engine!$C$2:$C$1199,0)),"",INDEX('Compliance Database'!$F$2:$F$1199,MATCH(182,Engine!$C$2:$C$1199,0)))</f>
        <v/>
      </c>
      <c r="G195" s="6" t="str">
        <f>IF(ISNA(MATCH(182,Engine!$C$2:$C$1199,0)),"",INDEX('Compliance Database'!$G$2:$G$1199,MATCH(182,Engine!$C$2:$C$1199,0)))</f>
        <v/>
      </c>
      <c r="H195" s="7" t="str">
        <f>IF(ISNA(MATCH(182,Engine!$C$2:$C$1199,0)),"",INDEX('Compliance Database'!$H$2:$H$1199,MATCH(182,Engine!$C$2:$C$1199,0)))</f>
        <v/>
      </c>
      <c r="I195" s="7" t="str">
        <f>IF(ISNA(MATCH(182,Engine!$C$2:$C$1199,0)),"",INDEX('Compliance Database'!$I$2:$I$1199,MATCH(182,Engine!$C$2:$C$1199,0)))</f>
        <v/>
      </c>
      <c r="J195" s="6" t="str">
        <f>IF(ISNA(MATCH(182,Engine!$C$2:$C$1199,0)),"",INDEX('Compliance Database'!$J$2:$J$1199,MATCH(182,Engine!$C$2:$C$1199,0)))</f>
        <v/>
      </c>
      <c r="K195" s="7" t="str">
        <f>IF(ISNA(MATCH(182,Engine!$C$2:$C$1199,0)),"",INDEX('Compliance Database'!$K$2:$K$1199,MATCH(182,Engine!$C$2:$C$1199,0)))</f>
        <v/>
      </c>
      <c r="L195" s="7" t="str">
        <f>IF(ISNA(MATCH(182,Engine!$C$2:$C$1199,0)),"",INDEX('Compliance Database'!$L$2:$L$1199,MATCH(182,Engine!$C$2:$C$1199,0)))</f>
        <v/>
      </c>
      <c r="M195" s="7" t="str">
        <f>IF(ISNA(MATCH(182,Engine!$C$2:$C$1199,0)),"",INDEX('Compliance Database'!$M$2:$M$1199,MATCH(182,Engine!$C$2:$C$1199,0)))</f>
        <v/>
      </c>
      <c r="N195" s="7" t="str">
        <f>IF(ISNA(MATCH(182,Engine!$C$2:$C$1199,0)),"",INDEX('Compliance Database'!$N$2:$N$1199,MATCH(182,Engine!$C$2:$C$1199,0)))</f>
        <v/>
      </c>
      <c r="O195" s="7" t="str">
        <f>IF(ISNA(MATCH(182,Engine!$C$2:$C$1199,0)),"",INDEX('Compliance Database'!$O$2:$O$1199,MATCH(182,Engine!$C$2:$C$1199,0)))</f>
        <v/>
      </c>
      <c r="P195" s="6" t="str">
        <f>IF(ISNA(MATCH(182,Engine!$C$2:$C$1199,0)),"",HYPERLINK("#Acts!A"&amp;INDEX('Compliance Database'!$P$2:$P$1199,MATCH(182,Engine!$C$2:$C$1199,0)),"Go to Act"))</f>
        <v/>
      </c>
    </row>
    <row r="196" spans="1:16" ht="172.95" customHeight="1" x14ac:dyDescent="0.3">
      <c r="A196" s="6" t="str">
        <f>IF(ISNA(MATCH(183,Engine!$C$2:$C$1199,0)),"",INDEX('Compliance Database'!$A$2:$A$1199,MATCH(183,Engine!$C$2:$C$1199,0)))</f>
        <v/>
      </c>
      <c r="B196" s="6" t="str">
        <f>IF(ISNA(MATCH(183,Engine!$C$2:$C$1199,0)),"",INDEX('Compliance Database'!$B$2:$B$1199,MATCH(183,Engine!$C$2:$C$1199,0)))</f>
        <v/>
      </c>
      <c r="C196" s="6" t="str">
        <f>IF(ISNA(MATCH(183,Engine!$C$2:$C$1199,0)),"",INDEX('Compliance Database'!$C$2:$C$1199,MATCH(183,Engine!$C$2:$C$1199,0)))</f>
        <v/>
      </c>
      <c r="D196" s="7" t="str">
        <f>IF(ISNA(MATCH(183,Engine!$C$2:$C$1199,0)),"",INDEX('Compliance Database'!$D$2:$D$1199,MATCH(183,Engine!$C$2:$C$1199,0)))</f>
        <v/>
      </c>
      <c r="E196" s="6" t="str">
        <f>IF(ISNA(MATCH(183,Engine!$C$2:$C$1199,0)),"",INDEX('Compliance Database'!$E$2:$E$1199,MATCH(183,Engine!$C$2:$C$1199,0)))</f>
        <v/>
      </c>
      <c r="F196" s="6" t="str">
        <f>IF(ISNA(MATCH(183,Engine!$C$2:$C$1199,0)),"",INDEX('Compliance Database'!$F$2:$F$1199,MATCH(183,Engine!$C$2:$C$1199,0)))</f>
        <v/>
      </c>
      <c r="G196" s="6" t="str">
        <f>IF(ISNA(MATCH(183,Engine!$C$2:$C$1199,0)),"",INDEX('Compliance Database'!$G$2:$G$1199,MATCH(183,Engine!$C$2:$C$1199,0)))</f>
        <v/>
      </c>
      <c r="H196" s="7" t="str">
        <f>IF(ISNA(MATCH(183,Engine!$C$2:$C$1199,0)),"",INDEX('Compliance Database'!$H$2:$H$1199,MATCH(183,Engine!$C$2:$C$1199,0)))</f>
        <v/>
      </c>
      <c r="I196" s="7" t="str">
        <f>IF(ISNA(MATCH(183,Engine!$C$2:$C$1199,0)),"",INDEX('Compliance Database'!$I$2:$I$1199,MATCH(183,Engine!$C$2:$C$1199,0)))</f>
        <v/>
      </c>
      <c r="J196" s="6" t="str">
        <f>IF(ISNA(MATCH(183,Engine!$C$2:$C$1199,0)),"",INDEX('Compliance Database'!$J$2:$J$1199,MATCH(183,Engine!$C$2:$C$1199,0)))</f>
        <v/>
      </c>
      <c r="K196" s="7" t="str">
        <f>IF(ISNA(MATCH(183,Engine!$C$2:$C$1199,0)),"",INDEX('Compliance Database'!$K$2:$K$1199,MATCH(183,Engine!$C$2:$C$1199,0)))</f>
        <v/>
      </c>
      <c r="L196" s="7" t="str">
        <f>IF(ISNA(MATCH(183,Engine!$C$2:$C$1199,0)),"",INDEX('Compliance Database'!$L$2:$L$1199,MATCH(183,Engine!$C$2:$C$1199,0)))</f>
        <v/>
      </c>
      <c r="M196" s="7" t="str">
        <f>IF(ISNA(MATCH(183,Engine!$C$2:$C$1199,0)),"",INDEX('Compliance Database'!$M$2:$M$1199,MATCH(183,Engine!$C$2:$C$1199,0)))</f>
        <v/>
      </c>
      <c r="N196" s="7" t="str">
        <f>IF(ISNA(MATCH(183,Engine!$C$2:$C$1199,0)),"",INDEX('Compliance Database'!$N$2:$N$1199,MATCH(183,Engine!$C$2:$C$1199,0)))</f>
        <v/>
      </c>
      <c r="O196" s="7" t="str">
        <f>IF(ISNA(MATCH(183,Engine!$C$2:$C$1199,0)),"",INDEX('Compliance Database'!$O$2:$O$1199,MATCH(183,Engine!$C$2:$C$1199,0)))</f>
        <v/>
      </c>
      <c r="P196" s="6" t="str">
        <f>IF(ISNA(MATCH(183,Engine!$C$2:$C$1199,0)),"",HYPERLINK("#Acts!A"&amp;INDEX('Compliance Database'!$P$2:$P$1199,MATCH(183,Engine!$C$2:$C$1199,0)),"Go to Act"))</f>
        <v/>
      </c>
    </row>
    <row r="197" spans="1:16" ht="172.95" customHeight="1" x14ac:dyDescent="0.3">
      <c r="A197" s="6" t="str">
        <f>IF(ISNA(MATCH(184,Engine!$C$2:$C$1199,0)),"",INDEX('Compliance Database'!$A$2:$A$1199,MATCH(184,Engine!$C$2:$C$1199,0)))</f>
        <v/>
      </c>
      <c r="B197" s="6" t="str">
        <f>IF(ISNA(MATCH(184,Engine!$C$2:$C$1199,0)),"",INDEX('Compliance Database'!$B$2:$B$1199,MATCH(184,Engine!$C$2:$C$1199,0)))</f>
        <v/>
      </c>
      <c r="C197" s="6" t="str">
        <f>IF(ISNA(MATCH(184,Engine!$C$2:$C$1199,0)),"",INDEX('Compliance Database'!$C$2:$C$1199,MATCH(184,Engine!$C$2:$C$1199,0)))</f>
        <v/>
      </c>
      <c r="D197" s="7" t="str">
        <f>IF(ISNA(MATCH(184,Engine!$C$2:$C$1199,0)),"",INDEX('Compliance Database'!$D$2:$D$1199,MATCH(184,Engine!$C$2:$C$1199,0)))</f>
        <v/>
      </c>
      <c r="E197" s="6" t="str">
        <f>IF(ISNA(MATCH(184,Engine!$C$2:$C$1199,0)),"",INDEX('Compliance Database'!$E$2:$E$1199,MATCH(184,Engine!$C$2:$C$1199,0)))</f>
        <v/>
      </c>
      <c r="F197" s="6" t="str">
        <f>IF(ISNA(MATCH(184,Engine!$C$2:$C$1199,0)),"",INDEX('Compliance Database'!$F$2:$F$1199,MATCH(184,Engine!$C$2:$C$1199,0)))</f>
        <v/>
      </c>
      <c r="G197" s="6" t="str">
        <f>IF(ISNA(MATCH(184,Engine!$C$2:$C$1199,0)),"",INDEX('Compliance Database'!$G$2:$G$1199,MATCH(184,Engine!$C$2:$C$1199,0)))</f>
        <v/>
      </c>
      <c r="H197" s="7" t="str">
        <f>IF(ISNA(MATCH(184,Engine!$C$2:$C$1199,0)),"",INDEX('Compliance Database'!$H$2:$H$1199,MATCH(184,Engine!$C$2:$C$1199,0)))</f>
        <v/>
      </c>
      <c r="I197" s="7" t="str">
        <f>IF(ISNA(MATCH(184,Engine!$C$2:$C$1199,0)),"",INDEX('Compliance Database'!$I$2:$I$1199,MATCH(184,Engine!$C$2:$C$1199,0)))</f>
        <v/>
      </c>
      <c r="J197" s="6" t="str">
        <f>IF(ISNA(MATCH(184,Engine!$C$2:$C$1199,0)),"",INDEX('Compliance Database'!$J$2:$J$1199,MATCH(184,Engine!$C$2:$C$1199,0)))</f>
        <v/>
      </c>
      <c r="K197" s="7" t="str">
        <f>IF(ISNA(MATCH(184,Engine!$C$2:$C$1199,0)),"",INDEX('Compliance Database'!$K$2:$K$1199,MATCH(184,Engine!$C$2:$C$1199,0)))</f>
        <v/>
      </c>
      <c r="L197" s="7" t="str">
        <f>IF(ISNA(MATCH(184,Engine!$C$2:$C$1199,0)),"",INDEX('Compliance Database'!$L$2:$L$1199,MATCH(184,Engine!$C$2:$C$1199,0)))</f>
        <v/>
      </c>
      <c r="M197" s="7" t="str">
        <f>IF(ISNA(MATCH(184,Engine!$C$2:$C$1199,0)),"",INDEX('Compliance Database'!$M$2:$M$1199,MATCH(184,Engine!$C$2:$C$1199,0)))</f>
        <v/>
      </c>
      <c r="N197" s="7" t="str">
        <f>IF(ISNA(MATCH(184,Engine!$C$2:$C$1199,0)),"",INDEX('Compliance Database'!$N$2:$N$1199,MATCH(184,Engine!$C$2:$C$1199,0)))</f>
        <v/>
      </c>
      <c r="O197" s="7" t="str">
        <f>IF(ISNA(MATCH(184,Engine!$C$2:$C$1199,0)),"",INDEX('Compliance Database'!$O$2:$O$1199,MATCH(184,Engine!$C$2:$C$1199,0)))</f>
        <v/>
      </c>
      <c r="P197" s="6" t="str">
        <f>IF(ISNA(MATCH(184,Engine!$C$2:$C$1199,0)),"",HYPERLINK("#Acts!A"&amp;INDEX('Compliance Database'!$P$2:$P$1199,MATCH(184,Engine!$C$2:$C$1199,0)),"Go to Act"))</f>
        <v/>
      </c>
    </row>
    <row r="198" spans="1:16" ht="172.95" customHeight="1" x14ac:dyDescent="0.3">
      <c r="A198" s="6" t="str">
        <f>IF(ISNA(MATCH(185,Engine!$C$2:$C$1199,0)),"",INDEX('Compliance Database'!$A$2:$A$1199,MATCH(185,Engine!$C$2:$C$1199,0)))</f>
        <v/>
      </c>
      <c r="B198" s="6" t="str">
        <f>IF(ISNA(MATCH(185,Engine!$C$2:$C$1199,0)),"",INDEX('Compliance Database'!$B$2:$B$1199,MATCH(185,Engine!$C$2:$C$1199,0)))</f>
        <v/>
      </c>
      <c r="C198" s="6" t="str">
        <f>IF(ISNA(MATCH(185,Engine!$C$2:$C$1199,0)),"",INDEX('Compliance Database'!$C$2:$C$1199,MATCH(185,Engine!$C$2:$C$1199,0)))</f>
        <v/>
      </c>
      <c r="D198" s="7" t="str">
        <f>IF(ISNA(MATCH(185,Engine!$C$2:$C$1199,0)),"",INDEX('Compliance Database'!$D$2:$D$1199,MATCH(185,Engine!$C$2:$C$1199,0)))</f>
        <v/>
      </c>
      <c r="E198" s="6" t="str">
        <f>IF(ISNA(MATCH(185,Engine!$C$2:$C$1199,0)),"",INDEX('Compliance Database'!$E$2:$E$1199,MATCH(185,Engine!$C$2:$C$1199,0)))</f>
        <v/>
      </c>
      <c r="F198" s="6" t="str">
        <f>IF(ISNA(MATCH(185,Engine!$C$2:$C$1199,0)),"",INDEX('Compliance Database'!$F$2:$F$1199,MATCH(185,Engine!$C$2:$C$1199,0)))</f>
        <v/>
      </c>
      <c r="G198" s="6" t="str">
        <f>IF(ISNA(MATCH(185,Engine!$C$2:$C$1199,0)),"",INDEX('Compliance Database'!$G$2:$G$1199,MATCH(185,Engine!$C$2:$C$1199,0)))</f>
        <v/>
      </c>
      <c r="H198" s="7" t="str">
        <f>IF(ISNA(MATCH(185,Engine!$C$2:$C$1199,0)),"",INDEX('Compliance Database'!$H$2:$H$1199,MATCH(185,Engine!$C$2:$C$1199,0)))</f>
        <v/>
      </c>
      <c r="I198" s="7" t="str">
        <f>IF(ISNA(MATCH(185,Engine!$C$2:$C$1199,0)),"",INDEX('Compliance Database'!$I$2:$I$1199,MATCH(185,Engine!$C$2:$C$1199,0)))</f>
        <v/>
      </c>
      <c r="J198" s="6" t="str">
        <f>IF(ISNA(MATCH(185,Engine!$C$2:$C$1199,0)),"",INDEX('Compliance Database'!$J$2:$J$1199,MATCH(185,Engine!$C$2:$C$1199,0)))</f>
        <v/>
      </c>
      <c r="K198" s="7" t="str">
        <f>IF(ISNA(MATCH(185,Engine!$C$2:$C$1199,0)),"",INDEX('Compliance Database'!$K$2:$K$1199,MATCH(185,Engine!$C$2:$C$1199,0)))</f>
        <v/>
      </c>
      <c r="L198" s="7" t="str">
        <f>IF(ISNA(MATCH(185,Engine!$C$2:$C$1199,0)),"",INDEX('Compliance Database'!$L$2:$L$1199,MATCH(185,Engine!$C$2:$C$1199,0)))</f>
        <v/>
      </c>
      <c r="M198" s="7" t="str">
        <f>IF(ISNA(MATCH(185,Engine!$C$2:$C$1199,0)),"",INDEX('Compliance Database'!$M$2:$M$1199,MATCH(185,Engine!$C$2:$C$1199,0)))</f>
        <v/>
      </c>
      <c r="N198" s="7" t="str">
        <f>IF(ISNA(MATCH(185,Engine!$C$2:$C$1199,0)),"",INDEX('Compliance Database'!$N$2:$N$1199,MATCH(185,Engine!$C$2:$C$1199,0)))</f>
        <v/>
      </c>
      <c r="O198" s="7" t="str">
        <f>IF(ISNA(MATCH(185,Engine!$C$2:$C$1199,0)),"",INDEX('Compliance Database'!$O$2:$O$1199,MATCH(185,Engine!$C$2:$C$1199,0)))</f>
        <v/>
      </c>
      <c r="P198" s="6" t="str">
        <f>IF(ISNA(MATCH(185,Engine!$C$2:$C$1199,0)),"",HYPERLINK("#Acts!A"&amp;INDEX('Compliance Database'!$P$2:$P$1199,MATCH(185,Engine!$C$2:$C$1199,0)),"Go to Act"))</f>
        <v/>
      </c>
    </row>
    <row r="199" spans="1:16" ht="172.95" customHeight="1" x14ac:dyDescent="0.3">
      <c r="A199" s="6" t="str">
        <f>IF(ISNA(MATCH(186,Engine!$C$2:$C$1199,0)),"",INDEX('Compliance Database'!$A$2:$A$1199,MATCH(186,Engine!$C$2:$C$1199,0)))</f>
        <v/>
      </c>
      <c r="B199" s="6" t="str">
        <f>IF(ISNA(MATCH(186,Engine!$C$2:$C$1199,0)),"",INDEX('Compliance Database'!$B$2:$B$1199,MATCH(186,Engine!$C$2:$C$1199,0)))</f>
        <v/>
      </c>
      <c r="C199" s="6" t="str">
        <f>IF(ISNA(MATCH(186,Engine!$C$2:$C$1199,0)),"",INDEX('Compliance Database'!$C$2:$C$1199,MATCH(186,Engine!$C$2:$C$1199,0)))</f>
        <v/>
      </c>
      <c r="D199" s="7" t="str">
        <f>IF(ISNA(MATCH(186,Engine!$C$2:$C$1199,0)),"",INDEX('Compliance Database'!$D$2:$D$1199,MATCH(186,Engine!$C$2:$C$1199,0)))</f>
        <v/>
      </c>
      <c r="E199" s="6" t="str">
        <f>IF(ISNA(MATCH(186,Engine!$C$2:$C$1199,0)),"",INDEX('Compliance Database'!$E$2:$E$1199,MATCH(186,Engine!$C$2:$C$1199,0)))</f>
        <v/>
      </c>
      <c r="F199" s="6" t="str">
        <f>IF(ISNA(MATCH(186,Engine!$C$2:$C$1199,0)),"",INDEX('Compliance Database'!$F$2:$F$1199,MATCH(186,Engine!$C$2:$C$1199,0)))</f>
        <v/>
      </c>
      <c r="G199" s="6" t="str">
        <f>IF(ISNA(MATCH(186,Engine!$C$2:$C$1199,0)),"",INDEX('Compliance Database'!$G$2:$G$1199,MATCH(186,Engine!$C$2:$C$1199,0)))</f>
        <v/>
      </c>
      <c r="H199" s="7" t="str">
        <f>IF(ISNA(MATCH(186,Engine!$C$2:$C$1199,0)),"",INDEX('Compliance Database'!$H$2:$H$1199,MATCH(186,Engine!$C$2:$C$1199,0)))</f>
        <v/>
      </c>
      <c r="I199" s="7" t="str">
        <f>IF(ISNA(MATCH(186,Engine!$C$2:$C$1199,0)),"",INDEX('Compliance Database'!$I$2:$I$1199,MATCH(186,Engine!$C$2:$C$1199,0)))</f>
        <v/>
      </c>
      <c r="J199" s="6" t="str">
        <f>IF(ISNA(MATCH(186,Engine!$C$2:$C$1199,0)),"",INDEX('Compliance Database'!$J$2:$J$1199,MATCH(186,Engine!$C$2:$C$1199,0)))</f>
        <v/>
      </c>
      <c r="K199" s="7" t="str">
        <f>IF(ISNA(MATCH(186,Engine!$C$2:$C$1199,0)),"",INDEX('Compliance Database'!$K$2:$K$1199,MATCH(186,Engine!$C$2:$C$1199,0)))</f>
        <v/>
      </c>
      <c r="L199" s="7" t="str">
        <f>IF(ISNA(MATCH(186,Engine!$C$2:$C$1199,0)),"",INDEX('Compliance Database'!$L$2:$L$1199,MATCH(186,Engine!$C$2:$C$1199,0)))</f>
        <v/>
      </c>
      <c r="M199" s="7" t="str">
        <f>IF(ISNA(MATCH(186,Engine!$C$2:$C$1199,0)),"",INDEX('Compliance Database'!$M$2:$M$1199,MATCH(186,Engine!$C$2:$C$1199,0)))</f>
        <v/>
      </c>
      <c r="N199" s="7" t="str">
        <f>IF(ISNA(MATCH(186,Engine!$C$2:$C$1199,0)),"",INDEX('Compliance Database'!$N$2:$N$1199,MATCH(186,Engine!$C$2:$C$1199,0)))</f>
        <v/>
      </c>
      <c r="O199" s="7" t="str">
        <f>IF(ISNA(MATCH(186,Engine!$C$2:$C$1199,0)),"",INDEX('Compliance Database'!$O$2:$O$1199,MATCH(186,Engine!$C$2:$C$1199,0)))</f>
        <v/>
      </c>
      <c r="P199" s="6" t="str">
        <f>IF(ISNA(MATCH(186,Engine!$C$2:$C$1199,0)),"",HYPERLINK("#Acts!A"&amp;INDEX('Compliance Database'!$P$2:$P$1199,MATCH(186,Engine!$C$2:$C$1199,0)),"Go to Act"))</f>
        <v/>
      </c>
    </row>
    <row r="200" spans="1:16" ht="172.95" customHeight="1" x14ac:dyDescent="0.3">
      <c r="A200" s="6" t="str">
        <f>IF(ISNA(MATCH(187,Engine!$C$2:$C$1199,0)),"",INDEX('Compliance Database'!$A$2:$A$1199,MATCH(187,Engine!$C$2:$C$1199,0)))</f>
        <v/>
      </c>
      <c r="B200" s="6" t="str">
        <f>IF(ISNA(MATCH(187,Engine!$C$2:$C$1199,0)),"",INDEX('Compliance Database'!$B$2:$B$1199,MATCH(187,Engine!$C$2:$C$1199,0)))</f>
        <v/>
      </c>
      <c r="C200" s="6" t="str">
        <f>IF(ISNA(MATCH(187,Engine!$C$2:$C$1199,0)),"",INDEX('Compliance Database'!$C$2:$C$1199,MATCH(187,Engine!$C$2:$C$1199,0)))</f>
        <v/>
      </c>
      <c r="D200" s="7" t="str">
        <f>IF(ISNA(MATCH(187,Engine!$C$2:$C$1199,0)),"",INDEX('Compliance Database'!$D$2:$D$1199,MATCH(187,Engine!$C$2:$C$1199,0)))</f>
        <v/>
      </c>
      <c r="E200" s="6" t="str">
        <f>IF(ISNA(MATCH(187,Engine!$C$2:$C$1199,0)),"",INDEX('Compliance Database'!$E$2:$E$1199,MATCH(187,Engine!$C$2:$C$1199,0)))</f>
        <v/>
      </c>
      <c r="F200" s="6" t="str">
        <f>IF(ISNA(MATCH(187,Engine!$C$2:$C$1199,0)),"",INDEX('Compliance Database'!$F$2:$F$1199,MATCH(187,Engine!$C$2:$C$1199,0)))</f>
        <v/>
      </c>
      <c r="G200" s="6" t="str">
        <f>IF(ISNA(MATCH(187,Engine!$C$2:$C$1199,0)),"",INDEX('Compliance Database'!$G$2:$G$1199,MATCH(187,Engine!$C$2:$C$1199,0)))</f>
        <v/>
      </c>
      <c r="H200" s="7" t="str">
        <f>IF(ISNA(MATCH(187,Engine!$C$2:$C$1199,0)),"",INDEX('Compliance Database'!$H$2:$H$1199,MATCH(187,Engine!$C$2:$C$1199,0)))</f>
        <v/>
      </c>
      <c r="I200" s="7" t="str">
        <f>IF(ISNA(MATCH(187,Engine!$C$2:$C$1199,0)),"",INDEX('Compliance Database'!$I$2:$I$1199,MATCH(187,Engine!$C$2:$C$1199,0)))</f>
        <v/>
      </c>
      <c r="J200" s="6" t="str">
        <f>IF(ISNA(MATCH(187,Engine!$C$2:$C$1199,0)),"",INDEX('Compliance Database'!$J$2:$J$1199,MATCH(187,Engine!$C$2:$C$1199,0)))</f>
        <v/>
      </c>
      <c r="K200" s="7" t="str">
        <f>IF(ISNA(MATCH(187,Engine!$C$2:$C$1199,0)),"",INDEX('Compliance Database'!$K$2:$K$1199,MATCH(187,Engine!$C$2:$C$1199,0)))</f>
        <v/>
      </c>
      <c r="L200" s="7" t="str">
        <f>IF(ISNA(MATCH(187,Engine!$C$2:$C$1199,0)),"",INDEX('Compliance Database'!$L$2:$L$1199,MATCH(187,Engine!$C$2:$C$1199,0)))</f>
        <v/>
      </c>
      <c r="M200" s="7" t="str">
        <f>IF(ISNA(MATCH(187,Engine!$C$2:$C$1199,0)),"",INDEX('Compliance Database'!$M$2:$M$1199,MATCH(187,Engine!$C$2:$C$1199,0)))</f>
        <v/>
      </c>
      <c r="N200" s="7" t="str">
        <f>IF(ISNA(MATCH(187,Engine!$C$2:$C$1199,0)),"",INDEX('Compliance Database'!$N$2:$N$1199,MATCH(187,Engine!$C$2:$C$1199,0)))</f>
        <v/>
      </c>
      <c r="O200" s="7" t="str">
        <f>IF(ISNA(MATCH(187,Engine!$C$2:$C$1199,0)),"",INDEX('Compliance Database'!$O$2:$O$1199,MATCH(187,Engine!$C$2:$C$1199,0)))</f>
        <v/>
      </c>
      <c r="P200" s="6" t="str">
        <f>IF(ISNA(MATCH(187,Engine!$C$2:$C$1199,0)),"",HYPERLINK("#Acts!A"&amp;INDEX('Compliance Database'!$P$2:$P$1199,MATCH(187,Engine!$C$2:$C$1199,0)),"Go to Act"))</f>
        <v/>
      </c>
    </row>
    <row r="201" spans="1:16" ht="172.95" customHeight="1" x14ac:dyDescent="0.3">
      <c r="A201" s="6" t="str">
        <f>IF(ISNA(MATCH(188,Engine!$C$2:$C$1199,0)),"",INDEX('Compliance Database'!$A$2:$A$1199,MATCH(188,Engine!$C$2:$C$1199,0)))</f>
        <v/>
      </c>
      <c r="B201" s="6" t="str">
        <f>IF(ISNA(MATCH(188,Engine!$C$2:$C$1199,0)),"",INDEX('Compliance Database'!$B$2:$B$1199,MATCH(188,Engine!$C$2:$C$1199,0)))</f>
        <v/>
      </c>
      <c r="C201" s="6" t="str">
        <f>IF(ISNA(MATCH(188,Engine!$C$2:$C$1199,0)),"",INDEX('Compliance Database'!$C$2:$C$1199,MATCH(188,Engine!$C$2:$C$1199,0)))</f>
        <v/>
      </c>
      <c r="D201" s="7" t="str">
        <f>IF(ISNA(MATCH(188,Engine!$C$2:$C$1199,0)),"",INDEX('Compliance Database'!$D$2:$D$1199,MATCH(188,Engine!$C$2:$C$1199,0)))</f>
        <v/>
      </c>
      <c r="E201" s="6" t="str">
        <f>IF(ISNA(MATCH(188,Engine!$C$2:$C$1199,0)),"",INDEX('Compliance Database'!$E$2:$E$1199,MATCH(188,Engine!$C$2:$C$1199,0)))</f>
        <v/>
      </c>
      <c r="F201" s="6" t="str">
        <f>IF(ISNA(MATCH(188,Engine!$C$2:$C$1199,0)),"",INDEX('Compliance Database'!$F$2:$F$1199,MATCH(188,Engine!$C$2:$C$1199,0)))</f>
        <v/>
      </c>
      <c r="G201" s="6" t="str">
        <f>IF(ISNA(MATCH(188,Engine!$C$2:$C$1199,0)),"",INDEX('Compliance Database'!$G$2:$G$1199,MATCH(188,Engine!$C$2:$C$1199,0)))</f>
        <v/>
      </c>
      <c r="H201" s="7" t="str">
        <f>IF(ISNA(MATCH(188,Engine!$C$2:$C$1199,0)),"",INDEX('Compliance Database'!$H$2:$H$1199,MATCH(188,Engine!$C$2:$C$1199,0)))</f>
        <v/>
      </c>
      <c r="I201" s="7" t="str">
        <f>IF(ISNA(MATCH(188,Engine!$C$2:$C$1199,0)),"",INDEX('Compliance Database'!$I$2:$I$1199,MATCH(188,Engine!$C$2:$C$1199,0)))</f>
        <v/>
      </c>
      <c r="J201" s="6" t="str">
        <f>IF(ISNA(MATCH(188,Engine!$C$2:$C$1199,0)),"",INDEX('Compliance Database'!$J$2:$J$1199,MATCH(188,Engine!$C$2:$C$1199,0)))</f>
        <v/>
      </c>
      <c r="K201" s="7" t="str">
        <f>IF(ISNA(MATCH(188,Engine!$C$2:$C$1199,0)),"",INDEX('Compliance Database'!$K$2:$K$1199,MATCH(188,Engine!$C$2:$C$1199,0)))</f>
        <v/>
      </c>
      <c r="L201" s="7" t="str">
        <f>IF(ISNA(MATCH(188,Engine!$C$2:$C$1199,0)),"",INDEX('Compliance Database'!$L$2:$L$1199,MATCH(188,Engine!$C$2:$C$1199,0)))</f>
        <v/>
      </c>
      <c r="M201" s="7" t="str">
        <f>IF(ISNA(MATCH(188,Engine!$C$2:$C$1199,0)),"",INDEX('Compliance Database'!$M$2:$M$1199,MATCH(188,Engine!$C$2:$C$1199,0)))</f>
        <v/>
      </c>
      <c r="N201" s="7" t="str">
        <f>IF(ISNA(MATCH(188,Engine!$C$2:$C$1199,0)),"",INDEX('Compliance Database'!$N$2:$N$1199,MATCH(188,Engine!$C$2:$C$1199,0)))</f>
        <v/>
      </c>
      <c r="O201" s="7" t="str">
        <f>IF(ISNA(MATCH(188,Engine!$C$2:$C$1199,0)),"",INDEX('Compliance Database'!$O$2:$O$1199,MATCH(188,Engine!$C$2:$C$1199,0)))</f>
        <v/>
      </c>
      <c r="P201" s="6" t="str">
        <f>IF(ISNA(MATCH(188,Engine!$C$2:$C$1199,0)),"",HYPERLINK("#Acts!A"&amp;INDEX('Compliance Database'!$P$2:$P$1199,MATCH(188,Engine!$C$2:$C$1199,0)),"Go to Act"))</f>
        <v/>
      </c>
    </row>
    <row r="202" spans="1:16" ht="172.95" customHeight="1" x14ac:dyDescent="0.3">
      <c r="A202" s="6" t="str">
        <f>IF(ISNA(MATCH(189,Engine!$C$2:$C$1199,0)),"",INDEX('Compliance Database'!$A$2:$A$1199,MATCH(189,Engine!$C$2:$C$1199,0)))</f>
        <v/>
      </c>
      <c r="B202" s="6" t="str">
        <f>IF(ISNA(MATCH(189,Engine!$C$2:$C$1199,0)),"",INDEX('Compliance Database'!$B$2:$B$1199,MATCH(189,Engine!$C$2:$C$1199,0)))</f>
        <v/>
      </c>
      <c r="C202" s="6" t="str">
        <f>IF(ISNA(MATCH(189,Engine!$C$2:$C$1199,0)),"",INDEX('Compliance Database'!$C$2:$C$1199,MATCH(189,Engine!$C$2:$C$1199,0)))</f>
        <v/>
      </c>
      <c r="D202" s="7" t="str">
        <f>IF(ISNA(MATCH(189,Engine!$C$2:$C$1199,0)),"",INDEX('Compliance Database'!$D$2:$D$1199,MATCH(189,Engine!$C$2:$C$1199,0)))</f>
        <v/>
      </c>
      <c r="E202" s="6" t="str">
        <f>IF(ISNA(MATCH(189,Engine!$C$2:$C$1199,0)),"",INDEX('Compliance Database'!$E$2:$E$1199,MATCH(189,Engine!$C$2:$C$1199,0)))</f>
        <v/>
      </c>
      <c r="F202" s="6" t="str">
        <f>IF(ISNA(MATCH(189,Engine!$C$2:$C$1199,0)),"",INDEX('Compliance Database'!$F$2:$F$1199,MATCH(189,Engine!$C$2:$C$1199,0)))</f>
        <v/>
      </c>
      <c r="G202" s="6" t="str">
        <f>IF(ISNA(MATCH(189,Engine!$C$2:$C$1199,0)),"",INDEX('Compliance Database'!$G$2:$G$1199,MATCH(189,Engine!$C$2:$C$1199,0)))</f>
        <v/>
      </c>
      <c r="H202" s="7" t="str">
        <f>IF(ISNA(MATCH(189,Engine!$C$2:$C$1199,0)),"",INDEX('Compliance Database'!$H$2:$H$1199,MATCH(189,Engine!$C$2:$C$1199,0)))</f>
        <v/>
      </c>
      <c r="I202" s="7" t="str">
        <f>IF(ISNA(MATCH(189,Engine!$C$2:$C$1199,0)),"",INDEX('Compliance Database'!$I$2:$I$1199,MATCH(189,Engine!$C$2:$C$1199,0)))</f>
        <v/>
      </c>
      <c r="J202" s="6" t="str">
        <f>IF(ISNA(MATCH(189,Engine!$C$2:$C$1199,0)),"",INDEX('Compliance Database'!$J$2:$J$1199,MATCH(189,Engine!$C$2:$C$1199,0)))</f>
        <v/>
      </c>
      <c r="K202" s="7" t="str">
        <f>IF(ISNA(MATCH(189,Engine!$C$2:$C$1199,0)),"",INDEX('Compliance Database'!$K$2:$K$1199,MATCH(189,Engine!$C$2:$C$1199,0)))</f>
        <v/>
      </c>
      <c r="L202" s="7" t="str">
        <f>IF(ISNA(MATCH(189,Engine!$C$2:$C$1199,0)),"",INDEX('Compliance Database'!$L$2:$L$1199,MATCH(189,Engine!$C$2:$C$1199,0)))</f>
        <v/>
      </c>
      <c r="M202" s="7" t="str">
        <f>IF(ISNA(MATCH(189,Engine!$C$2:$C$1199,0)),"",INDEX('Compliance Database'!$M$2:$M$1199,MATCH(189,Engine!$C$2:$C$1199,0)))</f>
        <v/>
      </c>
      <c r="N202" s="7" t="str">
        <f>IF(ISNA(MATCH(189,Engine!$C$2:$C$1199,0)),"",INDEX('Compliance Database'!$N$2:$N$1199,MATCH(189,Engine!$C$2:$C$1199,0)))</f>
        <v/>
      </c>
      <c r="O202" s="7" t="str">
        <f>IF(ISNA(MATCH(189,Engine!$C$2:$C$1199,0)),"",INDEX('Compliance Database'!$O$2:$O$1199,MATCH(189,Engine!$C$2:$C$1199,0)))</f>
        <v/>
      </c>
      <c r="P202" s="6" t="str">
        <f>IF(ISNA(MATCH(189,Engine!$C$2:$C$1199,0)),"",HYPERLINK("#Acts!A"&amp;INDEX('Compliance Database'!$P$2:$P$1199,MATCH(189,Engine!$C$2:$C$1199,0)),"Go to Act"))</f>
        <v/>
      </c>
    </row>
    <row r="203" spans="1:16" ht="172.95" customHeight="1" x14ac:dyDescent="0.3">
      <c r="A203" s="6" t="str">
        <f>IF(ISNA(MATCH(190,Engine!$C$2:$C$1199,0)),"",INDEX('Compliance Database'!$A$2:$A$1199,MATCH(190,Engine!$C$2:$C$1199,0)))</f>
        <v/>
      </c>
      <c r="B203" s="6" t="str">
        <f>IF(ISNA(MATCH(190,Engine!$C$2:$C$1199,0)),"",INDEX('Compliance Database'!$B$2:$B$1199,MATCH(190,Engine!$C$2:$C$1199,0)))</f>
        <v/>
      </c>
      <c r="C203" s="6" t="str">
        <f>IF(ISNA(MATCH(190,Engine!$C$2:$C$1199,0)),"",INDEX('Compliance Database'!$C$2:$C$1199,MATCH(190,Engine!$C$2:$C$1199,0)))</f>
        <v/>
      </c>
      <c r="D203" s="7" t="str">
        <f>IF(ISNA(MATCH(190,Engine!$C$2:$C$1199,0)),"",INDEX('Compliance Database'!$D$2:$D$1199,MATCH(190,Engine!$C$2:$C$1199,0)))</f>
        <v/>
      </c>
      <c r="E203" s="6" t="str">
        <f>IF(ISNA(MATCH(190,Engine!$C$2:$C$1199,0)),"",INDEX('Compliance Database'!$E$2:$E$1199,MATCH(190,Engine!$C$2:$C$1199,0)))</f>
        <v/>
      </c>
      <c r="F203" s="6" t="str">
        <f>IF(ISNA(MATCH(190,Engine!$C$2:$C$1199,0)),"",INDEX('Compliance Database'!$F$2:$F$1199,MATCH(190,Engine!$C$2:$C$1199,0)))</f>
        <v/>
      </c>
      <c r="G203" s="6" t="str">
        <f>IF(ISNA(MATCH(190,Engine!$C$2:$C$1199,0)),"",INDEX('Compliance Database'!$G$2:$G$1199,MATCH(190,Engine!$C$2:$C$1199,0)))</f>
        <v/>
      </c>
      <c r="H203" s="7" t="str">
        <f>IF(ISNA(MATCH(190,Engine!$C$2:$C$1199,0)),"",INDEX('Compliance Database'!$H$2:$H$1199,MATCH(190,Engine!$C$2:$C$1199,0)))</f>
        <v/>
      </c>
      <c r="I203" s="7" t="str">
        <f>IF(ISNA(MATCH(190,Engine!$C$2:$C$1199,0)),"",INDEX('Compliance Database'!$I$2:$I$1199,MATCH(190,Engine!$C$2:$C$1199,0)))</f>
        <v/>
      </c>
      <c r="J203" s="6" t="str">
        <f>IF(ISNA(MATCH(190,Engine!$C$2:$C$1199,0)),"",INDEX('Compliance Database'!$J$2:$J$1199,MATCH(190,Engine!$C$2:$C$1199,0)))</f>
        <v/>
      </c>
      <c r="K203" s="7" t="str">
        <f>IF(ISNA(MATCH(190,Engine!$C$2:$C$1199,0)),"",INDEX('Compliance Database'!$K$2:$K$1199,MATCH(190,Engine!$C$2:$C$1199,0)))</f>
        <v/>
      </c>
      <c r="L203" s="7" t="str">
        <f>IF(ISNA(MATCH(190,Engine!$C$2:$C$1199,0)),"",INDEX('Compliance Database'!$L$2:$L$1199,MATCH(190,Engine!$C$2:$C$1199,0)))</f>
        <v/>
      </c>
      <c r="M203" s="7" t="str">
        <f>IF(ISNA(MATCH(190,Engine!$C$2:$C$1199,0)),"",INDEX('Compliance Database'!$M$2:$M$1199,MATCH(190,Engine!$C$2:$C$1199,0)))</f>
        <v/>
      </c>
      <c r="N203" s="7" t="str">
        <f>IF(ISNA(MATCH(190,Engine!$C$2:$C$1199,0)),"",INDEX('Compliance Database'!$N$2:$N$1199,MATCH(190,Engine!$C$2:$C$1199,0)))</f>
        <v/>
      </c>
      <c r="O203" s="7" t="str">
        <f>IF(ISNA(MATCH(190,Engine!$C$2:$C$1199,0)),"",INDEX('Compliance Database'!$O$2:$O$1199,MATCH(190,Engine!$C$2:$C$1199,0)))</f>
        <v/>
      </c>
      <c r="P203" s="6" t="str">
        <f>IF(ISNA(MATCH(190,Engine!$C$2:$C$1199,0)),"",HYPERLINK("#Acts!A"&amp;INDEX('Compliance Database'!$P$2:$P$1199,MATCH(190,Engine!$C$2:$C$1199,0)),"Go to Act"))</f>
        <v/>
      </c>
    </row>
    <row r="204" spans="1:16" ht="172.95" customHeight="1" x14ac:dyDescent="0.3">
      <c r="A204" s="6" t="str">
        <f>IF(ISNA(MATCH(191,Engine!$C$2:$C$1199,0)),"",INDEX('Compliance Database'!$A$2:$A$1199,MATCH(191,Engine!$C$2:$C$1199,0)))</f>
        <v/>
      </c>
      <c r="B204" s="6" t="str">
        <f>IF(ISNA(MATCH(191,Engine!$C$2:$C$1199,0)),"",INDEX('Compliance Database'!$B$2:$B$1199,MATCH(191,Engine!$C$2:$C$1199,0)))</f>
        <v/>
      </c>
      <c r="C204" s="6" t="str">
        <f>IF(ISNA(MATCH(191,Engine!$C$2:$C$1199,0)),"",INDEX('Compliance Database'!$C$2:$C$1199,MATCH(191,Engine!$C$2:$C$1199,0)))</f>
        <v/>
      </c>
      <c r="D204" s="7" t="str">
        <f>IF(ISNA(MATCH(191,Engine!$C$2:$C$1199,0)),"",INDEX('Compliance Database'!$D$2:$D$1199,MATCH(191,Engine!$C$2:$C$1199,0)))</f>
        <v/>
      </c>
      <c r="E204" s="6" t="str">
        <f>IF(ISNA(MATCH(191,Engine!$C$2:$C$1199,0)),"",INDEX('Compliance Database'!$E$2:$E$1199,MATCH(191,Engine!$C$2:$C$1199,0)))</f>
        <v/>
      </c>
      <c r="F204" s="6" t="str">
        <f>IF(ISNA(MATCH(191,Engine!$C$2:$C$1199,0)),"",INDEX('Compliance Database'!$F$2:$F$1199,MATCH(191,Engine!$C$2:$C$1199,0)))</f>
        <v/>
      </c>
      <c r="G204" s="6" t="str">
        <f>IF(ISNA(MATCH(191,Engine!$C$2:$C$1199,0)),"",INDEX('Compliance Database'!$G$2:$G$1199,MATCH(191,Engine!$C$2:$C$1199,0)))</f>
        <v/>
      </c>
      <c r="H204" s="7" t="str">
        <f>IF(ISNA(MATCH(191,Engine!$C$2:$C$1199,0)),"",INDEX('Compliance Database'!$H$2:$H$1199,MATCH(191,Engine!$C$2:$C$1199,0)))</f>
        <v/>
      </c>
      <c r="I204" s="7" t="str">
        <f>IF(ISNA(MATCH(191,Engine!$C$2:$C$1199,0)),"",INDEX('Compliance Database'!$I$2:$I$1199,MATCH(191,Engine!$C$2:$C$1199,0)))</f>
        <v/>
      </c>
      <c r="J204" s="6" t="str">
        <f>IF(ISNA(MATCH(191,Engine!$C$2:$C$1199,0)),"",INDEX('Compliance Database'!$J$2:$J$1199,MATCH(191,Engine!$C$2:$C$1199,0)))</f>
        <v/>
      </c>
      <c r="K204" s="7" t="str">
        <f>IF(ISNA(MATCH(191,Engine!$C$2:$C$1199,0)),"",INDEX('Compliance Database'!$K$2:$K$1199,MATCH(191,Engine!$C$2:$C$1199,0)))</f>
        <v/>
      </c>
      <c r="L204" s="7" t="str">
        <f>IF(ISNA(MATCH(191,Engine!$C$2:$C$1199,0)),"",INDEX('Compliance Database'!$L$2:$L$1199,MATCH(191,Engine!$C$2:$C$1199,0)))</f>
        <v/>
      </c>
      <c r="M204" s="7" t="str">
        <f>IF(ISNA(MATCH(191,Engine!$C$2:$C$1199,0)),"",INDEX('Compliance Database'!$M$2:$M$1199,MATCH(191,Engine!$C$2:$C$1199,0)))</f>
        <v/>
      </c>
      <c r="N204" s="7" t="str">
        <f>IF(ISNA(MATCH(191,Engine!$C$2:$C$1199,0)),"",INDEX('Compliance Database'!$N$2:$N$1199,MATCH(191,Engine!$C$2:$C$1199,0)))</f>
        <v/>
      </c>
      <c r="O204" s="7" t="str">
        <f>IF(ISNA(MATCH(191,Engine!$C$2:$C$1199,0)),"",INDEX('Compliance Database'!$O$2:$O$1199,MATCH(191,Engine!$C$2:$C$1199,0)))</f>
        <v/>
      </c>
      <c r="P204" s="6" t="str">
        <f>IF(ISNA(MATCH(191,Engine!$C$2:$C$1199,0)),"",HYPERLINK("#Acts!A"&amp;INDEX('Compliance Database'!$P$2:$P$1199,MATCH(191,Engine!$C$2:$C$1199,0)),"Go to Act"))</f>
        <v/>
      </c>
    </row>
    <row r="205" spans="1:16" ht="172.95" customHeight="1" x14ac:dyDescent="0.3">
      <c r="A205" s="6" t="str">
        <f>IF(ISNA(MATCH(192,Engine!$C$2:$C$1199,0)),"",INDEX('Compliance Database'!$A$2:$A$1199,MATCH(192,Engine!$C$2:$C$1199,0)))</f>
        <v/>
      </c>
      <c r="B205" s="6" t="str">
        <f>IF(ISNA(MATCH(192,Engine!$C$2:$C$1199,0)),"",INDEX('Compliance Database'!$B$2:$B$1199,MATCH(192,Engine!$C$2:$C$1199,0)))</f>
        <v/>
      </c>
      <c r="C205" s="6" t="str">
        <f>IF(ISNA(MATCH(192,Engine!$C$2:$C$1199,0)),"",INDEX('Compliance Database'!$C$2:$C$1199,MATCH(192,Engine!$C$2:$C$1199,0)))</f>
        <v/>
      </c>
      <c r="D205" s="7" t="str">
        <f>IF(ISNA(MATCH(192,Engine!$C$2:$C$1199,0)),"",INDEX('Compliance Database'!$D$2:$D$1199,MATCH(192,Engine!$C$2:$C$1199,0)))</f>
        <v/>
      </c>
      <c r="E205" s="6" t="str">
        <f>IF(ISNA(MATCH(192,Engine!$C$2:$C$1199,0)),"",INDEX('Compliance Database'!$E$2:$E$1199,MATCH(192,Engine!$C$2:$C$1199,0)))</f>
        <v/>
      </c>
      <c r="F205" s="6" t="str">
        <f>IF(ISNA(MATCH(192,Engine!$C$2:$C$1199,0)),"",INDEX('Compliance Database'!$F$2:$F$1199,MATCH(192,Engine!$C$2:$C$1199,0)))</f>
        <v/>
      </c>
      <c r="G205" s="6" t="str">
        <f>IF(ISNA(MATCH(192,Engine!$C$2:$C$1199,0)),"",INDEX('Compliance Database'!$G$2:$G$1199,MATCH(192,Engine!$C$2:$C$1199,0)))</f>
        <v/>
      </c>
      <c r="H205" s="7" t="str">
        <f>IF(ISNA(MATCH(192,Engine!$C$2:$C$1199,0)),"",INDEX('Compliance Database'!$H$2:$H$1199,MATCH(192,Engine!$C$2:$C$1199,0)))</f>
        <v/>
      </c>
      <c r="I205" s="7" t="str">
        <f>IF(ISNA(MATCH(192,Engine!$C$2:$C$1199,0)),"",INDEX('Compliance Database'!$I$2:$I$1199,MATCH(192,Engine!$C$2:$C$1199,0)))</f>
        <v/>
      </c>
      <c r="J205" s="6" t="str">
        <f>IF(ISNA(MATCH(192,Engine!$C$2:$C$1199,0)),"",INDEX('Compliance Database'!$J$2:$J$1199,MATCH(192,Engine!$C$2:$C$1199,0)))</f>
        <v/>
      </c>
      <c r="K205" s="7" t="str">
        <f>IF(ISNA(MATCH(192,Engine!$C$2:$C$1199,0)),"",INDEX('Compliance Database'!$K$2:$K$1199,MATCH(192,Engine!$C$2:$C$1199,0)))</f>
        <v/>
      </c>
      <c r="L205" s="7" t="str">
        <f>IF(ISNA(MATCH(192,Engine!$C$2:$C$1199,0)),"",INDEX('Compliance Database'!$L$2:$L$1199,MATCH(192,Engine!$C$2:$C$1199,0)))</f>
        <v/>
      </c>
      <c r="M205" s="7" t="str">
        <f>IF(ISNA(MATCH(192,Engine!$C$2:$C$1199,0)),"",INDEX('Compliance Database'!$M$2:$M$1199,MATCH(192,Engine!$C$2:$C$1199,0)))</f>
        <v/>
      </c>
      <c r="N205" s="7" t="str">
        <f>IF(ISNA(MATCH(192,Engine!$C$2:$C$1199,0)),"",INDEX('Compliance Database'!$N$2:$N$1199,MATCH(192,Engine!$C$2:$C$1199,0)))</f>
        <v/>
      </c>
      <c r="O205" s="7" t="str">
        <f>IF(ISNA(MATCH(192,Engine!$C$2:$C$1199,0)),"",INDEX('Compliance Database'!$O$2:$O$1199,MATCH(192,Engine!$C$2:$C$1199,0)))</f>
        <v/>
      </c>
      <c r="P205" s="6" t="str">
        <f>IF(ISNA(MATCH(192,Engine!$C$2:$C$1199,0)),"",HYPERLINK("#Acts!A"&amp;INDEX('Compliance Database'!$P$2:$P$1199,MATCH(192,Engine!$C$2:$C$1199,0)),"Go to Act"))</f>
        <v/>
      </c>
    </row>
    <row r="206" spans="1:16" ht="172.95" customHeight="1" x14ac:dyDescent="0.3">
      <c r="A206" s="6" t="str">
        <f>IF(ISNA(MATCH(193,Engine!$C$2:$C$1199,0)),"",INDEX('Compliance Database'!$A$2:$A$1199,MATCH(193,Engine!$C$2:$C$1199,0)))</f>
        <v/>
      </c>
      <c r="B206" s="6" t="str">
        <f>IF(ISNA(MATCH(193,Engine!$C$2:$C$1199,0)),"",INDEX('Compliance Database'!$B$2:$B$1199,MATCH(193,Engine!$C$2:$C$1199,0)))</f>
        <v/>
      </c>
      <c r="C206" s="6" t="str">
        <f>IF(ISNA(MATCH(193,Engine!$C$2:$C$1199,0)),"",INDEX('Compliance Database'!$C$2:$C$1199,MATCH(193,Engine!$C$2:$C$1199,0)))</f>
        <v/>
      </c>
      <c r="D206" s="7" t="str">
        <f>IF(ISNA(MATCH(193,Engine!$C$2:$C$1199,0)),"",INDEX('Compliance Database'!$D$2:$D$1199,MATCH(193,Engine!$C$2:$C$1199,0)))</f>
        <v/>
      </c>
      <c r="E206" s="6" t="str">
        <f>IF(ISNA(MATCH(193,Engine!$C$2:$C$1199,0)),"",INDEX('Compliance Database'!$E$2:$E$1199,MATCH(193,Engine!$C$2:$C$1199,0)))</f>
        <v/>
      </c>
      <c r="F206" s="6" t="str">
        <f>IF(ISNA(MATCH(193,Engine!$C$2:$C$1199,0)),"",INDEX('Compliance Database'!$F$2:$F$1199,MATCH(193,Engine!$C$2:$C$1199,0)))</f>
        <v/>
      </c>
      <c r="G206" s="6" t="str">
        <f>IF(ISNA(MATCH(193,Engine!$C$2:$C$1199,0)),"",INDEX('Compliance Database'!$G$2:$G$1199,MATCH(193,Engine!$C$2:$C$1199,0)))</f>
        <v/>
      </c>
      <c r="H206" s="7" t="str">
        <f>IF(ISNA(MATCH(193,Engine!$C$2:$C$1199,0)),"",INDEX('Compliance Database'!$H$2:$H$1199,MATCH(193,Engine!$C$2:$C$1199,0)))</f>
        <v/>
      </c>
      <c r="I206" s="7" t="str">
        <f>IF(ISNA(MATCH(193,Engine!$C$2:$C$1199,0)),"",INDEX('Compliance Database'!$I$2:$I$1199,MATCH(193,Engine!$C$2:$C$1199,0)))</f>
        <v/>
      </c>
      <c r="J206" s="6" t="str">
        <f>IF(ISNA(MATCH(193,Engine!$C$2:$C$1199,0)),"",INDEX('Compliance Database'!$J$2:$J$1199,MATCH(193,Engine!$C$2:$C$1199,0)))</f>
        <v/>
      </c>
      <c r="K206" s="7" t="str">
        <f>IF(ISNA(MATCH(193,Engine!$C$2:$C$1199,0)),"",INDEX('Compliance Database'!$K$2:$K$1199,MATCH(193,Engine!$C$2:$C$1199,0)))</f>
        <v/>
      </c>
      <c r="L206" s="7" t="str">
        <f>IF(ISNA(MATCH(193,Engine!$C$2:$C$1199,0)),"",INDEX('Compliance Database'!$L$2:$L$1199,MATCH(193,Engine!$C$2:$C$1199,0)))</f>
        <v/>
      </c>
      <c r="M206" s="7" t="str">
        <f>IF(ISNA(MATCH(193,Engine!$C$2:$C$1199,0)),"",INDEX('Compliance Database'!$M$2:$M$1199,MATCH(193,Engine!$C$2:$C$1199,0)))</f>
        <v/>
      </c>
      <c r="N206" s="7" t="str">
        <f>IF(ISNA(MATCH(193,Engine!$C$2:$C$1199,0)),"",INDEX('Compliance Database'!$N$2:$N$1199,MATCH(193,Engine!$C$2:$C$1199,0)))</f>
        <v/>
      </c>
      <c r="O206" s="7" t="str">
        <f>IF(ISNA(MATCH(193,Engine!$C$2:$C$1199,0)),"",INDEX('Compliance Database'!$O$2:$O$1199,MATCH(193,Engine!$C$2:$C$1199,0)))</f>
        <v/>
      </c>
      <c r="P206" s="6" t="str">
        <f>IF(ISNA(MATCH(193,Engine!$C$2:$C$1199,0)),"",HYPERLINK("#Acts!A"&amp;INDEX('Compliance Database'!$P$2:$P$1199,MATCH(193,Engine!$C$2:$C$1199,0)),"Go to Act"))</f>
        <v/>
      </c>
    </row>
    <row r="207" spans="1:16" ht="172.95" customHeight="1" x14ac:dyDescent="0.3">
      <c r="A207" s="6" t="str">
        <f>IF(ISNA(MATCH(194,Engine!$C$2:$C$1199,0)),"",INDEX('Compliance Database'!$A$2:$A$1199,MATCH(194,Engine!$C$2:$C$1199,0)))</f>
        <v/>
      </c>
      <c r="B207" s="6" t="str">
        <f>IF(ISNA(MATCH(194,Engine!$C$2:$C$1199,0)),"",INDEX('Compliance Database'!$B$2:$B$1199,MATCH(194,Engine!$C$2:$C$1199,0)))</f>
        <v/>
      </c>
      <c r="C207" s="6" t="str">
        <f>IF(ISNA(MATCH(194,Engine!$C$2:$C$1199,0)),"",INDEX('Compliance Database'!$C$2:$C$1199,MATCH(194,Engine!$C$2:$C$1199,0)))</f>
        <v/>
      </c>
      <c r="D207" s="7" t="str">
        <f>IF(ISNA(MATCH(194,Engine!$C$2:$C$1199,0)),"",INDEX('Compliance Database'!$D$2:$D$1199,MATCH(194,Engine!$C$2:$C$1199,0)))</f>
        <v/>
      </c>
      <c r="E207" s="6" t="str">
        <f>IF(ISNA(MATCH(194,Engine!$C$2:$C$1199,0)),"",INDEX('Compliance Database'!$E$2:$E$1199,MATCH(194,Engine!$C$2:$C$1199,0)))</f>
        <v/>
      </c>
      <c r="F207" s="6" t="str">
        <f>IF(ISNA(MATCH(194,Engine!$C$2:$C$1199,0)),"",INDEX('Compliance Database'!$F$2:$F$1199,MATCH(194,Engine!$C$2:$C$1199,0)))</f>
        <v/>
      </c>
      <c r="G207" s="6" t="str">
        <f>IF(ISNA(MATCH(194,Engine!$C$2:$C$1199,0)),"",INDEX('Compliance Database'!$G$2:$G$1199,MATCH(194,Engine!$C$2:$C$1199,0)))</f>
        <v/>
      </c>
      <c r="H207" s="7" t="str">
        <f>IF(ISNA(MATCH(194,Engine!$C$2:$C$1199,0)),"",INDEX('Compliance Database'!$H$2:$H$1199,MATCH(194,Engine!$C$2:$C$1199,0)))</f>
        <v/>
      </c>
      <c r="I207" s="7" t="str">
        <f>IF(ISNA(MATCH(194,Engine!$C$2:$C$1199,0)),"",INDEX('Compliance Database'!$I$2:$I$1199,MATCH(194,Engine!$C$2:$C$1199,0)))</f>
        <v/>
      </c>
      <c r="J207" s="6" t="str">
        <f>IF(ISNA(MATCH(194,Engine!$C$2:$C$1199,0)),"",INDEX('Compliance Database'!$J$2:$J$1199,MATCH(194,Engine!$C$2:$C$1199,0)))</f>
        <v/>
      </c>
      <c r="K207" s="7" t="str">
        <f>IF(ISNA(MATCH(194,Engine!$C$2:$C$1199,0)),"",INDEX('Compliance Database'!$K$2:$K$1199,MATCH(194,Engine!$C$2:$C$1199,0)))</f>
        <v/>
      </c>
      <c r="L207" s="7" t="str">
        <f>IF(ISNA(MATCH(194,Engine!$C$2:$C$1199,0)),"",INDEX('Compliance Database'!$L$2:$L$1199,MATCH(194,Engine!$C$2:$C$1199,0)))</f>
        <v/>
      </c>
      <c r="M207" s="7" t="str">
        <f>IF(ISNA(MATCH(194,Engine!$C$2:$C$1199,0)),"",INDEX('Compliance Database'!$M$2:$M$1199,MATCH(194,Engine!$C$2:$C$1199,0)))</f>
        <v/>
      </c>
      <c r="N207" s="7" t="str">
        <f>IF(ISNA(MATCH(194,Engine!$C$2:$C$1199,0)),"",INDEX('Compliance Database'!$N$2:$N$1199,MATCH(194,Engine!$C$2:$C$1199,0)))</f>
        <v/>
      </c>
      <c r="O207" s="7" t="str">
        <f>IF(ISNA(MATCH(194,Engine!$C$2:$C$1199,0)),"",INDEX('Compliance Database'!$O$2:$O$1199,MATCH(194,Engine!$C$2:$C$1199,0)))</f>
        <v/>
      </c>
      <c r="P207" s="6" t="str">
        <f>IF(ISNA(MATCH(194,Engine!$C$2:$C$1199,0)),"",HYPERLINK("#Acts!A"&amp;INDEX('Compliance Database'!$P$2:$P$1199,MATCH(194,Engine!$C$2:$C$1199,0)),"Go to Act"))</f>
        <v/>
      </c>
    </row>
    <row r="208" spans="1:16" ht="172.95" customHeight="1" x14ac:dyDescent="0.3">
      <c r="A208" s="6" t="str">
        <f>IF(ISNA(MATCH(195,Engine!$C$2:$C$1199,0)),"",INDEX('Compliance Database'!$A$2:$A$1199,MATCH(195,Engine!$C$2:$C$1199,0)))</f>
        <v/>
      </c>
      <c r="B208" s="6" t="str">
        <f>IF(ISNA(MATCH(195,Engine!$C$2:$C$1199,0)),"",INDEX('Compliance Database'!$B$2:$B$1199,MATCH(195,Engine!$C$2:$C$1199,0)))</f>
        <v/>
      </c>
      <c r="C208" s="6" t="str">
        <f>IF(ISNA(MATCH(195,Engine!$C$2:$C$1199,0)),"",INDEX('Compliance Database'!$C$2:$C$1199,MATCH(195,Engine!$C$2:$C$1199,0)))</f>
        <v/>
      </c>
      <c r="D208" s="7" t="str">
        <f>IF(ISNA(MATCH(195,Engine!$C$2:$C$1199,0)),"",INDEX('Compliance Database'!$D$2:$D$1199,MATCH(195,Engine!$C$2:$C$1199,0)))</f>
        <v/>
      </c>
      <c r="E208" s="6" t="str">
        <f>IF(ISNA(MATCH(195,Engine!$C$2:$C$1199,0)),"",INDEX('Compliance Database'!$E$2:$E$1199,MATCH(195,Engine!$C$2:$C$1199,0)))</f>
        <v/>
      </c>
      <c r="F208" s="6" t="str">
        <f>IF(ISNA(MATCH(195,Engine!$C$2:$C$1199,0)),"",INDEX('Compliance Database'!$F$2:$F$1199,MATCH(195,Engine!$C$2:$C$1199,0)))</f>
        <v/>
      </c>
      <c r="G208" s="6" t="str">
        <f>IF(ISNA(MATCH(195,Engine!$C$2:$C$1199,0)),"",INDEX('Compliance Database'!$G$2:$G$1199,MATCH(195,Engine!$C$2:$C$1199,0)))</f>
        <v/>
      </c>
      <c r="H208" s="7" t="str">
        <f>IF(ISNA(MATCH(195,Engine!$C$2:$C$1199,0)),"",INDEX('Compliance Database'!$H$2:$H$1199,MATCH(195,Engine!$C$2:$C$1199,0)))</f>
        <v/>
      </c>
      <c r="I208" s="7" t="str">
        <f>IF(ISNA(MATCH(195,Engine!$C$2:$C$1199,0)),"",INDEX('Compliance Database'!$I$2:$I$1199,MATCH(195,Engine!$C$2:$C$1199,0)))</f>
        <v/>
      </c>
      <c r="J208" s="6" t="str">
        <f>IF(ISNA(MATCH(195,Engine!$C$2:$C$1199,0)),"",INDEX('Compliance Database'!$J$2:$J$1199,MATCH(195,Engine!$C$2:$C$1199,0)))</f>
        <v/>
      </c>
      <c r="K208" s="7" t="str">
        <f>IF(ISNA(MATCH(195,Engine!$C$2:$C$1199,0)),"",INDEX('Compliance Database'!$K$2:$K$1199,MATCH(195,Engine!$C$2:$C$1199,0)))</f>
        <v/>
      </c>
      <c r="L208" s="7" t="str">
        <f>IF(ISNA(MATCH(195,Engine!$C$2:$C$1199,0)),"",INDEX('Compliance Database'!$L$2:$L$1199,MATCH(195,Engine!$C$2:$C$1199,0)))</f>
        <v/>
      </c>
      <c r="M208" s="7" t="str">
        <f>IF(ISNA(MATCH(195,Engine!$C$2:$C$1199,0)),"",INDEX('Compliance Database'!$M$2:$M$1199,MATCH(195,Engine!$C$2:$C$1199,0)))</f>
        <v/>
      </c>
      <c r="N208" s="7" t="str">
        <f>IF(ISNA(MATCH(195,Engine!$C$2:$C$1199,0)),"",INDEX('Compliance Database'!$N$2:$N$1199,MATCH(195,Engine!$C$2:$C$1199,0)))</f>
        <v/>
      </c>
      <c r="O208" s="7" t="str">
        <f>IF(ISNA(MATCH(195,Engine!$C$2:$C$1199,0)),"",INDEX('Compliance Database'!$O$2:$O$1199,MATCH(195,Engine!$C$2:$C$1199,0)))</f>
        <v/>
      </c>
      <c r="P208" s="6" t="str">
        <f>IF(ISNA(MATCH(195,Engine!$C$2:$C$1199,0)),"",HYPERLINK("#Acts!A"&amp;INDEX('Compliance Database'!$P$2:$P$1199,MATCH(195,Engine!$C$2:$C$1199,0)),"Go to Act"))</f>
        <v/>
      </c>
    </row>
    <row r="209" spans="1:16" ht="172.95" customHeight="1" x14ac:dyDescent="0.3">
      <c r="A209" s="6" t="str">
        <f>IF(ISNA(MATCH(196,Engine!$C$2:$C$1199,0)),"",INDEX('Compliance Database'!$A$2:$A$1199,MATCH(196,Engine!$C$2:$C$1199,0)))</f>
        <v/>
      </c>
      <c r="B209" s="6" t="str">
        <f>IF(ISNA(MATCH(196,Engine!$C$2:$C$1199,0)),"",INDEX('Compliance Database'!$B$2:$B$1199,MATCH(196,Engine!$C$2:$C$1199,0)))</f>
        <v/>
      </c>
      <c r="C209" s="6" t="str">
        <f>IF(ISNA(MATCH(196,Engine!$C$2:$C$1199,0)),"",INDEX('Compliance Database'!$C$2:$C$1199,MATCH(196,Engine!$C$2:$C$1199,0)))</f>
        <v/>
      </c>
      <c r="D209" s="7" t="str">
        <f>IF(ISNA(MATCH(196,Engine!$C$2:$C$1199,0)),"",INDEX('Compliance Database'!$D$2:$D$1199,MATCH(196,Engine!$C$2:$C$1199,0)))</f>
        <v/>
      </c>
      <c r="E209" s="6" t="str">
        <f>IF(ISNA(MATCH(196,Engine!$C$2:$C$1199,0)),"",INDEX('Compliance Database'!$E$2:$E$1199,MATCH(196,Engine!$C$2:$C$1199,0)))</f>
        <v/>
      </c>
      <c r="F209" s="6" t="str">
        <f>IF(ISNA(MATCH(196,Engine!$C$2:$C$1199,0)),"",INDEX('Compliance Database'!$F$2:$F$1199,MATCH(196,Engine!$C$2:$C$1199,0)))</f>
        <v/>
      </c>
      <c r="G209" s="6" t="str">
        <f>IF(ISNA(MATCH(196,Engine!$C$2:$C$1199,0)),"",INDEX('Compliance Database'!$G$2:$G$1199,MATCH(196,Engine!$C$2:$C$1199,0)))</f>
        <v/>
      </c>
      <c r="H209" s="7" t="str">
        <f>IF(ISNA(MATCH(196,Engine!$C$2:$C$1199,0)),"",INDEX('Compliance Database'!$H$2:$H$1199,MATCH(196,Engine!$C$2:$C$1199,0)))</f>
        <v/>
      </c>
      <c r="I209" s="7" t="str">
        <f>IF(ISNA(MATCH(196,Engine!$C$2:$C$1199,0)),"",INDEX('Compliance Database'!$I$2:$I$1199,MATCH(196,Engine!$C$2:$C$1199,0)))</f>
        <v/>
      </c>
      <c r="J209" s="6" t="str">
        <f>IF(ISNA(MATCH(196,Engine!$C$2:$C$1199,0)),"",INDEX('Compliance Database'!$J$2:$J$1199,MATCH(196,Engine!$C$2:$C$1199,0)))</f>
        <v/>
      </c>
      <c r="K209" s="7" t="str">
        <f>IF(ISNA(MATCH(196,Engine!$C$2:$C$1199,0)),"",INDEX('Compliance Database'!$K$2:$K$1199,MATCH(196,Engine!$C$2:$C$1199,0)))</f>
        <v/>
      </c>
      <c r="L209" s="7" t="str">
        <f>IF(ISNA(MATCH(196,Engine!$C$2:$C$1199,0)),"",INDEX('Compliance Database'!$L$2:$L$1199,MATCH(196,Engine!$C$2:$C$1199,0)))</f>
        <v/>
      </c>
      <c r="M209" s="7" t="str">
        <f>IF(ISNA(MATCH(196,Engine!$C$2:$C$1199,0)),"",INDEX('Compliance Database'!$M$2:$M$1199,MATCH(196,Engine!$C$2:$C$1199,0)))</f>
        <v/>
      </c>
      <c r="N209" s="7" t="str">
        <f>IF(ISNA(MATCH(196,Engine!$C$2:$C$1199,0)),"",INDEX('Compliance Database'!$N$2:$N$1199,MATCH(196,Engine!$C$2:$C$1199,0)))</f>
        <v/>
      </c>
      <c r="O209" s="7" t="str">
        <f>IF(ISNA(MATCH(196,Engine!$C$2:$C$1199,0)),"",INDEX('Compliance Database'!$O$2:$O$1199,MATCH(196,Engine!$C$2:$C$1199,0)))</f>
        <v/>
      </c>
      <c r="P209" s="6" t="str">
        <f>IF(ISNA(MATCH(196,Engine!$C$2:$C$1199,0)),"",HYPERLINK("#Acts!A"&amp;INDEX('Compliance Database'!$P$2:$P$1199,MATCH(196,Engine!$C$2:$C$1199,0)),"Go to Act"))</f>
        <v/>
      </c>
    </row>
    <row r="210" spans="1:16" ht="172.95" customHeight="1" x14ac:dyDescent="0.3">
      <c r="A210" s="6" t="str">
        <f>IF(ISNA(MATCH(197,Engine!$C$2:$C$1199,0)),"",INDEX('Compliance Database'!$A$2:$A$1199,MATCH(197,Engine!$C$2:$C$1199,0)))</f>
        <v/>
      </c>
      <c r="B210" s="6" t="str">
        <f>IF(ISNA(MATCH(197,Engine!$C$2:$C$1199,0)),"",INDEX('Compliance Database'!$B$2:$B$1199,MATCH(197,Engine!$C$2:$C$1199,0)))</f>
        <v/>
      </c>
      <c r="C210" s="6" t="str">
        <f>IF(ISNA(MATCH(197,Engine!$C$2:$C$1199,0)),"",INDEX('Compliance Database'!$C$2:$C$1199,MATCH(197,Engine!$C$2:$C$1199,0)))</f>
        <v/>
      </c>
      <c r="D210" s="7" t="str">
        <f>IF(ISNA(MATCH(197,Engine!$C$2:$C$1199,0)),"",INDEX('Compliance Database'!$D$2:$D$1199,MATCH(197,Engine!$C$2:$C$1199,0)))</f>
        <v/>
      </c>
      <c r="E210" s="6" t="str">
        <f>IF(ISNA(MATCH(197,Engine!$C$2:$C$1199,0)),"",INDEX('Compliance Database'!$E$2:$E$1199,MATCH(197,Engine!$C$2:$C$1199,0)))</f>
        <v/>
      </c>
      <c r="F210" s="6" t="str">
        <f>IF(ISNA(MATCH(197,Engine!$C$2:$C$1199,0)),"",INDEX('Compliance Database'!$F$2:$F$1199,MATCH(197,Engine!$C$2:$C$1199,0)))</f>
        <v/>
      </c>
      <c r="G210" s="6" t="str">
        <f>IF(ISNA(MATCH(197,Engine!$C$2:$C$1199,0)),"",INDEX('Compliance Database'!$G$2:$G$1199,MATCH(197,Engine!$C$2:$C$1199,0)))</f>
        <v/>
      </c>
      <c r="H210" s="7" t="str">
        <f>IF(ISNA(MATCH(197,Engine!$C$2:$C$1199,0)),"",INDEX('Compliance Database'!$H$2:$H$1199,MATCH(197,Engine!$C$2:$C$1199,0)))</f>
        <v/>
      </c>
      <c r="I210" s="7" t="str">
        <f>IF(ISNA(MATCH(197,Engine!$C$2:$C$1199,0)),"",INDEX('Compliance Database'!$I$2:$I$1199,MATCH(197,Engine!$C$2:$C$1199,0)))</f>
        <v/>
      </c>
      <c r="J210" s="6" t="str">
        <f>IF(ISNA(MATCH(197,Engine!$C$2:$C$1199,0)),"",INDEX('Compliance Database'!$J$2:$J$1199,MATCH(197,Engine!$C$2:$C$1199,0)))</f>
        <v/>
      </c>
      <c r="K210" s="7" t="str">
        <f>IF(ISNA(MATCH(197,Engine!$C$2:$C$1199,0)),"",INDEX('Compliance Database'!$K$2:$K$1199,MATCH(197,Engine!$C$2:$C$1199,0)))</f>
        <v/>
      </c>
      <c r="L210" s="7" t="str">
        <f>IF(ISNA(MATCH(197,Engine!$C$2:$C$1199,0)),"",INDEX('Compliance Database'!$L$2:$L$1199,MATCH(197,Engine!$C$2:$C$1199,0)))</f>
        <v/>
      </c>
      <c r="M210" s="7" t="str">
        <f>IF(ISNA(MATCH(197,Engine!$C$2:$C$1199,0)),"",INDEX('Compliance Database'!$M$2:$M$1199,MATCH(197,Engine!$C$2:$C$1199,0)))</f>
        <v/>
      </c>
      <c r="N210" s="7" t="str">
        <f>IF(ISNA(MATCH(197,Engine!$C$2:$C$1199,0)),"",INDEX('Compliance Database'!$N$2:$N$1199,MATCH(197,Engine!$C$2:$C$1199,0)))</f>
        <v/>
      </c>
      <c r="O210" s="7" t="str">
        <f>IF(ISNA(MATCH(197,Engine!$C$2:$C$1199,0)),"",INDEX('Compliance Database'!$O$2:$O$1199,MATCH(197,Engine!$C$2:$C$1199,0)))</f>
        <v/>
      </c>
      <c r="P210" s="6" t="str">
        <f>IF(ISNA(MATCH(197,Engine!$C$2:$C$1199,0)),"",HYPERLINK("#Acts!A"&amp;INDEX('Compliance Database'!$P$2:$P$1199,MATCH(197,Engine!$C$2:$C$1199,0)),"Go to Act"))</f>
        <v/>
      </c>
    </row>
    <row r="211" spans="1:16" ht="172.95" customHeight="1" x14ac:dyDescent="0.3">
      <c r="A211" s="6" t="str">
        <f>IF(ISNA(MATCH(198,Engine!$C$2:$C$1199,0)),"",INDEX('Compliance Database'!$A$2:$A$1199,MATCH(198,Engine!$C$2:$C$1199,0)))</f>
        <v/>
      </c>
      <c r="B211" s="6" t="str">
        <f>IF(ISNA(MATCH(198,Engine!$C$2:$C$1199,0)),"",INDEX('Compliance Database'!$B$2:$B$1199,MATCH(198,Engine!$C$2:$C$1199,0)))</f>
        <v/>
      </c>
      <c r="C211" s="6" t="str">
        <f>IF(ISNA(MATCH(198,Engine!$C$2:$C$1199,0)),"",INDEX('Compliance Database'!$C$2:$C$1199,MATCH(198,Engine!$C$2:$C$1199,0)))</f>
        <v/>
      </c>
      <c r="D211" s="7" t="str">
        <f>IF(ISNA(MATCH(198,Engine!$C$2:$C$1199,0)),"",INDEX('Compliance Database'!$D$2:$D$1199,MATCH(198,Engine!$C$2:$C$1199,0)))</f>
        <v/>
      </c>
      <c r="E211" s="6" t="str">
        <f>IF(ISNA(MATCH(198,Engine!$C$2:$C$1199,0)),"",INDEX('Compliance Database'!$E$2:$E$1199,MATCH(198,Engine!$C$2:$C$1199,0)))</f>
        <v/>
      </c>
      <c r="F211" s="6" t="str">
        <f>IF(ISNA(MATCH(198,Engine!$C$2:$C$1199,0)),"",INDEX('Compliance Database'!$F$2:$F$1199,MATCH(198,Engine!$C$2:$C$1199,0)))</f>
        <v/>
      </c>
      <c r="G211" s="6" t="str">
        <f>IF(ISNA(MATCH(198,Engine!$C$2:$C$1199,0)),"",INDEX('Compliance Database'!$G$2:$G$1199,MATCH(198,Engine!$C$2:$C$1199,0)))</f>
        <v/>
      </c>
      <c r="H211" s="7" t="str">
        <f>IF(ISNA(MATCH(198,Engine!$C$2:$C$1199,0)),"",INDEX('Compliance Database'!$H$2:$H$1199,MATCH(198,Engine!$C$2:$C$1199,0)))</f>
        <v/>
      </c>
      <c r="I211" s="7" t="str">
        <f>IF(ISNA(MATCH(198,Engine!$C$2:$C$1199,0)),"",INDEX('Compliance Database'!$I$2:$I$1199,MATCH(198,Engine!$C$2:$C$1199,0)))</f>
        <v/>
      </c>
      <c r="J211" s="6" t="str">
        <f>IF(ISNA(MATCH(198,Engine!$C$2:$C$1199,0)),"",INDEX('Compliance Database'!$J$2:$J$1199,MATCH(198,Engine!$C$2:$C$1199,0)))</f>
        <v/>
      </c>
      <c r="K211" s="7" t="str">
        <f>IF(ISNA(MATCH(198,Engine!$C$2:$C$1199,0)),"",INDEX('Compliance Database'!$K$2:$K$1199,MATCH(198,Engine!$C$2:$C$1199,0)))</f>
        <v/>
      </c>
      <c r="L211" s="7" t="str">
        <f>IF(ISNA(MATCH(198,Engine!$C$2:$C$1199,0)),"",INDEX('Compliance Database'!$L$2:$L$1199,MATCH(198,Engine!$C$2:$C$1199,0)))</f>
        <v/>
      </c>
      <c r="M211" s="7" t="str">
        <f>IF(ISNA(MATCH(198,Engine!$C$2:$C$1199,0)),"",INDEX('Compliance Database'!$M$2:$M$1199,MATCH(198,Engine!$C$2:$C$1199,0)))</f>
        <v/>
      </c>
      <c r="N211" s="7" t="str">
        <f>IF(ISNA(MATCH(198,Engine!$C$2:$C$1199,0)),"",INDEX('Compliance Database'!$N$2:$N$1199,MATCH(198,Engine!$C$2:$C$1199,0)))</f>
        <v/>
      </c>
      <c r="O211" s="7" t="str">
        <f>IF(ISNA(MATCH(198,Engine!$C$2:$C$1199,0)),"",INDEX('Compliance Database'!$O$2:$O$1199,MATCH(198,Engine!$C$2:$C$1199,0)))</f>
        <v/>
      </c>
      <c r="P211" s="6" t="str">
        <f>IF(ISNA(MATCH(198,Engine!$C$2:$C$1199,0)),"",HYPERLINK("#Acts!A"&amp;INDEX('Compliance Database'!$P$2:$P$1199,MATCH(198,Engine!$C$2:$C$1199,0)),"Go to Act"))</f>
        <v/>
      </c>
    </row>
    <row r="212" spans="1:16" ht="172.95" customHeight="1" x14ac:dyDescent="0.3">
      <c r="A212" s="6" t="str">
        <f>IF(ISNA(MATCH(199,Engine!$C$2:$C$1199,0)),"",INDEX('Compliance Database'!$A$2:$A$1199,MATCH(199,Engine!$C$2:$C$1199,0)))</f>
        <v/>
      </c>
      <c r="B212" s="6" t="str">
        <f>IF(ISNA(MATCH(199,Engine!$C$2:$C$1199,0)),"",INDEX('Compliance Database'!$B$2:$B$1199,MATCH(199,Engine!$C$2:$C$1199,0)))</f>
        <v/>
      </c>
      <c r="C212" s="6" t="str">
        <f>IF(ISNA(MATCH(199,Engine!$C$2:$C$1199,0)),"",INDEX('Compliance Database'!$C$2:$C$1199,MATCH(199,Engine!$C$2:$C$1199,0)))</f>
        <v/>
      </c>
      <c r="D212" s="7" t="str">
        <f>IF(ISNA(MATCH(199,Engine!$C$2:$C$1199,0)),"",INDEX('Compliance Database'!$D$2:$D$1199,MATCH(199,Engine!$C$2:$C$1199,0)))</f>
        <v/>
      </c>
      <c r="E212" s="6" t="str">
        <f>IF(ISNA(MATCH(199,Engine!$C$2:$C$1199,0)),"",INDEX('Compliance Database'!$E$2:$E$1199,MATCH(199,Engine!$C$2:$C$1199,0)))</f>
        <v/>
      </c>
      <c r="F212" s="6" t="str">
        <f>IF(ISNA(MATCH(199,Engine!$C$2:$C$1199,0)),"",INDEX('Compliance Database'!$F$2:$F$1199,MATCH(199,Engine!$C$2:$C$1199,0)))</f>
        <v/>
      </c>
      <c r="G212" s="6" t="str">
        <f>IF(ISNA(MATCH(199,Engine!$C$2:$C$1199,0)),"",INDEX('Compliance Database'!$G$2:$G$1199,MATCH(199,Engine!$C$2:$C$1199,0)))</f>
        <v/>
      </c>
      <c r="H212" s="7" t="str">
        <f>IF(ISNA(MATCH(199,Engine!$C$2:$C$1199,0)),"",INDEX('Compliance Database'!$H$2:$H$1199,MATCH(199,Engine!$C$2:$C$1199,0)))</f>
        <v/>
      </c>
      <c r="I212" s="7" t="str">
        <f>IF(ISNA(MATCH(199,Engine!$C$2:$C$1199,0)),"",INDEX('Compliance Database'!$I$2:$I$1199,MATCH(199,Engine!$C$2:$C$1199,0)))</f>
        <v/>
      </c>
      <c r="J212" s="6" t="str">
        <f>IF(ISNA(MATCH(199,Engine!$C$2:$C$1199,0)),"",INDEX('Compliance Database'!$J$2:$J$1199,MATCH(199,Engine!$C$2:$C$1199,0)))</f>
        <v/>
      </c>
      <c r="K212" s="7" t="str">
        <f>IF(ISNA(MATCH(199,Engine!$C$2:$C$1199,0)),"",INDEX('Compliance Database'!$K$2:$K$1199,MATCH(199,Engine!$C$2:$C$1199,0)))</f>
        <v/>
      </c>
      <c r="L212" s="7" t="str">
        <f>IF(ISNA(MATCH(199,Engine!$C$2:$C$1199,0)),"",INDEX('Compliance Database'!$L$2:$L$1199,MATCH(199,Engine!$C$2:$C$1199,0)))</f>
        <v/>
      </c>
      <c r="M212" s="7" t="str">
        <f>IF(ISNA(MATCH(199,Engine!$C$2:$C$1199,0)),"",INDEX('Compliance Database'!$M$2:$M$1199,MATCH(199,Engine!$C$2:$C$1199,0)))</f>
        <v/>
      </c>
      <c r="N212" s="7" t="str">
        <f>IF(ISNA(MATCH(199,Engine!$C$2:$C$1199,0)),"",INDEX('Compliance Database'!$N$2:$N$1199,MATCH(199,Engine!$C$2:$C$1199,0)))</f>
        <v/>
      </c>
      <c r="O212" s="7" t="str">
        <f>IF(ISNA(MATCH(199,Engine!$C$2:$C$1199,0)),"",INDEX('Compliance Database'!$O$2:$O$1199,MATCH(199,Engine!$C$2:$C$1199,0)))</f>
        <v/>
      </c>
      <c r="P212" s="6" t="str">
        <f>IF(ISNA(MATCH(199,Engine!$C$2:$C$1199,0)),"",HYPERLINK("#Acts!A"&amp;INDEX('Compliance Database'!$P$2:$P$1199,MATCH(199,Engine!$C$2:$C$1199,0)),"Go to Act"))</f>
        <v/>
      </c>
    </row>
    <row r="213" spans="1:16" ht="172.95" customHeight="1" x14ac:dyDescent="0.3">
      <c r="A213" s="6" t="str">
        <f>IF(ISNA(MATCH(200,Engine!$C$2:$C$1199,0)),"",INDEX('Compliance Database'!$A$2:$A$1199,MATCH(200,Engine!$C$2:$C$1199,0)))</f>
        <v/>
      </c>
      <c r="B213" s="6" t="str">
        <f>IF(ISNA(MATCH(200,Engine!$C$2:$C$1199,0)),"",INDEX('Compliance Database'!$B$2:$B$1199,MATCH(200,Engine!$C$2:$C$1199,0)))</f>
        <v/>
      </c>
      <c r="C213" s="6" t="str">
        <f>IF(ISNA(MATCH(200,Engine!$C$2:$C$1199,0)),"",INDEX('Compliance Database'!$C$2:$C$1199,MATCH(200,Engine!$C$2:$C$1199,0)))</f>
        <v/>
      </c>
      <c r="D213" s="7" t="str">
        <f>IF(ISNA(MATCH(200,Engine!$C$2:$C$1199,0)),"",INDEX('Compliance Database'!$D$2:$D$1199,MATCH(200,Engine!$C$2:$C$1199,0)))</f>
        <v/>
      </c>
      <c r="E213" s="6" t="str">
        <f>IF(ISNA(MATCH(200,Engine!$C$2:$C$1199,0)),"",INDEX('Compliance Database'!$E$2:$E$1199,MATCH(200,Engine!$C$2:$C$1199,0)))</f>
        <v/>
      </c>
      <c r="F213" s="6" t="str">
        <f>IF(ISNA(MATCH(200,Engine!$C$2:$C$1199,0)),"",INDEX('Compliance Database'!$F$2:$F$1199,MATCH(200,Engine!$C$2:$C$1199,0)))</f>
        <v/>
      </c>
      <c r="G213" s="6" t="str">
        <f>IF(ISNA(MATCH(200,Engine!$C$2:$C$1199,0)),"",INDEX('Compliance Database'!$G$2:$G$1199,MATCH(200,Engine!$C$2:$C$1199,0)))</f>
        <v/>
      </c>
      <c r="H213" s="7" t="str">
        <f>IF(ISNA(MATCH(200,Engine!$C$2:$C$1199,0)),"",INDEX('Compliance Database'!$H$2:$H$1199,MATCH(200,Engine!$C$2:$C$1199,0)))</f>
        <v/>
      </c>
      <c r="I213" s="7" t="str">
        <f>IF(ISNA(MATCH(200,Engine!$C$2:$C$1199,0)),"",INDEX('Compliance Database'!$I$2:$I$1199,MATCH(200,Engine!$C$2:$C$1199,0)))</f>
        <v/>
      </c>
      <c r="J213" s="6" t="str">
        <f>IF(ISNA(MATCH(200,Engine!$C$2:$C$1199,0)),"",INDEX('Compliance Database'!$J$2:$J$1199,MATCH(200,Engine!$C$2:$C$1199,0)))</f>
        <v/>
      </c>
      <c r="K213" s="7" t="str">
        <f>IF(ISNA(MATCH(200,Engine!$C$2:$C$1199,0)),"",INDEX('Compliance Database'!$K$2:$K$1199,MATCH(200,Engine!$C$2:$C$1199,0)))</f>
        <v/>
      </c>
      <c r="L213" s="7" t="str">
        <f>IF(ISNA(MATCH(200,Engine!$C$2:$C$1199,0)),"",INDEX('Compliance Database'!$L$2:$L$1199,MATCH(200,Engine!$C$2:$C$1199,0)))</f>
        <v/>
      </c>
      <c r="M213" s="7" t="str">
        <f>IF(ISNA(MATCH(200,Engine!$C$2:$C$1199,0)),"",INDEX('Compliance Database'!$M$2:$M$1199,MATCH(200,Engine!$C$2:$C$1199,0)))</f>
        <v/>
      </c>
      <c r="N213" s="7" t="str">
        <f>IF(ISNA(MATCH(200,Engine!$C$2:$C$1199,0)),"",INDEX('Compliance Database'!$N$2:$N$1199,MATCH(200,Engine!$C$2:$C$1199,0)))</f>
        <v/>
      </c>
      <c r="O213" s="7" t="str">
        <f>IF(ISNA(MATCH(200,Engine!$C$2:$C$1199,0)),"",INDEX('Compliance Database'!$O$2:$O$1199,MATCH(200,Engine!$C$2:$C$1199,0)))</f>
        <v/>
      </c>
      <c r="P213" s="6" t="str">
        <f>IF(ISNA(MATCH(200,Engine!$C$2:$C$1199,0)),"",HYPERLINK("#Acts!A"&amp;INDEX('Compliance Database'!$P$2:$P$1199,MATCH(200,Engine!$C$2:$C$1199,0)),"Go to Act"))</f>
        <v/>
      </c>
    </row>
    <row r="214" spans="1:16" ht="172.95" customHeight="1" x14ac:dyDescent="0.3">
      <c r="A214" s="6" t="str">
        <f>IF(ISNA(MATCH(201,Engine!$C$2:$C$1199,0)),"",INDEX('Compliance Database'!$A$2:$A$1199,MATCH(201,Engine!$C$2:$C$1199,0)))</f>
        <v/>
      </c>
      <c r="B214" s="6" t="str">
        <f>IF(ISNA(MATCH(201,Engine!$C$2:$C$1199,0)),"",INDEX('Compliance Database'!$B$2:$B$1199,MATCH(201,Engine!$C$2:$C$1199,0)))</f>
        <v/>
      </c>
      <c r="C214" s="6" t="str">
        <f>IF(ISNA(MATCH(201,Engine!$C$2:$C$1199,0)),"",INDEX('Compliance Database'!$C$2:$C$1199,MATCH(201,Engine!$C$2:$C$1199,0)))</f>
        <v/>
      </c>
      <c r="D214" s="7" t="str">
        <f>IF(ISNA(MATCH(201,Engine!$C$2:$C$1199,0)),"",INDEX('Compliance Database'!$D$2:$D$1199,MATCH(201,Engine!$C$2:$C$1199,0)))</f>
        <v/>
      </c>
      <c r="E214" s="6" t="str">
        <f>IF(ISNA(MATCH(201,Engine!$C$2:$C$1199,0)),"",INDEX('Compliance Database'!$E$2:$E$1199,MATCH(201,Engine!$C$2:$C$1199,0)))</f>
        <v/>
      </c>
      <c r="F214" s="6" t="str">
        <f>IF(ISNA(MATCH(201,Engine!$C$2:$C$1199,0)),"",INDEX('Compliance Database'!$F$2:$F$1199,MATCH(201,Engine!$C$2:$C$1199,0)))</f>
        <v/>
      </c>
      <c r="G214" s="6" t="str">
        <f>IF(ISNA(MATCH(201,Engine!$C$2:$C$1199,0)),"",INDEX('Compliance Database'!$G$2:$G$1199,MATCH(201,Engine!$C$2:$C$1199,0)))</f>
        <v/>
      </c>
      <c r="H214" s="7" t="str">
        <f>IF(ISNA(MATCH(201,Engine!$C$2:$C$1199,0)),"",INDEX('Compliance Database'!$H$2:$H$1199,MATCH(201,Engine!$C$2:$C$1199,0)))</f>
        <v/>
      </c>
      <c r="I214" s="7" t="str">
        <f>IF(ISNA(MATCH(201,Engine!$C$2:$C$1199,0)),"",INDEX('Compliance Database'!$I$2:$I$1199,MATCH(201,Engine!$C$2:$C$1199,0)))</f>
        <v/>
      </c>
      <c r="J214" s="6" t="str">
        <f>IF(ISNA(MATCH(201,Engine!$C$2:$C$1199,0)),"",INDEX('Compliance Database'!$J$2:$J$1199,MATCH(201,Engine!$C$2:$C$1199,0)))</f>
        <v/>
      </c>
      <c r="K214" s="7" t="str">
        <f>IF(ISNA(MATCH(201,Engine!$C$2:$C$1199,0)),"",INDEX('Compliance Database'!$K$2:$K$1199,MATCH(201,Engine!$C$2:$C$1199,0)))</f>
        <v/>
      </c>
      <c r="L214" s="7" t="str">
        <f>IF(ISNA(MATCH(201,Engine!$C$2:$C$1199,0)),"",INDEX('Compliance Database'!$L$2:$L$1199,MATCH(201,Engine!$C$2:$C$1199,0)))</f>
        <v/>
      </c>
      <c r="M214" s="7" t="str">
        <f>IF(ISNA(MATCH(201,Engine!$C$2:$C$1199,0)),"",INDEX('Compliance Database'!$M$2:$M$1199,MATCH(201,Engine!$C$2:$C$1199,0)))</f>
        <v/>
      </c>
      <c r="N214" s="7" t="str">
        <f>IF(ISNA(MATCH(201,Engine!$C$2:$C$1199,0)),"",INDEX('Compliance Database'!$N$2:$N$1199,MATCH(201,Engine!$C$2:$C$1199,0)))</f>
        <v/>
      </c>
      <c r="O214" s="7" t="str">
        <f>IF(ISNA(MATCH(201,Engine!$C$2:$C$1199,0)),"",INDEX('Compliance Database'!$O$2:$O$1199,MATCH(201,Engine!$C$2:$C$1199,0)))</f>
        <v/>
      </c>
      <c r="P214" s="6" t="str">
        <f>IF(ISNA(MATCH(201,Engine!$C$2:$C$1199,0)),"",HYPERLINK("#Acts!A"&amp;INDEX('Compliance Database'!$P$2:$P$1199,MATCH(201,Engine!$C$2:$C$1199,0)),"Go to Act"))</f>
        <v/>
      </c>
    </row>
    <row r="215" spans="1:16" ht="172.95" customHeight="1" x14ac:dyDescent="0.3">
      <c r="A215" s="6" t="str">
        <f>IF(ISNA(MATCH(202,Engine!$C$2:$C$1199,0)),"",INDEX('Compliance Database'!$A$2:$A$1199,MATCH(202,Engine!$C$2:$C$1199,0)))</f>
        <v/>
      </c>
      <c r="B215" s="6" t="str">
        <f>IF(ISNA(MATCH(202,Engine!$C$2:$C$1199,0)),"",INDEX('Compliance Database'!$B$2:$B$1199,MATCH(202,Engine!$C$2:$C$1199,0)))</f>
        <v/>
      </c>
      <c r="C215" s="6" t="str">
        <f>IF(ISNA(MATCH(202,Engine!$C$2:$C$1199,0)),"",INDEX('Compliance Database'!$C$2:$C$1199,MATCH(202,Engine!$C$2:$C$1199,0)))</f>
        <v/>
      </c>
      <c r="D215" s="7" t="str">
        <f>IF(ISNA(MATCH(202,Engine!$C$2:$C$1199,0)),"",INDEX('Compliance Database'!$D$2:$D$1199,MATCH(202,Engine!$C$2:$C$1199,0)))</f>
        <v/>
      </c>
      <c r="E215" s="6" t="str">
        <f>IF(ISNA(MATCH(202,Engine!$C$2:$C$1199,0)),"",INDEX('Compliance Database'!$E$2:$E$1199,MATCH(202,Engine!$C$2:$C$1199,0)))</f>
        <v/>
      </c>
      <c r="F215" s="6" t="str">
        <f>IF(ISNA(MATCH(202,Engine!$C$2:$C$1199,0)),"",INDEX('Compliance Database'!$F$2:$F$1199,MATCH(202,Engine!$C$2:$C$1199,0)))</f>
        <v/>
      </c>
      <c r="G215" s="6" t="str">
        <f>IF(ISNA(MATCH(202,Engine!$C$2:$C$1199,0)),"",INDEX('Compliance Database'!$G$2:$G$1199,MATCH(202,Engine!$C$2:$C$1199,0)))</f>
        <v/>
      </c>
      <c r="H215" s="7" t="str">
        <f>IF(ISNA(MATCH(202,Engine!$C$2:$C$1199,0)),"",INDEX('Compliance Database'!$H$2:$H$1199,MATCH(202,Engine!$C$2:$C$1199,0)))</f>
        <v/>
      </c>
      <c r="I215" s="7" t="str">
        <f>IF(ISNA(MATCH(202,Engine!$C$2:$C$1199,0)),"",INDEX('Compliance Database'!$I$2:$I$1199,MATCH(202,Engine!$C$2:$C$1199,0)))</f>
        <v/>
      </c>
      <c r="J215" s="6" t="str">
        <f>IF(ISNA(MATCH(202,Engine!$C$2:$C$1199,0)),"",INDEX('Compliance Database'!$J$2:$J$1199,MATCH(202,Engine!$C$2:$C$1199,0)))</f>
        <v/>
      </c>
      <c r="K215" s="7" t="str">
        <f>IF(ISNA(MATCH(202,Engine!$C$2:$C$1199,0)),"",INDEX('Compliance Database'!$K$2:$K$1199,MATCH(202,Engine!$C$2:$C$1199,0)))</f>
        <v/>
      </c>
      <c r="L215" s="7" t="str">
        <f>IF(ISNA(MATCH(202,Engine!$C$2:$C$1199,0)),"",INDEX('Compliance Database'!$L$2:$L$1199,MATCH(202,Engine!$C$2:$C$1199,0)))</f>
        <v/>
      </c>
      <c r="M215" s="7" t="str">
        <f>IF(ISNA(MATCH(202,Engine!$C$2:$C$1199,0)),"",INDEX('Compliance Database'!$M$2:$M$1199,MATCH(202,Engine!$C$2:$C$1199,0)))</f>
        <v/>
      </c>
      <c r="N215" s="7" t="str">
        <f>IF(ISNA(MATCH(202,Engine!$C$2:$C$1199,0)),"",INDEX('Compliance Database'!$N$2:$N$1199,MATCH(202,Engine!$C$2:$C$1199,0)))</f>
        <v/>
      </c>
      <c r="O215" s="7" t="str">
        <f>IF(ISNA(MATCH(202,Engine!$C$2:$C$1199,0)),"",INDEX('Compliance Database'!$O$2:$O$1199,MATCH(202,Engine!$C$2:$C$1199,0)))</f>
        <v/>
      </c>
      <c r="P215" s="6" t="str">
        <f>IF(ISNA(MATCH(202,Engine!$C$2:$C$1199,0)),"",HYPERLINK("#Acts!A"&amp;INDEX('Compliance Database'!$P$2:$P$1199,MATCH(202,Engine!$C$2:$C$1199,0)),"Go to Act"))</f>
        <v/>
      </c>
    </row>
    <row r="216" spans="1:16" ht="172.95" customHeight="1" x14ac:dyDescent="0.3">
      <c r="A216" s="6" t="str">
        <f>IF(ISNA(MATCH(203,Engine!$C$2:$C$1199,0)),"",INDEX('Compliance Database'!$A$2:$A$1199,MATCH(203,Engine!$C$2:$C$1199,0)))</f>
        <v/>
      </c>
      <c r="B216" s="6" t="str">
        <f>IF(ISNA(MATCH(203,Engine!$C$2:$C$1199,0)),"",INDEX('Compliance Database'!$B$2:$B$1199,MATCH(203,Engine!$C$2:$C$1199,0)))</f>
        <v/>
      </c>
      <c r="C216" s="6" t="str">
        <f>IF(ISNA(MATCH(203,Engine!$C$2:$C$1199,0)),"",INDEX('Compliance Database'!$C$2:$C$1199,MATCH(203,Engine!$C$2:$C$1199,0)))</f>
        <v/>
      </c>
      <c r="D216" s="7" t="str">
        <f>IF(ISNA(MATCH(203,Engine!$C$2:$C$1199,0)),"",INDEX('Compliance Database'!$D$2:$D$1199,MATCH(203,Engine!$C$2:$C$1199,0)))</f>
        <v/>
      </c>
      <c r="E216" s="6" t="str">
        <f>IF(ISNA(MATCH(203,Engine!$C$2:$C$1199,0)),"",INDEX('Compliance Database'!$E$2:$E$1199,MATCH(203,Engine!$C$2:$C$1199,0)))</f>
        <v/>
      </c>
      <c r="F216" s="6" t="str">
        <f>IF(ISNA(MATCH(203,Engine!$C$2:$C$1199,0)),"",INDEX('Compliance Database'!$F$2:$F$1199,MATCH(203,Engine!$C$2:$C$1199,0)))</f>
        <v/>
      </c>
      <c r="G216" s="6" t="str">
        <f>IF(ISNA(MATCH(203,Engine!$C$2:$C$1199,0)),"",INDEX('Compliance Database'!$G$2:$G$1199,MATCH(203,Engine!$C$2:$C$1199,0)))</f>
        <v/>
      </c>
      <c r="H216" s="7" t="str">
        <f>IF(ISNA(MATCH(203,Engine!$C$2:$C$1199,0)),"",INDEX('Compliance Database'!$H$2:$H$1199,MATCH(203,Engine!$C$2:$C$1199,0)))</f>
        <v/>
      </c>
      <c r="I216" s="7" t="str">
        <f>IF(ISNA(MATCH(203,Engine!$C$2:$C$1199,0)),"",INDEX('Compliance Database'!$I$2:$I$1199,MATCH(203,Engine!$C$2:$C$1199,0)))</f>
        <v/>
      </c>
      <c r="J216" s="6" t="str">
        <f>IF(ISNA(MATCH(203,Engine!$C$2:$C$1199,0)),"",INDEX('Compliance Database'!$J$2:$J$1199,MATCH(203,Engine!$C$2:$C$1199,0)))</f>
        <v/>
      </c>
      <c r="K216" s="7" t="str">
        <f>IF(ISNA(MATCH(203,Engine!$C$2:$C$1199,0)),"",INDEX('Compliance Database'!$K$2:$K$1199,MATCH(203,Engine!$C$2:$C$1199,0)))</f>
        <v/>
      </c>
      <c r="L216" s="7" t="str">
        <f>IF(ISNA(MATCH(203,Engine!$C$2:$C$1199,0)),"",INDEX('Compliance Database'!$L$2:$L$1199,MATCH(203,Engine!$C$2:$C$1199,0)))</f>
        <v/>
      </c>
      <c r="M216" s="7" t="str">
        <f>IF(ISNA(MATCH(203,Engine!$C$2:$C$1199,0)),"",INDEX('Compliance Database'!$M$2:$M$1199,MATCH(203,Engine!$C$2:$C$1199,0)))</f>
        <v/>
      </c>
      <c r="N216" s="7" t="str">
        <f>IF(ISNA(MATCH(203,Engine!$C$2:$C$1199,0)),"",INDEX('Compliance Database'!$N$2:$N$1199,MATCH(203,Engine!$C$2:$C$1199,0)))</f>
        <v/>
      </c>
      <c r="O216" s="7" t="str">
        <f>IF(ISNA(MATCH(203,Engine!$C$2:$C$1199,0)),"",INDEX('Compliance Database'!$O$2:$O$1199,MATCH(203,Engine!$C$2:$C$1199,0)))</f>
        <v/>
      </c>
      <c r="P216" s="6" t="str">
        <f>IF(ISNA(MATCH(203,Engine!$C$2:$C$1199,0)),"",HYPERLINK("#Acts!A"&amp;INDEX('Compliance Database'!$P$2:$P$1199,MATCH(203,Engine!$C$2:$C$1199,0)),"Go to Act"))</f>
        <v/>
      </c>
    </row>
    <row r="217" spans="1:16" ht="172.95" customHeight="1" x14ac:dyDescent="0.3">
      <c r="A217" s="6" t="str">
        <f>IF(ISNA(MATCH(204,Engine!$C$2:$C$1199,0)),"",INDEX('Compliance Database'!$A$2:$A$1199,MATCH(204,Engine!$C$2:$C$1199,0)))</f>
        <v/>
      </c>
      <c r="B217" s="6" t="str">
        <f>IF(ISNA(MATCH(204,Engine!$C$2:$C$1199,0)),"",INDEX('Compliance Database'!$B$2:$B$1199,MATCH(204,Engine!$C$2:$C$1199,0)))</f>
        <v/>
      </c>
      <c r="C217" s="6" t="str">
        <f>IF(ISNA(MATCH(204,Engine!$C$2:$C$1199,0)),"",INDEX('Compliance Database'!$C$2:$C$1199,MATCH(204,Engine!$C$2:$C$1199,0)))</f>
        <v/>
      </c>
      <c r="D217" s="7" t="str">
        <f>IF(ISNA(MATCH(204,Engine!$C$2:$C$1199,0)),"",INDEX('Compliance Database'!$D$2:$D$1199,MATCH(204,Engine!$C$2:$C$1199,0)))</f>
        <v/>
      </c>
      <c r="E217" s="6" t="str">
        <f>IF(ISNA(MATCH(204,Engine!$C$2:$C$1199,0)),"",INDEX('Compliance Database'!$E$2:$E$1199,MATCH(204,Engine!$C$2:$C$1199,0)))</f>
        <v/>
      </c>
      <c r="F217" s="6" t="str">
        <f>IF(ISNA(MATCH(204,Engine!$C$2:$C$1199,0)),"",INDEX('Compliance Database'!$F$2:$F$1199,MATCH(204,Engine!$C$2:$C$1199,0)))</f>
        <v/>
      </c>
      <c r="G217" s="6" t="str">
        <f>IF(ISNA(MATCH(204,Engine!$C$2:$C$1199,0)),"",INDEX('Compliance Database'!$G$2:$G$1199,MATCH(204,Engine!$C$2:$C$1199,0)))</f>
        <v/>
      </c>
      <c r="H217" s="7" t="str">
        <f>IF(ISNA(MATCH(204,Engine!$C$2:$C$1199,0)),"",INDEX('Compliance Database'!$H$2:$H$1199,MATCH(204,Engine!$C$2:$C$1199,0)))</f>
        <v/>
      </c>
      <c r="I217" s="7" t="str">
        <f>IF(ISNA(MATCH(204,Engine!$C$2:$C$1199,0)),"",INDEX('Compliance Database'!$I$2:$I$1199,MATCH(204,Engine!$C$2:$C$1199,0)))</f>
        <v/>
      </c>
      <c r="J217" s="6" t="str">
        <f>IF(ISNA(MATCH(204,Engine!$C$2:$C$1199,0)),"",INDEX('Compliance Database'!$J$2:$J$1199,MATCH(204,Engine!$C$2:$C$1199,0)))</f>
        <v/>
      </c>
      <c r="K217" s="7" t="str">
        <f>IF(ISNA(MATCH(204,Engine!$C$2:$C$1199,0)),"",INDEX('Compliance Database'!$K$2:$K$1199,MATCH(204,Engine!$C$2:$C$1199,0)))</f>
        <v/>
      </c>
      <c r="L217" s="7" t="str">
        <f>IF(ISNA(MATCH(204,Engine!$C$2:$C$1199,0)),"",INDEX('Compliance Database'!$L$2:$L$1199,MATCH(204,Engine!$C$2:$C$1199,0)))</f>
        <v/>
      </c>
      <c r="M217" s="7" t="str">
        <f>IF(ISNA(MATCH(204,Engine!$C$2:$C$1199,0)),"",INDEX('Compliance Database'!$M$2:$M$1199,MATCH(204,Engine!$C$2:$C$1199,0)))</f>
        <v/>
      </c>
      <c r="N217" s="7" t="str">
        <f>IF(ISNA(MATCH(204,Engine!$C$2:$C$1199,0)),"",INDEX('Compliance Database'!$N$2:$N$1199,MATCH(204,Engine!$C$2:$C$1199,0)))</f>
        <v/>
      </c>
      <c r="O217" s="7" t="str">
        <f>IF(ISNA(MATCH(204,Engine!$C$2:$C$1199,0)),"",INDEX('Compliance Database'!$O$2:$O$1199,MATCH(204,Engine!$C$2:$C$1199,0)))</f>
        <v/>
      </c>
      <c r="P217" s="6" t="str">
        <f>IF(ISNA(MATCH(204,Engine!$C$2:$C$1199,0)),"",HYPERLINK("#Acts!A"&amp;INDEX('Compliance Database'!$P$2:$P$1199,MATCH(204,Engine!$C$2:$C$1199,0)),"Go to Act"))</f>
        <v/>
      </c>
    </row>
    <row r="218" spans="1:16" ht="172.95" customHeight="1" x14ac:dyDescent="0.3">
      <c r="A218" s="6" t="str">
        <f>IF(ISNA(MATCH(205,Engine!$C$2:$C$1199,0)),"",INDEX('Compliance Database'!$A$2:$A$1199,MATCH(205,Engine!$C$2:$C$1199,0)))</f>
        <v/>
      </c>
      <c r="B218" s="6" t="str">
        <f>IF(ISNA(MATCH(205,Engine!$C$2:$C$1199,0)),"",INDEX('Compliance Database'!$B$2:$B$1199,MATCH(205,Engine!$C$2:$C$1199,0)))</f>
        <v/>
      </c>
      <c r="C218" s="6" t="str">
        <f>IF(ISNA(MATCH(205,Engine!$C$2:$C$1199,0)),"",INDEX('Compliance Database'!$C$2:$C$1199,MATCH(205,Engine!$C$2:$C$1199,0)))</f>
        <v/>
      </c>
      <c r="D218" s="7" t="str">
        <f>IF(ISNA(MATCH(205,Engine!$C$2:$C$1199,0)),"",INDEX('Compliance Database'!$D$2:$D$1199,MATCH(205,Engine!$C$2:$C$1199,0)))</f>
        <v/>
      </c>
      <c r="E218" s="6" t="str">
        <f>IF(ISNA(MATCH(205,Engine!$C$2:$C$1199,0)),"",INDEX('Compliance Database'!$E$2:$E$1199,MATCH(205,Engine!$C$2:$C$1199,0)))</f>
        <v/>
      </c>
      <c r="F218" s="6" t="str">
        <f>IF(ISNA(MATCH(205,Engine!$C$2:$C$1199,0)),"",INDEX('Compliance Database'!$F$2:$F$1199,MATCH(205,Engine!$C$2:$C$1199,0)))</f>
        <v/>
      </c>
      <c r="G218" s="6" t="str">
        <f>IF(ISNA(MATCH(205,Engine!$C$2:$C$1199,0)),"",INDEX('Compliance Database'!$G$2:$G$1199,MATCH(205,Engine!$C$2:$C$1199,0)))</f>
        <v/>
      </c>
      <c r="H218" s="7" t="str">
        <f>IF(ISNA(MATCH(205,Engine!$C$2:$C$1199,0)),"",INDEX('Compliance Database'!$H$2:$H$1199,MATCH(205,Engine!$C$2:$C$1199,0)))</f>
        <v/>
      </c>
      <c r="I218" s="7" t="str">
        <f>IF(ISNA(MATCH(205,Engine!$C$2:$C$1199,0)),"",INDEX('Compliance Database'!$I$2:$I$1199,MATCH(205,Engine!$C$2:$C$1199,0)))</f>
        <v/>
      </c>
      <c r="J218" s="6" t="str">
        <f>IF(ISNA(MATCH(205,Engine!$C$2:$C$1199,0)),"",INDEX('Compliance Database'!$J$2:$J$1199,MATCH(205,Engine!$C$2:$C$1199,0)))</f>
        <v/>
      </c>
      <c r="K218" s="7" t="str">
        <f>IF(ISNA(MATCH(205,Engine!$C$2:$C$1199,0)),"",INDEX('Compliance Database'!$K$2:$K$1199,MATCH(205,Engine!$C$2:$C$1199,0)))</f>
        <v/>
      </c>
      <c r="L218" s="7" t="str">
        <f>IF(ISNA(MATCH(205,Engine!$C$2:$C$1199,0)),"",INDEX('Compliance Database'!$L$2:$L$1199,MATCH(205,Engine!$C$2:$C$1199,0)))</f>
        <v/>
      </c>
      <c r="M218" s="7" t="str">
        <f>IF(ISNA(MATCH(205,Engine!$C$2:$C$1199,0)),"",INDEX('Compliance Database'!$M$2:$M$1199,MATCH(205,Engine!$C$2:$C$1199,0)))</f>
        <v/>
      </c>
      <c r="N218" s="7" t="str">
        <f>IF(ISNA(MATCH(205,Engine!$C$2:$C$1199,0)),"",INDEX('Compliance Database'!$N$2:$N$1199,MATCH(205,Engine!$C$2:$C$1199,0)))</f>
        <v/>
      </c>
      <c r="O218" s="7" t="str">
        <f>IF(ISNA(MATCH(205,Engine!$C$2:$C$1199,0)),"",INDEX('Compliance Database'!$O$2:$O$1199,MATCH(205,Engine!$C$2:$C$1199,0)))</f>
        <v/>
      </c>
      <c r="P218" s="6" t="str">
        <f>IF(ISNA(MATCH(205,Engine!$C$2:$C$1199,0)),"",HYPERLINK("#Acts!A"&amp;INDEX('Compliance Database'!$P$2:$P$1199,MATCH(205,Engine!$C$2:$C$1199,0)),"Go to Act"))</f>
        <v/>
      </c>
    </row>
    <row r="219" spans="1:16" ht="172.95" customHeight="1" x14ac:dyDescent="0.3">
      <c r="A219" s="6" t="str">
        <f>IF(ISNA(MATCH(206,Engine!$C$2:$C$1199,0)),"",INDEX('Compliance Database'!$A$2:$A$1199,MATCH(206,Engine!$C$2:$C$1199,0)))</f>
        <v/>
      </c>
      <c r="B219" s="6" t="str">
        <f>IF(ISNA(MATCH(206,Engine!$C$2:$C$1199,0)),"",INDEX('Compliance Database'!$B$2:$B$1199,MATCH(206,Engine!$C$2:$C$1199,0)))</f>
        <v/>
      </c>
      <c r="C219" s="6" t="str">
        <f>IF(ISNA(MATCH(206,Engine!$C$2:$C$1199,0)),"",INDEX('Compliance Database'!$C$2:$C$1199,MATCH(206,Engine!$C$2:$C$1199,0)))</f>
        <v/>
      </c>
      <c r="D219" s="7" t="str">
        <f>IF(ISNA(MATCH(206,Engine!$C$2:$C$1199,0)),"",INDEX('Compliance Database'!$D$2:$D$1199,MATCH(206,Engine!$C$2:$C$1199,0)))</f>
        <v/>
      </c>
      <c r="E219" s="6" t="str">
        <f>IF(ISNA(MATCH(206,Engine!$C$2:$C$1199,0)),"",INDEX('Compliance Database'!$E$2:$E$1199,MATCH(206,Engine!$C$2:$C$1199,0)))</f>
        <v/>
      </c>
      <c r="F219" s="6" t="str">
        <f>IF(ISNA(MATCH(206,Engine!$C$2:$C$1199,0)),"",INDEX('Compliance Database'!$F$2:$F$1199,MATCH(206,Engine!$C$2:$C$1199,0)))</f>
        <v/>
      </c>
      <c r="G219" s="6" t="str">
        <f>IF(ISNA(MATCH(206,Engine!$C$2:$C$1199,0)),"",INDEX('Compliance Database'!$G$2:$G$1199,MATCH(206,Engine!$C$2:$C$1199,0)))</f>
        <v/>
      </c>
      <c r="H219" s="7" t="str">
        <f>IF(ISNA(MATCH(206,Engine!$C$2:$C$1199,0)),"",INDEX('Compliance Database'!$H$2:$H$1199,MATCH(206,Engine!$C$2:$C$1199,0)))</f>
        <v/>
      </c>
      <c r="I219" s="7" t="str">
        <f>IF(ISNA(MATCH(206,Engine!$C$2:$C$1199,0)),"",INDEX('Compliance Database'!$I$2:$I$1199,MATCH(206,Engine!$C$2:$C$1199,0)))</f>
        <v/>
      </c>
      <c r="J219" s="6" t="str">
        <f>IF(ISNA(MATCH(206,Engine!$C$2:$C$1199,0)),"",INDEX('Compliance Database'!$J$2:$J$1199,MATCH(206,Engine!$C$2:$C$1199,0)))</f>
        <v/>
      </c>
      <c r="K219" s="7" t="str">
        <f>IF(ISNA(MATCH(206,Engine!$C$2:$C$1199,0)),"",INDEX('Compliance Database'!$K$2:$K$1199,MATCH(206,Engine!$C$2:$C$1199,0)))</f>
        <v/>
      </c>
      <c r="L219" s="7" t="str">
        <f>IF(ISNA(MATCH(206,Engine!$C$2:$C$1199,0)),"",INDEX('Compliance Database'!$L$2:$L$1199,MATCH(206,Engine!$C$2:$C$1199,0)))</f>
        <v/>
      </c>
      <c r="M219" s="7" t="str">
        <f>IF(ISNA(MATCH(206,Engine!$C$2:$C$1199,0)),"",INDEX('Compliance Database'!$M$2:$M$1199,MATCH(206,Engine!$C$2:$C$1199,0)))</f>
        <v/>
      </c>
      <c r="N219" s="7" t="str">
        <f>IF(ISNA(MATCH(206,Engine!$C$2:$C$1199,0)),"",INDEX('Compliance Database'!$N$2:$N$1199,MATCH(206,Engine!$C$2:$C$1199,0)))</f>
        <v/>
      </c>
      <c r="O219" s="7" t="str">
        <f>IF(ISNA(MATCH(206,Engine!$C$2:$C$1199,0)),"",INDEX('Compliance Database'!$O$2:$O$1199,MATCH(206,Engine!$C$2:$C$1199,0)))</f>
        <v/>
      </c>
      <c r="P219" s="6" t="str">
        <f>IF(ISNA(MATCH(206,Engine!$C$2:$C$1199,0)),"",HYPERLINK("#Acts!A"&amp;INDEX('Compliance Database'!$P$2:$P$1199,MATCH(206,Engine!$C$2:$C$1199,0)),"Go to Act"))</f>
        <v/>
      </c>
    </row>
    <row r="220" spans="1:16" ht="172.95" customHeight="1" x14ac:dyDescent="0.3">
      <c r="A220" s="6" t="str">
        <f>IF(ISNA(MATCH(207,Engine!$C$2:$C$1199,0)),"",INDEX('Compliance Database'!$A$2:$A$1199,MATCH(207,Engine!$C$2:$C$1199,0)))</f>
        <v/>
      </c>
      <c r="B220" s="6" t="str">
        <f>IF(ISNA(MATCH(207,Engine!$C$2:$C$1199,0)),"",INDEX('Compliance Database'!$B$2:$B$1199,MATCH(207,Engine!$C$2:$C$1199,0)))</f>
        <v/>
      </c>
      <c r="C220" s="6" t="str">
        <f>IF(ISNA(MATCH(207,Engine!$C$2:$C$1199,0)),"",INDEX('Compliance Database'!$C$2:$C$1199,MATCH(207,Engine!$C$2:$C$1199,0)))</f>
        <v/>
      </c>
      <c r="D220" s="7" t="str">
        <f>IF(ISNA(MATCH(207,Engine!$C$2:$C$1199,0)),"",INDEX('Compliance Database'!$D$2:$D$1199,MATCH(207,Engine!$C$2:$C$1199,0)))</f>
        <v/>
      </c>
      <c r="E220" s="6" t="str">
        <f>IF(ISNA(MATCH(207,Engine!$C$2:$C$1199,0)),"",INDEX('Compliance Database'!$E$2:$E$1199,MATCH(207,Engine!$C$2:$C$1199,0)))</f>
        <v/>
      </c>
      <c r="F220" s="6" t="str">
        <f>IF(ISNA(MATCH(207,Engine!$C$2:$C$1199,0)),"",INDEX('Compliance Database'!$F$2:$F$1199,MATCH(207,Engine!$C$2:$C$1199,0)))</f>
        <v/>
      </c>
      <c r="G220" s="6" t="str">
        <f>IF(ISNA(MATCH(207,Engine!$C$2:$C$1199,0)),"",INDEX('Compliance Database'!$G$2:$G$1199,MATCH(207,Engine!$C$2:$C$1199,0)))</f>
        <v/>
      </c>
      <c r="H220" s="7" t="str">
        <f>IF(ISNA(MATCH(207,Engine!$C$2:$C$1199,0)),"",INDEX('Compliance Database'!$H$2:$H$1199,MATCH(207,Engine!$C$2:$C$1199,0)))</f>
        <v/>
      </c>
      <c r="I220" s="7" t="str">
        <f>IF(ISNA(MATCH(207,Engine!$C$2:$C$1199,0)),"",INDEX('Compliance Database'!$I$2:$I$1199,MATCH(207,Engine!$C$2:$C$1199,0)))</f>
        <v/>
      </c>
      <c r="J220" s="6" t="str">
        <f>IF(ISNA(MATCH(207,Engine!$C$2:$C$1199,0)),"",INDEX('Compliance Database'!$J$2:$J$1199,MATCH(207,Engine!$C$2:$C$1199,0)))</f>
        <v/>
      </c>
      <c r="K220" s="7" t="str">
        <f>IF(ISNA(MATCH(207,Engine!$C$2:$C$1199,0)),"",INDEX('Compliance Database'!$K$2:$K$1199,MATCH(207,Engine!$C$2:$C$1199,0)))</f>
        <v/>
      </c>
      <c r="L220" s="7" t="str">
        <f>IF(ISNA(MATCH(207,Engine!$C$2:$C$1199,0)),"",INDEX('Compliance Database'!$L$2:$L$1199,MATCH(207,Engine!$C$2:$C$1199,0)))</f>
        <v/>
      </c>
      <c r="M220" s="7" t="str">
        <f>IF(ISNA(MATCH(207,Engine!$C$2:$C$1199,0)),"",INDEX('Compliance Database'!$M$2:$M$1199,MATCH(207,Engine!$C$2:$C$1199,0)))</f>
        <v/>
      </c>
      <c r="N220" s="7" t="str">
        <f>IF(ISNA(MATCH(207,Engine!$C$2:$C$1199,0)),"",INDEX('Compliance Database'!$N$2:$N$1199,MATCH(207,Engine!$C$2:$C$1199,0)))</f>
        <v/>
      </c>
      <c r="O220" s="7" t="str">
        <f>IF(ISNA(MATCH(207,Engine!$C$2:$C$1199,0)),"",INDEX('Compliance Database'!$O$2:$O$1199,MATCH(207,Engine!$C$2:$C$1199,0)))</f>
        <v/>
      </c>
      <c r="P220" s="6" t="str">
        <f>IF(ISNA(MATCH(207,Engine!$C$2:$C$1199,0)),"",HYPERLINK("#Acts!A"&amp;INDEX('Compliance Database'!$P$2:$P$1199,MATCH(207,Engine!$C$2:$C$1199,0)),"Go to Act"))</f>
        <v/>
      </c>
    </row>
    <row r="221" spans="1:16" ht="172.95" customHeight="1" x14ac:dyDescent="0.3">
      <c r="A221" s="6" t="str">
        <f>IF(ISNA(MATCH(208,Engine!$C$2:$C$1199,0)),"",INDEX('Compliance Database'!$A$2:$A$1199,MATCH(208,Engine!$C$2:$C$1199,0)))</f>
        <v/>
      </c>
      <c r="B221" s="6" t="str">
        <f>IF(ISNA(MATCH(208,Engine!$C$2:$C$1199,0)),"",INDEX('Compliance Database'!$B$2:$B$1199,MATCH(208,Engine!$C$2:$C$1199,0)))</f>
        <v/>
      </c>
      <c r="C221" s="6" t="str">
        <f>IF(ISNA(MATCH(208,Engine!$C$2:$C$1199,0)),"",INDEX('Compliance Database'!$C$2:$C$1199,MATCH(208,Engine!$C$2:$C$1199,0)))</f>
        <v/>
      </c>
      <c r="D221" s="7" t="str">
        <f>IF(ISNA(MATCH(208,Engine!$C$2:$C$1199,0)),"",INDEX('Compliance Database'!$D$2:$D$1199,MATCH(208,Engine!$C$2:$C$1199,0)))</f>
        <v/>
      </c>
      <c r="E221" s="6" t="str">
        <f>IF(ISNA(MATCH(208,Engine!$C$2:$C$1199,0)),"",INDEX('Compliance Database'!$E$2:$E$1199,MATCH(208,Engine!$C$2:$C$1199,0)))</f>
        <v/>
      </c>
      <c r="F221" s="6" t="str">
        <f>IF(ISNA(MATCH(208,Engine!$C$2:$C$1199,0)),"",INDEX('Compliance Database'!$F$2:$F$1199,MATCH(208,Engine!$C$2:$C$1199,0)))</f>
        <v/>
      </c>
      <c r="G221" s="6" t="str">
        <f>IF(ISNA(MATCH(208,Engine!$C$2:$C$1199,0)),"",INDEX('Compliance Database'!$G$2:$G$1199,MATCH(208,Engine!$C$2:$C$1199,0)))</f>
        <v/>
      </c>
      <c r="H221" s="7" t="str">
        <f>IF(ISNA(MATCH(208,Engine!$C$2:$C$1199,0)),"",INDEX('Compliance Database'!$H$2:$H$1199,MATCH(208,Engine!$C$2:$C$1199,0)))</f>
        <v/>
      </c>
      <c r="I221" s="7" t="str">
        <f>IF(ISNA(MATCH(208,Engine!$C$2:$C$1199,0)),"",INDEX('Compliance Database'!$I$2:$I$1199,MATCH(208,Engine!$C$2:$C$1199,0)))</f>
        <v/>
      </c>
      <c r="J221" s="6" t="str">
        <f>IF(ISNA(MATCH(208,Engine!$C$2:$C$1199,0)),"",INDEX('Compliance Database'!$J$2:$J$1199,MATCH(208,Engine!$C$2:$C$1199,0)))</f>
        <v/>
      </c>
      <c r="K221" s="7" t="str">
        <f>IF(ISNA(MATCH(208,Engine!$C$2:$C$1199,0)),"",INDEX('Compliance Database'!$K$2:$K$1199,MATCH(208,Engine!$C$2:$C$1199,0)))</f>
        <v/>
      </c>
      <c r="L221" s="7" t="str">
        <f>IF(ISNA(MATCH(208,Engine!$C$2:$C$1199,0)),"",INDEX('Compliance Database'!$L$2:$L$1199,MATCH(208,Engine!$C$2:$C$1199,0)))</f>
        <v/>
      </c>
      <c r="M221" s="7" t="str">
        <f>IF(ISNA(MATCH(208,Engine!$C$2:$C$1199,0)),"",INDEX('Compliance Database'!$M$2:$M$1199,MATCH(208,Engine!$C$2:$C$1199,0)))</f>
        <v/>
      </c>
      <c r="N221" s="7" t="str">
        <f>IF(ISNA(MATCH(208,Engine!$C$2:$C$1199,0)),"",INDEX('Compliance Database'!$N$2:$N$1199,MATCH(208,Engine!$C$2:$C$1199,0)))</f>
        <v/>
      </c>
      <c r="O221" s="7" t="str">
        <f>IF(ISNA(MATCH(208,Engine!$C$2:$C$1199,0)),"",INDEX('Compliance Database'!$O$2:$O$1199,MATCH(208,Engine!$C$2:$C$1199,0)))</f>
        <v/>
      </c>
      <c r="P221" s="6" t="str">
        <f>IF(ISNA(MATCH(208,Engine!$C$2:$C$1199,0)),"",HYPERLINK("#Acts!A"&amp;INDEX('Compliance Database'!$P$2:$P$1199,MATCH(208,Engine!$C$2:$C$1199,0)),"Go to Act"))</f>
        <v/>
      </c>
    </row>
    <row r="222" spans="1:16" ht="172.95" customHeight="1" x14ac:dyDescent="0.3">
      <c r="A222" s="6" t="str">
        <f>IF(ISNA(MATCH(209,Engine!$C$2:$C$1199,0)),"",INDEX('Compliance Database'!$A$2:$A$1199,MATCH(209,Engine!$C$2:$C$1199,0)))</f>
        <v/>
      </c>
      <c r="B222" s="6" t="str">
        <f>IF(ISNA(MATCH(209,Engine!$C$2:$C$1199,0)),"",INDEX('Compliance Database'!$B$2:$B$1199,MATCH(209,Engine!$C$2:$C$1199,0)))</f>
        <v/>
      </c>
      <c r="C222" s="6" t="str">
        <f>IF(ISNA(MATCH(209,Engine!$C$2:$C$1199,0)),"",INDEX('Compliance Database'!$C$2:$C$1199,MATCH(209,Engine!$C$2:$C$1199,0)))</f>
        <v/>
      </c>
      <c r="D222" s="7" t="str">
        <f>IF(ISNA(MATCH(209,Engine!$C$2:$C$1199,0)),"",INDEX('Compliance Database'!$D$2:$D$1199,MATCH(209,Engine!$C$2:$C$1199,0)))</f>
        <v/>
      </c>
      <c r="E222" s="6" t="str">
        <f>IF(ISNA(MATCH(209,Engine!$C$2:$C$1199,0)),"",INDEX('Compliance Database'!$E$2:$E$1199,MATCH(209,Engine!$C$2:$C$1199,0)))</f>
        <v/>
      </c>
      <c r="F222" s="6" t="str">
        <f>IF(ISNA(MATCH(209,Engine!$C$2:$C$1199,0)),"",INDEX('Compliance Database'!$F$2:$F$1199,MATCH(209,Engine!$C$2:$C$1199,0)))</f>
        <v/>
      </c>
      <c r="G222" s="6" t="str">
        <f>IF(ISNA(MATCH(209,Engine!$C$2:$C$1199,0)),"",INDEX('Compliance Database'!$G$2:$G$1199,MATCH(209,Engine!$C$2:$C$1199,0)))</f>
        <v/>
      </c>
      <c r="H222" s="7" t="str">
        <f>IF(ISNA(MATCH(209,Engine!$C$2:$C$1199,0)),"",INDEX('Compliance Database'!$H$2:$H$1199,MATCH(209,Engine!$C$2:$C$1199,0)))</f>
        <v/>
      </c>
      <c r="I222" s="7" t="str">
        <f>IF(ISNA(MATCH(209,Engine!$C$2:$C$1199,0)),"",INDEX('Compliance Database'!$I$2:$I$1199,MATCH(209,Engine!$C$2:$C$1199,0)))</f>
        <v/>
      </c>
      <c r="J222" s="6" t="str">
        <f>IF(ISNA(MATCH(209,Engine!$C$2:$C$1199,0)),"",INDEX('Compliance Database'!$J$2:$J$1199,MATCH(209,Engine!$C$2:$C$1199,0)))</f>
        <v/>
      </c>
      <c r="K222" s="7" t="str">
        <f>IF(ISNA(MATCH(209,Engine!$C$2:$C$1199,0)),"",INDEX('Compliance Database'!$K$2:$K$1199,MATCH(209,Engine!$C$2:$C$1199,0)))</f>
        <v/>
      </c>
      <c r="L222" s="7" t="str">
        <f>IF(ISNA(MATCH(209,Engine!$C$2:$C$1199,0)),"",INDEX('Compliance Database'!$L$2:$L$1199,MATCH(209,Engine!$C$2:$C$1199,0)))</f>
        <v/>
      </c>
      <c r="M222" s="7" t="str">
        <f>IF(ISNA(MATCH(209,Engine!$C$2:$C$1199,0)),"",INDEX('Compliance Database'!$M$2:$M$1199,MATCH(209,Engine!$C$2:$C$1199,0)))</f>
        <v/>
      </c>
      <c r="N222" s="7" t="str">
        <f>IF(ISNA(MATCH(209,Engine!$C$2:$C$1199,0)),"",INDEX('Compliance Database'!$N$2:$N$1199,MATCH(209,Engine!$C$2:$C$1199,0)))</f>
        <v/>
      </c>
      <c r="O222" s="7" t="str">
        <f>IF(ISNA(MATCH(209,Engine!$C$2:$C$1199,0)),"",INDEX('Compliance Database'!$O$2:$O$1199,MATCH(209,Engine!$C$2:$C$1199,0)))</f>
        <v/>
      </c>
      <c r="P222" s="6" t="str">
        <f>IF(ISNA(MATCH(209,Engine!$C$2:$C$1199,0)),"",HYPERLINK("#Acts!A"&amp;INDEX('Compliance Database'!$P$2:$P$1199,MATCH(209,Engine!$C$2:$C$1199,0)),"Go to Act"))</f>
        <v/>
      </c>
    </row>
    <row r="223" spans="1:16" ht="172.95" customHeight="1" x14ac:dyDescent="0.3">
      <c r="A223" s="6" t="str">
        <f>IF(ISNA(MATCH(210,Engine!$C$2:$C$1199,0)),"",INDEX('Compliance Database'!$A$2:$A$1199,MATCH(210,Engine!$C$2:$C$1199,0)))</f>
        <v/>
      </c>
      <c r="B223" s="6" t="str">
        <f>IF(ISNA(MATCH(210,Engine!$C$2:$C$1199,0)),"",INDEX('Compliance Database'!$B$2:$B$1199,MATCH(210,Engine!$C$2:$C$1199,0)))</f>
        <v/>
      </c>
      <c r="C223" s="6" t="str">
        <f>IF(ISNA(MATCH(210,Engine!$C$2:$C$1199,0)),"",INDEX('Compliance Database'!$C$2:$C$1199,MATCH(210,Engine!$C$2:$C$1199,0)))</f>
        <v/>
      </c>
      <c r="D223" s="7" t="str">
        <f>IF(ISNA(MATCH(210,Engine!$C$2:$C$1199,0)),"",INDEX('Compliance Database'!$D$2:$D$1199,MATCH(210,Engine!$C$2:$C$1199,0)))</f>
        <v/>
      </c>
      <c r="E223" s="6" t="str">
        <f>IF(ISNA(MATCH(210,Engine!$C$2:$C$1199,0)),"",INDEX('Compliance Database'!$E$2:$E$1199,MATCH(210,Engine!$C$2:$C$1199,0)))</f>
        <v/>
      </c>
      <c r="F223" s="6" t="str">
        <f>IF(ISNA(MATCH(210,Engine!$C$2:$C$1199,0)),"",INDEX('Compliance Database'!$F$2:$F$1199,MATCH(210,Engine!$C$2:$C$1199,0)))</f>
        <v/>
      </c>
      <c r="G223" s="6" t="str">
        <f>IF(ISNA(MATCH(210,Engine!$C$2:$C$1199,0)),"",INDEX('Compliance Database'!$G$2:$G$1199,MATCH(210,Engine!$C$2:$C$1199,0)))</f>
        <v/>
      </c>
      <c r="H223" s="7" t="str">
        <f>IF(ISNA(MATCH(210,Engine!$C$2:$C$1199,0)),"",INDEX('Compliance Database'!$H$2:$H$1199,MATCH(210,Engine!$C$2:$C$1199,0)))</f>
        <v/>
      </c>
      <c r="I223" s="7" t="str">
        <f>IF(ISNA(MATCH(210,Engine!$C$2:$C$1199,0)),"",INDEX('Compliance Database'!$I$2:$I$1199,MATCH(210,Engine!$C$2:$C$1199,0)))</f>
        <v/>
      </c>
      <c r="J223" s="6" t="str">
        <f>IF(ISNA(MATCH(210,Engine!$C$2:$C$1199,0)),"",INDEX('Compliance Database'!$J$2:$J$1199,MATCH(210,Engine!$C$2:$C$1199,0)))</f>
        <v/>
      </c>
      <c r="K223" s="7" t="str">
        <f>IF(ISNA(MATCH(210,Engine!$C$2:$C$1199,0)),"",INDEX('Compliance Database'!$K$2:$K$1199,MATCH(210,Engine!$C$2:$C$1199,0)))</f>
        <v/>
      </c>
      <c r="L223" s="7" t="str">
        <f>IF(ISNA(MATCH(210,Engine!$C$2:$C$1199,0)),"",INDEX('Compliance Database'!$L$2:$L$1199,MATCH(210,Engine!$C$2:$C$1199,0)))</f>
        <v/>
      </c>
      <c r="M223" s="7" t="str">
        <f>IF(ISNA(MATCH(210,Engine!$C$2:$C$1199,0)),"",INDEX('Compliance Database'!$M$2:$M$1199,MATCH(210,Engine!$C$2:$C$1199,0)))</f>
        <v/>
      </c>
      <c r="N223" s="7" t="str">
        <f>IF(ISNA(MATCH(210,Engine!$C$2:$C$1199,0)),"",INDEX('Compliance Database'!$N$2:$N$1199,MATCH(210,Engine!$C$2:$C$1199,0)))</f>
        <v/>
      </c>
      <c r="O223" s="7" t="str">
        <f>IF(ISNA(MATCH(210,Engine!$C$2:$C$1199,0)),"",INDEX('Compliance Database'!$O$2:$O$1199,MATCH(210,Engine!$C$2:$C$1199,0)))</f>
        <v/>
      </c>
      <c r="P223" s="6" t="str">
        <f>IF(ISNA(MATCH(210,Engine!$C$2:$C$1199,0)),"",HYPERLINK("#Acts!A"&amp;INDEX('Compliance Database'!$P$2:$P$1199,MATCH(210,Engine!$C$2:$C$1199,0)),"Go to Act"))</f>
        <v/>
      </c>
    </row>
    <row r="224" spans="1:16" ht="172.95" customHeight="1" x14ac:dyDescent="0.3">
      <c r="A224" s="6" t="str">
        <f>IF(ISNA(MATCH(211,Engine!$C$2:$C$1199,0)),"",INDEX('Compliance Database'!$A$2:$A$1199,MATCH(211,Engine!$C$2:$C$1199,0)))</f>
        <v/>
      </c>
      <c r="B224" s="6" t="str">
        <f>IF(ISNA(MATCH(211,Engine!$C$2:$C$1199,0)),"",INDEX('Compliance Database'!$B$2:$B$1199,MATCH(211,Engine!$C$2:$C$1199,0)))</f>
        <v/>
      </c>
      <c r="C224" s="6" t="str">
        <f>IF(ISNA(MATCH(211,Engine!$C$2:$C$1199,0)),"",INDEX('Compliance Database'!$C$2:$C$1199,MATCH(211,Engine!$C$2:$C$1199,0)))</f>
        <v/>
      </c>
      <c r="D224" s="7" t="str">
        <f>IF(ISNA(MATCH(211,Engine!$C$2:$C$1199,0)),"",INDEX('Compliance Database'!$D$2:$D$1199,MATCH(211,Engine!$C$2:$C$1199,0)))</f>
        <v/>
      </c>
      <c r="E224" s="6" t="str">
        <f>IF(ISNA(MATCH(211,Engine!$C$2:$C$1199,0)),"",INDEX('Compliance Database'!$E$2:$E$1199,MATCH(211,Engine!$C$2:$C$1199,0)))</f>
        <v/>
      </c>
      <c r="F224" s="6" t="str">
        <f>IF(ISNA(MATCH(211,Engine!$C$2:$C$1199,0)),"",INDEX('Compliance Database'!$F$2:$F$1199,MATCH(211,Engine!$C$2:$C$1199,0)))</f>
        <v/>
      </c>
      <c r="G224" s="6" t="str">
        <f>IF(ISNA(MATCH(211,Engine!$C$2:$C$1199,0)),"",INDEX('Compliance Database'!$G$2:$G$1199,MATCH(211,Engine!$C$2:$C$1199,0)))</f>
        <v/>
      </c>
      <c r="H224" s="7" t="str">
        <f>IF(ISNA(MATCH(211,Engine!$C$2:$C$1199,0)),"",INDEX('Compliance Database'!$H$2:$H$1199,MATCH(211,Engine!$C$2:$C$1199,0)))</f>
        <v/>
      </c>
      <c r="I224" s="7" t="str">
        <f>IF(ISNA(MATCH(211,Engine!$C$2:$C$1199,0)),"",INDEX('Compliance Database'!$I$2:$I$1199,MATCH(211,Engine!$C$2:$C$1199,0)))</f>
        <v/>
      </c>
      <c r="J224" s="6" t="str">
        <f>IF(ISNA(MATCH(211,Engine!$C$2:$C$1199,0)),"",INDEX('Compliance Database'!$J$2:$J$1199,MATCH(211,Engine!$C$2:$C$1199,0)))</f>
        <v/>
      </c>
      <c r="K224" s="7" t="str">
        <f>IF(ISNA(MATCH(211,Engine!$C$2:$C$1199,0)),"",INDEX('Compliance Database'!$K$2:$K$1199,MATCH(211,Engine!$C$2:$C$1199,0)))</f>
        <v/>
      </c>
      <c r="L224" s="7" t="str">
        <f>IF(ISNA(MATCH(211,Engine!$C$2:$C$1199,0)),"",INDEX('Compliance Database'!$L$2:$L$1199,MATCH(211,Engine!$C$2:$C$1199,0)))</f>
        <v/>
      </c>
      <c r="M224" s="7" t="str">
        <f>IF(ISNA(MATCH(211,Engine!$C$2:$C$1199,0)),"",INDEX('Compliance Database'!$M$2:$M$1199,MATCH(211,Engine!$C$2:$C$1199,0)))</f>
        <v/>
      </c>
      <c r="N224" s="7" t="str">
        <f>IF(ISNA(MATCH(211,Engine!$C$2:$C$1199,0)),"",INDEX('Compliance Database'!$N$2:$N$1199,MATCH(211,Engine!$C$2:$C$1199,0)))</f>
        <v/>
      </c>
      <c r="O224" s="7" t="str">
        <f>IF(ISNA(MATCH(211,Engine!$C$2:$C$1199,0)),"",INDEX('Compliance Database'!$O$2:$O$1199,MATCH(211,Engine!$C$2:$C$1199,0)))</f>
        <v/>
      </c>
      <c r="P224" s="6" t="str">
        <f>IF(ISNA(MATCH(211,Engine!$C$2:$C$1199,0)),"",HYPERLINK("#Acts!A"&amp;INDEX('Compliance Database'!$P$2:$P$1199,MATCH(211,Engine!$C$2:$C$1199,0)),"Go to Act"))</f>
        <v/>
      </c>
    </row>
    <row r="225" spans="1:16" ht="172.95" customHeight="1" x14ac:dyDescent="0.3">
      <c r="A225" s="6" t="str">
        <f>IF(ISNA(MATCH(212,Engine!$C$2:$C$1199,0)),"",INDEX('Compliance Database'!$A$2:$A$1199,MATCH(212,Engine!$C$2:$C$1199,0)))</f>
        <v/>
      </c>
      <c r="B225" s="6" t="str">
        <f>IF(ISNA(MATCH(212,Engine!$C$2:$C$1199,0)),"",INDEX('Compliance Database'!$B$2:$B$1199,MATCH(212,Engine!$C$2:$C$1199,0)))</f>
        <v/>
      </c>
      <c r="C225" s="6" t="str">
        <f>IF(ISNA(MATCH(212,Engine!$C$2:$C$1199,0)),"",INDEX('Compliance Database'!$C$2:$C$1199,MATCH(212,Engine!$C$2:$C$1199,0)))</f>
        <v/>
      </c>
      <c r="D225" s="7" t="str">
        <f>IF(ISNA(MATCH(212,Engine!$C$2:$C$1199,0)),"",INDEX('Compliance Database'!$D$2:$D$1199,MATCH(212,Engine!$C$2:$C$1199,0)))</f>
        <v/>
      </c>
      <c r="E225" s="6" t="str">
        <f>IF(ISNA(MATCH(212,Engine!$C$2:$C$1199,0)),"",INDEX('Compliance Database'!$E$2:$E$1199,MATCH(212,Engine!$C$2:$C$1199,0)))</f>
        <v/>
      </c>
      <c r="F225" s="6" t="str">
        <f>IF(ISNA(MATCH(212,Engine!$C$2:$C$1199,0)),"",INDEX('Compliance Database'!$F$2:$F$1199,MATCH(212,Engine!$C$2:$C$1199,0)))</f>
        <v/>
      </c>
      <c r="G225" s="6" t="str">
        <f>IF(ISNA(MATCH(212,Engine!$C$2:$C$1199,0)),"",INDEX('Compliance Database'!$G$2:$G$1199,MATCH(212,Engine!$C$2:$C$1199,0)))</f>
        <v/>
      </c>
      <c r="H225" s="7" t="str">
        <f>IF(ISNA(MATCH(212,Engine!$C$2:$C$1199,0)),"",INDEX('Compliance Database'!$H$2:$H$1199,MATCH(212,Engine!$C$2:$C$1199,0)))</f>
        <v/>
      </c>
      <c r="I225" s="7" t="str">
        <f>IF(ISNA(MATCH(212,Engine!$C$2:$C$1199,0)),"",INDEX('Compliance Database'!$I$2:$I$1199,MATCH(212,Engine!$C$2:$C$1199,0)))</f>
        <v/>
      </c>
      <c r="J225" s="6" t="str">
        <f>IF(ISNA(MATCH(212,Engine!$C$2:$C$1199,0)),"",INDEX('Compliance Database'!$J$2:$J$1199,MATCH(212,Engine!$C$2:$C$1199,0)))</f>
        <v/>
      </c>
      <c r="K225" s="7" t="str">
        <f>IF(ISNA(MATCH(212,Engine!$C$2:$C$1199,0)),"",INDEX('Compliance Database'!$K$2:$K$1199,MATCH(212,Engine!$C$2:$C$1199,0)))</f>
        <v/>
      </c>
      <c r="L225" s="7" t="str">
        <f>IF(ISNA(MATCH(212,Engine!$C$2:$C$1199,0)),"",INDEX('Compliance Database'!$L$2:$L$1199,MATCH(212,Engine!$C$2:$C$1199,0)))</f>
        <v/>
      </c>
      <c r="M225" s="7" t="str">
        <f>IF(ISNA(MATCH(212,Engine!$C$2:$C$1199,0)),"",INDEX('Compliance Database'!$M$2:$M$1199,MATCH(212,Engine!$C$2:$C$1199,0)))</f>
        <v/>
      </c>
      <c r="N225" s="7" t="str">
        <f>IF(ISNA(MATCH(212,Engine!$C$2:$C$1199,0)),"",INDEX('Compliance Database'!$N$2:$N$1199,MATCH(212,Engine!$C$2:$C$1199,0)))</f>
        <v/>
      </c>
      <c r="O225" s="7" t="str">
        <f>IF(ISNA(MATCH(212,Engine!$C$2:$C$1199,0)),"",INDEX('Compliance Database'!$O$2:$O$1199,MATCH(212,Engine!$C$2:$C$1199,0)))</f>
        <v/>
      </c>
      <c r="P225" s="6" t="str">
        <f>IF(ISNA(MATCH(212,Engine!$C$2:$C$1199,0)),"",HYPERLINK("#Acts!A"&amp;INDEX('Compliance Database'!$P$2:$P$1199,MATCH(212,Engine!$C$2:$C$1199,0)),"Go to Act"))</f>
        <v/>
      </c>
    </row>
    <row r="226" spans="1:16" ht="172.95" customHeight="1" x14ac:dyDescent="0.3">
      <c r="A226" s="6" t="str">
        <f>IF(ISNA(MATCH(213,Engine!$C$2:$C$1199,0)),"",INDEX('Compliance Database'!$A$2:$A$1199,MATCH(213,Engine!$C$2:$C$1199,0)))</f>
        <v/>
      </c>
      <c r="B226" s="6" t="str">
        <f>IF(ISNA(MATCH(213,Engine!$C$2:$C$1199,0)),"",INDEX('Compliance Database'!$B$2:$B$1199,MATCH(213,Engine!$C$2:$C$1199,0)))</f>
        <v/>
      </c>
      <c r="C226" s="6" t="str">
        <f>IF(ISNA(MATCH(213,Engine!$C$2:$C$1199,0)),"",INDEX('Compliance Database'!$C$2:$C$1199,MATCH(213,Engine!$C$2:$C$1199,0)))</f>
        <v/>
      </c>
      <c r="D226" s="7" t="str">
        <f>IF(ISNA(MATCH(213,Engine!$C$2:$C$1199,0)),"",INDEX('Compliance Database'!$D$2:$D$1199,MATCH(213,Engine!$C$2:$C$1199,0)))</f>
        <v/>
      </c>
      <c r="E226" s="6" t="str">
        <f>IF(ISNA(MATCH(213,Engine!$C$2:$C$1199,0)),"",INDEX('Compliance Database'!$E$2:$E$1199,MATCH(213,Engine!$C$2:$C$1199,0)))</f>
        <v/>
      </c>
      <c r="F226" s="6" t="str">
        <f>IF(ISNA(MATCH(213,Engine!$C$2:$C$1199,0)),"",INDEX('Compliance Database'!$F$2:$F$1199,MATCH(213,Engine!$C$2:$C$1199,0)))</f>
        <v/>
      </c>
      <c r="G226" s="6" t="str">
        <f>IF(ISNA(MATCH(213,Engine!$C$2:$C$1199,0)),"",INDEX('Compliance Database'!$G$2:$G$1199,MATCH(213,Engine!$C$2:$C$1199,0)))</f>
        <v/>
      </c>
      <c r="H226" s="7" t="str">
        <f>IF(ISNA(MATCH(213,Engine!$C$2:$C$1199,0)),"",INDEX('Compliance Database'!$H$2:$H$1199,MATCH(213,Engine!$C$2:$C$1199,0)))</f>
        <v/>
      </c>
      <c r="I226" s="7" t="str">
        <f>IF(ISNA(MATCH(213,Engine!$C$2:$C$1199,0)),"",INDEX('Compliance Database'!$I$2:$I$1199,MATCH(213,Engine!$C$2:$C$1199,0)))</f>
        <v/>
      </c>
      <c r="J226" s="6" t="str">
        <f>IF(ISNA(MATCH(213,Engine!$C$2:$C$1199,0)),"",INDEX('Compliance Database'!$J$2:$J$1199,MATCH(213,Engine!$C$2:$C$1199,0)))</f>
        <v/>
      </c>
      <c r="K226" s="7" t="str">
        <f>IF(ISNA(MATCH(213,Engine!$C$2:$C$1199,0)),"",INDEX('Compliance Database'!$K$2:$K$1199,MATCH(213,Engine!$C$2:$C$1199,0)))</f>
        <v/>
      </c>
      <c r="L226" s="7" t="str">
        <f>IF(ISNA(MATCH(213,Engine!$C$2:$C$1199,0)),"",INDEX('Compliance Database'!$L$2:$L$1199,MATCH(213,Engine!$C$2:$C$1199,0)))</f>
        <v/>
      </c>
      <c r="M226" s="7" t="str">
        <f>IF(ISNA(MATCH(213,Engine!$C$2:$C$1199,0)),"",INDEX('Compliance Database'!$M$2:$M$1199,MATCH(213,Engine!$C$2:$C$1199,0)))</f>
        <v/>
      </c>
      <c r="N226" s="7" t="str">
        <f>IF(ISNA(MATCH(213,Engine!$C$2:$C$1199,0)),"",INDEX('Compliance Database'!$N$2:$N$1199,MATCH(213,Engine!$C$2:$C$1199,0)))</f>
        <v/>
      </c>
      <c r="O226" s="7" t="str">
        <f>IF(ISNA(MATCH(213,Engine!$C$2:$C$1199,0)),"",INDEX('Compliance Database'!$O$2:$O$1199,MATCH(213,Engine!$C$2:$C$1199,0)))</f>
        <v/>
      </c>
      <c r="P226" s="6" t="str">
        <f>IF(ISNA(MATCH(213,Engine!$C$2:$C$1199,0)),"",HYPERLINK("#Acts!A"&amp;INDEX('Compliance Database'!$P$2:$P$1199,MATCH(213,Engine!$C$2:$C$1199,0)),"Go to Act"))</f>
        <v/>
      </c>
    </row>
    <row r="227" spans="1:16" ht="172.95" customHeight="1" x14ac:dyDescent="0.3">
      <c r="A227" s="6" t="str">
        <f>IF(ISNA(MATCH(214,Engine!$C$2:$C$1199,0)),"",INDEX('Compliance Database'!$A$2:$A$1199,MATCH(214,Engine!$C$2:$C$1199,0)))</f>
        <v/>
      </c>
      <c r="B227" s="6" t="str">
        <f>IF(ISNA(MATCH(214,Engine!$C$2:$C$1199,0)),"",INDEX('Compliance Database'!$B$2:$B$1199,MATCH(214,Engine!$C$2:$C$1199,0)))</f>
        <v/>
      </c>
      <c r="C227" s="6" t="str">
        <f>IF(ISNA(MATCH(214,Engine!$C$2:$C$1199,0)),"",INDEX('Compliance Database'!$C$2:$C$1199,MATCH(214,Engine!$C$2:$C$1199,0)))</f>
        <v/>
      </c>
      <c r="D227" s="7" t="str">
        <f>IF(ISNA(MATCH(214,Engine!$C$2:$C$1199,0)),"",INDEX('Compliance Database'!$D$2:$D$1199,MATCH(214,Engine!$C$2:$C$1199,0)))</f>
        <v/>
      </c>
      <c r="E227" s="6" t="str">
        <f>IF(ISNA(MATCH(214,Engine!$C$2:$C$1199,0)),"",INDEX('Compliance Database'!$E$2:$E$1199,MATCH(214,Engine!$C$2:$C$1199,0)))</f>
        <v/>
      </c>
      <c r="F227" s="6" t="str">
        <f>IF(ISNA(MATCH(214,Engine!$C$2:$C$1199,0)),"",INDEX('Compliance Database'!$F$2:$F$1199,MATCH(214,Engine!$C$2:$C$1199,0)))</f>
        <v/>
      </c>
      <c r="G227" s="6" t="str">
        <f>IF(ISNA(MATCH(214,Engine!$C$2:$C$1199,0)),"",INDEX('Compliance Database'!$G$2:$G$1199,MATCH(214,Engine!$C$2:$C$1199,0)))</f>
        <v/>
      </c>
      <c r="H227" s="7" t="str">
        <f>IF(ISNA(MATCH(214,Engine!$C$2:$C$1199,0)),"",INDEX('Compliance Database'!$H$2:$H$1199,MATCH(214,Engine!$C$2:$C$1199,0)))</f>
        <v/>
      </c>
      <c r="I227" s="7" t="str">
        <f>IF(ISNA(MATCH(214,Engine!$C$2:$C$1199,0)),"",INDEX('Compliance Database'!$I$2:$I$1199,MATCH(214,Engine!$C$2:$C$1199,0)))</f>
        <v/>
      </c>
      <c r="J227" s="6" t="str">
        <f>IF(ISNA(MATCH(214,Engine!$C$2:$C$1199,0)),"",INDEX('Compliance Database'!$J$2:$J$1199,MATCH(214,Engine!$C$2:$C$1199,0)))</f>
        <v/>
      </c>
      <c r="K227" s="7" t="str">
        <f>IF(ISNA(MATCH(214,Engine!$C$2:$C$1199,0)),"",INDEX('Compliance Database'!$K$2:$K$1199,MATCH(214,Engine!$C$2:$C$1199,0)))</f>
        <v/>
      </c>
      <c r="L227" s="7" t="str">
        <f>IF(ISNA(MATCH(214,Engine!$C$2:$C$1199,0)),"",INDEX('Compliance Database'!$L$2:$L$1199,MATCH(214,Engine!$C$2:$C$1199,0)))</f>
        <v/>
      </c>
      <c r="M227" s="7" t="str">
        <f>IF(ISNA(MATCH(214,Engine!$C$2:$C$1199,0)),"",INDEX('Compliance Database'!$M$2:$M$1199,MATCH(214,Engine!$C$2:$C$1199,0)))</f>
        <v/>
      </c>
      <c r="N227" s="7" t="str">
        <f>IF(ISNA(MATCH(214,Engine!$C$2:$C$1199,0)),"",INDEX('Compliance Database'!$N$2:$N$1199,MATCH(214,Engine!$C$2:$C$1199,0)))</f>
        <v/>
      </c>
      <c r="O227" s="7" t="str">
        <f>IF(ISNA(MATCH(214,Engine!$C$2:$C$1199,0)),"",INDEX('Compliance Database'!$O$2:$O$1199,MATCH(214,Engine!$C$2:$C$1199,0)))</f>
        <v/>
      </c>
      <c r="P227" s="6" t="str">
        <f>IF(ISNA(MATCH(214,Engine!$C$2:$C$1199,0)),"",HYPERLINK("#Acts!A"&amp;INDEX('Compliance Database'!$P$2:$P$1199,MATCH(214,Engine!$C$2:$C$1199,0)),"Go to Act"))</f>
        <v/>
      </c>
    </row>
    <row r="228" spans="1:16" ht="172.95" customHeight="1" x14ac:dyDescent="0.3">
      <c r="A228" s="6" t="str">
        <f>IF(ISNA(MATCH(215,Engine!$C$2:$C$1199,0)),"",INDEX('Compliance Database'!$A$2:$A$1199,MATCH(215,Engine!$C$2:$C$1199,0)))</f>
        <v/>
      </c>
      <c r="B228" s="6" t="str">
        <f>IF(ISNA(MATCH(215,Engine!$C$2:$C$1199,0)),"",INDEX('Compliance Database'!$B$2:$B$1199,MATCH(215,Engine!$C$2:$C$1199,0)))</f>
        <v/>
      </c>
      <c r="C228" s="6" t="str">
        <f>IF(ISNA(MATCH(215,Engine!$C$2:$C$1199,0)),"",INDEX('Compliance Database'!$C$2:$C$1199,MATCH(215,Engine!$C$2:$C$1199,0)))</f>
        <v/>
      </c>
      <c r="D228" s="7" t="str">
        <f>IF(ISNA(MATCH(215,Engine!$C$2:$C$1199,0)),"",INDEX('Compliance Database'!$D$2:$D$1199,MATCH(215,Engine!$C$2:$C$1199,0)))</f>
        <v/>
      </c>
      <c r="E228" s="6" t="str">
        <f>IF(ISNA(MATCH(215,Engine!$C$2:$C$1199,0)),"",INDEX('Compliance Database'!$E$2:$E$1199,MATCH(215,Engine!$C$2:$C$1199,0)))</f>
        <v/>
      </c>
      <c r="F228" s="6" t="str">
        <f>IF(ISNA(MATCH(215,Engine!$C$2:$C$1199,0)),"",INDEX('Compliance Database'!$F$2:$F$1199,MATCH(215,Engine!$C$2:$C$1199,0)))</f>
        <v/>
      </c>
      <c r="G228" s="6" t="str">
        <f>IF(ISNA(MATCH(215,Engine!$C$2:$C$1199,0)),"",INDEX('Compliance Database'!$G$2:$G$1199,MATCH(215,Engine!$C$2:$C$1199,0)))</f>
        <v/>
      </c>
      <c r="H228" s="7" t="str">
        <f>IF(ISNA(MATCH(215,Engine!$C$2:$C$1199,0)),"",INDEX('Compliance Database'!$H$2:$H$1199,MATCH(215,Engine!$C$2:$C$1199,0)))</f>
        <v/>
      </c>
      <c r="I228" s="7" t="str">
        <f>IF(ISNA(MATCH(215,Engine!$C$2:$C$1199,0)),"",INDEX('Compliance Database'!$I$2:$I$1199,MATCH(215,Engine!$C$2:$C$1199,0)))</f>
        <v/>
      </c>
      <c r="J228" s="6" t="str">
        <f>IF(ISNA(MATCH(215,Engine!$C$2:$C$1199,0)),"",INDEX('Compliance Database'!$J$2:$J$1199,MATCH(215,Engine!$C$2:$C$1199,0)))</f>
        <v/>
      </c>
      <c r="K228" s="7" t="str">
        <f>IF(ISNA(MATCH(215,Engine!$C$2:$C$1199,0)),"",INDEX('Compliance Database'!$K$2:$K$1199,MATCH(215,Engine!$C$2:$C$1199,0)))</f>
        <v/>
      </c>
      <c r="L228" s="7" t="str">
        <f>IF(ISNA(MATCH(215,Engine!$C$2:$C$1199,0)),"",INDEX('Compliance Database'!$L$2:$L$1199,MATCH(215,Engine!$C$2:$C$1199,0)))</f>
        <v/>
      </c>
      <c r="M228" s="7" t="str">
        <f>IF(ISNA(MATCH(215,Engine!$C$2:$C$1199,0)),"",INDEX('Compliance Database'!$M$2:$M$1199,MATCH(215,Engine!$C$2:$C$1199,0)))</f>
        <v/>
      </c>
      <c r="N228" s="7" t="str">
        <f>IF(ISNA(MATCH(215,Engine!$C$2:$C$1199,0)),"",INDEX('Compliance Database'!$N$2:$N$1199,MATCH(215,Engine!$C$2:$C$1199,0)))</f>
        <v/>
      </c>
      <c r="O228" s="7" t="str">
        <f>IF(ISNA(MATCH(215,Engine!$C$2:$C$1199,0)),"",INDEX('Compliance Database'!$O$2:$O$1199,MATCH(215,Engine!$C$2:$C$1199,0)))</f>
        <v/>
      </c>
      <c r="P228" s="6" t="str">
        <f>IF(ISNA(MATCH(215,Engine!$C$2:$C$1199,0)),"",HYPERLINK("#Acts!A"&amp;INDEX('Compliance Database'!$P$2:$P$1199,MATCH(215,Engine!$C$2:$C$1199,0)),"Go to Act"))</f>
        <v/>
      </c>
    </row>
    <row r="229" spans="1:16" ht="172.95" customHeight="1" x14ac:dyDescent="0.3">
      <c r="A229" s="6" t="str">
        <f>IF(ISNA(MATCH(216,Engine!$C$2:$C$1199,0)),"",INDEX('Compliance Database'!$A$2:$A$1199,MATCH(216,Engine!$C$2:$C$1199,0)))</f>
        <v/>
      </c>
      <c r="B229" s="6" t="str">
        <f>IF(ISNA(MATCH(216,Engine!$C$2:$C$1199,0)),"",INDEX('Compliance Database'!$B$2:$B$1199,MATCH(216,Engine!$C$2:$C$1199,0)))</f>
        <v/>
      </c>
      <c r="C229" s="6" t="str">
        <f>IF(ISNA(MATCH(216,Engine!$C$2:$C$1199,0)),"",INDEX('Compliance Database'!$C$2:$C$1199,MATCH(216,Engine!$C$2:$C$1199,0)))</f>
        <v/>
      </c>
      <c r="D229" s="7" t="str">
        <f>IF(ISNA(MATCH(216,Engine!$C$2:$C$1199,0)),"",INDEX('Compliance Database'!$D$2:$D$1199,MATCH(216,Engine!$C$2:$C$1199,0)))</f>
        <v/>
      </c>
      <c r="E229" s="6" t="str">
        <f>IF(ISNA(MATCH(216,Engine!$C$2:$C$1199,0)),"",INDEX('Compliance Database'!$E$2:$E$1199,MATCH(216,Engine!$C$2:$C$1199,0)))</f>
        <v/>
      </c>
      <c r="F229" s="6" t="str">
        <f>IF(ISNA(MATCH(216,Engine!$C$2:$C$1199,0)),"",INDEX('Compliance Database'!$F$2:$F$1199,MATCH(216,Engine!$C$2:$C$1199,0)))</f>
        <v/>
      </c>
      <c r="G229" s="6" t="str">
        <f>IF(ISNA(MATCH(216,Engine!$C$2:$C$1199,0)),"",INDEX('Compliance Database'!$G$2:$G$1199,MATCH(216,Engine!$C$2:$C$1199,0)))</f>
        <v/>
      </c>
      <c r="H229" s="7" t="str">
        <f>IF(ISNA(MATCH(216,Engine!$C$2:$C$1199,0)),"",INDEX('Compliance Database'!$H$2:$H$1199,MATCH(216,Engine!$C$2:$C$1199,0)))</f>
        <v/>
      </c>
      <c r="I229" s="7" t="str">
        <f>IF(ISNA(MATCH(216,Engine!$C$2:$C$1199,0)),"",INDEX('Compliance Database'!$I$2:$I$1199,MATCH(216,Engine!$C$2:$C$1199,0)))</f>
        <v/>
      </c>
      <c r="J229" s="6" t="str">
        <f>IF(ISNA(MATCH(216,Engine!$C$2:$C$1199,0)),"",INDEX('Compliance Database'!$J$2:$J$1199,MATCH(216,Engine!$C$2:$C$1199,0)))</f>
        <v/>
      </c>
      <c r="K229" s="7" t="str">
        <f>IF(ISNA(MATCH(216,Engine!$C$2:$C$1199,0)),"",INDEX('Compliance Database'!$K$2:$K$1199,MATCH(216,Engine!$C$2:$C$1199,0)))</f>
        <v/>
      </c>
      <c r="L229" s="7" t="str">
        <f>IF(ISNA(MATCH(216,Engine!$C$2:$C$1199,0)),"",INDEX('Compliance Database'!$L$2:$L$1199,MATCH(216,Engine!$C$2:$C$1199,0)))</f>
        <v/>
      </c>
      <c r="M229" s="7" t="str">
        <f>IF(ISNA(MATCH(216,Engine!$C$2:$C$1199,0)),"",INDEX('Compliance Database'!$M$2:$M$1199,MATCH(216,Engine!$C$2:$C$1199,0)))</f>
        <v/>
      </c>
      <c r="N229" s="7" t="str">
        <f>IF(ISNA(MATCH(216,Engine!$C$2:$C$1199,0)),"",INDEX('Compliance Database'!$N$2:$N$1199,MATCH(216,Engine!$C$2:$C$1199,0)))</f>
        <v/>
      </c>
      <c r="O229" s="7" t="str">
        <f>IF(ISNA(MATCH(216,Engine!$C$2:$C$1199,0)),"",INDEX('Compliance Database'!$O$2:$O$1199,MATCH(216,Engine!$C$2:$C$1199,0)))</f>
        <v/>
      </c>
      <c r="P229" s="6" t="str">
        <f>IF(ISNA(MATCH(216,Engine!$C$2:$C$1199,0)),"",HYPERLINK("#Acts!A"&amp;INDEX('Compliance Database'!$P$2:$P$1199,MATCH(216,Engine!$C$2:$C$1199,0)),"Go to Act"))</f>
        <v/>
      </c>
    </row>
    <row r="230" spans="1:16" ht="172.95" customHeight="1" x14ac:dyDescent="0.3">
      <c r="A230" s="6" t="str">
        <f>IF(ISNA(MATCH(217,Engine!$C$2:$C$1199,0)),"",INDEX('Compliance Database'!$A$2:$A$1199,MATCH(217,Engine!$C$2:$C$1199,0)))</f>
        <v/>
      </c>
      <c r="B230" s="6" t="str">
        <f>IF(ISNA(MATCH(217,Engine!$C$2:$C$1199,0)),"",INDEX('Compliance Database'!$B$2:$B$1199,MATCH(217,Engine!$C$2:$C$1199,0)))</f>
        <v/>
      </c>
      <c r="C230" s="6" t="str">
        <f>IF(ISNA(MATCH(217,Engine!$C$2:$C$1199,0)),"",INDEX('Compliance Database'!$C$2:$C$1199,MATCH(217,Engine!$C$2:$C$1199,0)))</f>
        <v/>
      </c>
      <c r="D230" s="7" t="str">
        <f>IF(ISNA(MATCH(217,Engine!$C$2:$C$1199,0)),"",INDEX('Compliance Database'!$D$2:$D$1199,MATCH(217,Engine!$C$2:$C$1199,0)))</f>
        <v/>
      </c>
      <c r="E230" s="6" t="str">
        <f>IF(ISNA(MATCH(217,Engine!$C$2:$C$1199,0)),"",INDEX('Compliance Database'!$E$2:$E$1199,MATCH(217,Engine!$C$2:$C$1199,0)))</f>
        <v/>
      </c>
      <c r="F230" s="6" t="str">
        <f>IF(ISNA(MATCH(217,Engine!$C$2:$C$1199,0)),"",INDEX('Compliance Database'!$F$2:$F$1199,MATCH(217,Engine!$C$2:$C$1199,0)))</f>
        <v/>
      </c>
      <c r="G230" s="6" t="str">
        <f>IF(ISNA(MATCH(217,Engine!$C$2:$C$1199,0)),"",INDEX('Compliance Database'!$G$2:$G$1199,MATCH(217,Engine!$C$2:$C$1199,0)))</f>
        <v/>
      </c>
      <c r="H230" s="7" t="str">
        <f>IF(ISNA(MATCH(217,Engine!$C$2:$C$1199,0)),"",INDEX('Compliance Database'!$H$2:$H$1199,MATCH(217,Engine!$C$2:$C$1199,0)))</f>
        <v/>
      </c>
      <c r="I230" s="7" t="str">
        <f>IF(ISNA(MATCH(217,Engine!$C$2:$C$1199,0)),"",INDEX('Compliance Database'!$I$2:$I$1199,MATCH(217,Engine!$C$2:$C$1199,0)))</f>
        <v/>
      </c>
      <c r="J230" s="6" t="str">
        <f>IF(ISNA(MATCH(217,Engine!$C$2:$C$1199,0)),"",INDEX('Compliance Database'!$J$2:$J$1199,MATCH(217,Engine!$C$2:$C$1199,0)))</f>
        <v/>
      </c>
      <c r="K230" s="7" t="str">
        <f>IF(ISNA(MATCH(217,Engine!$C$2:$C$1199,0)),"",INDEX('Compliance Database'!$K$2:$K$1199,MATCH(217,Engine!$C$2:$C$1199,0)))</f>
        <v/>
      </c>
      <c r="L230" s="7" t="str">
        <f>IF(ISNA(MATCH(217,Engine!$C$2:$C$1199,0)),"",INDEX('Compliance Database'!$L$2:$L$1199,MATCH(217,Engine!$C$2:$C$1199,0)))</f>
        <v/>
      </c>
      <c r="M230" s="7" t="str">
        <f>IF(ISNA(MATCH(217,Engine!$C$2:$C$1199,0)),"",INDEX('Compliance Database'!$M$2:$M$1199,MATCH(217,Engine!$C$2:$C$1199,0)))</f>
        <v/>
      </c>
      <c r="N230" s="7" t="str">
        <f>IF(ISNA(MATCH(217,Engine!$C$2:$C$1199,0)),"",INDEX('Compliance Database'!$N$2:$N$1199,MATCH(217,Engine!$C$2:$C$1199,0)))</f>
        <v/>
      </c>
      <c r="O230" s="7" t="str">
        <f>IF(ISNA(MATCH(217,Engine!$C$2:$C$1199,0)),"",INDEX('Compliance Database'!$O$2:$O$1199,MATCH(217,Engine!$C$2:$C$1199,0)))</f>
        <v/>
      </c>
      <c r="P230" s="6" t="str">
        <f>IF(ISNA(MATCH(217,Engine!$C$2:$C$1199,0)),"",HYPERLINK("#Acts!A"&amp;INDEX('Compliance Database'!$P$2:$P$1199,MATCH(217,Engine!$C$2:$C$1199,0)),"Go to Act"))</f>
        <v/>
      </c>
    </row>
    <row r="231" spans="1:16" ht="172.95" customHeight="1" x14ac:dyDescent="0.3">
      <c r="A231" s="6" t="str">
        <f>IF(ISNA(MATCH(218,Engine!$C$2:$C$1199,0)),"",INDEX('Compliance Database'!$A$2:$A$1199,MATCH(218,Engine!$C$2:$C$1199,0)))</f>
        <v/>
      </c>
      <c r="B231" s="6" t="str">
        <f>IF(ISNA(MATCH(218,Engine!$C$2:$C$1199,0)),"",INDEX('Compliance Database'!$B$2:$B$1199,MATCH(218,Engine!$C$2:$C$1199,0)))</f>
        <v/>
      </c>
      <c r="C231" s="6" t="str">
        <f>IF(ISNA(MATCH(218,Engine!$C$2:$C$1199,0)),"",INDEX('Compliance Database'!$C$2:$C$1199,MATCH(218,Engine!$C$2:$C$1199,0)))</f>
        <v/>
      </c>
      <c r="D231" s="7" t="str">
        <f>IF(ISNA(MATCH(218,Engine!$C$2:$C$1199,0)),"",INDEX('Compliance Database'!$D$2:$D$1199,MATCH(218,Engine!$C$2:$C$1199,0)))</f>
        <v/>
      </c>
      <c r="E231" s="6" t="str">
        <f>IF(ISNA(MATCH(218,Engine!$C$2:$C$1199,0)),"",INDEX('Compliance Database'!$E$2:$E$1199,MATCH(218,Engine!$C$2:$C$1199,0)))</f>
        <v/>
      </c>
      <c r="F231" s="6" t="str">
        <f>IF(ISNA(MATCH(218,Engine!$C$2:$C$1199,0)),"",INDEX('Compliance Database'!$F$2:$F$1199,MATCH(218,Engine!$C$2:$C$1199,0)))</f>
        <v/>
      </c>
      <c r="G231" s="6" t="str">
        <f>IF(ISNA(MATCH(218,Engine!$C$2:$C$1199,0)),"",INDEX('Compliance Database'!$G$2:$G$1199,MATCH(218,Engine!$C$2:$C$1199,0)))</f>
        <v/>
      </c>
      <c r="H231" s="7" t="str">
        <f>IF(ISNA(MATCH(218,Engine!$C$2:$C$1199,0)),"",INDEX('Compliance Database'!$H$2:$H$1199,MATCH(218,Engine!$C$2:$C$1199,0)))</f>
        <v/>
      </c>
      <c r="I231" s="7" t="str">
        <f>IF(ISNA(MATCH(218,Engine!$C$2:$C$1199,0)),"",INDEX('Compliance Database'!$I$2:$I$1199,MATCH(218,Engine!$C$2:$C$1199,0)))</f>
        <v/>
      </c>
      <c r="J231" s="6" t="str">
        <f>IF(ISNA(MATCH(218,Engine!$C$2:$C$1199,0)),"",INDEX('Compliance Database'!$J$2:$J$1199,MATCH(218,Engine!$C$2:$C$1199,0)))</f>
        <v/>
      </c>
      <c r="K231" s="7" t="str">
        <f>IF(ISNA(MATCH(218,Engine!$C$2:$C$1199,0)),"",INDEX('Compliance Database'!$K$2:$K$1199,MATCH(218,Engine!$C$2:$C$1199,0)))</f>
        <v/>
      </c>
      <c r="L231" s="7" t="str">
        <f>IF(ISNA(MATCH(218,Engine!$C$2:$C$1199,0)),"",INDEX('Compliance Database'!$L$2:$L$1199,MATCH(218,Engine!$C$2:$C$1199,0)))</f>
        <v/>
      </c>
      <c r="M231" s="7" t="str">
        <f>IF(ISNA(MATCH(218,Engine!$C$2:$C$1199,0)),"",INDEX('Compliance Database'!$M$2:$M$1199,MATCH(218,Engine!$C$2:$C$1199,0)))</f>
        <v/>
      </c>
      <c r="N231" s="7" t="str">
        <f>IF(ISNA(MATCH(218,Engine!$C$2:$C$1199,0)),"",INDEX('Compliance Database'!$N$2:$N$1199,MATCH(218,Engine!$C$2:$C$1199,0)))</f>
        <v/>
      </c>
      <c r="O231" s="7" t="str">
        <f>IF(ISNA(MATCH(218,Engine!$C$2:$C$1199,0)),"",INDEX('Compliance Database'!$O$2:$O$1199,MATCH(218,Engine!$C$2:$C$1199,0)))</f>
        <v/>
      </c>
      <c r="P231" s="6" t="str">
        <f>IF(ISNA(MATCH(218,Engine!$C$2:$C$1199,0)),"",HYPERLINK("#Acts!A"&amp;INDEX('Compliance Database'!$P$2:$P$1199,MATCH(218,Engine!$C$2:$C$1199,0)),"Go to Act"))</f>
        <v/>
      </c>
    </row>
    <row r="232" spans="1:16" ht="172.95" customHeight="1" x14ac:dyDescent="0.3">
      <c r="A232" s="6" t="str">
        <f>IF(ISNA(MATCH(219,Engine!$C$2:$C$1199,0)),"",INDEX('Compliance Database'!$A$2:$A$1199,MATCH(219,Engine!$C$2:$C$1199,0)))</f>
        <v/>
      </c>
      <c r="B232" s="6" t="str">
        <f>IF(ISNA(MATCH(219,Engine!$C$2:$C$1199,0)),"",INDEX('Compliance Database'!$B$2:$B$1199,MATCH(219,Engine!$C$2:$C$1199,0)))</f>
        <v/>
      </c>
      <c r="C232" s="6" t="str">
        <f>IF(ISNA(MATCH(219,Engine!$C$2:$C$1199,0)),"",INDEX('Compliance Database'!$C$2:$C$1199,MATCH(219,Engine!$C$2:$C$1199,0)))</f>
        <v/>
      </c>
      <c r="D232" s="7" t="str">
        <f>IF(ISNA(MATCH(219,Engine!$C$2:$C$1199,0)),"",INDEX('Compliance Database'!$D$2:$D$1199,MATCH(219,Engine!$C$2:$C$1199,0)))</f>
        <v/>
      </c>
      <c r="E232" s="6" t="str">
        <f>IF(ISNA(MATCH(219,Engine!$C$2:$C$1199,0)),"",INDEX('Compliance Database'!$E$2:$E$1199,MATCH(219,Engine!$C$2:$C$1199,0)))</f>
        <v/>
      </c>
      <c r="F232" s="6" t="str">
        <f>IF(ISNA(MATCH(219,Engine!$C$2:$C$1199,0)),"",INDEX('Compliance Database'!$F$2:$F$1199,MATCH(219,Engine!$C$2:$C$1199,0)))</f>
        <v/>
      </c>
      <c r="G232" s="6" t="str">
        <f>IF(ISNA(MATCH(219,Engine!$C$2:$C$1199,0)),"",INDEX('Compliance Database'!$G$2:$G$1199,MATCH(219,Engine!$C$2:$C$1199,0)))</f>
        <v/>
      </c>
      <c r="H232" s="7" t="str">
        <f>IF(ISNA(MATCH(219,Engine!$C$2:$C$1199,0)),"",INDEX('Compliance Database'!$H$2:$H$1199,MATCH(219,Engine!$C$2:$C$1199,0)))</f>
        <v/>
      </c>
      <c r="I232" s="7" t="str">
        <f>IF(ISNA(MATCH(219,Engine!$C$2:$C$1199,0)),"",INDEX('Compliance Database'!$I$2:$I$1199,MATCH(219,Engine!$C$2:$C$1199,0)))</f>
        <v/>
      </c>
      <c r="J232" s="6" t="str">
        <f>IF(ISNA(MATCH(219,Engine!$C$2:$C$1199,0)),"",INDEX('Compliance Database'!$J$2:$J$1199,MATCH(219,Engine!$C$2:$C$1199,0)))</f>
        <v/>
      </c>
      <c r="K232" s="7" t="str">
        <f>IF(ISNA(MATCH(219,Engine!$C$2:$C$1199,0)),"",INDEX('Compliance Database'!$K$2:$K$1199,MATCH(219,Engine!$C$2:$C$1199,0)))</f>
        <v/>
      </c>
      <c r="L232" s="7" t="str">
        <f>IF(ISNA(MATCH(219,Engine!$C$2:$C$1199,0)),"",INDEX('Compliance Database'!$L$2:$L$1199,MATCH(219,Engine!$C$2:$C$1199,0)))</f>
        <v/>
      </c>
      <c r="M232" s="7" t="str">
        <f>IF(ISNA(MATCH(219,Engine!$C$2:$C$1199,0)),"",INDEX('Compliance Database'!$M$2:$M$1199,MATCH(219,Engine!$C$2:$C$1199,0)))</f>
        <v/>
      </c>
      <c r="N232" s="7" t="str">
        <f>IF(ISNA(MATCH(219,Engine!$C$2:$C$1199,0)),"",INDEX('Compliance Database'!$N$2:$N$1199,MATCH(219,Engine!$C$2:$C$1199,0)))</f>
        <v/>
      </c>
      <c r="O232" s="7" t="str">
        <f>IF(ISNA(MATCH(219,Engine!$C$2:$C$1199,0)),"",INDEX('Compliance Database'!$O$2:$O$1199,MATCH(219,Engine!$C$2:$C$1199,0)))</f>
        <v/>
      </c>
      <c r="P232" s="6" t="str">
        <f>IF(ISNA(MATCH(219,Engine!$C$2:$C$1199,0)),"",HYPERLINK("#Acts!A"&amp;INDEX('Compliance Database'!$P$2:$P$1199,MATCH(219,Engine!$C$2:$C$1199,0)),"Go to Act"))</f>
        <v/>
      </c>
    </row>
    <row r="233" spans="1:16" ht="172.95" customHeight="1" x14ac:dyDescent="0.3">
      <c r="A233" s="6" t="str">
        <f>IF(ISNA(MATCH(220,Engine!$C$2:$C$1199,0)),"",INDEX('Compliance Database'!$A$2:$A$1199,MATCH(220,Engine!$C$2:$C$1199,0)))</f>
        <v/>
      </c>
      <c r="B233" s="6" t="str">
        <f>IF(ISNA(MATCH(220,Engine!$C$2:$C$1199,0)),"",INDEX('Compliance Database'!$B$2:$B$1199,MATCH(220,Engine!$C$2:$C$1199,0)))</f>
        <v/>
      </c>
      <c r="C233" s="6" t="str">
        <f>IF(ISNA(MATCH(220,Engine!$C$2:$C$1199,0)),"",INDEX('Compliance Database'!$C$2:$C$1199,MATCH(220,Engine!$C$2:$C$1199,0)))</f>
        <v/>
      </c>
      <c r="D233" s="7" t="str">
        <f>IF(ISNA(MATCH(220,Engine!$C$2:$C$1199,0)),"",INDEX('Compliance Database'!$D$2:$D$1199,MATCH(220,Engine!$C$2:$C$1199,0)))</f>
        <v/>
      </c>
      <c r="E233" s="6" t="str">
        <f>IF(ISNA(MATCH(220,Engine!$C$2:$C$1199,0)),"",INDEX('Compliance Database'!$E$2:$E$1199,MATCH(220,Engine!$C$2:$C$1199,0)))</f>
        <v/>
      </c>
      <c r="F233" s="6" t="str">
        <f>IF(ISNA(MATCH(220,Engine!$C$2:$C$1199,0)),"",INDEX('Compliance Database'!$F$2:$F$1199,MATCH(220,Engine!$C$2:$C$1199,0)))</f>
        <v/>
      </c>
      <c r="G233" s="6" t="str">
        <f>IF(ISNA(MATCH(220,Engine!$C$2:$C$1199,0)),"",INDEX('Compliance Database'!$G$2:$G$1199,MATCH(220,Engine!$C$2:$C$1199,0)))</f>
        <v/>
      </c>
      <c r="H233" s="7" t="str">
        <f>IF(ISNA(MATCH(220,Engine!$C$2:$C$1199,0)),"",INDEX('Compliance Database'!$H$2:$H$1199,MATCH(220,Engine!$C$2:$C$1199,0)))</f>
        <v/>
      </c>
      <c r="I233" s="7" t="str">
        <f>IF(ISNA(MATCH(220,Engine!$C$2:$C$1199,0)),"",INDEX('Compliance Database'!$I$2:$I$1199,MATCH(220,Engine!$C$2:$C$1199,0)))</f>
        <v/>
      </c>
      <c r="J233" s="6" t="str">
        <f>IF(ISNA(MATCH(220,Engine!$C$2:$C$1199,0)),"",INDEX('Compliance Database'!$J$2:$J$1199,MATCH(220,Engine!$C$2:$C$1199,0)))</f>
        <v/>
      </c>
      <c r="K233" s="7" t="str">
        <f>IF(ISNA(MATCH(220,Engine!$C$2:$C$1199,0)),"",INDEX('Compliance Database'!$K$2:$K$1199,MATCH(220,Engine!$C$2:$C$1199,0)))</f>
        <v/>
      </c>
      <c r="L233" s="7" t="str">
        <f>IF(ISNA(MATCH(220,Engine!$C$2:$C$1199,0)),"",INDEX('Compliance Database'!$L$2:$L$1199,MATCH(220,Engine!$C$2:$C$1199,0)))</f>
        <v/>
      </c>
      <c r="M233" s="7" t="str">
        <f>IF(ISNA(MATCH(220,Engine!$C$2:$C$1199,0)),"",INDEX('Compliance Database'!$M$2:$M$1199,MATCH(220,Engine!$C$2:$C$1199,0)))</f>
        <v/>
      </c>
      <c r="N233" s="7" t="str">
        <f>IF(ISNA(MATCH(220,Engine!$C$2:$C$1199,0)),"",INDEX('Compliance Database'!$N$2:$N$1199,MATCH(220,Engine!$C$2:$C$1199,0)))</f>
        <v/>
      </c>
      <c r="O233" s="7" t="str">
        <f>IF(ISNA(MATCH(220,Engine!$C$2:$C$1199,0)),"",INDEX('Compliance Database'!$O$2:$O$1199,MATCH(220,Engine!$C$2:$C$1199,0)))</f>
        <v/>
      </c>
      <c r="P233" s="6" t="str">
        <f>IF(ISNA(MATCH(220,Engine!$C$2:$C$1199,0)),"",HYPERLINK("#Acts!A"&amp;INDEX('Compliance Database'!$P$2:$P$1199,MATCH(220,Engine!$C$2:$C$1199,0)),"Go to Act"))</f>
        <v/>
      </c>
    </row>
    <row r="234" spans="1:16" ht="172.95" customHeight="1" x14ac:dyDescent="0.3">
      <c r="A234" s="6" t="str">
        <f>IF(ISNA(MATCH(221,Engine!$C$2:$C$1199,0)),"",INDEX('Compliance Database'!$A$2:$A$1199,MATCH(221,Engine!$C$2:$C$1199,0)))</f>
        <v/>
      </c>
      <c r="B234" s="6" t="str">
        <f>IF(ISNA(MATCH(221,Engine!$C$2:$C$1199,0)),"",INDEX('Compliance Database'!$B$2:$B$1199,MATCH(221,Engine!$C$2:$C$1199,0)))</f>
        <v/>
      </c>
      <c r="C234" s="6" t="str">
        <f>IF(ISNA(MATCH(221,Engine!$C$2:$C$1199,0)),"",INDEX('Compliance Database'!$C$2:$C$1199,MATCH(221,Engine!$C$2:$C$1199,0)))</f>
        <v/>
      </c>
      <c r="D234" s="7" t="str">
        <f>IF(ISNA(MATCH(221,Engine!$C$2:$C$1199,0)),"",INDEX('Compliance Database'!$D$2:$D$1199,MATCH(221,Engine!$C$2:$C$1199,0)))</f>
        <v/>
      </c>
      <c r="E234" s="6" t="str">
        <f>IF(ISNA(MATCH(221,Engine!$C$2:$C$1199,0)),"",INDEX('Compliance Database'!$E$2:$E$1199,MATCH(221,Engine!$C$2:$C$1199,0)))</f>
        <v/>
      </c>
      <c r="F234" s="6" t="str">
        <f>IF(ISNA(MATCH(221,Engine!$C$2:$C$1199,0)),"",INDEX('Compliance Database'!$F$2:$F$1199,MATCH(221,Engine!$C$2:$C$1199,0)))</f>
        <v/>
      </c>
      <c r="G234" s="6" t="str">
        <f>IF(ISNA(MATCH(221,Engine!$C$2:$C$1199,0)),"",INDEX('Compliance Database'!$G$2:$G$1199,MATCH(221,Engine!$C$2:$C$1199,0)))</f>
        <v/>
      </c>
      <c r="H234" s="7" t="str">
        <f>IF(ISNA(MATCH(221,Engine!$C$2:$C$1199,0)),"",INDEX('Compliance Database'!$H$2:$H$1199,MATCH(221,Engine!$C$2:$C$1199,0)))</f>
        <v/>
      </c>
      <c r="I234" s="7" t="str">
        <f>IF(ISNA(MATCH(221,Engine!$C$2:$C$1199,0)),"",INDEX('Compliance Database'!$I$2:$I$1199,MATCH(221,Engine!$C$2:$C$1199,0)))</f>
        <v/>
      </c>
      <c r="J234" s="6" t="str">
        <f>IF(ISNA(MATCH(221,Engine!$C$2:$C$1199,0)),"",INDEX('Compliance Database'!$J$2:$J$1199,MATCH(221,Engine!$C$2:$C$1199,0)))</f>
        <v/>
      </c>
      <c r="K234" s="7" t="str">
        <f>IF(ISNA(MATCH(221,Engine!$C$2:$C$1199,0)),"",INDEX('Compliance Database'!$K$2:$K$1199,MATCH(221,Engine!$C$2:$C$1199,0)))</f>
        <v/>
      </c>
      <c r="L234" s="7" t="str">
        <f>IF(ISNA(MATCH(221,Engine!$C$2:$C$1199,0)),"",INDEX('Compliance Database'!$L$2:$L$1199,MATCH(221,Engine!$C$2:$C$1199,0)))</f>
        <v/>
      </c>
      <c r="M234" s="7" t="str">
        <f>IF(ISNA(MATCH(221,Engine!$C$2:$C$1199,0)),"",INDEX('Compliance Database'!$M$2:$M$1199,MATCH(221,Engine!$C$2:$C$1199,0)))</f>
        <v/>
      </c>
      <c r="N234" s="7" t="str">
        <f>IF(ISNA(MATCH(221,Engine!$C$2:$C$1199,0)),"",INDEX('Compliance Database'!$N$2:$N$1199,MATCH(221,Engine!$C$2:$C$1199,0)))</f>
        <v/>
      </c>
      <c r="O234" s="7" t="str">
        <f>IF(ISNA(MATCH(221,Engine!$C$2:$C$1199,0)),"",INDEX('Compliance Database'!$O$2:$O$1199,MATCH(221,Engine!$C$2:$C$1199,0)))</f>
        <v/>
      </c>
      <c r="P234" s="6" t="str">
        <f>IF(ISNA(MATCH(221,Engine!$C$2:$C$1199,0)),"",HYPERLINK("#Acts!A"&amp;INDEX('Compliance Database'!$P$2:$P$1199,MATCH(221,Engine!$C$2:$C$1199,0)),"Go to Act"))</f>
        <v/>
      </c>
    </row>
    <row r="235" spans="1:16" ht="172.95" customHeight="1" x14ac:dyDescent="0.3">
      <c r="A235" s="6" t="str">
        <f>IF(ISNA(MATCH(222,Engine!$C$2:$C$1199,0)),"",INDEX('Compliance Database'!$A$2:$A$1199,MATCH(222,Engine!$C$2:$C$1199,0)))</f>
        <v/>
      </c>
      <c r="B235" s="6" t="str">
        <f>IF(ISNA(MATCH(222,Engine!$C$2:$C$1199,0)),"",INDEX('Compliance Database'!$B$2:$B$1199,MATCH(222,Engine!$C$2:$C$1199,0)))</f>
        <v/>
      </c>
      <c r="C235" s="6" t="str">
        <f>IF(ISNA(MATCH(222,Engine!$C$2:$C$1199,0)),"",INDEX('Compliance Database'!$C$2:$C$1199,MATCH(222,Engine!$C$2:$C$1199,0)))</f>
        <v/>
      </c>
      <c r="D235" s="7" t="str">
        <f>IF(ISNA(MATCH(222,Engine!$C$2:$C$1199,0)),"",INDEX('Compliance Database'!$D$2:$D$1199,MATCH(222,Engine!$C$2:$C$1199,0)))</f>
        <v/>
      </c>
      <c r="E235" s="6" t="str">
        <f>IF(ISNA(MATCH(222,Engine!$C$2:$C$1199,0)),"",INDEX('Compliance Database'!$E$2:$E$1199,MATCH(222,Engine!$C$2:$C$1199,0)))</f>
        <v/>
      </c>
      <c r="F235" s="6" t="str">
        <f>IF(ISNA(MATCH(222,Engine!$C$2:$C$1199,0)),"",INDEX('Compliance Database'!$F$2:$F$1199,MATCH(222,Engine!$C$2:$C$1199,0)))</f>
        <v/>
      </c>
      <c r="G235" s="6" t="str">
        <f>IF(ISNA(MATCH(222,Engine!$C$2:$C$1199,0)),"",INDEX('Compliance Database'!$G$2:$G$1199,MATCH(222,Engine!$C$2:$C$1199,0)))</f>
        <v/>
      </c>
      <c r="H235" s="7" t="str">
        <f>IF(ISNA(MATCH(222,Engine!$C$2:$C$1199,0)),"",INDEX('Compliance Database'!$H$2:$H$1199,MATCH(222,Engine!$C$2:$C$1199,0)))</f>
        <v/>
      </c>
      <c r="I235" s="7" t="str">
        <f>IF(ISNA(MATCH(222,Engine!$C$2:$C$1199,0)),"",INDEX('Compliance Database'!$I$2:$I$1199,MATCH(222,Engine!$C$2:$C$1199,0)))</f>
        <v/>
      </c>
      <c r="J235" s="6" t="str">
        <f>IF(ISNA(MATCH(222,Engine!$C$2:$C$1199,0)),"",INDEX('Compliance Database'!$J$2:$J$1199,MATCH(222,Engine!$C$2:$C$1199,0)))</f>
        <v/>
      </c>
      <c r="K235" s="7" t="str">
        <f>IF(ISNA(MATCH(222,Engine!$C$2:$C$1199,0)),"",INDEX('Compliance Database'!$K$2:$K$1199,MATCH(222,Engine!$C$2:$C$1199,0)))</f>
        <v/>
      </c>
      <c r="L235" s="7" t="str">
        <f>IF(ISNA(MATCH(222,Engine!$C$2:$C$1199,0)),"",INDEX('Compliance Database'!$L$2:$L$1199,MATCH(222,Engine!$C$2:$C$1199,0)))</f>
        <v/>
      </c>
      <c r="M235" s="7" t="str">
        <f>IF(ISNA(MATCH(222,Engine!$C$2:$C$1199,0)),"",INDEX('Compliance Database'!$M$2:$M$1199,MATCH(222,Engine!$C$2:$C$1199,0)))</f>
        <v/>
      </c>
      <c r="N235" s="7" t="str">
        <f>IF(ISNA(MATCH(222,Engine!$C$2:$C$1199,0)),"",INDEX('Compliance Database'!$N$2:$N$1199,MATCH(222,Engine!$C$2:$C$1199,0)))</f>
        <v/>
      </c>
      <c r="O235" s="7" t="str">
        <f>IF(ISNA(MATCH(222,Engine!$C$2:$C$1199,0)),"",INDEX('Compliance Database'!$O$2:$O$1199,MATCH(222,Engine!$C$2:$C$1199,0)))</f>
        <v/>
      </c>
      <c r="P235" s="6" t="str">
        <f>IF(ISNA(MATCH(222,Engine!$C$2:$C$1199,0)),"",HYPERLINK("#Acts!A"&amp;INDEX('Compliance Database'!$P$2:$P$1199,MATCH(222,Engine!$C$2:$C$1199,0)),"Go to Act"))</f>
        <v/>
      </c>
    </row>
    <row r="236" spans="1:16" ht="172.95" customHeight="1" x14ac:dyDescent="0.3">
      <c r="A236" s="6" t="str">
        <f>IF(ISNA(MATCH(223,Engine!$C$2:$C$1199,0)),"",INDEX('Compliance Database'!$A$2:$A$1199,MATCH(223,Engine!$C$2:$C$1199,0)))</f>
        <v/>
      </c>
      <c r="B236" s="6" t="str">
        <f>IF(ISNA(MATCH(223,Engine!$C$2:$C$1199,0)),"",INDEX('Compliance Database'!$B$2:$B$1199,MATCH(223,Engine!$C$2:$C$1199,0)))</f>
        <v/>
      </c>
      <c r="C236" s="6" t="str">
        <f>IF(ISNA(MATCH(223,Engine!$C$2:$C$1199,0)),"",INDEX('Compliance Database'!$C$2:$C$1199,MATCH(223,Engine!$C$2:$C$1199,0)))</f>
        <v/>
      </c>
      <c r="D236" s="7" t="str">
        <f>IF(ISNA(MATCH(223,Engine!$C$2:$C$1199,0)),"",INDEX('Compliance Database'!$D$2:$D$1199,MATCH(223,Engine!$C$2:$C$1199,0)))</f>
        <v/>
      </c>
      <c r="E236" s="6" t="str">
        <f>IF(ISNA(MATCH(223,Engine!$C$2:$C$1199,0)),"",INDEX('Compliance Database'!$E$2:$E$1199,MATCH(223,Engine!$C$2:$C$1199,0)))</f>
        <v/>
      </c>
      <c r="F236" s="6" t="str">
        <f>IF(ISNA(MATCH(223,Engine!$C$2:$C$1199,0)),"",INDEX('Compliance Database'!$F$2:$F$1199,MATCH(223,Engine!$C$2:$C$1199,0)))</f>
        <v/>
      </c>
      <c r="G236" s="6" t="str">
        <f>IF(ISNA(MATCH(223,Engine!$C$2:$C$1199,0)),"",INDEX('Compliance Database'!$G$2:$G$1199,MATCH(223,Engine!$C$2:$C$1199,0)))</f>
        <v/>
      </c>
      <c r="H236" s="7" t="str">
        <f>IF(ISNA(MATCH(223,Engine!$C$2:$C$1199,0)),"",INDEX('Compliance Database'!$H$2:$H$1199,MATCH(223,Engine!$C$2:$C$1199,0)))</f>
        <v/>
      </c>
      <c r="I236" s="7" t="str">
        <f>IF(ISNA(MATCH(223,Engine!$C$2:$C$1199,0)),"",INDEX('Compliance Database'!$I$2:$I$1199,MATCH(223,Engine!$C$2:$C$1199,0)))</f>
        <v/>
      </c>
      <c r="J236" s="6" t="str">
        <f>IF(ISNA(MATCH(223,Engine!$C$2:$C$1199,0)),"",INDEX('Compliance Database'!$J$2:$J$1199,MATCH(223,Engine!$C$2:$C$1199,0)))</f>
        <v/>
      </c>
      <c r="K236" s="7" t="str">
        <f>IF(ISNA(MATCH(223,Engine!$C$2:$C$1199,0)),"",INDEX('Compliance Database'!$K$2:$K$1199,MATCH(223,Engine!$C$2:$C$1199,0)))</f>
        <v/>
      </c>
      <c r="L236" s="7" t="str">
        <f>IF(ISNA(MATCH(223,Engine!$C$2:$C$1199,0)),"",INDEX('Compliance Database'!$L$2:$L$1199,MATCH(223,Engine!$C$2:$C$1199,0)))</f>
        <v/>
      </c>
      <c r="M236" s="7" t="str">
        <f>IF(ISNA(MATCH(223,Engine!$C$2:$C$1199,0)),"",INDEX('Compliance Database'!$M$2:$M$1199,MATCH(223,Engine!$C$2:$C$1199,0)))</f>
        <v/>
      </c>
      <c r="N236" s="7" t="str">
        <f>IF(ISNA(MATCH(223,Engine!$C$2:$C$1199,0)),"",INDEX('Compliance Database'!$N$2:$N$1199,MATCH(223,Engine!$C$2:$C$1199,0)))</f>
        <v/>
      </c>
      <c r="O236" s="7" t="str">
        <f>IF(ISNA(MATCH(223,Engine!$C$2:$C$1199,0)),"",INDEX('Compliance Database'!$O$2:$O$1199,MATCH(223,Engine!$C$2:$C$1199,0)))</f>
        <v/>
      </c>
      <c r="P236" s="6" t="str">
        <f>IF(ISNA(MATCH(223,Engine!$C$2:$C$1199,0)),"",HYPERLINK("#Acts!A"&amp;INDEX('Compliance Database'!$P$2:$P$1199,MATCH(223,Engine!$C$2:$C$1199,0)),"Go to Act"))</f>
        <v/>
      </c>
    </row>
    <row r="237" spans="1:16" ht="172.95" customHeight="1" x14ac:dyDescent="0.3">
      <c r="A237" s="6" t="str">
        <f>IF(ISNA(MATCH(224,Engine!$C$2:$C$1199,0)),"",INDEX('Compliance Database'!$A$2:$A$1199,MATCH(224,Engine!$C$2:$C$1199,0)))</f>
        <v/>
      </c>
      <c r="B237" s="6" t="str">
        <f>IF(ISNA(MATCH(224,Engine!$C$2:$C$1199,0)),"",INDEX('Compliance Database'!$B$2:$B$1199,MATCH(224,Engine!$C$2:$C$1199,0)))</f>
        <v/>
      </c>
      <c r="C237" s="6" t="str">
        <f>IF(ISNA(MATCH(224,Engine!$C$2:$C$1199,0)),"",INDEX('Compliance Database'!$C$2:$C$1199,MATCH(224,Engine!$C$2:$C$1199,0)))</f>
        <v/>
      </c>
      <c r="D237" s="7" t="str">
        <f>IF(ISNA(MATCH(224,Engine!$C$2:$C$1199,0)),"",INDEX('Compliance Database'!$D$2:$D$1199,MATCH(224,Engine!$C$2:$C$1199,0)))</f>
        <v/>
      </c>
      <c r="E237" s="6" t="str">
        <f>IF(ISNA(MATCH(224,Engine!$C$2:$C$1199,0)),"",INDEX('Compliance Database'!$E$2:$E$1199,MATCH(224,Engine!$C$2:$C$1199,0)))</f>
        <v/>
      </c>
      <c r="F237" s="6" t="str">
        <f>IF(ISNA(MATCH(224,Engine!$C$2:$C$1199,0)),"",INDEX('Compliance Database'!$F$2:$F$1199,MATCH(224,Engine!$C$2:$C$1199,0)))</f>
        <v/>
      </c>
      <c r="G237" s="6" t="str">
        <f>IF(ISNA(MATCH(224,Engine!$C$2:$C$1199,0)),"",INDEX('Compliance Database'!$G$2:$G$1199,MATCH(224,Engine!$C$2:$C$1199,0)))</f>
        <v/>
      </c>
      <c r="H237" s="7" t="str">
        <f>IF(ISNA(MATCH(224,Engine!$C$2:$C$1199,0)),"",INDEX('Compliance Database'!$H$2:$H$1199,MATCH(224,Engine!$C$2:$C$1199,0)))</f>
        <v/>
      </c>
      <c r="I237" s="7" t="str">
        <f>IF(ISNA(MATCH(224,Engine!$C$2:$C$1199,0)),"",INDEX('Compliance Database'!$I$2:$I$1199,MATCH(224,Engine!$C$2:$C$1199,0)))</f>
        <v/>
      </c>
      <c r="J237" s="6" t="str">
        <f>IF(ISNA(MATCH(224,Engine!$C$2:$C$1199,0)),"",INDEX('Compliance Database'!$J$2:$J$1199,MATCH(224,Engine!$C$2:$C$1199,0)))</f>
        <v/>
      </c>
      <c r="K237" s="7" t="str">
        <f>IF(ISNA(MATCH(224,Engine!$C$2:$C$1199,0)),"",INDEX('Compliance Database'!$K$2:$K$1199,MATCH(224,Engine!$C$2:$C$1199,0)))</f>
        <v/>
      </c>
      <c r="L237" s="7" t="str">
        <f>IF(ISNA(MATCH(224,Engine!$C$2:$C$1199,0)),"",INDEX('Compliance Database'!$L$2:$L$1199,MATCH(224,Engine!$C$2:$C$1199,0)))</f>
        <v/>
      </c>
      <c r="M237" s="7" t="str">
        <f>IF(ISNA(MATCH(224,Engine!$C$2:$C$1199,0)),"",INDEX('Compliance Database'!$M$2:$M$1199,MATCH(224,Engine!$C$2:$C$1199,0)))</f>
        <v/>
      </c>
      <c r="N237" s="7" t="str">
        <f>IF(ISNA(MATCH(224,Engine!$C$2:$C$1199,0)),"",INDEX('Compliance Database'!$N$2:$N$1199,MATCH(224,Engine!$C$2:$C$1199,0)))</f>
        <v/>
      </c>
      <c r="O237" s="7" t="str">
        <f>IF(ISNA(MATCH(224,Engine!$C$2:$C$1199,0)),"",INDEX('Compliance Database'!$O$2:$O$1199,MATCH(224,Engine!$C$2:$C$1199,0)))</f>
        <v/>
      </c>
      <c r="P237" s="6" t="str">
        <f>IF(ISNA(MATCH(224,Engine!$C$2:$C$1199,0)),"",HYPERLINK("#Acts!A"&amp;INDEX('Compliance Database'!$P$2:$P$1199,MATCH(224,Engine!$C$2:$C$1199,0)),"Go to Act"))</f>
        <v/>
      </c>
    </row>
    <row r="238" spans="1:16" ht="172.95" customHeight="1" x14ac:dyDescent="0.3">
      <c r="A238" s="6" t="str">
        <f>IF(ISNA(MATCH(225,Engine!$C$2:$C$1199,0)),"",INDEX('Compliance Database'!$A$2:$A$1199,MATCH(225,Engine!$C$2:$C$1199,0)))</f>
        <v/>
      </c>
      <c r="B238" s="6" t="str">
        <f>IF(ISNA(MATCH(225,Engine!$C$2:$C$1199,0)),"",INDEX('Compliance Database'!$B$2:$B$1199,MATCH(225,Engine!$C$2:$C$1199,0)))</f>
        <v/>
      </c>
      <c r="C238" s="6" t="str">
        <f>IF(ISNA(MATCH(225,Engine!$C$2:$C$1199,0)),"",INDEX('Compliance Database'!$C$2:$C$1199,MATCH(225,Engine!$C$2:$C$1199,0)))</f>
        <v/>
      </c>
      <c r="D238" s="7" t="str">
        <f>IF(ISNA(MATCH(225,Engine!$C$2:$C$1199,0)),"",INDEX('Compliance Database'!$D$2:$D$1199,MATCH(225,Engine!$C$2:$C$1199,0)))</f>
        <v/>
      </c>
      <c r="E238" s="6" t="str">
        <f>IF(ISNA(MATCH(225,Engine!$C$2:$C$1199,0)),"",INDEX('Compliance Database'!$E$2:$E$1199,MATCH(225,Engine!$C$2:$C$1199,0)))</f>
        <v/>
      </c>
      <c r="F238" s="6" t="str">
        <f>IF(ISNA(MATCH(225,Engine!$C$2:$C$1199,0)),"",INDEX('Compliance Database'!$F$2:$F$1199,MATCH(225,Engine!$C$2:$C$1199,0)))</f>
        <v/>
      </c>
      <c r="G238" s="6" t="str">
        <f>IF(ISNA(MATCH(225,Engine!$C$2:$C$1199,0)),"",INDEX('Compliance Database'!$G$2:$G$1199,MATCH(225,Engine!$C$2:$C$1199,0)))</f>
        <v/>
      </c>
      <c r="H238" s="7" t="str">
        <f>IF(ISNA(MATCH(225,Engine!$C$2:$C$1199,0)),"",INDEX('Compliance Database'!$H$2:$H$1199,MATCH(225,Engine!$C$2:$C$1199,0)))</f>
        <v/>
      </c>
      <c r="I238" s="7" t="str">
        <f>IF(ISNA(MATCH(225,Engine!$C$2:$C$1199,0)),"",INDEX('Compliance Database'!$I$2:$I$1199,MATCH(225,Engine!$C$2:$C$1199,0)))</f>
        <v/>
      </c>
      <c r="J238" s="6" t="str">
        <f>IF(ISNA(MATCH(225,Engine!$C$2:$C$1199,0)),"",INDEX('Compliance Database'!$J$2:$J$1199,MATCH(225,Engine!$C$2:$C$1199,0)))</f>
        <v/>
      </c>
      <c r="K238" s="7" t="str">
        <f>IF(ISNA(MATCH(225,Engine!$C$2:$C$1199,0)),"",INDEX('Compliance Database'!$K$2:$K$1199,MATCH(225,Engine!$C$2:$C$1199,0)))</f>
        <v/>
      </c>
      <c r="L238" s="7" t="str">
        <f>IF(ISNA(MATCH(225,Engine!$C$2:$C$1199,0)),"",INDEX('Compliance Database'!$L$2:$L$1199,MATCH(225,Engine!$C$2:$C$1199,0)))</f>
        <v/>
      </c>
      <c r="M238" s="7" t="str">
        <f>IF(ISNA(MATCH(225,Engine!$C$2:$C$1199,0)),"",INDEX('Compliance Database'!$M$2:$M$1199,MATCH(225,Engine!$C$2:$C$1199,0)))</f>
        <v/>
      </c>
      <c r="N238" s="7" t="str">
        <f>IF(ISNA(MATCH(225,Engine!$C$2:$C$1199,0)),"",INDEX('Compliance Database'!$N$2:$N$1199,MATCH(225,Engine!$C$2:$C$1199,0)))</f>
        <v/>
      </c>
      <c r="O238" s="7" t="str">
        <f>IF(ISNA(MATCH(225,Engine!$C$2:$C$1199,0)),"",INDEX('Compliance Database'!$O$2:$O$1199,MATCH(225,Engine!$C$2:$C$1199,0)))</f>
        <v/>
      </c>
      <c r="P238" s="6" t="str">
        <f>IF(ISNA(MATCH(225,Engine!$C$2:$C$1199,0)),"",HYPERLINK("#Acts!A"&amp;INDEX('Compliance Database'!$P$2:$P$1199,MATCH(225,Engine!$C$2:$C$1199,0)),"Go to Act"))</f>
        <v/>
      </c>
    </row>
    <row r="239" spans="1:16" ht="172.95" customHeight="1" x14ac:dyDescent="0.3">
      <c r="A239" s="6" t="str">
        <f>IF(ISNA(MATCH(226,Engine!$C$2:$C$1199,0)),"",INDEX('Compliance Database'!$A$2:$A$1199,MATCH(226,Engine!$C$2:$C$1199,0)))</f>
        <v/>
      </c>
      <c r="B239" s="6" t="str">
        <f>IF(ISNA(MATCH(226,Engine!$C$2:$C$1199,0)),"",INDEX('Compliance Database'!$B$2:$B$1199,MATCH(226,Engine!$C$2:$C$1199,0)))</f>
        <v/>
      </c>
      <c r="C239" s="6" t="str">
        <f>IF(ISNA(MATCH(226,Engine!$C$2:$C$1199,0)),"",INDEX('Compliance Database'!$C$2:$C$1199,MATCH(226,Engine!$C$2:$C$1199,0)))</f>
        <v/>
      </c>
      <c r="D239" s="7" t="str">
        <f>IF(ISNA(MATCH(226,Engine!$C$2:$C$1199,0)),"",INDEX('Compliance Database'!$D$2:$D$1199,MATCH(226,Engine!$C$2:$C$1199,0)))</f>
        <v/>
      </c>
      <c r="E239" s="6" t="str">
        <f>IF(ISNA(MATCH(226,Engine!$C$2:$C$1199,0)),"",INDEX('Compliance Database'!$E$2:$E$1199,MATCH(226,Engine!$C$2:$C$1199,0)))</f>
        <v/>
      </c>
      <c r="F239" s="6" t="str">
        <f>IF(ISNA(MATCH(226,Engine!$C$2:$C$1199,0)),"",INDEX('Compliance Database'!$F$2:$F$1199,MATCH(226,Engine!$C$2:$C$1199,0)))</f>
        <v/>
      </c>
      <c r="G239" s="6" t="str">
        <f>IF(ISNA(MATCH(226,Engine!$C$2:$C$1199,0)),"",INDEX('Compliance Database'!$G$2:$G$1199,MATCH(226,Engine!$C$2:$C$1199,0)))</f>
        <v/>
      </c>
      <c r="H239" s="7" t="str">
        <f>IF(ISNA(MATCH(226,Engine!$C$2:$C$1199,0)),"",INDEX('Compliance Database'!$H$2:$H$1199,MATCH(226,Engine!$C$2:$C$1199,0)))</f>
        <v/>
      </c>
      <c r="I239" s="7" t="str">
        <f>IF(ISNA(MATCH(226,Engine!$C$2:$C$1199,0)),"",INDEX('Compliance Database'!$I$2:$I$1199,MATCH(226,Engine!$C$2:$C$1199,0)))</f>
        <v/>
      </c>
      <c r="J239" s="6" t="str">
        <f>IF(ISNA(MATCH(226,Engine!$C$2:$C$1199,0)),"",INDEX('Compliance Database'!$J$2:$J$1199,MATCH(226,Engine!$C$2:$C$1199,0)))</f>
        <v/>
      </c>
      <c r="K239" s="7" t="str">
        <f>IF(ISNA(MATCH(226,Engine!$C$2:$C$1199,0)),"",INDEX('Compliance Database'!$K$2:$K$1199,MATCH(226,Engine!$C$2:$C$1199,0)))</f>
        <v/>
      </c>
      <c r="L239" s="7" t="str">
        <f>IF(ISNA(MATCH(226,Engine!$C$2:$C$1199,0)),"",INDEX('Compliance Database'!$L$2:$L$1199,MATCH(226,Engine!$C$2:$C$1199,0)))</f>
        <v/>
      </c>
      <c r="M239" s="7" t="str">
        <f>IF(ISNA(MATCH(226,Engine!$C$2:$C$1199,0)),"",INDEX('Compliance Database'!$M$2:$M$1199,MATCH(226,Engine!$C$2:$C$1199,0)))</f>
        <v/>
      </c>
      <c r="N239" s="7" t="str">
        <f>IF(ISNA(MATCH(226,Engine!$C$2:$C$1199,0)),"",INDEX('Compliance Database'!$N$2:$N$1199,MATCH(226,Engine!$C$2:$C$1199,0)))</f>
        <v/>
      </c>
      <c r="O239" s="7" t="str">
        <f>IF(ISNA(MATCH(226,Engine!$C$2:$C$1199,0)),"",INDEX('Compliance Database'!$O$2:$O$1199,MATCH(226,Engine!$C$2:$C$1199,0)))</f>
        <v/>
      </c>
      <c r="P239" s="6" t="str">
        <f>IF(ISNA(MATCH(226,Engine!$C$2:$C$1199,0)),"",HYPERLINK("#Acts!A"&amp;INDEX('Compliance Database'!$P$2:$P$1199,MATCH(226,Engine!$C$2:$C$1199,0)),"Go to Act"))</f>
        <v/>
      </c>
    </row>
    <row r="240" spans="1:16" ht="172.95" customHeight="1" x14ac:dyDescent="0.3">
      <c r="A240" s="6" t="str">
        <f>IF(ISNA(MATCH(227,Engine!$C$2:$C$1199,0)),"",INDEX('Compliance Database'!$A$2:$A$1199,MATCH(227,Engine!$C$2:$C$1199,0)))</f>
        <v/>
      </c>
      <c r="B240" s="6" t="str">
        <f>IF(ISNA(MATCH(227,Engine!$C$2:$C$1199,0)),"",INDEX('Compliance Database'!$B$2:$B$1199,MATCH(227,Engine!$C$2:$C$1199,0)))</f>
        <v/>
      </c>
      <c r="C240" s="6" t="str">
        <f>IF(ISNA(MATCH(227,Engine!$C$2:$C$1199,0)),"",INDEX('Compliance Database'!$C$2:$C$1199,MATCH(227,Engine!$C$2:$C$1199,0)))</f>
        <v/>
      </c>
      <c r="D240" s="7" t="str">
        <f>IF(ISNA(MATCH(227,Engine!$C$2:$C$1199,0)),"",INDEX('Compliance Database'!$D$2:$D$1199,MATCH(227,Engine!$C$2:$C$1199,0)))</f>
        <v/>
      </c>
      <c r="E240" s="6" t="str">
        <f>IF(ISNA(MATCH(227,Engine!$C$2:$C$1199,0)),"",INDEX('Compliance Database'!$E$2:$E$1199,MATCH(227,Engine!$C$2:$C$1199,0)))</f>
        <v/>
      </c>
      <c r="F240" s="6" t="str">
        <f>IF(ISNA(MATCH(227,Engine!$C$2:$C$1199,0)),"",INDEX('Compliance Database'!$F$2:$F$1199,MATCH(227,Engine!$C$2:$C$1199,0)))</f>
        <v/>
      </c>
      <c r="G240" s="6" t="str">
        <f>IF(ISNA(MATCH(227,Engine!$C$2:$C$1199,0)),"",INDEX('Compliance Database'!$G$2:$G$1199,MATCH(227,Engine!$C$2:$C$1199,0)))</f>
        <v/>
      </c>
      <c r="H240" s="7" t="str">
        <f>IF(ISNA(MATCH(227,Engine!$C$2:$C$1199,0)),"",INDEX('Compliance Database'!$H$2:$H$1199,MATCH(227,Engine!$C$2:$C$1199,0)))</f>
        <v/>
      </c>
      <c r="I240" s="7" t="str">
        <f>IF(ISNA(MATCH(227,Engine!$C$2:$C$1199,0)),"",INDEX('Compliance Database'!$I$2:$I$1199,MATCH(227,Engine!$C$2:$C$1199,0)))</f>
        <v/>
      </c>
      <c r="J240" s="6" t="str">
        <f>IF(ISNA(MATCH(227,Engine!$C$2:$C$1199,0)),"",INDEX('Compliance Database'!$J$2:$J$1199,MATCH(227,Engine!$C$2:$C$1199,0)))</f>
        <v/>
      </c>
      <c r="K240" s="7" t="str">
        <f>IF(ISNA(MATCH(227,Engine!$C$2:$C$1199,0)),"",INDEX('Compliance Database'!$K$2:$K$1199,MATCH(227,Engine!$C$2:$C$1199,0)))</f>
        <v/>
      </c>
      <c r="L240" s="7" t="str">
        <f>IF(ISNA(MATCH(227,Engine!$C$2:$C$1199,0)),"",INDEX('Compliance Database'!$L$2:$L$1199,MATCH(227,Engine!$C$2:$C$1199,0)))</f>
        <v/>
      </c>
      <c r="M240" s="7" t="str">
        <f>IF(ISNA(MATCH(227,Engine!$C$2:$C$1199,0)),"",INDEX('Compliance Database'!$M$2:$M$1199,MATCH(227,Engine!$C$2:$C$1199,0)))</f>
        <v/>
      </c>
      <c r="N240" s="7" t="str">
        <f>IF(ISNA(MATCH(227,Engine!$C$2:$C$1199,0)),"",INDEX('Compliance Database'!$N$2:$N$1199,MATCH(227,Engine!$C$2:$C$1199,0)))</f>
        <v/>
      </c>
      <c r="O240" s="7" t="str">
        <f>IF(ISNA(MATCH(227,Engine!$C$2:$C$1199,0)),"",INDEX('Compliance Database'!$O$2:$O$1199,MATCH(227,Engine!$C$2:$C$1199,0)))</f>
        <v/>
      </c>
      <c r="P240" s="6" t="str">
        <f>IF(ISNA(MATCH(227,Engine!$C$2:$C$1199,0)),"",HYPERLINK("#Acts!A"&amp;INDEX('Compliance Database'!$P$2:$P$1199,MATCH(227,Engine!$C$2:$C$1199,0)),"Go to Act"))</f>
        <v/>
      </c>
    </row>
    <row r="241" spans="1:16" ht="172.95" customHeight="1" x14ac:dyDescent="0.3">
      <c r="A241" s="6" t="str">
        <f>IF(ISNA(MATCH(228,Engine!$C$2:$C$1199,0)),"",INDEX('Compliance Database'!$A$2:$A$1199,MATCH(228,Engine!$C$2:$C$1199,0)))</f>
        <v/>
      </c>
      <c r="B241" s="6" t="str">
        <f>IF(ISNA(MATCH(228,Engine!$C$2:$C$1199,0)),"",INDEX('Compliance Database'!$B$2:$B$1199,MATCH(228,Engine!$C$2:$C$1199,0)))</f>
        <v/>
      </c>
      <c r="C241" s="6" t="str">
        <f>IF(ISNA(MATCH(228,Engine!$C$2:$C$1199,0)),"",INDEX('Compliance Database'!$C$2:$C$1199,MATCH(228,Engine!$C$2:$C$1199,0)))</f>
        <v/>
      </c>
      <c r="D241" s="7" t="str">
        <f>IF(ISNA(MATCH(228,Engine!$C$2:$C$1199,0)),"",INDEX('Compliance Database'!$D$2:$D$1199,MATCH(228,Engine!$C$2:$C$1199,0)))</f>
        <v/>
      </c>
      <c r="E241" s="6" t="str">
        <f>IF(ISNA(MATCH(228,Engine!$C$2:$C$1199,0)),"",INDEX('Compliance Database'!$E$2:$E$1199,MATCH(228,Engine!$C$2:$C$1199,0)))</f>
        <v/>
      </c>
      <c r="F241" s="6" t="str">
        <f>IF(ISNA(MATCH(228,Engine!$C$2:$C$1199,0)),"",INDEX('Compliance Database'!$F$2:$F$1199,MATCH(228,Engine!$C$2:$C$1199,0)))</f>
        <v/>
      </c>
      <c r="G241" s="6" t="str">
        <f>IF(ISNA(MATCH(228,Engine!$C$2:$C$1199,0)),"",INDEX('Compliance Database'!$G$2:$G$1199,MATCH(228,Engine!$C$2:$C$1199,0)))</f>
        <v/>
      </c>
      <c r="H241" s="7" t="str">
        <f>IF(ISNA(MATCH(228,Engine!$C$2:$C$1199,0)),"",INDEX('Compliance Database'!$H$2:$H$1199,MATCH(228,Engine!$C$2:$C$1199,0)))</f>
        <v/>
      </c>
      <c r="I241" s="7" t="str">
        <f>IF(ISNA(MATCH(228,Engine!$C$2:$C$1199,0)),"",INDEX('Compliance Database'!$I$2:$I$1199,MATCH(228,Engine!$C$2:$C$1199,0)))</f>
        <v/>
      </c>
      <c r="J241" s="6" t="str">
        <f>IF(ISNA(MATCH(228,Engine!$C$2:$C$1199,0)),"",INDEX('Compliance Database'!$J$2:$J$1199,MATCH(228,Engine!$C$2:$C$1199,0)))</f>
        <v/>
      </c>
      <c r="K241" s="7" t="str">
        <f>IF(ISNA(MATCH(228,Engine!$C$2:$C$1199,0)),"",INDEX('Compliance Database'!$K$2:$K$1199,MATCH(228,Engine!$C$2:$C$1199,0)))</f>
        <v/>
      </c>
      <c r="L241" s="7" t="str">
        <f>IF(ISNA(MATCH(228,Engine!$C$2:$C$1199,0)),"",INDEX('Compliance Database'!$L$2:$L$1199,MATCH(228,Engine!$C$2:$C$1199,0)))</f>
        <v/>
      </c>
      <c r="M241" s="7" t="str">
        <f>IF(ISNA(MATCH(228,Engine!$C$2:$C$1199,0)),"",INDEX('Compliance Database'!$M$2:$M$1199,MATCH(228,Engine!$C$2:$C$1199,0)))</f>
        <v/>
      </c>
      <c r="N241" s="7" t="str">
        <f>IF(ISNA(MATCH(228,Engine!$C$2:$C$1199,0)),"",INDEX('Compliance Database'!$N$2:$N$1199,MATCH(228,Engine!$C$2:$C$1199,0)))</f>
        <v/>
      </c>
      <c r="O241" s="7" t="str">
        <f>IF(ISNA(MATCH(228,Engine!$C$2:$C$1199,0)),"",INDEX('Compliance Database'!$O$2:$O$1199,MATCH(228,Engine!$C$2:$C$1199,0)))</f>
        <v/>
      </c>
      <c r="P241" s="6" t="str">
        <f>IF(ISNA(MATCH(228,Engine!$C$2:$C$1199,0)),"",HYPERLINK("#Acts!A"&amp;INDEX('Compliance Database'!$P$2:$P$1199,MATCH(228,Engine!$C$2:$C$1199,0)),"Go to Act"))</f>
        <v/>
      </c>
    </row>
    <row r="242" spans="1:16" ht="172.95" customHeight="1" x14ac:dyDescent="0.3">
      <c r="A242" s="6" t="str">
        <f>IF(ISNA(MATCH(229,Engine!$C$2:$C$1199,0)),"",INDEX('Compliance Database'!$A$2:$A$1199,MATCH(229,Engine!$C$2:$C$1199,0)))</f>
        <v/>
      </c>
      <c r="B242" s="6" t="str">
        <f>IF(ISNA(MATCH(229,Engine!$C$2:$C$1199,0)),"",INDEX('Compliance Database'!$B$2:$B$1199,MATCH(229,Engine!$C$2:$C$1199,0)))</f>
        <v/>
      </c>
      <c r="C242" s="6" t="str">
        <f>IF(ISNA(MATCH(229,Engine!$C$2:$C$1199,0)),"",INDEX('Compliance Database'!$C$2:$C$1199,MATCH(229,Engine!$C$2:$C$1199,0)))</f>
        <v/>
      </c>
      <c r="D242" s="7" t="str">
        <f>IF(ISNA(MATCH(229,Engine!$C$2:$C$1199,0)),"",INDEX('Compliance Database'!$D$2:$D$1199,MATCH(229,Engine!$C$2:$C$1199,0)))</f>
        <v/>
      </c>
      <c r="E242" s="6" t="str">
        <f>IF(ISNA(MATCH(229,Engine!$C$2:$C$1199,0)),"",INDEX('Compliance Database'!$E$2:$E$1199,MATCH(229,Engine!$C$2:$C$1199,0)))</f>
        <v/>
      </c>
      <c r="F242" s="6" t="str">
        <f>IF(ISNA(MATCH(229,Engine!$C$2:$C$1199,0)),"",INDEX('Compliance Database'!$F$2:$F$1199,MATCH(229,Engine!$C$2:$C$1199,0)))</f>
        <v/>
      </c>
      <c r="G242" s="6" t="str">
        <f>IF(ISNA(MATCH(229,Engine!$C$2:$C$1199,0)),"",INDEX('Compliance Database'!$G$2:$G$1199,MATCH(229,Engine!$C$2:$C$1199,0)))</f>
        <v/>
      </c>
      <c r="H242" s="7" t="str">
        <f>IF(ISNA(MATCH(229,Engine!$C$2:$C$1199,0)),"",INDEX('Compliance Database'!$H$2:$H$1199,MATCH(229,Engine!$C$2:$C$1199,0)))</f>
        <v/>
      </c>
      <c r="I242" s="7" t="str">
        <f>IF(ISNA(MATCH(229,Engine!$C$2:$C$1199,0)),"",INDEX('Compliance Database'!$I$2:$I$1199,MATCH(229,Engine!$C$2:$C$1199,0)))</f>
        <v/>
      </c>
      <c r="J242" s="6" t="str">
        <f>IF(ISNA(MATCH(229,Engine!$C$2:$C$1199,0)),"",INDEX('Compliance Database'!$J$2:$J$1199,MATCH(229,Engine!$C$2:$C$1199,0)))</f>
        <v/>
      </c>
      <c r="K242" s="7" t="str">
        <f>IF(ISNA(MATCH(229,Engine!$C$2:$C$1199,0)),"",INDEX('Compliance Database'!$K$2:$K$1199,MATCH(229,Engine!$C$2:$C$1199,0)))</f>
        <v/>
      </c>
      <c r="L242" s="7" t="str">
        <f>IF(ISNA(MATCH(229,Engine!$C$2:$C$1199,0)),"",INDEX('Compliance Database'!$L$2:$L$1199,MATCH(229,Engine!$C$2:$C$1199,0)))</f>
        <v/>
      </c>
      <c r="M242" s="7" t="str">
        <f>IF(ISNA(MATCH(229,Engine!$C$2:$C$1199,0)),"",INDEX('Compliance Database'!$M$2:$M$1199,MATCH(229,Engine!$C$2:$C$1199,0)))</f>
        <v/>
      </c>
      <c r="N242" s="7" t="str">
        <f>IF(ISNA(MATCH(229,Engine!$C$2:$C$1199,0)),"",INDEX('Compliance Database'!$N$2:$N$1199,MATCH(229,Engine!$C$2:$C$1199,0)))</f>
        <v/>
      </c>
      <c r="O242" s="7" t="str">
        <f>IF(ISNA(MATCH(229,Engine!$C$2:$C$1199,0)),"",INDEX('Compliance Database'!$O$2:$O$1199,MATCH(229,Engine!$C$2:$C$1199,0)))</f>
        <v/>
      </c>
      <c r="P242" s="6" t="str">
        <f>IF(ISNA(MATCH(229,Engine!$C$2:$C$1199,0)),"",HYPERLINK("#Acts!A"&amp;INDEX('Compliance Database'!$P$2:$P$1199,MATCH(229,Engine!$C$2:$C$1199,0)),"Go to Act"))</f>
        <v/>
      </c>
    </row>
    <row r="243" spans="1:16" ht="172.95" customHeight="1" x14ac:dyDescent="0.3">
      <c r="A243" s="6" t="str">
        <f>IF(ISNA(MATCH(230,Engine!$C$2:$C$1199,0)),"",INDEX('Compliance Database'!$A$2:$A$1199,MATCH(230,Engine!$C$2:$C$1199,0)))</f>
        <v/>
      </c>
      <c r="B243" s="6" t="str">
        <f>IF(ISNA(MATCH(230,Engine!$C$2:$C$1199,0)),"",INDEX('Compliance Database'!$B$2:$B$1199,MATCH(230,Engine!$C$2:$C$1199,0)))</f>
        <v/>
      </c>
      <c r="C243" s="6" t="str">
        <f>IF(ISNA(MATCH(230,Engine!$C$2:$C$1199,0)),"",INDEX('Compliance Database'!$C$2:$C$1199,MATCH(230,Engine!$C$2:$C$1199,0)))</f>
        <v/>
      </c>
      <c r="D243" s="7" t="str">
        <f>IF(ISNA(MATCH(230,Engine!$C$2:$C$1199,0)),"",INDEX('Compliance Database'!$D$2:$D$1199,MATCH(230,Engine!$C$2:$C$1199,0)))</f>
        <v/>
      </c>
      <c r="E243" s="6" t="str">
        <f>IF(ISNA(MATCH(230,Engine!$C$2:$C$1199,0)),"",INDEX('Compliance Database'!$E$2:$E$1199,MATCH(230,Engine!$C$2:$C$1199,0)))</f>
        <v/>
      </c>
      <c r="F243" s="6" t="str">
        <f>IF(ISNA(MATCH(230,Engine!$C$2:$C$1199,0)),"",INDEX('Compliance Database'!$F$2:$F$1199,MATCH(230,Engine!$C$2:$C$1199,0)))</f>
        <v/>
      </c>
      <c r="G243" s="6" t="str">
        <f>IF(ISNA(MATCH(230,Engine!$C$2:$C$1199,0)),"",INDEX('Compliance Database'!$G$2:$G$1199,MATCH(230,Engine!$C$2:$C$1199,0)))</f>
        <v/>
      </c>
      <c r="H243" s="7" t="str">
        <f>IF(ISNA(MATCH(230,Engine!$C$2:$C$1199,0)),"",INDEX('Compliance Database'!$H$2:$H$1199,MATCH(230,Engine!$C$2:$C$1199,0)))</f>
        <v/>
      </c>
      <c r="I243" s="7" t="str">
        <f>IF(ISNA(MATCH(230,Engine!$C$2:$C$1199,0)),"",INDEX('Compliance Database'!$I$2:$I$1199,MATCH(230,Engine!$C$2:$C$1199,0)))</f>
        <v/>
      </c>
      <c r="J243" s="6" t="str">
        <f>IF(ISNA(MATCH(230,Engine!$C$2:$C$1199,0)),"",INDEX('Compliance Database'!$J$2:$J$1199,MATCH(230,Engine!$C$2:$C$1199,0)))</f>
        <v/>
      </c>
      <c r="K243" s="7" t="str">
        <f>IF(ISNA(MATCH(230,Engine!$C$2:$C$1199,0)),"",INDEX('Compliance Database'!$K$2:$K$1199,MATCH(230,Engine!$C$2:$C$1199,0)))</f>
        <v/>
      </c>
      <c r="L243" s="7" t="str">
        <f>IF(ISNA(MATCH(230,Engine!$C$2:$C$1199,0)),"",INDEX('Compliance Database'!$L$2:$L$1199,MATCH(230,Engine!$C$2:$C$1199,0)))</f>
        <v/>
      </c>
      <c r="M243" s="7" t="str">
        <f>IF(ISNA(MATCH(230,Engine!$C$2:$C$1199,0)),"",INDEX('Compliance Database'!$M$2:$M$1199,MATCH(230,Engine!$C$2:$C$1199,0)))</f>
        <v/>
      </c>
      <c r="N243" s="7" t="str">
        <f>IF(ISNA(MATCH(230,Engine!$C$2:$C$1199,0)),"",INDEX('Compliance Database'!$N$2:$N$1199,MATCH(230,Engine!$C$2:$C$1199,0)))</f>
        <v/>
      </c>
      <c r="O243" s="7" t="str">
        <f>IF(ISNA(MATCH(230,Engine!$C$2:$C$1199,0)),"",INDEX('Compliance Database'!$O$2:$O$1199,MATCH(230,Engine!$C$2:$C$1199,0)))</f>
        <v/>
      </c>
      <c r="P243" s="6" t="str">
        <f>IF(ISNA(MATCH(230,Engine!$C$2:$C$1199,0)),"",HYPERLINK("#Acts!A"&amp;INDEX('Compliance Database'!$P$2:$P$1199,MATCH(230,Engine!$C$2:$C$1199,0)),"Go to Act"))</f>
        <v/>
      </c>
    </row>
    <row r="244" spans="1:16" ht="172.95" customHeight="1" x14ac:dyDescent="0.3">
      <c r="A244" s="6" t="str">
        <f>IF(ISNA(MATCH(231,Engine!$C$2:$C$1199,0)),"",INDEX('Compliance Database'!$A$2:$A$1199,MATCH(231,Engine!$C$2:$C$1199,0)))</f>
        <v/>
      </c>
      <c r="B244" s="6" t="str">
        <f>IF(ISNA(MATCH(231,Engine!$C$2:$C$1199,0)),"",INDEX('Compliance Database'!$B$2:$B$1199,MATCH(231,Engine!$C$2:$C$1199,0)))</f>
        <v/>
      </c>
      <c r="C244" s="6" t="str">
        <f>IF(ISNA(MATCH(231,Engine!$C$2:$C$1199,0)),"",INDEX('Compliance Database'!$C$2:$C$1199,MATCH(231,Engine!$C$2:$C$1199,0)))</f>
        <v/>
      </c>
      <c r="D244" s="7" t="str">
        <f>IF(ISNA(MATCH(231,Engine!$C$2:$C$1199,0)),"",INDEX('Compliance Database'!$D$2:$D$1199,MATCH(231,Engine!$C$2:$C$1199,0)))</f>
        <v/>
      </c>
      <c r="E244" s="6" t="str">
        <f>IF(ISNA(MATCH(231,Engine!$C$2:$C$1199,0)),"",INDEX('Compliance Database'!$E$2:$E$1199,MATCH(231,Engine!$C$2:$C$1199,0)))</f>
        <v/>
      </c>
      <c r="F244" s="6" t="str">
        <f>IF(ISNA(MATCH(231,Engine!$C$2:$C$1199,0)),"",INDEX('Compliance Database'!$F$2:$F$1199,MATCH(231,Engine!$C$2:$C$1199,0)))</f>
        <v/>
      </c>
      <c r="G244" s="6" t="str">
        <f>IF(ISNA(MATCH(231,Engine!$C$2:$C$1199,0)),"",INDEX('Compliance Database'!$G$2:$G$1199,MATCH(231,Engine!$C$2:$C$1199,0)))</f>
        <v/>
      </c>
      <c r="H244" s="7" t="str">
        <f>IF(ISNA(MATCH(231,Engine!$C$2:$C$1199,0)),"",INDEX('Compliance Database'!$H$2:$H$1199,MATCH(231,Engine!$C$2:$C$1199,0)))</f>
        <v/>
      </c>
      <c r="I244" s="7" t="str">
        <f>IF(ISNA(MATCH(231,Engine!$C$2:$C$1199,0)),"",INDEX('Compliance Database'!$I$2:$I$1199,MATCH(231,Engine!$C$2:$C$1199,0)))</f>
        <v/>
      </c>
      <c r="J244" s="6" t="str">
        <f>IF(ISNA(MATCH(231,Engine!$C$2:$C$1199,0)),"",INDEX('Compliance Database'!$J$2:$J$1199,MATCH(231,Engine!$C$2:$C$1199,0)))</f>
        <v/>
      </c>
      <c r="K244" s="7" t="str">
        <f>IF(ISNA(MATCH(231,Engine!$C$2:$C$1199,0)),"",INDEX('Compliance Database'!$K$2:$K$1199,MATCH(231,Engine!$C$2:$C$1199,0)))</f>
        <v/>
      </c>
      <c r="L244" s="7" t="str">
        <f>IF(ISNA(MATCH(231,Engine!$C$2:$C$1199,0)),"",INDEX('Compliance Database'!$L$2:$L$1199,MATCH(231,Engine!$C$2:$C$1199,0)))</f>
        <v/>
      </c>
      <c r="M244" s="7" t="str">
        <f>IF(ISNA(MATCH(231,Engine!$C$2:$C$1199,0)),"",INDEX('Compliance Database'!$M$2:$M$1199,MATCH(231,Engine!$C$2:$C$1199,0)))</f>
        <v/>
      </c>
      <c r="N244" s="7" t="str">
        <f>IF(ISNA(MATCH(231,Engine!$C$2:$C$1199,0)),"",INDEX('Compliance Database'!$N$2:$N$1199,MATCH(231,Engine!$C$2:$C$1199,0)))</f>
        <v/>
      </c>
      <c r="O244" s="7" t="str">
        <f>IF(ISNA(MATCH(231,Engine!$C$2:$C$1199,0)),"",INDEX('Compliance Database'!$O$2:$O$1199,MATCH(231,Engine!$C$2:$C$1199,0)))</f>
        <v/>
      </c>
      <c r="P244" s="6" t="str">
        <f>IF(ISNA(MATCH(231,Engine!$C$2:$C$1199,0)),"",HYPERLINK("#Acts!A"&amp;INDEX('Compliance Database'!$P$2:$P$1199,MATCH(231,Engine!$C$2:$C$1199,0)),"Go to Act"))</f>
        <v/>
      </c>
    </row>
    <row r="245" spans="1:16" ht="172.95" customHeight="1" x14ac:dyDescent="0.3">
      <c r="A245" s="6" t="str">
        <f>IF(ISNA(MATCH(232,Engine!$C$2:$C$1199,0)),"",INDEX('Compliance Database'!$A$2:$A$1199,MATCH(232,Engine!$C$2:$C$1199,0)))</f>
        <v/>
      </c>
      <c r="B245" s="6" t="str">
        <f>IF(ISNA(MATCH(232,Engine!$C$2:$C$1199,0)),"",INDEX('Compliance Database'!$B$2:$B$1199,MATCH(232,Engine!$C$2:$C$1199,0)))</f>
        <v/>
      </c>
      <c r="C245" s="6" t="str">
        <f>IF(ISNA(MATCH(232,Engine!$C$2:$C$1199,0)),"",INDEX('Compliance Database'!$C$2:$C$1199,MATCH(232,Engine!$C$2:$C$1199,0)))</f>
        <v/>
      </c>
      <c r="D245" s="7" t="str">
        <f>IF(ISNA(MATCH(232,Engine!$C$2:$C$1199,0)),"",INDEX('Compliance Database'!$D$2:$D$1199,MATCH(232,Engine!$C$2:$C$1199,0)))</f>
        <v/>
      </c>
      <c r="E245" s="6" t="str">
        <f>IF(ISNA(MATCH(232,Engine!$C$2:$C$1199,0)),"",INDEX('Compliance Database'!$E$2:$E$1199,MATCH(232,Engine!$C$2:$C$1199,0)))</f>
        <v/>
      </c>
      <c r="F245" s="6" t="str">
        <f>IF(ISNA(MATCH(232,Engine!$C$2:$C$1199,0)),"",INDEX('Compliance Database'!$F$2:$F$1199,MATCH(232,Engine!$C$2:$C$1199,0)))</f>
        <v/>
      </c>
      <c r="G245" s="6" t="str">
        <f>IF(ISNA(MATCH(232,Engine!$C$2:$C$1199,0)),"",INDEX('Compliance Database'!$G$2:$G$1199,MATCH(232,Engine!$C$2:$C$1199,0)))</f>
        <v/>
      </c>
      <c r="H245" s="7" t="str">
        <f>IF(ISNA(MATCH(232,Engine!$C$2:$C$1199,0)),"",INDEX('Compliance Database'!$H$2:$H$1199,MATCH(232,Engine!$C$2:$C$1199,0)))</f>
        <v/>
      </c>
      <c r="I245" s="7" t="str">
        <f>IF(ISNA(MATCH(232,Engine!$C$2:$C$1199,0)),"",INDEX('Compliance Database'!$I$2:$I$1199,MATCH(232,Engine!$C$2:$C$1199,0)))</f>
        <v/>
      </c>
      <c r="J245" s="6" t="str">
        <f>IF(ISNA(MATCH(232,Engine!$C$2:$C$1199,0)),"",INDEX('Compliance Database'!$J$2:$J$1199,MATCH(232,Engine!$C$2:$C$1199,0)))</f>
        <v/>
      </c>
      <c r="K245" s="7" t="str">
        <f>IF(ISNA(MATCH(232,Engine!$C$2:$C$1199,0)),"",INDEX('Compliance Database'!$K$2:$K$1199,MATCH(232,Engine!$C$2:$C$1199,0)))</f>
        <v/>
      </c>
      <c r="L245" s="7" t="str">
        <f>IF(ISNA(MATCH(232,Engine!$C$2:$C$1199,0)),"",INDEX('Compliance Database'!$L$2:$L$1199,MATCH(232,Engine!$C$2:$C$1199,0)))</f>
        <v/>
      </c>
      <c r="M245" s="7" t="str">
        <f>IF(ISNA(MATCH(232,Engine!$C$2:$C$1199,0)),"",INDEX('Compliance Database'!$M$2:$M$1199,MATCH(232,Engine!$C$2:$C$1199,0)))</f>
        <v/>
      </c>
      <c r="N245" s="7" t="str">
        <f>IF(ISNA(MATCH(232,Engine!$C$2:$C$1199,0)),"",INDEX('Compliance Database'!$N$2:$N$1199,MATCH(232,Engine!$C$2:$C$1199,0)))</f>
        <v/>
      </c>
      <c r="O245" s="7" t="str">
        <f>IF(ISNA(MATCH(232,Engine!$C$2:$C$1199,0)),"",INDEX('Compliance Database'!$O$2:$O$1199,MATCH(232,Engine!$C$2:$C$1199,0)))</f>
        <v/>
      </c>
      <c r="P245" s="6" t="str">
        <f>IF(ISNA(MATCH(232,Engine!$C$2:$C$1199,0)),"",HYPERLINK("#Acts!A"&amp;INDEX('Compliance Database'!$P$2:$P$1199,MATCH(232,Engine!$C$2:$C$1199,0)),"Go to Act"))</f>
        <v/>
      </c>
    </row>
    <row r="246" spans="1:16" ht="172.95" customHeight="1" x14ac:dyDescent="0.3">
      <c r="A246" s="6" t="str">
        <f>IF(ISNA(MATCH(233,Engine!$C$2:$C$1199,0)),"",INDEX('Compliance Database'!$A$2:$A$1199,MATCH(233,Engine!$C$2:$C$1199,0)))</f>
        <v/>
      </c>
      <c r="B246" s="6" t="str">
        <f>IF(ISNA(MATCH(233,Engine!$C$2:$C$1199,0)),"",INDEX('Compliance Database'!$B$2:$B$1199,MATCH(233,Engine!$C$2:$C$1199,0)))</f>
        <v/>
      </c>
      <c r="C246" s="6" t="str">
        <f>IF(ISNA(MATCH(233,Engine!$C$2:$C$1199,0)),"",INDEX('Compliance Database'!$C$2:$C$1199,MATCH(233,Engine!$C$2:$C$1199,0)))</f>
        <v/>
      </c>
      <c r="D246" s="7" t="str">
        <f>IF(ISNA(MATCH(233,Engine!$C$2:$C$1199,0)),"",INDEX('Compliance Database'!$D$2:$D$1199,MATCH(233,Engine!$C$2:$C$1199,0)))</f>
        <v/>
      </c>
      <c r="E246" s="6" t="str">
        <f>IF(ISNA(MATCH(233,Engine!$C$2:$C$1199,0)),"",INDEX('Compliance Database'!$E$2:$E$1199,MATCH(233,Engine!$C$2:$C$1199,0)))</f>
        <v/>
      </c>
      <c r="F246" s="6" t="str">
        <f>IF(ISNA(MATCH(233,Engine!$C$2:$C$1199,0)),"",INDEX('Compliance Database'!$F$2:$F$1199,MATCH(233,Engine!$C$2:$C$1199,0)))</f>
        <v/>
      </c>
      <c r="G246" s="6" t="str">
        <f>IF(ISNA(MATCH(233,Engine!$C$2:$C$1199,0)),"",INDEX('Compliance Database'!$G$2:$G$1199,MATCH(233,Engine!$C$2:$C$1199,0)))</f>
        <v/>
      </c>
      <c r="H246" s="7" t="str">
        <f>IF(ISNA(MATCH(233,Engine!$C$2:$C$1199,0)),"",INDEX('Compliance Database'!$H$2:$H$1199,MATCH(233,Engine!$C$2:$C$1199,0)))</f>
        <v/>
      </c>
      <c r="I246" s="7" t="str">
        <f>IF(ISNA(MATCH(233,Engine!$C$2:$C$1199,0)),"",INDEX('Compliance Database'!$I$2:$I$1199,MATCH(233,Engine!$C$2:$C$1199,0)))</f>
        <v/>
      </c>
      <c r="J246" s="6" t="str">
        <f>IF(ISNA(MATCH(233,Engine!$C$2:$C$1199,0)),"",INDEX('Compliance Database'!$J$2:$J$1199,MATCH(233,Engine!$C$2:$C$1199,0)))</f>
        <v/>
      </c>
      <c r="K246" s="7" t="str">
        <f>IF(ISNA(MATCH(233,Engine!$C$2:$C$1199,0)),"",INDEX('Compliance Database'!$K$2:$K$1199,MATCH(233,Engine!$C$2:$C$1199,0)))</f>
        <v/>
      </c>
      <c r="L246" s="7" t="str">
        <f>IF(ISNA(MATCH(233,Engine!$C$2:$C$1199,0)),"",INDEX('Compliance Database'!$L$2:$L$1199,MATCH(233,Engine!$C$2:$C$1199,0)))</f>
        <v/>
      </c>
      <c r="M246" s="7" t="str">
        <f>IF(ISNA(MATCH(233,Engine!$C$2:$C$1199,0)),"",INDEX('Compliance Database'!$M$2:$M$1199,MATCH(233,Engine!$C$2:$C$1199,0)))</f>
        <v/>
      </c>
      <c r="N246" s="7" t="str">
        <f>IF(ISNA(MATCH(233,Engine!$C$2:$C$1199,0)),"",INDEX('Compliance Database'!$N$2:$N$1199,MATCH(233,Engine!$C$2:$C$1199,0)))</f>
        <v/>
      </c>
      <c r="O246" s="7" t="str">
        <f>IF(ISNA(MATCH(233,Engine!$C$2:$C$1199,0)),"",INDEX('Compliance Database'!$O$2:$O$1199,MATCH(233,Engine!$C$2:$C$1199,0)))</f>
        <v/>
      </c>
      <c r="P246" s="6" t="str">
        <f>IF(ISNA(MATCH(233,Engine!$C$2:$C$1199,0)),"",HYPERLINK("#Acts!A"&amp;INDEX('Compliance Database'!$P$2:$P$1199,MATCH(233,Engine!$C$2:$C$1199,0)),"Go to Act"))</f>
        <v/>
      </c>
    </row>
    <row r="247" spans="1:16" ht="172.95" customHeight="1" x14ac:dyDescent="0.3">
      <c r="A247" s="6" t="str">
        <f>IF(ISNA(MATCH(234,Engine!$C$2:$C$1199,0)),"",INDEX('Compliance Database'!$A$2:$A$1199,MATCH(234,Engine!$C$2:$C$1199,0)))</f>
        <v/>
      </c>
      <c r="B247" s="6" t="str">
        <f>IF(ISNA(MATCH(234,Engine!$C$2:$C$1199,0)),"",INDEX('Compliance Database'!$B$2:$B$1199,MATCH(234,Engine!$C$2:$C$1199,0)))</f>
        <v/>
      </c>
      <c r="C247" s="6" t="str">
        <f>IF(ISNA(MATCH(234,Engine!$C$2:$C$1199,0)),"",INDEX('Compliance Database'!$C$2:$C$1199,MATCH(234,Engine!$C$2:$C$1199,0)))</f>
        <v/>
      </c>
      <c r="D247" s="7" t="str">
        <f>IF(ISNA(MATCH(234,Engine!$C$2:$C$1199,0)),"",INDEX('Compliance Database'!$D$2:$D$1199,MATCH(234,Engine!$C$2:$C$1199,0)))</f>
        <v/>
      </c>
      <c r="E247" s="6" t="str">
        <f>IF(ISNA(MATCH(234,Engine!$C$2:$C$1199,0)),"",INDEX('Compliance Database'!$E$2:$E$1199,MATCH(234,Engine!$C$2:$C$1199,0)))</f>
        <v/>
      </c>
      <c r="F247" s="6" t="str">
        <f>IF(ISNA(MATCH(234,Engine!$C$2:$C$1199,0)),"",INDEX('Compliance Database'!$F$2:$F$1199,MATCH(234,Engine!$C$2:$C$1199,0)))</f>
        <v/>
      </c>
      <c r="G247" s="6" t="str">
        <f>IF(ISNA(MATCH(234,Engine!$C$2:$C$1199,0)),"",INDEX('Compliance Database'!$G$2:$G$1199,MATCH(234,Engine!$C$2:$C$1199,0)))</f>
        <v/>
      </c>
      <c r="H247" s="7" t="str">
        <f>IF(ISNA(MATCH(234,Engine!$C$2:$C$1199,0)),"",INDEX('Compliance Database'!$H$2:$H$1199,MATCH(234,Engine!$C$2:$C$1199,0)))</f>
        <v/>
      </c>
      <c r="I247" s="7" t="str">
        <f>IF(ISNA(MATCH(234,Engine!$C$2:$C$1199,0)),"",INDEX('Compliance Database'!$I$2:$I$1199,MATCH(234,Engine!$C$2:$C$1199,0)))</f>
        <v/>
      </c>
      <c r="J247" s="6" t="str">
        <f>IF(ISNA(MATCH(234,Engine!$C$2:$C$1199,0)),"",INDEX('Compliance Database'!$J$2:$J$1199,MATCH(234,Engine!$C$2:$C$1199,0)))</f>
        <v/>
      </c>
      <c r="K247" s="7" t="str">
        <f>IF(ISNA(MATCH(234,Engine!$C$2:$C$1199,0)),"",INDEX('Compliance Database'!$K$2:$K$1199,MATCH(234,Engine!$C$2:$C$1199,0)))</f>
        <v/>
      </c>
      <c r="L247" s="7" t="str">
        <f>IF(ISNA(MATCH(234,Engine!$C$2:$C$1199,0)),"",INDEX('Compliance Database'!$L$2:$L$1199,MATCH(234,Engine!$C$2:$C$1199,0)))</f>
        <v/>
      </c>
      <c r="M247" s="7" t="str">
        <f>IF(ISNA(MATCH(234,Engine!$C$2:$C$1199,0)),"",INDEX('Compliance Database'!$M$2:$M$1199,MATCH(234,Engine!$C$2:$C$1199,0)))</f>
        <v/>
      </c>
      <c r="N247" s="7" t="str">
        <f>IF(ISNA(MATCH(234,Engine!$C$2:$C$1199,0)),"",INDEX('Compliance Database'!$N$2:$N$1199,MATCH(234,Engine!$C$2:$C$1199,0)))</f>
        <v/>
      </c>
      <c r="O247" s="7" t="str">
        <f>IF(ISNA(MATCH(234,Engine!$C$2:$C$1199,0)),"",INDEX('Compliance Database'!$O$2:$O$1199,MATCH(234,Engine!$C$2:$C$1199,0)))</f>
        <v/>
      </c>
      <c r="P247" s="6" t="str">
        <f>IF(ISNA(MATCH(234,Engine!$C$2:$C$1199,0)),"",HYPERLINK("#Acts!A"&amp;INDEX('Compliance Database'!$P$2:$P$1199,MATCH(234,Engine!$C$2:$C$1199,0)),"Go to Act"))</f>
        <v/>
      </c>
    </row>
    <row r="248" spans="1:16" ht="172.95" customHeight="1" x14ac:dyDescent="0.3">
      <c r="A248" s="6" t="str">
        <f>IF(ISNA(MATCH(235,Engine!$C$2:$C$1199,0)),"",INDEX('Compliance Database'!$A$2:$A$1199,MATCH(235,Engine!$C$2:$C$1199,0)))</f>
        <v/>
      </c>
      <c r="B248" s="6" t="str">
        <f>IF(ISNA(MATCH(235,Engine!$C$2:$C$1199,0)),"",INDEX('Compliance Database'!$B$2:$B$1199,MATCH(235,Engine!$C$2:$C$1199,0)))</f>
        <v/>
      </c>
      <c r="C248" s="6" t="str">
        <f>IF(ISNA(MATCH(235,Engine!$C$2:$C$1199,0)),"",INDEX('Compliance Database'!$C$2:$C$1199,MATCH(235,Engine!$C$2:$C$1199,0)))</f>
        <v/>
      </c>
      <c r="D248" s="7" t="str">
        <f>IF(ISNA(MATCH(235,Engine!$C$2:$C$1199,0)),"",INDEX('Compliance Database'!$D$2:$D$1199,MATCH(235,Engine!$C$2:$C$1199,0)))</f>
        <v/>
      </c>
      <c r="E248" s="6" t="str">
        <f>IF(ISNA(MATCH(235,Engine!$C$2:$C$1199,0)),"",INDEX('Compliance Database'!$E$2:$E$1199,MATCH(235,Engine!$C$2:$C$1199,0)))</f>
        <v/>
      </c>
      <c r="F248" s="6" t="str">
        <f>IF(ISNA(MATCH(235,Engine!$C$2:$C$1199,0)),"",INDEX('Compliance Database'!$F$2:$F$1199,MATCH(235,Engine!$C$2:$C$1199,0)))</f>
        <v/>
      </c>
      <c r="G248" s="6" t="str">
        <f>IF(ISNA(MATCH(235,Engine!$C$2:$C$1199,0)),"",INDEX('Compliance Database'!$G$2:$G$1199,MATCH(235,Engine!$C$2:$C$1199,0)))</f>
        <v/>
      </c>
      <c r="H248" s="7" t="str">
        <f>IF(ISNA(MATCH(235,Engine!$C$2:$C$1199,0)),"",INDEX('Compliance Database'!$H$2:$H$1199,MATCH(235,Engine!$C$2:$C$1199,0)))</f>
        <v/>
      </c>
      <c r="I248" s="7" t="str">
        <f>IF(ISNA(MATCH(235,Engine!$C$2:$C$1199,0)),"",INDEX('Compliance Database'!$I$2:$I$1199,MATCH(235,Engine!$C$2:$C$1199,0)))</f>
        <v/>
      </c>
      <c r="J248" s="6" t="str">
        <f>IF(ISNA(MATCH(235,Engine!$C$2:$C$1199,0)),"",INDEX('Compliance Database'!$J$2:$J$1199,MATCH(235,Engine!$C$2:$C$1199,0)))</f>
        <v/>
      </c>
      <c r="K248" s="7" t="str">
        <f>IF(ISNA(MATCH(235,Engine!$C$2:$C$1199,0)),"",INDEX('Compliance Database'!$K$2:$K$1199,MATCH(235,Engine!$C$2:$C$1199,0)))</f>
        <v/>
      </c>
      <c r="L248" s="7" t="str">
        <f>IF(ISNA(MATCH(235,Engine!$C$2:$C$1199,0)),"",INDEX('Compliance Database'!$L$2:$L$1199,MATCH(235,Engine!$C$2:$C$1199,0)))</f>
        <v/>
      </c>
      <c r="M248" s="7" t="str">
        <f>IF(ISNA(MATCH(235,Engine!$C$2:$C$1199,0)),"",INDEX('Compliance Database'!$M$2:$M$1199,MATCH(235,Engine!$C$2:$C$1199,0)))</f>
        <v/>
      </c>
      <c r="N248" s="7" t="str">
        <f>IF(ISNA(MATCH(235,Engine!$C$2:$C$1199,0)),"",INDEX('Compliance Database'!$N$2:$N$1199,MATCH(235,Engine!$C$2:$C$1199,0)))</f>
        <v/>
      </c>
      <c r="O248" s="7" t="str">
        <f>IF(ISNA(MATCH(235,Engine!$C$2:$C$1199,0)),"",INDEX('Compliance Database'!$O$2:$O$1199,MATCH(235,Engine!$C$2:$C$1199,0)))</f>
        <v/>
      </c>
      <c r="P248" s="6" t="str">
        <f>IF(ISNA(MATCH(235,Engine!$C$2:$C$1199,0)),"",HYPERLINK("#Acts!A"&amp;INDEX('Compliance Database'!$P$2:$P$1199,MATCH(235,Engine!$C$2:$C$1199,0)),"Go to Act"))</f>
        <v/>
      </c>
    </row>
    <row r="249" spans="1:16" ht="172.95" customHeight="1" x14ac:dyDescent="0.3">
      <c r="A249" s="6" t="str">
        <f>IF(ISNA(MATCH(236,Engine!$C$2:$C$1199,0)),"",INDEX('Compliance Database'!$A$2:$A$1199,MATCH(236,Engine!$C$2:$C$1199,0)))</f>
        <v/>
      </c>
      <c r="B249" s="6" t="str">
        <f>IF(ISNA(MATCH(236,Engine!$C$2:$C$1199,0)),"",INDEX('Compliance Database'!$B$2:$B$1199,MATCH(236,Engine!$C$2:$C$1199,0)))</f>
        <v/>
      </c>
      <c r="C249" s="6" t="str">
        <f>IF(ISNA(MATCH(236,Engine!$C$2:$C$1199,0)),"",INDEX('Compliance Database'!$C$2:$C$1199,MATCH(236,Engine!$C$2:$C$1199,0)))</f>
        <v/>
      </c>
      <c r="D249" s="7" t="str">
        <f>IF(ISNA(MATCH(236,Engine!$C$2:$C$1199,0)),"",INDEX('Compliance Database'!$D$2:$D$1199,MATCH(236,Engine!$C$2:$C$1199,0)))</f>
        <v/>
      </c>
      <c r="E249" s="6" t="str">
        <f>IF(ISNA(MATCH(236,Engine!$C$2:$C$1199,0)),"",INDEX('Compliance Database'!$E$2:$E$1199,MATCH(236,Engine!$C$2:$C$1199,0)))</f>
        <v/>
      </c>
      <c r="F249" s="6" t="str">
        <f>IF(ISNA(MATCH(236,Engine!$C$2:$C$1199,0)),"",INDEX('Compliance Database'!$F$2:$F$1199,MATCH(236,Engine!$C$2:$C$1199,0)))</f>
        <v/>
      </c>
      <c r="G249" s="6" t="str">
        <f>IF(ISNA(MATCH(236,Engine!$C$2:$C$1199,0)),"",INDEX('Compliance Database'!$G$2:$G$1199,MATCH(236,Engine!$C$2:$C$1199,0)))</f>
        <v/>
      </c>
      <c r="H249" s="7" t="str">
        <f>IF(ISNA(MATCH(236,Engine!$C$2:$C$1199,0)),"",INDEX('Compliance Database'!$H$2:$H$1199,MATCH(236,Engine!$C$2:$C$1199,0)))</f>
        <v/>
      </c>
      <c r="I249" s="7" t="str">
        <f>IF(ISNA(MATCH(236,Engine!$C$2:$C$1199,0)),"",INDEX('Compliance Database'!$I$2:$I$1199,MATCH(236,Engine!$C$2:$C$1199,0)))</f>
        <v/>
      </c>
      <c r="J249" s="6" t="str">
        <f>IF(ISNA(MATCH(236,Engine!$C$2:$C$1199,0)),"",INDEX('Compliance Database'!$J$2:$J$1199,MATCH(236,Engine!$C$2:$C$1199,0)))</f>
        <v/>
      </c>
      <c r="K249" s="7" t="str">
        <f>IF(ISNA(MATCH(236,Engine!$C$2:$C$1199,0)),"",INDEX('Compliance Database'!$K$2:$K$1199,MATCH(236,Engine!$C$2:$C$1199,0)))</f>
        <v/>
      </c>
      <c r="L249" s="7" t="str">
        <f>IF(ISNA(MATCH(236,Engine!$C$2:$C$1199,0)),"",INDEX('Compliance Database'!$L$2:$L$1199,MATCH(236,Engine!$C$2:$C$1199,0)))</f>
        <v/>
      </c>
      <c r="M249" s="7" t="str">
        <f>IF(ISNA(MATCH(236,Engine!$C$2:$C$1199,0)),"",INDEX('Compliance Database'!$M$2:$M$1199,MATCH(236,Engine!$C$2:$C$1199,0)))</f>
        <v/>
      </c>
      <c r="N249" s="7" t="str">
        <f>IF(ISNA(MATCH(236,Engine!$C$2:$C$1199,0)),"",INDEX('Compliance Database'!$N$2:$N$1199,MATCH(236,Engine!$C$2:$C$1199,0)))</f>
        <v/>
      </c>
      <c r="O249" s="7" t="str">
        <f>IF(ISNA(MATCH(236,Engine!$C$2:$C$1199,0)),"",INDEX('Compliance Database'!$O$2:$O$1199,MATCH(236,Engine!$C$2:$C$1199,0)))</f>
        <v/>
      </c>
      <c r="P249" s="6" t="str">
        <f>IF(ISNA(MATCH(236,Engine!$C$2:$C$1199,0)),"",HYPERLINK("#Acts!A"&amp;INDEX('Compliance Database'!$P$2:$P$1199,MATCH(236,Engine!$C$2:$C$1199,0)),"Go to Act"))</f>
        <v/>
      </c>
    </row>
    <row r="250" spans="1:16" ht="172.95" customHeight="1" x14ac:dyDescent="0.3">
      <c r="A250" s="6" t="str">
        <f>IF(ISNA(MATCH(237,Engine!$C$2:$C$1199,0)),"",INDEX('Compliance Database'!$A$2:$A$1199,MATCH(237,Engine!$C$2:$C$1199,0)))</f>
        <v/>
      </c>
      <c r="B250" s="6" t="str">
        <f>IF(ISNA(MATCH(237,Engine!$C$2:$C$1199,0)),"",INDEX('Compliance Database'!$B$2:$B$1199,MATCH(237,Engine!$C$2:$C$1199,0)))</f>
        <v/>
      </c>
      <c r="C250" s="6" t="str">
        <f>IF(ISNA(MATCH(237,Engine!$C$2:$C$1199,0)),"",INDEX('Compliance Database'!$C$2:$C$1199,MATCH(237,Engine!$C$2:$C$1199,0)))</f>
        <v/>
      </c>
      <c r="D250" s="7" t="str">
        <f>IF(ISNA(MATCH(237,Engine!$C$2:$C$1199,0)),"",INDEX('Compliance Database'!$D$2:$D$1199,MATCH(237,Engine!$C$2:$C$1199,0)))</f>
        <v/>
      </c>
      <c r="E250" s="6" t="str">
        <f>IF(ISNA(MATCH(237,Engine!$C$2:$C$1199,0)),"",INDEX('Compliance Database'!$E$2:$E$1199,MATCH(237,Engine!$C$2:$C$1199,0)))</f>
        <v/>
      </c>
      <c r="F250" s="6" t="str">
        <f>IF(ISNA(MATCH(237,Engine!$C$2:$C$1199,0)),"",INDEX('Compliance Database'!$F$2:$F$1199,MATCH(237,Engine!$C$2:$C$1199,0)))</f>
        <v/>
      </c>
      <c r="G250" s="6" t="str">
        <f>IF(ISNA(MATCH(237,Engine!$C$2:$C$1199,0)),"",INDEX('Compliance Database'!$G$2:$G$1199,MATCH(237,Engine!$C$2:$C$1199,0)))</f>
        <v/>
      </c>
      <c r="H250" s="7" t="str">
        <f>IF(ISNA(MATCH(237,Engine!$C$2:$C$1199,0)),"",INDEX('Compliance Database'!$H$2:$H$1199,MATCH(237,Engine!$C$2:$C$1199,0)))</f>
        <v/>
      </c>
      <c r="I250" s="7" t="str">
        <f>IF(ISNA(MATCH(237,Engine!$C$2:$C$1199,0)),"",INDEX('Compliance Database'!$I$2:$I$1199,MATCH(237,Engine!$C$2:$C$1199,0)))</f>
        <v/>
      </c>
      <c r="J250" s="6" t="str">
        <f>IF(ISNA(MATCH(237,Engine!$C$2:$C$1199,0)),"",INDEX('Compliance Database'!$J$2:$J$1199,MATCH(237,Engine!$C$2:$C$1199,0)))</f>
        <v/>
      </c>
      <c r="K250" s="7" t="str">
        <f>IF(ISNA(MATCH(237,Engine!$C$2:$C$1199,0)),"",INDEX('Compliance Database'!$K$2:$K$1199,MATCH(237,Engine!$C$2:$C$1199,0)))</f>
        <v/>
      </c>
      <c r="L250" s="7" t="str">
        <f>IF(ISNA(MATCH(237,Engine!$C$2:$C$1199,0)),"",INDEX('Compliance Database'!$L$2:$L$1199,MATCH(237,Engine!$C$2:$C$1199,0)))</f>
        <v/>
      </c>
      <c r="M250" s="7" t="str">
        <f>IF(ISNA(MATCH(237,Engine!$C$2:$C$1199,0)),"",INDEX('Compliance Database'!$M$2:$M$1199,MATCH(237,Engine!$C$2:$C$1199,0)))</f>
        <v/>
      </c>
      <c r="N250" s="7" t="str">
        <f>IF(ISNA(MATCH(237,Engine!$C$2:$C$1199,0)),"",INDEX('Compliance Database'!$N$2:$N$1199,MATCH(237,Engine!$C$2:$C$1199,0)))</f>
        <v/>
      </c>
      <c r="O250" s="7" t="str">
        <f>IF(ISNA(MATCH(237,Engine!$C$2:$C$1199,0)),"",INDEX('Compliance Database'!$O$2:$O$1199,MATCH(237,Engine!$C$2:$C$1199,0)))</f>
        <v/>
      </c>
      <c r="P250" s="6" t="str">
        <f>IF(ISNA(MATCH(237,Engine!$C$2:$C$1199,0)),"",HYPERLINK("#Acts!A"&amp;INDEX('Compliance Database'!$P$2:$P$1199,MATCH(237,Engine!$C$2:$C$1199,0)),"Go to Act"))</f>
        <v/>
      </c>
    </row>
    <row r="251" spans="1:16" ht="172.95" customHeight="1" x14ac:dyDescent="0.3">
      <c r="A251" s="6" t="str">
        <f>IF(ISNA(MATCH(238,Engine!$C$2:$C$1199,0)),"",INDEX('Compliance Database'!$A$2:$A$1199,MATCH(238,Engine!$C$2:$C$1199,0)))</f>
        <v/>
      </c>
      <c r="B251" s="6" t="str">
        <f>IF(ISNA(MATCH(238,Engine!$C$2:$C$1199,0)),"",INDEX('Compliance Database'!$B$2:$B$1199,MATCH(238,Engine!$C$2:$C$1199,0)))</f>
        <v/>
      </c>
      <c r="C251" s="6" t="str">
        <f>IF(ISNA(MATCH(238,Engine!$C$2:$C$1199,0)),"",INDEX('Compliance Database'!$C$2:$C$1199,MATCH(238,Engine!$C$2:$C$1199,0)))</f>
        <v/>
      </c>
      <c r="D251" s="7" t="str">
        <f>IF(ISNA(MATCH(238,Engine!$C$2:$C$1199,0)),"",INDEX('Compliance Database'!$D$2:$D$1199,MATCH(238,Engine!$C$2:$C$1199,0)))</f>
        <v/>
      </c>
      <c r="E251" s="6" t="str">
        <f>IF(ISNA(MATCH(238,Engine!$C$2:$C$1199,0)),"",INDEX('Compliance Database'!$E$2:$E$1199,MATCH(238,Engine!$C$2:$C$1199,0)))</f>
        <v/>
      </c>
      <c r="F251" s="6" t="str">
        <f>IF(ISNA(MATCH(238,Engine!$C$2:$C$1199,0)),"",INDEX('Compliance Database'!$F$2:$F$1199,MATCH(238,Engine!$C$2:$C$1199,0)))</f>
        <v/>
      </c>
      <c r="G251" s="6" t="str">
        <f>IF(ISNA(MATCH(238,Engine!$C$2:$C$1199,0)),"",INDEX('Compliance Database'!$G$2:$G$1199,MATCH(238,Engine!$C$2:$C$1199,0)))</f>
        <v/>
      </c>
      <c r="H251" s="7" t="str">
        <f>IF(ISNA(MATCH(238,Engine!$C$2:$C$1199,0)),"",INDEX('Compliance Database'!$H$2:$H$1199,MATCH(238,Engine!$C$2:$C$1199,0)))</f>
        <v/>
      </c>
      <c r="I251" s="7" t="str">
        <f>IF(ISNA(MATCH(238,Engine!$C$2:$C$1199,0)),"",INDEX('Compliance Database'!$I$2:$I$1199,MATCH(238,Engine!$C$2:$C$1199,0)))</f>
        <v/>
      </c>
      <c r="J251" s="6" t="str">
        <f>IF(ISNA(MATCH(238,Engine!$C$2:$C$1199,0)),"",INDEX('Compliance Database'!$J$2:$J$1199,MATCH(238,Engine!$C$2:$C$1199,0)))</f>
        <v/>
      </c>
      <c r="K251" s="7" t="str">
        <f>IF(ISNA(MATCH(238,Engine!$C$2:$C$1199,0)),"",INDEX('Compliance Database'!$K$2:$K$1199,MATCH(238,Engine!$C$2:$C$1199,0)))</f>
        <v/>
      </c>
      <c r="L251" s="7" t="str">
        <f>IF(ISNA(MATCH(238,Engine!$C$2:$C$1199,0)),"",INDEX('Compliance Database'!$L$2:$L$1199,MATCH(238,Engine!$C$2:$C$1199,0)))</f>
        <v/>
      </c>
      <c r="M251" s="7" t="str">
        <f>IF(ISNA(MATCH(238,Engine!$C$2:$C$1199,0)),"",INDEX('Compliance Database'!$M$2:$M$1199,MATCH(238,Engine!$C$2:$C$1199,0)))</f>
        <v/>
      </c>
      <c r="N251" s="7" t="str">
        <f>IF(ISNA(MATCH(238,Engine!$C$2:$C$1199,0)),"",INDEX('Compliance Database'!$N$2:$N$1199,MATCH(238,Engine!$C$2:$C$1199,0)))</f>
        <v/>
      </c>
      <c r="O251" s="7" t="str">
        <f>IF(ISNA(MATCH(238,Engine!$C$2:$C$1199,0)),"",INDEX('Compliance Database'!$O$2:$O$1199,MATCH(238,Engine!$C$2:$C$1199,0)))</f>
        <v/>
      </c>
      <c r="P251" s="6" t="str">
        <f>IF(ISNA(MATCH(238,Engine!$C$2:$C$1199,0)),"",HYPERLINK("#Acts!A"&amp;INDEX('Compliance Database'!$P$2:$P$1199,MATCH(238,Engine!$C$2:$C$1199,0)),"Go to Act"))</f>
        <v/>
      </c>
    </row>
    <row r="252" spans="1:16" ht="172.95" customHeight="1" x14ac:dyDescent="0.3">
      <c r="A252" s="6" t="str">
        <f>IF(ISNA(MATCH(239,Engine!$C$2:$C$1199,0)),"",INDEX('Compliance Database'!$A$2:$A$1199,MATCH(239,Engine!$C$2:$C$1199,0)))</f>
        <v/>
      </c>
      <c r="B252" s="6" t="str">
        <f>IF(ISNA(MATCH(239,Engine!$C$2:$C$1199,0)),"",INDEX('Compliance Database'!$B$2:$B$1199,MATCH(239,Engine!$C$2:$C$1199,0)))</f>
        <v/>
      </c>
      <c r="C252" s="6" t="str">
        <f>IF(ISNA(MATCH(239,Engine!$C$2:$C$1199,0)),"",INDEX('Compliance Database'!$C$2:$C$1199,MATCH(239,Engine!$C$2:$C$1199,0)))</f>
        <v/>
      </c>
      <c r="D252" s="7" t="str">
        <f>IF(ISNA(MATCH(239,Engine!$C$2:$C$1199,0)),"",INDEX('Compliance Database'!$D$2:$D$1199,MATCH(239,Engine!$C$2:$C$1199,0)))</f>
        <v/>
      </c>
      <c r="E252" s="6" t="str">
        <f>IF(ISNA(MATCH(239,Engine!$C$2:$C$1199,0)),"",INDEX('Compliance Database'!$E$2:$E$1199,MATCH(239,Engine!$C$2:$C$1199,0)))</f>
        <v/>
      </c>
      <c r="F252" s="6" t="str">
        <f>IF(ISNA(MATCH(239,Engine!$C$2:$C$1199,0)),"",INDEX('Compliance Database'!$F$2:$F$1199,MATCH(239,Engine!$C$2:$C$1199,0)))</f>
        <v/>
      </c>
      <c r="G252" s="6" t="str">
        <f>IF(ISNA(MATCH(239,Engine!$C$2:$C$1199,0)),"",INDEX('Compliance Database'!$G$2:$G$1199,MATCH(239,Engine!$C$2:$C$1199,0)))</f>
        <v/>
      </c>
      <c r="H252" s="7" t="str">
        <f>IF(ISNA(MATCH(239,Engine!$C$2:$C$1199,0)),"",INDEX('Compliance Database'!$H$2:$H$1199,MATCH(239,Engine!$C$2:$C$1199,0)))</f>
        <v/>
      </c>
      <c r="I252" s="7" t="str">
        <f>IF(ISNA(MATCH(239,Engine!$C$2:$C$1199,0)),"",INDEX('Compliance Database'!$I$2:$I$1199,MATCH(239,Engine!$C$2:$C$1199,0)))</f>
        <v/>
      </c>
      <c r="J252" s="6" t="str">
        <f>IF(ISNA(MATCH(239,Engine!$C$2:$C$1199,0)),"",INDEX('Compliance Database'!$J$2:$J$1199,MATCH(239,Engine!$C$2:$C$1199,0)))</f>
        <v/>
      </c>
      <c r="K252" s="7" t="str">
        <f>IF(ISNA(MATCH(239,Engine!$C$2:$C$1199,0)),"",INDEX('Compliance Database'!$K$2:$K$1199,MATCH(239,Engine!$C$2:$C$1199,0)))</f>
        <v/>
      </c>
      <c r="L252" s="7" t="str">
        <f>IF(ISNA(MATCH(239,Engine!$C$2:$C$1199,0)),"",INDEX('Compliance Database'!$L$2:$L$1199,MATCH(239,Engine!$C$2:$C$1199,0)))</f>
        <v/>
      </c>
      <c r="M252" s="7" t="str">
        <f>IF(ISNA(MATCH(239,Engine!$C$2:$C$1199,0)),"",INDEX('Compliance Database'!$M$2:$M$1199,MATCH(239,Engine!$C$2:$C$1199,0)))</f>
        <v/>
      </c>
      <c r="N252" s="7" t="str">
        <f>IF(ISNA(MATCH(239,Engine!$C$2:$C$1199,0)),"",INDEX('Compliance Database'!$N$2:$N$1199,MATCH(239,Engine!$C$2:$C$1199,0)))</f>
        <v/>
      </c>
      <c r="O252" s="7" t="str">
        <f>IF(ISNA(MATCH(239,Engine!$C$2:$C$1199,0)),"",INDEX('Compliance Database'!$O$2:$O$1199,MATCH(239,Engine!$C$2:$C$1199,0)))</f>
        <v/>
      </c>
      <c r="P252" s="6" t="str">
        <f>IF(ISNA(MATCH(239,Engine!$C$2:$C$1199,0)),"",HYPERLINK("#Acts!A"&amp;INDEX('Compliance Database'!$P$2:$P$1199,MATCH(239,Engine!$C$2:$C$1199,0)),"Go to Act"))</f>
        <v/>
      </c>
    </row>
    <row r="253" spans="1:16" ht="172.95" customHeight="1" x14ac:dyDescent="0.3">
      <c r="A253" s="6" t="str">
        <f>IF(ISNA(MATCH(240,Engine!$C$2:$C$1199,0)),"",INDEX('Compliance Database'!$A$2:$A$1199,MATCH(240,Engine!$C$2:$C$1199,0)))</f>
        <v/>
      </c>
      <c r="B253" s="6" t="str">
        <f>IF(ISNA(MATCH(240,Engine!$C$2:$C$1199,0)),"",INDEX('Compliance Database'!$B$2:$B$1199,MATCH(240,Engine!$C$2:$C$1199,0)))</f>
        <v/>
      </c>
      <c r="C253" s="6" t="str">
        <f>IF(ISNA(MATCH(240,Engine!$C$2:$C$1199,0)),"",INDEX('Compliance Database'!$C$2:$C$1199,MATCH(240,Engine!$C$2:$C$1199,0)))</f>
        <v/>
      </c>
      <c r="D253" s="7" t="str">
        <f>IF(ISNA(MATCH(240,Engine!$C$2:$C$1199,0)),"",INDEX('Compliance Database'!$D$2:$D$1199,MATCH(240,Engine!$C$2:$C$1199,0)))</f>
        <v/>
      </c>
      <c r="E253" s="6" t="str">
        <f>IF(ISNA(MATCH(240,Engine!$C$2:$C$1199,0)),"",INDEX('Compliance Database'!$E$2:$E$1199,MATCH(240,Engine!$C$2:$C$1199,0)))</f>
        <v/>
      </c>
      <c r="F253" s="6" t="str">
        <f>IF(ISNA(MATCH(240,Engine!$C$2:$C$1199,0)),"",INDEX('Compliance Database'!$F$2:$F$1199,MATCH(240,Engine!$C$2:$C$1199,0)))</f>
        <v/>
      </c>
      <c r="G253" s="6" t="str">
        <f>IF(ISNA(MATCH(240,Engine!$C$2:$C$1199,0)),"",INDEX('Compliance Database'!$G$2:$G$1199,MATCH(240,Engine!$C$2:$C$1199,0)))</f>
        <v/>
      </c>
      <c r="H253" s="7" t="str">
        <f>IF(ISNA(MATCH(240,Engine!$C$2:$C$1199,0)),"",INDEX('Compliance Database'!$H$2:$H$1199,MATCH(240,Engine!$C$2:$C$1199,0)))</f>
        <v/>
      </c>
      <c r="I253" s="7" t="str">
        <f>IF(ISNA(MATCH(240,Engine!$C$2:$C$1199,0)),"",INDEX('Compliance Database'!$I$2:$I$1199,MATCH(240,Engine!$C$2:$C$1199,0)))</f>
        <v/>
      </c>
      <c r="J253" s="6" t="str">
        <f>IF(ISNA(MATCH(240,Engine!$C$2:$C$1199,0)),"",INDEX('Compliance Database'!$J$2:$J$1199,MATCH(240,Engine!$C$2:$C$1199,0)))</f>
        <v/>
      </c>
      <c r="K253" s="7" t="str">
        <f>IF(ISNA(MATCH(240,Engine!$C$2:$C$1199,0)),"",INDEX('Compliance Database'!$K$2:$K$1199,MATCH(240,Engine!$C$2:$C$1199,0)))</f>
        <v/>
      </c>
      <c r="L253" s="7" t="str">
        <f>IF(ISNA(MATCH(240,Engine!$C$2:$C$1199,0)),"",INDEX('Compliance Database'!$L$2:$L$1199,MATCH(240,Engine!$C$2:$C$1199,0)))</f>
        <v/>
      </c>
      <c r="M253" s="7" t="str">
        <f>IF(ISNA(MATCH(240,Engine!$C$2:$C$1199,0)),"",INDEX('Compliance Database'!$M$2:$M$1199,MATCH(240,Engine!$C$2:$C$1199,0)))</f>
        <v/>
      </c>
      <c r="N253" s="7" t="str">
        <f>IF(ISNA(MATCH(240,Engine!$C$2:$C$1199,0)),"",INDEX('Compliance Database'!$N$2:$N$1199,MATCH(240,Engine!$C$2:$C$1199,0)))</f>
        <v/>
      </c>
      <c r="O253" s="7" t="str">
        <f>IF(ISNA(MATCH(240,Engine!$C$2:$C$1199,0)),"",INDEX('Compliance Database'!$O$2:$O$1199,MATCH(240,Engine!$C$2:$C$1199,0)))</f>
        <v/>
      </c>
      <c r="P253" s="6" t="str">
        <f>IF(ISNA(MATCH(240,Engine!$C$2:$C$1199,0)),"",HYPERLINK("#Acts!A"&amp;INDEX('Compliance Database'!$P$2:$P$1199,MATCH(240,Engine!$C$2:$C$1199,0)),"Go to Act"))</f>
        <v/>
      </c>
    </row>
    <row r="254" spans="1:16" ht="172.95" customHeight="1" x14ac:dyDescent="0.3">
      <c r="A254" s="6" t="str">
        <f>IF(ISNA(MATCH(241,Engine!$C$2:$C$1199,0)),"",INDEX('Compliance Database'!$A$2:$A$1199,MATCH(241,Engine!$C$2:$C$1199,0)))</f>
        <v/>
      </c>
      <c r="B254" s="6" t="str">
        <f>IF(ISNA(MATCH(241,Engine!$C$2:$C$1199,0)),"",INDEX('Compliance Database'!$B$2:$B$1199,MATCH(241,Engine!$C$2:$C$1199,0)))</f>
        <v/>
      </c>
      <c r="C254" s="6" t="str">
        <f>IF(ISNA(MATCH(241,Engine!$C$2:$C$1199,0)),"",INDEX('Compliance Database'!$C$2:$C$1199,MATCH(241,Engine!$C$2:$C$1199,0)))</f>
        <v/>
      </c>
      <c r="D254" s="7" t="str">
        <f>IF(ISNA(MATCH(241,Engine!$C$2:$C$1199,0)),"",INDEX('Compliance Database'!$D$2:$D$1199,MATCH(241,Engine!$C$2:$C$1199,0)))</f>
        <v/>
      </c>
      <c r="E254" s="6" t="str">
        <f>IF(ISNA(MATCH(241,Engine!$C$2:$C$1199,0)),"",INDEX('Compliance Database'!$E$2:$E$1199,MATCH(241,Engine!$C$2:$C$1199,0)))</f>
        <v/>
      </c>
      <c r="F254" s="6" t="str">
        <f>IF(ISNA(MATCH(241,Engine!$C$2:$C$1199,0)),"",INDEX('Compliance Database'!$F$2:$F$1199,MATCH(241,Engine!$C$2:$C$1199,0)))</f>
        <v/>
      </c>
      <c r="G254" s="6" t="str">
        <f>IF(ISNA(MATCH(241,Engine!$C$2:$C$1199,0)),"",INDEX('Compliance Database'!$G$2:$G$1199,MATCH(241,Engine!$C$2:$C$1199,0)))</f>
        <v/>
      </c>
      <c r="H254" s="7" t="str">
        <f>IF(ISNA(MATCH(241,Engine!$C$2:$C$1199,0)),"",INDEX('Compliance Database'!$H$2:$H$1199,MATCH(241,Engine!$C$2:$C$1199,0)))</f>
        <v/>
      </c>
      <c r="I254" s="7" t="str">
        <f>IF(ISNA(MATCH(241,Engine!$C$2:$C$1199,0)),"",INDEX('Compliance Database'!$I$2:$I$1199,MATCH(241,Engine!$C$2:$C$1199,0)))</f>
        <v/>
      </c>
      <c r="J254" s="6" t="str">
        <f>IF(ISNA(MATCH(241,Engine!$C$2:$C$1199,0)),"",INDEX('Compliance Database'!$J$2:$J$1199,MATCH(241,Engine!$C$2:$C$1199,0)))</f>
        <v/>
      </c>
      <c r="K254" s="7" t="str">
        <f>IF(ISNA(MATCH(241,Engine!$C$2:$C$1199,0)),"",INDEX('Compliance Database'!$K$2:$K$1199,MATCH(241,Engine!$C$2:$C$1199,0)))</f>
        <v/>
      </c>
      <c r="L254" s="7" t="str">
        <f>IF(ISNA(MATCH(241,Engine!$C$2:$C$1199,0)),"",INDEX('Compliance Database'!$L$2:$L$1199,MATCH(241,Engine!$C$2:$C$1199,0)))</f>
        <v/>
      </c>
      <c r="M254" s="7" t="str">
        <f>IF(ISNA(MATCH(241,Engine!$C$2:$C$1199,0)),"",INDEX('Compliance Database'!$M$2:$M$1199,MATCH(241,Engine!$C$2:$C$1199,0)))</f>
        <v/>
      </c>
      <c r="N254" s="7" t="str">
        <f>IF(ISNA(MATCH(241,Engine!$C$2:$C$1199,0)),"",INDEX('Compliance Database'!$N$2:$N$1199,MATCH(241,Engine!$C$2:$C$1199,0)))</f>
        <v/>
      </c>
      <c r="O254" s="7" t="str">
        <f>IF(ISNA(MATCH(241,Engine!$C$2:$C$1199,0)),"",INDEX('Compliance Database'!$O$2:$O$1199,MATCH(241,Engine!$C$2:$C$1199,0)))</f>
        <v/>
      </c>
      <c r="P254" s="6" t="str">
        <f>IF(ISNA(MATCH(241,Engine!$C$2:$C$1199,0)),"",HYPERLINK("#Acts!A"&amp;INDEX('Compliance Database'!$P$2:$P$1199,MATCH(241,Engine!$C$2:$C$1199,0)),"Go to Act"))</f>
        <v/>
      </c>
    </row>
    <row r="255" spans="1:16" ht="172.95" customHeight="1" x14ac:dyDescent="0.3">
      <c r="A255" s="6" t="str">
        <f>IF(ISNA(MATCH(242,Engine!$C$2:$C$1199,0)),"",INDEX('Compliance Database'!$A$2:$A$1199,MATCH(242,Engine!$C$2:$C$1199,0)))</f>
        <v/>
      </c>
      <c r="B255" s="6" t="str">
        <f>IF(ISNA(MATCH(242,Engine!$C$2:$C$1199,0)),"",INDEX('Compliance Database'!$B$2:$B$1199,MATCH(242,Engine!$C$2:$C$1199,0)))</f>
        <v/>
      </c>
      <c r="C255" s="6" t="str">
        <f>IF(ISNA(MATCH(242,Engine!$C$2:$C$1199,0)),"",INDEX('Compliance Database'!$C$2:$C$1199,MATCH(242,Engine!$C$2:$C$1199,0)))</f>
        <v/>
      </c>
      <c r="D255" s="7" t="str">
        <f>IF(ISNA(MATCH(242,Engine!$C$2:$C$1199,0)),"",INDEX('Compliance Database'!$D$2:$D$1199,MATCH(242,Engine!$C$2:$C$1199,0)))</f>
        <v/>
      </c>
      <c r="E255" s="6" t="str">
        <f>IF(ISNA(MATCH(242,Engine!$C$2:$C$1199,0)),"",INDEX('Compliance Database'!$E$2:$E$1199,MATCH(242,Engine!$C$2:$C$1199,0)))</f>
        <v/>
      </c>
      <c r="F255" s="6" t="str">
        <f>IF(ISNA(MATCH(242,Engine!$C$2:$C$1199,0)),"",INDEX('Compliance Database'!$F$2:$F$1199,MATCH(242,Engine!$C$2:$C$1199,0)))</f>
        <v/>
      </c>
      <c r="G255" s="6" t="str">
        <f>IF(ISNA(MATCH(242,Engine!$C$2:$C$1199,0)),"",INDEX('Compliance Database'!$G$2:$G$1199,MATCH(242,Engine!$C$2:$C$1199,0)))</f>
        <v/>
      </c>
      <c r="H255" s="7" t="str">
        <f>IF(ISNA(MATCH(242,Engine!$C$2:$C$1199,0)),"",INDEX('Compliance Database'!$H$2:$H$1199,MATCH(242,Engine!$C$2:$C$1199,0)))</f>
        <v/>
      </c>
      <c r="I255" s="7" t="str">
        <f>IF(ISNA(MATCH(242,Engine!$C$2:$C$1199,0)),"",INDEX('Compliance Database'!$I$2:$I$1199,MATCH(242,Engine!$C$2:$C$1199,0)))</f>
        <v/>
      </c>
      <c r="J255" s="6" t="str">
        <f>IF(ISNA(MATCH(242,Engine!$C$2:$C$1199,0)),"",INDEX('Compliance Database'!$J$2:$J$1199,MATCH(242,Engine!$C$2:$C$1199,0)))</f>
        <v/>
      </c>
      <c r="K255" s="7" t="str">
        <f>IF(ISNA(MATCH(242,Engine!$C$2:$C$1199,0)),"",INDEX('Compliance Database'!$K$2:$K$1199,MATCH(242,Engine!$C$2:$C$1199,0)))</f>
        <v/>
      </c>
      <c r="L255" s="7" t="str">
        <f>IF(ISNA(MATCH(242,Engine!$C$2:$C$1199,0)),"",INDEX('Compliance Database'!$L$2:$L$1199,MATCH(242,Engine!$C$2:$C$1199,0)))</f>
        <v/>
      </c>
      <c r="M255" s="7" t="str">
        <f>IF(ISNA(MATCH(242,Engine!$C$2:$C$1199,0)),"",INDEX('Compliance Database'!$M$2:$M$1199,MATCH(242,Engine!$C$2:$C$1199,0)))</f>
        <v/>
      </c>
      <c r="N255" s="7" t="str">
        <f>IF(ISNA(MATCH(242,Engine!$C$2:$C$1199,0)),"",INDEX('Compliance Database'!$N$2:$N$1199,MATCH(242,Engine!$C$2:$C$1199,0)))</f>
        <v/>
      </c>
      <c r="O255" s="7" t="str">
        <f>IF(ISNA(MATCH(242,Engine!$C$2:$C$1199,0)),"",INDEX('Compliance Database'!$O$2:$O$1199,MATCH(242,Engine!$C$2:$C$1199,0)))</f>
        <v/>
      </c>
      <c r="P255" s="6" t="str">
        <f>IF(ISNA(MATCH(242,Engine!$C$2:$C$1199,0)),"",HYPERLINK("#Acts!A"&amp;INDEX('Compliance Database'!$P$2:$P$1199,MATCH(242,Engine!$C$2:$C$1199,0)),"Go to Act"))</f>
        <v/>
      </c>
    </row>
    <row r="256" spans="1:16" ht="172.95" customHeight="1" x14ac:dyDescent="0.3">
      <c r="A256" s="6" t="str">
        <f>IF(ISNA(MATCH(243,Engine!$C$2:$C$1199,0)),"",INDEX('Compliance Database'!$A$2:$A$1199,MATCH(243,Engine!$C$2:$C$1199,0)))</f>
        <v/>
      </c>
      <c r="B256" s="6" t="str">
        <f>IF(ISNA(MATCH(243,Engine!$C$2:$C$1199,0)),"",INDEX('Compliance Database'!$B$2:$B$1199,MATCH(243,Engine!$C$2:$C$1199,0)))</f>
        <v/>
      </c>
      <c r="C256" s="6" t="str">
        <f>IF(ISNA(MATCH(243,Engine!$C$2:$C$1199,0)),"",INDEX('Compliance Database'!$C$2:$C$1199,MATCH(243,Engine!$C$2:$C$1199,0)))</f>
        <v/>
      </c>
      <c r="D256" s="7" t="str">
        <f>IF(ISNA(MATCH(243,Engine!$C$2:$C$1199,0)),"",INDEX('Compliance Database'!$D$2:$D$1199,MATCH(243,Engine!$C$2:$C$1199,0)))</f>
        <v/>
      </c>
      <c r="E256" s="6" t="str">
        <f>IF(ISNA(MATCH(243,Engine!$C$2:$C$1199,0)),"",INDEX('Compliance Database'!$E$2:$E$1199,MATCH(243,Engine!$C$2:$C$1199,0)))</f>
        <v/>
      </c>
      <c r="F256" s="6" t="str">
        <f>IF(ISNA(MATCH(243,Engine!$C$2:$C$1199,0)),"",INDEX('Compliance Database'!$F$2:$F$1199,MATCH(243,Engine!$C$2:$C$1199,0)))</f>
        <v/>
      </c>
      <c r="G256" s="6" t="str">
        <f>IF(ISNA(MATCH(243,Engine!$C$2:$C$1199,0)),"",INDEX('Compliance Database'!$G$2:$G$1199,MATCH(243,Engine!$C$2:$C$1199,0)))</f>
        <v/>
      </c>
      <c r="H256" s="7" t="str">
        <f>IF(ISNA(MATCH(243,Engine!$C$2:$C$1199,0)),"",INDEX('Compliance Database'!$H$2:$H$1199,MATCH(243,Engine!$C$2:$C$1199,0)))</f>
        <v/>
      </c>
      <c r="I256" s="7" t="str">
        <f>IF(ISNA(MATCH(243,Engine!$C$2:$C$1199,0)),"",INDEX('Compliance Database'!$I$2:$I$1199,MATCH(243,Engine!$C$2:$C$1199,0)))</f>
        <v/>
      </c>
      <c r="J256" s="6" t="str">
        <f>IF(ISNA(MATCH(243,Engine!$C$2:$C$1199,0)),"",INDEX('Compliance Database'!$J$2:$J$1199,MATCH(243,Engine!$C$2:$C$1199,0)))</f>
        <v/>
      </c>
      <c r="K256" s="7" t="str">
        <f>IF(ISNA(MATCH(243,Engine!$C$2:$C$1199,0)),"",INDEX('Compliance Database'!$K$2:$K$1199,MATCH(243,Engine!$C$2:$C$1199,0)))</f>
        <v/>
      </c>
      <c r="L256" s="7" t="str">
        <f>IF(ISNA(MATCH(243,Engine!$C$2:$C$1199,0)),"",INDEX('Compliance Database'!$L$2:$L$1199,MATCH(243,Engine!$C$2:$C$1199,0)))</f>
        <v/>
      </c>
      <c r="M256" s="7" t="str">
        <f>IF(ISNA(MATCH(243,Engine!$C$2:$C$1199,0)),"",INDEX('Compliance Database'!$M$2:$M$1199,MATCH(243,Engine!$C$2:$C$1199,0)))</f>
        <v/>
      </c>
      <c r="N256" s="7" t="str">
        <f>IF(ISNA(MATCH(243,Engine!$C$2:$C$1199,0)),"",INDEX('Compliance Database'!$N$2:$N$1199,MATCH(243,Engine!$C$2:$C$1199,0)))</f>
        <v/>
      </c>
      <c r="O256" s="7" t="str">
        <f>IF(ISNA(MATCH(243,Engine!$C$2:$C$1199,0)),"",INDEX('Compliance Database'!$O$2:$O$1199,MATCH(243,Engine!$C$2:$C$1199,0)))</f>
        <v/>
      </c>
      <c r="P256" s="6" t="str">
        <f>IF(ISNA(MATCH(243,Engine!$C$2:$C$1199,0)),"",HYPERLINK("#Acts!A"&amp;INDEX('Compliance Database'!$P$2:$P$1199,MATCH(243,Engine!$C$2:$C$1199,0)),"Go to Act"))</f>
        <v/>
      </c>
    </row>
    <row r="257" spans="1:16" ht="172.95" customHeight="1" x14ac:dyDescent="0.3">
      <c r="A257" s="6" t="str">
        <f>IF(ISNA(MATCH(244,Engine!$C$2:$C$1199,0)),"",INDEX('Compliance Database'!$A$2:$A$1199,MATCH(244,Engine!$C$2:$C$1199,0)))</f>
        <v/>
      </c>
      <c r="B257" s="6" t="str">
        <f>IF(ISNA(MATCH(244,Engine!$C$2:$C$1199,0)),"",INDEX('Compliance Database'!$B$2:$B$1199,MATCH(244,Engine!$C$2:$C$1199,0)))</f>
        <v/>
      </c>
      <c r="C257" s="6" t="str">
        <f>IF(ISNA(MATCH(244,Engine!$C$2:$C$1199,0)),"",INDEX('Compliance Database'!$C$2:$C$1199,MATCH(244,Engine!$C$2:$C$1199,0)))</f>
        <v/>
      </c>
      <c r="D257" s="7" t="str">
        <f>IF(ISNA(MATCH(244,Engine!$C$2:$C$1199,0)),"",INDEX('Compliance Database'!$D$2:$D$1199,MATCH(244,Engine!$C$2:$C$1199,0)))</f>
        <v/>
      </c>
      <c r="E257" s="6" t="str">
        <f>IF(ISNA(MATCH(244,Engine!$C$2:$C$1199,0)),"",INDEX('Compliance Database'!$E$2:$E$1199,MATCH(244,Engine!$C$2:$C$1199,0)))</f>
        <v/>
      </c>
      <c r="F257" s="6" t="str">
        <f>IF(ISNA(MATCH(244,Engine!$C$2:$C$1199,0)),"",INDEX('Compliance Database'!$F$2:$F$1199,MATCH(244,Engine!$C$2:$C$1199,0)))</f>
        <v/>
      </c>
      <c r="G257" s="6" t="str">
        <f>IF(ISNA(MATCH(244,Engine!$C$2:$C$1199,0)),"",INDEX('Compliance Database'!$G$2:$G$1199,MATCH(244,Engine!$C$2:$C$1199,0)))</f>
        <v/>
      </c>
      <c r="H257" s="7" t="str">
        <f>IF(ISNA(MATCH(244,Engine!$C$2:$C$1199,0)),"",INDEX('Compliance Database'!$H$2:$H$1199,MATCH(244,Engine!$C$2:$C$1199,0)))</f>
        <v/>
      </c>
      <c r="I257" s="7" t="str">
        <f>IF(ISNA(MATCH(244,Engine!$C$2:$C$1199,0)),"",INDEX('Compliance Database'!$I$2:$I$1199,MATCH(244,Engine!$C$2:$C$1199,0)))</f>
        <v/>
      </c>
      <c r="J257" s="6" t="str">
        <f>IF(ISNA(MATCH(244,Engine!$C$2:$C$1199,0)),"",INDEX('Compliance Database'!$J$2:$J$1199,MATCH(244,Engine!$C$2:$C$1199,0)))</f>
        <v/>
      </c>
      <c r="K257" s="7" t="str">
        <f>IF(ISNA(MATCH(244,Engine!$C$2:$C$1199,0)),"",INDEX('Compliance Database'!$K$2:$K$1199,MATCH(244,Engine!$C$2:$C$1199,0)))</f>
        <v/>
      </c>
      <c r="L257" s="7" t="str">
        <f>IF(ISNA(MATCH(244,Engine!$C$2:$C$1199,0)),"",INDEX('Compliance Database'!$L$2:$L$1199,MATCH(244,Engine!$C$2:$C$1199,0)))</f>
        <v/>
      </c>
      <c r="M257" s="7" t="str">
        <f>IF(ISNA(MATCH(244,Engine!$C$2:$C$1199,0)),"",INDEX('Compliance Database'!$M$2:$M$1199,MATCH(244,Engine!$C$2:$C$1199,0)))</f>
        <v/>
      </c>
      <c r="N257" s="7" t="str">
        <f>IF(ISNA(MATCH(244,Engine!$C$2:$C$1199,0)),"",INDEX('Compliance Database'!$N$2:$N$1199,MATCH(244,Engine!$C$2:$C$1199,0)))</f>
        <v/>
      </c>
      <c r="O257" s="7" t="str">
        <f>IF(ISNA(MATCH(244,Engine!$C$2:$C$1199,0)),"",INDEX('Compliance Database'!$O$2:$O$1199,MATCH(244,Engine!$C$2:$C$1199,0)))</f>
        <v/>
      </c>
      <c r="P257" s="6" t="str">
        <f>IF(ISNA(MATCH(244,Engine!$C$2:$C$1199,0)),"",HYPERLINK("#Acts!A"&amp;INDEX('Compliance Database'!$P$2:$P$1199,MATCH(244,Engine!$C$2:$C$1199,0)),"Go to Act"))</f>
        <v/>
      </c>
    </row>
    <row r="258" spans="1:16" ht="172.95" customHeight="1" x14ac:dyDescent="0.3">
      <c r="A258" s="6" t="str">
        <f>IF(ISNA(MATCH(245,Engine!$C$2:$C$1199,0)),"",INDEX('Compliance Database'!$A$2:$A$1199,MATCH(245,Engine!$C$2:$C$1199,0)))</f>
        <v/>
      </c>
      <c r="B258" s="6" t="str">
        <f>IF(ISNA(MATCH(245,Engine!$C$2:$C$1199,0)),"",INDEX('Compliance Database'!$B$2:$B$1199,MATCH(245,Engine!$C$2:$C$1199,0)))</f>
        <v/>
      </c>
      <c r="C258" s="6" t="str">
        <f>IF(ISNA(MATCH(245,Engine!$C$2:$C$1199,0)),"",INDEX('Compliance Database'!$C$2:$C$1199,MATCH(245,Engine!$C$2:$C$1199,0)))</f>
        <v/>
      </c>
      <c r="D258" s="7" t="str">
        <f>IF(ISNA(MATCH(245,Engine!$C$2:$C$1199,0)),"",INDEX('Compliance Database'!$D$2:$D$1199,MATCH(245,Engine!$C$2:$C$1199,0)))</f>
        <v/>
      </c>
      <c r="E258" s="6" t="str">
        <f>IF(ISNA(MATCH(245,Engine!$C$2:$C$1199,0)),"",INDEX('Compliance Database'!$E$2:$E$1199,MATCH(245,Engine!$C$2:$C$1199,0)))</f>
        <v/>
      </c>
      <c r="F258" s="6" t="str">
        <f>IF(ISNA(MATCH(245,Engine!$C$2:$C$1199,0)),"",INDEX('Compliance Database'!$F$2:$F$1199,MATCH(245,Engine!$C$2:$C$1199,0)))</f>
        <v/>
      </c>
      <c r="G258" s="6" t="str">
        <f>IF(ISNA(MATCH(245,Engine!$C$2:$C$1199,0)),"",INDEX('Compliance Database'!$G$2:$G$1199,MATCH(245,Engine!$C$2:$C$1199,0)))</f>
        <v/>
      </c>
      <c r="H258" s="7" t="str">
        <f>IF(ISNA(MATCH(245,Engine!$C$2:$C$1199,0)),"",INDEX('Compliance Database'!$H$2:$H$1199,MATCH(245,Engine!$C$2:$C$1199,0)))</f>
        <v/>
      </c>
      <c r="I258" s="7" t="str">
        <f>IF(ISNA(MATCH(245,Engine!$C$2:$C$1199,0)),"",INDEX('Compliance Database'!$I$2:$I$1199,MATCH(245,Engine!$C$2:$C$1199,0)))</f>
        <v/>
      </c>
      <c r="J258" s="6" t="str">
        <f>IF(ISNA(MATCH(245,Engine!$C$2:$C$1199,0)),"",INDEX('Compliance Database'!$J$2:$J$1199,MATCH(245,Engine!$C$2:$C$1199,0)))</f>
        <v/>
      </c>
      <c r="K258" s="7" t="str">
        <f>IF(ISNA(MATCH(245,Engine!$C$2:$C$1199,0)),"",INDEX('Compliance Database'!$K$2:$K$1199,MATCH(245,Engine!$C$2:$C$1199,0)))</f>
        <v/>
      </c>
      <c r="L258" s="7" t="str">
        <f>IF(ISNA(MATCH(245,Engine!$C$2:$C$1199,0)),"",INDEX('Compliance Database'!$L$2:$L$1199,MATCH(245,Engine!$C$2:$C$1199,0)))</f>
        <v/>
      </c>
      <c r="M258" s="7" t="str">
        <f>IF(ISNA(MATCH(245,Engine!$C$2:$C$1199,0)),"",INDEX('Compliance Database'!$M$2:$M$1199,MATCH(245,Engine!$C$2:$C$1199,0)))</f>
        <v/>
      </c>
      <c r="N258" s="7" t="str">
        <f>IF(ISNA(MATCH(245,Engine!$C$2:$C$1199,0)),"",INDEX('Compliance Database'!$N$2:$N$1199,MATCH(245,Engine!$C$2:$C$1199,0)))</f>
        <v/>
      </c>
      <c r="O258" s="7" t="str">
        <f>IF(ISNA(MATCH(245,Engine!$C$2:$C$1199,0)),"",INDEX('Compliance Database'!$O$2:$O$1199,MATCH(245,Engine!$C$2:$C$1199,0)))</f>
        <v/>
      </c>
      <c r="P258" s="6" t="str">
        <f>IF(ISNA(MATCH(245,Engine!$C$2:$C$1199,0)),"",HYPERLINK("#Acts!A"&amp;INDEX('Compliance Database'!$P$2:$P$1199,MATCH(245,Engine!$C$2:$C$1199,0)),"Go to Act"))</f>
        <v/>
      </c>
    </row>
    <row r="259" spans="1:16" ht="172.95" customHeight="1" x14ac:dyDescent="0.3">
      <c r="A259" s="6" t="str">
        <f>IF(ISNA(MATCH(246,Engine!$C$2:$C$1199,0)),"",INDEX('Compliance Database'!$A$2:$A$1199,MATCH(246,Engine!$C$2:$C$1199,0)))</f>
        <v/>
      </c>
      <c r="B259" s="6" t="str">
        <f>IF(ISNA(MATCH(246,Engine!$C$2:$C$1199,0)),"",INDEX('Compliance Database'!$B$2:$B$1199,MATCH(246,Engine!$C$2:$C$1199,0)))</f>
        <v/>
      </c>
      <c r="C259" s="6" t="str">
        <f>IF(ISNA(MATCH(246,Engine!$C$2:$C$1199,0)),"",INDEX('Compliance Database'!$C$2:$C$1199,MATCH(246,Engine!$C$2:$C$1199,0)))</f>
        <v/>
      </c>
      <c r="D259" s="7" t="str">
        <f>IF(ISNA(MATCH(246,Engine!$C$2:$C$1199,0)),"",INDEX('Compliance Database'!$D$2:$D$1199,MATCH(246,Engine!$C$2:$C$1199,0)))</f>
        <v/>
      </c>
      <c r="E259" s="6" t="str">
        <f>IF(ISNA(MATCH(246,Engine!$C$2:$C$1199,0)),"",INDEX('Compliance Database'!$E$2:$E$1199,MATCH(246,Engine!$C$2:$C$1199,0)))</f>
        <v/>
      </c>
      <c r="F259" s="6" t="str">
        <f>IF(ISNA(MATCH(246,Engine!$C$2:$C$1199,0)),"",INDEX('Compliance Database'!$F$2:$F$1199,MATCH(246,Engine!$C$2:$C$1199,0)))</f>
        <v/>
      </c>
      <c r="G259" s="6" t="str">
        <f>IF(ISNA(MATCH(246,Engine!$C$2:$C$1199,0)),"",INDEX('Compliance Database'!$G$2:$G$1199,MATCH(246,Engine!$C$2:$C$1199,0)))</f>
        <v/>
      </c>
      <c r="H259" s="7" t="str">
        <f>IF(ISNA(MATCH(246,Engine!$C$2:$C$1199,0)),"",INDEX('Compliance Database'!$H$2:$H$1199,MATCH(246,Engine!$C$2:$C$1199,0)))</f>
        <v/>
      </c>
      <c r="I259" s="7" t="str">
        <f>IF(ISNA(MATCH(246,Engine!$C$2:$C$1199,0)),"",INDEX('Compliance Database'!$I$2:$I$1199,MATCH(246,Engine!$C$2:$C$1199,0)))</f>
        <v/>
      </c>
      <c r="J259" s="6" t="str">
        <f>IF(ISNA(MATCH(246,Engine!$C$2:$C$1199,0)),"",INDEX('Compliance Database'!$J$2:$J$1199,MATCH(246,Engine!$C$2:$C$1199,0)))</f>
        <v/>
      </c>
      <c r="K259" s="7" t="str">
        <f>IF(ISNA(MATCH(246,Engine!$C$2:$C$1199,0)),"",INDEX('Compliance Database'!$K$2:$K$1199,MATCH(246,Engine!$C$2:$C$1199,0)))</f>
        <v/>
      </c>
      <c r="L259" s="7" t="str">
        <f>IF(ISNA(MATCH(246,Engine!$C$2:$C$1199,0)),"",INDEX('Compliance Database'!$L$2:$L$1199,MATCH(246,Engine!$C$2:$C$1199,0)))</f>
        <v/>
      </c>
      <c r="M259" s="7" t="str">
        <f>IF(ISNA(MATCH(246,Engine!$C$2:$C$1199,0)),"",INDEX('Compliance Database'!$M$2:$M$1199,MATCH(246,Engine!$C$2:$C$1199,0)))</f>
        <v/>
      </c>
      <c r="N259" s="7" t="str">
        <f>IF(ISNA(MATCH(246,Engine!$C$2:$C$1199,0)),"",INDEX('Compliance Database'!$N$2:$N$1199,MATCH(246,Engine!$C$2:$C$1199,0)))</f>
        <v/>
      </c>
      <c r="O259" s="7" t="str">
        <f>IF(ISNA(MATCH(246,Engine!$C$2:$C$1199,0)),"",INDEX('Compliance Database'!$O$2:$O$1199,MATCH(246,Engine!$C$2:$C$1199,0)))</f>
        <v/>
      </c>
      <c r="P259" s="6" t="str">
        <f>IF(ISNA(MATCH(246,Engine!$C$2:$C$1199,0)),"",HYPERLINK("#Acts!A"&amp;INDEX('Compliance Database'!$P$2:$P$1199,MATCH(246,Engine!$C$2:$C$1199,0)),"Go to Act"))</f>
        <v/>
      </c>
    </row>
    <row r="260" spans="1:16" ht="172.95" customHeight="1" x14ac:dyDescent="0.3">
      <c r="A260" s="6" t="str">
        <f>IF(ISNA(MATCH(247,Engine!$C$2:$C$1199,0)),"",INDEX('Compliance Database'!$A$2:$A$1199,MATCH(247,Engine!$C$2:$C$1199,0)))</f>
        <v/>
      </c>
      <c r="B260" s="6" t="str">
        <f>IF(ISNA(MATCH(247,Engine!$C$2:$C$1199,0)),"",INDEX('Compliance Database'!$B$2:$B$1199,MATCH(247,Engine!$C$2:$C$1199,0)))</f>
        <v/>
      </c>
      <c r="C260" s="6" t="str">
        <f>IF(ISNA(MATCH(247,Engine!$C$2:$C$1199,0)),"",INDEX('Compliance Database'!$C$2:$C$1199,MATCH(247,Engine!$C$2:$C$1199,0)))</f>
        <v/>
      </c>
      <c r="D260" s="7" t="str">
        <f>IF(ISNA(MATCH(247,Engine!$C$2:$C$1199,0)),"",INDEX('Compliance Database'!$D$2:$D$1199,MATCH(247,Engine!$C$2:$C$1199,0)))</f>
        <v/>
      </c>
      <c r="E260" s="6" t="str">
        <f>IF(ISNA(MATCH(247,Engine!$C$2:$C$1199,0)),"",INDEX('Compliance Database'!$E$2:$E$1199,MATCH(247,Engine!$C$2:$C$1199,0)))</f>
        <v/>
      </c>
      <c r="F260" s="6" t="str">
        <f>IF(ISNA(MATCH(247,Engine!$C$2:$C$1199,0)),"",INDEX('Compliance Database'!$F$2:$F$1199,MATCH(247,Engine!$C$2:$C$1199,0)))</f>
        <v/>
      </c>
      <c r="G260" s="6" t="str">
        <f>IF(ISNA(MATCH(247,Engine!$C$2:$C$1199,0)),"",INDEX('Compliance Database'!$G$2:$G$1199,MATCH(247,Engine!$C$2:$C$1199,0)))</f>
        <v/>
      </c>
      <c r="H260" s="7" t="str">
        <f>IF(ISNA(MATCH(247,Engine!$C$2:$C$1199,0)),"",INDEX('Compliance Database'!$H$2:$H$1199,MATCH(247,Engine!$C$2:$C$1199,0)))</f>
        <v/>
      </c>
      <c r="I260" s="7" t="str">
        <f>IF(ISNA(MATCH(247,Engine!$C$2:$C$1199,0)),"",INDEX('Compliance Database'!$I$2:$I$1199,MATCH(247,Engine!$C$2:$C$1199,0)))</f>
        <v/>
      </c>
      <c r="J260" s="6" t="str">
        <f>IF(ISNA(MATCH(247,Engine!$C$2:$C$1199,0)),"",INDEX('Compliance Database'!$J$2:$J$1199,MATCH(247,Engine!$C$2:$C$1199,0)))</f>
        <v/>
      </c>
      <c r="K260" s="7" t="str">
        <f>IF(ISNA(MATCH(247,Engine!$C$2:$C$1199,0)),"",INDEX('Compliance Database'!$K$2:$K$1199,MATCH(247,Engine!$C$2:$C$1199,0)))</f>
        <v/>
      </c>
      <c r="L260" s="7" t="str">
        <f>IF(ISNA(MATCH(247,Engine!$C$2:$C$1199,0)),"",INDEX('Compliance Database'!$L$2:$L$1199,MATCH(247,Engine!$C$2:$C$1199,0)))</f>
        <v/>
      </c>
      <c r="M260" s="7" t="str">
        <f>IF(ISNA(MATCH(247,Engine!$C$2:$C$1199,0)),"",INDEX('Compliance Database'!$M$2:$M$1199,MATCH(247,Engine!$C$2:$C$1199,0)))</f>
        <v/>
      </c>
      <c r="N260" s="7" t="str">
        <f>IF(ISNA(MATCH(247,Engine!$C$2:$C$1199,0)),"",INDEX('Compliance Database'!$N$2:$N$1199,MATCH(247,Engine!$C$2:$C$1199,0)))</f>
        <v/>
      </c>
      <c r="O260" s="7" t="str">
        <f>IF(ISNA(MATCH(247,Engine!$C$2:$C$1199,0)),"",INDEX('Compliance Database'!$O$2:$O$1199,MATCH(247,Engine!$C$2:$C$1199,0)))</f>
        <v/>
      </c>
      <c r="P260" s="6" t="str">
        <f>IF(ISNA(MATCH(247,Engine!$C$2:$C$1199,0)),"",HYPERLINK("#Acts!A"&amp;INDEX('Compliance Database'!$P$2:$P$1199,MATCH(247,Engine!$C$2:$C$1199,0)),"Go to Act"))</f>
        <v/>
      </c>
    </row>
    <row r="261" spans="1:16" ht="172.95" customHeight="1" x14ac:dyDescent="0.3">
      <c r="A261" s="6" t="str">
        <f>IF(ISNA(MATCH(248,Engine!$C$2:$C$1199,0)),"",INDEX('Compliance Database'!$A$2:$A$1199,MATCH(248,Engine!$C$2:$C$1199,0)))</f>
        <v/>
      </c>
      <c r="B261" s="6" t="str">
        <f>IF(ISNA(MATCH(248,Engine!$C$2:$C$1199,0)),"",INDEX('Compliance Database'!$B$2:$B$1199,MATCH(248,Engine!$C$2:$C$1199,0)))</f>
        <v/>
      </c>
      <c r="C261" s="6" t="str">
        <f>IF(ISNA(MATCH(248,Engine!$C$2:$C$1199,0)),"",INDEX('Compliance Database'!$C$2:$C$1199,MATCH(248,Engine!$C$2:$C$1199,0)))</f>
        <v/>
      </c>
      <c r="D261" s="7" t="str">
        <f>IF(ISNA(MATCH(248,Engine!$C$2:$C$1199,0)),"",INDEX('Compliance Database'!$D$2:$D$1199,MATCH(248,Engine!$C$2:$C$1199,0)))</f>
        <v/>
      </c>
      <c r="E261" s="6" t="str">
        <f>IF(ISNA(MATCH(248,Engine!$C$2:$C$1199,0)),"",INDEX('Compliance Database'!$E$2:$E$1199,MATCH(248,Engine!$C$2:$C$1199,0)))</f>
        <v/>
      </c>
      <c r="F261" s="6" t="str">
        <f>IF(ISNA(MATCH(248,Engine!$C$2:$C$1199,0)),"",INDEX('Compliance Database'!$F$2:$F$1199,MATCH(248,Engine!$C$2:$C$1199,0)))</f>
        <v/>
      </c>
      <c r="G261" s="6" t="str">
        <f>IF(ISNA(MATCH(248,Engine!$C$2:$C$1199,0)),"",INDEX('Compliance Database'!$G$2:$G$1199,MATCH(248,Engine!$C$2:$C$1199,0)))</f>
        <v/>
      </c>
      <c r="H261" s="7" t="str">
        <f>IF(ISNA(MATCH(248,Engine!$C$2:$C$1199,0)),"",INDEX('Compliance Database'!$H$2:$H$1199,MATCH(248,Engine!$C$2:$C$1199,0)))</f>
        <v/>
      </c>
      <c r="I261" s="7" t="str">
        <f>IF(ISNA(MATCH(248,Engine!$C$2:$C$1199,0)),"",INDEX('Compliance Database'!$I$2:$I$1199,MATCH(248,Engine!$C$2:$C$1199,0)))</f>
        <v/>
      </c>
      <c r="J261" s="6" t="str">
        <f>IF(ISNA(MATCH(248,Engine!$C$2:$C$1199,0)),"",INDEX('Compliance Database'!$J$2:$J$1199,MATCH(248,Engine!$C$2:$C$1199,0)))</f>
        <v/>
      </c>
      <c r="K261" s="7" t="str">
        <f>IF(ISNA(MATCH(248,Engine!$C$2:$C$1199,0)),"",INDEX('Compliance Database'!$K$2:$K$1199,MATCH(248,Engine!$C$2:$C$1199,0)))</f>
        <v/>
      </c>
      <c r="L261" s="7" t="str">
        <f>IF(ISNA(MATCH(248,Engine!$C$2:$C$1199,0)),"",INDEX('Compliance Database'!$L$2:$L$1199,MATCH(248,Engine!$C$2:$C$1199,0)))</f>
        <v/>
      </c>
      <c r="M261" s="7" t="str">
        <f>IF(ISNA(MATCH(248,Engine!$C$2:$C$1199,0)),"",INDEX('Compliance Database'!$M$2:$M$1199,MATCH(248,Engine!$C$2:$C$1199,0)))</f>
        <v/>
      </c>
      <c r="N261" s="7" t="str">
        <f>IF(ISNA(MATCH(248,Engine!$C$2:$C$1199,0)),"",INDEX('Compliance Database'!$N$2:$N$1199,MATCH(248,Engine!$C$2:$C$1199,0)))</f>
        <v/>
      </c>
      <c r="O261" s="7" t="str">
        <f>IF(ISNA(MATCH(248,Engine!$C$2:$C$1199,0)),"",INDEX('Compliance Database'!$O$2:$O$1199,MATCH(248,Engine!$C$2:$C$1199,0)))</f>
        <v/>
      </c>
      <c r="P261" s="6" t="str">
        <f>IF(ISNA(MATCH(248,Engine!$C$2:$C$1199,0)),"",HYPERLINK("#Acts!A"&amp;INDEX('Compliance Database'!$P$2:$P$1199,MATCH(248,Engine!$C$2:$C$1199,0)),"Go to Act"))</f>
        <v/>
      </c>
    </row>
    <row r="262" spans="1:16" ht="172.95" customHeight="1" x14ac:dyDescent="0.3">
      <c r="A262" s="6" t="str">
        <f>IF(ISNA(MATCH(249,Engine!$C$2:$C$1199,0)),"",INDEX('Compliance Database'!$A$2:$A$1199,MATCH(249,Engine!$C$2:$C$1199,0)))</f>
        <v/>
      </c>
      <c r="B262" s="6" t="str">
        <f>IF(ISNA(MATCH(249,Engine!$C$2:$C$1199,0)),"",INDEX('Compliance Database'!$B$2:$B$1199,MATCH(249,Engine!$C$2:$C$1199,0)))</f>
        <v/>
      </c>
      <c r="C262" s="6" t="str">
        <f>IF(ISNA(MATCH(249,Engine!$C$2:$C$1199,0)),"",INDEX('Compliance Database'!$C$2:$C$1199,MATCH(249,Engine!$C$2:$C$1199,0)))</f>
        <v/>
      </c>
      <c r="D262" s="7" t="str">
        <f>IF(ISNA(MATCH(249,Engine!$C$2:$C$1199,0)),"",INDEX('Compliance Database'!$D$2:$D$1199,MATCH(249,Engine!$C$2:$C$1199,0)))</f>
        <v/>
      </c>
      <c r="E262" s="6" t="str">
        <f>IF(ISNA(MATCH(249,Engine!$C$2:$C$1199,0)),"",INDEX('Compliance Database'!$E$2:$E$1199,MATCH(249,Engine!$C$2:$C$1199,0)))</f>
        <v/>
      </c>
      <c r="F262" s="6" t="str">
        <f>IF(ISNA(MATCH(249,Engine!$C$2:$C$1199,0)),"",INDEX('Compliance Database'!$F$2:$F$1199,MATCH(249,Engine!$C$2:$C$1199,0)))</f>
        <v/>
      </c>
      <c r="G262" s="6" t="str">
        <f>IF(ISNA(MATCH(249,Engine!$C$2:$C$1199,0)),"",INDEX('Compliance Database'!$G$2:$G$1199,MATCH(249,Engine!$C$2:$C$1199,0)))</f>
        <v/>
      </c>
      <c r="H262" s="7" t="str">
        <f>IF(ISNA(MATCH(249,Engine!$C$2:$C$1199,0)),"",INDEX('Compliance Database'!$H$2:$H$1199,MATCH(249,Engine!$C$2:$C$1199,0)))</f>
        <v/>
      </c>
      <c r="I262" s="7" t="str">
        <f>IF(ISNA(MATCH(249,Engine!$C$2:$C$1199,0)),"",INDEX('Compliance Database'!$I$2:$I$1199,MATCH(249,Engine!$C$2:$C$1199,0)))</f>
        <v/>
      </c>
      <c r="J262" s="6" t="str">
        <f>IF(ISNA(MATCH(249,Engine!$C$2:$C$1199,0)),"",INDEX('Compliance Database'!$J$2:$J$1199,MATCH(249,Engine!$C$2:$C$1199,0)))</f>
        <v/>
      </c>
      <c r="K262" s="7" t="str">
        <f>IF(ISNA(MATCH(249,Engine!$C$2:$C$1199,0)),"",INDEX('Compliance Database'!$K$2:$K$1199,MATCH(249,Engine!$C$2:$C$1199,0)))</f>
        <v/>
      </c>
      <c r="L262" s="7" t="str">
        <f>IF(ISNA(MATCH(249,Engine!$C$2:$C$1199,0)),"",INDEX('Compliance Database'!$L$2:$L$1199,MATCH(249,Engine!$C$2:$C$1199,0)))</f>
        <v/>
      </c>
      <c r="M262" s="7" t="str">
        <f>IF(ISNA(MATCH(249,Engine!$C$2:$C$1199,0)),"",INDEX('Compliance Database'!$M$2:$M$1199,MATCH(249,Engine!$C$2:$C$1199,0)))</f>
        <v/>
      </c>
      <c r="N262" s="7" t="str">
        <f>IF(ISNA(MATCH(249,Engine!$C$2:$C$1199,0)),"",INDEX('Compliance Database'!$N$2:$N$1199,MATCH(249,Engine!$C$2:$C$1199,0)))</f>
        <v/>
      </c>
      <c r="O262" s="7" t="str">
        <f>IF(ISNA(MATCH(249,Engine!$C$2:$C$1199,0)),"",INDEX('Compliance Database'!$O$2:$O$1199,MATCH(249,Engine!$C$2:$C$1199,0)))</f>
        <v/>
      </c>
      <c r="P262" s="6" t="str">
        <f>IF(ISNA(MATCH(249,Engine!$C$2:$C$1199,0)),"",HYPERLINK("#Acts!A"&amp;INDEX('Compliance Database'!$P$2:$P$1199,MATCH(249,Engine!$C$2:$C$1199,0)),"Go to Act"))</f>
        <v/>
      </c>
    </row>
    <row r="263" spans="1:16" ht="172.95" customHeight="1" x14ac:dyDescent="0.3">
      <c r="A263" s="6" t="str">
        <f>IF(ISNA(MATCH(250,Engine!$C$2:$C$1199,0)),"",INDEX('Compliance Database'!$A$2:$A$1199,MATCH(250,Engine!$C$2:$C$1199,0)))</f>
        <v/>
      </c>
      <c r="B263" s="6" t="str">
        <f>IF(ISNA(MATCH(250,Engine!$C$2:$C$1199,0)),"",INDEX('Compliance Database'!$B$2:$B$1199,MATCH(250,Engine!$C$2:$C$1199,0)))</f>
        <v/>
      </c>
      <c r="C263" s="6" t="str">
        <f>IF(ISNA(MATCH(250,Engine!$C$2:$C$1199,0)),"",INDEX('Compliance Database'!$C$2:$C$1199,MATCH(250,Engine!$C$2:$C$1199,0)))</f>
        <v/>
      </c>
      <c r="D263" s="7" t="str">
        <f>IF(ISNA(MATCH(250,Engine!$C$2:$C$1199,0)),"",INDEX('Compliance Database'!$D$2:$D$1199,MATCH(250,Engine!$C$2:$C$1199,0)))</f>
        <v/>
      </c>
      <c r="E263" s="6" t="str">
        <f>IF(ISNA(MATCH(250,Engine!$C$2:$C$1199,0)),"",INDEX('Compliance Database'!$E$2:$E$1199,MATCH(250,Engine!$C$2:$C$1199,0)))</f>
        <v/>
      </c>
      <c r="F263" s="6" t="str">
        <f>IF(ISNA(MATCH(250,Engine!$C$2:$C$1199,0)),"",INDEX('Compliance Database'!$F$2:$F$1199,MATCH(250,Engine!$C$2:$C$1199,0)))</f>
        <v/>
      </c>
      <c r="G263" s="6" t="str">
        <f>IF(ISNA(MATCH(250,Engine!$C$2:$C$1199,0)),"",INDEX('Compliance Database'!$G$2:$G$1199,MATCH(250,Engine!$C$2:$C$1199,0)))</f>
        <v/>
      </c>
      <c r="H263" s="7" t="str">
        <f>IF(ISNA(MATCH(250,Engine!$C$2:$C$1199,0)),"",INDEX('Compliance Database'!$H$2:$H$1199,MATCH(250,Engine!$C$2:$C$1199,0)))</f>
        <v/>
      </c>
      <c r="I263" s="7" t="str">
        <f>IF(ISNA(MATCH(250,Engine!$C$2:$C$1199,0)),"",INDEX('Compliance Database'!$I$2:$I$1199,MATCH(250,Engine!$C$2:$C$1199,0)))</f>
        <v/>
      </c>
      <c r="J263" s="6" t="str">
        <f>IF(ISNA(MATCH(250,Engine!$C$2:$C$1199,0)),"",INDEX('Compliance Database'!$J$2:$J$1199,MATCH(250,Engine!$C$2:$C$1199,0)))</f>
        <v/>
      </c>
      <c r="K263" s="7" t="str">
        <f>IF(ISNA(MATCH(250,Engine!$C$2:$C$1199,0)),"",INDEX('Compliance Database'!$K$2:$K$1199,MATCH(250,Engine!$C$2:$C$1199,0)))</f>
        <v/>
      </c>
      <c r="L263" s="7" t="str">
        <f>IF(ISNA(MATCH(250,Engine!$C$2:$C$1199,0)),"",INDEX('Compliance Database'!$L$2:$L$1199,MATCH(250,Engine!$C$2:$C$1199,0)))</f>
        <v/>
      </c>
      <c r="M263" s="7" t="str">
        <f>IF(ISNA(MATCH(250,Engine!$C$2:$C$1199,0)),"",INDEX('Compliance Database'!$M$2:$M$1199,MATCH(250,Engine!$C$2:$C$1199,0)))</f>
        <v/>
      </c>
      <c r="N263" s="7" t="str">
        <f>IF(ISNA(MATCH(250,Engine!$C$2:$C$1199,0)),"",INDEX('Compliance Database'!$N$2:$N$1199,MATCH(250,Engine!$C$2:$C$1199,0)))</f>
        <v/>
      </c>
      <c r="O263" s="7" t="str">
        <f>IF(ISNA(MATCH(250,Engine!$C$2:$C$1199,0)),"",INDEX('Compliance Database'!$O$2:$O$1199,MATCH(250,Engine!$C$2:$C$1199,0)))</f>
        <v/>
      </c>
      <c r="P263" s="6" t="str">
        <f>IF(ISNA(MATCH(250,Engine!$C$2:$C$1199,0)),"",HYPERLINK("#Acts!A"&amp;INDEX('Compliance Database'!$P$2:$P$1199,MATCH(250,Engine!$C$2:$C$1199,0)),"Go to Act"))</f>
        <v/>
      </c>
    </row>
    <row r="264" spans="1:16" ht="172.95" customHeight="1" x14ac:dyDescent="0.3">
      <c r="A264" s="6" t="str">
        <f>IF(ISNA(MATCH(251,Engine!$C$2:$C$1199,0)),"",INDEX('Compliance Database'!$A$2:$A$1199,MATCH(251,Engine!$C$2:$C$1199,0)))</f>
        <v/>
      </c>
      <c r="B264" s="6" t="str">
        <f>IF(ISNA(MATCH(251,Engine!$C$2:$C$1199,0)),"",INDEX('Compliance Database'!$B$2:$B$1199,MATCH(251,Engine!$C$2:$C$1199,0)))</f>
        <v/>
      </c>
      <c r="C264" s="6" t="str">
        <f>IF(ISNA(MATCH(251,Engine!$C$2:$C$1199,0)),"",INDEX('Compliance Database'!$C$2:$C$1199,MATCH(251,Engine!$C$2:$C$1199,0)))</f>
        <v/>
      </c>
      <c r="D264" s="7" t="str">
        <f>IF(ISNA(MATCH(251,Engine!$C$2:$C$1199,0)),"",INDEX('Compliance Database'!$D$2:$D$1199,MATCH(251,Engine!$C$2:$C$1199,0)))</f>
        <v/>
      </c>
      <c r="E264" s="6" t="str">
        <f>IF(ISNA(MATCH(251,Engine!$C$2:$C$1199,0)),"",INDEX('Compliance Database'!$E$2:$E$1199,MATCH(251,Engine!$C$2:$C$1199,0)))</f>
        <v/>
      </c>
      <c r="F264" s="6" t="str">
        <f>IF(ISNA(MATCH(251,Engine!$C$2:$C$1199,0)),"",INDEX('Compliance Database'!$F$2:$F$1199,MATCH(251,Engine!$C$2:$C$1199,0)))</f>
        <v/>
      </c>
      <c r="G264" s="6" t="str">
        <f>IF(ISNA(MATCH(251,Engine!$C$2:$C$1199,0)),"",INDEX('Compliance Database'!$G$2:$G$1199,MATCH(251,Engine!$C$2:$C$1199,0)))</f>
        <v/>
      </c>
      <c r="H264" s="7" t="str">
        <f>IF(ISNA(MATCH(251,Engine!$C$2:$C$1199,0)),"",INDEX('Compliance Database'!$H$2:$H$1199,MATCH(251,Engine!$C$2:$C$1199,0)))</f>
        <v/>
      </c>
      <c r="I264" s="7" t="str">
        <f>IF(ISNA(MATCH(251,Engine!$C$2:$C$1199,0)),"",INDEX('Compliance Database'!$I$2:$I$1199,MATCH(251,Engine!$C$2:$C$1199,0)))</f>
        <v/>
      </c>
      <c r="J264" s="6" t="str">
        <f>IF(ISNA(MATCH(251,Engine!$C$2:$C$1199,0)),"",INDEX('Compliance Database'!$J$2:$J$1199,MATCH(251,Engine!$C$2:$C$1199,0)))</f>
        <v/>
      </c>
      <c r="K264" s="7" t="str">
        <f>IF(ISNA(MATCH(251,Engine!$C$2:$C$1199,0)),"",INDEX('Compliance Database'!$K$2:$K$1199,MATCH(251,Engine!$C$2:$C$1199,0)))</f>
        <v/>
      </c>
      <c r="L264" s="7" t="str">
        <f>IF(ISNA(MATCH(251,Engine!$C$2:$C$1199,0)),"",INDEX('Compliance Database'!$L$2:$L$1199,MATCH(251,Engine!$C$2:$C$1199,0)))</f>
        <v/>
      </c>
      <c r="M264" s="7" t="str">
        <f>IF(ISNA(MATCH(251,Engine!$C$2:$C$1199,0)),"",INDEX('Compliance Database'!$M$2:$M$1199,MATCH(251,Engine!$C$2:$C$1199,0)))</f>
        <v/>
      </c>
      <c r="N264" s="7" t="str">
        <f>IF(ISNA(MATCH(251,Engine!$C$2:$C$1199,0)),"",INDEX('Compliance Database'!$N$2:$N$1199,MATCH(251,Engine!$C$2:$C$1199,0)))</f>
        <v/>
      </c>
      <c r="O264" s="7" t="str">
        <f>IF(ISNA(MATCH(251,Engine!$C$2:$C$1199,0)),"",INDEX('Compliance Database'!$O$2:$O$1199,MATCH(251,Engine!$C$2:$C$1199,0)))</f>
        <v/>
      </c>
      <c r="P264" s="6" t="str">
        <f>IF(ISNA(MATCH(251,Engine!$C$2:$C$1199,0)),"",HYPERLINK("#Acts!A"&amp;INDEX('Compliance Database'!$P$2:$P$1199,MATCH(251,Engine!$C$2:$C$1199,0)),"Go to Act"))</f>
        <v/>
      </c>
    </row>
    <row r="265" spans="1:16" ht="172.95" customHeight="1" x14ac:dyDescent="0.3">
      <c r="A265" s="6" t="str">
        <f>IF(ISNA(MATCH(252,Engine!$C$2:$C$1199,0)),"",INDEX('Compliance Database'!$A$2:$A$1199,MATCH(252,Engine!$C$2:$C$1199,0)))</f>
        <v/>
      </c>
      <c r="B265" s="6" t="str">
        <f>IF(ISNA(MATCH(252,Engine!$C$2:$C$1199,0)),"",INDEX('Compliance Database'!$B$2:$B$1199,MATCH(252,Engine!$C$2:$C$1199,0)))</f>
        <v/>
      </c>
      <c r="C265" s="6" t="str">
        <f>IF(ISNA(MATCH(252,Engine!$C$2:$C$1199,0)),"",INDEX('Compliance Database'!$C$2:$C$1199,MATCH(252,Engine!$C$2:$C$1199,0)))</f>
        <v/>
      </c>
      <c r="D265" s="7" t="str">
        <f>IF(ISNA(MATCH(252,Engine!$C$2:$C$1199,0)),"",INDEX('Compliance Database'!$D$2:$D$1199,MATCH(252,Engine!$C$2:$C$1199,0)))</f>
        <v/>
      </c>
      <c r="E265" s="6" t="str">
        <f>IF(ISNA(MATCH(252,Engine!$C$2:$C$1199,0)),"",INDEX('Compliance Database'!$E$2:$E$1199,MATCH(252,Engine!$C$2:$C$1199,0)))</f>
        <v/>
      </c>
      <c r="F265" s="6" t="str">
        <f>IF(ISNA(MATCH(252,Engine!$C$2:$C$1199,0)),"",INDEX('Compliance Database'!$F$2:$F$1199,MATCH(252,Engine!$C$2:$C$1199,0)))</f>
        <v/>
      </c>
      <c r="G265" s="6" t="str">
        <f>IF(ISNA(MATCH(252,Engine!$C$2:$C$1199,0)),"",INDEX('Compliance Database'!$G$2:$G$1199,MATCH(252,Engine!$C$2:$C$1199,0)))</f>
        <v/>
      </c>
      <c r="H265" s="7" t="str">
        <f>IF(ISNA(MATCH(252,Engine!$C$2:$C$1199,0)),"",INDEX('Compliance Database'!$H$2:$H$1199,MATCH(252,Engine!$C$2:$C$1199,0)))</f>
        <v/>
      </c>
      <c r="I265" s="7" t="str">
        <f>IF(ISNA(MATCH(252,Engine!$C$2:$C$1199,0)),"",INDEX('Compliance Database'!$I$2:$I$1199,MATCH(252,Engine!$C$2:$C$1199,0)))</f>
        <v/>
      </c>
      <c r="J265" s="6" t="str">
        <f>IF(ISNA(MATCH(252,Engine!$C$2:$C$1199,0)),"",INDEX('Compliance Database'!$J$2:$J$1199,MATCH(252,Engine!$C$2:$C$1199,0)))</f>
        <v/>
      </c>
      <c r="K265" s="7" t="str">
        <f>IF(ISNA(MATCH(252,Engine!$C$2:$C$1199,0)),"",INDEX('Compliance Database'!$K$2:$K$1199,MATCH(252,Engine!$C$2:$C$1199,0)))</f>
        <v/>
      </c>
      <c r="L265" s="7" t="str">
        <f>IF(ISNA(MATCH(252,Engine!$C$2:$C$1199,0)),"",INDEX('Compliance Database'!$L$2:$L$1199,MATCH(252,Engine!$C$2:$C$1199,0)))</f>
        <v/>
      </c>
      <c r="M265" s="7" t="str">
        <f>IF(ISNA(MATCH(252,Engine!$C$2:$C$1199,0)),"",INDEX('Compliance Database'!$M$2:$M$1199,MATCH(252,Engine!$C$2:$C$1199,0)))</f>
        <v/>
      </c>
      <c r="N265" s="7" t="str">
        <f>IF(ISNA(MATCH(252,Engine!$C$2:$C$1199,0)),"",INDEX('Compliance Database'!$N$2:$N$1199,MATCH(252,Engine!$C$2:$C$1199,0)))</f>
        <v/>
      </c>
      <c r="O265" s="7" t="str">
        <f>IF(ISNA(MATCH(252,Engine!$C$2:$C$1199,0)),"",INDEX('Compliance Database'!$O$2:$O$1199,MATCH(252,Engine!$C$2:$C$1199,0)))</f>
        <v/>
      </c>
      <c r="P265" s="6" t="str">
        <f>IF(ISNA(MATCH(252,Engine!$C$2:$C$1199,0)),"",HYPERLINK("#Acts!A"&amp;INDEX('Compliance Database'!$P$2:$P$1199,MATCH(252,Engine!$C$2:$C$1199,0)),"Go to Act"))</f>
        <v/>
      </c>
    </row>
    <row r="266" spans="1:16" ht="172.95" customHeight="1" x14ac:dyDescent="0.3">
      <c r="A266" s="6" t="str">
        <f>IF(ISNA(MATCH(253,Engine!$C$2:$C$1199,0)),"",INDEX('Compliance Database'!$A$2:$A$1199,MATCH(253,Engine!$C$2:$C$1199,0)))</f>
        <v/>
      </c>
      <c r="B266" s="6" t="str">
        <f>IF(ISNA(MATCH(253,Engine!$C$2:$C$1199,0)),"",INDEX('Compliance Database'!$B$2:$B$1199,MATCH(253,Engine!$C$2:$C$1199,0)))</f>
        <v/>
      </c>
      <c r="C266" s="6" t="str">
        <f>IF(ISNA(MATCH(253,Engine!$C$2:$C$1199,0)),"",INDEX('Compliance Database'!$C$2:$C$1199,MATCH(253,Engine!$C$2:$C$1199,0)))</f>
        <v/>
      </c>
      <c r="D266" s="7" t="str">
        <f>IF(ISNA(MATCH(253,Engine!$C$2:$C$1199,0)),"",INDEX('Compliance Database'!$D$2:$D$1199,MATCH(253,Engine!$C$2:$C$1199,0)))</f>
        <v/>
      </c>
      <c r="E266" s="6" t="str">
        <f>IF(ISNA(MATCH(253,Engine!$C$2:$C$1199,0)),"",INDEX('Compliance Database'!$E$2:$E$1199,MATCH(253,Engine!$C$2:$C$1199,0)))</f>
        <v/>
      </c>
      <c r="F266" s="6" t="str">
        <f>IF(ISNA(MATCH(253,Engine!$C$2:$C$1199,0)),"",INDEX('Compliance Database'!$F$2:$F$1199,MATCH(253,Engine!$C$2:$C$1199,0)))</f>
        <v/>
      </c>
      <c r="G266" s="6" t="str">
        <f>IF(ISNA(MATCH(253,Engine!$C$2:$C$1199,0)),"",INDEX('Compliance Database'!$G$2:$G$1199,MATCH(253,Engine!$C$2:$C$1199,0)))</f>
        <v/>
      </c>
      <c r="H266" s="7" t="str">
        <f>IF(ISNA(MATCH(253,Engine!$C$2:$C$1199,0)),"",INDEX('Compliance Database'!$H$2:$H$1199,MATCH(253,Engine!$C$2:$C$1199,0)))</f>
        <v/>
      </c>
      <c r="I266" s="7" t="str">
        <f>IF(ISNA(MATCH(253,Engine!$C$2:$C$1199,0)),"",INDEX('Compliance Database'!$I$2:$I$1199,MATCH(253,Engine!$C$2:$C$1199,0)))</f>
        <v/>
      </c>
      <c r="J266" s="6" t="str">
        <f>IF(ISNA(MATCH(253,Engine!$C$2:$C$1199,0)),"",INDEX('Compliance Database'!$J$2:$J$1199,MATCH(253,Engine!$C$2:$C$1199,0)))</f>
        <v/>
      </c>
      <c r="K266" s="7" t="str">
        <f>IF(ISNA(MATCH(253,Engine!$C$2:$C$1199,0)),"",INDEX('Compliance Database'!$K$2:$K$1199,MATCH(253,Engine!$C$2:$C$1199,0)))</f>
        <v/>
      </c>
      <c r="L266" s="7" t="str">
        <f>IF(ISNA(MATCH(253,Engine!$C$2:$C$1199,0)),"",INDEX('Compliance Database'!$L$2:$L$1199,MATCH(253,Engine!$C$2:$C$1199,0)))</f>
        <v/>
      </c>
      <c r="M266" s="7" t="str">
        <f>IF(ISNA(MATCH(253,Engine!$C$2:$C$1199,0)),"",INDEX('Compliance Database'!$M$2:$M$1199,MATCH(253,Engine!$C$2:$C$1199,0)))</f>
        <v/>
      </c>
      <c r="N266" s="7" t="str">
        <f>IF(ISNA(MATCH(253,Engine!$C$2:$C$1199,0)),"",INDEX('Compliance Database'!$N$2:$N$1199,MATCH(253,Engine!$C$2:$C$1199,0)))</f>
        <v/>
      </c>
      <c r="O266" s="7" t="str">
        <f>IF(ISNA(MATCH(253,Engine!$C$2:$C$1199,0)),"",INDEX('Compliance Database'!$O$2:$O$1199,MATCH(253,Engine!$C$2:$C$1199,0)))</f>
        <v/>
      </c>
      <c r="P266" s="6" t="str">
        <f>IF(ISNA(MATCH(253,Engine!$C$2:$C$1199,0)),"",HYPERLINK("#Acts!A"&amp;INDEX('Compliance Database'!$P$2:$P$1199,MATCH(253,Engine!$C$2:$C$1199,0)),"Go to Act"))</f>
        <v/>
      </c>
    </row>
    <row r="267" spans="1:16" ht="172.95" customHeight="1" x14ac:dyDescent="0.3">
      <c r="A267" s="6" t="str">
        <f>IF(ISNA(MATCH(254,Engine!$C$2:$C$1199,0)),"",INDEX('Compliance Database'!$A$2:$A$1199,MATCH(254,Engine!$C$2:$C$1199,0)))</f>
        <v/>
      </c>
      <c r="B267" s="6" t="str">
        <f>IF(ISNA(MATCH(254,Engine!$C$2:$C$1199,0)),"",INDEX('Compliance Database'!$B$2:$B$1199,MATCH(254,Engine!$C$2:$C$1199,0)))</f>
        <v/>
      </c>
      <c r="C267" s="6" t="str">
        <f>IF(ISNA(MATCH(254,Engine!$C$2:$C$1199,0)),"",INDEX('Compliance Database'!$C$2:$C$1199,MATCH(254,Engine!$C$2:$C$1199,0)))</f>
        <v/>
      </c>
      <c r="D267" s="7" t="str">
        <f>IF(ISNA(MATCH(254,Engine!$C$2:$C$1199,0)),"",INDEX('Compliance Database'!$D$2:$D$1199,MATCH(254,Engine!$C$2:$C$1199,0)))</f>
        <v/>
      </c>
      <c r="E267" s="6" t="str">
        <f>IF(ISNA(MATCH(254,Engine!$C$2:$C$1199,0)),"",INDEX('Compliance Database'!$E$2:$E$1199,MATCH(254,Engine!$C$2:$C$1199,0)))</f>
        <v/>
      </c>
      <c r="F267" s="6" t="str">
        <f>IF(ISNA(MATCH(254,Engine!$C$2:$C$1199,0)),"",INDEX('Compliance Database'!$F$2:$F$1199,MATCH(254,Engine!$C$2:$C$1199,0)))</f>
        <v/>
      </c>
      <c r="G267" s="6" t="str">
        <f>IF(ISNA(MATCH(254,Engine!$C$2:$C$1199,0)),"",INDEX('Compliance Database'!$G$2:$G$1199,MATCH(254,Engine!$C$2:$C$1199,0)))</f>
        <v/>
      </c>
      <c r="H267" s="7" t="str">
        <f>IF(ISNA(MATCH(254,Engine!$C$2:$C$1199,0)),"",INDEX('Compliance Database'!$H$2:$H$1199,MATCH(254,Engine!$C$2:$C$1199,0)))</f>
        <v/>
      </c>
      <c r="I267" s="7" t="str">
        <f>IF(ISNA(MATCH(254,Engine!$C$2:$C$1199,0)),"",INDEX('Compliance Database'!$I$2:$I$1199,MATCH(254,Engine!$C$2:$C$1199,0)))</f>
        <v/>
      </c>
      <c r="J267" s="6" t="str">
        <f>IF(ISNA(MATCH(254,Engine!$C$2:$C$1199,0)),"",INDEX('Compliance Database'!$J$2:$J$1199,MATCH(254,Engine!$C$2:$C$1199,0)))</f>
        <v/>
      </c>
      <c r="K267" s="7" t="str">
        <f>IF(ISNA(MATCH(254,Engine!$C$2:$C$1199,0)),"",INDEX('Compliance Database'!$K$2:$K$1199,MATCH(254,Engine!$C$2:$C$1199,0)))</f>
        <v/>
      </c>
      <c r="L267" s="7" t="str">
        <f>IF(ISNA(MATCH(254,Engine!$C$2:$C$1199,0)),"",INDEX('Compliance Database'!$L$2:$L$1199,MATCH(254,Engine!$C$2:$C$1199,0)))</f>
        <v/>
      </c>
      <c r="M267" s="7" t="str">
        <f>IF(ISNA(MATCH(254,Engine!$C$2:$C$1199,0)),"",INDEX('Compliance Database'!$M$2:$M$1199,MATCH(254,Engine!$C$2:$C$1199,0)))</f>
        <v/>
      </c>
      <c r="N267" s="7" t="str">
        <f>IF(ISNA(MATCH(254,Engine!$C$2:$C$1199,0)),"",INDEX('Compliance Database'!$N$2:$N$1199,MATCH(254,Engine!$C$2:$C$1199,0)))</f>
        <v/>
      </c>
      <c r="O267" s="7" t="str">
        <f>IF(ISNA(MATCH(254,Engine!$C$2:$C$1199,0)),"",INDEX('Compliance Database'!$O$2:$O$1199,MATCH(254,Engine!$C$2:$C$1199,0)))</f>
        <v/>
      </c>
      <c r="P267" s="6" t="str">
        <f>IF(ISNA(MATCH(254,Engine!$C$2:$C$1199,0)),"",HYPERLINK("#Acts!A"&amp;INDEX('Compliance Database'!$P$2:$P$1199,MATCH(254,Engine!$C$2:$C$1199,0)),"Go to Act"))</f>
        <v/>
      </c>
    </row>
    <row r="268" spans="1:16" ht="172.95" customHeight="1" x14ac:dyDescent="0.3">
      <c r="A268" s="6" t="str">
        <f>IF(ISNA(MATCH(255,Engine!$C$2:$C$1199,0)),"",INDEX('Compliance Database'!$A$2:$A$1199,MATCH(255,Engine!$C$2:$C$1199,0)))</f>
        <v/>
      </c>
      <c r="B268" s="6" t="str">
        <f>IF(ISNA(MATCH(255,Engine!$C$2:$C$1199,0)),"",INDEX('Compliance Database'!$B$2:$B$1199,MATCH(255,Engine!$C$2:$C$1199,0)))</f>
        <v/>
      </c>
      <c r="C268" s="6" t="str">
        <f>IF(ISNA(MATCH(255,Engine!$C$2:$C$1199,0)),"",INDEX('Compliance Database'!$C$2:$C$1199,MATCH(255,Engine!$C$2:$C$1199,0)))</f>
        <v/>
      </c>
      <c r="D268" s="7" t="str">
        <f>IF(ISNA(MATCH(255,Engine!$C$2:$C$1199,0)),"",INDEX('Compliance Database'!$D$2:$D$1199,MATCH(255,Engine!$C$2:$C$1199,0)))</f>
        <v/>
      </c>
      <c r="E268" s="6" t="str">
        <f>IF(ISNA(MATCH(255,Engine!$C$2:$C$1199,0)),"",INDEX('Compliance Database'!$E$2:$E$1199,MATCH(255,Engine!$C$2:$C$1199,0)))</f>
        <v/>
      </c>
      <c r="F268" s="6" t="str">
        <f>IF(ISNA(MATCH(255,Engine!$C$2:$C$1199,0)),"",INDEX('Compliance Database'!$F$2:$F$1199,MATCH(255,Engine!$C$2:$C$1199,0)))</f>
        <v/>
      </c>
      <c r="G268" s="6" t="str">
        <f>IF(ISNA(MATCH(255,Engine!$C$2:$C$1199,0)),"",INDEX('Compliance Database'!$G$2:$G$1199,MATCH(255,Engine!$C$2:$C$1199,0)))</f>
        <v/>
      </c>
      <c r="H268" s="7" t="str">
        <f>IF(ISNA(MATCH(255,Engine!$C$2:$C$1199,0)),"",INDEX('Compliance Database'!$H$2:$H$1199,MATCH(255,Engine!$C$2:$C$1199,0)))</f>
        <v/>
      </c>
      <c r="I268" s="7" t="str">
        <f>IF(ISNA(MATCH(255,Engine!$C$2:$C$1199,0)),"",INDEX('Compliance Database'!$I$2:$I$1199,MATCH(255,Engine!$C$2:$C$1199,0)))</f>
        <v/>
      </c>
      <c r="J268" s="6" t="str">
        <f>IF(ISNA(MATCH(255,Engine!$C$2:$C$1199,0)),"",INDEX('Compliance Database'!$J$2:$J$1199,MATCH(255,Engine!$C$2:$C$1199,0)))</f>
        <v/>
      </c>
      <c r="K268" s="7" t="str">
        <f>IF(ISNA(MATCH(255,Engine!$C$2:$C$1199,0)),"",INDEX('Compliance Database'!$K$2:$K$1199,MATCH(255,Engine!$C$2:$C$1199,0)))</f>
        <v/>
      </c>
      <c r="L268" s="7" t="str">
        <f>IF(ISNA(MATCH(255,Engine!$C$2:$C$1199,0)),"",INDEX('Compliance Database'!$L$2:$L$1199,MATCH(255,Engine!$C$2:$C$1199,0)))</f>
        <v/>
      </c>
      <c r="M268" s="7" t="str">
        <f>IF(ISNA(MATCH(255,Engine!$C$2:$C$1199,0)),"",INDEX('Compliance Database'!$M$2:$M$1199,MATCH(255,Engine!$C$2:$C$1199,0)))</f>
        <v/>
      </c>
      <c r="N268" s="7" t="str">
        <f>IF(ISNA(MATCH(255,Engine!$C$2:$C$1199,0)),"",INDEX('Compliance Database'!$N$2:$N$1199,MATCH(255,Engine!$C$2:$C$1199,0)))</f>
        <v/>
      </c>
      <c r="O268" s="7" t="str">
        <f>IF(ISNA(MATCH(255,Engine!$C$2:$C$1199,0)),"",INDEX('Compliance Database'!$O$2:$O$1199,MATCH(255,Engine!$C$2:$C$1199,0)))</f>
        <v/>
      </c>
      <c r="P268" s="6" t="str">
        <f>IF(ISNA(MATCH(255,Engine!$C$2:$C$1199,0)),"",HYPERLINK("#Acts!A"&amp;INDEX('Compliance Database'!$P$2:$P$1199,MATCH(255,Engine!$C$2:$C$1199,0)),"Go to Act"))</f>
        <v/>
      </c>
    </row>
    <row r="269" spans="1:16" ht="172.95" customHeight="1" x14ac:dyDescent="0.3">
      <c r="A269" s="6" t="str">
        <f>IF(ISNA(MATCH(256,Engine!$C$2:$C$1199,0)),"",INDEX('Compliance Database'!$A$2:$A$1199,MATCH(256,Engine!$C$2:$C$1199,0)))</f>
        <v/>
      </c>
      <c r="B269" s="6" t="str">
        <f>IF(ISNA(MATCH(256,Engine!$C$2:$C$1199,0)),"",INDEX('Compliance Database'!$B$2:$B$1199,MATCH(256,Engine!$C$2:$C$1199,0)))</f>
        <v/>
      </c>
      <c r="C269" s="6" t="str">
        <f>IF(ISNA(MATCH(256,Engine!$C$2:$C$1199,0)),"",INDEX('Compliance Database'!$C$2:$C$1199,MATCH(256,Engine!$C$2:$C$1199,0)))</f>
        <v/>
      </c>
      <c r="D269" s="7" t="str">
        <f>IF(ISNA(MATCH(256,Engine!$C$2:$C$1199,0)),"",INDEX('Compliance Database'!$D$2:$D$1199,MATCH(256,Engine!$C$2:$C$1199,0)))</f>
        <v/>
      </c>
      <c r="E269" s="6" t="str">
        <f>IF(ISNA(MATCH(256,Engine!$C$2:$C$1199,0)),"",INDEX('Compliance Database'!$E$2:$E$1199,MATCH(256,Engine!$C$2:$C$1199,0)))</f>
        <v/>
      </c>
      <c r="F269" s="6" t="str">
        <f>IF(ISNA(MATCH(256,Engine!$C$2:$C$1199,0)),"",INDEX('Compliance Database'!$F$2:$F$1199,MATCH(256,Engine!$C$2:$C$1199,0)))</f>
        <v/>
      </c>
      <c r="G269" s="6" t="str">
        <f>IF(ISNA(MATCH(256,Engine!$C$2:$C$1199,0)),"",INDEX('Compliance Database'!$G$2:$G$1199,MATCH(256,Engine!$C$2:$C$1199,0)))</f>
        <v/>
      </c>
      <c r="H269" s="7" t="str">
        <f>IF(ISNA(MATCH(256,Engine!$C$2:$C$1199,0)),"",INDEX('Compliance Database'!$H$2:$H$1199,MATCH(256,Engine!$C$2:$C$1199,0)))</f>
        <v/>
      </c>
      <c r="I269" s="7" t="str">
        <f>IF(ISNA(MATCH(256,Engine!$C$2:$C$1199,0)),"",INDEX('Compliance Database'!$I$2:$I$1199,MATCH(256,Engine!$C$2:$C$1199,0)))</f>
        <v/>
      </c>
      <c r="J269" s="6" t="str">
        <f>IF(ISNA(MATCH(256,Engine!$C$2:$C$1199,0)),"",INDEX('Compliance Database'!$J$2:$J$1199,MATCH(256,Engine!$C$2:$C$1199,0)))</f>
        <v/>
      </c>
      <c r="K269" s="7" t="str">
        <f>IF(ISNA(MATCH(256,Engine!$C$2:$C$1199,0)),"",INDEX('Compliance Database'!$K$2:$K$1199,MATCH(256,Engine!$C$2:$C$1199,0)))</f>
        <v/>
      </c>
      <c r="L269" s="7" t="str">
        <f>IF(ISNA(MATCH(256,Engine!$C$2:$C$1199,0)),"",INDEX('Compliance Database'!$L$2:$L$1199,MATCH(256,Engine!$C$2:$C$1199,0)))</f>
        <v/>
      </c>
      <c r="M269" s="7" t="str">
        <f>IF(ISNA(MATCH(256,Engine!$C$2:$C$1199,0)),"",INDEX('Compliance Database'!$M$2:$M$1199,MATCH(256,Engine!$C$2:$C$1199,0)))</f>
        <v/>
      </c>
      <c r="N269" s="7" t="str">
        <f>IF(ISNA(MATCH(256,Engine!$C$2:$C$1199,0)),"",INDEX('Compliance Database'!$N$2:$N$1199,MATCH(256,Engine!$C$2:$C$1199,0)))</f>
        <v/>
      </c>
      <c r="O269" s="7" t="str">
        <f>IF(ISNA(MATCH(256,Engine!$C$2:$C$1199,0)),"",INDEX('Compliance Database'!$O$2:$O$1199,MATCH(256,Engine!$C$2:$C$1199,0)))</f>
        <v/>
      </c>
      <c r="P269" s="6" t="str">
        <f>IF(ISNA(MATCH(256,Engine!$C$2:$C$1199,0)),"",HYPERLINK("#Acts!A"&amp;INDEX('Compliance Database'!$P$2:$P$1199,MATCH(256,Engine!$C$2:$C$1199,0)),"Go to Act"))</f>
        <v/>
      </c>
    </row>
    <row r="270" spans="1:16" ht="172.95" customHeight="1" x14ac:dyDescent="0.3">
      <c r="A270" s="6" t="str">
        <f>IF(ISNA(MATCH(257,Engine!$C$2:$C$1199,0)),"",INDEX('Compliance Database'!$A$2:$A$1199,MATCH(257,Engine!$C$2:$C$1199,0)))</f>
        <v/>
      </c>
      <c r="B270" s="6" t="str">
        <f>IF(ISNA(MATCH(257,Engine!$C$2:$C$1199,0)),"",INDEX('Compliance Database'!$B$2:$B$1199,MATCH(257,Engine!$C$2:$C$1199,0)))</f>
        <v/>
      </c>
      <c r="C270" s="6" t="str">
        <f>IF(ISNA(MATCH(257,Engine!$C$2:$C$1199,0)),"",INDEX('Compliance Database'!$C$2:$C$1199,MATCH(257,Engine!$C$2:$C$1199,0)))</f>
        <v/>
      </c>
      <c r="D270" s="7" t="str">
        <f>IF(ISNA(MATCH(257,Engine!$C$2:$C$1199,0)),"",INDEX('Compliance Database'!$D$2:$D$1199,MATCH(257,Engine!$C$2:$C$1199,0)))</f>
        <v/>
      </c>
      <c r="E270" s="6" t="str">
        <f>IF(ISNA(MATCH(257,Engine!$C$2:$C$1199,0)),"",INDEX('Compliance Database'!$E$2:$E$1199,MATCH(257,Engine!$C$2:$C$1199,0)))</f>
        <v/>
      </c>
      <c r="F270" s="6" t="str">
        <f>IF(ISNA(MATCH(257,Engine!$C$2:$C$1199,0)),"",INDEX('Compliance Database'!$F$2:$F$1199,MATCH(257,Engine!$C$2:$C$1199,0)))</f>
        <v/>
      </c>
      <c r="G270" s="6" t="str">
        <f>IF(ISNA(MATCH(257,Engine!$C$2:$C$1199,0)),"",INDEX('Compliance Database'!$G$2:$G$1199,MATCH(257,Engine!$C$2:$C$1199,0)))</f>
        <v/>
      </c>
      <c r="H270" s="7" t="str">
        <f>IF(ISNA(MATCH(257,Engine!$C$2:$C$1199,0)),"",INDEX('Compliance Database'!$H$2:$H$1199,MATCH(257,Engine!$C$2:$C$1199,0)))</f>
        <v/>
      </c>
      <c r="I270" s="7" t="str">
        <f>IF(ISNA(MATCH(257,Engine!$C$2:$C$1199,0)),"",INDEX('Compliance Database'!$I$2:$I$1199,MATCH(257,Engine!$C$2:$C$1199,0)))</f>
        <v/>
      </c>
      <c r="J270" s="6" t="str">
        <f>IF(ISNA(MATCH(257,Engine!$C$2:$C$1199,0)),"",INDEX('Compliance Database'!$J$2:$J$1199,MATCH(257,Engine!$C$2:$C$1199,0)))</f>
        <v/>
      </c>
      <c r="K270" s="7" t="str">
        <f>IF(ISNA(MATCH(257,Engine!$C$2:$C$1199,0)),"",INDEX('Compliance Database'!$K$2:$K$1199,MATCH(257,Engine!$C$2:$C$1199,0)))</f>
        <v/>
      </c>
      <c r="L270" s="7" t="str">
        <f>IF(ISNA(MATCH(257,Engine!$C$2:$C$1199,0)),"",INDEX('Compliance Database'!$L$2:$L$1199,MATCH(257,Engine!$C$2:$C$1199,0)))</f>
        <v/>
      </c>
      <c r="M270" s="7" t="str">
        <f>IF(ISNA(MATCH(257,Engine!$C$2:$C$1199,0)),"",INDEX('Compliance Database'!$M$2:$M$1199,MATCH(257,Engine!$C$2:$C$1199,0)))</f>
        <v/>
      </c>
      <c r="N270" s="7" t="str">
        <f>IF(ISNA(MATCH(257,Engine!$C$2:$C$1199,0)),"",INDEX('Compliance Database'!$N$2:$N$1199,MATCH(257,Engine!$C$2:$C$1199,0)))</f>
        <v/>
      </c>
      <c r="O270" s="7" t="str">
        <f>IF(ISNA(MATCH(257,Engine!$C$2:$C$1199,0)),"",INDEX('Compliance Database'!$O$2:$O$1199,MATCH(257,Engine!$C$2:$C$1199,0)))</f>
        <v/>
      </c>
      <c r="P270" s="6" t="str">
        <f>IF(ISNA(MATCH(257,Engine!$C$2:$C$1199,0)),"",HYPERLINK("#Acts!A"&amp;INDEX('Compliance Database'!$P$2:$P$1199,MATCH(257,Engine!$C$2:$C$1199,0)),"Go to Act"))</f>
        <v/>
      </c>
    </row>
    <row r="271" spans="1:16" ht="172.95" customHeight="1" x14ac:dyDescent="0.3">
      <c r="A271" s="6" t="str">
        <f>IF(ISNA(MATCH(258,Engine!$C$2:$C$1199,0)),"",INDEX('Compliance Database'!$A$2:$A$1199,MATCH(258,Engine!$C$2:$C$1199,0)))</f>
        <v/>
      </c>
      <c r="B271" s="6" t="str">
        <f>IF(ISNA(MATCH(258,Engine!$C$2:$C$1199,0)),"",INDEX('Compliance Database'!$B$2:$B$1199,MATCH(258,Engine!$C$2:$C$1199,0)))</f>
        <v/>
      </c>
      <c r="C271" s="6" t="str">
        <f>IF(ISNA(MATCH(258,Engine!$C$2:$C$1199,0)),"",INDEX('Compliance Database'!$C$2:$C$1199,MATCH(258,Engine!$C$2:$C$1199,0)))</f>
        <v/>
      </c>
      <c r="D271" s="7" t="str">
        <f>IF(ISNA(MATCH(258,Engine!$C$2:$C$1199,0)),"",INDEX('Compliance Database'!$D$2:$D$1199,MATCH(258,Engine!$C$2:$C$1199,0)))</f>
        <v/>
      </c>
      <c r="E271" s="6" t="str">
        <f>IF(ISNA(MATCH(258,Engine!$C$2:$C$1199,0)),"",INDEX('Compliance Database'!$E$2:$E$1199,MATCH(258,Engine!$C$2:$C$1199,0)))</f>
        <v/>
      </c>
      <c r="F271" s="6" t="str">
        <f>IF(ISNA(MATCH(258,Engine!$C$2:$C$1199,0)),"",INDEX('Compliance Database'!$F$2:$F$1199,MATCH(258,Engine!$C$2:$C$1199,0)))</f>
        <v/>
      </c>
      <c r="G271" s="6" t="str">
        <f>IF(ISNA(MATCH(258,Engine!$C$2:$C$1199,0)),"",INDEX('Compliance Database'!$G$2:$G$1199,MATCH(258,Engine!$C$2:$C$1199,0)))</f>
        <v/>
      </c>
      <c r="H271" s="7" t="str">
        <f>IF(ISNA(MATCH(258,Engine!$C$2:$C$1199,0)),"",INDEX('Compliance Database'!$H$2:$H$1199,MATCH(258,Engine!$C$2:$C$1199,0)))</f>
        <v/>
      </c>
      <c r="I271" s="7" t="str">
        <f>IF(ISNA(MATCH(258,Engine!$C$2:$C$1199,0)),"",INDEX('Compliance Database'!$I$2:$I$1199,MATCH(258,Engine!$C$2:$C$1199,0)))</f>
        <v/>
      </c>
      <c r="J271" s="6" t="str">
        <f>IF(ISNA(MATCH(258,Engine!$C$2:$C$1199,0)),"",INDEX('Compliance Database'!$J$2:$J$1199,MATCH(258,Engine!$C$2:$C$1199,0)))</f>
        <v/>
      </c>
      <c r="K271" s="7" t="str">
        <f>IF(ISNA(MATCH(258,Engine!$C$2:$C$1199,0)),"",INDEX('Compliance Database'!$K$2:$K$1199,MATCH(258,Engine!$C$2:$C$1199,0)))</f>
        <v/>
      </c>
      <c r="L271" s="7" t="str">
        <f>IF(ISNA(MATCH(258,Engine!$C$2:$C$1199,0)),"",INDEX('Compliance Database'!$L$2:$L$1199,MATCH(258,Engine!$C$2:$C$1199,0)))</f>
        <v/>
      </c>
      <c r="M271" s="7" t="str">
        <f>IF(ISNA(MATCH(258,Engine!$C$2:$C$1199,0)),"",INDEX('Compliance Database'!$M$2:$M$1199,MATCH(258,Engine!$C$2:$C$1199,0)))</f>
        <v/>
      </c>
      <c r="N271" s="7" t="str">
        <f>IF(ISNA(MATCH(258,Engine!$C$2:$C$1199,0)),"",INDEX('Compliance Database'!$N$2:$N$1199,MATCH(258,Engine!$C$2:$C$1199,0)))</f>
        <v/>
      </c>
      <c r="O271" s="7" t="str">
        <f>IF(ISNA(MATCH(258,Engine!$C$2:$C$1199,0)),"",INDEX('Compliance Database'!$O$2:$O$1199,MATCH(258,Engine!$C$2:$C$1199,0)))</f>
        <v/>
      </c>
      <c r="P271" s="6" t="str">
        <f>IF(ISNA(MATCH(258,Engine!$C$2:$C$1199,0)),"",HYPERLINK("#Acts!A"&amp;INDEX('Compliance Database'!$P$2:$P$1199,MATCH(258,Engine!$C$2:$C$1199,0)),"Go to Act"))</f>
        <v/>
      </c>
    </row>
    <row r="272" spans="1:16" ht="172.95" customHeight="1" x14ac:dyDescent="0.3">
      <c r="A272" s="6" t="str">
        <f>IF(ISNA(MATCH(259,Engine!$C$2:$C$1199,0)),"",INDEX('Compliance Database'!$A$2:$A$1199,MATCH(259,Engine!$C$2:$C$1199,0)))</f>
        <v/>
      </c>
      <c r="B272" s="6" t="str">
        <f>IF(ISNA(MATCH(259,Engine!$C$2:$C$1199,0)),"",INDEX('Compliance Database'!$B$2:$B$1199,MATCH(259,Engine!$C$2:$C$1199,0)))</f>
        <v/>
      </c>
      <c r="C272" s="6" t="str">
        <f>IF(ISNA(MATCH(259,Engine!$C$2:$C$1199,0)),"",INDEX('Compliance Database'!$C$2:$C$1199,MATCH(259,Engine!$C$2:$C$1199,0)))</f>
        <v/>
      </c>
      <c r="D272" s="7" t="str">
        <f>IF(ISNA(MATCH(259,Engine!$C$2:$C$1199,0)),"",INDEX('Compliance Database'!$D$2:$D$1199,MATCH(259,Engine!$C$2:$C$1199,0)))</f>
        <v/>
      </c>
      <c r="E272" s="6" t="str">
        <f>IF(ISNA(MATCH(259,Engine!$C$2:$C$1199,0)),"",INDEX('Compliance Database'!$E$2:$E$1199,MATCH(259,Engine!$C$2:$C$1199,0)))</f>
        <v/>
      </c>
      <c r="F272" s="6" t="str">
        <f>IF(ISNA(MATCH(259,Engine!$C$2:$C$1199,0)),"",INDEX('Compliance Database'!$F$2:$F$1199,MATCH(259,Engine!$C$2:$C$1199,0)))</f>
        <v/>
      </c>
      <c r="G272" s="6" t="str">
        <f>IF(ISNA(MATCH(259,Engine!$C$2:$C$1199,0)),"",INDEX('Compliance Database'!$G$2:$G$1199,MATCH(259,Engine!$C$2:$C$1199,0)))</f>
        <v/>
      </c>
      <c r="H272" s="7" t="str">
        <f>IF(ISNA(MATCH(259,Engine!$C$2:$C$1199,0)),"",INDEX('Compliance Database'!$H$2:$H$1199,MATCH(259,Engine!$C$2:$C$1199,0)))</f>
        <v/>
      </c>
      <c r="I272" s="7" t="str">
        <f>IF(ISNA(MATCH(259,Engine!$C$2:$C$1199,0)),"",INDEX('Compliance Database'!$I$2:$I$1199,MATCH(259,Engine!$C$2:$C$1199,0)))</f>
        <v/>
      </c>
      <c r="J272" s="6" t="str">
        <f>IF(ISNA(MATCH(259,Engine!$C$2:$C$1199,0)),"",INDEX('Compliance Database'!$J$2:$J$1199,MATCH(259,Engine!$C$2:$C$1199,0)))</f>
        <v/>
      </c>
      <c r="K272" s="7" t="str">
        <f>IF(ISNA(MATCH(259,Engine!$C$2:$C$1199,0)),"",INDEX('Compliance Database'!$K$2:$K$1199,MATCH(259,Engine!$C$2:$C$1199,0)))</f>
        <v/>
      </c>
      <c r="L272" s="7" t="str">
        <f>IF(ISNA(MATCH(259,Engine!$C$2:$C$1199,0)),"",INDEX('Compliance Database'!$L$2:$L$1199,MATCH(259,Engine!$C$2:$C$1199,0)))</f>
        <v/>
      </c>
      <c r="M272" s="7" t="str">
        <f>IF(ISNA(MATCH(259,Engine!$C$2:$C$1199,0)),"",INDEX('Compliance Database'!$M$2:$M$1199,MATCH(259,Engine!$C$2:$C$1199,0)))</f>
        <v/>
      </c>
      <c r="N272" s="7" t="str">
        <f>IF(ISNA(MATCH(259,Engine!$C$2:$C$1199,0)),"",INDEX('Compliance Database'!$N$2:$N$1199,MATCH(259,Engine!$C$2:$C$1199,0)))</f>
        <v/>
      </c>
      <c r="O272" s="7" t="str">
        <f>IF(ISNA(MATCH(259,Engine!$C$2:$C$1199,0)),"",INDEX('Compliance Database'!$O$2:$O$1199,MATCH(259,Engine!$C$2:$C$1199,0)))</f>
        <v/>
      </c>
      <c r="P272" s="6" t="str">
        <f>IF(ISNA(MATCH(259,Engine!$C$2:$C$1199,0)),"",HYPERLINK("#Acts!A"&amp;INDEX('Compliance Database'!$P$2:$P$1199,MATCH(259,Engine!$C$2:$C$1199,0)),"Go to Act"))</f>
        <v/>
      </c>
    </row>
    <row r="273" spans="1:16" ht="172.95" customHeight="1" x14ac:dyDescent="0.3">
      <c r="A273" s="6" t="str">
        <f>IF(ISNA(MATCH(260,Engine!$C$2:$C$1199,0)),"",INDEX('Compliance Database'!$A$2:$A$1199,MATCH(260,Engine!$C$2:$C$1199,0)))</f>
        <v/>
      </c>
      <c r="B273" s="6" t="str">
        <f>IF(ISNA(MATCH(260,Engine!$C$2:$C$1199,0)),"",INDEX('Compliance Database'!$B$2:$B$1199,MATCH(260,Engine!$C$2:$C$1199,0)))</f>
        <v/>
      </c>
      <c r="C273" s="6" t="str">
        <f>IF(ISNA(MATCH(260,Engine!$C$2:$C$1199,0)),"",INDEX('Compliance Database'!$C$2:$C$1199,MATCH(260,Engine!$C$2:$C$1199,0)))</f>
        <v/>
      </c>
      <c r="D273" s="7" t="str">
        <f>IF(ISNA(MATCH(260,Engine!$C$2:$C$1199,0)),"",INDEX('Compliance Database'!$D$2:$D$1199,MATCH(260,Engine!$C$2:$C$1199,0)))</f>
        <v/>
      </c>
      <c r="E273" s="6" t="str">
        <f>IF(ISNA(MATCH(260,Engine!$C$2:$C$1199,0)),"",INDEX('Compliance Database'!$E$2:$E$1199,MATCH(260,Engine!$C$2:$C$1199,0)))</f>
        <v/>
      </c>
      <c r="F273" s="6" t="str">
        <f>IF(ISNA(MATCH(260,Engine!$C$2:$C$1199,0)),"",INDEX('Compliance Database'!$F$2:$F$1199,MATCH(260,Engine!$C$2:$C$1199,0)))</f>
        <v/>
      </c>
      <c r="G273" s="6" t="str">
        <f>IF(ISNA(MATCH(260,Engine!$C$2:$C$1199,0)),"",INDEX('Compliance Database'!$G$2:$G$1199,MATCH(260,Engine!$C$2:$C$1199,0)))</f>
        <v/>
      </c>
      <c r="H273" s="7" t="str">
        <f>IF(ISNA(MATCH(260,Engine!$C$2:$C$1199,0)),"",INDEX('Compliance Database'!$H$2:$H$1199,MATCH(260,Engine!$C$2:$C$1199,0)))</f>
        <v/>
      </c>
      <c r="I273" s="7" t="str">
        <f>IF(ISNA(MATCH(260,Engine!$C$2:$C$1199,0)),"",INDEX('Compliance Database'!$I$2:$I$1199,MATCH(260,Engine!$C$2:$C$1199,0)))</f>
        <v/>
      </c>
      <c r="J273" s="6" t="str">
        <f>IF(ISNA(MATCH(260,Engine!$C$2:$C$1199,0)),"",INDEX('Compliance Database'!$J$2:$J$1199,MATCH(260,Engine!$C$2:$C$1199,0)))</f>
        <v/>
      </c>
      <c r="K273" s="7" t="str">
        <f>IF(ISNA(MATCH(260,Engine!$C$2:$C$1199,0)),"",INDEX('Compliance Database'!$K$2:$K$1199,MATCH(260,Engine!$C$2:$C$1199,0)))</f>
        <v/>
      </c>
      <c r="L273" s="7" t="str">
        <f>IF(ISNA(MATCH(260,Engine!$C$2:$C$1199,0)),"",INDEX('Compliance Database'!$L$2:$L$1199,MATCH(260,Engine!$C$2:$C$1199,0)))</f>
        <v/>
      </c>
      <c r="M273" s="7" t="str">
        <f>IF(ISNA(MATCH(260,Engine!$C$2:$C$1199,0)),"",INDEX('Compliance Database'!$M$2:$M$1199,MATCH(260,Engine!$C$2:$C$1199,0)))</f>
        <v/>
      </c>
      <c r="N273" s="7" t="str">
        <f>IF(ISNA(MATCH(260,Engine!$C$2:$C$1199,0)),"",INDEX('Compliance Database'!$N$2:$N$1199,MATCH(260,Engine!$C$2:$C$1199,0)))</f>
        <v/>
      </c>
      <c r="O273" s="7" t="str">
        <f>IF(ISNA(MATCH(260,Engine!$C$2:$C$1199,0)),"",INDEX('Compliance Database'!$O$2:$O$1199,MATCH(260,Engine!$C$2:$C$1199,0)))</f>
        <v/>
      </c>
      <c r="P273" s="6" t="str">
        <f>IF(ISNA(MATCH(260,Engine!$C$2:$C$1199,0)),"",HYPERLINK("#Acts!A"&amp;INDEX('Compliance Database'!$P$2:$P$1199,MATCH(260,Engine!$C$2:$C$1199,0)),"Go to Act"))</f>
        <v/>
      </c>
    </row>
    <row r="274" spans="1:16" ht="172.95" customHeight="1" x14ac:dyDescent="0.3">
      <c r="A274" s="6" t="str">
        <f>IF(ISNA(MATCH(261,Engine!$C$2:$C$1199,0)),"",INDEX('Compliance Database'!$A$2:$A$1199,MATCH(261,Engine!$C$2:$C$1199,0)))</f>
        <v/>
      </c>
      <c r="B274" s="6" t="str">
        <f>IF(ISNA(MATCH(261,Engine!$C$2:$C$1199,0)),"",INDEX('Compliance Database'!$B$2:$B$1199,MATCH(261,Engine!$C$2:$C$1199,0)))</f>
        <v/>
      </c>
      <c r="C274" s="6" t="str">
        <f>IF(ISNA(MATCH(261,Engine!$C$2:$C$1199,0)),"",INDEX('Compliance Database'!$C$2:$C$1199,MATCH(261,Engine!$C$2:$C$1199,0)))</f>
        <v/>
      </c>
      <c r="D274" s="7" t="str">
        <f>IF(ISNA(MATCH(261,Engine!$C$2:$C$1199,0)),"",INDEX('Compliance Database'!$D$2:$D$1199,MATCH(261,Engine!$C$2:$C$1199,0)))</f>
        <v/>
      </c>
      <c r="E274" s="6" t="str">
        <f>IF(ISNA(MATCH(261,Engine!$C$2:$C$1199,0)),"",INDEX('Compliance Database'!$E$2:$E$1199,MATCH(261,Engine!$C$2:$C$1199,0)))</f>
        <v/>
      </c>
      <c r="F274" s="6" t="str">
        <f>IF(ISNA(MATCH(261,Engine!$C$2:$C$1199,0)),"",INDEX('Compliance Database'!$F$2:$F$1199,MATCH(261,Engine!$C$2:$C$1199,0)))</f>
        <v/>
      </c>
      <c r="G274" s="6" t="str">
        <f>IF(ISNA(MATCH(261,Engine!$C$2:$C$1199,0)),"",INDEX('Compliance Database'!$G$2:$G$1199,MATCH(261,Engine!$C$2:$C$1199,0)))</f>
        <v/>
      </c>
      <c r="H274" s="7" t="str">
        <f>IF(ISNA(MATCH(261,Engine!$C$2:$C$1199,0)),"",INDEX('Compliance Database'!$H$2:$H$1199,MATCH(261,Engine!$C$2:$C$1199,0)))</f>
        <v/>
      </c>
      <c r="I274" s="7" t="str">
        <f>IF(ISNA(MATCH(261,Engine!$C$2:$C$1199,0)),"",INDEX('Compliance Database'!$I$2:$I$1199,MATCH(261,Engine!$C$2:$C$1199,0)))</f>
        <v/>
      </c>
      <c r="J274" s="6" t="str">
        <f>IF(ISNA(MATCH(261,Engine!$C$2:$C$1199,0)),"",INDEX('Compliance Database'!$J$2:$J$1199,MATCH(261,Engine!$C$2:$C$1199,0)))</f>
        <v/>
      </c>
      <c r="K274" s="7" t="str">
        <f>IF(ISNA(MATCH(261,Engine!$C$2:$C$1199,0)),"",INDEX('Compliance Database'!$K$2:$K$1199,MATCH(261,Engine!$C$2:$C$1199,0)))</f>
        <v/>
      </c>
      <c r="L274" s="7" t="str">
        <f>IF(ISNA(MATCH(261,Engine!$C$2:$C$1199,0)),"",INDEX('Compliance Database'!$L$2:$L$1199,MATCH(261,Engine!$C$2:$C$1199,0)))</f>
        <v/>
      </c>
      <c r="M274" s="7" t="str">
        <f>IF(ISNA(MATCH(261,Engine!$C$2:$C$1199,0)),"",INDEX('Compliance Database'!$M$2:$M$1199,MATCH(261,Engine!$C$2:$C$1199,0)))</f>
        <v/>
      </c>
      <c r="N274" s="7" t="str">
        <f>IF(ISNA(MATCH(261,Engine!$C$2:$C$1199,0)),"",INDEX('Compliance Database'!$N$2:$N$1199,MATCH(261,Engine!$C$2:$C$1199,0)))</f>
        <v/>
      </c>
      <c r="O274" s="7" t="str">
        <f>IF(ISNA(MATCH(261,Engine!$C$2:$C$1199,0)),"",INDEX('Compliance Database'!$O$2:$O$1199,MATCH(261,Engine!$C$2:$C$1199,0)))</f>
        <v/>
      </c>
      <c r="P274" s="6" t="str">
        <f>IF(ISNA(MATCH(261,Engine!$C$2:$C$1199,0)),"",HYPERLINK("#Acts!A"&amp;INDEX('Compliance Database'!$P$2:$P$1199,MATCH(261,Engine!$C$2:$C$1199,0)),"Go to Act"))</f>
        <v/>
      </c>
    </row>
    <row r="275" spans="1:16" ht="172.95" customHeight="1" x14ac:dyDescent="0.3">
      <c r="A275" s="6" t="str">
        <f>IF(ISNA(MATCH(262,Engine!$C$2:$C$1199,0)),"",INDEX('Compliance Database'!$A$2:$A$1199,MATCH(262,Engine!$C$2:$C$1199,0)))</f>
        <v/>
      </c>
      <c r="B275" s="6" t="str">
        <f>IF(ISNA(MATCH(262,Engine!$C$2:$C$1199,0)),"",INDEX('Compliance Database'!$B$2:$B$1199,MATCH(262,Engine!$C$2:$C$1199,0)))</f>
        <v/>
      </c>
      <c r="C275" s="6" t="str">
        <f>IF(ISNA(MATCH(262,Engine!$C$2:$C$1199,0)),"",INDEX('Compliance Database'!$C$2:$C$1199,MATCH(262,Engine!$C$2:$C$1199,0)))</f>
        <v/>
      </c>
      <c r="D275" s="7" t="str">
        <f>IF(ISNA(MATCH(262,Engine!$C$2:$C$1199,0)),"",INDEX('Compliance Database'!$D$2:$D$1199,MATCH(262,Engine!$C$2:$C$1199,0)))</f>
        <v/>
      </c>
      <c r="E275" s="6" t="str">
        <f>IF(ISNA(MATCH(262,Engine!$C$2:$C$1199,0)),"",INDEX('Compliance Database'!$E$2:$E$1199,MATCH(262,Engine!$C$2:$C$1199,0)))</f>
        <v/>
      </c>
      <c r="F275" s="6" t="str">
        <f>IF(ISNA(MATCH(262,Engine!$C$2:$C$1199,0)),"",INDEX('Compliance Database'!$F$2:$F$1199,MATCH(262,Engine!$C$2:$C$1199,0)))</f>
        <v/>
      </c>
      <c r="G275" s="6" t="str">
        <f>IF(ISNA(MATCH(262,Engine!$C$2:$C$1199,0)),"",INDEX('Compliance Database'!$G$2:$G$1199,MATCH(262,Engine!$C$2:$C$1199,0)))</f>
        <v/>
      </c>
      <c r="H275" s="7" t="str">
        <f>IF(ISNA(MATCH(262,Engine!$C$2:$C$1199,0)),"",INDEX('Compliance Database'!$H$2:$H$1199,MATCH(262,Engine!$C$2:$C$1199,0)))</f>
        <v/>
      </c>
      <c r="I275" s="7" t="str">
        <f>IF(ISNA(MATCH(262,Engine!$C$2:$C$1199,0)),"",INDEX('Compliance Database'!$I$2:$I$1199,MATCH(262,Engine!$C$2:$C$1199,0)))</f>
        <v/>
      </c>
      <c r="J275" s="6" t="str">
        <f>IF(ISNA(MATCH(262,Engine!$C$2:$C$1199,0)),"",INDEX('Compliance Database'!$J$2:$J$1199,MATCH(262,Engine!$C$2:$C$1199,0)))</f>
        <v/>
      </c>
      <c r="K275" s="7" t="str">
        <f>IF(ISNA(MATCH(262,Engine!$C$2:$C$1199,0)),"",INDEX('Compliance Database'!$K$2:$K$1199,MATCH(262,Engine!$C$2:$C$1199,0)))</f>
        <v/>
      </c>
      <c r="L275" s="7" t="str">
        <f>IF(ISNA(MATCH(262,Engine!$C$2:$C$1199,0)),"",INDEX('Compliance Database'!$L$2:$L$1199,MATCH(262,Engine!$C$2:$C$1199,0)))</f>
        <v/>
      </c>
      <c r="M275" s="7" t="str">
        <f>IF(ISNA(MATCH(262,Engine!$C$2:$C$1199,0)),"",INDEX('Compliance Database'!$M$2:$M$1199,MATCH(262,Engine!$C$2:$C$1199,0)))</f>
        <v/>
      </c>
      <c r="N275" s="7" t="str">
        <f>IF(ISNA(MATCH(262,Engine!$C$2:$C$1199,0)),"",INDEX('Compliance Database'!$N$2:$N$1199,MATCH(262,Engine!$C$2:$C$1199,0)))</f>
        <v/>
      </c>
      <c r="O275" s="7" t="str">
        <f>IF(ISNA(MATCH(262,Engine!$C$2:$C$1199,0)),"",INDEX('Compliance Database'!$O$2:$O$1199,MATCH(262,Engine!$C$2:$C$1199,0)))</f>
        <v/>
      </c>
      <c r="P275" s="6" t="str">
        <f>IF(ISNA(MATCH(262,Engine!$C$2:$C$1199,0)),"",HYPERLINK("#Acts!A"&amp;INDEX('Compliance Database'!$P$2:$P$1199,MATCH(262,Engine!$C$2:$C$1199,0)),"Go to Act"))</f>
        <v/>
      </c>
    </row>
    <row r="276" spans="1:16" ht="172.95" customHeight="1" x14ac:dyDescent="0.3">
      <c r="A276" s="6" t="str">
        <f>IF(ISNA(MATCH(263,Engine!$C$2:$C$1199,0)),"",INDEX('Compliance Database'!$A$2:$A$1199,MATCH(263,Engine!$C$2:$C$1199,0)))</f>
        <v/>
      </c>
      <c r="B276" s="6" t="str">
        <f>IF(ISNA(MATCH(263,Engine!$C$2:$C$1199,0)),"",INDEX('Compliance Database'!$B$2:$B$1199,MATCH(263,Engine!$C$2:$C$1199,0)))</f>
        <v/>
      </c>
      <c r="C276" s="6" t="str">
        <f>IF(ISNA(MATCH(263,Engine!$C$2:$C$1199,0)),"",INDEX('Compliance Database'!$C$2:$C$1199,MATCH(263,Engine!$C$2:$C$1199,0)))</f>
        <v/>
      </c>
      <c r="D276" s="7" t="str">
        <f>IF(ISNA(MATCH(263,Engine!$C$2:$C$1199,0)),"",INDEX('Compliance Database'!$D$2:$D$1199,MATCH(263,Engine!$C$2:$C$1199,0)))</f>
        <v/>
      </c>
      <c r="E276" s="6" t="str">
        <f>IF(ISNA(MATCH(263,Engine!$C$2:$C$1199,0)),"",INDEX('Compliance Database'!$E$2:$E$1199,MATCH(263,Engine!$C$2:$C$1199,0)))</f>
        <v/>
      </c>
      <c r="F276" s="6" t="str">
        <f>IF(ISNA(MATCH(263,Engine!$C$2:$C$1199,0)),"",INDEX('Compliance Database'!$F$2:$F$1199,MATCH(263,Engine!$C$2:$C$1199,0)))</f>
        <v/>
      </c>
      <c r="G276" s="6" t="str">
        <f>IF(ISNA(MATCH(263,Engine!$C$2:$C$1199,0)),"",INDEX('Compliance Database'!$G$2:$G$1199,MATCH(263,Engine!$C$2:$C$1199,0)))</f>
        <v/>
      </c>
      <c r="H276" s="7" t="str">
        <f>IF(ISNA(MATCH(263,Engine!$C$2:$C$1199,0)),"",INDEX('Compliance Database'!$H$2:$H$1199,MATCH(263,Engine!$C$2:$C$1199,0)))</f>
        <v/>
      </c>
      <c r="I276" s="7" t="str">
        <f>IF(ISNA(MATCH(263,Engine!$C$2:$C$1199,0)),"",INDEX('Compliance Database'!$I$2:$I$1199,MATCH(263,Engine!$C$2:$C$1199,0)))</f>
        <v/>
      </c>
      <c r="J276" s="6" t="str">
        <f>IF(ISNA(MATCH(263,Engine!$C$2:$C$1199,0)),"",INDEX('Compliance Database'!$J$2:$J$1199,MATCH(263,Engine!$C$2:$C$1199,0)))</f>
        <v/>
      </c>
      <c r="K276" s="7" t="str">
        <f>IF(ISNA(MATCH(263,Engine!$C$2:$C$1199,0)),"",INDEX('Compliance Database'!$K$2:$K$1199,MATCH(263,Engine!$C$2:$C$1199,0)))</f>
        <v/>
      </c>
      <c r="L276" s="7" t="str">
        <f>IF(ISNA(MATCH(263,Engine!$C$2:$C$1199,0)),"",INDEX('Compliance Database'!$L$2:$L$1199,MATCH(263,Engine!$C$2:$C$1199,0)))</f>
        <v/>
      </c>
      <c r="M276" s="7" t="str">
        <f>IF(ISNA(MATCH(263,Engine!$C$2:$C$1199,0)),"",INDEX('Compliance Database'!$M$2:$M$1199,MATCH(263,Engine!$C$2:$C$1199,0)))</f>
        <v/>
      </c>
      <c r="N276" s="7" t="str">
        <f>IF(ISNA(MATCH(263,Engine!$C$2:$C$1199,0)),"",INDEX('Compliance Database'!$N$2:$N$1199,MATCH(263,Engine!$C$2:$C$1199,0)))</f>
        <v/>
      </c>
      <c r="O276" s="7" t="str">
        <f>IF(ISNA(MATCH(263,Engine!$C$2:$C$1199,0)),"",INDEX('Compliance Database'!$O$2:$O$1199,MATCH(263,Engine!$C$2:$C$1199,0)))</f>
        <v/>
      </c>
      <c r="P276" s="6" t="str">
        <f>IF(ISNA(MATCH(263,Engine!$C$2:$C$1199,0)),"",HYPERLINK("#Acts!A"&amp;INDEX('Compliance Database'!$P$2:$P$1199,MATCH(263,Engine!$C$2:$C$1199,0)),"Go to Act"))</f>
        <v/>
      </c>
    </row>
    <row r="277" spans="1:16" ht="172.95" customHeight="1" x14ac:dyDescent="0.3">
      <c r="A277" s="6" t="str">
        <f>IF(ISNA(MATCH(264,Engine!$C$2:$C$1199,0)),"",INDEX('Compliance Database'!$A$2:$A$1199,MATCH(264,Engine!$C$2:$C$1199,0)))</f>
        <v/>
      </c>
      <c r="B277" s="6" t="str">
        <f>IF(ISNA(MATCH(264,Engine!$C$2:$C$1199,0)),"",INDEX('Compliance Database'!$B$2:$B$1199,MATCH(264,Engine!$C$2:$C$1199,0)))</f>
        <v/>
      </c>
      <c r="C277" s="6" t="str">
        <f>IF(ISNA(MATCH(264,Engine!$C$2:$C$1199,0)),"",INDEX('Compliance Database'!$C$2:$C$1199,MATCH(264,Engine!$C$2:$C$1199,0)))</f>
        <v/>
      </c>
      <c r="D277" s="7" t="str">
        <f>IF(ISNA(MATCH(264,Engine!$C$2:$C$1199,0)),"",INDEX('Compliance Database'!$D$2:$D$1199,MATCH(264,Engine!$C$2:$C$1199,0)))</f>
        <v/>
      </c>
      <c r="E277" s="6" t="str">
        <f>IF(ISNA(MATCH(264,Engine!$C$2:$C$1199,0)),"",INDEX('Compliance Database'!$E$2:$E$1199,MATCH(264,Engine!$C$2:$C$1199,0)))</f>
        <v/>
      </c>
      <c r="F277" s="6" t="str">
        <f>IF(ISNA(MATCH(264,Engine!$C$2:$C$1199,0)),"",INDEX('Compliance Database'!$F$2:$F$1199,MATCH(264,Engine!$C$2:$C$1199,0)))</f>
        <v/>
      </c>
      <c r="G277" s="6" t="str">
        <f>IF(ISNA(MATCH(264,Engine!$C$2:$C$1199,0)),"",INDEX('Compliance Database'!$G$2:$G$1199,MATCH(264,Engine!$C$2:$C$1199,0)))</f>
        <v/>
      </c>
      <c r="H277" s="7" t="str">
        <f>IF(ISNA(MATCH(264,Engine!$C$2:$C$1199,0)),"",INDEX('Compliance Database'!$H$2:$H$1199,MATCH(264,Engine!$C$2:$C$1199,0)))</f>
        <v/>
      </c>
      <c r="I277" s="7" t="str">
        <f>IF(ISNA(MATCH(264,Engine!$C$2:$C$1199,0)),"",INDEX('Compliance Database'!$I$2:$I$1199,MATCH(264,Engine!$C$2:$C$1199,0)))</f>
        <v/>
      </c>
      <c r="J277" s="6" t="str">
        <f>IF(ISNA(MATCH(264,Engine!$C$2:$C$1199,0)),"",INDEX('Compliance Database'!$J$2:$J$1199,MATCH(264,Engine!$C$2:$C$1199,0)))</f>
        <v/>
      </c>
      <c r="K277" s="7" t="str">
        <f>IF(ISNA(MATCH(264,Engine!$C$2:$C$1199,0)),"",INDEX('Compliance Database'!$K$2:$K$1199,MATCH(264,Engine!$C$2:$C$1199,0)))</f>
        <v/>
      </c>
      <c r="L277" s="7" t="str">
        <f>IF(ISNA(MATCH(264,Engine!$C$2:$C$1199,0)),"",INDEX('Compliance Database'!$L$2:$L$1199,MATCH(264,Engine!$C$2:$C$1199,0)))</f>
        <v/>
      </c>
      <c r="M277" s="7" t="str">
        <f>IF(ISNA(MATCH(264,Engine!$C$2:$C$1199,0)),"",INDEX('Compliance Database'!$M$2:$M$1199,MATCH(264,Engine!$C$2:$C$1199,0)))</f>
        <v/>
      </c>
      <c r="N277" s="7" t="str">
        <f>IF(ISNA(MATCH(264,Engine!$C$2:$C$1199,0)),"",INDEX('Compliance Database'!$N$2:$N$1199,MATCH(264,Engine!$C$2:$C$1199,0)))</f>
        <v/>
      </c>
      <c r="O277" s="7" t="str">
        <f>IF(ISNA(MATCH(264,Engine!$C$2:$C$1199,0)),"",INDEX('Compliance Database'!$O$2:$O$1199,MATCH(264,Engine!$C$2:$C$1199,0)))</f>
        <v/>
      </c>
      <c r="P277" s="6" t="str">
        <f>IF(ISNA(MATCH(264,Engine!$C$2:$C$1199,0)),"",HYPERLINK("#Acts!A"&amp;INDEX('Compliance Database'!$P$2:$P$1199,MATCH(264,Engine!$C$2:$C$1199,0)),"Go to Act"))</f>
        <v/>
      </c>
    </row>
    <row r="278" spans="1:16" ht="172.95" customHeight="1" x14ac:dyDescent="0.3">
      <c r="A278" s="6" t="str">
        <f>IF(ISNA(MATCH(265,Engine!$C$2:$C$1199,0)),"",INDEX('Compliance Database'!$A$2:$A$1199,MATCH(265,Engine!$C$2:$C$1199,0)))</f>
        <v/>
      </c>
      <c r="B278" s="6" t="str">
        <f>IF(ISNA(MATCH(265,Engine!$C$2:$C$1199,0)),"",INDEX('Compliance Database'!$B$2:$B$1199,MATCH(265,Engine!$C$2:$C$1199,0)))</f>
        <v/>
      </c>
      <c r="C278" s="6" t="str">
        <f>IF(ISNA(MATCH(265,Engine!$C$2:$C$1199,0)),"",INDEX('Compliance Database'!$C$2:$C$1199,MATCH(265,Engine!$C$2:$C$1199,0)))</f>
        <v/>
      </c>
      <c r="D278" s="7" t="str">
        <f>IF(ISNA(MATCH(265,Engine!$C$2:$C$1199,0)),"",INDEX('Compliance Database'!$D$2:$D$1199,MATCH(265,Engine!$C$2:$C$1199,0)))</f>
        <v/>
      </c>
      <c r="E278" s="6" t="str">
        <f>IF(ISNA(MATCH(265,Engine!$C$2:$C$1199,0)),"",INDEX('Compliance Database'!$E$2:$E$1199,MATCH(265,Engine!$C$2:$C$1199,0)))</f>
        <v/>
      </c>
      <c r="F278" s="6" t="str">
        <f>IF(ISNA(MATCH(265,Engine!$C$2:$C$1199,0)),"",INDEX('Compliance Database'!$F$2:$F$1199,MATCH(265,Engine!$C$2:$C$1199,0)))</f>
        <v/>
      </c>
      <c r="G278" s="6" t="str">
        <f>IF(ISNA(MATCH(265,Engine!$C$2:$C$1199,0)),"",INDEX('Compliance Database'!$G$2:$G$1199,MATCH(265,Engine!$C$2:$C$1199,0)))</f>
        <v/>
      </c>
      <c r="H278" s="7" t="str">
        <f>IF(ISNA(MATCH(265,Engine!$C$2:$C$1199,0)),"",INDEX('Compliance Database'!$H$2:$H$1199,MATCH(265,Engine!$C$2:$C$1199,0)))</f>
        <v/>
      </c>
      <c r="I278" s="7" t="str">
        <f>IF(ISNA(MATCH(265,Engine!$C$2:$C$1199,0)),"",INDEX('Compliance Database'!$I$2:$I$1199,MATCH(265,Engine!$C$2:$C$1199,0)))</f>
        <v/>
      </c>
      <c r="J278" s="6" t="str">
        <f>IF(ISNA(MATCH(265,Engine!$C$2:$C$1199,0)),"",INDEX('Compliance Database'!$J$2:$J$1199,MATCH(265,Engine!$C$2:$C$1199,0)))</f>
        <v/>
      </c>
      <c r="K278" s="7" t="str">
        <f>IF(ISNA(MATCH(265,Engine!$C$2:$C$1199,0)),"",INDEX('Compliance Database'!$K$2:$K$1199,MATCH(265,Engine!$C$2:$C$1199,0)))</f>
        <v/>
      </c>
      <c r="L278" s="7" t="str">
        <f>IF(ISNA(MATCH(265,Engine!$C$2:$C$1199,0)),"",INDEX('Compliance Database'!$L$2:$L$1199,MATCH(265,Engine!$C$2:$C$1199,0)))</f>
        <v/>
      </c>
      <c r="M278" s="7" t="str">
        <f>IF(ISNA(MATCH(265,Engine!$C$2:$C$1199,0)),"",INDEX('Compliance Database'!$M$2:$M$1199,MATCH(265,Engine!$C$2:$C$1199,0)))</f>
        <v/>
      </c>
      <c r="N278" s="7" t="str">
        <f>IF(ISNA(MATCH(265,Engine!$C$2:$C$1199,0)),"",INDEX('Compliance Database'!$N$2:$N$1199,MATCH(265,Engine!$C$2:$C$1199,0)))</f>
        <v/>
      </c>
      <c r="O278" s="7" t="str">
        <f>IF(ISNA(MATCH(265,Engine!$C$2:$C$1199,0)),"",INDEX('Compliance Database'!$O$2:$O$1199,MATCH(265,Engine!$C$2:$C$1199,0)))</f>
        <v/>
      </c>
      <c r="P278" s="6" t="str">
        <f>IF(ISNA(MATCH(265,Engine!$C$2:$C$1199,0)),"",HYPERLINK("#Acts!A"&amp;INDEX('Compliance Database'!$P$2:$P$1199,MATCH(265,Engine!$C$2:$C$1199,0)),"Go to Act"))</f>
        <v/>
      </c>
    </row>
    <row r="279" spans="1:16" ht="172.95" customHeight="1" x14ac:dyDescent="0.3">
      <c r="A279" s="6" t="str">
        <f>IF(ISNA(MATCH(266,Engine!$C$2:$C$1199,0)),"",INDEX('Compliance Database'!$A$2:$A$1199,MATCH(266,Engine!$C$2:$C$1199,0)))</f>
        <v/>
      </c>
      <c r="B279" s="6" t="str">
        <f>IF(ISNA(MATCH(266,Engine!$C$2:$C$1199,0)),"",INDEX('Compliance Database'!$B$2:$B$1199,MATCH(266,Engine!$C$2:$C$1199,0)))</f>
        <v/>
      </c>
      <c r="C279" s="6" t="str">
        <f>IF(ISNA(MATCH(266,Engine!$C$2:$C$1199,0)),"",INDEX('Compliance Database'!$C$2:$C$1199,MATCH(266,Engine!$C$2:$C$1199,0)))</f>
        <v/>
      </c>
      <c r="D279" s="7" t="str">
        <f>IF(ISNA(MATCH(266,Engine!$C$2:$C$1199,0)),"",INDEX('Compliance Database'!$D$2:$D$1199,MATCH(266,Engine!$C$2:$C$1199,0)))</f>
        <v/>
      </c>
      <c r="E279" s="6" t="str">
        <f>IF(ISNA(MATCH(266,Engine!$C$2:$C$1199,0)),"",INDEX('Compliance Database'!$E$2:$E$1199,MATCH(266,Engine!$C$2:$C$1199,0)))</f>
        <v/>
      </c>
      <c r="F279" s="6" t="str">
        <f>IF(ISNA(MATCH(266,Engine!$C$2:$C$1199,0)),"",INDEX('Compliance Database'!$F$2:$F$1199,MATCH(266,Engine!$C$2:$C$1199,0)))</f>
        <v/>
      </c>
      <c r="G279" s="6" t="str">
        <f>IF(ISNA(MATCH(266,Engine!$C$2:$C$1199,0)),"",INDEX('Compliance Database'!$G$2:$G$1199,MATCH(266,Engine!$C$2:$C$1199,0)))</f>
        <v/>
      </c>
      <c r="H279" s="7" t="str">
        <f>IF(ISNA(MATCH(266,Engine!$C$2:$C$1199,0)),"",INDEX('Compliance Database'!$H$2:$H$1199,MATCH(266,Engine!$C$2:$C$1199,0)))</f>
        <v/>
      </c>
      <c r="I279" s="7" t="str">
        <f>IF(ISNA(MATCH(266,Engine!$C$2:$C$1199,0)),"",INDEX('Compliance Database'!$I$2:$I$1199,MATCH(266,Engine!$C$2:$C$1199,0)))</f>
        <v/>
      </c>
      <c r="J279" s="6" t="str">
        <f>IF(ISNA(MATCH(266,Engine!$C$2:$C$1199,0)),"",INDEX('Compliance Database'!$J$2:$J$1199,MATCH(266,Engine!$C$2:$C$1199,0)))</f>
        <v/>
      </c>
      <c r="K279" s="7" t="str">
        <f>IF(ISNA(MATCH(266,Engine!$C$2:$C$1199,0)),"",INDEX('Compliance Database'!$K$2:$K$1199,MATCH(266,Engine!$C$2:$C$1199,0)))</f>
        <v/>
      </c>
      <c r="L279" s="7" t="str">
        <f>IF(ISNA(MATCH(266,Engine!$C$2:$C$1199,0)),"",INDEX('Compliance Database'!$L$2:$L$1199,MATCH(266,Engine!$C$2:$C$1199,0)))</f>
        <v/>
      </c>
      <c r="M279" s="7" t="str">
        <f>IF(ISNA(MATCH(266,Engine!$C$2:$C$1199,0)),"",INDEX('Compliance Database'!$M$2:$M$1199,MATCH(266,Engine!$C$2:$C$1199,0)))</f>
        <v/>
      </c>
      <c r="N279" s="7" t="str">
        <f>IF(ISNA(MATCH(266,Engine!$C$2:$C$1199,0)),"",INDEX('Compliance Database'!$N$2:$N$1199,MATCH(266,Engine!$C$2:$C$1199,0)))</f>
        <v/>
      </c>
      <c r="O279" s="7" t="str">
        <f>IF(ISNA(MATCH(266,Engine!$C$2:$C$1199,0)),"",INDEX('Compliance Database'!$O$2:$O$1199,MATCH(266,Engine!$C$2:$C$1199,0)))</f>
        <v/>
      </c>
      <c r="P279" s="6" t="str">
        <f>IF(ISNA(MATCH(266,Engine!$C$2:$C$1199,0)),"",HYPERLINK("#Acts!A"&amp;INDEX('Compliance Database'!$P$2:$P$1199,MATCH(266,Engine!$C$2:$C$1199,0)),"Go to Act"))</f>
        <v/>
      </c>
    </row>
    <row r="280" spans="1:16" ht="172.95" customHeight="1" x14ac:dyDescent="0.3">
      <c r="A280" s="6" t="str">
        <f>IF(ISNA(MATCH(267,Engine!$C$2:$C$1199,0)),"",INDEX('Compliance Database'!$A$2:$A$1199,MATCH(267,Engine!$C$2:$C$1199,0)))</f>
        <v/>
      </c>
      <c r="B280" s="6" t="str">
        <f>IF(ISNA(MATCH(267,Engine!$C$2:$C$1199,0)),"",INDEX('Compliance Database'!$B$2:$B$1199,MATCH(267,Engine!$C$2:$C$1199,0)))</f>
        <v/>
      </c>
      <c r="C280" s="6" t="str">
        <f>IF(ISNA(MATCH(267,Engine!$C$2:$C$1199,0)),"",INDEX('Compliance Database'!$C$2:$C$1199,MATCH(267,Engine!$C$2:$C$1199,0)))</f>
        <v/>
      </c>
      <c r="D280" s="7" t="str">
        <f>IF(ISNA(MATCH(267,Engine!$C$2:$C$1199,0)),"",INDEX('Compliance Database'!$D$2:$D$1199,MATCH(267,Engine!$C$2:$C$1199,0)))</f>
        <v/>
      </c>
      <c r="E280" s="6" t="str">
        <f>IF(ISNA(MATCH(267,Engine!$C$2:$C$1199,0)),"",INDEX('Compliance Database'!$E$2:$E$1199,MATCH(267,Engine!$C$2:$C$1199,0)))</f>
        <v/>
      </c>
      <c r="F280" s="6" t="str">
        <f>IF(ISNA(MATCH(267,Engine!$C$2:$C$1199,0)),"",INDEX('Compliance Database'!$F$2:$F$1199,MATCH(267,Engine!$C$2:$C$1199,0)))</f>
        <v/>
      </c>
      <c r="G280" s="6" t="str">
        <f>IF(ISNA(MATCH(267,Engine!$C$2:$C$1199,0)),"",INDEX('Compliance Database'!$G$2:$G$1199,MATCH(267,Engine!$C$2:$C$1199,0)))</f>
        <v/>
      </c>
      <c r="H280" s="7" t="str">
        <f>IF(ISNA(MATCH(267,Engine!$C$2:$C$1199,0)),"",INDEX('Compliance Database'!$H$2:$H$1199,MATCH(267,Engine!$C$2:$C$1199,0)))</f>
        <v/>
      </c>
      <c r="I280" s="7" t="str">
        <f>IF(ISNA(MATCH(267,Engine!$C$2:$C$1199,0)),"",INDEX('Compliance Database'!$I$2:$I$1199,MATCH(267,Engine!$C$2:$C$1199,0)))</f>
        <v/>
      </c>
      <c r="J280" s="6" t="str">
        <f>IF(ISNA(MATCH(267,Engine!$C$2:$C$1199,0)),"",INDEX('Compliance Database'!$J$2:$J$1199,MATCH(267,Engine!$C$2:$C$1199,0)))</f>
        <v/>
      </c>
      <c r="K280" s="7" t="str">
        <f>IF(ISNA(MATCH(267,Engine!$C$2:$C$1199,0)),"",INDEX('Compliance Database'!$K$2:$K$1199,MATCH(267,Engine!$C$2:$C$1199,0)))</f>
        <v/>
      </c>
      <c r="L280" s="7" t="str">
        <f>IF(ISNA(MATCH(267,Engine!$C$2:$C$1199,0)),"",INDEX('Compliance Database'!$L$2:$L$1199,MATCH(267,Engine!$C$2:$C$1199,0)))</f>
        <v/>
      </c>
      <c r="M280" s="7" t="str">
        <f>IF(ISNA(MATCH(267,Engine!$C$2:$C$1199,0)),"",INDEX('Compliance Database'!$M$2:$M$1199,MATCH(267,Engine!$C$2:$C$1199,0)))</f>
        <v/>
      </c>
      <c r="N280" s="7" t="str">
        <f>IF(ISNA(MATCH(267,Engine!$C$2:$C$1199,0)),"",INDEX('Compliance Database'!$N$2:$N$1199,MATCH(267,Engine!$C$2:$C$1199,0)))</f>
        <v/>
      </c>
      <c r="O280" s="7" t="str">
        <f>IF(ISNA(MATCH(267,Engine!$C$2:$C$1199,0)),"",INDEX('Compliance Database'!$O$2:$O$1199,MATCH(267,Engine!$C$2:$C$1199,0)))</f>
        <v/>
      </c>
      <c r="P280" s="6" t="str">
        <f>IF(ISNA(MATCH(267,Engine!$C$2:$C$1199,0)),"",HYPERLINK("#Acts!A"&amp;INDEX('Compliance Database'!$P$2:$P$1199,MATCH(267,Engine!$C$2:$C$1199,0)),"Go to Act"))</f>
        <v/>
      </c>
    </row>
    <row r="281" spans="1:16" ht="172.95" customHeight="1" x14ac:dyDescent="0.3">
      <c r="A281" s="6" t="str">
        <f>IF(ISNA(MATCH(268,Engine!$C$2:$C$1199,0)),"",INDEX('Compliance Database'!$A$2:$A$1199,MATCH(268,Engine!$C$2:$C$1199,0)))</f>
        <v/>
      </c>
      <c r="B281" s="6" t="str">
        <f>IF(ISNA(MATCH(268,Engine!$C$2:$C$1199,0)),"",INDEX('Compliance Database'!$B$2:$B$1199,MATCH(268,Engine!$C$2:$C$1199,0)))</f>
        <v/>
      </c>
      <c r="C281" s="6" t="str">
        <f>IF(ISNA(MATCH(268,Engine!$C$2:$C$1199,0)),"",INDEX('Compliance Database'!$C$2:$C$1199,MATCH(268,Engine!$C$2:$C$1199,0)))</f>
        <v/>
      </c>
      <c r="D281" s="7" t="str">
        <f>IF(ISNA(MATCH(268,Engine!$C$2:$C$1199,0)),"",INDEX('Compliance Database'!$D$2:$D$1199,MATCH(268,Engine!$C$2:$C$1199,0)))</f>
        <v/>
      </c>
      <c r="E281" s="6" t="str">
        <f>IF(ISNA(MATCH(268,Engine!$C$2:$C$1199,0)),"",INDEX('Compliance Database'!$E$2:$E$1199,MATCH(268,Engine!$C$2:$C$1199,0)))</f>
        <v/>
      </c>
      <c r="F281" s="6" t="str">
        <f>IF(ISNA(MATCH(268,Engine!$C$2:$C$1199,0)),"",INDEX('Compliance Database'!$F$2:$F$1199,MATCH(268,Engine!$C$2:$C$1199,0)))</f>
        <v/>
      </c>
      <c r="G281" s="6" t="str">
        <f>IF(ISNA(MATCH(268,Engine!$C$2:$C$1199,0)),"",INDEX('Compliance Database'!$G$2:$G$1199,MATCH(268,Engine!$C$2:$C$1199,0)))</f>
        <v/>
      </c>
      <c r="H281" s="7" t="str">
        <f>IF(ISNA(MATCH(268,Engine!$C$2:$C$1199,0)),"",INDEX('Compliance Database'!$H$2:$H$1199,MATCH(268,Engine!$C$2:$C$1199,0)))</f>
        <v/>
      </c>
      <c r="I281" s="7" t="str">
        <f>IF(ISNA(MATCH(268,Engine!$C$2:$C$1199,0)),"",INDEX('Compliance Database'!$I$2:$I$1199,MATCH(268,Engine!$C$2:$C$1199,0)))</f>
        <v/>
      </c>
      <c r="J281" s="6" t="str">
        <f>IF(ISNA(MATCH(268,Engine!$C$2:$C$1199,0)),"",INDEX('Compliance Database'!$J$2:$J$1199,MATCH(268,Engine!$C$2:$C$1199,0)))</f>
        <v/>
      </c>
      <c r="K281" s="7" t="str">
        <f>IF(ISNA(MATCH(268,Engine!$C$2:$C$1199,0)),"",INDEX('Compliance Database'!$K$2:$K$1199,MATCH(268,Engine!$C$2:$C$1199,0)))</f>
        <v/>
      </c>
      <c r="L281" s="7" t="str">
        <f>IF(ISNA(MATCH(268,Engine!$C$2:$C$1199,0)),"",INDEX('Compliance Database'!$L$2:$L$1199,MATCH(268,Engine!$C$2:$C$1199,0)))</f>
        <v/>
      </c>
      <c r="M281" s="7" t="str">
        <f>IF(ISNA(MATCH(268,Engine!$C$2:$C$1199,0)),"",INDEX('Compliance Database'!$M$2:$M$1199,MATCH(268,Engine!$C$2:$C$1199,0)))</f>
        <v/>
      </c>
      <c r="N281" s="7" t="str">
        <f>IF(ISNA(MATCH(268,Engine!$C$2:$C$1199,0)),"",INDEX('Compliance Database'!$N$2:$N$1199,MATCH(268,Engine!$C$2:$C$1199,0)))</f>
        <v/>
      </c>
      <c r="O281" s="7" t="str">
        <f>IF(ISNA(MATCH(268,Engine!$C$2:$C$1199,0)),"",INDEX('Compliance Database'!$O$2:$O$1199,MATCH(268,Engine!$C$2:$C$1199,0)))</f>
        <v/>
      </c>
      <c r="P281" s="6" t="str">
        <f>IF(ISNA(MATCH(268,Engine!$C$2:$C$1199,0)),"",HYPERLINK("#Acts!A"&amp;INDEX('Compliance Database'!$P$2:$P$1199,MATCH(268,Engine!$C$2:$C$1199,0)),"Go to Act"))</f>
        <v/>
      </c>
    </row>
    <row r="282" spans="1:16" ht="172.95" customHeight="1" x14ac:dyDescent="0.3">
      <c r="A282" s="6" t="str">
        <f>IF(ISNA(MATCH(269,Engine!$C$2:$C$1199,0)),"",INDEX('Compliance Database'!$A$2:$A$1199,MATCH(269,Engine!$C$2:$C$1199,0)))</f>
        <v/>
      </c>
      <c r="B282" s="6" t="str">
        <f>IF(ISNA(MATCH(269,Engine!$C$2:$C$1199,0)),"",INDEX('Compliance Database'!$B$2:$B$1199,MATCH(269,Engine!$C$2:$C$1199,0)))</f>
        <v/>
      </c>
      <c r="C282" s="6" t="str">
        <f>IF(ISNA(MATCH(269,Engine!$C$2:$C$1199,0)),"",INDEX('Compliance Database'!$C$2:$C$1199,MATCH(269,Engine!$C$2:$C$1199,0)))</f>
        <v/>
      </c>
      <c r="D282" s="7" t="str">
        <f>IF(ISNA(MATCH(269,Engine!$C$2:$C$1199,0)),"",INDEX('Compliance Database'!$D$2:$D$1199,MATCH(269,Engine!$C$2:$C$1199,0)))</f>
        <v/>
      </c>
      <c r="E282" s="6" t="str">
        <f>IF(ISNA(MATCH(269,Engine!$C$2:$C$1199,0)),"",INDEX('Compliance Database'!$E$2:$E$1199,MATCH(269,Engine!$C$2:$C$1199,0)))</f>
        <v/>
      </c>
      <c r="F282" s="6" t="str">
        <f>IF(ISNA(MATCH(269,Engine!$C$2:$C$1199,0)),"",INDEX('Compliance Database'!$F$2:$F$1199,MATCH(269,Engine!$C$2:$C$1199,0)))</f>
        <v/>
      </c>
      <c r="G282" s="6" t="str">
        <f>IF(ISNA(MATCH(269,Engine!$C$2:$C$1199,0)),"",INDEX('Compliance Database'!$G$2:$G$1199,MATCH(269,Engine!$C$2:$C$1199,0)))</f>
        <v/>
      </c>
      <c r="H282" s="7" t="str">
        <f>IF(ISNA(MATCH(269,Engine!$C$2:$C$1199,0)),"",INDEX('Compliance Database'!$H$2:$H$1199,MATCH(269,Engine!$C$2:$C$1199,0)))</f>
        <v/>
      </c>
      <c r="I282" s="7" t="str">
        <f>IF(ISNA(MATCH(269,Engine!$C$2:$C$1199,0)),"",INDEX('Compliance Database'!$I$2:$I$1199,MATCH(269,Engine!$C$2:$C$1199,0)))</f>
        <v/>
      </c>
      <c r="J282" s="6" t="str">
        <f>IF(ISNA(MATCH(269,Engine!$C$2:$C$1199,0)),"",INDEX('Compliance Database'!$J$2:$J$1199,MATCH(269,Engine!$C$2:$C$1199,0)))</f>
        <v/>
      </c>
      <c r="K282" s="7" t="str">
        <f>IF(ISNA(MATCH(269,Engine!$C$2:$C$1199,0)),"",INDEX('Compliance Database'!$K$2:$K$1199,MATCH(269,Engine!$C$2:$C$1199,0)))</f>
        <v/>
      </c>
      <c r="L282" s="7" t="str">
        <f>IF(ISNA(MATCH(269,Engine!$C$2:$C$1199,0)),"",INDEX('Compliance Database'!$L$2:$L$1199,MATCH(269,Engine!$C$2:$C$1199,0)))</f>
        <v/>
      </c>
      <c r="M282" s="7" t="str">
        <f>IF(ISNA(MATCH(269,Engine!$C$2:$C$1199,0)),"",INDEX('Compliance Database'!$M$2:$M$1199,MATCH(269,Engine!$C$2:$C$1199,0)))</f>
        <v/>
      </c>
      <c r="N282" s="7" t="str">
        <f>IF(ISNA(MATCH(269,Engine!$C$2:$C$1199,0)),"",INDEX('Compliance Database'!$N$2:$N$1199,MATCH(269,Engine!$C$2:$C$1199,0)))</f>
        <v/>
      </c>
      <c r="O282" s="7" t="str">
        <f>IF(ISNA(MATCH(269,Engine!$C$2:$C$1199,0)),"",INDEX('Compliance Database'!$O$2:$O$1199,MATCH(269,Engine!$C$2:$C$1199,0)))</f>
        <v/>
      </c>
      <c r="P282" s="6" t="str">
        <f>IF(ISNA(MATCH(269,Engine!$C$2:$C$1199,0)),"",HYPERLINK("#Acts!A"&amp;INDEX('Compliance Database'!$P$2:$P$1199,MATCH(269,Engine!$C$2:$C$1199,0)),"Go to Act"))</f>
        <v/>
      </c>
    </row>
    <row r="283" spans="1:16" ht="172.95" customHeight="1" x14ac:dyDescent="0.3">
      <c r="A283" s="6" t="str">
        <f>IF(ISNA(MATCH(270,Engine!$C$2:$C$1199,0)),"",INDEX('Compliance Database'!$A$2:$A$1199,MATCH(270,Engine!$C$2:$C$1199,0)))</f>
        <v/>
      </c>
      <c r="B283" s="6" t="str">
        <f>IF(ISNA(MATCH(270,Engine!$C$2:$C$1199,0)),"",INDEX('Compliance Database'!$B$2:$B$1199,MATCH(270,Engine!$C$2:$C$1199,0)))</f>
        <v/>
      </c>
      <c r="C283" s="6" t="str">
        <f>IF(ISNA(MATCH(270,Engine!$C$2:$C$1199,0)),"",INDEX('Compliance Database'!$C$2:$C$1199,MATCH(270,Engine!$C$2:$C$1199,0)))</f>
        <v/>
      </c>
      <c r="D283" s="7" t="str">
        <f>IF(ISNA(MATCH(270,Engine!$C$2:$C$1199,0)),"",INDEX('Compliance Database'!$D$2:$D$1199,MATCH(270,Engine!$C$2:$C$1199,0)))</f>
        <v/>
      </c>
      <c r="E283" s="6" t="str">
        <f>IF(ISNA(MATCH(270,Engine!$C$2:$C$1199,0)),"",INDEX('Compliance Database'!$E$2:$E$1199,MATCH(270,Engine!$C$2:$C$1199,0)))</f>
        <v/>
      </c>
      <c r="F283" s="6" t="str">
        <f>IF(ISNA(MATCH(270,Engine!$C$2:$C$1199,0)),"",INDEX('Compliance Database'!$F$2:$F$1199,MATCH(270,Engine!$C$2:$C$1199,0)))</f>
        <v/>
      </c>
      <c r="G283" s="6" t="str">
        <f>IF(ISNA(MATCH(270,Engine!$C$2:$C$1199,0)),"",INDEX('Compliance Database'!$G$2:$G$1199,MATCH(270,Engine!$C$2:$C$1199,0)))</f>
        <v/>
      </c>
      <c r="H283" s="7" t="str">
        <f>IF(ISNA(MATCH(270,Engine!$C$2:$C$1199,0)),"",INDEX('Compliance Database'!$H$2:$H$1199,MATCH(270,Engine!$C$2:$C$1199,0)))</f>
        <v/>
      </c>
      <c r="I283" s="7" t="str">
        <f>IF(ISNA(MATCH(270,Engine!$C$2:$C$1199,0)),"",INDEX('Compliance Database'!$I$2:$I$1199,MATCH(270,Engine!$C$2:$C$1199,0)))</f>
        <v/>
      </c>
      <c r="J283" s="6" t="str">
        <f>IF(ISNA(MATCH(270,Engine!$C$2:$C$1199,0)),"",INDEX('Compliance Database'!$J$2:$J$1199,MATCH(270,Engine!$C$2:$C$1199,0)))</f>
        <v/>
      </c>
      <c r="K283" s="7" t="str">
        <f>IF(ISNA(MATCH(270,Engine!$C$2:$C$1199,0)),"",INDEX('Compliance Database'!$K$2:$K$1199,MATCH(270,Engine!$C$2:$C$1199,0)))</f>
        <v/>
      </c>
      <c r="L283" s="7" t="str">
        <f>IF(ISNA(MATCH(270,Engine!$C$2:$C$1199,0)),"",INDEX('Compliance Database'!$L$2:$L$1199,MATCH(270,Engine!$C$2:$C$1199,0)))</f>
        <v/>
      </c>
      <c r="M283" s="7" t="str">
        <f>IF(ISNA(MATCH(270,Engine!$C$2:$C$1199,0)),"",INDEX('Compliance Database'!$M$2:$M$1199,MATCH(270,Engine!$C$2:$C$1199,0)))</f>
        <v/>
      </c>
      <c r="N283" s="7" t="str">
        <f>IF(ISNA(MATCH(270,Engine!$C$2:$C$1199,0)),"",INDEX('Compliance Database'!$N$2:$N$1199,MATCH(270,Engine!$C$2:$C$1199,0)))</f>
        <v/>
      </c>
      <c r="O283" s="7" t="str">
        <f>IF(ISNA(MATCH(270,Engine!$C$2:$C$1199,0)),"",INDEX('Compliance Database'!$O$2:$O$1199,MATCH(270,Engine!$C$2:$C$1199,0)))</f>
        <v/>
      </c>
      <c r="P283" s="6" t="str">
        <f>IF(ISNA(MATCH(270,Engine!$C$2:$C$1199,0)),"",HYPERLINK("#Acts!A"&amp;INDEX('Compliance Database'!$P$2:$P$1199,MATCH(270,Engine!$C$2:$C$1199,0)),"Go to Act"))</f>
        <v/>
      </c>
    </row>
    <row r="284" spans="1:16" ht="172.95" customHeight="1" x14ac:dyDescent="0.3">
      <c r="A284" s="6" t="str">
        <f>IF(ISNA(MATCH(271,Engine!$C$2:$C$1199,0)),"",INDEX('Compliance Database'!$A$2:$A$1199,MATCH(271,Engine!$C$2:$C$1199,0)))</f>
        <v/>
      </c>
      <c r="B284" s="6" t="str">
        <f>IF(ISNA(MATCH(271,Engine!$C$2:$C$1199,0)),"",INDEX('Compliance Database'!$B$2:$B$1199,MATCH(271,Engine!$C$2:$C$1199,0)))</f>
        <v/>
      </c>
      <c r="C284" s="6" t="str">
        <f>IF(ISNA(MATCH(271,Engine!$C$2:$C$1199,0)),"",INDEX('Compliance Database'!$C$2:$C$1199,MATCH(271,Engine!$C$2:$C$1199,0)))</f>
        <v/>
      </c>
      <c r="D284" s="7" t="str">
        <f>IF(ISNA(MATCH(271,Engine!$C$2:$C$1199,0)),"",INDEX('Compliance Database'!$D$2:$D$1199,MATCH(271,Engine!$C$2:$C$1199,0)))</f>
        <v/>
      </c>
      <c r="E284" s="6" t="str">
        <f>IF(ISNA(MATCH(271,Engine!$C$2:$C$1199,0)),"",INDEX('Compliance Database'!$E$2:$E$1199,MATCH(271,Engine!$C$2:$C$1199,0)))</f>
        <v/>
      </c>
      <c r="F284" s="6" t="str">
        <f>IF(ISNA(MATCH(271,Engine!$C$2:$C$1199,0)),"",INDEX('Compliance Database'!$F$2:$F$1199,MATCH(271,Engine!$C$2:$C$1199,0)))</f>
        <v/>
      </c>
      <c r="G284" s="6" t="str">
        <f>IF(ISNA(MATCH(271,Engine!$C$2:$C$1199,0)),"",INDEX('Compliance Database'!$G$2:$G$1199,MATCH(271,Engine!$C$2:$C$1199,0)))</f>
        <v/>
      </c>
      <c r="H284" s="7" t="str">
        <f>IF(ISNA(MATCH(271,Engine!$C$2:$C$1199,0)),"",INDEX('Compliance Database'!$H$2:$H$1199,MATCH(271,Engine!$C$2:$C$1199,0)))</f>
        <v/>
      </c>
      <c r="I284" s="7" t="str">
        <f>IF(ISNA(MATCH(271,Engine!$C$2:$C$1199,0)),"",INDEX('Compliance Database'!$I$2:$I$1199,MATCH(271,Engine!$C$2:$C$1199,0)))</f>
        <v/>
      </c>
      <c r="J284" s="6" t="str">
        <f>IF(ISNA(MATCH(271,Engine!$C$2:$C$1199,0)),"",INDEX('Compliance Database'!$J$2:$J$1199,MATCH(271,Engine!$C$2:$C$1199,0)))</f>
        <v/>
      </c>
      <c r="K284" s="7" t="str">
        <f>IF(ISNA(MATCH(271,Engine!$C$2:$C$1199,0)),"",INDEX('Compliance Database'!$K$2:$K$1199,MATCH(271,Engine!$C$2:$C$1199,0)))</f>
        <v/>
      </c>
      <c r="L284" s="7" t="str">
        <f>IF(ISNA(MATCH(271,Engine!$C$2:$C$1199,0)),"",INDEX('Compliance Database'!$L$2:$L$1199,MATCH(271,Engine!$C$2:$C$1199,0)))</f>
        <v/>
      </c>
      <c r="M284" s="7" t="str">
        <f>IF(ISNA(MATCH(271,Engine!$C$2:$C$1199,0)),"",INDEX('Compliance Database'!$M$2:$M$1199,MATCH(271,Engine!$C$2:$C$1199,0)))</f>
        <v/>
      </c>
      <c r="N284" s="7" t="str">
        <f>IF(ISNA(MATCH(271,Engine!$C$2:$C$1199,0)),"",INDEX('Compliance Database'!$N$2:$N$1199,MATCH(271,Engine!$C$2:$C$1199,0)))</f>
        <v/>
      </c>
      <c r="O284" s="7" t="str">
        <f>IF(ISNA(MATCH(271,Engine!$C$2:$C$1199,0)),"",INDEX('Compliance Database'!$O$2:$O$1199,MATCH(271,Engine!$C$2:$C$1199,0)))</f>
        <v/>
      </c>
      <c r="P284" s="6" t="str">
        <f>IF(ISNA(MATCH(271,Engine!$C$2:$C$1199,0)),"",HYPERLINK("#Acts!A"&amp;INDEX('Compliance Database'!$P$2:$P$1199,MATCH(271,Engine!$C$2:$C$1199,0)),"Go to Act"))</f>
        <v/>
      </c>
    </row>
    <row r="285" spans="1:16" ht="172.95" customHeight="1" x14ac:dyDescent="0.3">
      <c r="A285" s="6" t="str">
        <f>IF(ISNA(MATCH(272,Engine!$C$2:$C$1199,0)),"",INDEX('Compliance Database'!$A$2:$A$1199,MATCH(272,Engine!$C$2:$C$1199,0)))</f>
        <v/>
      </c>
      <c r="B285" s="6" t="str">
        <f>IF(ISNA(MATCH(272,Engine!$C$2:$C$1199,0)),"",INDEX('Compliance Database'!$B$2:$B$1199,MATCH(272,Engine!$C$2:$C$1199,0)))</f>
        <v/>
      </c>
      <c r="C285" s="6" t="str">
        <f>IF(ISNA(MATCH(272,Engine!$C$2:$C$1199,0)),"",INDEX('Compliance Database'!$C$2:$C$1199,MATCH(272,Engine!$C$2:$C$1199,0)))</f>
        <v/>
      </c>
      <c r="D285" s="7" t="str">
        <f>IF(ISNA(MATCH(272,Engine!$C$2:$C$1199,0)),"",INDEX('Compliance Database'!$D$2:$D$1199,MATCH(272,Engine!$C$2:$C$1199,0)))</f>
        <v/>
      </c>
      <c r="E285" s="6" t="str">
        <f>IF(ISNA(MATCH(272,Engine!$C$2:$C$1199,0)),"",INDEX('Compliance Database'!$E$2:$E$1199,MATCH(272,Engine!$C$2:$C$1199,0)))</f>
        <v/>
      </c>
      <c r="F285" s="6" t="str">
        <f>IF(ISNA(MATCH(272,Engine!$C$2:$C$1199,0)),"",INDEX('Compliance Database'!$F$2:$F$1199,MATCH(272,Engine!$C$2:$C$1199,0)))</f>
        <v/>
      </c>
      <c r="G285" s="6" t="str">
        <f>IF(ISNA(MATCH(272,Engine!$C$2:$C$1199,0)),"",INDEX('Compliance Database'!$G$2:$G$1199,MATCH(272,Engine!$C$2:$C$1199,0)))</f>
        <v/>
      </c>
      <c r="H285" s="7" t="str">
        <f>IF(ISNA(MATCH(272,Engine!$C$2:$C$1199,0)),"",INDEX('Compliance Database'!$H$2:$H$1199,MATCH(272,Engine!$C$2:$C$1199,0)))</f>
        <v/>
      </c>
      <c r="I285" s="7" t="str">
        <f>IF(ISNA(MATCH(272,Engine!$C$2:$C$1199,0)),"",INDEX('Compliance Database'!$I$2:$I$1199,MATCH(272,Engine!$C$2:$C$1199,0)))</f>
        <v/>
      </c>
      <c r="J285" s="6" t="str">
        <f>IF(ISNA(MATCH(272,Engine!$C$2:$C$1199,0)),"",INDEX('Compliance Database'!$J$2:$J$1199,MATCH(272,Engine!$C$2:$C$1199,0)))</f>
        <v/>
      </c>
      <c r="K285" s="7" t="str">
        <f>IF(ISNA(MATCH(272,Engine!$C$2:$C$1199,0)),"",INDEX('Compliance Database'!$K$2:$K$1199,MATCH(272,Engine!$C$2:$C$1199,0)))</f>
        <v/>
      </c>
      <c r="L285" s="7" t="str">
        <f>IF(ISNA(MATCH(272,Engine!$C$2:$C$1199,0)),"",INDEX('Compliance Database'!$L$2:$L$1199,MATCH(272,Engine!$C$2:$C$1199,0)))</f>
        <v/>
      </c>
      <c r="M285" s="7" t="str">
        <f>IF(ISNA(MATCH(272,Engine!$C$2:$C$1199,0)),"",INDEX('Compliance Database'!$M$2:$M$1199,MATCH(272,Engine!$C$2:$C$1199,0)))</f>
        <v/>
      </c>
      <c r="N285" s="7" t="str">
        <f>IF(ISNA(MATCH(272,Engine!$C$2:$C$1199,0)),"",INDEX('Compliance Database'!$N$2:$N$1199,MATCH(272,Engine!$C$2:$C$1199,0)))</f>
        <v/>
      </c>
      <c r="O285" s="7" t="str">
        <f>IF(ISNA(MATCH(272,Engine!$C$2:$C$1199,0)),"",INDEX('Compliance Database'!$O$2:$O$1199,MATCH(272,Engine!$C$2:$C$1199,0)))</f>
        <v/>
      </c>
      <c r="P285" s="6" t="str">
        <f>IF(ISNA(MATCH(272,Engine!$C$2:$C$1199,0)),"",HYPERLINK("#Acts!A"&amp;INDEX('Compliance Database'!$P$2:$P$1199,MATCH(272,Engine!$C$2:$C$1199,0)),"Go to Act"))</f>
        <v/>
      </c>
    </row>
    <row r="286" spans="1:16" ht="172.95" customHeight="1" x14ac:dyDescent="0.3">
      <c r="A286" s="6" t="str">
        <f>IF(ISNA(MATCH(273,Engine!$C$2:$C$1199,0)),"",INDEX('Compliance Database'!$A$2:$A$1199,MATCH(273,Engine!$C$2:$C$1199,0)))</f>
        <v/>
      </c>
      <c r="B286" s="6" t="str">
        <f>IF(ISNA(MATCH(273,Engine!$C$2:$C$1199,0)),"",INDEX('Compliance Database'!$B$2:$B$1199,MATCH(273,Engine!$C$2:$C$1199,0)))</f>
        <v/>
      </c>
      <c r="C286" s="6" t="str">
        <f>IF(ISNA(MATCH(273,Engine!$C$2:$C$1199,0)),"",INDEX('Compliance Database'!$C$2:$C$1199,MATCH(273,Engine!$C$2:$C$1199,0)))</f>
        <v/>
      </c>
      <c r="D286" s="7" t="str">
        <f>IF(ISNA(MATCH(273,Engine!$C$2:$C$1199,0)),"",INDEX('Compliance Database'!$D$2:$D$1199,MATCH(273,Engine!$C$2:$C$1199,0)))</f>
        <v/>
      </c>
      <c r="E286" s="6" t="str">
        <f>IF(ISNA(MATCH(273,Engine!$C$2:$C$1199,0)),"",INDEX('Compliance Database'!$E$2:$E$1199,MATCH(273,Engine!$C$2:$C$1199,0)))</f>
        <v/>
      </c>
      <c r="F286" s="6" t="str">
        <f>IF(ISNA(MATCH(273,Engine!$C$2:$C$1199,0)),"",INDEX('Compliance Database'!$F$2:$F$1199,MATCH(273,Engine!$C$2:$C$1199,0)))</f>
        <v/>
      </c>
      <c r="G286" s="6" t="str">
        <f>IF(ISNA(MATCH(273,Engine!$C$2:$C$1199,0)),"",INDEX('Compliance Database'!$G$2:$G$1199,MATCH(273,Engine!$C$2:$C$1199,0)))</f>
        <v/>
      </c>
      <c r="H286" s="7" t="str">
        <f>IF(ISNA(MATCH(273,Engine!$C$2:$C$1199,0)),"",INDEX('Compliance Database'!$H$2:$H$1199,MATCH(273,Engine!$C$2:$C$1199,0)))</f>
        <v/>
      </c>
      <c r="I286" s="7" t="str">
        <f>IF(ISNA(MATCH(273,Engine!$C$2:$C$1199,0)),"",INDEX('Compliance Database'!$I$2:$I$1199,MATCH(273,Engine!$C$2:$C$1199,0)))</f>
        <v/>
      </c>
      <c r="J286" s="6" t="str">
        <f>IF(ISNA(MATCH(273,Engine!$C$2:$C$1199,0)),"",INDEX('Compliance Database'!$J$2:$J$1199,MATCH(273,Engine!$C$2:$C$1199,0)))</f>
        <v/>
      </c>
      <c r="K286" s="7" t="str">
        <f>IF(ISNA(MATCH(273,Engine!$C$2:$C$1199,0)),"",INDEX('Compliance Database'!$K$2:$K$1199,MATCH(273,Engine!$C$2:$C$1199,0)))</f>
        <v/>
      </c>
      <c r="L286" s="7" t="str">
        <f>IF(ISNA(MATCH(273,Engine!$C$2:$C$1199,0)),"",INDEX('Compliance Database'!$L$2:$L$1199,MATCH(273,Engine!$C$2:$C$1199,0)))</f>
        <v/>
      </c>
      <c r="M286" s="7" t="str">
        <f>IF(ISNA(MATCH(273,Engine!$C$2:$C$1199,0)),"",INDEX('Compliance Database'!$M$2:$M$1199,MATCH(273,Engine!$C$2:$C$1199,0)))</f>
        <v/>
      </c>
      <c r="N286" s="7" t="str">
        <f>IF(ISNA(MATCH(273,Engine!$C$2:$C$1199,0)),"",INDEX('Compliance Database'!$N$2:$N$1199,MATCH(273,Engine!$C$2:$C$1199,0)))</f>
        <v/>
      </c>
      <c r="O286" s="7" t="str">
        <f>IF(ISNA(MATCH(273,Engine!$C$2:$C$1199,0)),"",INDEX('Compliance Database'!$O$2:$O$1199,MATCH(273,Engine!$C$2:$C$1199,0)))</f>
        <v/>
      </c>
      <c r="P286" s="6" t="str">
        <f>IF(ISNA(MATCH(273,Engine!$C$2:$C$1199,0)),"",HYPERLINK("#Acts!A"&amp;INDEX('Compliance Database'!$P$2:$P$1199,MATCH(273,Engine!$C$2:$C$1199,0)),"Go to Act"))</f>
        <v/>
      </c>
    </row>
    <row r="287" spans="1:16" ht="172.95" customHeight="1" x14ac:dyDescent="0.3">
      <c r="A287" s="6" t="str">
        <f>IF(ISNA(MATCH(274,Engine!$C$2:$C$1199,0)),"",INDEX('Compliance Database'!$A$2:$A$1199,MATCH(274,Engine!$C$2:$C$1199,0)))</f>
        <v/>
      </c>
      <c r="B287" s="6" t="str">
        <f>IF(ISNA(MATCH(274,Engine!$C$2:$C$1199,0)),"",INDEX('Compliance Database'!$B$2:$B$1199,MATCH(274,Engine!$C$2:$C$1199,0)))</f>
        <v/>
      </c>
      <c r="C287" s="6" t="str">
        <f>IF(ISNA(MATCH(274,Engine!$C$2:$C$1199,0)),"",INDEX('Compliance Database'!$C$2:$C$1199,MATCH(274,Engine!$C$2:$C$1199,0)))</f>
        <v/>
      </c>
      <c r="D287" s="7" t="str">
        <f>IF(ISNA(MATCH(274,Engine!$C$2:$C$1199,0)),"",INDEX('Compliance Database'!$D$2:$D$1199,MATCH(274,Engine!$C$2:$C$1199,0)))</f>
        <v/>
      </c>
      <c r="E287" s="6" t="str">
        <f>IF(ISNA(MATCH(274,Engine!$C$2:$C$1199,0)),"",INDEX('Compliance Database'!$E$2:$E$1199,MATCH(274,Engine!$C$2:$C$1199,0)))</f>
        <v/>
      </c>
      <c r="F287" s="6" t="str">
        <f>IF(ISNA(MATCH(274,Engine!$C$2:$C$1199,0)),"",INDEX('Compliance Database'!$F$2:$F$1199,MATCH(274,Engine!$C$2:$C$1199,0)))</f>
        <v/>
      </c>
      <c r="G287" s="6" t="str">
        <f>IF(ISNA(MATCH(274,Engine!$C$2:$C$1199,0)),"",INDEX('Compliance Database'!$G$2:$G$1199,MATCH(274,Engine!$C$2:$C$1199,0)))</f>
        <v/>
      </c>
      <c r="H287" s="7" t="str">
        <f>IF(ISNA(MATCH(274,Engine!$C$2:$C$1199,0)),"",INDEX('Compliance Database'!$H$2:$H$1199,MATCH(274,Engine!$C$2:$C$1199,0)))</f>
        <v/>
      </c>
      <c r="I287" s="7" t="str">
        <f>IF(ISNA(MATCH(274,Engine!$C$2:$C$1199,0)),"",INDEX('Compliance Database'!$I$2:$I$1199,MATCH(274,Engine!$C$2:$C$1199,0)))</f>
        <v/>
      </c>
      <c r="J287" s="6" t="str">
        <f>IF(ISNA(MATCH(274,Engine!$C$2:$C$1199,0)),"",INDEX('Compliance Database'!$J$2:$J$1199,MATCH(274,Engine!$C$2:$C$1199,0)))</f>
        <v/>
      </c>
      <c r="K287" s="7" t="str">
        <f>IF(ISNA(MATCH(274,Engine!$C$2:$C$1199,0)),"",INDEX('Compliance Database'!$K$2:$K$1199,MATCH(274,Engine!$C$2:$C$1199,0)))</f>
        <v/>
      </c>
      <c r="L287" s="7" t="str">
        <f>IF(ISNA(MATCH(274,Engine!$C$2:$C$1199,0)),"",INDEX('Compliance Database'!$L$2:$L$1199,MATCH(274,Engine!$C$2:$C$1199,0)))</f>
        <v/>
      </c>
      <c r="M287" s="7" t="str">
        <f>IF(ISNA(MATCH(274,Engine!$C$2:$C$1199,0)),"",INDEX('Compliance Database'!$M$2:$M$1199,MATCH(274,Engine!$C$2:$C$1199,0)))</f>
        <v/>
      </c>
      <c r="N287" s="7" t="str">
        <f>IF(ISNA(MATCH(274,Engine!$C$2:$C$1199,0)),"",INDEX('Compliance Database'!$N$2:$N$1199,MATCH(274,Engine!$C$2:$C$1199,0)))</f>
        <v/>
      </c>
      <c r="O287" s="7" t="str">
        <f>IF(ISNA(MATCH(274,Engine!$C$2:$C$1199,0)),"",INDEX('Compliance Database'!$O$2:$O$1199,MATCH(274,Engine!$C$2:$C$1199,0)))</f>
        <v/>
      </c>
      <c r="P287" s="6" t="str">
        <f>IF(ISNA(MATCH(274,Engine!$C$2:$C$1199,0)),"",HYPERLINK("#Acts!A"&amp;INDEX('Compliance Database'!$P$2:$P$1199,MATCH(274,Engine!$C$2:$C$1199,0)),"Go to Act"))</f>
        <v/>
      </c>
    </row>
    <row r="288" spans="1:16" ht="172.95" customHeight="1" x14ac:dyDescent="0.3">
      <c r="A288" s="6" t="str">
        <f>IF(ISNA(MATCH(275,Engine!$C$2:$C$1199,0)),"",INDEX('Compliance Database'!$A$2:$A$1199,MATCH(275,Engine!$C$2:$C$1199,0)))</f>
        <v/>
      </c>
      <c r="B288" s="6" t="str">
        <f>IF(ISNA(MATCH(275,Engine!$C$2:$C$1199,0)),"",INDEX('Compliance Database'!$B$2:$B$1199,MATCH(275,Engine!$C$2:$C$1199,0)))</f>
        <v/>
      </c>
      <c r="C288" s="6" t="str">
        <f>IF(ISNA(MATCH(275,Engine!$C$2:$C$1199,0)),"",INDEX('Compliance Database'!$C$2:$C$1199,MATCH(275,Engine!$C$2:$C$1199,0)))</f>
        <v/>
      </c>
      <c r="D288" s="7" t="str">
        <f>IF(ISNA(MATCH(275,Engine!$C$2:$C$1199,0)),"",INDEX('Compliance Database'!$D$2:$D$1199,MATCH(275,Engine!$C$2:$C$1199,0)))</f>
        <v/>
      </c>
      <c r="E288" s="6" t="str">
        <f>IF(ISNA(MATCH(275,Engine!$C$2:$C$1199,0)),"",INDEX('Compliance Database'!$E$2:$E$1199,MATCH(275,Engine!$C$2:$C$1199,0)))</f>
        <v/>
      </c>
      <c r="F288" s="6" t="str">
        <f>IF(ISNA(MATCH(275,Engine!$C$2:$C$1199,0)),"",INDEX('Compliance Database'!$F$2:$F$1199,MATCH(275,Engine!$C$2:$C$1199,0)))</f>
        <v/>
      </c>
      <c r="G288" s="6" t="str">
        <f>IF(ISNA(MATCH(275,Engine!$C$2:$C$1199,0)),"",INDEX('Compliance Database'!$G$2:$G$1199,MATCH(275,Engine!$C$2:$C$1199,0)))</f>
        <v/>
      </c>
      <c r="H288" s="7" t="str">
        <f>IF(ISNA(MATCH(275,Engine!$C$2:$C$1199,0)),"",INDEX('Compliance Database'!$H$2:$H$1199,MATCH(275,Engine!$C$2:$C$1199,0)))</f>
        <v/>
      </c>
      <c r="I288" s="7" t="str">
        <f>IF(ISNA(MATCH(275,Engine!$C$2:$C$1199,0)),"",INDEX('Compliance Database'!$I$2:$I$1199,MATCH(275,Engine!$C$2:$C$1199,0)))</f>
        <v/>
      </c>
      <c r="J288" s="6" t="str">
        <f>IF(ISNA(MATCH(275,Engine!$C$2:$C$1199,0)),"",INDEX('Compliance Database'!$J$2:$J$1199,MATCH(275,Engine!$C$2:$C$1199,0)))</f>
        <v/>
      </c>
      <c r="K288" s="7" t="str">
        <f>IF(ISNA(MATCH(275,Engine!$C$2:$C$1199,0)),"",INDEX('Compliance Database'!$K$2:$K$1199,MATCH(275,Engine!$C$2:$C$1199,0)))</f>
        <v/>
      </c>
      <c r="L288" s="7" t="str">
        <f>IF(ISNA(MATCH(275,Engine!$C$2:$C$1199,0)),"",INDEX('Compliance Database'!$L$2:$L$1199,MATCH(275,Engine!$C$2:$C$1199,0)))</f>
        <v/>
      </c>
      <c r="M288" s="7" t="str">
        <f>IF(ISNA(MATCH(275,Engine!$C$2:$C$1199,0)),"",INDEX('Compliance Database'!$M$2:$M$1199,MATCH(275,Engine!$C$2:$C$1199,0)))</f>
        <v/>
      </c>
      <c r="N288" s="7" t="str">
        <f>IF(ISNA(MATCH(275,Engine!$C$2:$C$1199,0)),"",INDEX('Compliance Database'!$N$2:$N$1199,MATCH(275,Engine!$C$2:$C$1199,0)))</f>
        <v/>
      </c>
      <c r="O288" s="7" t="str">
        <f>IF(ISNA(MATCH(275,Engine!$C$2:$C$1199,0)),"",INDEX('Compliance Database'!$O$2:$O$1199,MATCH(275,Engine!$C$2:$C$1199,0)))</f>
        <v/>
      </c>
      <c r="P288" s="6" t="str">
        <f>IF(ISNA(MATCH(275,Engine!$C$2:$C$1199,0)),"",HYPERLINK("#Acts!A"&amp;INDEX('Compliance Database'!$P$2:$P$1199,MATCH(275,Engine!$C$2:$C$1199,0)),"Go to Act"))</f>
        <v/>
      </c>
    </row>
    <row r="289" spans="1:16" ht="172.95" customHeight="1" x14ac:dyDescent="0.3">
      <c r="A289" s="6" t="str">
        <f>IF(ISNA(MATCH(276,Engine!$C$2:$C$1199,0)),"",INDEX('Compliance Database'!$A$2:$A$1199,MATCH(276,Engine!$C$2:$C$1199,0)))</f>
        <v/>
      </c>
      <c r="B289" s="6" t="str">
        <f>IF(ISNA(MATCH(276,Engine!$C$2:$C$1199,0)),"",INDEX('Compliance Database'!$B$2:$B$1199,MATCH(276,Engine!$C$2:$C$1199,0)))</f>
        <v/>
      </c>
      <c r="C289" s="6" t="str">
        <f>IF(ISNA(MATCH(276,Engine!$C$2:$C$1199,0)),"",INDEX('Compliance Database'!$C$2:$C$1199,MATCH(276,Engine!$C$2:$C$1199,0)))</f>
        <v/>
      </c>
      <c r="D289" s="7" t="str">
        <f>IF(ISNA(MATCH(276,Engine!$C$2:$C$1199,0)),"",INDEX('Compliance Database'!$D$2:$D$1199,MATCH(276,Engine!$C$2:$C$1199,0)))</f>
        <v/>
      </c>
      <c r="E289" s="6" t="str">
        <f>IF(ISNA(MATCH(276,Engine!$C$2:$C$1199,0)),"",INDEX('Compliance Database'!$E$2:$E$1199,MATCH(276,Engine!$C$2:$C$1199,0)))</f>
        <v/>
      </c>
      <c r="F289" s="6" t="str">
        <f>IF(ISNA(MATCH(276,Engine!$C$2:$C$1199,0)),"",INDEX('Compliance Database'!$F$2:$F$1199,MATCH(276,Engine!$C$2:$C$1199,0)))</f>
        <v/>
      </c>
      <c r="G289" s="6" t="str">
        <f>IF(ISNA(MATCH(276,Engine!$C$2:$C$1199,0)),"",INDEX('Compliance Database'!$G$2:$G$1199,MATCH(276,Engine!$C$2:$C$1199,0)))</f>
        <v/>
      </c>
      <c r="H289" s="7" t="str">
        <f>IF(ISNA(MATCH(276,Engine!$C$2:$C$1199,0)),"",INDEX('Compliance Database'!$H$2:$H$1199,MATCH(276,Engine!$C$2:$C$1199,0)))</f>
        <v/>
      </c>
      <c r="I289" s="7" t="str">
        <f>IF(ISNA(MATCH(276,Engine!$C$2:$C$1199,0)),"",INDEX('Compliance Database'!$I$2:$I$1199,MATCH(276,Engine!$C$2:$C$1199,0)))</f>
        <v/>
      </c>
      <c r="J289" s="6" t="str">
        <f>IF(ISNA(MATCH(276,Engine!$C$2:$C$1199,0)),"",INDEX('Compliance Database'!$J$2:$J$1199,MATCH(276,Engine!$C$2:$C$1199,0)))</f>
        <v/>
      </c>
      <c r="K289" s="7" t="str">
        <f>IF(ISNA(MATCH(276,Engine!$C$2:$C$1199,0)),"",INDEX('Compliance Database'!$K$2:$K$1199,MATCH(276,Engine!$C$2:$C$1199,0)))</f>
        <v/>
      </c>
      <c r="L289" s="7" t="str">
        <f>IF(ISNA(MATCH(276,Engine!$C$2:$C$1199,0)),"",INDEX('Compliance Database'!$L$2:$L$1199,MATCH(276,Engine!$C$2:$C$1199,0)))</f>
        <v/>
      </c>
      <c r="M289" s="7" t="str">
        <f>IF(ISNA(MATCH(276,Engine!$C$2:$C$1199,0)),"",INDEX('Compliance Database'!$M$2:$M$1199,MATCH(276,Engine!$C$2:$C$1199,0)))</f>
        <v/>
      </c>
      <c r="N289" s="7" t="str">
        <f>IF(ISNA(MATCH(276,Engine!$C$2:$C$1199,0)),"",INDEX('Compliance Database'!$N$2:$N$1199,MATCH(276,Engine!$C$2:$C$1199,0)))</f>
        <v/>
      </c>
      <c r="O289" s="7" t="str">
        <f>IF(ISNA(MATCH(276,Engine!$C$2:$C$1199,0)),"",INDEX('Compliance Database'!$O$2:$O$1199,MATCH(276,Engine!$C$2:$C$1199,0)))</f>
        <v/>
      </c>
      <c r="P289" s="6" t="str">
        <f>IF(ISNA(MATCH(276,Engine!$C$2:$C$1199,0)),"",HYPERLINK("#Acts!A"&amp;INDEX('Compliance Database'!$P$2:$P$1199,MATCH(276,Engine!$C$2:$C$1199,0)),"Go to Act"))</f>
        <v/>
      </c>
    </row>
    <row r="290" spans="1:16" ht="172.95" customHeight="1" x14ac:dyDescent="0.3">
      <c r="A290" s="6" t="str">
        <f>IF(ISNA(MATCH(277,Engine!$C$2:$C$1199,0)),"",INDEX('Compliance Database'!$A$2:$A$1199,MATCH(277,Engine!$C$2:$C$1199,0)))</f>
        <v/>
      </c>
      <c r="B290" s="6" t="str">
        <f>IF(ISNA(MATCH(277,Engine!$C$2:$C$1199,0)),"",INDEX('Compliance Database'!$B$2:$B$1199,MATCH(277,Engine!$C$2:$C$1199,0)))</f>
        <v/>
      </c>
      <c r="C290" s="6" t="str">
        <f>IF(ISNA(MATCH(277,Engine!$C$2:$C$1199,0)),"",INDEX('Compliance Database'!$C$2:$C$1199,MATCH(277,Engine!$C$2:$C$1199,0)))</f>
        <v/>
      </c>
      <c r="D290" s="7" t="str">
        <f>IF(ISNA(MATCH(277,Engine!$C$2:$C$1199,0)),"",INDEX('Compliance Database'!$D$2:$D$1199,MATCH(277,Engine!$C$2:$C$1199,0)))</f>
        <v/>
      </c>
      <c r="E290" s="6" t="str">
        <f>IF(ISNA(MATCH(277,Engine!$C$2:$C$1199,0)),"",INDEX('Compliance Database'!$E$2:$E$1199,MATCH(277,Engine!$C$2:$C$1199,0)))</f>
        <v/>
      </c>
      <c r="F290" s="6" t="str">
        <f>IF(ISNA(MATCH(277,Engine!$C$2:$C$1199,0)),"",INDEX('Compliance Database'!$F$2:$F$1199,MATCH(277,Engine!$C$2:$C$1199,0)))</f>
        <v/>
      </c>
      <c r="G290" s="6" t="str">
        <f>IF(ISNA(MATCH(277,Engine!$C$2:$C$1199,0)),"",INDEX('Compliance Database'!$G$2:$G$1199,MATCH(277,Engine!$C$2:$C$1199,0)))</f>
        <v/>
      </c>
      <c r="H290" s="7" t="str">
        <f>IF(ISNA(MATCH(277,Engine!$C$2:$C$1199,0)),"",INDEX('Compliance Database'!$H$2:$H$1199,MATCH(277,Engine!$C$2:$C$1199,0)))</f>
        <v/>
      </c>
      <c r="I290" s="7" t="str">
        <f>IF(ISNA(MATCH(277,Engine!$C$2:$C$1199,0)),"",INDEX('Compliance Database'!$I$2:$I$1199,MATCH(277,Engine!$C$2:$C$1199,0)))</f>
        <v/>
      </c>
      <c r="J290" s="6" t="str">
        <f>IF(ISNA(MATCH(277,Engine!$C$2:$C$1199,0)),"",INDEX('Compliance Database'!$J$2:$J$1199,MATCH(277,Engine!$C$2:$C$1199,0)))</f>
        <v/>
      </c>
      <c r="K290" s="7" t="str">
        <f>IF(ISNA(MATCH(277,Engine!$C$2:$C$1199,0)),"",INDEX('Compliance Database'!$K$2:$K$1199,MATCH(277,Engine!$C$2:$C$1199,0)))</f>
        <v/>
      </c>
      <c r="L290" s="7" t="str">
        <f>IF(ISNA(MATCH(277,Engine!$C$2:$C$1199,0)),"",INDEX('Compliance Database'!$L$2:$L$1199,MATCH(277,Engine!$C$2:$C$1199,0)))</f>
        <v/>
      </c>
      <c r="M290" s="7" t="str">
        <f>IF(ISNA(MATCH(277,Engine!$C$2:$C$1199,0)),"",INDEX('Compliance Database'!$M$2:$M$1199,MATCH(277,Engine!$C$2:$C$1199,0)))</f>
        <v/>
      </c>
      <c r="N290" s="7" t="str">
        <f>IF(ISNA(MATCH(277,Engine!$C$2:$C$1199,0)),"",INDEX('Compliance Database'!$N$2:$N$1199,MATCH(277,Engine!$C$2:$C$1199,0)))</f>
        <v/>
      </c>
      <c r="O290" s="7" t="str">
        <f>IF(ISNA(MATCH(277,Engine!$C$2:$C$1199,0)),"",INDEX('Compliance Database'!$O$2:$O$1199,MATCH(277,Engine!$C$2:$C$1199,0)))</f>
        <v/>
      </c>
      <c r="P290" s="6" t="str">
        <f>IF(ISNA(MATCH(277,Engine!$C$2:$C$1199,0)),"",HYPERLINK("#Acts!A"&amp;INDEX('Compliance Database'!$P$2:$P$1199,MATCH(277,Engine!$C$2:$C$1199,0)),"Go to Act"))</f>
        <v/>
      </c>
    </row>
    <row r="291" spans="1:16" ht="172.95" customHeight="1" x14ac:dyDescent="0.3">
      <c r="A291" s="6" t="str">
        <f>IF(ISNA(MATCH(278,Engine!$C$2:$C$1199,0)),"",INDEX('Compliance Database'!$A$2:$A$1199,MATCH(278,Engine!$C$2:$C$1199,0)))</f>
        <v/>
      </c>
      <c r="B291" s="6" t="str">
        <f>IF(ISNA(MATCH(278,Engine!$C$2:$C$1199,0)),"",INDEX('Compliance Database'!$B$2:$B$1199,MATCH(278,Engine!$C$2:$C$1199,0)))</f>
        <v/>
      </c>
      <c r="C291" s="6" t="str">
        <f>IF(ISNA(MATCH(278,Engine!$C$2:$C$1199,0)),"",INDEX('Compliance Database'!$C$2:$C$1199,MATCH(278,Engine!$C$2:$C$1199,0)))</f>
        <v/>
      </c>
      <c r="D291" s="7" t="str">
        <f>IF(ISNA(MATCH(278,Engine!$C$2:$C$1199,0)),"",INDEX('Compliance Database'!$D$2:$D$1199,MATCH(278,Engine!$C$2:$C$1199,0)))</f>
        <v/>
      </c>
      <c r="E291" s="6" t="str">
        <f>IF(ISNA(MATCH(278,Engine!$C$2:$C$1199,0)),"",INDEX('Compliance Database'!$E$2:$E$1199,MATCH(278,Engine!$C$2:$C$1199,0)))</f>
        <v/>
      </c>
      <c r="F291" s="6" t="str">
        <f>IF(ISNA(MATCH(278,Engine!$C$2:$C$1199,0)),"",INDEX('Compliance Database'!$F$2:$F$1199,MATCH(278,Engine!$C$2:$C$1199,0)))</f>
        <v/>
      </c>
      <c r="G291" s="6" t="str">
        <f>IF(ISNA(MATCH(278,Engine!$C$2:$C$1199,0)),"",INDEX('Compliance Database'!$G$2:$G$1199,MATCH(278,Engine!$C$2:$C$1199,0)))</f>
        <v/>
      </c>
      <c r="H291" s="7" t="str">
        <f>IF(ISNA(MATCH(278,Engine!$C$2:$C$1199,0)),"",INDEX('Compliance Database'!$H$2:$H$1199,MATCH(278,Engine!$C$2:$C$1199,0)))</f>
        <v/>
      </c>
      <c r="I291" s="7" t="str">
        <f>IF(ISNA(MATCH(278,Engine!$C$2:$C$1199,0)),"",INDEX('Compliance Database'!$I$2:$I$1199,MATCH(278,Engine!$C$2:$C$1199,0)))</f>
        <v/>
      </c>
      <c r="J291" s="6" t="str">
        <f>IF(ISNA(MATCH(278,Engine!$C$2:$C$1199,0)),"",INDEX('Compliance Database'!$J$2:$J$1199,MATCH(278,Engine!$C$2:$C$1199,0)))</f>
        <v/>
      </c>
      <c r="K291" s="7" t="str">
        <f>IF(ISNA(MATCH(278,Engine!$C$2:$C$1199,0)),"",INDEX('Compliance Database'!$K$2:$K$1199,MATCH(278,Engine!$C$2:$C$1199,0)))</f>
        <v/>
      </c>
      <c r="L291" s="7" t="str">
        <f>IF(ISNA(MATCH(278,Engine!$C$2:$C$1199,0)),"",INDEX('Compliance Database'!$L$2:$L$1199,MATCH(278,Engine!$C$2:$C$1199,0)))</f>
        <v/>
      </c>
      <c r="M291" s="7" t="str">
        <f>IF(ISNA(MATCH(278,Engine!$C$2:$C$1199,0)),"",INDEX('Compliance Database'!$M$2:$M$1199,MATCH(278,Engine!$C$2:$C$1199,0)))</f>
        <v/>
      </c>
      <c r="N291" s="7" t="str">
        <f>IF(ISNA(MATCH(278,Engine!$C$2:$C$1199,0)),"",INDEX('Compliance Database'!$N$2:$N$1199,MATCH(278,Engine!$C$2:$C$1199,0)))</f>
        <v/>
      </c>
      <c r="O291" s="7" t="str">
        <f>IF(ISNA(MATCH(278,Engine!$C$2:$C$1199,0)),"",INDEX('Compliance Database'!$O$2:$O$1199,MATCH(278,Engine!$C$2:$C$1199,0)))</f>
        <v/>
      </c>
      <c r="P291" s="6" t="str">
        <f>IF(ISNA(MATCH(278,Engine!$C$2:$C$1199,0)),"",HYPERLINK("#Acts!A"&amp;INDEX('Compliance Database'!$P$2:$P$1199,MATCH(278,Engine!$C$2:$C$1199,0)),"Go to Act"))</f>
        <v/>
      </c>
    </row>
    <row r="292" spans="1:16" ht="172.95" customHeight="1" x14ac:dyDescent="0.3">
      <c r="A292" s="6" t="str">
        <f>IF(ISNA(MATCH(279,Engine!$C$2:$C$1199,0)),"",INDEX('Compliance Database'!$A$2:$A$1199,MATCH(279,Engine!$C$2:$C$1199,0)))</f>
        <v/>
      </c>
      <c r="B292" s="6" t="str">
        <f>IF(ISNA(MATCH(279,Engine!$C$2:$C$1199,0)),"",INDEX('Compliance Database'!$B$2:$B$1199,MATCH(279,Engine!$C$2:$C$1199,0)))</f>
        <v/>
      </c>
      <c r="C292" s="6" t="str">
        <f>IF(ISNA(MATCH(279,Engine!$C$2:$C$1199,0)),"",INDEX('Compliance Database'!$C$2:$C$1199,MATCH(279,Engine!$C$2:$C$1199,0)))</f>
        <v/>
      </c>
      <c r="D292" s="7" t="str">
        <f>IF(ISNA(MATCH(279,Engine!$C$2:$C$1199,0)),"",INDEX('Compliance Database'!$D$2:$D$1199,MATCH(279,Engine!$C$2:$C$1199,0)))</f>
        <v/>
      </c>
      <c r="E292" s="6" t="str">
        <f>IF(ISNA(MATCH(279,Engine!$C$2:$C$1199,0)),"",INDEX('Compliance Database'!$E$2:$E$1199,MATCH(279,Engine!$C$2:$C$1199,0)))</f>
        <v/>
      </c>
      <c r="F292" s="6" t="str">
        <f>IF(ISNA(MATCH(279,Engine!$C$2:$C$1199,0)),"",INDEX('Compliance Database'!$F$2:$F$1199,MATCH(279,Engine!$C$2:$C$1199,0)))</f>
        <v/>
      </c>
      <c r="G292" s="6" t="str">
        <f>IF(ISNA(MATCH(279,Engine!$C$2:$C$1199,0)),"",INDEX('Compliance Database'!$G$2:$G$1199,MATCH(279,Engine!$C$2:$C$1199,0)))</f>
        <v/>
      </c>
      <c r="H292" s="7" t="str">
        <f>IF(ISNA(MATCH(279,Engine!$C$2:$C$1199,0)),"",INDEX('Compliance Database'!$H$2:$H$1199,MATCH(279,Engine!$C$2:$C$1199,0)))</f>
        <v/>
      </c>
      <c r="I292" s="7" t="str">
        <f>IF(ISNA(MATCH(279,Engine!$C$2:$C$1199,0)),"",INDEX('Compliance Database'!$I$2:$I$1199,MATCH(279,Engine!$C$2:$C$1199,0)))</f>
        <v/>
      </c>
      <c r="J292" s="6" t="str">
        <f>IF(ISNA(MATCH(279,Engine!$C$2:$C$1199,0)),"",INDEX('Compliance Database'!$J$2:$J$1199,MATCH(279,Engine!$C$2:$C$1199,0)))</f>
        <v/>
      </c>
      <c r="K292" s="7" t="str">
        <f>IF(ISNA(MATCH(279,Engine!$C$2:$C$1199,0)),"",INDEX('Compliance Database'!$K$2:$K$1199,MATCH(279,Engine!$C$2:$C$1199,0)))</f>
        <v/>
      </c>
      <c r="L292" s="7" t="str">
        <f>IF(ISNA(MATCH(279,Engine!$C$2:$C$1199,0)),"",INDEX('Compliance Database'!$L$2:$L$1199,MATCH(279,Engine!$C$2:$C$1199,0)))</f>
        <v/>
      </c>
      <c r="M292" s="7" t="str">
        <f>IF(ISNA(MATCH(279,Engine!$C$2:$C$1199,0)),"",INDEX('Compliance Database'!$M$2:$M$1199,MATCH(279,Engine!$C$2:$C$1199,0)))</f>
        <v/>
      </c>
      <c r="N292" s="7" t="str">
        <f>IF(ISNA(MATCH(279,Engine!$C$2:$C$1199,0)),"",INDEX('Compliance Database'!$N$2:$N$1199,MATCH(279,Engine!$C$2:$C$1199,0)))</f>
        <v/>
      </c>
      <c r="O292" s="7" t="str">
        <f>IF(ISNA(MATCH(279,Engine!$C$2:$C$1199,0)),"",INDEX('Compliance Database'!$O$2:$O$1199,MATCH(279,Engine!$C$2:$C$1199,0)))</f>
        <v/>
      </c>
      <c r="P292" s="6" t="str">
        <f>IF(ISNA(MATCH(279,Engine!$C$2:$C$1199,0)),"",HYPERLINK("#Acts!A"&amp;INDEX('Compliance Database'!$P$2:$P$1199,MATCH(279,Engine!$C$2:$C$1199,0)),"Go to Act"))</f>
        <v/>
      </c>
    </row>
    <row r="293" spans="1:16" ht="172.95" customHeight="1" x14ac:dyDescent="0.3">
      <c r="A293" s="6" t="str">
        <f>IF(ISNA(MATCH(280,Engine!$C$2:$C$1199,0)),"",INDEX('Compliance Database'!$A$2:$A$1199,MATCH(280,Engine!$C$2:$C$1199,0)))</f>
        <v/>
      </c>
      <c r="B293" s="6" t="str">
        <f>IF(ISNA(MATCH(280,Engine!$C$2:$C$1199,0)),"",INDEX('Compliance Database'!$B$2:$B$1199,MATCH(280,Engine!$C$2:$C$1199,0)))</f>
        <v/>
      </c>
      <c r="C293" s="6" t="str">
        <f>IF(ISNA(MATCH(280,Engine!$C$2:$C$1199,0)),"",INDEX('Compliance Database'!$C$2:$C$1199,MATCH(280,Engine!$C$2:$C$1199,0)))</f>
        <v/>
      </c>
      <c r="D293" s="7" t="str">
        <f>IF(ISNA(MATCH(280,Engine!$C$2:$C$1199,0)),"",INDEX('Compliance Database'!$D$2:$D$1199,MATCH(280,Engine!$C$2:$C$1199,0)))</f>
        <v/>
      </c>
      <c r="E293" s="6" t="str">
        <f>IF(ISNA(MATCH(280,Engine!$C$2:$C$1199,0)),"",INDEX('Compliance Database'!$E$2:$E$1199,MATCH(280,Engine!$C$2:$C$1199,0)))</f>
        <v/>
      </c>
      <c r="F293" s="6" t="str">
        <f>IF(ISNA(MATCH(280,Engine!$C$2:$C$1199,0)),"",INDEX('Compliance Database'!$F$2:$F$1199,MATCH(280,Engine!$C$2:$C$1199,0)))</f>
        <v/>
      </c>
      <c r="G293" s="6" t="str">
        <f>IF(ISNA(MATCH(280,Engine!$C$2:$C$1199,0)),"",INDEX('Compliance Database'!$G$2:$G$1199,MATCH(280,Engine!$C$2:$C$1199,0)))</f>
        <v/>
      </c>
      <c r="H293" s="7" t="str">
        <f>IF(ISNA(MATCH(280,Engine!$C$2:$C$1199,0)),"",INDEX('Compliance Database'!$H$2:$H$1199,MATCH(280,Engine!$C$2:$C$1199,0)))</f>
        <v/>
      </c>
      <c r="I293" s="7" t="str">
        <f>IF(ISNA(MATCH(280,Engine!$C$2:$C$1199,0)),"",INDEX('Compliance Database'!$I$2:$I$1199,MATCH(280,Engine!$C$2:$C$1199,0)))</f>
        <v/>
      </c>
      <c r="J293" s="6" t="str">
        <f>IF(ISNA(MATCH(280,Engine!$C$2:$C$1199,0)),"",INDEX('Compliance Database'!$J$2:$J$1199,MATCH(280,Engine!$C$2:$C$1199,0)))</f>
        <v/>
      </c>
      <c r="K293" s="7" t="str">
        <f>IF(ISNA(MATCH(280,Engine!$C$2:$C$1199,0)),"",INDEX('Compliance Database'!$K$2:$K$1199,MATCH(280,Engine!$C$2:$C$1199,0)))</f>
        <v/>
      </c>
      <c r="L293" s="7" t="str">
        <f>IF(ISNA(MATCH(280,Engine!$C$2:$C$1199,0)),"",INDEX('Compliance Database'!$L$2:$L$1199,MATCH(280,Engine!$C$2:$C$1199,0)))</f>
        <v/>
      </c>
      <c r="M293" s="7" t="str">
        <f>IF(ISNA(MATCH(280,Engine!$C$2:$C$1199,0)),"",INDEX('Compliance Database'!$M$2:$M$1199,MATCH(280,Engine!$C$2:$C$1199,0)))</f>
        <v/>
      </c>
      <c r="N293" s="7" t="str">
        <f>IF(ISNA(MATCH(280,Engine!$C$2:$C$1199,0)),"",INDEX('Compliance Database'!$N$2:$N$1199,MATCH(280,Engine!$C$2:$C$1199,0)))</f>
        <v/>
      </c>
      <c r="O293" s="7" t="str">
        <f>IF(ISNA(MATCH(280,Engine!$C$2:$C$1199,0)),"",INDEX('Compliance Database'!$O$2:$O$1199,MATCH(280,Engine!$C$2:$C$1199,0)))</f>
        <v/>
      </c>
      <c r="P293" s="6" t="str">
        <f>IF(ISNA(MATCH(280,Engine!$C$2:$C$1199,0)),"",HYPERLINK("#Acts!A"&amp;INDEX('Compliance Database'!$P$2:$P$1199,MATCH(280,Engine!$C$2:$C$1199,0)),"Go to Act"))</f>
        <v/>
      </c>
    </row>
    <row r="294" spans="1:16" ht="172.95" customHeight="1" x14ac:dyDescent="0.3">
      <c r="A294" s="6" t="str">
        <f>IF(ISNA(MATCH(281,Engine!$C$2:$C$1199,0)),"",INDEX('Compliance Database'!$A$2:$A$1199,MATCH(281,Engine!$C$2:$C$1199,0)))</f>
        <v/>
      </c>
      <c r="B294" s="6" t="str">
        <f>IF(ISNA(MATCH(281,Engine!$C$2:$C$1199,0)),"",INDEX('Compliance Database'!$B$2:$B$1199,MATCH(281,Engine!$C$2:$C$1199,0)))</f>
        <v/>
      </c>
      <c r="C294" s="6" t="str">
        <f>IF(ISNA(MATCH(281,Engine!$C$2:$C$1199,0)),"",INDEX('Compliance Database'!$C$2:$C$1199,MATCH(281,Engine!$C$2:$C$1199,0)))</f>
        <v/>
      </c>
      <c r="D294" s="7" t="str">
        <f>IF(ISNA(MATCH(281,Engine!$C$2:$C$1199,0)),"",INDEX('Compliance Database'!$D$2:$D$1199,MATCH(281,Engine!$C$2:$C$1199,0)))</f>
        <v/>
      </c>
      <c r="E294" s="6" t="str">
        <f>IF(ISNA(MATCH(281,Engine!$C$2:$C$1199,0)),"",INDEX('Compliance Database'!$E$2:$E$1199,MATCH(281,Engine!$C$2:$C$1199,0)))</f>
        <v/>
      </c>
      <c r="F294" s="6" t="str">
        <f>IF(ISNA(MATCH(281,Engine!$C$2:$C$1199,0)),"",INDEX('Compliance Database'!$F$2:$F$1199,MATCH(281,Engine!$C$2:$C$1199,0)))</f>
        <v/>
      </c>
      <c r="G294" s="6" t="str">
        <f>IF(ISNA(MATCH(281,Engine!$C$2:$C$1199,0)),"",INDEX('Compliance Database'!$G$2:$G$1199,MATCH(281,Engine!$C$2:$C$1199,0)))</f>
        <v/>
      </c>
      <c r="H294" s="7" t="str">
        <f>IF(ISNA(MATCH(281,Engine!$C$2:$C$1199,0)),"",INDEX('Compliance Database'!$H$2:$H$1199,MATCH(281,Engine!$C$2:$C$1199,0)))</f>
        <v/>
      </c>
      <c r="I294" s="7" t="str">
        <f>IF(ISNA(MATCH(281,Engine!$C$2:$C$1199,0)),"",INDEX('Compliance Database'!$I$2:$I$1199,MATCH(281,Engine!$C$2:$C$1199,0)))</f>
        <v/>
      </c>
      <c r="J294" s="6" t="str">
        <f>IF(ISNA(MATCH(281,Engine!$C$2:$C$1199,0)),"",INDEX('Compliance Database'!$J$2:$J$1199,MATCH(281,Engine!$C$2:$C$1199,0)))</f>
        <v/>
      </c>
      <c r="K294" s="7" t="str">
        <f>IF(ISNA(MATCH(281,Engine!$C$2:$C$1199,0)),"",INDEX('Compliance Database'!$K$2:$K$1199,MATCH(281,Engine!$C$2:$C$1199,0)))</f>
        <v/>
      </c>
      <c r="L294" s="7" t="str">
        <f>IF(ISNA(MATCH(281,Engine!$C$2:$C$1199,0)),"",INDEX('Compliance Database'!$L$2:$L$1199,MATCH(281,Engine!$C$2:$C$1199,0)))</f>
        <v/>
      </c>
      <c r="M294" s="7" t="str">
        <f>IF(ISNA(MATCH(281,Engine!$C$2:$C$1199,0)),"",INDEX('Compliance Database'!$M$2:$M$1199,MATCH(281,Engine!$C$2:$C$1199,0)))</f>
        <v/>
      </c>
      <c r="N294" s="7" t="str">
        <f>IF(ISNA(MATCH(281,Engine!$C$2:$C$1199,0)),"",INDEX('Compliance Database'!$N$2:$N$1199,MATCH(281,Engine!$C$2:$C$1199,0)))</f>
        <v/>
      </c>
      <c r="O294" s="7" t="str">
        <f>IF(ISNA(MATCH(281,Engine!$C$2:$C$1199,0)),"",INDEX('Compliance Database'!$O$2:$O$1199,MATCH(281,Engine!$C$2:$C$1199,0)))</f>
        <v/>
      </c>
      <c r="P294" s="6" t="str">
        <f>IF(ISNA(MATCH(281,Engine!$C$2:$C$1199,0)),"",HYPERLINK("#Acts!A"&amp;INDEX('Compliance Database'!$P$2:$P$1199,MATCH(281,Engine!$C$2:$C$1199,0)),"Go to Act"))</f>
        <v/>
      </c>
    </row>
    <row r="295" spans="1:16" ht="172.95" customHeight="1" x14ac:dyDescent="0.3">
      <c r="A295" s="6" t="str">
        <f>IF(ISNA(MATCH(282,Engine!$C$2:$C$1199,0)),"",INDEX('Compliance Database'!$A$2:$A$1199,MATCH(282,Engine!$C$2:$C$1199,0)))</f>
        <v/>
      </c>
      <c r="B295" s="6" t="str">
        <f>IF(ISNA(MATCH(282,Engine!$C$2:$C$1199,0)),"",INDEX('Compliance Database'!$B$2:$B$1199,MATCH(282,Engine!$C$2:$C$1199,0)))</f>
        <v/>
      </c>
      <c r="C295" s="6" t="str">
        <f>IF(ISNA(MATCH(282,Engine!$C$2:$C$1199,0)),"",INDEX('Compliance Database'!$C$2:$C$1199,MATCH(282,Engine!$C$2:$C$1199,0)))</f>
        <v/>
      </c>
      <c r="D295" s="7" t="str">
        <f>IF(ISNA(MATCH(282,Engine!$C$2:$C$1199,0)),"",INDEX('Compliance Database'!$D$2:$D$1199,MATCH(282,Engine!$C$2:$C$1199,0)))</f>
        <v/>
      </c>
      <c r="E295" s="6" t="str">
        <f>IF(ISNA(MATCH(282,Engine!$C$2:$C$1199,0)),"",INDEX('Compliance Database'!$E$2:$E$1199,MATCH(282,Engine!$C$2:$C$1199,0)))</f>
        <v/>
      </c>
      <c r="F295" s="6" t="str">
        <f>IF(ISNA(MATCH(282,Engine!$C$2:$C$1199,0)),"",INDEX('Compliance Database'!$F$2:$F$1199,MATCH(282,Engine!$C$2:$C$1199,0)))</f>
        <v/>
      </c>
      <c r="G295" s="6" t="str">
        <f>IF(ISNA(MATCH(282,Engine!$C$2:$C$1199,0)),"",INDEX('Compliance Database'!$G$2:$G$1199,MATCH(282,Engine!$C$2:$C$1199,0)))</f>
        <v/>
      </c>
      <c r="H295" s="7" t="str">
        <f>IF(ISNA(MATCH(282,Engine!$C$2:$C$1199,0)),"",INDEX('Compliance Database'!$H$2:$H$1199,MATCH(282,Engine!$C$2:$C$1199,0)))</f>
        <v/>
      </c>
      <c r="I295" s="7" t="str">
        <f>IF(ISNA(MATCH(282,Engine!$C$2:$C$1199,0)),"",INDEX('Compliance Database'!$I$2:$I$1199,MATCH(282,Engine!$C$2:$C$1199,0)))</f>
        <v/>
      </c>
      <c r="J295" s="6" t="str">
        <f>IF(ISNA(MATCH(282,Engine!$C$2:$C$1199,0)),"",INDEX('Compliance Database'!$J$2:$J$1199,MATCH(282,Engine!$C$2:$C$1199,0)))</f>
        <v/>
      </c>
      <c r="K295" s="7" t="str">
        <f>IF(ISNA(MATCH(282,Engine!$C$2:$C$1199,0)),"",INDEX('Compliance Database'!$K$2:$K$1199,MATCH(282,Engine!$C$2:$C$1199,0)))</f>
        <v/>
      </c>
      <c r="L295" s="7" t="str">
        <f>IF(ISNA(MATCH(282,Engine!$C$2:$C$1199,0)),"",INDEX('Compliance Database'!$L$2:$L$1199,MATCH(282,Engine!$C$2:$C$1199,0)))</f>
        <v/>
      </c>
      <c r="M295" s="7" t="str">
        <f>IF(ISNA(MATCH(282,Engine!$C$2:$C$1199,0)),"",INDEX('Compliance Database'!$M$2:$M$1199,MATCH(282,Engine!$C$2:$C$1199,0)))</f>
        <v/>
      </c>
      <c r="N295" s="7" t="str">
        <f>IF(ISNA(MATCH(282,Engine!$C$2:$C$1199,0)),"",INDEX('Compliance Database'!$N$2:$N$1199,MATCH(282,Engine!$C$2:$C$1199,0)))</f>
        <v/>
      </c>
      <c r="O295" s="7" t="str">
        <f>IF(ISNA(MATCH(282,Engine!$C$2:$C$1199,0)),"",INDEX('Compliance Database'!$O$2:$O$1199,MATCH(282,Engine!$C$2:$C$1199,0)))</f>
        <v/>
      </c>
      <c r="P295" s="6" t="str">
        <f>IF(ISNA(MATCH(282,Engine!$C$2:$C$1199,0)),"",HYPERLINK("#Acts!A"&amp;INDEX('Compliance Database'!$P$2:$P$1199,MATCH(282,Engine!$C$2:$C$1199,0)),"Go to Act"))</f>
        <v/>
      </c>
    </row>
    <row r="296" spans="1:16" ht="172.95" customHeight="1" x14ac:dyDescent="0.3">
      <c r="A296" s="6" t="str">
        <f>IF(ISNA(MATCH(283,Engine!$C$2:$C$1199,0)),"",INDEX('Compliance Database'!$A$2:$A$1199,MATCH(283,Engine!$C$2:$C$1199,0)))</f>
        <v/>
      </c>
      <c r="B296" s="6" t="str">
        <f>IF(ISNA(MATCH(283,Engine!$C$2:$C$1199,0)),"",INDEX('Compliance Database'!$B$2:$B$1199,MATCH(283,Engine!$C$2:$C$1199,0)))</f>
        <v/>
      </c>
      <c r="C296" s="6" t="str">
        <f>IF(ISNA(MATCH(283,Engine!$C$2:$C$1199,0)),"",INDEX('Compliance Database'!$C$2:$C$1199,MATCH(283,Engine!$C$2:$C$1199,0)))</f>
        <v/>
      </c>
      <c r="D296" s="7" t="str">
        <f>IF(ISNA(MATCH(283,Engine!$C$2:$C$1199,0)),"",INDEX('Compliance Database'!$D$2:$D$1199,MATCH(283,Engine!$C$2:$C$1199,0)))</f>
        <v/>
      </c>
      <c r="E296" s="6" t="str">
        <f>IF(ISNA(MATCH(283,Engine!$C$2:$C$1199,0)),"",INDEX('Compliance Database'!$E$2:$E$1199,MATCH(283,Engine!$C$2:$C$1199,0)))</f>
        <v/>
      </c>
      <c r="F296" s="6" t="str">
        <f>IF(ISNA(MATCH(283,Engine!$C$2:$C$1199,0)),"",INDEX('Compliance Database'!$F$2:$F$1199,MATCH(283,Engine!$C$2:$C$1199,0)))</f>
        <v/>
      </c>
      <c r="G296" s="6" t="str">
        <f>IF(ISNA(MATCH(283,Engine!$C$2:$C$1199,0)),"",INDEX('Compliance Database'!$G$2:$G$1199,MATCH(283,Engine!$C$2:$C$1199,0)))</f>
        <v/>
      </c>
      <c r="H296" s="7" t="str">
        <f>IF(ISNA(MATCH(283,Engine!$C$2:$C$1199,0)),"",INDEX('Compliance Database'!$H$2:$H$1199,MATCH(283,Engine!$C$2:$C$1199,0)))</f>
        <v/>
      </c>
      <c r="I296" s="7" t="str">
        <f>IF(ISNA(MATCH(283,Engine!$C$2:$C$1199,0)),"",INDEX('Compliance Database'!$I$2:$I$1199,MATCH(283,Engine!$C$2:$C$1199,0)))</f>
        <v/>
      </c>
      <c r="J296" s="6" t="str">
        <f>IF(ISNA(MATCH(283,Engine!$C$2:$C$1199,0)),"",INDEX('Compliance Database'!$J$2:$J$1199,MATCH(283,Engine!$C$2:$C$1199,0)))</f>
        <v/>
      </c>
      <c r="K296" s="7" t="str">
        <f>IF(ISNA(MATCH(283,Engine!$C$2:$C$1199,0)),"",INDEX('Compliance Database'!$K$2:$K$1199,MATCH(283,Engine!$C$2:$C$1199,0)))</f>
        <v/>
      </c>
      <c r="L296" s="7" t="str">
        <f>IF(ISNA(MATCH(283,Engine!$C$2:$C$1199,0)),"",INDEX('Compliance Database'!$L$2:$L$1199,MATCH(283,Engine!$C$2:$C$1199,0)))</f>
        <v/>
      </c>
      <c r="M296" s="7" t="str">
        <f>IF(ISNA(MATCH(283,Engine!$C$2:$C$1199,0)),"",INDEX('Compliance Database'!$M$2:$M$1199,MATCH(283,Engine!$C$2:$C$1199,0)))</f>
        <v/>
      </c>
      <c r="N296" s="7" t="str">
        <f>IF(ISNA(MATCH(283,Engine!$C$2:$C$1199,0)),"",INDEX('Compliance Database'!$N$2:$N$1199,MATCH(283,Engine!$C$2:$C$1199,0)))</f>
        <v/>
      </c>
      <c r="O296" s="7" t="str">
        <f>IF(ISNA(MATCH(283,Engine!$C$2:$C$1199,0)),"",INDEX('Compliance Database'!$O$2:$O$1199,MATCH(283,Engine!$C$2:$C$1199,0)))</f>
        <v/>
      </c>
      <c r="P296" s="6" t="str">
        <f>IF(ISNA(MATCH(283,Engine!$C$2:$C$1199,0)),"",HYPERLINK("#Acts!A"&amp;INDEX('Compliance Database'!$P$2:$P$1199,MATCH(283,Engine!$C$2:$C$1199,0)),"Go to Act"))</f>
        <v/>
      </c>
    </row>
    <row r="297" spans="1:16" ht="172.95" customHeight="1" x14ac:dyDescent="0.3">
      <c r="A297" s="6" t="str">
        <f>IF(ISNA(MATCH(284,Engine!$C$2:$C$1199,0)),"",INDEX('Compliance Database'!$A$2:$A$1199,MATCH(284,Engine!$C$2:$C$1199,0)))</f>
        <v/>
      </c>
      <c r="B297" s="6" t="str">
        <f>IF(ISNA(MATCH(284,Engine!$C$2:$C$1199,0)),"",INDEX('Compliance Database'!$B$2:$B$1199,MATCH(284,Engine!$C$2:$C$1199,0)))</f>
        <v/>
      </c>
      <c r="C297" s="6" t="str">
        <f>IF(ISNA(MATCH(284,Engine!$C$2:$C$1199,0)),"",INDEX('Compliance Database'!$C$2:$C$1199,MATCH(284,Engine!$C$2:$C$1199,0)))</f>
        <v/>
      </c>
      <c r="D297" s="7" t="str">
        <f>IF(ISNA(MATCH(284,Engine!$C$2:$C$1199,0)),"",INDEX('Compliance Database'!$D$2:$D$1199,MATCH(284,Engine!$C$2:$C$1199,0)))</f>
        <v/>
      </c>
      <c r="E297" s="6" t="str">
        <f>IF(ISNA(MATCH(284,Engine!$C$2:$C$1199,0)),"",INDEX('Compliance Database'!$E$2:$E$1199,MATCH(284,Engine!$C$2:$C$1199,0)))</f>
        <v/>
      </c>
      <c r="F297" s="6" t="str">
        <f>IF(ISNA(MATCH(284,Engine!$C$2:$C$1199,0)),"",INDEX('Compliance Database'!$F$2:$F$1199,MATCH(284,Engine!$C$2:$C$1199,0)))</f>
        <v/>
      </c>
      <c r="G297" s="6" t="str">
        <f>IF(ISNA(MATCH(284,Engine!$C$2:$C$1199,0)),"",INDEX('Compliance Database'!$G$2:$G$1199,MATCH(284,Engine!$C$2:$C$1199,0)))</f>
        <v/>
      </c>
      <c r="H297" s="7" t="str">
        <f>IF(ISNA(MATCH(284,Engine!$C$2:$C$1199,0)),"",INDEX('Compliance Database'!$H$2:$H$1199,MATCH(284,Engine!$C$2:$C$1199,0)))</f>
        <v/>
      </c>
      <c r="I297" s="7" t="str">
        <f>IF(ISNA(MATCH(284,Engine!$C$2:$C$1199,0)),"",INDEX('Compliance Database'!$I$2:$I$1199,MATCH(284,Engine!$C$2:$C$1199,0)))</f>
        <v/>
      </c>
      <c r="J297" s="6" t="str">
        <f>IF(ISNA(MATCH(284,Engine!$C$2:$C$1199,0)),"",INDEX('Compliance Database'!$J$2:$J$1199,MATCH(284,Engine!$C$2:$C$1199,0)))</f>
        <v/>
      </c>
      <c r="K297" s="7" t="str">
        <f>IF(ISNA(MATCH(284,Engine!$C$2:$C$1199,0)),"",INDEX('Compliance Database'!$K$2:$K$1199,MATCH(284,Engine!$C$2:$C$1199,0)))</f>
        <v/>
      </c>
      <c r="L297" s="7" t="str">
        <f>IF(ISNA(MATCH(284,Engine!$C$2:$C$1199,0)),"",INDEX('Compliance Database'!$L$2:$L$1199,MATCH(284,Engine!$C$2:$C$1199,0)))</f>
        <v/>
      </c>
      <c r="M297" s="7" t="str">
        <f>IF(ISNA(MATCH(284,Engine!$C$2:$C$1199,0)),"",INDEX('Compliance Database'!$M$2:$M$1199,MATCH(284,Engine!$C$2:$C$1199,0)))</f>
        <v/>
      </c>
      <c r="N297" s="7" t="str">
        <f>IF(ISNA(MATCH(284,Engine!$C$2:$C$1199,0)),"",INDEX('Compliance Database'!$N$2:$N$1199,MATCH(284,Engine!$C$2:$C$1199,0)))</f>
        <v/>
      </c>
      <c r="O297" s="7" t="str">
        <f>IF(ISNA(MATCH(284,Engine!$C$2:$C$1199,0)),"",INDEX('Compliance Database'!$O$2:$O$1199,MATCH(284,Engine!$C$2:$C$1199,0)))</f>
        <v/>
      </c>
      <c r="P297" s="6" t="str">
        <f>IF(ISNA(MATCH(284,Engine!$C$2:$C$1199,0)),"",HYPERLINK("#Acts!A"&amp;INDEX('Compliance Database'!$P$2:$P$1199,MATCH(284,Engine!$C$2:$C$1199,0)),"Go to Act"))</f>
        <v/>
      </c>
    </row>
    <row r="298" spans="1:16" ht="172.95" customHeight="1" x14ac:dyDescent="0.3">
      <c r="A298" s="6" t="str">
        <f>IF(ISNA(MATCH(285,Engine!$C$2:$C$1199,0)),"",INDEX('Compliance Database'!$A$2:$A$1199,MATCH(285,Engine!$C$2:$C$1199,0)))</f>
        <v/>
      </c>
      <c r="B298" s="6" t="str">
        <f>IF(ISNA(MATCH(285,Engine!$C$2:$C$1199,0)),"",INDEX('Compliance Database'!$B$2:$B$1199,MATCH(285,Engine!$C$2:$C$1199,0)))</f>
        <v/>
      </c>
      <c r="C298" s="6" t="str">
        <f>IF(ISNA(MATCH(285,Engine!$C$2:$C$1199,0)),"",INDEX('Compliance Database'!$C$2:$C$1199,MATCH(285,Engine!$C$2:$C$1199,0)))</f>
        <v/>
      </c>
      <c r="D298" s="7" t="str">
        <f>IF(ISNA(MATCH(285,Engine!$C$2:$C$1199,0)),"",INDEX('Compliance Database'!$D$2:$D$1199,MATCH(285,Engine!$C$2:$C$1199,0)))</f>
        <v/>
      </c>
      <c r="E298" s="6" t="str">
        <f>IF(ISNA(MATCH(285,Engine!$C$2:$C$1199,0)),"",INDEX('Compliance Database'!$E$2:$E$1199,MATCH(285,Engine!$C$2:$C$1199,0)))</f>
        <v/>
      </c>
      <c r="F298" s="6" t="str">
        <f>IF(ISNA(MATCH(285,Engine!$C$2:$C$1199,0)),"",INDEX('Compliance Database'!$F$2:$F$1199,MATCH(285,Engine!$C$2:$C$1199,0)))</f>
        <v/>
      </c>
      <c r="G298" s="6" t="str">
        <f>IF(ISNA(MATCH(285,Engine!$C$2:$C$1199,0)),"",INDEX('Compliance Database'!$G$2:$G$1199,MATCH(285,Engine!$C$2:$C$1199,0)))</f>
        <v/>
      </c>
      <c r="H298" s="7" t="str">
        <f>IF(ISNA(MATCH(285,Engine!$C$2:$C$1199,0)),"",INDEX('Compliance Database'!$H$2:$H$1199,MATCH(285,Engine!$C$2:$C$1199,0)))</f>
        <v/>
      </c>
      <c r="I298" s="7" t="str">
        <f>IF(ISNA(MATCH(285,Engine!$C$2:$C$1199,0)),"",INDEX('Compliance Database'!$I$2:$I$1199,MATCH(285,Engine!$C$2:$C$1199,0)))</f>
        <v/>
      </c>
      <c r="J298" s="6" t="str">
        <f>IF(ISNA(MATCH(285,Engine!$C$2:$C$1199,0)),"",INDEX('Compliance Database'!$J$2:$J$1199,MATCH(285,Engine!$C$2:$C$1199,0)))</f>
        <v/>
      </c>
      <c r="K298" s="7" t="str">
        <f>IF(ISNA(MATCH(285,Engine!$C$2:$C$1199,0)),"",INDEX('Compliance Database'!$K$2:$K$1199,MATCH(285,Engine!$C$2:$C$1199,0)))</f>
        <v/>
      </c>
      <c r="L298" s="7" t="str">
        <f>IF(ISNA(MATCH(285,Engine!$C$2:$C$1199,0)),"",INDEX('Compliance Database'!$L$2:$L$1199,MATCH(285,Engine!$C$2:$C$1199,0)))</f>
        <v/>
      </c>
      <c r="M298" s="7" t="str">
        <f>IF(ISNA(MATCH(285,Engine!$C$2:$C$1199,0)),"",INDEX('Compliance Database'!$M$2:$M$1199,MATCH(285,Engine!$C$2:$C$1199,0)))</f>
        <v/>
      </c>
      <c r="N298" s="7" t="str">
        <f>IF(ISNA(MATCH(285,Engine!$C$2:$C$1199,0)),"",INDEX('Compliance Database'!$N$2:$N$1199,MATCH(285,Engine!$C$2:$C$1199,0)))</f>
        <v/>
      </c>
      <c r="O298" s="7" t="str">
        <f>IF(ISNA(MATCH(285,Engine!$C$2:$C$1199,0)),"",INDEX('Compliance Database'!$O$2:$O$1199,MATCH(285,Engine!$C$2:$C$1199,0)))</f>
        <v/>
      </c>
      <c r="P298" s="6" t="str">
        <f>IF(ISNA(MATCH(285,Engine!$C$2:$C$1199,0)),"",HYPERLINK("#Acts!A"&amp;INDEX('Compliance Database'!$P$2:$P$1199,MATCH(285,Engine!$C$2:$C$1199,0)),"Go to Act"))</f>
        <v/>
      </c>
    </row>
    <row r="299" spans="1:16" ht="172.95" customHeight="1" x14ac:dyDescent="0.3">
      <c r="A299" s="6" t="str">
        <f>IF(ISNA(MATCH(286,Engine!$C$2:$C$1199,0)),"",INDEX('Compliance Database'!$A$2:$A$1199,MATCH(286,Engine!$C$2:$C$1199,0)))</f>
        <v/>
      </c>
      <c r="B299" s="6" t="str">
        <f>IF(ISNA(MATCH(286,Engine!$C$2:$C$1199,0)),"",INDEX('Compliance Database'!$B$2:$B$1199,MATCH(286,Engine!$C$2:$C$1199,0)))</f>
        <v/>
      </c>
      <c r="C299" s="6" t="str">
        <f>IF(ISNA(MATCH(286,Engine!$C$2:$C$1199,0)),"",INDEX('Compliance Database'!$C$2:$C$1199,MATCH(286,Engine!$C$2:$C$1199,0)))</f>
        <v/>
      </c>
      <c r="D299" s="7" t="str">
        <f>IF(ISNA(MATCH(286,Engine!$C$2:$C$1199,0)),"",INDEX('Compliance Database'!$D$2:$D$1199,MATCH(286,Engine!$C$2:$C$1199,0)))</f>
        <v/>
      </c>
      <c r="E299" s="6" t="str">
        <f>IF(ISNA(MATCH(286,Engine!$C$2:$C$1199,0)),"",INDEX('Compliance Database'!$E$2:$E$1199,MATCH(286,Engine!$C$2:$C$1199,0)))</f>
        <v/>
      </c>
      <c r="F299" s="6" t="str">
        <f>IF(ISNA(MATCH(286,Engine!$C$2:$C$1199,0)),"",INDEX('Compliance Database'!$F$2:$F$1199,MATCH(286,Engine!$C$2:$C$1199,0)))</f>
        <v/>
      </c>
      <c r="G299" s="6" t="str">
        <f>IF(ISNA(MATCH(286,Engine!$C$2:$C$1199,0)),"",INDEX('Compliance Database'!$G$2:$G$1199,MATCH(286,Engine!$C$2:$C$1199,0)))</f>
        <v/>
      </c>
      <c r="H299" s="7" t="str">
        <f>IF(ISNA(MATCH(286,Engine!$C$2:$C$1199,0)),"",INDEX('Compliance Database'!$H$2:$H$1199,MATCH(286,Engine!$C$2:$C$1199,0)))</f>
        <v/>
      </c>
      <c r="I299" s="7" t="str">
        <f>IF(ISNA(MATCH(286,Engine!$C$2:$C$1199,0)),"",INDEX('Compliance Database'!$I$2:$I$1199,MATCH(286,Engine!$C$2:$C$1199,0)))</f>
        <v/>
      </c>
      <c r="J299" s="6" t="str">
        <f>IF(ISNA(MATCH(286,Engine!$C$2:$C$1199,0)),"",INDEX('Compliance Database'!$J$2:$J$1199,MATCH(286,Engine!$C$2:$C$1199,0)))</f>
        <v/>
      </c>
      <c r="K299" s="7" t="str">
        <f>IF(ISNA(MATCH(286,Engine!$C$2:$C$1199,0)),"",INDEX('Compliance Database'!$K$2:$K$1199,MATCH(286,Engine!$C$2:$C$1199,0)))</f>
        <v/>
      </c>
      <c r="L299" s="7" t="str">
        <f>IF(ISNA(MATCH(286,Engine!$C$2:$C$1199,0)),"",INDEX('Compliance Database'!$L$2:$L$1199,MATCH(286,Engine!$C$2:$C$1199,0)))</f>
        <v/>
      </c>
      <c r="M299" s="7" t="str">
        <f>IF(ISNA(MATCH(286,Engine!$C$2:$C$1199,0)),"",INDEX('Compliance Database'!$M$2:$M$1199,MATCH(286,Engine!$C$2:$C$1199,0)))</f>
        <v/>
      </c>
      <c r="N299" s="7" t="str">
        <f>IF(ISNA(MATCH(286,Engine!$C$2:$C$1199,0)),"",INDEX('Compliance Database'!$N$2:$N$1199,MATCH(286,Engine!$C$2:$C$1199,0)))</f>
        <v/>
      </c>
      <c r="O299" s="7" t="str">
        <f>IF(ISNA(MATCH(286,Engine!$C$2:$C$1199,0)),"",INDEX('Compliance Database'!$O$2:$O$1199,MATCH(286,Engine!$C$2:$C$1199,0)))</f>
        <v/>
      </c>
      <c r="P299" s="6" t="str">
        <f>IF(ISNA(MATCH(286,Engine!$C$2:$C$1199,0)),"",HYPERLINK("#Acts!A"&amp;INDEX('Compliance Database'!$P$2:$P$1199,MATCH(286,Engine!$C$2:$C$1199,0)),"Go to Act"))</f>
        <v/>
      </c>
    </row>
    <row r="300" spans="1:16" ht="172.95" customHeight="1" x14ac:dyDescent="0.3">
      <c r="A300" s="6" t="str">
        <f>IF(ISNA(MATCH(287,Engine!$C$2:$C$1199,0)),"",INDEX('Compliance Database'!$A$2:$A$1199,MATCH(287,Engine!$C$2:$C$1199,0)))</f>
        <v/>
      </c>
      <c r="B300" s="6" t="str">
        <f>IF(ISNA(MATCH(287,Engine!$C$2:$C$1199,0)),"",INDEX('Compliance Database'!$B$2:$B$1199,MATCH(287,Engine!$C$2:$C$1199,0)))</f>
        <v/>
      </c>
      <c r="C300" s="6" t="str">
        <f>IF(ISNA(MATCH(287,Engine!$C$2:$C$1199,0)),"",INDEX('Compliance Database'!$C$2:$C$1199,MATCH(287,Engine!$C$2:$C$1199,0)))</f>
        <v/>
      </c>
      <c r="D300" s="7" t="str">
        <f>IF(ISNA(MATCH(287,Engine!$C$2:$C$1199,0)),"",INDEX('Compliance Database'!$D$2:$D$1199,MATCH(287,Engine!$C$2:$C$1199,0)))</f>
        <v/>
      </c>
      <c r="E300" s="6" t="str">
        <f>IF(ISNA(MATCH(287,Engine!$C$2:$C$1199,0)),"",INDEX('Compliance Database'!$E$2:$E$1199,MATCH(287,Engine!$C$2:$C$1199,0)))</f>
        <v/>
      </c>
      <c r="F300" s="6" t="str">
        <f>IF(ISNA(MATCH(287,Engine!$C$2:$C$1199,0)),"",INDEX('Compliance Database'!$F$2:$F$1199,MATCH(287,Engine!$C$2:$C$1199,0)))</f>
        <v/>
      </c>
      <c r="G300" s="6" t="str">
        <f>IF(ISNA(MATCH(287,Engine!$C$2:$C$1199,0)),"",INDEX('Compliance Database'!$G$2:$G$1199,MATCH(287,Engine!$C$2:$C$1199,0)))</f>
        <v/>
      </c>
      <c r="H300" s="7" t="str">
        <f>IF(ISNA(MATCH(287,Engine!$C$2:$C$1199,0)),"",INDEX('Compliance Database'!$H$2:$H$1199,MATCH(287,Engine!$C$2:$C$1199,0)))</f>
        <v/>
      </c>
      <c r="I300" s="7" t="str">
        <f>IF(ISNA(MATCH(287,Engine!$C$2:$C$1199,0)),"",INDEX('Compliance Database'!$I$2:$I$1199,MATCH(287,Engine!$C$2:$C$1199,0)))</f>
        <v/>
      </c>
      <c r="J300" s="6" t="str">
        <f>IF(ISNA(MATCH(287,Engine!$C$2:$C$1199,0)),"",INDEX('Compliance Database'!$J$2:$J$1199,MATCH(287,Engine!$C$2:$C$1199,0)))</f>
        <v/>
      </c>
      <c r="K300" s="7" t="str">
        <f>IF(ISNA(MATCH(287,Engine!$C$2:$C$1199,0)),"",INDEX('Compliance Database'!$K$2:$K$1199,MATCH(287,Engine!$C$2:$C$1199,0)))</f>
        <v/>
      </c>
      <c r="L300" s="7" t="str">
        <f>IF(ISNA(MATCH(287,Engine!$C$2:$C$1199,0)),"",INDEX('Compliance Database'!$L$2:$L$1199,MATCH(287,Engine!$C$2:$C$1199,0)))</f>
        <v/>
      </c>
      <c r="M300" s="7" t="str">
        <f>IF(ISNA(MATCH(287,Engine!$C$2:$C$1199,0)),"",INDEX('Compliance Database'!$M$2:$M$1199,MATCH(287,Engine!$C$2:$C$1199,0)))</f>
        <v/>
      </c>
      <c r="N300" s="7" t="str">
        <f>IF(ISNA(MATCH(287,Engine!$C$2:$C$1199,0)),"",INDEX('Compliance Database'!$N$2:$N$1199,MATCH(287,Engine!$C$2:$C$1199,0)))</f>
        <v/>
      </c>
      <c r="O300" s="7" t="str">
        <f>IF(ISNA(MATCH(287,Engine!$C$2:$C$1199,0)),"",INDEX('Compliance Database'!$O$2:$O$1199,MATCH(287,Engine!$C$2:$C$1199,0)))</f>
        <v/>
      </c>
      <c r="P300" s="6" t="str">
        <f>IF(ISNA(MATCH(287,Engine!$C$2:$C$1199,0)),"",HYPERLINK("#Acts!A"&amp;INDEX('Compliance Database'!$P$2:$P$1199,MATCH(287,Engine!$C$2:$C$1199,0)),"Go to Act"))</f>
        <v/>
      </c>
    </row>
    <row r="301" spans="1:16" ht="172.95" customHeight="1" x14ac:dyDescent="0.3">
      <c r="A301" s="6" t="str">
        <f>IF(ISNA(MATCH(288,Engine!$C$2:$C$1199,0)),"",INDEX('Compliance Database'!$A$2:$A$1199,MATCH(288,Engine!$C$2:$C$1199,0)))</f>
        <v/>
      </c>
      <c r="B301" s="6" t="str">
        <f>IF(ISNA(MATCH(288,Engine!$C$2:$C$1199,0)),"",INDEX('Compliance Database'!$B$2:$B$1199,MATCH(288,Engine!$C$2:$C$1199,0)))</f>
        <v/>
      </c>
      <c r="C301" s="6" t="str">
        <f>IF(ISNA(MATCH(288,Engine!$C$2:$C$1199,0)),"",INDEX('Compliance Database'!$C$2:$C$1199,MATCH(288,Engine!$C$2:$C$1199,0)))</f>
        <v/>
      </c>
      <c r="D301" s="7" t="str">
        <f>IF(ISNA(MATCH(288,Engine!$C$2:$C$1199,0)),"",INDEX('Compliance Database'!$D$2:$D$1199,MATCH(288,Engine!$C$2:$C$1199,0)))</f>
        <v/>
      </c>
      <c r="E301" s="6" t="str">
        <f>IF(ISNA(MATCH(288,Engine!$C$2:$C$1199,0)),"",INDEX('Compliance Database'!$E$2:$E$1199,MATCH(288,Engine!$C$2:$C$1199,0)))</f>
        <v/>
      </c>
      <c r="F301" s="6" t="str">
        <f>IF(ISNA(MATCH(288,Engine!$C$2:$C$1199,0)),"",INDEX('Compliance Database'!$F$2:$F$1199,MATCH(288,Engine!$C$2:$C$1199,0)))</f>
        <v/>
      </c>
      <c r="G301" s="6" t="str">
        <f>IF(ISNA(MATCH(288,Engine!$C$2:$C$1199,0)),"",INDEX('Compliance Database'!$G$2:$G$1199,MATCH(288,Engine!$C$2:$C$1199,0)))</f>
        <v/>
      </c>
      <c r="H301" s="7" t="str">
        <f>IF(ISNA(MATCH(288,Engine!$C$2:$C$1199,0)),"",INDEX('Compliance Database'!$H$2:$H$1199,MATCH(288,Engine!$C$2:$C$1199,0)))</f>
        <v/>
      </c>
      <c r="I301" s="7" t="str">
        <f>IF(ISNA(MATCH(288,Engine!$C$2:$C$1199,0)),"",INDEX('Compliance Database'!$I$2:$I$1199,MATCH(288,Engine!$C$2:$C$1199,0)))</f>
        <v/>
      </c>
      <c r="J301" s="6" t="str">
        <f>IF(ISNA(MATCH(288,Engine!$C$2:$C$1199,0)),"",INDEX('Compliance Database'!$J$2:$J$1199,MATCH(288,Engine!$C$2:$C$1199,0)))</f>
        <v/>
      </c>
      <c r="K301" s="7" t="str">
        <f>IF(ISNA(MATCH(288,Engine!$C$2:$C$1199,0)),"",INDEX('Compliance Database'!$K$2:$K$1199,MATCH(288,Engine!$C$2:$C$1199,0)))</f>
        <v/>
      </c>
      <c r="L301" s="7" t="str">
        <f>IF(ISNA(MATCH(288,Engine!$C$2:$C$1199,0)),"",INDEX('Compliance Database'!$L$2:$L$1199,MATCH(288,Engine!$C$2:$C$1199,0)))</f>
        <v/>
      </c>
      <c r="M301" s="7" t="str">
        <f>IF(ISNA(MATCH(288,Engine!$C$2:$C$1199,0)),"",INDEX('Compliance Database'!$M$2:$M$1199,MATCH(288,Engine!$C$2:$C$1199,0)))</f>
        <v/>
      </c>
      <c r="N301" s="7" t="str">
        <f>IF(ISNA(MATCH(288,Engine!$C$2:$C$1199,0)),"",INDEX('Compliance Database'!$N$2:$N$1199,MATCH(288,Engine!$C$2:$C$1199,0)))</f>
        <v/>
      </c>
      <c r="O301" s="7" t="str">
        <f>IF(ISNA(MATCH(288,Engine!$C$2:$C$1199,0)),"",INDEX('Compliance Database'!$O$2:$O$1199,MATCH(288,Engine!$C$2:$C$1199,0)))</f>
        <v/>
      </c>
      <c r="P301" s="6" t="str">
        <f>IF(ISNA(MATCH(288,Engine!$C$2:$C$1199,0)),"",HYPERLINK("#Acts!A"&amp;INDEX('Compliance Database'!$P$2:$P$1199,MATCH(288,Engine!$C$2:$C$1199,0)),"Go to Act"))</f>
        <v/>
      </c>
    </row>
    <row r="302" spans="1:16" ht="172.95" customHeight="1" x14ac:dyDescent="0.3">
      <c r="A302" s="6" t="str">
        <f>IF(ISNA(MATCH(289,Engine!$C$2:$C$1199,0)),"",INDEX('Compliance Database'!$A$2:$A$1199,MATCH(289,Engine!$C$2:$C$1199,0)))</f>
        <v/>
      </c>
      <c r="B302" s="6" t="str">
        <f>IF(ISNA(MATCH(289,Engine!$C$2:$C$1199,0)),"",INDEX('Compliance Database'!$B$2:$B$1199,MATCH(289,Engine!$C$2:$C$1199,0)))</f>
        <v/>
      </c>
      <c r="C302" s="6" t="str">
        <f>IF(ISNA(MATCH(289,Engine!$C$2:$C$1199,0)),"",INDEX('Compliance Database'!$C$2:$C$1199,MATCH(289,Engine!$C$2:$C$1199,0)))</f>
        <v/>
      </c>
      <c r="D302" s="7" t="str">
        <f>IF(ISNA(MATCH(289,Engine!$C$2:$C$1199,0)),"",INDEX('Compliance Database'!$D$2:$D$1199,MATCH(289,Engine!$C$2:$C$1199,0)))</f>
        <v/>
      </c>
      <c r="E302" s="6" t="str">
        <f>IF(ISNA(MATCH(289,Engine!$C$2:$C$1199,0)),"",INDEX('Compliance Database'!$E$2:$E$1199,MATCH(289,Engine!$C$2:$C$1199,0)))</f>
        <v/>
      </c>
      <c r="F302" s="6" t="str">
        <f>IF(ISNA(MATCH(289,Engine!$C$2:$C$1199,0)),"",INDEX('Compliance Database'!$F$2:$F$1199,MATCH(289,Engine!$C$2:$C$1199,0)))</f>
        <v/>
      </c>
      <c r="G302" s="6" t="str">
        <f>IF(ISNA(MATCH(289,Engine!$C$2:$C$1199,0)),"",INDEX('Compliance Database'!$G$2:$G$1199,MATCH(289,Engine!$C$2:$C$1199,0)))</f>
        <v/>
      </c>
      <c r="H302" s="7" t="str">
        <f>IF(ISNA(MATCH(289,Engine!$C$2:$C$1199,0)),"",INDEX('Compliance Database'!$H$2:$H$1199,MATCH(289,Engine!$C$2:$C$1199,0)))</f>
        <v/>
      </c>
      <c r="I302" s="7" t="str">
        <f>IF(ISNA(MATCH(289,Engine!$C$2:$C$1199,0)),"",INDEX('Compliance Database'!$I$2:$I$1199,MATCH(289,Engine!$C$2:$C$1199,0)))</f>
        <v/>
      </c>
      <c r="J302" s="6" t="str">
        <f>IF(ISNA(MATCH(289,Engine!$C$2:$C$1199,0)),"",INDEX('Compliance Database'!$J$2:$J$1199,MATCH(289,Engine!$C$2:$C$1199,0)))</f>
        <v/>
      </c>
      <c r="K302" s="7" t="str">
        <f>IF(ISNA(MATCH(289,Engine!$C$2:$C$1199,0)),"",INDEX('Compliance Database'!$K$2:$K$1199,MATCH(289,Engine!$C$2:$C$1199,0)))</f>
        <v/>
      </c>
      <c r="L302" s="7" t="str">
        <f>IF(ISNA(MATCH(289,Engine!$C$2:$C$1199,0)),"",INDEX('Compliance Database'!$L$2:$L$1199,MATCH(289,Engine!$C$2:$C$1199,0)))</f>
        <v/>
      </c>
      <c r="M302" s="7" t="str">
        <f>IF(ISNA(MATCH(289,Engine!$C$2:$C$1199,0)),"",INDEX('Compliance Database'!$M$2:$M$1199,MATCH(289,Engine!$C$2:$C$1199,0)))</f>
        <v/>
      </c>
      <c r="N302" s="7" t="str">
        <f>IF(ISNA(MATCH(289,Engine!$C$2:$C$1199,0)),"",INDEX('Compliance Database'!$N$2:$N$1199,MATCH(289,Engine!$C$2:$C$1199,0)))</f>
        <v/>
      </c>
      <c r="O302" s="7" t="str">
        <f>IF(ISNA(MATCH(289,Engine!$C$2:$C$1199,0)),"",INDEX('Compliance Database'!$O$2:$O$1199,MATCH(289,Engine!$C$2:$C$1199,0)))</f>
        <v/>
      </c>
      <c r="P302" s="6" t="str">
        <f>IF(ISNA(MATCH(289,Engine!$C$2:$C$1199,0)),"",HYPERLINK("#Acts!A"&amp;INDEX('Compliance Database'!$P$2:$P$1199,MATCH(289,Engine!$C$2:$C$1199,0)),"Go to Act"))</f>
        <v/>
      </c>
    </row>
    <row r="303" spans="1:16" ht="172.95" customHeight="1" x14ac:dyDescent="0.3">
      <c r="A303" s="6" t="str">
        <f>IF(ISNA(MATCH(290,Engine!$C$2:$C$1199,0)),"",INDEX('Compliance Database'!$A$2:$A$1199,MATCH(290,Engine!$C$2:$C$1199,0)))</f>
        <v/>
      </c>
      <c r="B303" s="6" t="str">
        <f>IF(ISNA(MATCH(290,Engine!$C$2:$C$1199,0)),"",INDEX('Compliance Database'!$B$2:$B$1199,MATCH(290,Engine!$C$2:$C$1199,0)))</f>
        <v/>
      </c>
      <c r="C303" s="6" t="str">
        <f>IF(ISNA(MATCH(290,Engine!$C$2:$C$1199,0)),"",INDEX('Compliance Database'!$C$2:$C$1199,MATCH(290,Engine!$C$2:$C$1199,0)))</f>
        <v/>
      </c>
      <c r="D303" s="7" t="str">
        <f>IF(ISNA(MATCH(290,Engine!$C$2:$C$1199,0)),"",INDEX('Compliance Database'!$D$2:$D$1199,MATCH(290,Engine!$C$2:$C$1199,0)))</f>
        <v/>
      </c>
      <c r="E303" s="6" t="str">
        <f>IF(ISNA(MATCH(290,Engine!$C$2:$C$1199,0)),"",INDEX('Compliance Database'!$E$2:$E$1199,MATCH(290,Engine!$C$2:$C$1199,0)))</f>
        <v/>
      </c>
      <c r="F303" s="6" t="str">
        <f>IF(ISNA(MATCH(290,Engine!$C$2:$C$1199,0)),"",INDEX('Compliance Database'!$F$2:$F$1199,MATCH(290,Engine!$C$2:$C$1199,0)))</f>
        <v/>
      </c>
      <c r="G303" s="6" t="str">
        <f>IF(ISNA(MATCH(290,Engine!$C$2:$C$1199,0)),"",INDEX('Compliance Database'!$G$2:$G$1199,MATCH(290,Engine!$C$2:$C$1199,0)))</f>
        <v/>
      </c>
      <c r="H303" s="7" t="str">
        <f>IF(ISNA(MATCH(290,Engine!$C$2:$C$1199,0)),"",INDEX('Compliance Database'!$H$2:$H$1199,MATCH(290,Engine!$C$2:$C$1199,0)))</f>
        <v/>
      </c>
      <c r="I303" s="7" t="str">
        <f>IF(ISNA(MATCH(290,Engine!$C$2:$C$1199,0)),"",INDEX('Compliance Database'!$I$2:$I$1199,MATCH(290,Engine!$C$2:$C$1199,0)))</f>
        <v/>
      </c>
      <c r="J303" s="6" t="str">
        <f>IF(ISNA(MATCH(290,Engine!$C$2:$C$1199,0)),"",INDEX('Compliance Database'!$J$2:$J$1199,MATCH(290,Engine!$C$2:$C$1199,0)))</f>
        <v/>
      </c>
      <c r="K303" s="7" t="str">
        <f>IF(ISNA(MATCH(290,Engine!$C$2:$C$1199,0)),"",INDEX('Compliance Database'!$K$2:$K$1199,MATCH(290,Engine!$C$2:$C$1199,0)))</f>
        <v/>
      </c>
      <c r="L303" s="7" t="str">
        <f>IF(ISNA(MATCH(290,Engine!$C$2:$C$1199,0)),"",INDEX('Compliance Database'!$L$2:$L$1199,MATCH(290,Engine!$C$2:$C$1199,0)))</f>
        <v/>
      </c>
      <c r="M303" s="7" t="str">
        <f>IF(ISNA(MATCH(290,Engine!$C$2:$C$1199,0)),"",INDEX('Compliance Database'!$M$2:$M$1199,MATCH(290,Engine!$C$2:$C$1199,0)))</f>
        <v/>
      </c>
      <c r="N303" s="7" t="str">
        <f>IF(ISNA(MATCH(290,Engine!$C$2:$C$1199,0)),"",INDEX('Compliance Database'!$N$2:$N$1199,MATCH(290,Engine!$C$2:$C$1199,0)))</f>
        <v/>
      </c>
      <c r="O303" s="7" t="str">
        <f>IF(ISNA(MATCH(290,Engine!$C$2:$C$1199,0)),"",INDEX('Compliance Database'!$O$2:$O$1199,MATCH(290,Engine!$C$2:$C$1199,0)))</f>
        <v/>
      </c>
      <c r="P303" s="6" t="str">
        <f>IF(ISNA(MATCH(290,Engine!$C$2:$C$1199,0)),"",HYPERLINK("#Acts!A"&amp;INDEX('Compliance Database'!$P$2:$P$1199,MATCH(290,Engine!$C$2:$C$1199,0)),"Go to Act"))</f>
        <v/>
      </c>
    </row>
    <row r="304" spans="1:16" ht="172.95" customHeight="1" x14ac:dyDescent="0.3">
      <c r="A304" s="6" t="str">
        <f>IF(ISNA(MATCH(291,Engine!$C$2:$C$1199,0)),"",INDEX('Compliance Database'!$A$2:$A$1199,MATCH(291,Engine!$C$2:$C$1199,0)))</f>
        <v/>
      </c>
      <c r="B304" s="6" t="str">
        <f>IF(ISNA(MATCH(291,Engine!$C$2:$C$1199,0)),"",INDEX('Compliance Database'!$B$2:$B$1199,MATCH(291,Engine!$C$2:$C$1199,0)))</f>
        <v/>
      </c>
      <c r="C304" s="6" t="str">
        <f>IF(ISNA(MATCH(291,Engine!$C$2:$C$1199,0)),"",INDEX('Compliance Database'!$C$2:$C$1199,MATCH(291,Engine!$C$2:$C$1199,0)))</f>
        <v/>
      </c>
      <c r="D304" s="7" t="str">
        <f>IF(ISNA(MATCH(291,Engine!$C$2:$C$1199,0)),"",INDEX('Compliance Database'!$D$2:$D$1199,MATCH(291,Engine!$C$2:$C$1199,0)))</f>
        <v/>
      </c>
      <c r="E304" s="6" t="str">
        <f>IF(ISNA(MATCH(291,Engine!$C$2:$C$1199,0)),"",INDEX('Compliance Database'!$E$2:$E$1199,MATCH(291,Engine!$C$2:$C$1199,0)))</f>
        <v/>
      </c>
      <c r="F304" s="6" t="str">
        <f>IF(ISNA(MATCH(291,Engine!$C$2:$C$1199,0)),"",INDEX('Compliance Database'!$F$2:$F$1199,MATCH(291,Engine!$C$2:$C$1199,0)))</f>
        <v/>
      </c>
      <c r="G304" s="6" t="str">
        <f>IF(ISNA(MATCH(291,Engine!$C$2:$C$1199,0)),"",INDEX('Compliance Database'!$G$2:$G$1199,MATCH(291,Engine!$C$2:$C$1199,0)))</f>
        <v/>
      </c>
      <c r="H304" s="7" t="str">
        <f>IF(ISNA(MATCH(291,Engine!$C$2:$C$1199,0)),"",INDEX('Compliance Database'!$H$2:$H$1199,MATCH(291,Engine!$C$2:$C$1199,0)))</f>
        <v/>
      </c>
      <c r="I304" s="7" t="str">
        <f>IF(ISNA(MATCH(291,Engine!$C$2:$C$1199,0)),"",INDEX('Compliance Database'!$I$2:$I$1199,MATCH(291,Engine!$C$2:$C$1199,0)))</f>
        <v/>
      </c>
      <c r="J304" s="6" t="str">
        <f>IF(ISNA(MATCH(291,Engine!$C$2:$C$1199,0)),"",INDEX('Compliance Database'!$J$2:$J$1199,MATCH(291,Engine!$C$2:$C$1199,0)))</f>
        <v/>
      </c>
      <c r="K304" s="7" t="str">
        <f>IF(ISNA(MATCH(291,Engine!$C$2:$C$1199,0)),"",INDEX('Compliance Database'!$K$2:$K$1199,MATCH(291,Engine!$C$2:$C$1199,0)))</f>
        <v/>
      </c>
      <c r="L304" s="7" t="str">
        <f>IF(ISNA(MATCH(291,Engine!$C$2:$C$1199,0)),"",INDEX('Compliance Database'!$L$2:$L$1199,MATCH(291,Engine!$C$2:$C$1199,0)))</f>
        <v/>
      </c>
      <c r="M304" s="7" t="str">
        <f>IF(ISNA(MATCH(291,Engine!$C$2:$C$1199,0)),"",INDEX('Compliance Database'!$M$2:$M$1199,MATCH(291,Engine!$C$2:$C$1199,0)))</f>
        <v/>
      </c>
      <c r="N304" s="7" t="str">
        <f>IF(ISNA(MATCH(291,Engine!$C$2:$C$1199,0)),"",INDEX('Compliance Database'!$N$2:$N$1199,MATCH(291,Engine!$C$2:$C$1199,0)))</f>
        <v/>
      </c>
      <c r="O304" s="7" t="str">
        <f>IF(ISNA(MATCH(291,Engine!$C$2:$C$1199,0)),"",INDEX('Compliance Database'!$O$2:$O$1199,MATCH(291,Engine!$C$2:$C$1199,0)))</f>
        <v/>
      </c>
      <c r="P304" s="6" t="str">
        <f>IF(ISNA(MATCH(291,Engine!$C$2:$C$1199,0)),"",HYPERLINK("#Acts!A"&amp;INDEX('Compliance Database'!$P$2:$P$1199,MATCH(291,Engine!$C$2:$C$1199,0)),"Go to Act"))</f>
        <v/>
      </c>
    </row>
    <row r="305" spans="1:16" ht="172.95" customHeight="1" x14ac:dyDescent="0.3">
      <c r="A305" s="6" t="str">
        <f>IF(ISNA(MATCH(292,Engine!$C$2:$C$1199,0)),"",INDEX('Compliance Database'!$A$2:$A$1199,MATCH(292,Engine!$C$2:$C$1199,0)))</f>
        <v/>
      </c>
      <c r="B305" s="6" t="str">
        <f>IF(ISNA(MATCH(292,Engine!$C$2:$C$1199,0)),"",INDEX('Compliance Database'!$B$2:$B$1199,MATCH(292,Engine!$C$2:$C$1199,0)))</f>
        <v/>
      </c>
      <c r="C305" s="6" t="str">
        <f>IF(ISNA(MATCH(292,Engine!$C$2:$C$1199,0)),"",INDEX('Compliance Database'!$C$2:$C$1199,MATCH(292,Engine!$C$2:$C$1199,0)))</f>
        <v/>
      </c>
      <c r="D305" s="7" t="str">
        <f>IF(ISNA(MATCH(292,Engine!$C$2:$C$1199,0)),"",INDEX('Compliance Database'!$D$2:$D$1199,MATCH(292,Engine!$C$2:$C$1199,0)))</f>
        <v/>
      </c>
      <c r="E305" s="6" t="str">
        <f>IF(ISNA(MATCH(292,Engine!$C$2:$C$1199,0)),"",INDEX('Compliance Database'!$E$2:$E$1199,MATCH(292,Engine!$C$2:$C$1199,0)))</f>
        <v/>
      </c>
      <c r="F305" s="6" t="str">
        <f>IF(ISNA(MATCH(292,Engine!$C$2:$C$1199,0)),"",INDEX('Compliance Database'!$F$2:$F$1199,MATCH(292,Engine!$C$2:$C$1199,0)))</f>
        <v/>
      </c>
      <c r="G305" s="6" t="str">
        <f>IF(ISNA(MATCH(292,Engine!$C$2:$C$1199,0)),"",INDEX('Compliance Database'!$G$2:$G$1199,MATCH(292,Engine!$C$2:$C$1199,0)))</f>
        <v/>
      </c>
      <c r="H305" s="7" t="str">
        <f>IF(ISNA(MATCH(292,Engine!$C$2:$C$1199,0)),"",INDEX('Compliance Database'!$H$2:$H$1199,MATCH(292,Engine!$C$2:$C$1199,0)))</f>
        <v/>
      </c>
      <c r="I305" s="7" t="str">
        <f>IF(ISNA(MATCH(292,Engine!$C$2:$C$1199,0)),"",INDEX('Compliance Database'!$I$2:$I$1199,MATCH(292,Engine!$C$2:$C$1199,0)))</f>
        <v/>
      </c>
      <c r="J305" s="6" t="str">
        <f>IF(ISNA(MATCH(292,Engine!$C$2:$C$1199,0)),"",INDEX('Compliance Database'!$J$2:$J$1199,MATCH(292,Engine!$C$2:$C$1199,0)))</f>
        <v/>
      </c>
      <c r="K305" s="7" t="str">
        <f>IF(ISNA(MATCH(292,Engine!$C$2:$C$1199,0)),"",INDEX('Compliance Database'!$K$2:$K$1199,MATCH(292,Engine!$C$2:$C$1199,0)))</f>
        <v/>
      </c>
      <c r="L305" s="7" t="str">
        <f>IF(ISNA(MATCH(292,Engine!$C$2:$C$1199,0)),"",INDEX('Compliance Database'!$L$2:$L$1199,MATCH(292,Engine!$C$2:$C$1199,0)))</f>
        <v/>
      </c>
      <c r="M305" s="7" t="str">
        <f>IF(ISNA(MATCH(292,Engine!$C$2:$C$1199,0)),"",INDEX('Compliance Database'!$M$2:$M$1199,MATCH(292,Engine!$C$2:$C$1199,0)))</f>
        <v/>
      </c>
      <c r="N305" s="7" t="str">
        <f>IF(ISNA(MATCH(292,Engine!$C$2:$C$1199,0)),"",INDEX('Compliance Database'!$N$2:$N$1199,MATCH(292,Engine!$C$2:$C$1199,0)))</f>
        <v/>
      </c>
      <c r="O305" s="7" t="str">
        <f>IF(ISNA(MATCH(292,Engine!$C$2:$C$1199,0)),"",INDEX('Compliance Database'!$O$2:$O$1199,MATCH(292,Engine!$C$2:$C$1199,0)))</f>
        <v/>
      </c>
      <c r="P305" s="6" t="str">
        <f>IF(ISNA(MATCH(292,Engine!$C$2:$C$1199,0)),"",HYPERLINK("#Acts!A"&amp;INDEX('Compliance Database'!$P$2:$P$1199,MATCH(292,Engine!$C$2:$C$1199,0)),"Go to Act"))</f>
        <v/>
      </c>
    </row>
    <row r="306" spans="1:16" ht="172.95" customHeight="1" x14ac:dyDescent="0.3">
      <c r="A306" s="6" t="str">
        <f>IF(ISNA(MATCH(293,Engine!$C$2:$C$1199,0)),"",INDEX('Compliance Database'!$A$2:$A$1199,MATCH(293,Engine!$C$2:$C$1199,0)))</f>
        <v/>
      </c>
      <c r="B306" s="6" t="str">
        <f>IF(ISNA(MATCH(293,Engine!$C$2:$C$1199,0)),"",INDEX('Compliance Database'!$B$2:$B$1199,MATCH(293,Engine!$C$2:$C$1199,0)))</f>
        <v/>
      </c>
      <c r="C306" s="6" t="str">
        <f>IF(ISNA(MATCH(293,Engine!$C$2:$C$1199,0)),"",INDEX('Compliance Database'!$C$2:$C$1199,MATCH(293,Engine!$C$2:$C$1199,0)))</f>
        <v/>
      </c>
      <c r="D306" s="7" t="str">
        <f>IF(ISNA(MATCH(293,Engine!$C$2:$C$1199,0)),"",INDEX('Compliance Database'!$D$2:$D$1199,MATCH(293,Engine!$C$2:$C$1199,0)))</f>
        <v/>
      </c>
      <c r="E306" s="6" t="str">
        <f>IF(ISNA(MATCH(293,Engine!$C$2:$C$1199,0)),"",INDEX('Compliance Database'!$E$2:$E$1199,MATCH(293,Engine!$C$2:$C$1199,0)))</f>
        <v/>
      </c>
      <c r="F306" s="6" t="str">
        <f>IF(ISNA(MATCH(293,Engine!$C$2:$C$1199,0)),"",INDEX('Compliance Database'!$F$2:$F$1199,MATCH(293,Engine!$C$2:$C$1199,0)))</f>
        <v/>
      </c>
      <c r="G306" s="6" t="str">
        <f>IF(ISNA(MATCH(293,Engine!$C$2:$C$1199,0)),"",INDEX('Compliance Database'!$G$2:$G$1199,MATCH(293,Engine!$C$2:$C$1199,0)))</f>
        <v/>
      </c>
      <c r="H306" s="7" t="str">
        <f>IF(ISNA(MATCH(293,Engine!$C$2:$C$1199,0)),"",INDEX('Compliance Database'!$H$2:$H$1199,MATCH(293,Engine!$C$2:$C$1199,0)))</f>
        <v/>
      </c>
      <c r="I306" s="7" t="str">
        <f>IF(ISNA(MATCH(293,Engine!$C$2:$C$1199,0)),"",INDEX('Compliance Database'!$I$2:$I$1199,MATCH(293,Engine!$C$2:$C$1199,0)))</f>
        <v/>
      </c>
      <c r="J306" s="6" t="str">
        <f>IF(ISNA(MATCH(293,Engine!$C$2:$C$1199,0)),"",INDEX('Compliance Database'!$J$2:$J$1199,MATCH(293,Engine!$C$2:$C$1199,0)))</f>
        <v/>
      </c>
      <c r="K306" s="7" t="str">
        <f>IF(ISNA(MATCH(293,Engine!$C$2:$C$1199,0)),"",INDEX('Compliance Database'!$K$2:$K$1199,MATCH(293,Engine!$C$2:$C$1199,0)))</f>
        <v/>
      </c>
      <c r="L306" s="7" t="str">
        <f>IF(ISNA(MATCH(293,Engine!$C$2:$C$1199,0)),"",INDEX('Compliance Database'!$L$2:$L$1199,MATCH(293,Engine!$C$2:$C$1199,0)))</f>
        <v/>
      </c>
      <c r="M306" s="7" t="str">
        <f>IF(ISNA(MATCH(293,Engine!$C$2:$C$1199,0)),"",INDEX('Compliance Database'!$M$2:$M$1199,MATCH(293,Engine!$C$2:$C$1199,0)))</f>
        <v/>
      </c>
      <c r="N306" s="7" t="str">
        <f>IF(ISNA(MATCH(293,Engine!$C$2:$C$1199,0)),"",INDEX('Compliance Database'!$N$2:$N$1199,MATCH(293,Engine!$C$2:$C$1199,0)))</f>
        <v/>
      </c>
      <c r="O306" s="7" t="str">
        <f>IF(ISNA(MATCH(293,Engine!$C$2:$C$1199,0)),"",INDEX('Compliance Database'!$O$2:$O$1199,MATCH(293,Engine!$C$2:$C$1199,0)))</f>
        <v/>
      </c>
      <c r="P306" s="6" t="str">
        <f>IF(ISNA(MATCH(293,Engine!$C$2:$C$1199,0)),"",HYPERLINK("#Acts!A"&amp;INDEX('Compliance Database'!$P$2:$P$1199,MATCH(293,Engine!$C$2:$C$1199,0)),"Go to Act"))</f>
        <v/>
      </c>
    </row>
    <row r="307" spans="1:16" ht="172.95" customHeight="1" x14ac:dyDescent="0.3">
      <c r="A307" s="6" t="str">
        <f>IF(ISNA(MATCH(294,Engine!$C$2:$C$1199,0)),"",INDEX('Compliance Database'!$A$2:$A$1199,MATCH(294,Engine!$C$2:$C$1199,0)))</f>
        <v/>
      </c>
      <c r="B307" s="6" t="str">
        <f>IF(ISNA(MATCH(294,Engine!$C$2:$C$1199,0)),"",INDEX('Compliance Database'!$B$2:$B$1199,MATCH(294,Engine!$C$2:$C$1199,0)))</f>
        <v/>
      </c>
      <c r="C307" s="6" t="str">
        <f>IF(ISNA(MATCH(294,Engine!$C$2:$C$1199,0)),"",INDEX('Compliance Database'!$C$2:$C$1199,MATCH(294,Engine!$C$2:$C$1199,0)))</f>
        <v/>
      </c>
      <c r="D307" s="7" t="str">
        <f>IF(ISNA(MATCH(294,Engine!$C$2:$C$1199,0)),"",INDEX('Compliance Database'!$D$2:$D$1199,MATCH(294,Engine!$C$2:$C$1199,0)))</f>
        <v/>
      </c>
      <c r="E307" s="6" t="str">
        <f>IF(ISNA(MATCH(294,Engine!$C$2:$C$1199,0)),"",INDEX('Compliance Database'!$E$2:$E$1199,MATCH(294,Engine!$C$2:$C$1199,0)))</f>
        <v/>
      </c>
      <c r="F307" s="6" t="str">
        <f>IF(ISNA(MATCH(294,Engine!$C$2:$C$1199,0)),"",INDEX('Compliance Database'!$F$2:$F$1199,MATCH(294,Engine!$C$2:$C$1199,0)))</f>
        <v/>
      </c>
      <c r="G307" s="6" t="str">
        <f>IF(ISNA(MATCH(294,Engine!$C$2:$C$1199,0)),"",INDEX('Compliance Database'!$G$2:$G$1199,MATCH(294,Engine!$C$2:$C$1199,0)))</f>
        <v/>
      </c>
      <c r="H307" s="7" t="str">
        <f>IF(ISNA(MATCH(294,Engine!$C$2:$C$1199,0)),"",INDEX('Compliance Database'!$H$2:$H$1199,MATCH(294,Engine!$C$2:$C$1199,0)))</f>
        <v/>
      </c>
      <c r="I307" s="7" t="str">
        <f>IF(ISNA(MATCH(294,Engine!$C$2:$C$1199,0)),"",INDEX('Compliance Database'!$I$2:$I$1199,MATCH(294,Engine!$C$2:$C$1199,0)))</f>
        <v/>
      </c>
      <c r="J307" s="6" t="str">
        <f>IF(ISNA(MATCH(294,Engine!$C$2:$C$1199,0)),"",INDEX('Compliance Database'!$J$2:$J$1199,MATCH(294,Engine!$C$2:$C$1199,0)))</f>
        <v/>
      </c>
      <c r="K307" s="7" t="str">
        <f>IF(ISNA(MATCH(294,Engine!$C$2:$C$1199,0)),"",INDEX('Compliance Database'!$K$2:$K$1199,MATCH(294,Engine!$C$2:$C$1199,0)))</f>
        <v/>
      </c>
      <c r="L307" s="7" t="str">
        <f>IF(ISNA(MATCH(294,Engine!$C$2:$C$1199,0)),"",INDEX('Compliance Database'!$L$2:$L$1199,MATCH(294,Engine!$C$2:$C$1199,0)))</f>
        <v/>
      </c>
      <c r="M307" s="7" t="str">
        <f>IF(ISNA(MATCH(294,Engine!$C$2:$C$1199,0)),"",INDEX('Compliance Database'!$M$2:$M$1199,MATCH(294,Engine!$C$2:$C$1199,0)))</f>
        <v/>
      </c>
      <c r="N307" s="7" t="str">
        <f>IF(ISNA(MATCH(294,Engine!$C$2:$C$1199,0)),"",INDEX('Compliance Database'!$N$2:$N$1199,MATCH(294,Engine!$C$2:$C$1199,0)))</f>
        <v/>
      </c>
      <c r="O307" s="7" t="str">
        <f>IF(ISNA(MATCH(294,Engine!$C$2:$C$1199,0)),"",INDEX('Compliance Database'!$O$2:$O$1199,MATCH(294,Engine!$C$2:$C$1199,0)))</f>
        <v/>
      </c>
      <c r="P307" s="6" t="str">
        <f>IF(ISNA(MATCH(294,Engine!$C$2:$C$1199,0)),"",HYPERLINK("#Acts!A"&amp;INDEX('Compliance Database'!$P$2:$P$1199,MATCH(294,Engine!$C$2:$C$1199,0)),"Go to Act"))</f>
        <v/>
      </c>
    </row>
    <row r="308" spans="1:16" ht="172.95" customHeight="1" x14ac:dyDescent="0.3">
      <c r="A308" s="6" t="str">
        <f>IF(ISNA(MATCH(295,Engine!$C$2:$C$1199,0)),"",INDEX('Compliance Database'!$A$2:$A$1199,MATCH(295,Engine!$C$2:$C$1199,0)))</f>
        <v/>
      </c>
      <c r="B308" s="6" t="str">
        <f>IF(ISNA(MATCH(295,Engine!$C$2:$C$1199,0)),"",INDEX('Compliance Database'!$B$2:$B$1199,MATCH(295,Engine!$C$2:$C$1199,0)))</f>
        <v/>
      </c>
      <c r="C308" s="6" t="str">
        <f>IF(ISNA(MATCH(295,Engine!$C$2:$C$1199,0)),"",INDEX('Compliance Database'!$C$2:$C$1199,MATCH(295,Engine!$C$2:$C$1199,0)))</f>
        <v/>
      </c>
      <c r="D308" s="7" t="str">
        <f>IF(ISNA(MATCH(295,Engine!$C$2:$C$1199,0)),"",INDEX('Compliance Database'!$D$2:$D$1199,MATCH(295,Engine!$C$2:$C$1199,0)))</f>
        <v/>
      </c>
      <c r="E308" s="6" t="str">
        <f>IF(ISNA(MATCH(295,Engine!$C$2:$C$1199,0)),"",INDEX('Compliance Database'!$E$2:$E$1199,MATCH(295,Engine!$C$2:$C$1199,0)))</f>
        <v/>
      </c>
      <c r="F308" s="6" t="str">
        <f>IF(ISNA(MATCH(295,Engine!$C$2:$C$1199,0)),"",INDEX('Compliance Database'!$F$2:$F$1199,MATCH(295,Engine!$C$2:$C$1199,0)))</f>
        <v/>
      </c>
      <c r="G308" s="6" t="str">
        <f>IF(ISNA(MATCH(295,Engine!$C$2:$C$1199,0)),"",INDEX('Compliance Database'!$G$2:$G$1199,MATCH(295,Engine!$C$2:$C$1199,0)))</f>
        <v/>
      </c>
      <c r="H308" s="7" t="str">
        <f>IF(ISNA(MATCH(295,Engine!$C$2:$C$1199,0)),"",INDEX('Compliance Database'!$H$2:$H$1199,MATCH(295,Engine!$C$2:$C$1199,0)))</f>
        <v/>
      </c>
      <c r="I308" s="7" t="str">
        <f>IF(ISNA(MATCH(295,Engine!$C$2:$C$1199,0)),"",INDEX('Compliance Database'!$I$2:$I$1199,MATCH(295,Engine!$C$2:$C$1199,0)))</f>
        <v/>
      </c>
      <c r="J308" s="6" t="str">
        <f>IF(ISNA(MATCH(295,Engine!$C$2:$C$1199,0)),"",INDEX('Compliance Database'!$J$2:$J$1199,MATCH(295,Engine!$C$2:$C$1199,0)))</f>
        <v/>
      </c>
      <c r="K308" s="7" t="str">
        <f>IF(ISNA(MATCH(295,Engine!$C$2:$C$1199,0)),"",INDEX('Compliance Database'!$K$2:$K$1199,MATCH(295,Engine!$C$2:$C$1199,0)))</f>
        <v/>
      </c>
      <c r="L308" s="7" t="str">
        <f>IF(ISNA(MATCH(295,Engine!$C$2:$C$1199,0)),"",INDEX('Compliance Database'!$L$2:$L$1199,MATCH(295,Engine!$C$2:$C$1199,0)))</f>
        <v/>
      </c>
      <c r="M308" s="7" t="str">
        <f>IF(ISNA(MATCH(295,Engine!$C$2:$C$1199,0)),"",INDEX('Compliance Database'!$M$2:$M$1199,MATCH(295,Engine!$C$2:$C$1199,0)))</f>
        <v/>
      </c>
      <c r="N308" s="7" t="str">
        <f>IF(ISNA(MATCH(295,Engine!$C$2:$C$1199,0)),"",INDEX('Compliance Database'!$N$2:$N$1199,MATCH(295,Engine!$C$2:$C$1199,0)))</f>
        <v/>
      </c>
      <c r="O308" s="7" t="str">
        <f>IF(ISNA(MATCH(295,Engine!$C$2:$C$1199,0)),"",INDEX('Compliance Database'!$O$2:$O$1199,MATCH(295,Engine!$C$2:$C$1199,0)))</f>
        <v/>
      </c>
      <c r="P308" s="6" t="str">
        <f>IF(ISNA(MATCH(295,Engine!$C$2:$C$1199,0)),"",HYPERLINK("#Acts!A"&amp;INDEX('Compliance Database'!$P$2:$P$1199,MATCH(295,Engine!$C$2:$C$1199,0)),"Go to Act"))</f>
        <v/>
      </c>
    </row>
    <row r="309" spans="1:16" ht="172.95" customHeight="1" x14ac:dyDescent="0.3">
      <c r="A309" s="6" t="str">
        <f>IF(ISNA(MATCH(296,Engine!$C$2:$C$1199,0)),"",INDEX('Compliance Database'!$A$2:$A$1199,MATCH(296,Engine!$C$2:$C$1199,0)))</f>
        <v/>
      </c>
      <c r="B309" s="6" t="str">
        <f>IF(ISNA(MATCH(296,Engine!$C$2:$C$1199,0)),"",INDEX('Compliance Database'!$B$2:$B$1199,MATCH(296,Engine!$C$2:$C$1199,0)))</f>
        <v/>
      </c>
      <c r="C309" s="6" t="str">
        <f>IF(ISNA(MATCH(296,Engine!$C$2:$C$1199,0)),"",INDEX('Compliance Database'!$C$2:$C$1199,MATCH(296,Engine!$C$2:$C$1199,0)))</f>
        <v/>
      </c>
      <c r="D309" s="7" t="str">
        <f>IF(ISNA(MATCH(296,Engine!$C$2:$C$1199,0)),"",INDEX('Compliance Database'!$D$2:$D$1199,MATCH(296,Engine!$C$2:$C$1199,0)))</f>
        <v/>
      </c>
      <c r="E309" s="6" t="str">
        <f>IF(ISNA(MATCH(296,Engine!$C$2:$C$1199,0)),"",INDEX('Compliance Database'!$E$2:$E$1199,MATCH(296,Engine!$C$2:$C$1199,0)))</f>
        <v/>
      </c>
      <c r="F309" s="6" t="str">
        <f>IF(ISNA(MATCH(296,Engine!$C$2:$C$1199,0)),"",INDEX('Compliance Database'!$F$2:$F$1199,MATCH(296,Engine!$C$2:$C$1199,0)))</f>
        <v/>
      </c>
      <c r="G309" s="6" t="str">
        <f>IF(ISNA(MATCH(296,Engine!$C$2:$C$1199,0)),"",INDEX('Compliance Database'!$G$2:$G$1199,MATCH(296,Engine!$C$2:$C$1199,0)))</f>
        <v/>
      </c>
      <c r="H309" s="7" t="str">
        <f>IF(ISNA(MATCH(296,Engine!$C$2:$C$1199,0)),"",INDEX('Compliance Database'!$H$2:$H$1199,MATCH(296,Engine!$C$2:$C$1199,0)))</f>
        <v/>
      </c>
      <c r="I309" s="7" t="str">
        <f>IF(ISNA(MATCH(296,Engine!$C$2:$C$1199,0)),"",INDEX('Compliance Database'!$I$2:$I$1199,MATCH(296,Engine!$C$2:$C$1199,0)))</f>
        <v/>
      </c>
      <c r="J309" s="6" t="str">
        <f>IF(ISNA(MATCH(296,Engine!$C$2:$C$1199,0)),"",INDEX('Compliance Database'!$J$2:$J$1199,MATCH(296,Engine!$C$2:$C$1199,0)))</f>
        <v/>
      </c>
      <c r="K309" s="7" t="str">
        <f>IF(ISNA(MATCH(296,Engine!$C$2:$C$1199,0)),"",INDEX('Compliance Database'!$K$2:$K$1199,MATCH(296,Engine!$C$2:$C$1199,0)))</f>
        <v/>
      </c>
      <c r="L309" s="7" t="str">
        <f>IF(ISNA(MATCH(296,Engine!$C$2:$C$1199,0)),"",INDEX('Compliance Database'!$L$2:$L$1199,MATCH(296,Engine!$C$2:$C$1199,0)))</f>
        <v/>
      </c>
      <c r="M309" s="7" t="str">
        <f>IF(ISNA(MATCH(296,Engine!$C$2:$C$1199,0)),"",INDEX('Compliance Database'!$M$2:$M$1199,MATCH(296,Engine!$C$2:$C$1199,0)))</f>
        <v/>
      </c>
      <c r="N309" s="7" t="str">
        <f>IF(ISNA(MATCH(296,Engine!$C$2:$C$1199,0)),"",INDEX('Compliance Database'!$N$2:$N$1199,MATCH(296,Engine!$C$2:$C$1199,0)))</f>
        <v/>
      </c>
      <c r="O309" s="7" t="str">
        <f>IF(ISNA(MATCH(296,Engine!$C$2:$C$1199,0)),"",INDEX('Compliance Database'!$O$2:$O$1199,MATCH(296,Engine!$C$2:$C$1199,0)))</f>
        <v/>
      </c>
      <c r="P309" s="6" t="str">
        <f>IF(ISNA(MATCH(296,Engine!$C$2:$C$1199,0)),"",HYPERLINK("#Acts!A"&amp;INDEX('Compliance Database'!$P$2:$P$1199,MATCH(296,Engine!$C$2:$C$1199,0)),"Go to Act"))</f>
        <v/>
      </c>
    </row>
    <row r="310" spans="1:16" ht="172.95" customHeight="1" x14ac:dyDescent="0.3">
      <c r="A310" s="6" t="str">
        <f>IF(ISNA(MATCH(297,Engine!$C$2:$C$1199,0)),"",INDEX('Compliance Database'!$A$2:$A$1199,MATCH(297,Engine!$C$2:$C$1199,0)))</f>
        <v/>
      </c>
      <c r="B310" s="6" t="str">
        <f>IF(ISNA(MATCH(297,Engine!$C$2:$C$1199,0)),"",INDEX('Compliance Database'!$B$2:$B$1199,MATCH(297,Engine!$C$2:$C$1199,0)))</f>
        <v/>
      </c>
      <c r="C310" s="6" t="str">
        <f>IF(ISNA(MATCH(297,Engine!$C$2:$C$1199,0)),"",INDEX('Compliance Database'!$C$2:$C$1199,MATCH(297,Engine!$C$2:$C$1199,0)))</f>
        <v/>
      </c>
      <c r="D310" s="7" t="str">
        <f>IF(ISNA(MATCH(297,Engine!$C$2:$C$1199,0)),"",INDEX('Compliance Database'!$D$2:$D$1199,MATCH(297,Engine!$C$2:$C$1199,0)))</f>
        <v/>
      </c>
      <c r="E310" s="6" t="str">
        <f>IF(ISNA(MATCH(297,Engine!$C$2:$C$1199,0)),"",INDEX('Compliance Database'!$E$2:$E$1199,MATCH(297,Engine!$C$2:$C$1199,0)))</f>
        <v/>
      </c>
      <c r="F310" s="6" t="str">
        <f>IF(ISNA(MATCH(297,Engine!$C$2:$C$1199,0)),"",INDEX('Compliance Database'!$F$2:$F$1199,MATCH(297,Engine!$C$2:$C$1199,0)))</f>
        <v/>
      </c>
      <c r="G310" s="6" t="str">
        <f>IF(ISNA(MATCH(297,Engine!$C$2:$C$1199,0)),"",INDEX('Compliance Database'!$G$2:$G$1199,MATCH(297,Engine!$C$2:$C$1199,0)))</f>
        <v/>
      </c>
      <c r="H310" s="7" t="str">
        <f>IF(ISNA(MATCH(297,Engine!$C$2:$C$1199,0)),"",INDEX('Compliance Database'!$H$2:$H$1199,MATCH(297,Engine!$C$2:$C$1199,0)))</f>
        <v/>
      </c>
      <c r="I310" s="7" t="str">
        <f>IF(ISNA(MATCH(297,Engine!$C$2:$C$1199,0)),"",INDEX('Compliance Database'!$I$2:$I$1199,MATCH(297,Engine!$C$2:$C$1199,0)))</f>
        <v/>
      </c>
      <c r="J310" s="6" t="str">
        <f>IF(ISNA(MATCH(297,Engine!$C$2:$C$1199,0)),"",INDEX('Compliance Database'!$J$2:$J$1199,MATCH(297,Engine!$C$2:$C$1199,0)))</f>
        <v/>
      </c>
      <c r="K310" s="7" t="str">
        <f>IF(ISNA(MATCH(297,Engine!$C$2:$C$1199,0)),"",INDEX('Compliance Database'!$K$2:$K$1199,MATCH(297,Engine!$C$2:$C$1199,0)))</f>
        <v/>
      </c>
      <c r="L310" s="7" t="str">
        <f>IF(ISNA(MATCH(297,Engine!$C$2:$C$1199,0)),"",INDEX('Compliance Database'!$L$2:$L$1199,MATCH(297,Engine!$C$2:$C$1199,0)))</f>
        <v/>
      </c>
      <c r="M310" s="7" t="str">
        <f>IF(ISNA(MATCH(297,Engine!$C$2:$C$1199,0)),"",INDEX('Compliance Database'!$M$2:$M$1199,MATCH(297,Engine!$C$2:$C$1199,0)))</f>
        <v/>
      </c>
      <c r="N310" s="7" t="str">
        <f>IF(ISNA(MATCH(297,Engine!$C$2:$C$1199,0)),"",INDEX('Compliance Database'!$N$2:$N$1199,MATCH(297,Engine!$C$2:$C$1199,0)))</f>
        <v/>
      </c>
      <c r="O310" s="7" t="str">
        <f>IF(ISNA(MATCH(297,Engine!$C$2:$C$1199,0)),"",INDEX('Compliance Database'!$O$2:$O$1199,MATCH(297,Engine!$C$2:$C$1199,0)))</f>
        <v/>
      </c>
      <c r="P310" s="6" t="str">
        <f>IF(ISNA(MATCH(297,Engine!$C$2:$C$1199,0)),"",HYPERLINK("#Acts!A"&amp;INDEX('Compliance Database'!$P$2:$P$1199,MATCH(297,Engine!$C$2:$C$1199,0)),"Go to Act"))</f>
        <v/>
      </c>
    </row>
    <row r="311" spans="1:16" ht="172.95" customHeight="1" x14ac:dyDescent="0.3">
      <c r="A311" s="6" t="str">
        <f>IF(ISNA(MATCH(298,Engine!$C$2:$C$1199,0)),"",INDEX('Compliance Database'!$A$2:$A$1199,MATCH(298,Engine!$C$2:$C$1199,0)))</f>
        <v/>
      </c>
      <c r="B311" s="6" t="str">
        <f>IF(ISNA(MATCH(298,Engine!$C$2:$C$1199,0)),"",INDEX('Compliance Database'!$B$2:$B$1199,MATCH(298,Engine!$C$2:$C$1199,0)))</f>
        <v/>
      </c>
      <c r="C311" s="6" t="str">
        <f>IF(ISNA(MATCH(298,Engine!$C$2:$C$1199,0)),"",INDEX('Compliance Database'!$C$2:$C$1199,MATCH(298,Engine!$C$2:$C$1199,0)))</f>
        <v/>
      </c>
      <c r="D311" s="7" t="str">
        <f>IF(ISNA(MATCH(298,Engine!$C$2:$C$1199,0)),"",INDEX('Compliance Database'!$D$2:$D$1199,MATCH(298,Engine!$C$2:$C$1199,0)))</f>
        <v/>
      </c>
      <c r="E311" s="6" t="str">
        <f>IF(ISNA(MATCH(298,Engine!$C$2:$C$1199,0)),"",INDEX('Compliance Database'!$E$2:$E$1199,MATCH(298,Engine!$C$2:$C$1199,0)))</f>
        <v/>
      </c>
      <c r="F311" s="6" t="str">
        <f>IF(ISNA(MATCH(298,Engine!$C$2:$C$1199,0)),"",INDEX('Compliance Database'!$F$2:$F$1199,MATCH(298,Engine!$C$2:$C$1199,0)))</f>
        <v/>
      </c>
      <c r="G311" s="6" t="str">
        <f>IF(ISNA(MATCH(298,Engine!$C$2:$C$1199,0)),"",INDEX('Compliance Database'!$G$2:$G$1199,MATCH(298,Engine!$C$2:$C$1199,0)))</f>
        <v/>
      </c>
      <c r="H311" s="7" t="str">
        <f>IF(ISNA(MATCH(298,Engine!$C$2:$C$1199,0)),"",INDEX('Compliance Database'!$H$2:$H$1199,MATCH(298,Engine!$C$2:$C$1199,0)))</f>
        <v/>
      </c>
      <c r="I311" s="7" t="str">
        <f>IF(ISNA(MATCH(298,Engine!$C$2:$C$1199,0)),"",INDEX('Compliance Database'!$I$2:$I$1199,MATCH(298,Engine!$C$2:$C$1199,0)))</f>
        <v/>
      </c>
      <c r="J311" s="6" t="str">
        <f>IF(ISNA(MATCH(298,Engine!$C$2:$C$1199,0)),"",INDEX('Compliance Database'!$J$2:$J$1199,MATCH(298,Engine!$C$2:$C$1199,0)))</f>
        <v/>
      </c>
      <c r="K311" s="7" t="str">
        <f>IF(ISNA(MATCH(298,Engine!$C$2:$C$1199,0)),"",INDEX('Compliance Database'!$K$2:$K$1199,MATCH(298,Engine!$C$2:$C$1199,0)))</f>
        <v/>
      </c>
      <c r="L311" s="7" t="str">
        <f>IF(ISNA(MATCH(298,Engine!$C$2:$C$1199,0)),"",INDEX('Compliance Database'!$L$2:$L$1199,MATCH(298,Engine!$C$2:$C$1199,0)))</f>
        <v/>
      </c>
      <c r="M311" s="7" t="str">
        <f>IF(ISNA(MATCH(298,Engine!$C$2:$C$1199,0)),"",INDEX('Compliance Database'!$M$2:$M$1199,MATCH(298,Engine!$C$2:$C$1199,0)))</f>
        <v/>
      </c>
      <c r="N311" s="7" t="str">
        <f>IF(ISNA(MATCH(298,Engine!$C$2:$C$1199,0)),"",INDEX('Compliance Database'!$N$2:$N$1199,MATCH(298,Engine!$C$2:$C$1199,0)))</f>
        <v/>
      </c>
      <c r="O311" s="7" t="str">
        <f>IF(ISNA(MATCH(298,Engine!$C$2:$C$1199,0)),"",INDEX('Compliance Database'!$O$2:$O$1199,MATCH(298,Engine!$C$2:$C$1199,0)))</f>
        <v/>
      </c>
      <c r="P311" s="6" t="str">
        <f>IF(ISNA(MATCH(298,Engine!$C$2:$C$1199,0)),"",HYPERLINK("#Acts!A"&amp;INDEX('Compliance Database'!$P$2:$P$1199,MATCH(298,Engine!$C$2:$C$1199,0)),"Go to Act"))</f>
        <v/>
      </c>
    </row>
    <row r="312" spans="1:16" ht="172.95" customHeight="1" x14ac:dyDescent="0.3">
      <c r="A312" s="6" t="str">
        <f>IF(ISNA(MATCH(299,Engine!$C$2:$C$1199,0)),"",INDEX('Compliance Database'!$A$2:$A$1199,MATCH(299,Engine!$C$2:$C$1199,0)))</f>
        <v/>
      </c>
      <c r="B312" s="6" t="str">
        <f>IF(ISNA(MATCH(299,Engine!$C$2:$C$1199,0)),"",INDEX('Compliance Database'!$B$2:$B$1199,MATCH(299,Engine!$C$2:$C$1199,0)))</f>
        <v/>
      </c>
      <c r="C312" s="6" t="str">
        <f>IF(ISNA(MATCH(299,Engine!$C$2:$C$1199,0)),"",INDEX('Compliance Database'!$C$2:$C$1199,MATCH(299,Engine!$C$2:$C$1199,0)))</f>
        <v/>
      </c>
      <c r="D312" s="7" t="str">
        <f>IF(ISNA(MATCH(299,Engine!$C$2:$C$1199,0)),"",INDEX('Compliance Database'!$D$2:$D$1199,MATCH(299,Engine!$C$2:$C$1199,0)))</f>
        <v/>
      </c>
      <c r="E312" s="6" t="str">
        <f>IF(ISNA(MATCH(299,Engine!$C$2:$C$1199,0)),"",INDEX('Compliance Database'!$E$2:$E$1199,MATCH(299,Engine!$C$2:$C$1199,0)))</f>
        <v/>
      </c>
      <c r="F312" s="6" t="str">
        <f>IF(ISNA(MATCH(299,Engine!$C$2:$C$1199,0)),"",INDEX('Compliance Database'!$F$2:$F$1199,MATCH(299,Engine!$C$2:$C$1199,0)))</f>
        <v/>
      </c>
      <c r="G312" s="6" t="str">
        <f>IF(ISNA(MATCH(299,Engine!$C$2:$C$1199,0)),"",INDEX('Compliance Database'!$G$2:$G$1199,MATCH(299,Engine!$C$2:$C$1199,0)))</f>
        <v/>
      </c>
      <c r="H312" s="7" t="str">
        <f>IF(ISNA(MATCH(299,Engine!$C$2:$C$1199,0)),"",INDEX('Compliance Database'!$H$2:$H$1199,MATCH(299,Engine!$C$2:$C$1199,0)))</f>
        <v/>
      </c>
      <c r="I312" s="7" t="str">
        <f>IF(ISNA(MATCH(299,Engine!$C$2:$C$1199,0)),"",INDEX('Compliance Database'!$I$2:$I$1199,MATCH(299,Engine!$C$2:$C$1199,0)))</f>
        <v/>
      </c>
      <c r="J312" s="6" t="str">
        <f>IF(ISNA(MATCH(299,Engine!$C$2:$C$1199,0)),"",INDEX('Compliance Database'!$J$2:$J$1199,MATCH(299,Engine!$C$2:$C$1199,0)))</f>
        <v/>
      </c>
      <c r="K312" s="7" t="str">
        <f>IF(ISNA(MATCH(299,Engine!$C$2:$C$1199,0)),"",INDEX('Compliance Database'!$K$2:$K$1199,MATCH(299,Engine!$C$2:$C$1199,0)))</f>
        <v/>
      </c>
      <c r="L312" s="7" t="str">
        <f>IF(ISNA(MATCH(299,Engine!$C$2:$C$1199,0)),"",INDEX('Compliance Database'!$L$2:$L$1199,MATCH(299,Engine!$C$2:$C$1199,0)))</f>
        <v/>
      </c>
      <c r="M312" s="7" t="str">
        <f>IF(ISNA(MATCH(299,Engine!$C$2:$C$1199,0)),"",INDEX('Compliance Database'!$M$2:$M$1199,MATCH(299,Engine!$C$2:$C$1199,0)))</f>
        <v/>
      </c>
      <c r="N312" s="7" t="str">
        <f>IF(ISNA(MATCH(299,Engine!$C$2:$C$1199,0)),"",INDEX('Compliance Database'!$N$2:$N$1199,MATCH(299,Engine!$C$2:$C$1199,0)))</f>
        <v/>
      </c>
      <c r="O312" s="7" t="str">
        <f>IF(ISNA(MATCH(299,Engine!$C$2:$C$1199,0)),"",INDEX('Compliance Database'!$O$2:$O$1199,MATCH(299,Engine!$C$2:$C$1199,0)))</f>
        <v/>
      </c>
      <c r="P312" s="6" t="str">
        <f>IF(ISNA(MATCH(299,Engine!$C$2:$C$1199,0)),"",HYPERLINK("#Acts!A"&amp;INDEX('Compliance Database'!$P$2:$P$1199,MATCH(299,Engine!$C$2:$C$1199,0)),"Go to Act"))</f>
        <v/>
      </c>
    </row>
    <row r="313" spans="1:16" ht="172.95" customHeight="1" x14ac:dyDescent="0.3">
      <c r="A313" s="6" t="str">
        <f>IF(ISNA(MATCH(300,Engine!$C$2:$C$1199,0)),"",INDEX('Compliance Database'!$A$2:$A$1199,MATCH(300,Engine!$C$2:$C$1199,0)))</f>
        <v/>
      </c>
      <c r="B313" s="6" t="str">
        <f>IF(ISNA(MATCH(300,Engine!$C$2:$C$1199,0)),"",INDEX('Compliance Database'!$B$2:$B$1199,MATCH(300,Engine!$C$2:$C$1199,0)))</f>
        <v/>
      </c>
      <c r="C313" s="6" t="str">
        <f>IF(ISNA(MATCH(300,Engine!$C$2:$C$1199,0)),"",INDEX('Compliance Database'!$C$2:$C$1199,MATCH(300,Engine!$C$2:$C$1199,0)))</f>
        <v/>
      </c>
      <c r="D313" s="7" t="str">
        <f>IF(ISNA(MATCH(300,Engine!$C$2:$C$1199,0)),"",INDEX('Compliance Database'!$D$2:$D$1199,MATCH(300,Engine!$C$2:$C$1199,0)))</f>
        <v/>
      </c>
      <c r="E313" s="6" t="str">
        <f>IF(ISNA(MATCH(300,Engine!$C$2:$C$1199,0)),"",INDEX('Compliance Database'!$E$2:$E$1199,MATCH(300,Engine!$C$2:$C$1199,0)))</f>
        <v/>
      </c>
      <c r="F313" s="6" t="str">
        <f>IF(ISNA(MATCH(300,Engine!$C$2:$C$1199,0)),"",INDEX('Compliance Database'!$F$2:$F$1199,MATCH(300,Engine!$C$2:$C$1199,0)))</f>
        <v/>
      </c>
      <c r="G313" s="6" t="str">
        <f>IF(ISNA(MATCH(300,Engine!$C$2:$C$1199,0)),"",INDEX('Compliance Database'!$G$2:$G$1199,MATCH(300,Engine!$C$2:$C$1199,0)))</f>
        <v/>
      </c>
      <c r="H313" s="7" t="str">
        <f>IF(ISNA(MATCH(300,Engine!$C$2:$C$1199,0)),"",INDEX('Compliance Database'!$H$2:$H$1199,MATCH(300,Engine!$C$2:$C$1199,0)))</f>
        <v/>
      </c>
      <c r="I313" s="7" t="str">
        <f>IF(ISNA(MATCH(300,Engine!$C$2:$C$1199,0)),"",INDEX('Compliance Database'!$I$2:$I$1199,MATCH(300,Engine!$C$2:$C$1199,0)))</f>
        <v/>
      </c>
      <c r="J313" s="6" t="str">
        <f>IF(ISNA(MATCH(300,Engine!$C$2:$C$1199,0)),"",INDEX('Compliance Database'!$J$2:$J$1199,MATCH(300,Engine!$C$2:$C$1199,0)))</f>
        <v/>
      </c>
      <c r="K313" s="7" t="str">
        <f>IF(ISNA(MATCH(300,Engine!$C$2:$C$1199,0)),"",INDEX('Compliance Database'!$K$2:$K$1199,MATCH(300,Engine!$C$2:$C$1199,0)))</f>
        <v/>
      </c>
      <c r="L313" s="7" t="str">
        <f>IF(ISNA(MATCH(300,Engine!$C$2:$C$1199,0)),"",INDEX('Compliance Database'!$L$2:$L$1199,MATCH(300,Engine!$C$2:$C$1199,0)))</f>
        <v/>
      </c>
      <c r="M313" s="7" t="str">
        <f>IF(ISNA(MATCH(300,Engine!$C$2:$C$1199,0)),"",INDEX('Compliance Database'!$M$2:$M$1199,MATCH(300,Engine!$C$2:$C$1199,0)))</f>
        <v/>
      </c>
      <c r="N313" s="7" t="str">
        <f>IF(ISNA(MATCH(300,Engine!$C$2:$C$1199,0)),"",INDEX('Compliance Database'!$N$2:$N$1199,MATCH(300,Engine!$C$2:$C$1199,0)))</f>
        <v/>
      </c>
      <c r="O313" s="7" t="str">
        <f>IF(ISNA(MATCH(300,Engine!$C$2:$C$1199,0)),"",INDEX('Compliance Database'!$O$2:$O$1199,MATCH(300,Engine!$C$2:$C$1199,0)))</f>
        <v/>
      </c>
      <c r="P313" s="6" t="str">
        <f>IF(ISNA(MATCH(300,Engine!$C$2:$C$1199,0)),"",HYPERLINK("#Acts!A"&amp;INDEX('Compliance Database'!$P$2:$P$1199,MATCH(300,Engine!$C$2:$C$1199,0)),"Go to Act"))</f>
        <v/>
      </c>
    </row>
    <row r="314" spans="1:16" ht="172.95" customHeight="1" x14ac:dyDescent="0.3">
      <c r="A314" s="6" t="str">
        <f>IF(ISNA(MATCH(301,Engine!$C$2:$C$1199,0)),"",INDEX('Compliance Database'!$A$2:$A$1199,MATCH(301,Engine!$C$2:$C$1199,0)))</f>
        <v/>
      </c>
      <c r="B314" s="6" t="str">
        <f>IF(ISNA(MATCH(301,Engine!$C$2:$C$1199,0)),"",INDEX('Compliance Database'!$B$2:$B$1199,MATCH(301,Engine!$C$2:$C$1199,0)))</f>
        <v/>
      </c>
      <c r="C314" s="6" t="str">
        <f>IF(ISNA(MATCH(301,Engine!$C$2:$C$1199,0)),"",INDEX('Compliance Database'!$C$2:$C$1199,MATCH(301,Engine!$C$2:$C$1199,0)))</f>
        <v/>
      </c>
      <c r="D314" s="7" t="str">
        <f>IF(ISNA(MATCH(301,Engine!$C$2:$C$1199,0)),"",INDEX('Compliance Database'!$D$2:$D$1199,MATCH(301,Engine!$C$2:$C$1199,0)))</f>
        <v/>
      </c>
      <c r="E314" s="6" t="str">
        <f>IF(ISNA(MATCH(301,Engine!$C$2:$C$1199,0)),"",INDEX('Compliance Database'!$E$2:$E$1199,MATCH(301,Engine!$C$2:$C$1199,0)))</f>
        <v/>
      </c>
      <c r="F314" s="6" t="str">
        <f>IF(ISNA(MATCH(301,Engine!$C$2:$C$1199,0)),"",INDEX('Compliance Database'!$F$2:$F$1199,MATCH(301,Engine!$C$2:$C$1199,0)))</f>
        <v/>
      </c>
      <c r="G314" s="6" t="str">
        <f>IF(ISNA(MATCH(301,Engine!$C$2:$C$1199,0)),"",INDEX('Compliance Database'!$G$2:$G$1199,MATCH(301,Engine!$C$2:$C$1199,0)))</f>
        <v/>
      </c>
      <c r="H314" s="7" t="str">
        <f>IF(ISNA(MATCH(301,Engine!$C$2:$C$1199,0)),"",INDEX('Compliance Database'!$H$2:$H$1199,MATCH(301,Engine!$C$2:$C$1199,0)))</f>
        <v/>
      </c>
      <c r="I314" s="7" t="str">
        <f>IF(ISNA(MATCH(301,Engine!$C$2:$C$1199,0)),"",INDEX('Compliance Database'!$I$2:$I$1199,MATCH(301,Engine!$C$2:$C$1199,0)))</f>
        <v/>
      </c>
      <c r="J314" s="6" t="str">
        <f>IF(ISNA(MATCH(301,Engine!$C$2:$C$1199,0)),"",INDEX('Compliance Database'!$J$2:$J$1199,MATCH(301,Engine!$C$2:$C$1199,0)))</f>
        <v/>
      </c>
      <c r="K314" s="7" t="str">
        <f>IF(ISNA(MATCH(301,Engine!$C$2:$C$1199,0)),"",INDEX('Compliance Database'!$K$2:$K$1199,MATCH(301,Engine!$C$2:$C$1199,0)))</f>
        <v/>
      </c>
      <c r="L314" s="7" t="str">
        <f>IF(ISNA(MATCH(301,Engine!$C$2:$C$1199,0)),"",INDEX('Compliance Database'!$L$2:$L$1199,MATCH(301,Engine!$C$2:$C$1199,0)))</f>
        <v/>
      </c>
      <c r="M314" s="7" t="str">
        <f>IF(ISNA(MATCH(301,Engine!$C$2:$C$1199,0)),"",INDEX('Compliance Database'!$M$2:$M$1199,MATCH(301,Engine!$C$2:$C$1199,0)))</f>
        <v/>
      </c>
      <c r="N314" s="7" t="str">
        <f>IF(ISNA(MATCH(301,Engine!$C$2:$C$1199,0)),"",INDEX('Compliance Database'!$N$2:$N$1199,MATCH(301,Engine!$C$2:$C$1199,0)))</f>
        <v/>
      </c>
      <c r="O314" s="7" t="str">
        <f>IF(ISNA(MATCH(301,Engine!$C$2:$C$1199,0)),"",INDEX('Compliance Database'!$O$2:$O$1199,MATCH(301,Engine!$C$2:$C$1199,0)))</f>
        <v/>
      </c>
      <c r="P314" s="6" t="str">
        <f>IF(ISNA(MATCH(301,Engine!$C$2:$C$1199,0)),"",HYPERLINK("#Acts!A"&amp;INDEX('Compliance Database'!$P$2:$P$1199,MATCH(301,Engine!$C$2:$C$1199,0)),"Go to Act"))</f>
        <v/>
      </c>
    </row>
    <row r="315" spans="1:16" ht="172.95" customHeight="1" x14ac:dyDescent="0.3">
      <c r="A315" s="6" t="str">
        <f>IF(ISNA(MATCH(302,Engine!$C$2:$C$1199,0)),"",INDEX('Compliance Database'!$A$2:$A$1199,MATCH(302,Engine!$C$2:$C$1199,0)))</f>
        <v/>
      </c>
      <c r="B315" s="6" t="str">
        <f>IF(ISNA(MATCH(302,Engine!$C$2:$C$1199,0)),"",INDEX('Compliance Database'!$B$2:$B$1199,MATCH(302,Engine!$C$2:$C$1199,0)))</f>
        <v/>
      </c>
      <c r="C315" s="6" t="str">
        <f>IF(ISNA(MATCH(302,Engine!$C$2:$C$1199,0)),"",INDEX('Compliance Database'!$C$2:$C$1199,MATCH(302,Engine!$C$2:$C$1199,0)))</f>
        <v/>
      </c>
      <c r="D315" s="7" t="str">
        <f>IF(ISNA(MATCH(302,Engine!$C$2:$C$1199,0)),"",INDEX('Compliance Database'!$D$2:$D$1199,MATCH(302,Engine!$C$2:$C$1199,0)))</f>
        <v/>
      </c>
      <c r="E315" s="6" t="str">
        <f>IF(ISNA(MATCH(302,Engine!$C$2:$C$1199,0)),"",INDEX('Compliance Database'!$E$2:$E$1199,MATCH(302,Engine!$C$2:$C$1199,0)))</f>
        <v/>
      </c>
      <c r="F315" s="6" t="str">
        <f>IF(ISNA(MATCH(302,Engine!$C$2:$C$1199,0)),"",INDEX('Compliance Database'!$F$2:$F$1199,MATCH(302,Engine!$C$2:$C$1199,0)))</f>
        <v/>
      </c>
      <c r="G315" s="6" t="str">
        <f>IF(ISNA(MATCH(302,Engine!$C$2:$C$1199,0)),"",INDEX('Compliance Database'!$G$2:$G$1199,MATCH(302,Engine!$C$2:$C$1199,0)))</f>
        <v/>
      </c>
      <c r="H315" s="7" t="str">
        <f>IF(ISNA(MATCH(302,Engine!$C$2:$C$1199,0)),"",INDEX('Compliance Database'!$H$2:$H$1199,MATCH(302,Engine!$C$2:$C$1199,0)))</f>
        <v/>
      </c>
      <c r="I315" s="7" t="str">
        <f>IF(ISNA(MATCH(302,Engine!$C$2:$C$1199,0)),"",INDEX('Compliance Database'!$I$2:$I$1199,MATCH(302,Engine!$C$2:$C$1199,0)))</f>
        <v/>
      </c>
      <c r="J315" s="6" t="str">
        <f>IF(ISNA(MATCH(302,Engine!$C$2:$C$1199,0)),"",INDEX('Compliance Database'!$J$2:$J$1199,MATCH(302,Engine!$C$2:$C$1199,0)))</f>
        <v/>
      </c>
      <c r="K315" s="7" t="str">
        <f>IF(ISNA(MATCH(302,Engine!$C$2:$C$1199,0)),"",INDEX('Compliance Database'!$K$2:$K$1199,MATCH(302,Engine!$C$2:$C$1199,0)))</f>
        <v/>
      </c>
      <c r="L315" s="7" t="str">
        <f>IF(ISNA(MATCH(302,Engine!$C$2:$C$1199,0)),"",INDEX('Compliance Database'!$L$2:$L$1199,MATCH(302,Engine!$C$2:$C$1199,0)))</f>
        <v/>
      </c>
      <c r="M315" s="7" t="str">
        <f>IF(ISNA(MATCH(302,Engine!$C$2:$C$1199,0)),"",INDEX('Compliance Database'!$M$2:$M$1199,MATCH(302,Engine!$C$2:$C$1199,0)))</f>
        <v/>
      </c>
      <c r="N315" s="7" t="str">
        <f>IF(ISNA(MATCH(302,Engine!$C$2:$C$1199,0)),"",INDEX('Compliance Database'!$N$2:$N$1199,MATCH(302,Engine!$C$2:$C$1199,0)))</f>
        <v/>
      </c>
      <c r="O315" s="7" t="str">
        <f>IF(ISNA(MATCH(302,Engine!$C$2:$C$1199,0)),"",INDEX('Compliance Database'!$O$2:$O$1199,MATCH(302,Engine!$C$2:$C$1199,0)))</f>
        <v/>
      </c>
      <c r="P315" s="6" t="str">
        <f>IF(ISNA(MATCH(302,Engine!$C$2:$C$1199,0)),"",HYPERLINK("#Acts!A"&amp;INDEX('Compliance Database'!$P$2:$P$1199,MATCH(302,Engine!$C$2:$C$1199,0)),"Go to Act"))</f>
        <v/>
      </c>
    </row>
    <row r="316" spans="1:16" ht="172.95" customHeight="1" x14ac:dyDescent="0.3">
      <c r="A316" s="6" t="str">
        <f>IF(ISNA(MATCH(303,Engine!$C$2:$C$1199,0)),"",INDEX('Compliance Database'!$A$2:$A$1199,MATCH(303,Engine!$C$2:$C$1199,0)))</f>
        <v/>
      </c>
      <c r="B316" s="6" t="str">
        <f>IF(ISNA(MATCH(303,Engine!$C$2:$C$1199,0)),"",INDEX('Compliance Database'!$B$2:$B$1199,MATCH(303,Engine!$C$2:$C$1199,0)))</f>
        <v/>
      </c>
      <c r="C316" s="6" t="str">
        <f>IF(ISNA(MATCH(303,Engine!$C$2:$C$1199,0)),"",INDEX('Compliance Database'!$C$2:$C$1199,MATCH(303,Engine!$C$2:$C$1199,0)))</f>
        <v/>
      </c>
      <c r="D316" s="7" t="str">
        <f>IF(ISNA(MATCH(303,Engine!$C$2:$C$1199,0)),"",INDEX('Compliance Database'!$D$2:$D$1199,MATCH(303,Engine!$C$2:$C$1199,0)))</f>
        <v/>
      </c>
      <c r="E316" s="6" t="str">
        <f>IF(ISNA(MATCH(303,Engine!$C$2:$C$1199,0)),"",INDEX('Compliance Database'!$E$2:$E$1199,MATCH(303,Engine!$C$2:$C$1199,0)))</f>
        <v/>
      </c>
      <c r="F316" s="6" t="str">
        <f>IF(ISNA(MATCH(303,Engine!$C$2:$C$1199,0)),"",INDEX('Compliance Database'!$F$2:$F$1199,MATCH(303,Engine!$C$2:$C$1199,0)))</f>
        <v/>
      </c>
      <c r="G316" s="6" t="str">
        <f>IF(ISNA(MATCH(303,Engine!$C$2:$C$1199,0)),"",INDEX('Compliance Database'!$G$2:$G$1199,MATCH(303,Engine!$C$2:$C$1199,0)))</f>
        <v/>
      </c>
      <c r="H316" s="7" t="str">
        <f>IF(ISNA(MATCH(303,Engine!$C$2:$C$1199,0)),"",INDEX('Compliance Database'!$H$2:$H$1199,MATCH(303,Engine!$C$2:$C$1199,0)))</f>
        <v/>
      </c>
      <c r="I316" s="7" t="str">
        <f>IF(ISNA(MATCH(303,Engine!$C$2:$C$1199,0)),"",INDEX('Compliance Database'!$I$2:$I$1199,MATCH(303,Engine!$C$2:$C$1199,0)))</f>
        <v/>
      </c>
      <c r="J316" s="6" t="str">
        <f>IF(ISNA(MATCH(303,Engine!$C$2:$C$1199,0)),"",INDEX('Compliance Database'!$J$2:$J$1199,MATCH(303,Engine!$C$2:$C$1199,0)))</f>
        <v/>
      </c>
      <c r="K316" s="7" t="str">
        <f>IF(ISNA(MATCH(303,Engine!$C$2:$C$1199,0)),"",INDEX('Compliance Database'!$K$2:$K$1199,MATCH(303,Engine!$C$2:$C$1199,0)))</f>
        <v/>
      </c>
      <c r="L316" s="7" t="str">
        <f>IF(ISNA(MATCH(303,Engine!$C$2:$C$1199,0)),"",INDEX('Compliance Database'!$L$2:$L$1199,MATCH(303,Engine!$C$2:$C$1199,0)))</f>
        <v/>
      </c>
      <c r="M316" s="7" t="str">
        <f>IF(ISNA(MATCH(303,Engine!$C$2:$C$1199,0)),"",INDEX('Compliance Database'!$M$2:$M$1199,MATCH(303,Engine!$C$2:$C$1199,0)))</f>
        <v/>
      </c>
      <c r="N316" s="7" t="str">
        <f>IF(ISNA(MATCH(303,Engine!$C$2:$C$1199,0)),"",INDEX('Compliance Database'!$N$2:$N$1199,MATCH(303,Engine!$C$2:$C$1199,0)))</f>
        <v/>
      </c>
      <c r="O316" s="7" t="str">
        <f>IF(ISNA(MATCH(303,Engine!$C$2:$C$1199,0)),"",INDEX('Compliance Database'!$O$2:$O$1199,MATCH(303,Engine!$C$2:$C$1199,0)))</f>
        <v/>
      </c>
      <c r="P316" s="6" t="str">
        <f>IF(ISNA(MATCH(303,Engine!$C$2:$C$1199,0)),"",HYPERLINK("#Acts!A"&amp;INDEX('Compliance Database'!$P$2:$P$1199,MATCH(303,Engine!$C$2:$C$1199,0)),"Go to Act"))</f>
        <v/>
      </c>
    </row>
    <row r="317" spans="1:16" ht="172.95" customHeight="1" x14ac:dyDescent="0.3">
      <c r="A317" s="6" t="str">
        <f>IF(ISNA(MATCH(304,Engine!$C$2:$C$1199,0)),"",INDEX('Compliance Database'!$A$2:$A$1199,MATCH(304,Engine!$C$2:$C$1199,0)))</f>
        <v/>
      </c>
      <c r="B317" s="6" t="str">
        <f>IF(ISNA(MATCH(304,Engine!$C$2:$C$1199,0)),"",INDEX('Compliance Database'!$B$2:$B$1199,MATCH(304,Engine!$C$2:$C$1199,0)))</f>
        <v/>
      </c>
      <c r="C317" s="6" t="str">
        <f>IF(ISNA(MATCH(304,Engine!$C$2:$C$1199,0)),"",INDEX('Compliance Database'!$C$2:$C$1199,MATCH(304,Engine!$C$2:$C$1199,0)))</f>
        <v/>
      </c>
      <c r="D317" s="7" t="str">
        <f>IF(ISNA(MATCH(304,Engine!$C$2:$C$1199,0)),"",INDEX('Compliance Database'!$D$2:$D$1199,MATCH(304,Engine!$C$2:$C$1199,0)))</f>
        <v/>
      </c>
      <c r="E317" s="6" t="str">
        <f>IF(ISNA(MATCH(304,Engine!$C$2:$C$1199,0)),"",INDEX('Compliance Database'!$E$2:$E$1199,MATCH(304,Engine!$C$2:$C$1199,0)))</f>
        <v/>
      </c>
      <c r="F317" s="6" t="str">
        <f>IF(ISNA(MATCH(304,Engine!$C$2:$C$1199,0)),"",INDEX('Compliance Database'!$F$2:$F$1199,MATCH(304,Engine!$C$2:$C$1199,0)))</f>
        <v/>
      </c>
      <c r="G317" s="6" t="str">
        <f>IF(ISNA(MATCH(304,Engine!$C$2:$C$1199,0)),"",INDEX('Compliance Database'!$G$2:$G$1199,MATCH(304,Engine!$C$2:$C$1199,0)))</f>
        <v/>
      </c>
      <c r="H317" s="7" t="str">
        <f>IF(ISNA(MATCH(304,Engine!$C$2:$C$1199,0)),"",INDEX('Compliance Database'!$H$2:$H$1199,MATCH(304,Engine!$C$2:$C$1199,0)))</f>
        <v/>
      </c>
      <c r="I317" s="7" t="str">
        <f>IF(ISNA(MATCH(304,Engine!$C$2:$C$1199,0)),"",INDEX('Compliance Database'!$I$2:$I$1199,MATCH(304,Engine!$C$2:$C$1199,0)))</f>
        <v/>
      </c>
      <c r="J317" s="6" t="str">
        <f>IF(ISNA(MATCH(304,Engine!$C$2:$C$1199,0)),"",INDEX('Compliance Database'!$J$2:$J$1199,MATCH(304,Engine!$C$2:$C$1199,0)))</f>
        <v/>
      </c>
      <c r="K317" s="7" t="str">
        <f>IF(ISNA(MATCH(304,Engine!$C$2:$C$1199,0)),"",INDEX('Compliance Database'!$K$2:$K$1199,MATCH(304,Engine!$C$2:$C$1199,0)))</f>
        <v/>
      </c>
      <c r="L317" s="7" t="str">
        <f>IF(ISNA(MATCH(304,Engine!$C$2:$C$1199,0)),"",INDEX('Compliance Database'!$L$2:$L$1199,MATCH(304,Engine!$C$2:$C$1199,0)))</f>
        <v/>
      </c>
      <c r="M317" s="7" t="str">
        <f>IF(ISNA(MATCH(304,Engine!$C$2:$C$1199,0)),"",INDEX('Compliance Database'!$M$2:$M$1199,MATCH(304,Engine!$C$2:$C$1199,0)))</f>
        <v/>
      </c>
      <c r="N317" s="7" t="str">
        <f>IF(ISNA(MATCH(304,Engine!$C$2:$C$1199,0)),"",INDEX('Compliance Database'!$N$2:$N$1199,MATCH(304,Engine!$C$2:$C$1199,0)))</f>
        <v/>
      </c>
      <c r="O317" s="7" t="str">
        <f>IF(ISNA(MATCH(304,Engine!$C$2:$C$1199,0)),"",INDEX('Compliance Database'!$O$2:$O$1199,MATCH(304,Engine!$C$2:$C$1199,0)))</f>
        <v/>
      </c>
      <c r="P317" s="6" t="str">
        <f>IF(ISNA(MATCH(304,Engine!$C$2:$C$1199,0)),"",HYPERLINK("#Acts!A"&amp;INDEX('Compliance Database'!$P$2:$P$1199,MATCH(304,Engine!$C$2:$C$1199,0)),"Go to Act"))</f>
        <v/>
      </c>
    </row>
    <row r="318" spans="1:16" ht="172.95" customHeight="1" x14ac:dyDescent="0.3">
      <c r="A318" s="6" t="str">
        <f>IF(ISNA(MATCH(305,Engine!$C$2:$C$1199,0)),"",INDEX('Compliance Database'!$A$2:$A$1199,MATCH(305,Engine!$C$2:$C$1199,0)))</f>
        <v/>
      </c>
      <c r="B318" s="6" t="str">
        <f>IF(ISNA(MATCH(305,Engine!$C$2:$C$1199,0)),"",INDEX('Compliance Database'!$B$2:$B$1199,MATCH(305,Engine!$C$2:$C$1199,0)))</f>
        <v/>
      </c>
      <c r="C318" s="6" t="str">
        <f>IF(ISNA(MATCH(305,Engine!$C$2:$C$1199,0)),"",INDEX('Compliance Database'!$C$2:$C$1199,MATCH(305,Engine!$C$2:$C$1199,0)))</f>
        <v/>
      </c>
      <c r="D318" s="7" t="str">
        <f>IF(ISNA(MATCH(305,Engine!$C$2:$C$1199,0)),"",INDEX('Compliance Database'!$D$2:$D$1199,MATCH(305,Engine!$C$2:$C$1199,0)))</f>
        <v/>
      </c>
      <c r="E318" s="6" t="str">
        <f>IF(ISNA(MATCH(305,Engine!$C$2:$C$1199,0)),"",INDEX('Compliance Database'!$E$2:$E$1199,MATCH(305,Engine!$C$2:$C$1199,0)))</f>
        <v/>
      </c>
      <c r="F318" s="6" t="str">
        <f>IF(ISNA(MATCH(305,Engine!$C$2:$C$1199,0)),"",INDEX('Compliance Database'!$F$2:$F$1199,MATCH(305,Engine!$C$2:$C$1199,0)))</f>
        <v/>
      </c>
      <c r="G318" s="6" t="str">
        <f>IF(ISNA(MATCH(305,Engine!$C$2:$C$1199,0)),"",INDEX('Compliance Database'!$G$2:$G$1199,MATCH(305,Engine!$C$2:$C$1199,0)))</f>
        <v/>
      </c>
      <c r="H318" s="7" t="str">
        <f>IF(ISNA(MATCH(305,Engine!$C$2:$C$1199,0)),"",INDEX('Compliance Database'!$H$2:$H$1199,MATCH(305,Engine!$C$2:$C$1199,0)))</f>
        <v/>
      </c>
      <c r="I318" s="7" t="str">
        <f>IF(ISNA(MATCH(305,Engine!$C$2:$C$1199,0)),"",INDEX('Compliance Database'!$I$2:$I$1199,MATCH(305,Engine!$C$2:$C$1199,0)))</f>
        <v/>
      </c>
      <c r="J318" s="6" t="str">
        <f>IF(ISNA(MATCH(305,Engine!$C$2:$C$1199,0)),"",INDEX('Compliance Database'!$J$2:$J$1199,MATCH(305,Engine!$C$2:$C$1199,0)))</f>
        <v/>
      </c>
      <c r="K318" s="7" t="str">
        <f>IF(ISNA(MATCH(305,Engine!$C$2:$C$1199,0)),"",INDEX('Compliance Database'!$K$2:$K$1199,MATCH(305,Engine!$C$2:$C$1199,0)))</f>
        <v/>
      </c>
      <c r="L318" s="7" t="str">
        <f>IF(ISNA(MATCH(305,Engine!$C$2:$C$1199,0)),"",INDEX('Compliance Database'!$L$2:$L$1199,MATCH(305,Engine!$C$2:$C$1199,0)))</f>
        <v/>
      </c>
      <c r="M318" s="7" t="str">
        <f>IF(ISNA(MATCH(305,Engine!$C$2:$C$1199,0)),"",INDEX('Compliance Database'!$M$2:$M$1199,MATCH(305,Engine!$C$2:$C$1199,0)))</f>
        <v/>
      </c>
      <c r="N318" s="7" t="str">
        <f>IF(ISNA(MATCH(305,Engine!$C$2:$C$1199,0)),"",INDEX('Compliance Database'!$N$2:$N$1199,MATCH(305,Engine!$C$2:$C$1199,0)))</f>
        <v/>
      </c>
      <c r="O318" s="7" t="str">
        <f>IF(ISNA(MATCH(305,Engine!$C$2:$C$1199,0)),"",INDEX('Compliance Database'!$O$2:$O$1199,MATCH(305,Engine!$C$2:$C$1199,0)))</f>
        <v/>
      </c>
      <c r="P318" s="6" t="str">
        <f>IF(ISNA(MATCH(305,Engine!$C$2:$C$1199,0)),"",HYPERLINK("#Acts!A"&amp;INDEX('Compliance Database'!$P$2:$P$1199,MATCH(305,Engine!$C$2:$C$1199,0)),"Go to Act"))</f>
        <v/>
      </c>
    </row>
    <row r="319" spans="1:16" ht="172.95" customHeight="1" x14ac:dyDescent="0.3">
      <c r="A319" s="6" t="str">
        <f>IF(ISNA(MATCH(306,Engine!$C$2:$C$1199,0)),"",INDEX('Compliance Database'!$A$2:$A$1199,MATCH(306,Engine!$C$2:$C$1199,0)))</f>
        <v/>
      </c>
      <c r="B319" s="6" t="str">
        <f>IF(ISNA(MATCH(306,Engine!$C$2:$C$1199,0)),"",INDEX('Compliance Database'!$B$2:$B$1199,MATCH(306,Engine!$C$2:$C$1199,0)))</f>
        <v/>
      </c>
      <c r="C319" s="6" t="str">
        <f>IF(ISNA(MATCH(306,Engine!$C$2:$C$1199,0)),"",INDEX('Compliance Database'!$C$2:$C$1199,MATCH(306,Engine!$C$2:$C$1199,0)))</f>
        <v/>
      </c>
      <c r="D319" s="7" t="str">
        <f>IF(ISNA(MATCH(306,Engine!$C$2:$C$1199,0)),"",INDEX('Compliance Database'!$D$2:$D$1199,MATCH(306,Engine!$C$2:$C$1199,0)))</f>
        <v/>
      </c>
      <c r="E319" s="6" t="str">
        <f>IF(ISNA(MATCH(306,Engine!$C$2:$C$1199,0)),"",INDEX('Compliance Database'!$E$2:$E$1199,MATCH(306,Engine!$C$2:$C$1199,0)))</f>
        <v/>
      </c>
      <c r="F319" s="6" t="str">
        <f>IF(ISNA(MATCH(306,Engine!$C$2:$C$1199,0)),"",INDEX('Compliance Database'!$F$2:$F$1199,MATCH(306,Engine!$C$2:$C$1199,0)))</f>
        <v/>
      </c>
      <c r="G319" s="6" t="str">
        <f>IF(ISNA(MATCH(306,Engine!$C$2:$C$1199,0)),"",INDEX('Compliance Database'!$G$2:$G$1199,MATCH(306,Engine!$C$2:$C$1199,0)))</f>
        <v/>
      </c>
      <c r="H319" s="7" t="str">
        <f>IF(ISNA(MATCH(306,Engine!$C$2:$C$1199,0)),"",INDEX('Compliance Database'!$H$2:$H$1199,MATCH(306,Engine!$C$2:$C$1199,0)))</f>
        <v/>
      </c>
      <c r="I319" s="7" t="str">
        <f>IF(ISNA(MATCH(306,Engine!$C$2:$C$1199,0)),"",INDEX('Compliance Database'!$I$2:$I$1199,MATCH(306,Engine!$C$2:$C$1199,0)))</f>
        <v/>
      </c>
      <c r="J319" s="6" t="str">
        <f>IF(ISNA(MATCH(306,Engine!$C$2:$C$1199,0)),"",INDEX('Compliance Database'!$J$2:$J$1199,MATCH(306,Engine!$C$2:$C$1199,0)))</f>
        <v/>
      </c>
      <c r="K319" s="7" t="str">
        <f>IF(ISNA(MATCH(306,Engine!$C$2:$C$1199,0)),"",INDEX('Compliance Database'!$K$2:$K$1199,MATCH(306,Engine!$C$2:$C$1199,0)))</f>
        <v/>
      </c>
      <c r="L319" s="7" t="str">
        <f>IF(ISNA(MATCH(306,Engine!$C$2:$C$1199,0)),"",INDEX('Compliance Database'!$L$2:$L$1199,MATCH(306,Engine!$C$2:$C$1199,0)))</f>
        <v/>
      </c>
      <c r="M319" s="7" t="str">
        <f>IF(ISNA(MATCH(306,Engine!$C$2:$C$1199,0)),"",INDEX('Compliance Database'!$M$2:$M$1199,MATCH(306,Engine!$C$2:$C$1199,0)))</f>
        <v/>
      </c>
      <c r="N319" s="7" t="str">
        <f>IF(ISNA(MATCH(306,Engine!$C$2:$C$1199,0)),"",INDEX('Compliance Database'!$N$2:$N$1199,MATCH(306,Engine!$C$2:$C$1199,0)))</f>
        <v/>
      </c>
      <c r="O319" s="7" t="str">
        <f>IF(ISNA(MATCH(306,Engine!$C$2:$C$1199,0)),"",INDEX('Compliance Database'!$O$2:$O$1199,MATCH(306,Engine!$C$2:$C$1199,0)))</f>
        <v/>
      </c>
      <c r="P319" s="6" t="str">
        <f>IF(ISNA(MATCH(306,Engine!$C$2:$C$1199,0)),"",HYPERLINK("#Acts!A"&amp;INDEX('Compliance Database'!$P$2:$P$1199,MATCH(306,Engine!$C$2:$C$1199,0)),"Go to Act"))</f>
        <v/>
      </c>
    </row>
    <row r="320" spans="1:16" ht="172.95" customHeight="1" x14ac:dyDescent="0.3">
      <c r="A320" s="6" t="str">
        <f>IF(ISNA(MATCH(307,Engine!$C$2:$C$1199,0)),"",INDEX('Compliance Database'!$A$2:$A$1199,MATCH(307,Engine!$C$2:$C$1199,0)))</f>
        <v/>
      </c>
      <c r="B320" s="6" t="str">
        <f>IF(ISNA(MATCH(307,Engine!$C$2:$C$1199,0)),"",INDEX('Compliance Database'!$B$2:$B$1199,MATCH(307,Engine!$C$2:$C$1199,0)))</f>
        <v/>
      </c>
      <c r="C320" s="6" t="str">
        <f>IF(ISNA(MATCH(307,Engine!$C$2:$C$1199,0)),"",INDEX('Compliance Database'!$C$2:$C$1199,MATCH(307,Engine!$C$2:$C$1199,0)))</f>
        <v/>
      </c>
      <c r="D320" s="7" t="str">
        <f>IF(ISNA(MATCH(307,Engine!$C$2:$C$1199,0)),"",INDEX('Compliance Database'!$D$2:$D$1199,MATCH(307,Engine!$C$2:$C$1199,0)))</f>
        <v/>
      </c>
      <c r="E320" s="6" t="str">
        <f>IF(ISNA(MATCH(307,Engine!$C$2:$C$1199,0)),"",INDEX('Compliance Database'!$E$2:$E$1199,MATCH(307,Engine!$C$2:$C$1199,0)))</f>
        <v/>
      </c>
      <c r="F320" s="6" t="str">
        <f>IF(ISNA(MATCH(307,Engine!$C$2:$C$1199,0)),"",INDEX('Compliance Database'!$F$2:$F$1199,MATCH(307,Engine!$C$2:$C$1199,0)))</f>
        <v/>
      </c>
      <c r="G320" s="6" t="str">
        <f>IF(ISNA(MATCH(307,Engine!$C$2:$C$1199,0)),"",INDEX('Compliance Database'!$G$2:$G$1199,MATCH(307,Engine!$C$2:$C$1199,0)))</f>
        <v/>
      </c>
      <c r="H320" s="7" t="str">
        <f>IF(ISNA(MATCH(307,Engine!$C$2:$C$1199,0)),"",INDEX('Compliance Database'!$H$2:$H$1199,MATCH(307,Engine!$C$2:$C$1199,0)))</f>
        <v/>
      </c>
      <c r="I320" s="7" t="str">
        <f>IF(ISNA(MATCH(307,Engine!$C$2:$C$1199,0)),"",INDEX('Compliance Database'!$I$2:$I$1199,MATCH(307,Engine!$C$2:$C$1199,0)))</f>
        <v/>
      </c>
      <c r="J320" s="6" t="str">
        <f>IF(ISNA(MATCH(307,Engine!$C$2:$C$1199,0)),"",INDEX('Compliance Database'!$J$2:$J$1199,MATCH(307,Engine!$C$2:$C$1199,0)))</f>
        <v/>
      </c>
      <c r="K320" s="7" t="str">
        <f>IF(ISNA(MATCH(307,Engine!$C$2:$C$1199,0)),"",INDEX('Compliance Database'!$K$2:$K$1199,MATCH(307,Engine!$C$2:$C$1199,0)))</f>
        <v/>
      </c>
      <c r="L320" s="7" t="str">
        <f>IF(ISNA(MATCH(307,Engine!$C$2:$C$1199,0)),"",INDEX('Compliance Database'!$L$2:$L$1199,MATCH(307,Engine!$C$2:$C$1199,0)))</f>
        <v/>
      </c>
      <c r="M320" s="7" t="str">
        <f>IF(ISNA(MATCH(307,Engine!$C$2:$C$1199,0)),"",INDEX('Compliance Database'!$M$2:$M$1199,MATCH(307,Engine!$C$2:$C$1199,0)))</f>
        <v/>
      </c>
      <c r="N320" s="7" t="str">
        <f>IF(ISNA(MATCH(307,Engine!$C$2:$C$1199,0)),"",INDEX('Compliance Database'!$N$2:$N$1199,MATCH(307,Engine!$C$2:$C$1199,0)))</f>
        <v/>
      </c>
      <c r="O320" s="7" t="str">
        <f>IF(ISNA(MATCH(307,Engine!$C$2:$C$1199,0)),"",INDEX('Compliance Database'!$O$2:$O$1199,MATCH(307,Engine!$C$2:$C$1199,0)))</f>
        <v/>
      </c>
      <c r="P320" s="6" t="str">
        <f>IF(ISNA(MATCH(307,Engine!$C$2:$C$1199,0)),"",HYPERLINK("#Acts!A"&amp;INDEX('Compliance Database'!$P$2:$P$1199,MATCH(307,Engine!$C$2:$C$1199,0)),"Go to Act"))</f>
        <v/>
      </c>
    </row>
    <row r="321" spans="1:16" ht="172.95" customHeight="1" x14ac:dyDescent="0.3">
      <c r="A321" s="6" t="str">
        <f>IF(ISNA(MATCH(308,Engine!$C$2:$C$1199,0)),"",INDEX('Compliance Database'!$A$2:$A$1199,MATCH(308,Engine!$C$2:$C$1199,0)))</f>
        <v/>
      </c>
      <c r="B321" s="6" t="str">
        <f>IF(ISNA(MATCH(308,Engine!$C$2:$C$1199,0)),"",INDEX('Compliance Database'!$B$2:$B$1199,MATCH(308,Engine!$C$2:$C$1199,0)))</f>
        <v/>
      </c>
      <c r="C321" s="6" t="str">
        <f>IF(ISNA(MATCH(308,Engine!$C$2:$C$1199,0)),"",INDEX('Compliance Database'!$C$2:$C$1199,MATCH(308,Engine!$C$2:$C$1199,0)))</f>
        <v/>
      </c>
      <c r="D321" s="7" t="str">
        <f>IF(ISNA(MATCH(308,Engine!$C$2:$C$1199,0)),"",INDEX('Compliance Database'!$D$2:$D$1199,MATCH(308,Engine!$C$2:$C$1199,0)))</f>
        <v/>
      </c>
      <c r="E321" s="6" t="str">
        <f>IF(ISNA(MATCH(308,Engine!$C$2:$C$1199,0)),"",INDEX('Compliance Database'!$E$2:$E$1199,MATCH(308,Engine!$C$2:$C$1199,0)))</f>
        <v/>
      </c>
      <c r="F321" s="6" t="str">
        <f>IF(ISNA(MATCH(308,Engine!$C$2:$C$1199,0)),"",INDEX('Compliance Database'!$F$2:$F$1199,MATCH(308,Engine!$C$2:$C$1199,0)))</f>
        <v/>
      </c>
      <c r="G321" s="6" t="str">
        <f>IF(ISNA(MATCH(308,Engine!$C$2:$C$1199,0)),"",INDEX('Compliance Database'!$G$2:$G$1199,MATCH(308,Engine!$C$2:$C$1199,0)))</f>
        <v/>
      </c>
      <c r="H321" s="7" t="str">
        <f>IF(ISNA(MATCH(308,Engine!$C$2:$C$1199,0)),"",INDEX('Compliance Database'!$H$2:$H$1199,MATCH(308,Engine!$C$2:$C$1199,0)))</f>
        <v/>
      </c>
      <c r="I321" s="7" t="str">
        <f>IF(ISNA(MATCH(308,Engine!$C$2:$C$1199,0)),"",INDEX('Compliance Database'!$I$2:$I$1199,MATCH(308,Engine!$C$2:$C$1199,0)))</f>
        <v/>
      </c>
      <c r="J321" s="6" t="str">
        <f>IF(ISNA(MATCH(308,Engine!$C$2:$C$1199,0)),"",INDEX('Compliance Database'!$J$2:$J$1199,MATCH(308,Engine!$C$2:$C$1199,0)))</f>
        <v/>
      </c>
      <c r="K321" s="7" t="str">
        <f>IF(ISNA(MATCH(308,Engine!$C$2:$C$1199,0)),"",INDEX('Compliance Database'!$K$2:$K$1199,MATCH(308,Engine!$C$2:$C$1199,0)))</f>
        <v/>
      </c>
      <c r="L321" s="7" t="str">
        <f>IF(ISNA(MATCH(308,Engine!$C$2:$C$1199,0)),"",INDEX('Compliance Database'!$L$2:$L$1199,MATCH(308,Engine!$C$2:$C$1199,0)))</f>
        <v/>
      </c>
      <c r="M321" s="7" t="str">
        <f>IF(ISNA(MATCH(308,Engine!$C$2:$C$1199,0)),"",INDEX('Compliance Database'!$M$2:$M$1199,MATCH(308,Engine!$C$2:$C$1199,0)))</f>
        <v/>
      </c>
      <c r="N321" s="7" t="str">
        <f>IF(ISNA(MATCH(308,Engine!$C$2:$C$1199,0)),"",INDEX('Compliance Database'!$N$2:$N$1199,MATCH(308,Engine!$C$2:$C$1199,0)))</f>
        <v/>
      </c>
      <c r="O321" s="7" t="str">
        <f>IF(ISNA(MATCH(308,Engine!$C$2:$C$1199,0)),"",INDEX('Compliance Database'!$O$2:$O$1199,MATCH(308,Engine!$C$2:$C$1199,0)))</f>
        <v/>
      </c>
      <c r="P321" s="6" t="str">
        <f>IF(ISNA(MATCH(308,Engine!$C$2:$C$1199,0)),"",HYPERLINK("#Acts!A"&amp;INDEX('Compliance Database'!$P$2:$P$1199,MATCH(308,Engine!$C$2:$C$1199,0)),"Go to Act"))</f>
        <v/>
      </c>
    </row>
    <row r="322" spans="1:16" ht="172.95" customHeight="1" x14ac:dyDescent="0.3">
      <c r="A322" s="6" t="str">
        <f>IF(ISNA(MATCH(309,Engine!$C$2:$C$1199,0)),"",INDEX('Compliance Database'!$A$2:$A$1199,MATCH(309,Engine!$C$2:$C$1199,0)))</f>
        <v/>
      </c>
      <c r="B322" s="6" t="str">
        <f>IF(ISNA(MATCH(309,Engine!$C$2:$C$1199,0)),"",INDEX('Compliance Database'!$B$2:$B$1199,MATCH(309,Engine!$C$2:$C$1199,0)))</f>
        <v/>
      </c>
      <c r="C322" s="6" t="str">
        <f>IF(ISNA(MATCH(309,Engine!$C$2:$C$1199,0)),"",INDEX('Compliance Database'!$C$2:$C$1199,MATCH(309,Engine!$C$2:$C$1199,0)))</f>
        <v/>
      </c>
      <c r="D322" s="7" t="str">
        <f>IF(ISNA(MATCH(309,Engine!$C$2:$C$1199,0)),"",INDEX('Compliance Database'!$D$2:$D$1199,MATCH(309,Engine!$C$2:$C$1199,0)))</f>
        <v/>
      </c>
      <c r="E322" s="6" t="str">
        <f>IF(ISNA(MATCH(309,Engine!$C$2:$C$1199,0)),"",INDEX('Compliance Database'!$E$2:$E$1199,MATCH(309,Engine!$C$2:$C$1199,0)))</f>
        <v/>
      </c>
      <c r="F322" s="6" t="str">
        <f>IF(ISNA(MATCH(309,Engine!$C$2:$C$1199,0)),"",INDEX('Compliance Database'!$F$2:$F$1199,MATCH(309,Engine!$C$2:$C$1199,0)))</f>
        <v/>
      </c>
      <c r="G322" s="6" t="str">
        <f>IF(ISNA(MATCH(309,Engine!$C$2:$C$1199,0)),"",INDEX('Compliance Database'!$G$2:$G$1199,MATCH(309,Engine!$C$2:$C$1199,0)))</f>
        <v/>
      </c>
      <c r="H322" s="7" t="str">
        <f>IF(ISNA(MATCH(309,Engine!$C$2:$C$1199,0)),"",INDEX('Compliance Database'!$H$2:$H$1199,MATCH(309,Engine!$C$2:$C$1199,0)))</f>
        <v/>
      </c>
      <c r="I322" s="7" t="str">
        <f>IF(ISNA(MATCH(309,Engine!$C$2:$C$1199,0)),"",INDEX('Compliance Database'!$I$2:$I$1199,MATCH(309,Engine!$C$2:$C$1199,0)))</f>
        <v/>
      </c>
      <c r="J322" s="6" t="str">
        <f>IF(ISNA(MATCH(309,Engine!$C$2:$C$1199,0)),"",INDEX('Compliance Database'!$J$2:$J$1199,MATCH(309,Engine!$C$2:$C$1199,0)))</f>
        <v/>
      </c>
      <c r="K322" s="7" t="str">
        <f>IF(ISNA(MATCH(309,Engine!$C$2:$C$1199,0)),"",INDEX('Compliance Database'!$K$2:$K$1199,MATCH(309,Engine!$C$2:$C$1199,0)))</f>
        <v/>
      </c>
      <c r="L322" s="7" t="str">
        <f>IF(ISNA(MATCH(309,Engine!$C$2:$C$1199,0)),"",INDEX('Compliance Database'!$L$2:$L$1199,MATCH(309,Engine!$C$2:$C$1199,0)))</f>
        <v/>
      </c>
      <c r="M322" s="7" t="str">
        <f>IF(ISNA(MATCH(309,Engine!$C$2:$C$1199,0)),"",INDEX('Compliance Database'!$M$2:$M$1199,MATCH(309,Engine!$C$2:$C$1199,0)))</f>
        <v/>
      </c>
      <c r="N322" s="7" t="str">
        <f>IF(ISNA(MATCH(309,Engine!$C$2:$C$1199,0)),"",INDEX('Compliance Database'!$N$2:$N$1199,MATCH(309,Engine!$C$2:$C$1199,0)))</f>
        <v/>
      </c>
      <c r="O322" s="7" t="str">
        <f>IF(ISNA(MATCH(309,Engine!$C$2:$C$1199,0)),"",INDEX('Compliance Database'!$O$2:$O$1199,MATCH(309,Engine!$C$2:$C$1199,0)))</f>
        <v/>
      </c>
      <c r="P322" s="6" t="str">
        <f>IF(ISNA(MATCH(309,Engine!$C$2:$C$1199,0)),"",HYPERLINK("#Acts!A"&amp;INDEX('Compliance Database'!$P$2:$P$1199,MATCH(309,Engine!$C$2:$C$1199,0)),"Go to Act"))</f>
        <v/>
      </c>
    </row>
    <row r="323" spans="1:16" ht="172.95" customHeight="1" x14ac:dyDescent="0.3">
      <c r="A323" s="6" t="str">
        <f>IF(ISNA(MATCH(310,Engine!$C$2:$C$1199,0)),"",INDEX('Compliance Database'!$A$2:$A$1199,MATCH(310,Engine!$C$2:$C$1199,0)))</f>
        <v/>
      </c>
      <c r="B323" s="6" t="str">
        <f>IF(ISNA(MATCH(310,Engine!$C$2:$C$1199,0)),"",INDEX('Compliance Database'!$B$2:$B$1199,MATCH(310,Engine!$C$2:$C$1199,0)))</f>
        <v/>
      </c>
      <c r="C323" s="6" t="str">
        <f>IF(ISNA(MATCH(310,Engine!$C$2:$C$1199,0)),"",INDEX('Compliance Database'!$C$2:$C$1199,MATCH(310,Engine!$C$2:$C$1199,0)))</f>
        <v/>
      </c>
      <c r="D323" s="7" t="str">
        <f>IF(ISNA(MATCH(310,Engine!$C$2:$C$1199,0)),"",INDEX('Compliance Database'!$D$2:$D$1199,MATCH(310,Engine!$C$2:$C$1199,0)))</f>
        <v/>
      </c>
      <c r="E323" s="6" t="str">
        <f>IF(ISNA(MATCH(310,Engine!$C$2:$C$1199,0)),"",INDEX('Compliance Database'!$E$2:$E$1199,MATCH(310,Engine!$C$2:$C$1199,0)))</f>
        <v/>
      </c>
      <c r="F323" s="6" t="str">
        <f>IF(ISNA(MATCH(310,Engine!$C$2:$C$1199,0)),"",INDEX('Compliance Database'!$F$2:$F$1199,MATCH(310,Engine!$C$2:$C$1199,0)))</f>
        <v/>
      </c>
      <c r="G323" s="6" t="str">
        <f>IF(ISNA(MATCH(310,Engine!$C$2:$C$1199,0)),"",INDEX('Compliance Database'!$G$2:$G$1199,MATCH(310,Engine!$C$2:$C$1199,0)))</f>
        <v/>
      </c>
      <c r="H323" s="7" t="str">
        <f>IF(ISNA(MATCH(310,Engine!$C$2:$C$1199,0)),"",INDEX('Compliance Database'!$H$2:$H$1199,MATCH(310,Engine!$C$2:$C$1199,0)))</f>
        <v/>
      </c>
      <c r="I323" s="7" t="str">
        <f>IF(ISNA(MATCH(310,Engine!$C$2:$C$1199,0)),"",INDEX('Compliance Database'!$I$2:$I$1199,MATCH(310,Engine!$C$2:$C$1199,0)))</f>
        <v/>
      </c>
      <c r="J323" s="6" t="str">
        <f>IF(ISNA(MATCH(310,Engine!$C$2:$C$1199,0)),"",INDEX('Compliance Database'!$J$2:$J$1199,MATCH(310,Engine!$C$2:$C$1199,0)))</f>
        <v/>
      </c>
      <c r="K323" s="7" t="str">
        <f>IF(ISNA(MATCH(310,Engine!$C$2:$C$1199,0)),"",INDEX('Compliance Database'!$K$2:$K$1199,MATCH(310,Engine!$C$2:$C$1199,0)))</f>
        <v/>
      </c>
      <c r="L323" s="7" t="str">
        <f>IF(ISNA(MATCH(310,Engine!$C$2:$C$1199,0)),"",INDEX('Compliance Database'!$L$2:$L$1199,MATCH(310,Engine!$C$2:$C$1199,0)))</f>
        <v/>
      </c>
      <c r="M323" s="7" t="str">
        <f>IF(ISNA(MATCH(310,Engine!$C$2:$C$1199,0)),"",INDEX('Compliance Database'!$M$2:$M$1199,MATCH(310,Engine!$C$2:$C$1199,0)))</f>
        <v/>
      </c>
      <c r="N323" s="7" t="str">
        <f>IF(ISNA(MATCH(310,Engine!$C$2:$C$1199,0)),"",INDEX('Compliance Database'!$N$2:$N$1199,MATCH(310,Engine!$C$2:$C$1199,0)))</f>
        <v/>
      </c>
      <c r="O323" s="7" t="str">
        <f>IF(ISNA(MATCH(310,Engine!$C$2:$C$1199,0)),"",INDEX('Compliance Database'!$O$2:$O$1199,MATCH(310,Engine!$C$2:$C$1199,0)))</f>
        <v/>
      </c>
      <c r="P323" s="6" t="str">
        <f>IF(ISNA(MATCH(310,Engine!$C$2:$C$1199,0)),"",HYPERLINK("#Acts!A"&amp;INDEX('Compliance Database'!$P$2:$P$1199,MATCH(310,Engine!$C$2:$C$1199,0)),"Go to Act"))</f>
        <v/>
      </c>
    </row>
    <row r="324" spans="1:16" ht="172.95" customHeight="1" x14ac:dyDescent="0.3">
      <c r="A324" s="6" t="str">
        <f>IF(ISNA(MATCH(311,Engine!$C$2:$C$1199,0)),"",INDEX('Compliance Database'!$A$2:$A$1199,MATCH(311,Engine!$C$2:$C$1199,0)))</f>
        <v/>
      </c>
      <c r="B324" s="6" t="str">
        <f>IF(ISNA(MATCH(311,Engine!$C$2:$C$1199,0)),"",INDEX('Compliance Database'!$B$2:$B$1199,MATCH(311,Engine!$C$2:$C$1199,0)))</f>
        <v/>
      </c>
      <c r="C324" s="6" t="str">
        <f>IF(ISNA(MATCH(311,Engine!$C$2:$C$1199,0)),"",INDEX('Compliance Database'!$C$2:$C$1199,MATCH(311,Engine!$C$2:$C$1199,0)))</f>
        <v/>
      </c>
      <c r="D324" s="7" t="str">
        <f>IF(ISNA(MATCH(311,Engine!$C$2:$C$1199,0)),"",INDEX('Compliance Database'!$D$2:$D$1199,MATCH(311,Engine!$C$2:$C$1199,0)))</f>
        <v/>
      </c>
      <c r="E324" s="6" t="str">
        <f>IF(ISNA(MATCH(311,Engine!$C$2:$C$1199,0)),"",INDEX('Compliance Database'!$E$2:$E$1199,MATCH(311,Engine!$C$2:$C$1199,0)))</f>
        <v/>
      </c>
      <c r="F324" s="6" t="str">
        <f>IF(ISNA(MATCH(311,Engine!$C$2:$C$1199,0)),"",INDEX('Compliance Database'!$F$2:$F$1199,MATCH(311,Engine!$C$2:$C$1199,0)))</f>
        <v/>
      </c>
      <c r="G324" s="6" t="str">
        <f>IF(ISNA(MATCH(311,Engine!$C$2:$C$1199,0)),"",INDEX('Compliance Database'!$G$2:$G$1199,MATCH(311,Engine!$C$2:$C$1199,0)))</f>
        <v/>
      </c>
      <c r="H324" s="7" t="str">
        <f>IF(ISNA(MATCH(311,Engine!$C$2:$C$1199,0)),"",INDEX('Compliance Database'!$H$2:$H$1199,MATCH(311,Engine!$C$2:$C$1199,0)))</f>
        <v/>
      </c>
      <c r="I324" s="7" t="str">
        <f>IF(ISNA(MATCH(311,Engine!$C$2:$C$1199,0)),"",INDEX('Compliance Database'!$I$2:$I$1199,MATCH(311,Engine!$C$2:$C$1199,0)))</f>
        <v/>
      </c>
      <c r="J324" s="6" t="str">
        <f>IF(ISNA(MATCH(311,Engine!$C$2:$C$1199,0)),"",INDEX('Compliance Database'!$J$2:$J$1199,MATCH(311,Engine!$C$2:$C$1199,0)))</f>
        <v/>
      </c>
      <c r="K324" s="7" t="str">
        <f>IF(ISNA(MATCH(311,Engine!$C$2:$C$1199,0)),"",INDEX('Compliance Database'!$K$2:$K$1199,MATCH(311,Engine!$C$2:$C$1199,0)))</f>
        <v/>
      </c>
      <c r="L324" s="7" t="str">
        <f>IF(ISNA(MATCH(311,Engine!$C$2:$C$1199,0)),"",INDEX('Compliance Database'!$L$2:$L$1199,MATCH(311,Engine!$C$2:$C$1199,0)))</f>
        <v/>
      </c>
      <c r="M324" s="7" t="str">
        <f>IF(ISNA(MATCH(311,Engine!$C$2:$C$1199,0)),"",INDEX('Compliance Database'!$M$2:$M$1199,MATCH(311,Engine!$C$2:$C$1199,0)))</f>
        <v/>
      </c>
      <c r="N324" s="7" t="str">
        <f>IF(ISNA(MATCH(311,Engine!$C$2:$C$1199,0)),"",INDEX('Compliance Database'!$N$2:$N$1199,MATCH(311,Engine!$C$2:$C$1199,0)))</f>
        <v/>
      </c>
      <c r="O324" s="7" t="str">
        <f>IF(ISNA(MATCH(311,Engine!$C$2:$C$1199,0)),"",INDEX('Compliance Database'!$O$2:$O$1199,MATCH(311,Engine!$C$2:$C$1199,0)))</f>
        <v/>
      </c>
      <c r="P324" s="6" t="str">
        <f>IF(ISNA(MATCH(311,Engine!$C$2:$C$1199,0)),"",HYPERLINK("#Acts!A"&amp;INDEX('Compliance Database'!$P$2:$P$1199,MATCH(311,Engine!$C$2:$C$1199,0)),"Go to Act"))</f>
        <v/>
      </c>
    </row>
    <row r="325" spans="1:16" ht="172.95" customHeight="1" x14ac:dyDescent="0.3">
      <c r="A325" s="6" t="str">
        <f>IF(ISNA(MATCH(312,Engine!$C$2:$C$1199,0)),"",INDEX('Compliance Database'!$A$2:$A$1199,MATCH(312,Engine!$C$2:$C$1199,0)))</f>
        <v/>
      </c>
      <c r="B325" s="6" t="str">
        <f>IF(ISNA(MATCH(312,Engine!$C$2:$C$1199,0)),"",INDEX('Compliance Database'!$B$2:$B$1199,MATCH(312,Engine!$C$2:$C$1199,0)))</f>
        <v/>
      </c>
      <c r="C325" s="6" t="str">
        <f>IF(ISNA(MATCH(312,Engine!$C$2:$C$1199,0)),"",INDEX('Compliance Database'!$C$2:$C$1199,MATCH(312,Engine!$C$2:$C$1199,0)))</f>
        <v/>
      </c>
      <c r="D325" s="7" t="str">
        <f>IF(ISNA(MATCH(312,Engine!$C$2:$C$1199,0)),"",INDEX('Compliance Database'!$D$2:$D$1199,MATCH(312,Engine!$C$2:$C$1199,0)))</f>
        <v/>
      </c>
      <c r="E325" s="6" t="str">
        <f>IF(ISNA(MATCH(312,Engine!$C$2:$C$1199,0)),"",INDEX('Compliance Database'!$E$2:$E$1199,MATCH(312,Engine!$C$2:$C$1199,0)))</f>
        <v/>
      </c>
      <c r="F325" s="6" t="str">
        <f>IF(ISNA(MATCH(312,Engine!$C$2:$C$1199,0)),"",INDEX('Compliance Database'!$F$2:$F$1199,MATCH(312,Engine!$C$2:$C$1199,0)))</f>
        <v/>
      </c>
      <c r="G325" s="6" t="str">
        <f>IF(ISNA(MATCH(312,Engine!$C$2:$C$1199,0)),"",INDEX('Compliance Database'!$G$2:$G$1199,MATCH(312,Engine!$C$2:$C$1199,0)))</f>
        <v/>
      </c>
      <c r="H325" s="7" t="str">
        <f>IF(ISNA(MATCH(312,Engine!$C$2:$C$1199,0)),"",INDEX('Compliance Database'!$H$2:$H$1199,MATCH(312,Engine!$C$2:$C$1199,0)))</f>
        <v/>
      </c>
      <c r="I325" s="7" t="str">
        <f>IF(ISNA(MATCH(312,Engine!$C$2:$C$1199,0)),"",INDEX('Compliance Database'!$I$2:$I$1199,MATCH(312,Engine!$C$2:$C$1199,0)))</f>
        <v/>
      </c>
      <c r="J325" s="6" t="str">
        <f>IF(ISNA(MATCH(312,Engine!$C$2:$C$1199,0)),"",INDEX('Compliance Database'!$J$2:$J$1199,MATCH(312,Engine!$C$2:$C$1199,0)))</f>
        <v/>
      </c>
      <c r="K325" s="7" t="str">
        <f>IF(ISNA(MATCH(312,Engine!$C$2:$C$1199,0)),"",INDEX('Compliance Database'!$K$2:$K$1199,MATCH(312,Engine!$C$2:$C$1199,0)))</f>
        <v/>
      </c>
      <c r="L325" s="7" t="str">
        <f>IF(ISNA(MATCH(312,Engine!$C$2:$C$1199,0)),"",INDEX('Compliance Database'!$L$2:$L$1199,MATCH(312,Engine!$C$2:$C$1199,0)))</f>
        <v/>
      </c>
      <c r="M325" s="7" t="str">
        <f>IF(ISNA(MATCH(312,Engine!$C$2:$C$1199,0)),"",INDEX('Compliance Database'!$M$2:$M$1199,MATCH(312,Engine!$C$2:$C$1199,0)))</f>
        <v/>
      </c>
      <c r="N325" s="7" t="str">
        <f>IF(ISNA(MATCH(312,Engine!$C$2:$C$1199,0)),"",INDEX('Compliance Database'!$N$2:$N$1199,MATCH(312,Engine!$C$2:$C$1199,0)))</f>
        <v/>
      </c>
      <c r="O325" s="7" t="str">
        <f>IF(ISNA(MATCH(312,Engine!$C$2:$C$1199,0)),"",INDEX('Compliance Database'!$O$2:$O$1199,MATCH(312,Engine!$C$2:$C$1199,0)))</f>
        <v/>
      </c>
      <c r="P325" s="6" t="str">
        <f>IF(ISNA(MATCH(312,Engine!$C$2:$C$1199,0)),"",HYPERLINK("#Acts!A"&amp;INDEX('Compliance Database'!$P$2:$P$1199,MATCH(312,Engine!$C$2:$C$1199,0)),"Go to Act"))</f>
        <v/>
      </c>
    </row>
    <row r="326" spans="1:16" ht="172.95" customHeight="1" x14ac:dyDescent="0.3">
      <c r="A326" s="6" t="str">
        <f>IF(ISNA(MATCH(313,Engine!$C$2:$C$1199,0)),"",INDEX('Compliance Database'!$A$2:$A$1199,MATCH(313,Engine!$C$2:$C$1199,0)))</f>
        <v/>
      </c>
      <c r="B326" s="6" t="str">
        <f>IF(ISNA(MATCH(313,Engine!$C$2:$C$1199,0)),"",INDEX('Compliance Database'!$B$2:$B$1199,MATCH(313,Engine!$C$2:$C$1199,0)))</f>
        <v/>
      </c>
      <c r="C326" s="6" t="str">
        <f>IF(ISNA(MATCH(313,Engine!$C$2:$C$1199,0)),"",INDEX('Compliance Database'!$C$2:$C$1199,MATCH(313,Engine!$C$2:$C$1199,0)))</f>
        <v/>
      </c>
      <c r="D326" s="7" t="str">
        <f>IF(ISNA(MATCH(313,Engine!$C$2:$C$1199,0)),"",INDEX('Compliance Database'!$D$2:$D$1199,MATCH(313,Engine!$C$2:$C$1199,0)))</f>
        <v/>
      </c>
      <c r="E326" s="6" t="str">
        <f>IF(ISNA(MATCH(313,Engine!$C$2:$C$1199,0)),"",INDEX('Compliance Database'!$E$2:$E$1199,MATCH(313,Engine!$C$2:$C$1199,0)))</f>
        <v/>
      </c>
      <c r="F326" s="6" t="str">
        <f>IF(ISNA(MATCH(313,Engine!$C$2:$C$1199,0)),"",INDEX('Compliance Database'!$F$2:$F$1199,MATCH(313,Engine!$C$2:$C$1199,0)))</f>
        <v/>
      </c>
      <c r="G326" s="6" t="str">
        <f>IF(ISNA(MATCH(313,Engine!$C$2:$C$1199,0)),"",INDEX('Compliance Database'!$G$2:$G$1199,MATCH(313,Engine!$C$2:$C$1199,0)))</f>
        <v/>
      </c>
      <c r="H326" s="7" t="str">
        <f>IF(ISNA(MATCH(313,Engine!$C$2:$C$1199,0)),"",INDEX('Compliance Database'!$H$2:$H$1199,MATCH(313,Engine!$C$2:$C$1199,0)))</f>
        <v/>
      </c>
      <c r="I326" s="7" t="str">
        <f>IF(ISNA(MATCH(313,Engine!$C$2:$C$1199,0)),"",INDEX('Compliance Database'!$I$2:$I$1199,MATCH(313,Engine!$C$2:$C$1199,0)))</f>
        <v/>
      </c>
      <c r="J326" s="6" t="str">
        <f>IF(ISNA(MATCH(313,Engine!$C$2:$C$1199,0)),"",INDEX('Compliance Database'!$J$2:$J$1199,MATCH(313,Engine!$C$2:$C$1199,0)))</f>
        <v/>
      </c>
      <c r="K326" s="7" t="str">
        <f>IF(ISNA(MATCH(313,Engine!$C$2:$C$1199,0)),"",INDEX('Compliance Database'!$K$2:$K$1199,MATCH(313,Engine!$C$2:$C$1199,0)))</f>
        <v/>
      </c>
      <c r="L326" s="7" t="str">
        <f>IF(ISNA(MATCH(313,Engine!$C$2:$C$1199,0)),"",INDEX('Compliance Database'!$L$2:$L$1199,MATCH(313,Engine!$C$2:$C$1199,0)))</f>
        <v/>
      </c>
      <c r="M326" s="7" t="str">
        <f>IF(ISNA(MATCH(313,Engine!$C$2:$C$1199,0)),"",INDEX('Compliance Database'!$M$2:$M$1199,MATCH(313,Engine!$C$2:$C$1199,0)))</f>
        <v/>
      </c>
      <c r="N326" s="7" t="str">
        <f>IF(ISNA(MATCH(313,Engine!$C$2:$C$1199,0)),"",INDEX('Compliance Database'!$N$2:$N$1199,MATCH(313,Engine!$C$2:$C$1199,0)))</f>
        <v/>
      </c>
      <c r="O326" s="7" t="str">
        <f>IF(ISNA(MATCH(313,Engine!$C$2:$C$1199,0)),"",INDEX('Compliance Database'!$O$2:$O$1199,MATCH(313,Engine!$C$2:$C$1199,0)))</f>
        <v/>
      </c>
      <c r="P326" s="6" t="str">
        <f>IF(ISNA(MATCH(313,Engine!$C$2:$C$1199,0)),"",HYPERLINK("#Acts!A"&amp;INDEX('Compliance Database'!$P$2:$P$1199,MATCH(313,Engine!$C$2:$C$1199,0)),"Go to Act"))</f>
        <v/>
      </c>
    </row>
    <row r="327" spans="1:16" ht="172.95" customHeight="1" x14ac:dyDescent="0.3">
      <c r="A327" s="6" t="str">
        <f>IF(ISNA(MATCH(314,Engine!$C$2:$C$1199,0)),"",INDEX('Compliance Database'!$A$2:$A$1199,MATCH(314,Engine!$C$2:$C$1199,0)))</f>
        <v/>
      </c>
      <c r="B327" s="6" t="str">
        <f>IF(ISNA(MATCH(314,Engine!$C$2:$C$1199,0)),"",INDEX('Compliance Database'!$B$2:$B$1199,MATCH(314,Engine!$C$2:$C$1199,0)))</f>
        <v/>
      </c>
      <c r="C327" s="6" t="str">
        <f>IF(ISNA(MATCH(314,Engine!$C$2:$C$1199,0)),"",INDEX('Compliance Database'!$C$2:$C$1199,MATCH(314,Engine!$C$2:$C$1199,0)))</f>
        <v/>
      </c>
      <c r="D327" s="7" t="str">
        <f>IF(ISNA(MATCH(314,Engine!$C$2:$C$1199,0)),"",INDEX('Compliance Database'!$D$2:$D$1199,MATCH(314,Engine!$C$2:$C$1199,0)))</f>
        <v/>
      </c>
      <c r="E327" s="6" t="str">
        <f>IF(ISNA(MATCH(314,Engine!$C$2:$C$1199,0)),"",INDEX('Compliance Database'!$E$2:$E$1199,MATCH(314,Engine!$C$2:$C$1199,0)))</f>
        <v/>
      </c>
      <c r="F327" s="6" t="str">
        <f>IF(ISNA(MATCH(314,Engine!$C$2:$C$1199,0)),"",INDEX('Compliance Database'!$F$2:$F$1199,MATCH(314,Engine!$C$2:$C$1199,0)))</f>
        <v/>
      </c>
      <c r="G327" s="6" t="str">
        <f>IF(ISNA(MATCH(314,Engine!$C$2:$C$1199,0)),"",INDEX('Compliance Database'!$G$2:$G$1199,MATCH(314,Engine!$C$2:$C$1199,0)))</f>
        <v/>
      </c>
      <c r="H327" s="7" t="str">
        <f>IF(ISNA(MATCH(314,Engine!$C$2:$C$1199,0)),"",INDEX('Compliance Database'!$H$2:$H$1199,MATCH(314,Engine!$C$2:$C$1199,0)))</f>
        <v/>
      </c>
      <c r="I327" s="7" t="str">
        <f>IF(ISNA(MATCH(314,Engine!$C$2:$C$1199,0)),"",INDEX('Compliance Database'!$I$2:$I$1199,MATCH(314,Engine!$C$2:$C$1199,0)))</f>
        <v/>
      </c>
      <c r="J327" s="6" t="str">
        <f>IF(ISNA(MATCH(314,Engine!$C$2:$C$1199,0)),"",INDEX('Compliance Database'!$J$2:$J$1199,MATCH(314,Engine!$C$2:$C$1199,0)))</f>
        <v/>
      </c>
      <c r="K327" s="7" t="str">
        <f>IF(ISNA(MATCH(314,Engine!$C$2:$C$1199,0)),"",INDEX('Compliance Database'!$K$2:$K$1199,MATCH(314,Engine!$C$2:$C$1199,0)))</f>
        <v/>
      </c>
      <c r="L327" s="7" t="str">
        <f>IF(ISNA(MATCH(314,Engine!$C$2:$C$1199,0)),"",INDEX('Compliance Database'!$L$2:$L$1199,MATCH(314,Engine!$C$2:$C$1199,0)))</f>
        <v/>
      </c>
      <c r="M327" s="7" t="str">
        <f>IF(ISNA(MATCH(314,Engine!$C$2:$C$1199,0)),"",INDEX('Compliance Database'!$M$2:$M$1199,MATCH(314,Engine!$C$2:$C$1199,0)))</f>
        <v/>
      </c>
      <c r="N327" s="7" t="str">
        <f>IF(ISNA(MATCH(314,Engine!$C$2:$C$1199,0)),"",INDEX('Compliance Database'!$N$2:$N$1199,MATCH(314,Engine!$C$2:$C$1199,0)))</f>
        <v/>
      </c>
      <c r="O327" s="7" t="str">
        <f>IF(ISNA(MATCH(314,Engine!$C$2:$C$1199,0)),"",INDEX('Compliance Database'!$O$2:$O$1199,MATCH(314,Engine!$C$2:$C$1199,0)))</f>
        <v/>
      </c>
      <c r="P327" s="6" t="str">
        <f>IF(ISNA(MATCH(314,Engine!$C$2:$C$1199,0)),"",HYPERLINK("#Acts!A"&amp;INDEX('Compliance Database'!$P$2:$P$1199,MATCH(314,Engine!$C$2:$C$1199,0)),"Go to Act"))</f>
        <v/>
      </c>
    </row>
    <row r="328" spans="1:16" ht="172.95" customHeight="1" x14ac:dyDescent="0.3">
      <c r="A328" s="6" t="str">
        <f>IF(ISNA(MATCH(315,Engine!$C$2:$C$1199,0)),"",INDEX('Compliance Database'!$A$2:$A$1199,MATCH(315,Engine!$C$2:$C$1199,0)))</f>
        <v/>
      </c>
      <c r="B328" s="6" t="str">
        <f>IF(ISNA(MATCH(315,Engine!$C$2:$C$1199,0)),"",INDEX('Compliance Database'!$B$2:$B$1199,MATCH(315,Engine!$C$2:$C$1199,0)))</f>
        <v/>
      </c>
      <c r="C328" s="6" t="str">
        <f>IF(ISNA(MATCH(315,Engine!$C$2:$C$1199,0)),"",INDEX('Compliance Database'!$C$2:$C$1199,MATCH(315,Engine!$C$2:$C$1199,0)))</f>
        <v/>
      </c>
      <c r="D328" s="7" t="str">
        <f>IF(ISNA(MATCH(315,Engine!$C$2:$C$1199,0)),"",INDEX('Compliance Database'!$D$2:$D$1199,MATCH(315,Engine!$C$2:$C$1199,0)))</f>
        <v/>
      </c>
      <c r="E328" s="6" t="str">
        <f>IF(ISNA(MATCH(315,Engine!$C$2:$C$1199,0)),"",INDEX('Compliance Database'!$E$2:$E$1199,MATCH(315,Engine!$C$2:$C$1199,0)))</f>
        <v/>
      </c>
      <c r="F328" s="6" t="str">
        <f>IF(ISNA(MATCH(315,Engine!$C$2:$C$1199,0)),"",INDEX('Compliance Database'!$F$2:$F$1199,MATCH(315,Engine!$C$2:$C$1199,0)))</f>
        <v/>
      </c>
      <c r="G328" s="6" t="str">
        <f>IF(ISNA(MATCH(315,Engine!$C$2:$C$1199,0)),"",INDEX('Compliance Database'!$G$2:$G$1199,MATCH(315,Engine!$C$2:$C$1199,0)))</f>
        <v/>
      </c>
      <c r="H328" s="7" t="str">
        <f>IF(ISNA(MATCH(315,Engine!$C$2:$C$1199,0)),"",INDEX('Compliance Database'!$H$2:$H$1199,MATCH(315,Engine!$C$2:$C$1199,0)))</f>
        <v/>
      </c>
      <c r="I328" s="7" t="str">
        <f>IF(ISNA(MATCH(315,Engine!$C$2:$C$1199,0)),"",INDEX('Compliance Database'!$I$2:$I$1199,MATCH(315,Engine!$C$2:$C$1199,0)))</f>
        <v/>
      </c>
      <c r="J328" s="6" t="str">
        <f>IF(ISNA(MATCH(315,Engine!$C$2:$C$1199,0)),"",INDEX('Compliance Database'!$J$2:$J$1199,MATCH(315,Engine!$C$2:$C$1199,0)))</f>
        <v/>
      </c>
      <c r="K328" s="7" t="str">
        <f>IF(ISNA(MATCH(315,Engine!$C$2:$C$1199,0)),"",INDEX('Compliance Database'!$K$2:$K$1199,MATCH(315,Engine!$C$2:$C$1199,0)))</f>
        <v/>
      </c>
      <c r="L328" s="7" t="str">
        <f>IF(ISNA(MATCH(315,Engine!$C$2:$C$1199,0)),"",INDEX('Compliance Database'!$L$2:$L$1199,MATCH(315,Engine!$C$2:$C$1199,0)))</f>
        <v/>
      </c>
      <c r="M328" s="7" t="str">
        <f>IF(ISNA(MATCH(315,Engine!$C$2:$C$1199,0)),"",INDEX('Compliance Database'!$M$2:$M$1199,MATCH(315,Engine!$C$2:$C$1199,0)))</f>
        <v/>
      </c>
      <c r="N328" s="7" t="str">
        <f>IF(ISNA(MATCH(315,Engine!$C$2:$C$1199,0)),"",INDEX('Compliance Database'!$N$2:$N$1199,MATCH(315,Engine!$C$2:$C$1199,0)))</f>
        <v/>
      </c>
      <c r="O328" s="7" t="str">
        <f>IF(ISNA(MATCH(315,Engine!$C$2:$C$1199,0)),"",INDEX('Compliance Database'!$O$2:$O$1199,MATCH(315,Engine!$C$2:$C$1199,0)))</f>
        <v/>
      </c>
      <c r="P328" s="6" t="str">
        <f>IF(ISNA(MATCH(315,Engine!$C$2:$C$1199,0)),"",HYPERLINK("#Acts!A"&amp;INDEX('Compliance Database'!$P$2:$P$1199,MATCH(315,Engine!$C$2:$C$1199,0)),"Go to Act"))</f>
        <v/>
      </c>
    </row>
    <row r="329" spans="1:16" ht="172.95" customHeight="1" x14ac:dyDescent="0.3">
      <c r="A329" s="6" t="str">
        <f>IF(ISNA(MATCH(316,Engine!$C$2:$C$1199,0)),"",INDEX('Compliance Database'!$A$2:$A$1199,MATCH(316,Engine!$C$2:$C$1199,0)))</f>
        <v/>
      </c>
      <c r="B329" s="6" t="str">
        <f>IF(ISNA(MATCH(316,Engine!$C$2:$C$1199,0)),"",INDEX('Compliance Database'!$B$2:$B$1199,MATCH(316,Engine!$C$2:$C$1199,0)))</f>
        <v/>
      </c>
      <c r="C329" s="6" t="str">
        <f>IF(ISNA(MATCH(316,Engine!$C$2:$C$1199,0)),"",INDEX('Compliance Database'!$C$2:$C$1199,MATCH(316,Engine!$C$2:$C$1199,0)))</f>
        <v/>
      </c>
      <c r="D329" s="7" t="str">
        <f>IF(ISNA(MATCH(316,Engine!$C$2:$C$1199,0)),"",INDEX('Compliance Database'!$D$2:$D$1199,MATCH(316,Engine!$C$2:$C$1199,0)))</f>
        <v/>
      </c>
      <c r="E329" s="6" t="str">
        <f>IF(ISNA(MATCH(316,Engine!$C$2:$C$1199,0)),"",INDEX('Compliance Database'!$E$2:$E$1199,MATCH(316,Engine!$C$2:$C$1199,0)))</f>
        <v/>
      </c>
      <c r="F329" s="6" t="str">
        <f>IF(ISNA(MATCH(316,Engine!$C$2:$C$1199,0)),"",INDEX('Compliance Database'!$F$2:$F$1199,MATCH(316,Engine!$C$2:$C$1199,0)))</f>
        <v/>
      </c>
      <c r="G329" s="6" t="str">
        <f>IF(ISNA(MATCH(316,Engine!$C$2:$C$1199,0)),"",INDEX('Compliance Database'!$G$2:$G$1199,MATCH(316,Engine!$C$2:$C$1199,0)))</f>
        <v/>
      </c>
      <c r="H329" s="7" t="str">
        <f>IF(ISNA(MATCH(316,Engine!$C$2:$C$1199,0)),"",INDEX('Compliance Database'!$H$2:$H$1199,MATCH(316,Engine!$C$2:$C$1199,0)))</f>
        <v/>
      </c>
      <c r="I329" s="7" t="str">
        <f>IF(ISNA(MATCH(316,Engine!$C$2:$C$1199,0)),"",INDEX('Compliance Database'!$I$2:$I$1199,MATCH(316,Engine!$C$2:$C$1199,0)))</f>
        <v/>
      </c>
      <c r="J329" s="6" t="str">
        <f>IF(ISNA(MATCH(316,Engine!$C$2:$C$1199,0)),"",INDEX('Compliance Database'!$J$2:$J$1199,MATCH(316,Engine!$C$2:$C$1199,0)))</f>
        <v/>
      </c>
      <c r="K329" s="7" t="str">
        <f>IF(ISNA(MATCH(316,Engine!$C$2:$C$1199,0)),"",INDEX('Compliance Database'!$K$2:$K$1199,MATCH(316,Engine!$C$2:$C$1199,0)))</f>
        <v/>
      </c>
      <c r="L329" s="7" t="str">
        <f>IF(ISNA(MATCH(316,Engine!$C$2:$C$1199,0)),"",INDEX('Compliance Database'!$L$2:$L$1199,MATCH(316,Engine!$C$2:$C$1199,0)))</f>
        <v/>
      </c>
      <c r="M329" s="7" t="str">
        <f>IF(ISNA(MATCH(316,Engine!$C$2:$C$1199,0)),"",INDEX('Compliance Database'!$M$2:$M$1199,MATCH(316,Engine!$C$2:$C$1199,0)))</f>
        <v/>
      </c>
      <c r="N329" s="7" t="str">
        <f>IF(ISNA(MATCH(316,Engine!$C$2:$C$1199,0)),"",INDEX('Compliance Database'!$N$2:$N$1199,MATCH(316,Engine!$C$2:$C$1199,0)))</f>
        <v/>
      </c>
      <c r="O329" s="7" t="str">
        <f>IF(ISNA(MATCH(316,Engine!$C$2:$C$1199,0)),"",INDEX('Compliance Database'!$O$2:$O$1199,MATCH(316,Engine!$C$2:$C$1199,0)))</f>
        <v/>
      </c>
      <c r="P329" s="6" t="str">
        <f>IF(ISNA(MATCH(316,Engine!$C$2:$C$1199,0)),"",HYPERLINK("#Acts!A"&amp;INDEX('Compliance Database'!$P$2:$P$1199,MATCH(316,Engine!$C$2:$C$1199,0)),"Go to Act"))</f>
        <v/>
      </c>
    </row>
    <row r="330" spans="1:16" ht="172.95" customHeight="1" x14ac:dyDescent="0.3">
      <c r="A330" s="6" t="str">
        <f>IF(ISNA(MATCH(317,Engine!$C$2:$C$1199,0)),"",INDEX('Compliance Database'!$A$2:$A$1199,MATCH(317,Engine!$C$2:$C$1199,0)))</f>
        <v/>
      </c>
      <c r="B330" s="6" t="str">
        <f>IF(ISNA(MATCH(317,Engine!$C$2:$C$1199,0)),"",INDEX('Compliance Database'!$B$2:$B$1199,MATCH(317,Engine!$C$2:$C$1199,0)))</f>
        <v/>
      </c>
      <c r="C330" s="6" t="str">
        <f>IF(ISNA(MATCH(317,Engine!$C$2:$C$1199,0)),"",INDEX('Compliance Database'!$C$2:$C$1199,MATCH(317,Engine!$C$2:$C$1199,0)))</f>
        <v/>
      </c>
      <c r="D330" s="7" t="str">
        <f>IF(ISNA(MATCH(317,Engine!$C$2:$C$1199,0)),"",INDEX('Compliance Database'!$D$2:$D$1199,MATCH(317,Engine!$C$2:$C$1199,0)))</f>
        <v/>
      </c>
      <c r="E330" s="6" t="str">
        <f>IF(ISNA(MATCH(317,Engine!$C$2:$C$1199,0)),"",INDEX('Compliance Database'!$E$2:$E$1199,MATCH(317,Engine!$C$2:$C$1199,0)))</f>
        <v/>
      </c>
      <c r="F330" s="6" t="str">
        <f>IF(ISNA(MATCH(317,Engine!$C$2:$C$1199,0)),"",INDEX('Compliance Database'!$F$2:$F$1199,MATCH(317,Engine!$C$2:$C$1199,0)))</f>
        <v/>
      </c>
      <c r="G330" s="6" t="str">
        <f>IF(ISNA(MATCH(317,Engine!$C$2:$C$1199,0)),"",INDEX('Compliance Database'!$G$2:$G$1199,MATCH(317,Engine!$C$2:$C$1199,0)))</f>
        <v/>
      </c>
      <c r="H330" s="7" t="str">
        <f>IF(ISNA(MATCH(317,Engine!$C$2:$C$1199,0)),"",INDEX('Compliance Database'!$H$2:$H$1199,MATCH(317,Engine!$C$2:$C$1199,0)))</f>
        <v/>
      </c>
      <c r="I330" s="7" t="str">
        <f>IF(ISNA(MATCH(317,Engine!$C$2:$C$1199,0)),"",INDEX('Compliance Database'!$I$2:$I$1199,MATCH(317,Engine!$C$2:$C$1199,0)))</f>
        <v/>
      </c>
      <c r="J330" s="6" t="str">
        <f>IF(ISNA(MATCH(317,Engine!$C$2:$C$1199,0)),"",INDEX('Compliance Database'!$J$2:$J$1199,MATCH(317,Engine!$C$2:$C$1199,0)))</f>
        <v/>
      </c>
      <c r="K330" s="7" t="str">
        <f>IF(ISNA(MATCH(317,Engine!$C$2:$C$1199,0)),"",INDEX('Compliance Database'!$K$2:$K$1199,MATCH(317,Engine!$C$2:$C$1199,0)))</f>
        <v/>
      </c>
      <c r="L330" s="7" t="str">
        <f>IF(ISNA(MATCH(317,Engine!$C$2:$C$1199,0)),"",INDEX('Compliance Database'!$L$2:$L$1199,MATCH(317,Engine!$C$2:$C$1199,0)))</f>
        <v/>
      </c>
      <c r="M330" s="7" t="str">
        <f>IF(ISNA(MATCH(317,Engine!$C$2:$C$1199,0)),"",INDEX('Compliance Database'!$M$2:$M$1199,MATCH(317,Engine!$C$2:$C$1199,0)))</f>
        <v/>
      </c>
      <c r="N330" s="7" t="str">
        <f>IF(ISNA(MATCH(317,Engine!$C$2:$C$1199,0)),"",INDEX('Compliance Database'!$N$2:$N$1199,MATCH(317,Engine!$C$2:$C$1199,0)))</f>
        <v/>
      </c>
      <c r="O330" s="7" t="str">
        <f>IF(ISNA(MATCH(317,Engine!$C$2:$C$1199,0)),"",INDEX('Compliance Database'!$O$2:$O$1199,MATCH(317,Engine!$C$2:$C$1199,0)))</f>
        <v/>
      </c>
      <c r="P330" s="6" t="str">
        <f>IF(ISNA(MATCH(317,Engine!$C$2:$C$1199,0)),"",HYPERLINK("#Acts!A"&amp;INDEX('Compliance Database'!$P$2:$P$1199,MATCH(317,Engine!$C$2:$C$1199,0)),"Go to Act"))</f>
        <v/>
      </c>
    </row>
    <row r="331" spans="1:16" ht="172.95" customHeight="1" x14ac:dyDescent="0.3">
      <c r="A331" s="6" t="str">
        <f>IF(ISNA(MATCH(318,Engine!$C$2:$C$1199,0)),"",INDEX('Compliance Database'!$A$2:$A$1199,MATCH(318,Engine!$C$2:$C$1199,0)))</f>
        <v/>
      </c>
      <c r="B331" s="6" t="str">
        <f>IF(ISNA(MATCH(318,Engine!$C$2:$C$1199,0)),"",INDEX('Compliance Database'!$B$2:$B$1199,MATCH(318,Engine!$C$2:$C$1199,0)))</f>
        <v/>
      </c>
      <c r="C331" s="6" t="str">
        <f>IF(ISNA(MATCH(318,Engine!$C$2:$C$1199,0)),"",INDEX('Compliance Database'!$C$2:$C$1199,MATCH(318,Engine!$C$2:$C$1199,0)))</f>
        <v/>
      </c>
      <c r="D331" s="7" t="str">
        <f>IF(ISNA(MATCH(318,Engine!$C$2:$C$1199,0)),"",INDEX('Compliance Database'!$D$2:$D$1199,MATCH(318,Engine!$C$2:$C$1199,0)))</f>
        <v/>
      </c>
      <c r="E331" s="6" t="str">
        <f>IF(ISNA(MATCH(318,Engine!$C$2:$C$1199,0)),"",INDEX('Compliance Database'!$E$2:$E$1199,MATCH(318,Engine!$C$2:$C$1199,0)))</f>
        <v/>
      </c>
      <c r="F331" s="6" t="str">
        <f>IF(ISNA(MATCH(318,Engine!$C$2:$C$1199,0)),"",INDEX('Compliance Database'!$F$2:$F$1199,MATCH(318,Engine!$C$2:$C$1199,0)))</f>
        <v/>
      </c>
      <c r="G331" s="6" t="str">
        <f>IF(ISNA(MATCH(318,Engine!$C$2:$C$1199,0)),"",INDEX('Compliance Database'!$G$2:$G$1199,MATCH(318,Engine!$C$2:$C$1199,0)))</f>
        <v/>
      </c>
      <c r="H331" s="7" t="str">
        <f>IF(ISNA(MATCH(318,Engine!$C$2:$C$1199,0)),"",INDEX('Compliance Database'!$H$2:$H$1199,MATCH(318,Engine!$C$2:$C$1199,0)))</f>
        <v/>
      </c>
      <c r="I331" s="7" t="str">
        <f>IF(ISNA(MATCH(318,Engine!$C$2:$C$1199,0)),"",INDEX('Compliance Database'!$I$2:$I$1199,MATCH(318,Engine!$C$2:$C$1199,0)))</f>
        <v/>
      </c>
      <c r="J331" s="6" t="str">
        <f>IF(ISNA(MATCH(318,Engine!$C$2:$C$1199,0)),"",INDEX('Compliance Database'!$J$2:$J$1199,MATCH(318,Engine!$C$2:$C$1199,0)))</f>
        <v/>
      </c>
      <c r="K331" s="7" t="str">
        <f>IF(ISNA(MATCH(318,Engine!$C$2:$C$1199,0)),"",INDEX('Compliance Database'!$K$2:$K$1199,MATCH(318,Engine!$C$2:$C$1199,0)))</f>
        <v/>
      </c>
      <c r="L331" s="7" t="str">
        <f>IF(ISNA(MATCH(318,Engine!$C$2:$C$1199,0)),"",INDEX('Compliance Database'!$L$2:$L$1199,MATCH(318,Engine!$C$2:$C$1199,0)))</f>
        <v/>
      </c>
      <c r="M331" s="7" t="str">
        <f>IF(ISNA(MATCH(318,Engine!$C$2:$C$1199,0)),"",INDEX('Compliance Database'!$M$2:$M$1199,MATCH(318,Engine!$C$2:$C$1199,0)))</f>
        <v/>
      </c>
      <c r="N331" s="7" t="str">
        <f>IF(ISNA(MATCH(318,Engine!$C$2:$C$1199,0)),"",INDEX('Compliance Database'!$N$2:$N$1199,MATCH(318,Engine!$C$2:$C$1199,0)))</f>
        <v/>
      </c>
      <c r="O331" s="7" t="str">
        <f>IF(ISNA(MATCH(318,Engine!$C$2:$C$1199,0)),"",INDEX('Compliance Database'!$O$2:$O$1199,MATCH(318,Engine!$C$2:$C$1199,0)))</f>
        <v/>
      </c>
      <c r="P331" s="6" t="str">
        <f>IF(ISNA(MATCH(318,Engine!$C$2:$C$1199,0)),"",HYPERLINK("#Acts!A"&amp;INDEX('Compliance Database'!$P$2:$P$1199,MATCH(318,Engine!$C$2:$C$1199,0)),"Go to Act"))</f>
        <v/>
      </c>
    </row>
    <row r="332" spans="1:16" ht="172.95" customHeight="1" x14ac:dyDescent="0.3">
      <c r="A332" s="6" t="str">
        <f>IF(ISNA(MATCH(319,Engine!$C$2:$C$1199,0)),"",INDEX('Compliance Database'!$A$2:$A$1199,MATCH(319,Engine!$C$2:$C$1199,0)))</f>
        <v/>
      </c>
      <c r="B332" s="6" t="str">
        <f>IF(ISNA(MATCH(319,Engine!$C$2:$C$1199,0)),"",INDEX('Compliance Database'!$B$2:$B$1199,MATCH(319,Engine!$C$2:$C$1199,0)))</f>
        <v/>
      </c>
      <c r="C332" s="6" t="str">
        <f>IF(ISNA(MATCH(319,Engine!$C$2:$C$1199,0)),"",INDEX('Compliance Database'!$C$2:$C$1199,MATCH(319,Engine!$C$2:$C$1199,0)))</f>
        <v/>
      </c>
      <c r="D332" s="7" t="str">
        <f>IF(ISNA(MATCH(319,Engine!$C$2:$C$1199,0)),"",INDEX('Compliance Database'!$D$2:$D$1199,MATCH(319,Engine!$C$2:$C$1199,0)))</f>
        <v/>
      </c>
      <c r="E332" s="6" t="str">
        <f>IF(ISNA(MATCH(319,Engine!$C$2:$C$1199,0)),"",INDEX('Compliance Database'!$E$2:$E$1199,MATCH(319,Engine!$C$2:$C$1199,0)))</f>
        <v/>
      </c>
      <c r="F332" s="6" t="str">
        <f>IF(ISNA(MATCH(319,Engine!$C$2:$C$1199,0)),"",INDEX('Compliance Database'!$F$2:$F$1199,MATCH(319,Engine!$C$2:$C$1199,0)))</f>
        <v/>
      </c>
      <c r="G332" s="6" t="str">
        <f>IF(ISNA(MATCH(319,Engine!$C$2:$C$1199,0)),"",INDEX('Compliance Database'!$G$2:$G$1199,MATCH(319,Engine!$C$2:$C$1199,0)))</f>
        <v/>
      </c>
      <c r="H332" s="7" t="str">
        <f>IF(ISNA(MATCH(319,Engine!$C$2:$C$1199,0)),"",INDEX('Compliance Database'!$H$2:$H$1199,MATCH(319,Engine!$C$2:$C$1199,0)))</f>
        <v/>
      </c>
      <c r="I332" s="7" t="str">
        <f>IF(ISNA(MATCH(319,Engine!$C$2:$C$1199,0)),"",INDEX('Compliance Database'!$I$2:$I$1199,MATCH(319,Engine!$C$2:$C$1199,0)))</f>
        <v/>
      </c>
      <c r="J332" s="6" t="str">
        <f>IF(ISNA(MATCH(319,Engine!$C$2:$C$1199,0)),"",INDEX('Compliance Database'!$J$2:$J$1199,MATCH(319,Engine!$C$2:$C$1199,0)))</f>
        <v/>
      </c>
      <c r="K332" s="7" t="str">
        <f>IF(ISNA(MATCH(319,Engine!$C$2:$C$1199,0)),"",INDEX('Compliance Database'!$K$2:$K$1199,MATCH(319,Engine!$C$2:$C$1199,0)))</f>
        <v/>
      </c>
      <c r="L332" s="7" t="str">
        <f>IF(ISNA(MATCH(319,Engine!$C$2:$C$1199,0)),"",INDEX('Compliance Database'!$L$2:$L$1199,MATCH(319,Engine!$C$2:$C$1199,0)))</f>
        <v/>
      </c>
      <c r="M332" s="7" t="str">
        <f>IF(ISNA(MATCH(319,Engine!$C$2:$C$1199,0)),"",INDEX('Compliance Database'!$M$2:$M$1199,MATCH(319,Engine!$C$2:$C$1199,0)))</f>
        <v/>
      </c>
      <c r="N332" s="7" t="str">
        <f>IF(ISNA(MATCH(319,Engine!$C$2:$C$1199,0)),"",INDEX('Compliance Database'!$N$2:$N$1199,MATCH(319,Engine!$C$2:$C$1199,0)))</f>
        <v/>
      </c>
      <c r="O332" s="7" t="str">
        <f>IF(ISNA(MATCH(319,Engine!$C$2:$C$1199,0)),"",INDEX('Compliance Database'!$O$2:$O$1199,MATCH(319,Engine!$C$2:$C$1199,0)))</f>
        <v/>
      </c>
      <c r="P332" s="6" t="str">
        <f>IF(ISNA(MATCH(319,Engine!$C$2:$C$1199,0)),"",HYPERLINK("#Acts!A"&amp;INDEX('Compliance Database'!$P$2:$P$1199,MATCH(319,Engine!$C$2:$C$1199,0)),"Go to Act"))</f>
        <v/>
      </c>
    </row>
    <row r="333" spans="1:16" ht="172.95" customHeight="1" x14ac:dyDescent="0.3">
      <c r="A333" s="6" t="str">
        <f>IF(ISNA(MATCH(320,Engine!$C$2:$C$1199,0)),"",INDEX('Compliance Database'!$A$2:$A$1199,MATCH(320,Engine!$C$2:$C$1199,0)))</f>
        <v/>
      </c>
      <c r="B333" s="6" t="str">
        <f>IF(ISNA(MATCH(320,Engine!$C$2:$C$1199,0)),"",INDEX('Compliance Database'!$B$2:$B$1199,MATCH(320,Engine!$C$2:$C$1199,0)))</f>
        <v/>
      </c>
      <c r="C333" s="6" t="str">
        <f>IF(ISNA(MATCH(320,Engine!$C$2:$C$1199,0)),"",INDEX('Compliance Database'!$C$2:$C$1199,MATCH(320,Engine!$C$2:$C$1199,0)))</f>
        <v/>
      </c>
      <c r="D333" s="7" t="str">
        <f>IF(ISNA(MATCH(320,Engine!$C$2:$C$1199,0)),"",INDEX('Compliance Database'!$D$2:$D$1199,MATCH(320,Engine!$C$2:$C$1199,0)))</f>
        <v/>
      </c>
      <c r="E333" s="6" t="str">
        <f>IF(ISNA(MATCH(320,Engine!$C$2:$C$1199,0)),"",INDEX('Compliance Database'!$E$2:$E$1199,MATCH(320,Engine!$C$2:$C$1199,0)))</f>
        <v/>
      </c>
      <c r="F333" s="6" t="str">
        <f>IF(ISNA(MATCH(320,Engine!$C$2:$C$1199,0)),"",INDEX('Compliance Database'!$F$2:$F$1199,MATCH(320,Engine!$C$2:$C$1199,0)))</f>
        <v/>
      </c>
      <c r="G333" s="6" t="str">
        <f>IF(ISNA(MATCH(320,Engine!$C$2:$C$1199,0)),"",INDEX('Compliance Database'!$G$2:$G$1199,MATCH(320,Engine!$C$2:$C$1199,0)))</f>
        <v/>
      </c>
      <c r="H333" s="7" t="str">
        <f>IF(ISNA(MATCH(320,Engine!$C$2:$C$1199,0)),"",INDEX('Compliance Database'!$H$2:$H$1199,MATCH(320,Engine!$C$2:$C$1199,0)))</f>
        <v/>
      </c>
      <c r="I333" s="7" t="str">
        <f>IF(ISNA(MATCH(320,Engine!$C$2:$C$1199,0)),"",INDEX('Compliance Database'!$I$2:$I$1199,MATCH(320,Engine!$C$2:$C$1199,0)))</f>
        <v/>
      </c>
      <c r="J333" s="6" t="str">
        <f>IF(ISNA(MATCH(320,Engine!$C$2:$C$1199,0)),"",INDEX('Compliance Database'!$J$2:$J$1199,MATCH(320,Engine!$C$2:$C$1199,0)))</f>
        <v/>
      </c>
      <c r="K333" s="7" t="str">
        <f>IF(ISNA(MATCH(320,Engine!$C$2:$C$1199,0)),"",INDEX('Compliance Database'!$K$2:$K$1199,MATCH(320,Engine!$C$2:$C$1199,0)))</f>
        <v/>
      </c>
      <c r="L333" s="7" t="str">
        <f>IF(ISNA(MATCH(320,Engine!$C$2:$C$1199,0)),"",INDEX('Compliance Database'!$L$2:$L$1199,MATCH(320,Engine!$C$2:$C$1199,0)))</f>
        <v/>
      </c>
      <c r="M333" s="7" t="str">
        <f>IF(ISNA(MATCH(320,Engine!$C$2:$C$1199,0)),"",INDEX('Compliance Database'!$M$2:$M$1199,MATCH(320,Engine!$C$2:$C$1199,0)))</f>
        <v/>
      </c>
      <c r="N333" s="7" t="str">
        <f>IF(ISNA(MATCH(320,Engine!$C$2:$C$1199,0)),"",INDEX('Compliance Database'!$N$2:$N$1199,MATCH(320,Engine!$C$2:$C$1199,0)))</f>
        <v/>
      </c>
      <c r="O333" s="7" t="str">
        <f>IF(ISNA(MATCH(320,Engine!$C$2:$C$1199,0)),"",INDEX('Compliance Database'!$O$2:$O$1199,MATCH(320,Engine!$C$2:$C$1199,0)))</f>
        <v/>
      </c>
      <c r="P333" s="6" t="str">
        <f>IF(ISNA(MATCH(320,Engine!$C$2:$C$1199,0)),"",HYPERLINK("#Acts!A"&amp;INDEX('Compliance Database'!$P$2:$P$1199,MATCH(320,Engine!$C$2:$C$1199,0)),"Go to Act"))</f>
        <v/>
      </c>
    </row>
    <row r="334" spans="1:16" ht="172.95" customHeight="1" x14ac:dyDescent="0.3">
      <c r="A334" s="6" t="str">
        <f>IF(ISNA(MATCH(321,Engine!$C$2:$C$1199,0)),"",INDEX('Compliance Database'!$A$2:$A$1199,MATCH(321,Engine!$C$2:$C$1199,0)))</f>
        <v/>
      </c>
      <c r="B334" s="6" t="str">
        <f>IF(ISNA(MATCH(321,Engine!$C$2:$C$1199,0)),"",INDEX('Compliance Database'!$B$2:$B$1199,MATCH(321,Engine!$C$2:$C$1199,0)))</f>
        <v/>
      </c>
      <c r="C334" s="6" t="str">
        <f>IF(ISNA(MATCH(321,Engine!$C$2:$C$1199,0)),"",INDEX('Compliance Database'!$C$2:$C$1199,MATCH(321,Engine!$C$2:$C$1199,0)))</f>
        <v/>
      </c>
      <c r="D334" s="7" t="str">
        <f>IF(ISNA(MATCH(321,Engine!$C$2:$C$1199,0)),"",INDEX('Compliance Database'!$D$2:$D$1199,MATCH(321,Engine!$C$2:$C$1199,0)))</f>
        <v/>
      </c>
      <c r="E334" s="6" t="str">
        <f>IF(ISNA(MATCH(321,Engine!$C$2:$C$1199,0)),"",INDEX('Compliance Database'!$E$2:$E$1199,MATCH(321,Engine!$C$2:$C$1199,0)))</f>
        <v/>
      </c>
      <c r="F334" s="6" t="str">
        <f>IF(ISNA(MATCH(321,Engine!$C$2:$C$1199,0)),"",INDEX('Compliance Database'!$F$2:$F$1199,MATCH(321,Engine!$C$2:$C$1199,0)))</f>
        <v/>
      </c>
      <c r="G334" s="6" t="str">
        <f>IF(ISNA(MATCH(321,Engine!$C$2:$C$1199,0)),"",INDEX('Compliance Database'!$G$2:$G$1199,MATCH(321,Engine!$C$2:$C$1199,0)))</f>
        <v/>
      </c>
      <c r="H334" s="7" t="str">
        <f>IF(ISNA(MATCH(321,Engine!$C$2:$C$1199,0)),"",INDEX('Compliance Database'!$H$2:$H$1199,MATCH(321,Engine!$C$2:$C$1199,0)))</f>
        <v/>
      </c>
      <c r="I334" s="7" t="str">
        <f>IF(ISNA(MATCH(321,Engine!$C$2:$C$1199,0)),"",INDEX('Compliance Database'!$I$2:$I$1199,MATCH(321,Engine!$C$2:$C$1199,0)))</f>
        <v/>
      </c>
      <c r="J334" s="6" t="str">
        <f>IF(ISNA(MATCH(321,Engine!$C$2:$C$1199,0)),"",INDEX('Compliance Database'!$J$2:$J$1199,MATCH(321,Engine!$C$2:$C$1199,0)))</f>
        <v/>
      </c>
      <c r="K334" s="7" t="str">
        <f>IF(ISNA(MATCH(321,Engine!$C$2:$C$1199,0)),"",INDEX('Compliance Database'!$K$2:$K$1199,MATCH(321,Engine!$C$2:$C$1199,0)))</f>
        <v/>
      </c>
      <c r="L334" s="7" t="str">
        <f>IF(ISNA(MATCH(321,Engine!$C$2:$C$1199,0)),"",INDEX('Compliance Database'!$L$2:$L$1199,MATCH(321,Engine!$C$2:$C$1199,0)))</f>
        <v/>
      </c>
      <c r="M334" s="7" t="str">
        <f>IF(ISNA(MATCH(321,Engine!$C$2:$C$1199,0)),"",INDEX('Compliance Database'!$M$2:$M$1199,MATCH(321,Engine!$C$2:$C$1199,0)))</f>
        <v/>
      </c>
      <c r="N334" s="7" t="str">
        <f>IF(ISNA(MATCH(321,Engine!$C$2:$C$1199,0)),"",INDEX('Compliance Database'!$N$2:$N$1199,MATCH(321,Engine!$C$2:$C$1199,0)))</f>
        <v/>
      </c>
      <c r="O334" s="7" t="str">
        <f>IF(ISNA(MATCH(321,Engine!$C$2:$C$1199,0)),"",INDEX('Compliance Database'!$O$2:$O$1199,MATCH(321,Engine!$C$2:$C$1199,0)))</f>
        <v/>
      </c>
      <c r="P334" s="6" t="str">
        <f>IF(ISNA(MATCH(321,Engine!$C$2:$C$1199,0)),"",HYPERLINK("#Acts!A"&amp;INDEX('Compliance Database'!$P$2:$P$1199,MATCH(321,Engine!$C$2:$C$1199,0)),"Go to Act"))</f>
        <v/>
      </c>
    </row>
    <row r="335" spans="1:16" ht="172.95" customHeight="1" x14ac:dyDescent="0.3">
      <c r="A335" s="6" t="str">
        <f>IF(ISNA(MATCH(322,Engine!$C$2:$C$1199,0)),"",INDEX('Compliance Database'!$A$2:$A$1199,MATCH(322,Engine!$C$2:$C$1199,0)))</f>
        <v/>
      </c>
      <c r="B335" s="6" t="str">
        <f>IF(ISNA(MATCH(322,Engine!$C$2:$C$1199,0)),"",INDEX('Compliance Database'!$B$2:$B$1199,MATCH(322,Engine!$C$2:$C$1199,0)))</f>
        <v/>
      </c>
      <c r="C335" s="6" t="str">
        <f>IF(ISNA(MATCH(322,Engine!$C$2:$C$1199,0)),"",INDEX('Compliance Database'!$C$2:$C$1199,MATCH(322,Engine!$C$2:$C$1199,0)))</f>
        <v/>
      </c>
      <c r="D335" s="7" t="str">
        <f>IF(ISNA(MATCH(322,Engine!$C$2:$C$1199,0)),"",INDEX('Compliance Database'!$D$2:$D$1199,MATCH(322,Engine!$C$2:$C$1199,0)))</f>
        <v/>
      </c>
      <c r="E335" s="6" t="str">
        <f>IF(ISNA(MATCH(322,Engine!$C$2:$C$1199,0)),"",INDEX('Compliance Database'!$E$2:$E$1199,MATCH(322,Engine!$C$2:$C$1199,0)))</f>
        <v/>
      </c>
      <c r="F335" s="6" t="str">
        <f>IF(ISNA(MATCH(322,Engine!$C$2:$C$1199,0)),"",INDEX('Compliance Database'!$F$2:$F$1199,MATCH(322,Engine!$C$2:$C$1199,0)))</f>
        <v/>
      </c>
      <c r="G335" s="6" t="str">
        <f>IF(ISNA(MATCH(322,Engine!$C$2:$C$1199,0)),"",INDEX('Compliance Database'!$G$2:$G$1199,MATCH(322,Engine!$C$2:$C$1199,0)))</f>
        <v/>
      </c>
      <c r="H335" s="7" t="str">
        <f>IF(ISNA(MATCH(322,Engine!$C$2:$C$1199,0)),"",INDEX('Compliance Database'!$H$2:$H$1199,MATCH(322,Engine!$C$2:$C$1199,0)))</f>
        <v/>
      </c>
      <c r="I335" s="7" t="str">
        <f>IF(ISNA(MATCH(322,Engine!$C$2:$C$1199,0)),"",INDEX('Compliance Database'!$I$2:$I$1199,MATCH(322,Engine!$C$2:$C$1199,0)))</f>
        <v/>
      </c>
      <c r="J335" s="6" t="str">
        <f>IF(ISNA(MATCH(322,Engine!$C$2:$C$1199,0)),"",INDEX('Compliance Database'!$J$2:$J$1199,MATCH(322,Engine!$C$2:$C$1199,0)))</f>
        <v/>
      </c>
      <c r="K335" s="7" t="str">
        <f>IF(ISNA(MATCH(322,Engine!$C$2:$C$1199,0)),"",INDEX('Compliance Database'!$K$2:$K$1199,MATCH(322,Engine!$C$2:$C$1199,0)))</f>
        <v/>
      </c>
      <c r="L335" s="7" t="str">
        <f>IF(ISNA(MATCH(322,Engine!$C$2:$C$1199,0)),"",INDEX('Compliance Database'!$L$2:$L$1199,MATCH(322,Engine!$C$2:$C$1199,0)))</f>
        <v/>
      </c>
      <c r="M335" s="7" t="str">
        <f>IF(ISNA(MATCH(322,Engine!$C$2:$C$1199,0)),"",INDEX('Compliance Database'!$M$2:$M$1199,MATCH(322,Engine!$C$2:$C$1199,0)))</f>
        <v/>
      </c>
      <c r="N335" s="7" t="str">
        <f>IF(ISNA(MATCH(322,Engine!$C$2:$C$1199,0)),"",INDEX('Compliance Database'!$N$2:$N$1199,MATCH(322,Engine!$C$2:$C$1199,0)))</f>
        <v/>
      </c>
      <c r="O335" s="7" t="str">
        <f>IF(ISNA(MATCH(322,Engine!$C$2:$C$1199,0)),"",INDEX('Compliance Database'!$O$2:$O$1199,MATCH(322,Engine!$C$2:$C$1199,0)))</f>
        <v/>
      </c>
      <c r="P335" s="6" t="str">
        <f>IF(ISNA(MATCH(322,Engine!$C$2:$C$1199,0)),"",HYPERLINK("#Acts!A"&amp;INDEX('Compliance Database'!$P$2:$P$1199,MATCH(322,Engine!$C$2:$C$1199,0)),"Go to Act"))</f>
        <v/>
      </c>
    </row>
    <row r="336" spans="1:16" ht="172.95" customHeight="1" x14ac:dyDescent="0.3">
      <c r="A336" s="6" t="str">
        <f>IF(ISNA(MATCH(323,Engine!$C$2:$C$1199,0)),"",INDEX('Compliance Database'!$A$2:$A$1199,MATCH(323,Engine!$C$2:$C$1199,0)))</f>
        <v/>
      </c>
      <c r="B336" s="6" t="str">
        <f>IF(ISNA(MATCH(323,Engine!$C$2:$C$1199,0)),"",INDEX('Compliance Database'!$B$2:$B$1199,MATCH(323,Engine!$C$2:$C$1199,0)))</f>
        <v/>
      </c>
      <c r="C336" s="6" t="str">
        <f>IF(ISNA(MATCH(323,Engine!$C$2:$C$1199,0)),"",INDEX('Compliance Database'!$C$2:$C$1199,MATCH(323,Engine!$C$2:$C$1199,0)))</f>
        <v/>
      </c>
      <c r="D336" s="7" t="str">
        <f>IF(ISNA(MATCH(323,Engine!$C$2:$C$1199,0)),"",INDEX('Compliance Database'!$D$2:$D$1199,MATCH(323,Engine!$C$2:$C$1199,0)))</f>
        <v/>
      </c>
      <c r="E336" s="6" t="str">
        <f>IF(ISNA(MATCH(323,Engine!$C$2:$C$1199,0)),"",INDEX('Compliance Database'!$E$2:$E$1199,MATCH(323,Engine!$C$2:$C$1199,0)))</f>
        <v/>
      </c>
      <c r="F336" s="6" t="str">
        <f>IF(ISNA(MATCH(323,Engine!$C$2:$C$1199,0)),"",INDEX('Compliance Database'!$F$2:$F$1199,MATCH(323,Engine!$C$2:$C$1199,0)))</f>
        <v/>
      </c>
      <c r="G336" s="6" t="str">
        <f>IF(ISNA(MATCH(323,Engine!$C$2:$C$1199,0)),"",INDEX('Compliance Database'!$G$2:$G$1199,MATCH(323,Engine!$C$2:$C$1199,0)))</f>
        <v/>
      </c>
      <c r="H336" s="7" t="str">
        <f>IF(ISNA(MATCH(323,Engine!$C$2:$C$1199,0)),"",INDEX('Compliance Database'!$H$2:$H$1199,MATCH(323,Engine!$C$2:$C$1199,0)))</f>
        <v/>
      </c>
      <c r="I336" s="7" t="str">
        <f>IF(ISNA(MATCH(323,Engine!$C$2:$C$1199,0)),"",INDEX('Compliance Database'!$I$2:$I$1199,MATCH(323,Engine!$C$2:$C$1199,0)))</f>
        <v/>
      </c>
      <c r="J336" s="6" t="str">
        <f>IF(ISNA(MATCH(323,Engine!$C$2:$C$1199,0)),"",INDEX('Compliance Database'!$J$2:$J$1199,MATCH(323,Engine!$C$2:$C$1199,0)))</f>
        <v/>
      </c>
      <c r="K336" s="7" t="str">
        <f>IF(ISNA(MATCH(323,Engine!$C$2:$C$1199,0)),"",INDEX('Compliance Database'!$K$2:$K$1199,MATCH(323,Engine!$C$2:$C$1199,0)))</f>
        <v/>
      </c>
      <c r="L336" s="7" t="str">
        <f>IF(ISNA(MATCH(323,Engine!$C$2:$C$1199,0)),"",INDEX('Compliance Database'!$L$2:$L$1199,MATCH(323,Engine!$C$2:$C$1199,0)))</f>
        <v/>
      </c>
      <c r="M336" s="7" t="str">
        <f>IF(ISNA(MATCH(323,Engine!$C$2:$C$1199,0)),"",INDEX('Compliance Database'!$M$2:$M$1199,MATCH(323,Engine!$C$2:$C$1199,0)))</f>
        <v/>
      </c>
      <c r="N336" s="7" t="str">
        <f>IF(ISNA(MATCH(323,Engine!$C$2:$C$1199,0)),"",INDEX('Compliance Database'!$N$2:$N$1199,MATCH(323,Engine!$C$2:$C$1199,0)))</f>
        <v/>
      </c>
      <c r="O336" s="7" t="str">
        <f>IF(ISNA(MATCH(323,Engine!$C$2:$C$1199,0)),"",INDEX('Compliance Database'!$O$2:$O$1199,MATCH(323,Engine!$C$2:$C$1199,0)))</f>
        <v/>
      </c>
      <c r="P336" s="6" t="str">
        <f>IF(ISNA(MATCH(323,Engine!$C$2:$C$1199,0)),"",HYPERLINK("#Acts!A"&amp;INDEX('Compliance Database'!$P$2:$P$1199,MATCH(323,Engine!$C$2:$C$1199,0)),"Go to Act"))</f>
        <v/>
      </c>
    </row>
    <row r="337" spans="1:16" ht="172.95" customHeight="1" x14ac:dyDescent="0.3">
      <c r="A337" s="6" t="str">
        <f>IF(ISNA(MATCH(324,Engine!$C$2:$C$1199,0)),"",INDEX('Compliance Database'!$A$2:$A$1199,MATCH(324,Engine!$C$2:$C$1199,0)))</f>
        <v/>
      </c>
      <c r="B337" s="6" t="str">
        <f>IF(ISNA(MATCH(324,Engine!$C$2:$C$1199,0)),"",INDEX('Compliance Database'!$B$2:$B$1199,MATCH(324,Engine!$C$2:$C$1199,0)))</f>
        <v/>
      </c>
      <c r="C337" s="6" t="str">
        <f>IF(ISNA(MATCH(324,Engine!$C$2:$C$1199,0)),"",INDEX('Compliance Database'!$C$2:$C$1199,MATCH(324,Engine!$C$2:$C$1199,0)))</f>
        <v/>
      </c>
      <c r="D337" s="7" t="str">
        <f>IF(ISNA(MATCH(324,Engine!$C$2:$C$1199,0)),"",INDEX('Compliance Database'!$D$2:$D$1199,MATCH(324,Engine!$C$2:$C$1199,0)))</f>
        <v/>
      </c>
      <c r="E337" s="6" t="str">
        <f>IF(ISNA(MATCH(324,Engine!$C$2:$C$1199,0)),"",INDEX('Compliance Database'!$E$2:$E$1199,MATCH(324,Engine!$C$2:$C$1199,0)))</f>
        <v/>
      </c>
      <c r="F337" s="6" t="str">
        <f>IF(ISNA(MATCH(324,Engine!$C$2:$C$1199,0)),"",INDEX('Compliance Database'!$F$2:$F$1199,MATCH(324,Engine!$C$2:$C$1199,0)))</f>
        <v/>
      </c>
      <c r="G337" s="6" t="str">
        <f>IF(ISNA(MATCH(324,Engine!$C$2:$C$1199,0)),"",INDEX('Compliance Database'!$G$2:$G$1199,MATCH(324,Engine!$C$2:$C$1199,0)))</f>
        <v/>
      </c>
      <c r="H337" s="7" t="str">
        <f>IF(ISNA(MATCH(324,Engine!$C$2:$C$1199,0)),"",INDEX('Compliance Database'!$H$2:$H$1199,MATCH(324,Engine!$C$2:$C$1199,0)))</f>
        <v/>
      </c>
      <c r="I337" s="7" t="str">
        <f>IF(ISNA(MATCH(324,Engine!$C$2:$C$1199,0)),"",INDEX('Compliance Database'!$I$2:$I$1199,MATCH(324,Engine!$C$2:$C$1199,0)))</f>
        <v/>
      </c>
      <c r="J337" s="6" t="str">
        <f>IF(ISNA(MATCH(324,Engine!$C$2:$C$1199,0)),"",INDEX('Compliance Database'!$J$2:$J$1199,MATCH(324,Engine!$C$2:$C$1199,0)))</f>
        <v/>
      </c>
      <c r="K337" s="7" t="str">
        <f>IF(ISNA(MATCH(324,Engine!$C$2:$C$1199,0)),"",INDEX('Compliance Database'!$K$2:$K$1199,MATCH(324,Engine!$C$2:$C$1199,0)))</f>
        <v/>
      </c>
      <c r="L337" s="7" t="str">
        <f>IF(ISNA(MATCH(324,Engine!$C$2:$C$1199,0)),"",INDEX('Compliance Database'!$L$2:$L$1199,MATCH(324,Engine!$C$2:$C$1199,0)))</f>
        <v/>
      </c>
      <c r="M337" s="7" t="str">
        <f>IF(ISNA(MATCH(324,Engine!$C$2:$C$1199,0)),"",INDEX('Compliance Database'!$M$2:$M$1199,MATCH(324,Engine!$C$2:$C$1199,0)))</f>
        <v/>
      </c>
      <c r="N337" s="7" t="str">
        <f>IF(ISNA(MATCH(324,Engine!$C$2:$C$1199,0)),"",INDEX('Compliance Database'!$N$2:$N$1199,MATCH(324,Engine!$C$2:$C$1199,0)))</f>
        <v/>
      </c>
      <c r="O337" s="7" t="str">
        <f>IF(ISNA(MATCH(324,Engine!$C$2:$C$1199,0)),"",INDEX('Compliance Database'!$O$2:$O$1199,MATCH(324,Engine!$C$2:$C$1199,0)))</f>
        <v/>
      </c>
      <c r="P337" s="6" t="str">
        <f>IF(ISNA(MATCH(324,Engine!$C$2:$C$1199,0)),"",HYPERLINK("#Acts!A"&amp;INDEX('Compliance Database'!$P$2:$P$1199,MATCH(324,Engine!$C$2:$C$1199,0)),"Go to Act"))</f>
        <v/>
      </c>
    </row>
    <row r="338" spans="1:16" ht="172.95" customHeight="1" x14ac:dyDescent="0.3">
      <c r="A338" s="6" t="str">
        <f>IF(ISNA(MATCH(325,Engine!$C$2:$C$1199,0)),"",INDEX('Compliance Database'!$A$2:$A$1199,MATCH(325,Engine!$C$2:$C$1199,0)))</f>
        <v/>
      </c>
      <c r="B338" s="6" t="str">
        <f>IF(ISNA(MATCH(325,Engine!$C$2:$C$1199,0)),"",INDEX('Compliance Database'!$B$2:$B$1199,MATCH(325,Engine!$C$2:$C$1199,0)))</f>
        <v/>
      </c>
      <c r="C338" s="6" t="str">
        <f>IF(ISNA(MATCH(325,Engine!$C$2:$C$1199,0)),"",INDEX('Compliance Database'!$C$2:$C$1199,MATCH(325,Engine!$C$2:$C$1199,0)))</f>
        <v/>
      </c>
      <c r="D338" s="7" t="str">
        <f>IF(ISNA(MATCH(325,Engine!$C$2:$C$1199,0)),"",INDEX('Compliance Database'!$D$2:$D$1199,MATCH(325,Engine!$C$2:$C$1199,0)))</f>
        <v/>
      </c>
      <c r="E338" s="6" t="str">
        <f>IF(ISNA(MATCH(325,Engine!$C$2:$C$1199,0)),"",INDEX('Compliance Database'!$E$2:$E$1199,MATCH(325,Engine!$C$2:$C$1199,0)))</f>
        <v/>
      </c>
      <c r="F338" s="6" t="str">
        <f>IF(ISNA(MATCH(325,Engine!$C$2:$C$1199,0)),"",INDEX('Compliance Database'!$F$2:$F$1199,MATCH(325,Engine!$C$2:$C$1199,0)))</f>
        <v/>
      </c>
      <c r="G338" s="6" t="str">
        <f>IF(ISNA(MATCH(325,Engine!$C$2:$C$1199,0)),"",INDEX('Compliance Database'!$G$2:$G$1199,MATCH(325,Engine!$C$2:$C$1199,0)))</f>
        <v/>
      </c>
      <c r="H338" s="7" t="str">
        <f>IF(ISNA(MATCH(325,Engine!$C$2:$C$1199,0)),"",INDEX('Compliance Database'!$H$2:$H$1199,MATCH(325,Engine!$C$2:$C$1199,0)))</f>
        <v/>
      </c>
      <c r="I338" s="7" t="str">
        <f>IF(ISNA(MATCH(325,Engine!$C$2:$C$1199,0)),"",INDEX('Compliance Database'!$I$2:$I$1199,MATCH(325,Engine!$C$2:$C$1199,0)))</f>
        <v/>
      </c>
      <c r="J338" s="6" t="str">
        <f>IF(ISNA(MATCH(325,Engine!$C$2:$C$1199,0)),"",INDEX('Compliance Database'!$J$2:$J$1199,MATCH(325,Engine!$C$2:$C$1199,0)))</f>
        <v/>
      </c>
      <c r="K338" s="7" t="str">
        <f>IF(ISNA(MATCH(325,Engine!$C$2:$C$1199,0)),"",INDEX('Compliance Database'!$K$2:$K$1199,MATCH(325,Engine!$C$2:$C$1199,0)))</f>
        <v/>
      </c>
      <c r="L338" s="7" t="str">
        <f>IF(ISNA(MATCH(325,Engine!$C$2:$C$1199,0)),"",INDEX('Compliance Database'!$L$2:$L$1199,MATCH(325,Engine!$C$2:$C$1199,0)))</f>
        <v/>
      </c>
      <c r="M338" s="7" t="str">
        <f>IF(ISNA(MATCH(325,Engine!$C$2:$C$1199,0)),"",INDEX('Compliance Database'!$M$2:$M$1199,MATCH(325,Engine!$C$2:$C$1199,0)))</f>
        <v/>
      </c>
      <c r="N338" s="7" t="str">
        <f>IF(ISNA(MATCH(325,Engine!$C$2:$C$1199,0)),"",INDEX('Compliance Database'!$N$2:$N$1199,MATCH(325,Engine!$C$2:$C$1199,0)))</f>
        <v/>
      </c>
      <c r="O338" s="7" t="str">
        <f>IF(ISNA(MATCH(325,Engine!$C$2:$C$1199,0)),"",INDEX('Compliance Database'!$O$2:$O$1199,MATCH(325,Engine!$C$2:$C$1199,0)))</f>
        <v/>
      </c>
      <c r="P338" s="6" t="str">
        <f>IF(ISNA(MATCH(325,Engine!$C$2:$C$1199,0)),"",HYPERLINK("#Acts!A"&amp;INDEX('Compliance Database'!$P$2:$P$1199,MATCH(325,Engine!$C$2:$C$1199,0)),"Go to Act"))</f>
        <v/>
      </c>
    </row>
    <row r="339" spans="1:16" ht="172.95" customHeight="1" x14ac:dyDescent="0.3">
      <c r="A339" s="6" t="str">
        <f>IF(ISNA(MATCH(326,Engine!$C$2:$C$1199,0)),"",INDEX('Compliance Database'!$A$2:$A$1199,MATCH(326,Engine!$C$2:$C$1199,0)))</f>
        <v/>
      </c>
      <c r="B339" s="6" t="str">
        <f>IF(ISNA(MATCH(326,Engine!$C$2:$C$1199,0)),"",INDEX('Compliance Database'!$B$2:$B$1199,MATCH(326,Engine!$C$2:$C$1199,0)))</f>
        <v/>
      </c>
      <c r="C339" s="6" t="str">
        <f>IF(ISNA(MATCH(326,Engine!$C$2:$C$1199,0)),"",INDEX('Compliance Database'!$C$2:$C$1199,MATCH(326,Engine!$C$2:$C$1199,0)))</f>
        <v/>
      </c>
      <c r="D339" s="7" t="str">
        <f>IF(ISNA(MATCH(326,Engine!$C$2:$C$1199,0)),"",INDEX('Compliance Database'!$D$2:$D$1199,MATCH(326,Engine!$C$2:$C$1199,0)))</f>
        <v/>
      </c>
      <c r="E339" s="6" t="str">
        <f>IF(ISNA(MATCH(326,Engine!$C$2:$C$1199,0)),"",INDEX('Compliance Database'!$E$2:$E$1199,MATCH(326,Engine!$C$2:$C$1199,0)))</f>
        <v/>
      </c>
      <c r="F339" s="6" t="str">
        <f>IF(ISNA(MATCH(326,Engine!$C$2:$C$1199,0)),"",INDEX('Compliance Database'!$F$2:$F$1199,MATCH(326,Engine!$C$2:$C$1199,0)))</f>
        <v/>
      </c>
      <c r="G339" s="6" t="str">
        <f>IF(ISNA(MATCH(326,Engine!$C$2:$C$1199,0)),"",INDEX('Compliance Database'!$G$2:$G$1199,MATCH(326,Engine!$C$2:$C$1199,0)))</f>
        <v/>
      </c>
      <c r="H339" s="7" t="str">
        <f>IF(ISNA(MATCH(326,Engine!$C$2:$C$1199,0)),"",INDEX('Compliance Database'!$H$2:$H$1199,MATCH(326,Engine!$C$2:$C$1199,0)))</f>
        <v/>
      </c>
      <c r="I339" s="7" t="str">
        <f>IF(ISNA(MATCH(326,Engine!$C$2:$C$1199,0)),"",INDEX('Compliance Database'!$I$2:$I$1199,MATCH(326,Engine!$C$2:$C$1199,0)))</f>
        <v/>
      </c>
      <c r="J339" s="6" t="str">
        <f>IF(ISNA(MATCH(326,Engine!$C$2:$C$1199,0)),"",INDEX('Compliance Database'!$J$2:$J$1199,MATCH(326,Engine!$C$2:$C$1199,0)))</f>
        <v/>
      </c>
      <c r="K339" s="7" t="str">
        <f>IF(ISNA(MATCH(326,Engine!$C$2:$C$1199,0)),"",INDEX('Compliance Database'!$K$2:$K$1199,MATCH(326,Engine!$C$2:$C$1199,0)))</f>
        <v/>
      </c>
      <c r="L339" s="7" t="str">
        <f>IF(ISNA(MATCH(326,Engine!$C$2:$C$1199,0)),"",INDEX('Compliance Database'!$L$2:$L$1199,MATCH(326,Engine!$C$2:$C$1199,0)))</f>
        <v/>
      </c>
      <c r="M339" s="7" t="str">
        <f>IF(ISNA(MATCH(326,Engine!$C$2:$C$1199,0)),"",INDEX('Compliance Database'!$M$2:$M$1199,MATCH(326,Engine!$C$2:$C$1199,0)))</f>
        <v/>
      </c>
      <c r="N339" s="7" t="str">
        <f>IF(ISNA(MATCH(326,Engine!$C$2:$C$1199,0)),"",INDEX('Compliance Database'!$N$2:$N$1199,MATCH(326,Engine!$C$2:$C$1199,0)))</f>
        <v/>
      </c>
      <c r="O339" s="7" t="str">
        <f>IF(ISNA(MATCH(326,Engine!$C$2:$C$1199,0)),"",INDEX('Compliance Database'!$O$2:$O$1199,MATCH(326,Engine!$C$2:$C$1199,0)))</f>
        <v/>
      </c>
      <c r="P339" s="6" t="str">
        <f>IF(ISNA(MATCH(326,Engine!$C$2:$C$1199,0)),"",HYPERLINK("#Acts!A"&amp;INDEX('Compliance Database'!$P$2:$P$1199,MATCH(326,Engine!$C$2:$C$1199,0)),"Go to Act"))</f>
        <v/>
      </c>
    </row>
    <row r="340" spans="1:16" ht="172.95" customHeight="1" x14ac:dyDescent="0.3">
      <c r="A340" s="6" t="str">
        <f>IF(ISNA(MATCH(327,Engine!$C$2:$C$1199,0)),"",INDEX('Compliance Database'!$A$2:$A$1199,MATCH(327,Engine!$C$2:$C$1199,0)))</f>
        <v/>
      </c>
      <c r="B340" s="6" t="str">
        <f>IF(ISNA(MATCH(327,Engine!$C$2:$C$1199,0)),"",INDEX('Compliance Database'!$B$2:$B$1199,MATCH(327,Engine!$C$2:$C$1199,0)))</f>
        <v/>
      </c>
      <c r="C340" s="6" t="str">
        <f>IF(ISNA(MATCH(327,Engine!$C$2:$C$1199,0)),"",INDEX('Compliance Database'!$C$2:$C$1199,MATCH(327,Engine!$C$2:$C$1199,0)))</f>
        <v/>
      </c>
      <c r="D340" s="7" t="str">
        <f>IF(ISNA(MATCH(327,Engine!$C$2:$C$1199,0)),"",INDEX('Compliance Database'!$D$2:$D$1199,MATCH(327,Engine!$C$2:$C$1199,0)))</f>
        <v/>
      </c>
      <c r="E340" s="6" t="str">
        <f>IF(ISNA(MATCH(327,Engine!$C$2:$C$1199,0)),"",INDEX('Compliance Database'!$E$2:$E$1199,MATCH(327,Engine!$C$2:$C$1199,0)))</f>
        <v/>
      </c>
      <c r="F340" s="6" t="str">
        <f>IF(ISNA(MATCH(327,Engine!$C$2:$C$1199,0)),"",INDEX('Compliance Database'!$F$2:$F$1199,MATCH(327,Engine!$C$2:$C$1199,0)))</f>
        <v/>
      </c>
      <c r="G340" s="6" t="str">
        <f>IF(ISNA(MATCH(327,Engine!$C$2:$C$1199,0)),"",INDEX('Compliance Database'!$G$2:$G$1199,MATCH(327,Engine!$C$2:$C$1199,0)))</f>
        <v/>
      </c>
      <c r="H340" s="7" t="str">
        <f>IF(ISNA(MATCH(327,Engine!$C$2:$C$1199,0)),"",INDEX('Compliance Database'!$H$2:$H$1199,MATCH(327,Engine!$C$2:$C$1199,0)))</f>
        <v/>
      </c>
      <c r="I340" s="7" t="str">
        <f>IF(ISNA(MATCH(327,Engine!$C$2:$C$1199,0)),"",INDEX('Compliance Database'!$I$2:$I$1199,MATCH(327,Engine!$C$2:$C$1199,0)))</f>
        <v/>
      </c>
      <c r="J340" s="6" t="str">
        <f>IF(ISNA(MATCH(327,Engine!$C$2:$C$1199,0)),"",INDEX('Compliance Database'!$J$2:$J$1199,MATCH(327,Engine!$C$2:$C$1199,0)))</f>
        <v/>
      </c>
      <c r="K340" s="7" t="str">
        <f>IF(ISNA(MATCH(327,Engine!$C$2:$C$1199,0)),"",INDEX('Compliance Database'!$K$2:$K$1199,MATCH(327,Engine!$C$2:$C$1199,0)))</f>
        <v/>
      </c>
      <c r="L340" s="7" t="str">
        <f>IF(ISNA(MATCH(327,Engine!$C$2:$C$1199,0)),"",INDEX('Compliance Database'!$L$2:$L$1199,MATCH(327,Engine!$C$2:$C$1199,0)))</f>
        <v/>
      </c>
      <c r="M340" s="7" t="str">
        <f>IF(ISNA(MATCH(327,Engine!$C$2:$C$1199,0)),"",INDEX('Compliance Database'!$M$2:$M$1199,MATCH(327,Engine!$C$2:$C$1199,0)))</f>
        <v/>
      </c>
      <c r="N340" s="7" t="str">
        <f>IF(ISNA(MATCH(327,Engine!$C$2:$C$1199,0)),"",INDEX('Compliance Database'!$N$2:$N$1199,MATCH(327,Engine!$C$2:$C$1199,0)))</f>
        <v/>
      </c>
      <c r="O340" s="7" t="str">
        <f>IF(ISNA(MATCH(327,Engine!$C$2:$C$1199,0)),"",INDEX('Compliance Database'!$O$2:$O$1199,MATCH(327,Engine!$C$2:$C$1199,0)))</f>
        <v/>
      </c>
      <c r="P340" s="6" t="str">
        <f>IF(ISNA(MATCH(327,Engine!$C$2:$C$1199,0)),"",HYPERLINK("#Acts!A"&amp;INDEX('Compliance Database'!$P$2:$P$1199,MATCH(327,Engine!$C$2:$C$1199,0)),"Go to Act"))</f>
        <v/>
      </c>
    </row>
    <row r="341" spans="1:16" ht="172.95" customHeight="1" x14ac:dyDescent="0.3">
      <c r="A341" s="6" t="str">
        <f>IF(ISNA(MATCH(328,Engine!$C$2:$C$1199,0)),"",INDEX('Compliance Database'!$A$2:$A$1199,MATCH(328,Engine!$C$2:$C$1199,0)))</f>
        <v/>
      </c>
      <c r="B341" s="6" t="str">
        <f>IF(ISNA(MATCH(328,Engine!$C$2:$C$1199,0)),"",INDEX('Compliance Database'!$B$2:$B$1199,MATCH(328,Engine!$C$2:$C$1199,0)))</f>
        <v/>
      </c>
      <c r="C341" s="6" t="str">
        <f>IF(ISNA(MATCH(328,Engine!$C$2:$C$1199,0)),"",INDEX('Compliance Database'!$C$2:$C$1199,MATCH(328,Engine!$C$2:$C$1199,0)))</f>
        <v/>
      </c>
      <c r="D341" s="7" t="str">
        <f>IF(ISNA(MATCH(328,Engine!$C$2:$C$1199,0)),"",INDEX('Compliance Database'!$D$2:$D$1199,MATCH(328,Engine!$C$2:$C$1199,0)))</f>
        <v/>
      </c>
      <c r="E341" s="6" t="str">
        <f>IF(ISNA(MATCH(328,Engine!$C$2:$C$1199,0)),"",INDEX('Compliance Database'!$E$2:$E$1199,MATCH(328,Engine!$C$2:$C$1199,0)))</f>
        <v/>
      </c>
      <c r="F341" s="6" t="str">
        <f>IF(ISNA(MATCH(328,Engine!$C$2:$C$1199,0)),"",INDEX('Compliance Database'!$F$2:$F$1199,MATCH(328,Engine!$C$2:$C$1199,0)))</f>
        <v/>
      </c>
      <c r="G341" s="6" t="str">
        <f>IF(ISNA(MATCH(328,Engine!$C$2:$C$1199,0)),"",INDEX('Compliance Database'!$G$2:$G$1199,MATCH(328,Engine!$C$2:$C$1199,0)))</f>
        <v/>
      </c>
      <c r="H341" s="7" t="str">
        <f>IF(ISNA(MATCH(328,Engine!$C$2:$C$1199,0)),"",INDEX('Compliance Database'!$H$2:$H$1199,MATCH(328,Engine!$C$2:$C$1199,0)))</f>
        <v/>
      </c>
      <c r="I341" s="7" t="str">
        <f>IF(ISNA(MATCH(328,Engine!$C$2:$C$1199,0)),"",INDEX('Compliance Database'!$I$2:$I$1199,MATCH(328,Engine!$C$2:$C$1199,0)))</f>
        <v/>
      </c>
      <c r="J341" s="6" t="str">
        <f>IF(ISNA(MATCH(328,Engine!$C$2:$C$1199,0)),"",INDEX('Compliance Database'!$J$2:$J$1199,MATCH(328,Engine!$C$2:$C$1199,0)))</f>
        <v/>
      </c>
      <c r="K341" s="7" t="str">
        <f>IF(ISNA(MATCH(328,Engine!$C$2:$C$1199,0)),"",INDEX('Compliance Database'!$K$2:$K$1199,MATCH(328,Engine!$C$2:$C$1199,0)))</f>
        <v/>
      </c>
      <c r="L341" s="7" t="str">
        <f>IF(ISNA(MATCH(328,Engine!$C$2:$C$1199,0)),"",INDEX('Compliance Database'!$L$2:$L$1199,MATCH(328,Engine!$C$2:$C$1199,0)))</f>
        <v/>
      </c>
      <c r="M341" s="7" t="str">
        <f>IF(ISNA(MATCH(328,Engine!$C$2:$C$1199,0)),"",INDEX('Compliance Database'!$M$2:$M$1199,MATCH(328,Engine!$C$2:$C$1199,0)))</f>
        <v/>
      </c>
      <c r="N341" s="7" t="str">
        <f>IF(ISNA(MATCH(328,Engine!$C$2:$C$1199,0)),"",INDEX('Compliance Database'!$N$2:$N$1199,MATCH(328,Engine!$C$2:$C$1199,0)))</f>
        <v/>
      </c>
      <c r="O341" s="7" t="str">
        <f>IF(ISNA(MATCH(328,Engine!$C$2:$C$1199,0)),"",INDEX('Compliance Database'!$O$2:$O$1199,MATCH(328,Engine!$C$2:$C$1199,0)))</f>
        <v/>
      </c>
      <c r="P341" s="6" t="str">
        <f>IF(ISNA(MATCH(328,Engine!$C$2:$C$1199,0)),"",HYPERLINK("#Acts!A"&amp;INDEX('Compliance Database'!$P$2:$P$1199,MATCH(328,Engine!$C$2:$C$1199,0)),"Go to Act"))</f>
        <v/>
      </c>
    </row>
    <row r="342" spans="1:16" ht="172.95" customHeight="1" x14ac:dyDescent="0.3">
      <c r="A342" s="6" t="str">
        <f>IF(ISNA(MATCH(329,Engine!$C$2:$C$1199,0)),"",INDEX('Compliance Database'!$A$2:$A$1199,MATCH(329,Engine!$C$2:$C$1199,0)))</f>
        <v/>
      </c>
      <c r="B342" s="6" t="str">
        <f>IF(ISNA(MATCH(329,Engine!$C$2:$C$1199,0)),"",INDEX('Compliance Database'!$B$2:$B$1199,MATCH(329,Engine!$C$2:$C$1199,0)))</f>
        <v/>
      </c>
      <c r="C342" s="6" t="str">
        <f>IF(ISNA(MATCH(329,Engine!$C$2:$C$1199,0)),"",INDEX('Compliance Database'!$C$2:$C$1199,MATCH(329,Engine!$C$2:$C$1199,0)))</f>
        <v/>
      </c>
      <c r="D342" s="7" t="str">
        <f>IF(ISNA(MATCH(329,Engine!$C$2:$C$1199,0)),"",INDEX('Compliance Database'!$D$2:$D$1199,MATCH(329,Engine!$C$2:$C$1199,0)))</f>
        <v/>
      </c>
      <c r="E342" s="6" t="str">
        <f>IF(ISNA(MATCH(329,Engine!$C$2:$C$1199,0)),"",INDEX('Compliance Database'!$E$2:$E$1199,MATCH(329,Engine!$C$2:$C$1199,0)))</f>
        <v/>
      </c>
      <c r="F342" s="6" t="str">
        <f>IF(ISNA(MATCH(329,Engine!$C$2:$C$1199,0)),"",INDEX('Compliance Database'!$F$2:$F$1199,MATCH(329,Engine!$C$2:$C$1199,0)))</f>
        <v/>
      </c>
      <c r="G342" s="6" t="str">
        <f>IF(ISNA(MATCH(329,Engine!$C$2:$C$1199,0)),"",INDEX('Compliance Database'!$G$2:$G$1199,MATCH(329,Engine!$C$2:$C$1199,0)))</f>
        <v/>
      </c>
      <c r="H342" s="7" t="str">
        <f>IF(ISNA(MATCH(329,Engine!$C$2:$C$1199,0)),"",INDEX('Compliance Database'!$H$2:$H$1199,MATCH(329,Engine!$C$2:$C$1199,0)))</f>
        <v/>
      </c>
      <c r="I342" s="7" t="str">
        <f>IF(ISNA(MATCH(329,Engine!$C$2:$C$1199,0)),"",INDEX('Compliance Database'!$I$2:$I$1199,MATCH(329,Engine!$C$2:$C$1199,0)))</f>
        <v/>
      </c>
      <c r="J342" s="6" t="str">
        <f>IF(ISNA(MATCH(329,Engine!$C$2:$C$1199,0)),"",INDEX('Compliance Database'!$J$2:$J$1199,MATCH(329,Engine!$C$2:$C$1199,0)))</f>
        <v/>
      </c>
      <c r="K342" s="7" t="str">
        <f>IF(ISNA(MATCH(329,Engine!$C$2:$C$1199,0)),"",INDEX('Compliance Database'!$K$2:$K$1199,MATCH(329,Engine!$C$2:$C$1199,0)))</f>
        <v/>
      </c>
      <c r="L342" s="7" t="str">
        <f>IF(ISNA(MATCH(329,Engine!$C$2:$C$1199,0)),"",INDEX('Compliance Database'!$L$2:$L$1199,MATCH(329,Engine!$C$2:$C$1199,0)))</f>
        <v/>
      </c>
      <c r="M342" s="7" t="str">
        <f>IF(ISNA(MATCH(329,Engine!$C$2:$C$1199,0)),"",INDEX('Compliance Database'!$M$2:$M$1199,MATCH(329,Engine!$C$2:$C$1199,0)))</f>
        <v/>
      </c>
      <c r="N342" s="7" t="str">
        <f>IF(ISNA(MATCH(329,Engine!$C$2:$C$1199,0)),"",INDEX('Compliance Database'!$N$2:$N$1199,MATCH(329,Engine!$C$2:$C$1199,0)))</f>
        <v/>
      </c>
      <c r="O342" s="7" t="str">
        <f>IF(ISNA(MATCH(329,Engine!$C$2:$C$1199,0)),"",INDEX('Compliance Database'!$O$2:$O$1199,MATCH(329,Engine!$C$2:$C$1199,0)))</f>
        <v/>
      </c>
      <c r="P342" s="6" t="str">
        <f>IF(ISNA(MATCH(329,Engine!$C$2:$C$1199,0)),"",HYPERLINK("#Acts!A"&amp;INDEX('Compliance Database'!$P$2:$P$1199,MATCH(329,Engine!$C$2:$C$1199,0)),"Go to Act"))</f>
        <v/>
      </c>
    </row>
    <row r="343" spans="1:16" ht="172.95" customHeight="1" x14ac:dyDescent="0.3">
      <c r="A343" s="6" t="str">
        <f>IF(ISNA(MATCH(330,Engine!$C$2:$C$1199,0)),"",INDEX('Compliance Database'!$A$2:$A$1199,MATCH(330,Engine!$C$2:$C$1199,0)))</f>
        <v/>
      </c>
      <c r="B343" s="6" t="str">
        <f>IF(ISNA(MATCH(330,Engine!$C$2:$C$1199,0)),"",INDEX('Compliance Database'!$B$2:$B$1199,MATCH(330,Engine!$C$2:$C$1199,0)))</f>
        <v/>
      </c>
      <c r="C343" s="6" t="str">
        <f>IF(ISNA(MATCH(330,Engine!$C$2:$C$1199,0)),"",INDEX('Compliance Database'!$C$2:$C$1199,MATCH(330,Engine!$C$2:$C$1199,0)))</f>
        <v/>
      </c>
      <c r="D343" s="7" t="str">
        <f>IF(ISNA(MATCH(330,Engine!$C$2:$C$1199,0)),"",INDEX('Compliance Database'!$D$2:$D$1199,MATCH(330,Engine!$C$2:$C$1199,0)))</f>
        <v/>
      </c>
      <c r="E343" s="6" t="str">
        <f>IF(ISNA(MATCH(330,Engine!$C$2:$C$1199,0)),"",INDEX('Compliance Database'!$E$2:$E$1199,MATCH(330,Engine!$C$2:$C$1199,0)))</f>
        <v/>
      </c>
      <c r="F343" s="6" t="str">
        <f>IF(ISNA(MATCH(330,Engine!$C$2:$C$1199,0)),"",INDEX('Compliance Database'!$F$2:$F$1199,MATCH(330,Engine!$C$2:$C$1199,0)))</f>
        <v/>
      </c>
      <c r="G343" s="6" t="str">
        <f>IF(ISNA(MATCH(330,Engine!$C$2:$C$1199,0)),"",INDEX('Compliance Database'!$G$2:$G$1199,MATCH(330,Engine!$C$2:$C$1199,0)))</f>
        <v/>
      </c>
      <c r="H343" s="7" t="str">
        <f>IF(ISNA(MATCH(330,Engine!$C$2:$C$1199,0)),"",INDEX('Compliance Database'!$H$2:$H$1199,MATCH(330,Engine!$C$2:$C$1199,0)))</f>
        <v/>
      </c>
      <c r="I343" s="7" t="str">
        <f>IF(ISNA(MATCH(330,Engine!$C$2:$C$1199,0)),"",INDEX('Compliance Database'!$I$2:$I$1199,MATCH(330,Engine!$C$2:$C$1199,0)))</f>
        <v/>
      </c>
      <c r="J343" s="6" t="str">
        <f>IF(ISNA(MATCH(330,Engine!$C$2:$C$1199,0)),"",INDEX('Compliance Database'!$J$2:$J$1199,MATCH(330,Engine!$C$2:$C$1199,0)))</f>
        <v/>
      </c>
      <c r="K343" s="7" t="str">
        <f>IF(ISNA(MATCH(330,Engine!$C$2:$C$1199,0)),"",INDEX('Compliance Database'!$K$2:$K$1199,MATCH(330,Engine!$C$2:$C$1199,0)))</f>
        <v/>
      </c>
      <c r="L343" s="7" t="str">
        <f>IF(ISNA(MATCH(330,Engine!$C$2:$C$1199,0)),"",INDEX('Compliance Database'!$L$2:$L$1199,MATCH(330,Engine!$C$2:$C$1199,0)))</f>
        <v/>
      </c>
      <c r="M343" s="7" t="str">
        <f>IF(ISNA(MATCH(330,Engine!$C$2:$C$1199,0)),"",INDEX('Compliance Database'!$M$2:$M$1199,MATCH(330,Engine!$C$2:$C$1199,0)))</f>
        <v/>
      </c>
      <c r="N343" s="7" t="str">
        <f>IF(ISNA(MATCH(330,Engine!$C$2:$C$1199,0)),"",INDEX('Compliance Database'!$N$2:$N$1199,MATCH(330,Engine!$C$2:$C$1199,0)))</f>
        <v/>
      </c>
      <c r="O343" s="7" t="str">
        <f>IF(ISNA(MATCH(330,Engine!$C$2:$C$1199,0)),"",INDEX('Compliance Database'!$O$2:$O$1199,MATCH(330,Engine!$C$2:$C$1199,0)))</f>
        <v/>
      </c>
      <c r="P343" s="6" t="str">
        <f>IF(ISNA(MATCH(330,Engine!$C$2:$C$1199,0)),"",HYPERLINK("#Acts!A"&amp;INDEX('Compliance Database'!$P$2:$P$1199,MATCH(330,Engine!$C$2:$C$1199,0)),"Go to Act"))</f>
        <v/>
      </c>
    </row>
    <row r="344" spans="1:16" ht="172.95" customHeight="1" x14ac:dyDescent="0.3">
      <c r="A344" s="6" t="str">
        <f>IF(ISNA(MATCH(331,Engine!$C$2:$C$1199,0)),"",INDEX('Compliance Database'!$A$2:$A$1199,MATCH(331,Engine!$C$2:$C$1199,0)))</f>
        <v/>
      </c>
      <c r="B344" s="6" t="str">
        <f>IF(ISNA(MATCH(331,Engine!$C$2:$C$1199,0)),"",INDEX('Compliance Database'!$B$2:$B$1199,MATCH(331,Engine!$C$2:$C$1199,0)))</f>
        <v/>
      </c>
      <c r="C344" s="6" t="str">
        <f>IF(ISNA(MATCH(331,Engine!$C$2:$C$1199,0)),"",INDEX('Compliance Database'!$C$2:$C$1199,MATCH(331,Engine!$C$2:$C$1199,0)))</f>
        <v/>
      </c>
      <c r="D344" s="7" t="str">
        <f>IF(ISNA(MATCH(331,Engine!$C$2:$C$1199,0)),"",INDEX('Compliance Database'!$D$2:$D$1199,MATCH(331,Engine!$C$2:$C$1199,0)))</f>
        <v/>
      </c>
      <c r="E344" s="6" t="str">
        <f>IF(ISNA(MATCH(331,Engine!$C$2:$C$1199,0)),"",INDEX('Compliance Database'!$E$2:$E$1199,MATCH(331,Engine!$C$2:$C$1199,0)))</f>
        <v/>
      </c>
      <c r="F344" s="6" t="str">
        <f>IF(ISNA(MATCH(331,Engine!$C$2:$C$1199,0)),"",INDEX('Compliance Database'!$F$2:$F$1199,MATCH(331,Engine!$C$2:$C$1199,0)))</f>
        <v/>
      </c>
      <c r="G344" s="6" t="str">
        <f>IF(ISNA(MATCH(331,Engine!$C$2:$C$1199,0)),"",INDEX('Compliance Database'!$G$2:$G$1199,MATCH(331,Engine!$C$2:$C$1199,0)))</f>
        <v/>
      </c>
      <c r="H344" s="7" t="str">
        <f>IF(ISNA(MATCH(331,Engine!$C$2:$C$1199,0)),"",INDEX('Compliance Database'!$H$2:$H$1199,MATCH(331,Engine!$C$2:$C$1199,0)))</f>
        <v/>
      </c>
      <c r="I344" s="7" t="str">
        <f>IF(ISNA(MATCH(331,Engine!$C$2:$C$1199,0)),"",INDEX('Compliance Database'!$I$2:$I$1199,MATCH(331,Engine!$C$2:$C$1199,0)))</f>
        <v/>
      </c>
      <c r="J344" s="6" t="str">
        <f>IF(ISNA(MATCH(331,Engine!$C$2:$C$1199,0)),"",INDEX('Compliance Database'!$J$2:$J$1199,MATCH(331,Engine!$C$2:$C$1199,0)))</f>
        <v/>
      </c>
      <c r="K344" s="7" t="str">
        <f>IF(ISNA(MATCH(331,Engine!$C$2:$C$1199,0)),"",INDEX('Compliance Database'!$K$2:$K$1199,MATCH(331,Engine!$C$2:$C$1199,0)))</f>
        <v/>
      </c>
      <c r="L344" s="7" t="str">
        <f>IF(ISNA(MATCH(331,Engine!$C$2:$C$1199,0)),"",INDEX('Compliance Database'!$L$2:$L$1199,MATCH(331,Engine!$C$2:$C$1199,0)))</f>
        <v/>
      </c>
      <c r="M344" s="7" t="str">
        <f>IF(ISNA(MATCH(331,Engine!$C$2:$C$1199,0)),"",INDEX('Compliance Database'!$M$2:$M$1199,MATCH(331,Engine!$C$2:$C$1199,0)))</f>
        <v/>
      </c>
      <c r="N344" s="7" t="str">
        <f>IF(ISNA(MATCH(331,Engine!$C$2:$C$1199,0)),"",INDEX('Compliance Database'!$N$2:$N$1199,MATCH(331,Engine!$C$2:$C$1199,0)))</f>
        <v/>
      </c>
      <c r="O344" s="7" t="str">
        <f>IF(ISNA(MATCH(331,Engine!$C$2:$C$1199,0)),"",INDEX('Compliance Database'!$O$2:$O$1199,MATCH(331,Engine!$C$2:$C$1199,0)))</f>
        <v/>
      </c>
      <c r="P344" s="6" t="str">
        <f>IF(ISNA(MATCH(331,Engine!$C$2:$C$1199,0)),"",HYPERLINK("#Acts!A"&amp;INDEX('Compliance Database'!$P$2:$P$1199,MATCH(331,Engine!$C$2:$C$1199,0)),"Go to Act"))</f>
        <v/>
      </c>
    </row>
    <row r="345" spans="1:16" ht="172.95" customHeight="1" x14ac:dyDescent="0.3">
      <c r="A345" s="6" t="str">
        <f>IF(ISNA(MATCH(332,Engine!$C$2:$C$1199,0)),"",INDEX('Compliance Database'!$A$2:$A$1199,MATCH(332,Engine!$C$2:$C$1199,0)))</f>
        <v/>
      </c>
      <c r="B345" s="6" t="str">
        <f>IF(ISNA(MATCH(332,Engine!$C$2:$C$1199,0)),"",INDEX('Compliance Database'!$B$2:$B$1199,MATCH(332,Engine!$C$2:$C$1199,0)))</f>
        <v/>
      </c>
      <c r="C345" s="6" t="str">
        <f>IF(ISNA(MATCH(332,Engine!$C$2:$C$1199,0)),"",INDEX('Compliance Database'!$C$2:$C$1199,MATCH(332,Engine!$C$2:$C$1199,0)))</f>
        <v/>
      </c>
      <c r="D345" s="7" t="str">
        <f>IF(ISNA(MATCH(332,Engine!$C$2:$C$1199,0)),"",INDEX('Compliance Database'!$D$2:$D$1199,MATCH(332,Engine!$C$2:$C$1199,0)))</f>
        <v/>
      </c>
      <c r="E345" s="6" t="str">
        <f>IF(ISNA(MATCH(332,Engine!$C$2:$C$1199,0)),"",INDEX('Compliance Database'!$E$2:$E$1199,MATCH(332,Engine!$C$2:$C$1199,0)))</f>
        <v/>
      </c>
      <c r="F345" s="6" t="str">
        <f>IF(ISNA(MATCH(332,Engine!$C$2:$C$1199,0)),"",INDEX('Compliance Database'!$F$2:$F$1199,MATCH(332,Engine!$C$2:$C$1199,0)))</f>
        <v/>
      </c>
      <c r="G345" s="6" t="str">
        <f>IF(ISNA(MATCH(332,Engine!$C$2:$C$1199,0)),"",INDEX('Compliance Database'!$G$2:$G$1199,MATCH(332,Engine!$C$2:$C$1199,0)))</f>
        <v/>
      </c>
      <c r="H345" s="7" t="str">
        <f>IF(ISNA(MATCH(332,Engine!$C$2:$C$1199,0)),"",INDEX('Compliance Database'!$H$2:$H$1199,MATCH(332,Engine!$C$2:$C$1199,0)))</f>
        <v/>
      </c>
      <c r="I345" s="7" t="str">
        <f>IF(ISNA(MATCH(332,Engine!$C$2:$C$1199,0)),"",INDEX('Compliance Database'!$I$2:$I$1199,MATCH(332,Engine!$C$2:$C$1199,0)))</f>
        <v/>
      </c>
      <c r="J345" s="6" t="str">
        <f>IF(ISNA(MATCH(332,Engine!$C$2:$C$1199,0)),"",INDEX('Compliance Database'!$J$2:$J$1199,MATCH(332,Engine!$C$2:$C$1199,0)))</f>
        <v/>
      </c>
      <c r="K345" s="7" t="str">
        <f>IF(ISNA(MATCH(332,Engine!$C$2:$C$1199,0)),"",INDEX('Compliance Database'!$K$2:$K$1199,MATCH(332,Engine!$C$2:$C$1199,0)))</f>
        <v/>
      </c>
      <c r="L345" s="7" t="str">
        <f>IF(ISNA(MATCH(332,Engine!$C$2:$C$1199,0)),"",INDEX('Compliance Database'!$L$2:$L$1199,MATCH(332,Engine!$C$2:$C$1199,0)))</f>
        <v/>
      </c>
      <c r="M345" s="7" t="str">
        <f>IF(ISNA(MATCH(332,Engine!$C$2:$C$1199,0)),"",INDEX('Compliance Database'!$M$2:$M$1199,MATCH(332,Engine!$C$2:$C$1199,0)))</f>
        <v/>
      </c>
      <c r="N345" s="7" t="str">
        <f>IF(ISNA(MATCH(332,Engine!$C$2:$C$1199,0)),"",INDEX('Compliance Database'!$N$2:$N$1199,MATCH(332,Engine!$C$2:$C$1199,0)))</f>
        <v/>
      </c>
      <c r="O345" s="7" t="str">
        <f>IF(ISNA(MATCH(332,Engine!$C$2:$C$1199,0)),"",INDEX('Compliance Database'!$O$2:$O$1199,MATCH(332,Engine!$C$2:$C$1199,0)))</f>
        <v/>
      </c>
      <c r="P345" s="6" t="str">
        <f>IF(ISNA(MATCH(332,Engine!$C$2:$C$1199,0)),"",HYPERLINK("#Acts!A"&amp;INDEX('Compliance Database'!$P$2:$P$1199,MATCH(332,Engine!$C$2:$C$1199,0)),"Go to Act"))</f>
        <v/>
      </c>
    </row>
    <row r="346" spans="1:16" ht="172.95" customHeight="1" x14ac:dyDescent="0.3">
      <c r="A346" s="6" t="str">
        <f>IF(ISNA(MATCH(333,Engine!$C$2:$C$1199,0)),"",INDEX('Compliance Database'!$A$2:$A$1199,MATCH(333,Engine!$C$2:$C$1199,0)))</f>
        <v/>
      </c>
      <c r="B346" s="6" t="str">
        <f>IF(ISNA(MATCH(333,Engine!$C$2:$C$1199,0)),"",INDEX('Compliance Database'!$B$2:$B$1199,MATCH(333,Engine!$C$2:$C$1199,0)))</f>
        <v/>
      </c>
      <c r="C346" s="6" t="str">
        <f>IF(ISNA(MATCH(333,Engine!$C$2:$C$1199,0)),"",INDEX('Compliance Database'!$C$2:$C$1199,MATCH(333,Engine!$C$2:$C$1199,0)))</f>
        <v/>
      </c>
      <c r="D346" s="7" t="str">
        <f>IF(ISNA(MATCH(333,Engine!$C$2:$C$1199,0)),"",INDEX('Compliance Database'!$D$2:$D$1199,MATCH(333,Engine!$C$2:$C$1199,0)))</f>
        <v/>
      </c>
      <c r="E346" s="6" t="str">
        <f>IF(ISNA(MATCH(333,Engine!$C$2:$C$1199,0)),"",INDEX('Compliance Database'!$E$2:$E$1199,MATCH(333,Engine!$C$2:$C$1199,0)))</f>
        <v/>
      </c>
      <c r="F346" s="6" t="str">
        <f>IF(ISNA(MATCH(333,Engine!$C$2:$C$1199,0)),"",INDEX('Compliance Database'!$F$2:$F$1199,MATCH(333,Engine!$C$2:$C$1199,0)))</f>
        <v/>
      </c>
      <c r="G346" s="6" t="str">
        <f>IF(ISNA(MATCH(333,Engine!$C$2:$C$1199,0)),"",INDEX('Compliance Database'!$G$2:$G$1199,MATCH(333,Engine!$C$2:$C$1199,0)))</f>
        <v/>
      </c>
      <c r="H346" s="7" t="str">
        <f>IF(ISNA(MATCH(333,Engine!$C$2:$C$1199,0)),"",INDEX('Compliance Database'!$H$2:$H$1199,MATCH(333,Engine!$C$2:$C$1199,0)))</f>
        <v/>
      </c>
      <c r="I346" s="7" t="str">
        <f>IF(ISNA(MATCH(333,Engine!$C$2:$C$1199,0)),"",INDEX('Compliance Database'!$I$2:$I$1199,MATCH(333,Engine!$C$2:$C$1199,0)))</f>
        <v/>
      </c>
      <c r="J346" s="6" t="str">
        <f>IF(ISNA(MATCH(333,Engine!$C$2:$C$1199,0)),"",INDEX('Compliance Database'!$J$2:$J$1199,MATCH(333,Engine!$C$2:$C$1199,0)))</f>
        <v/>
      </c>
      <c r="K346" s="7" t="str">
        <f>IF(ISNA(MATCH(333,Engine!$C$2:$C$1199,0)),"",INDEX('Compliance Database'!$K$2:$K$1199,MATCH(333,Engine!$C$2:$C$1199,0)))</f>
        <v/>
      </c>
      <c r="L346" s="7" t="str">
        <f>IF(ISNA(MATCH(333,Engine!$C$2:$C$1199,0)),"",INDEX('Compliance Database'!$L$2:$L$1199,MATCH(333,Engine!$C$2:$C$1199,0)))</f>
        <v/>
      </c>
      <c r="M346" s="7" t="str">
        <f>IF(ISNA(MATCH(333,Engine!$C$2:$C$1199,0)),"",INDEX('Compliance Database'!$M$2:$M$1199,MATCH(333,Engine!$C$2:$C$1199,0)))</f>
        <v/>
      </c>
      <c r="N346" s="7" t="str">
        <f>IF(ISNA(MATCH(333,Engine!$C$2:$C$1199,0)),"",INDEX('Compliance Database'!$N$2:$N$1199,MATCH(333,Engine!$C$2:$C$1199,0)))</f>
        <v/>
      </c>
      <c r="O346" s="7" t="str">
        <f>IF(ISNA(MATCH(333,Engine!$C$2:$C$1199,0)),"",INDEX('Compliance Database'!$O$2:$O$1199,MATCH(333,Engine!$C$2:$C$1199,0)))</f>
        <v/>
      </c>
      <c r="P346" s="6" t="str">
        <f>IF(ISNA(MATCH(333,Engine!$C$2:$C$1199,0)),"",HYPERLINK("#Acts!A"&amp;INDEX('Compliance Database'!$P$2:$P$1199,MATCH(333,Engine!$C$2:$C$1199,0)),"Go to Act"))</f>
        <v/>
      </c>
    </row>
    <row r="347" spans="1:16" ht="172.95" customHeight="1" x14ac:dyDescent="0.3">
      <c r="A347" s="6" t="str">
        <f>IF(ISNA(MATCH(334,Engine!$C$2:$C$1199,0)),"",INDEX('Compliance Database'!$A$2:$A$1199,MATCH(334,Engine!$C$2:$C$1199,0)))</f>
        <v/>
      </c>
      <c r="B347" s="6" t="str">
        <f>IF(ISNA(MATCH(334,Engine!$C$2:$C$1199,0)),"",INDEX('Compliance Database'!$B$2:$B$1199,MATCH(334,Engine!$C$2:$C$1199,0)))</f>
        <v/>
      </c>
      <c r="C347" s="6" t="str">
        <f>IF(ISNA(MATCH(334,Engine!$C$2:$C$1199,0)),"",INDEX('Compliance Database'!$C$2:$C$1199,MATCH(334,Engine!$C$2:$C$1199,0)))</f>
        <v/>
      </c>
      <c r="D347" s="7" t="str">
        <f>IF(ISNA(MATCH(334,Engine!$C$2:$C$1199,0)),"",INDEX('Compliance Database'!$D$2:$D$1199,MATCH(334,Engine!$C$2:$C$1199,0)))</f>
        <v/>
      </c>
      <c r="E347" s="6" t="str">
        <f>IF(ISNA(MATCH(334,Engine!$C$2:$C$1199,0)),"",INDEX('Compliance Database'!$E$2:$E$1199,MATCH(334,Engine!$C$2:$C$1199,0)))</f>
        <v/>
      </c>
      <c r="F347" s="6" t="str">
        <f>IF(ISNA(MATCH(334,Engine!$C$2:$C$1199,0)),"",INDEX('Compliance Database'!$F$2:$F$1199,MATCH(334,Engine!$C$2:$C$1199,0)))</f>
        <v/>
      </c>
      <c r="G347" s="6" t="str">
        <f>IF(ISNA(MATCH(334,Engine!$C$2:$C$1199,0)),"",INDEX('Compliance Database'!$G$2:$G$1199,MATCH(334,Engine!$C$2:$C$1199,0)))</f>
        <v/>
      </c>
      <c r="H347" s="7" t="str">
        <f>IF(ISNA(MATCH(334,Engine!$C$2:$C$1199,0)),"",INDEX('Compliance Database'!$H$2:$H$1199,MATCH(334,Engine!$C$2:$C$1199,0)))</f>
        <v/>
      </c>
      <c r="I347" s="7" t="str">
        <f>IF(ISNA(MATCH(334,Engine!$C$2:$C$1199,0)),"",INDEX('Compliance Database'!$I$2:$I$1199,MATCH(334,Engine!$C$2:$C$1199,0)))</f>
        <v/>
      </c>
      <c r="J347" s="6" t="str">
        <f>IF(ISNA(MATCH(334,Engine!$C$2:$C$1199,0)),"",INDEX('Compliance Database'!$J$2:$J$1199,MATCH(334,Engine!$C$2:$C$1199,0)))</f>
        <v/>
      </c>
      <c r="K347" s="7" t="str">
        <f>IF(ISNA(MATCH(334,Engine!$C$2:$C$1199,0)),"",INDEX('Compliance Database'!$K$2:$K$1199,MATCH(334,Engine!$C$2:$C$1199,0)))</f>
        <v/>
      </c>
      <c r="L347" s="7" t="str">
        <f>IF(ISNA(MATCH(334,Engine!$C$2:$C$1199,0)),"",INDEX('Compliance Database'!$L$2:$L$1199,MATCH(334,Engine!$C$2:$C$1199,0)))</f>
        <v/>
      </c>
      <c r="M347" s="7" t="str">
        <f>IF(ISNA(MATCH(334,Engine!$C$2:$C$1199,0)),"",INDEX('Compliance Database'!$M$2:$M$1199,MATCH(334,Engine!$C$2:$C$1199,0)))</f>
        <v/>
      </c>
      <c r="N347" s="7" t="str">
        <f>IF(ISNA(MATCH(334,Engine!$C$2:$C$1199,0)),"",INDEX('Compliance Database'!$N$2:$N$1199,MATCH(334,Engine!$C$2:$C$1199,0)))</f>
        <v/>
      </c>
      <c r="O347" s="7" t="str">
        <f>IF(ISNA(MATCH(334,Engine!$C$2:$C$1199,0)),"",INDEX('Compliance Database'!$O$2:$O$1199,MATCH(334,Engine!$C$2:$C$1199,0)))</f>
        <v/>
      </c>
      <c r="P347" s="6" t="str">
        <f>IF(ISNA(MATCH(334,Engine!$C$2:$C$1199,0)),"",HYPERLINK("#Acts!A"&amp;INDEX('Compliance Database'!$P$2:$P$1199,MATCH(334,Engine!$C$2:$C$1199,0)),"Go to Act"))</f>
        <v/>
      </c>
    </row>
    <row r="348" spans="1:16" ht="172.95" customHeight="1" x14ac:dyDescent="0.3">
      <c r="A348" s="6" t="str">
        <f>IF(ISNA(MATCH(335,Engine!$C$2:$C$1199,0)),"",INDEX('Compliance Database'!$A$2:$A$1199,MATCH(335,Engine!$C$2:$C$1199,0)))</f>
        <v/>
      </c>
      <c r="B348" s="6" t="str">
        <f>IF(ISNA(MATCH(335,Engine!$C$2:$C$1199,0)),"",INDEX('Compliance Database'!$B$2:$B$1199,MATCH(335,Engine!$C$2:$C$1199,0)))</f>
        <v/>
      </c>
      <c r="C348" s="6" t="str">
        <f>IF(ISNA(MATCH(335,Engine!$C$2:$C$1199,0)),"",INDEX('Compliance Database'!$C$2:$C$1199,MATCH(335,Engine!$C$2:$C$1199,0)))</f>
        <v/>
      </c>
      <c r="D348" s="7" t="str">
        <f>IF(ISNA(MATCH(335,Engine!$C$2:$C$1199,0)),"",INDEX('Compliance Database'!$D$2:$D$1199,MATCH(335,Engine!$C$2:$C$1199,0)))</f>
        <v/>
      </c>
      <c r="E348" s="6" t="str">
        <f>IF(ISNA(MATCH(335,Engine!$C$2:$C$1199,0)),"",INDEX('Compliance Database'!$E$2:$E$1199,MATCH(335,Engine!$C$2:$C$1199,0)))</f>
        <v/>
      </c>
      <c r="F348" s="6" t="str">
        <f>IF(ISNA(MATCH(335,Engine!$C$2:$C$1199,0)),"",INDEX('Compliance Database'!$F$2:$F$1199,MATCH(335,Engine!$C$2:$C$1199,0)))</f>
        <v/>
      </c>
      <c r="G348" s="6" t="str">
        <f>IF(ISNA(MATCH(335,Engine!$C$2:$C$1199,0)),"",INDEX('Compliance Database'!$G$2:$G$1199,MATCH(335,Engine!$C$2:$C$1199,0)))</f>
        <v/>
      </c>
      <c r="H348" s="7" t="str">
        <f>IF(ISNA(MATCH(335,Engine!$C$2:$C$1199,0)),"",INDEX('Compliance Database'!$H$2:$H$1199,MATCH(335,Engine!$C$2:$C$1199,0)))</f>
        <v/>
      </c>
      <c r="I348" s="7" t="str">
        <f>IF(ISNA(MATCH(335,Engine!$C$2:$C$1199,0)),"",INDEX('Compliance Database'!$I$2:$I$1199,MATCH(335,Engine!$C$2:$C$1199,0)))</f>
        <v/>
      </c>
      <c r="J348" s="6" t="str">
        <f>IF(ISNA(MATCH(335,Engine!$C$2:$C$1199,0)),"",INDEX('Compliance Database'!$J$2:$J$1199,MATCH(335,Engine!$C$2:$C$1199,0)))</f>
        <v/>
      </c>
      <c r="K348" s="7" t="str">
        <f>IF(ISNA(MATCH(335,Engine!$C$2:$C$1199,0)),"",INDEX('Compliance Database'!$K$2:$K$1199,MATCH(335,Engine!$C$2:$C$1199,0)))</f>
        <v/>
      </c>
      <c r="L348" s="7" t="str">
        <f>IF(ISNA(MATCH(335,Engine!$C$2:$C$1199,0)),"",INDEX('Compliance Database'!$L$2:$L$1199,MATCH(335,Engine!$C$2:$C$1199,0)))</f>
        <v/>
      </c>
      <c r="M348" s="7" t="str">
        <f>IF(ISNA(MATCH(335,Engine!$C$2:$C$1199,0)),"",INDEX('Compliance Database'!$M$2:$M$1199,MATCH(335,Engine!$C$2:$C$1199,0)))</f>
        <v/>
      </c>
      <c r="N348" s="7" t="str">
        <f>IF(ISNA(MATCH(335,Engine!$C$2:$C$1199,0)),"",INDEX('Compliance Database'!$N$2:$N$1199,MATCH(335,Engine!$C$2:$C$1199,0)))</f>
        <v/>
      </c>
      <c r="O348" s="7" t="str">
        <f>IF(ISNA(MATCH(335,Engine!$C$2:$C$1199,0)),"",INDEX('Compliance Database'!$O$2:$O$1199,MATCH(335,Engine!$C$2:$C$1199,0)))</f>
        <v/>
      </c>
      <c r="P348" s="6" t="str">
        <f>IF(ISNA(MATCH(335,Engine!$C$2:$C$1199,0)),"",HYPERLINK("#Acts!A"&amp;INDEX('Compliance Database'!$P$2:$P$1199,MATCH(335,Engine!$C$2:$C$1199,0)),"Go to Act"))</f>
        <v/>
      </c>
    </row>
    <row r="349" spans="1:16" ht="172.95" customHeight="1" x14ac:dyDescent="0.3">
      <c r="A349" s="6" t="str">
        <f>IF(ISNA(MATCH(336,Engine!$C$2:$C$1199,0)),"",INDEX('Compliance Database'!$A$2:$A$1199,MATCH(336,Engine!$C$2:$C$1199,0)))</f>
        <v/>
      </c>
      <c r="B349" s="6" t="str">
        <f>IF(ISNA(MATCH(336,Engine!$C$2:$C$1199,0)),"",INDEX('Compliance Database'!$B$2:$B$1199,MATCH(336,Engine!$C$2:$C$1199,0)))</f>
        <v/>
      </c>
      <c r="C349" s="6" t="str">
        <f>IF(ISNA(MATCH(336,Engine!$C$2:$C$1199,0)),"",INDEX('Compliance Database'!$C$2:$C$1199,MATCH(336,Engine!$C$2:$C$1199,0)))</f>
        <v/>
      </c>
      <c r="D349" s="7" t="str">
        <f>IF(ISNA(MATCH(336,Engine!$C$2:$C$1199,0)),"",INDEX('Compliance Database'!$D$2:$D$1199,MATCH(336,Engine!$C$2:$C$1199,0)))</f>
        <v/>
      </c>
      <c r="E349" s="6" t="str">
        <f>IF(ISNA(MATCH(336,Engine!$C$2:$C$1199,0)),"",INDEX('Compliance Database'!$E$2:$E$1199,MATCH(336,Engine!$C$2:$C$1199,0)))</f>
        <v/>
      </c>
      <c r="F349" s="6" t="str">
        <f>IF(ISNA(MATCH(336,Engine!$C$2:$C$1199,0)),"",INDEX('Compliance Database'!$F$2:$F$1199,MATCH(336,Engine!$C$2:$C$1199,0)))</f>
        <v/>
      </c>
      <c r="G349" s="6" t="str">
        <f>IF(ISNA(MATCH(336,Engine!$C$2:$C$1199,0)),"",INDEX('Compliance Database'!$G$2:$G$1199,MATCH(336,Engine!$C$2:$C$1199,0)))</f>
        <v/>
      </c>
      <c r="H349" s="7" t="str">
        <f>IF(ISNA(MATCH(336,Engine!$C$2:$C$1199,0)),"",INDEX('Compliance Database'!$H$2:$H$1199,MATCH(336,Engine!$C$2:$C$1199,0)))</f>
        <v/>
      </c>
      <c r="I349" s="7" t="str">
        <f>IF(ISNA(MATCH(336,Engine!$C$2:$C$1199,0)),"",INDEX('Compliance Database'!$I$2:$I$1199,MATCH(336,Engine!$C$2:$C$1199,0)))</f>
        <v/>
      </c>
      <c r="J349" s="6" t="str">
        <f>IF(ISNA(MATCH(336,Engine!$C$2:$C$1199,0)),"",INDEX('Compliance Database'!$J$2:$J$1199,MATCH(336,Engine!$C$2:$C$1199,0)))</f>
        <v/>
      </c>
      <c r="K349" s="7" t="str">
        <f>IF(ISNA(MATCH(336,Engine!$C$2:$C$1199,0)),"",INDEX('Compliance Database'!$K$2:$K$1199,MATCH(336,Engine!$C$2:$C$1199,0)))</f>
        <v/>
      </c>
      <c r="L349" s="7" t="str">
        <f>IF(ISNA(MATCH(336,Engine!$C$2:$C$1199,0)),"",INDEX('Compliance Database'!$L$2:$L$1199,MATCH(336,Engine!$C$2:$C$1199,0)))</f>
        <v/>
      </c>
      <c r="M349" s="7" t="str">
        <f>IF(ISNA(MATCH(336,Engine!$C$2:$C$1199,0)),"",INDEX('Compliance Database'!$M$2:$M$1199,MATCH(336,Engine!$C$2:$C$1199,0)))</f>
        <v/>
      </c>
      <c r="N349" s="7" t="str">
        <f>IF(ISNA(MATCH(336,Engine!$C$2:$C$1199,0)),"",INDEX('Compliance Database'!$N$2:$N$1199,MATCH(336,Engine!$C$2:$C$1199,0)))</f>
        <v/>
      </c>
      <c r="O349" s="7" t="str">
        <f>IF(ISNA(MATCH(336,Engine!$C$2:$C$1199,0)),"",INDEX('Compliance Database'!$O$2:$O$1199,MATCH(336,Engine!$C$2:$C$1199,0)))</f>
        <v/>
      </c>
      <c r="P349" s="6" t="str">
        <f>IF(ISNA(MATCH(336,Engine!$C$2:$C$1199,0)),"",HYPERLINK("#Acts!A"&amp;INDEX('Compliance Database'!$P$2:$P$1199,MATCH(336,Engine!$C$2:$C$1199,0)),"Go to Act"))</f>
        <v/>
      </c>
    </row>
    <row r="350" spans="1:16" ht="172.95" customHeight="1" x14ac:dyDescent="0.3">
      <c r="A350" s="6" t="str">
        <f>IF(ISNA(MATCH(337,Engine!$C$2:$C$1199,0)),"",INDEX('Compliance Database'!$A$2:$A$1199,MATCH(337,Engine!$C$2:$C$1199,0)))</f>
        <v/>
      </c>
      <c r="B350" s="6" t="str">
        <f>IF(ISNA(MATCH(337,Engine!$C$2:$C$1199,0)),"",INDEX('Compliance Database'!$B$2:$B$1199,MATCH(337,Engine!$C$2:$C$1199,0)))</f>
        <v/>
      </c>
      <c r="C350" s="6" t="str">
        <f>IF(ISNA(MATCH(337,Engine!$C$2:$C$1199,0)),"",INDEX('Compliance Database'!$C$2:$C$1199,MATCH(337,Engine!$C$2:$C$1199,0)))</f>
        <v/>
      </c>
      <c r="D350" s="7" t="str">
        <f>IF(ISNA(MATCH(337,Engine!$C$2:$C$1199,0)),"",INDEX('Compliance Database'!$D$2:$D$1199,MATCH(337,Engine!$C$2:$C$1199,0)))</f>
        <v/>
      </c>
      <c r="E350" s="6" t="str">
        <f>IF(ISNA(MATCH(337,Engine!$C$2:$C$1199,0)),"",INDEX('Compliance Database'!$E$2:$E$1199,MATCH(337,Engine!$C$2:$C$1199,0)))</f>
        <v/>
      </c>
      <c r="F350" s="6" t="str">
        <f>IF(ISNA(MATCH(337,Engine!$C$2:$C$1199,0)),"",INDEX('Compliance Database'!$F$2:$F$1199,MATCH(337,Engine!$C$2:$C$1199,0)))</f>
        <v/>
      </c>
      <c r="G350" s="6" t="str">
        <f>IF(ISNA(MATCH(337,Engine!$C$2:$C$1199,0)),"",INDEX('Compliance Database'!$G$2:$G$1199,MATCH(337,Engine!$C$2:$C$1199,0)))</f>
        <v/>
      </c>
      <c r="H350" s="7" t="str">
        <f>IF(ISNA(MATCH(337,Engine!$C$2:$C$1199,0)),"",INDEX('Compliance Database'!$H$2:$H$1199,MATCH(337,Engine!$C$2:$C$1199,0)))</f>
        <v/>
      </c>
      <c r="I350" s="7" t="str">
        <f>IF(ISNA(MATCH(337,Engine!$C$2:$C$1199,0)),"",INDEX('Compliance Database'!$I$2:$I$1199,MATCH(337,Engine!$C$2:$C$1199,0)))</f>
        <v/>
      </c>
      <c r="J350" s="6" t="str">
        <f>IF(ISNA(MATCH(337,Engine!$C$2:$C$1199,0)),"",INDEX('Compliance Database'!$J$2:$J$1199,MATCH(337,Engine!$C$2:$C$1199,0)))</f>
        <v/>
      </c>
      <c r="K350" s="7" t="str">
        <f>IF(ISNA(MATCH(337,Engine!$C$2:$C$1199,0)),"",INDEX('Compliance Database'!$K$2:$K$1199,MATCH(337,Engine!$C$2:$C$1199,0)))</f>
        <v/>
      </c>
      <c r="L350" s="7" t="str">
        <f>IF(ISNA(MATCH(337,Engine!$C$2:$C$1199,0)),"",INDEX('Compliance Database'!$L$2:$L$1199,MATCH(337,Engine!$C$2:$C$1199,0)))</f>
        <v/>
      </c>
      <c r="M350" s="7" t="str">
        <f>IF(ISNA(MATCH(337,Engine!$C$2:$C$1199,0)),"",INDEX('Compliance Database'!$M$2:$M$1199,MATCH(337,Engine!$C$2:$C$1199,0)))</f>
        <v/>
      </c>
      <c r="N350" s="7" t="str">
        <f>IF(ISNA(MATCH(337,Engine!$C$2:$C$1199,0)),"",INDEX('Compliance Database'!$N$2:$N$1199,MATCH(337,Engine!$C$2:$C$1199,0)))</f>
        <v/>
      </c>
      <c r="O350" s="7" t="str">
        <f>IF(ISNA(MATCH(337,Engine!$C$2:$C$1199,0)),"",INDEX('Compliance Database'!$O$2:$O$1199,MATCH(337,Engine!$C$2:$C$1199,0)))</f>
        <v/>
      </c>
      <c r="P350" s="6" t="str">
        <f>IF(ISNA(MATCH(337,Engine!$C$2:$C$1199,0)),"",HYPERLINK("#Acts!A"&amp;INDEX('Compliance Database'!$P$2:$P$1199,MATCH(337,Engine!$C$2:$C$1199,0)),"Go to Act"))</f>
        <v/>
      </c>
    </row>
    <row r="351" spans="1:16" ht="172.95" customHeight="1" x14ac:dyDescent="0.3">
      <c r="A351" s="6" t="str">
        <f>IF(ISNA(MATCH(338,Engine!$C$2:$C$1199,0)),"",INDEX('Compliance Database'!$A$2:$A$1199,MATCH(338,Engine!$C$2:$C$1199,0)))</f>
        <v/>
      </c>
      <c r="B351" s="6" t="str">
        <f>IF(ISNA(MATCH(338,Engine!$C$2:$C$1199,0)),"",INDEX('Compliance Database'!$B$2:$B$1199,MATCH(338,Engine!$C$2:$C$1199,0)))</f>
        <v/>
      </c>
      <c r="C351" s="6" t="str">
        <f>IF(ISNA(MATCH(338,Engine!$C$2:$C$1199,0)),"",INDEX('Compliance Database'!$C$2:$C$1199,MATCH(338,Engine!$C$2:$C$1199,0)))</f>
        <v/>
      </c>
      <c r="D351" s="7" t="str">
        <f>IF(ISNA(MATCH(338,Engine!$C$2:$C$1199,0)),"",INDEX('Compliance Database'!$D$2:$D$1199,MATCH(338,Engine!$C$2:$C$1199,0)))</f>
        <v/>
      </c>
      <c r="E351" s="6" t="str">
        <f>IF(ISNA(MATCH(338,Engine!$C$2:$C$1199,0)),"",INDEX('Compliance Database'!$E$2:$E$1199,MATCH(338,Engine!$C$2:$C$1199,0)))</f>
        <v/>
      </c>
      <c r="F351" s="6" t="str">
        <f>IF(ISNA(MATCH(338,Engine!$C$2:$C$1199,0)),"",INDEX('Compliance Database'!$F$2:$F$1199,MATCH(338,Engine!$C$2:$C$1199,0)))</f>
        <v/>
      </c>
      <c r="G351" s="6" t="str">
        <f>IF(ISNA(MATCH(338,Engine!$C$2:$C$1199,0)),"",INDEX('Compliance Database'!$G$2:$G$1199,MATCH(338,Engine!$C$2:$C$1199,0)))</f>
        <v/>
      </c>
      <c r="H351" s="7" t="str">
        <f>IF(ISNA(MATCH(338,Engine!$C$2:$C$1199,0)),"",INDEX('Compliance Database'!$H$2:$H$1199,MATCH(338,Engine!$C$2:$C$1199,0)))</f>
        <v/>
      </c>
      <c r="I351" s="7" t="str">
        <f>IF(ISNA(MATCH(338,Engine!$C$2:$C$1199,0)),"",INDEX('Compliance Database'!$I$2:$I$1199,MATCH(338,Engine!$C$2:$C$1199,0)))</f>
        <v/>
      </c>
      <c r="J351" s="6" t="str">
        <f>IF(ISNA(MATCH(338,Engine!$C$2:$C$1199,0)),"",INDEX('Compliance Database'!$J$2:$J$1199,MATCH(338,Engine!$C$2:$C$1199,0)))</f>
        <v/>
      </c>
      <c r="K351" s="7" t="str">
        <f>IF(ISNA(MATCH(338,Engine!$C$2:$C$1199,0)),"",INDEX('Compliance Database'!$K$2:$K$1199,MATCH(338,Engine!$C$2:$C$1199,0)))</f>
        <v/>
      </c>
      <c r="L351" s="7" t="str">
        <f>IF(ISNA(MATCH(338,Engine!$C$2:$C$1199,0)),"",INDEX('Compliance Database'!$L$2:$L$1199,MATCH(338,Engine!$C$2:$C$1199,0)))</f>
        <v/>
      </c>
      <c r="M351" s="7" t="str">
        <f>IF(ISNA(MATCH(338,Engine!$C$2:$C$1199,0)),"",INDEX('Compliance Database'!$M$2:$M$1199,MATCH(338,Engine!$C$2:$C$1199,0)))</f>
        <v/>
      </c>
      <c r="N351" s="7" t="str">
        <f>IF(ISNA(MATCH(338,Engine!$C$2:$C$1199,0)),"",INDEX('Compliance Database'!$N$2:$N$1199,MATCH(338,Engine!$C$2:$C$1199,0)))</f>
        <v/>
      </c>
      <c r="O351" s="7" t="str">
        <f>IF(ISNA(MATCH(338,Engine!$C$2:$C$1199,0)),"",INDEX('Compliance Database'!$O$2:$O$1199,MATCH(338,Engine!$C$2:$C$1199,0)))</f>
        <v/>
      </c>
      <c r="P351" s="6" t="str">
        <f>IF(ISNA(MATCH(338,Engine!$C$2:$C$1199,0)),"",HYPERLINK("#Acts!A"&amp;INDEX('Compliance Database'!$P$2:$P$1199,MATCH(338,Engine!$C$2:$C$1199,0)),"Go to Act"))</f>
        <v/>
      </c>
    </row>
    <row r="352" spans="1:16" ht="172.95" customHeight="1" x14ac:dyDescent="0.3">
      <c r="A352" s="6" t="str">
        <f>IF(ISNA(MATCH(339,Engine!$C$2:$C$1199,0)),"",INDEX('Compliance Database'!$A$2:$A$1199,MATCH(339,Engine!$C$2:$C$1199,0)))</f>
        <v/>
      </c>
      <c r="B352" s="6" t="str">
        <f>IF(ISNA(MATCH(339,Engine!$C$2:$C$1199,0)),"",INDEX('Compliance Database'!$B$2:$B$1199,MATCH(339,Engine!$C$2:$C$1199,0)))</f>
        <v/>
      </c>
      <c r="C352" s="6" t="str">
        <f>IF(ISNA(MATCH(339,Engine!$C$2:$C$1199,0)),"",INDEX('Compliance Database'!$C$2:$C$1199,MATCH(339,Engine!$C$2:$C$1199,0)))</f>
        <v/>
      </c>
      <c r="D352" s="7" t="str">
        <f>IF(ISNA(MATCH(339,Engine!$C$2:$C$1199,0)),"",INDEX('Compliance Database'!$D$2:$D$1199,MATCH(339,Engine!$C$2:$C$1199,0)))</f>
        <v/>
      </c>
      <c r="E352" s="6" t="str">
        <f>IF(ISNA(MATCH(339,Engine!$C$2:$C$1199,0)),"",INDEX('Compliance Database'!$E$2:$E$1199,MATCH(339,Engine!$C$2:$C$1199,0)))</f>
        <v/>
      </c>
      <c r="F352" s="6" t="str">
        <f>IF(ISNA(MATCH(339,Engine!$C$2:$C$1199,0)),"",INDEX('Compliance Database'!$F$2:$F$1199,MATCH(339,Engine!$C$2:$C$1199,0)))</f>
        <v/>
      </c>
      <c r="G352" s="6" t="str">
        <f>IF(ISNA(MATCH(339,Engine!$C$2:$C$1199,0)),"",INDEX('Compliance Database'!$G$2:$G$1199,MATCH(339,Engine!$C$2:$C$1199,0)))</f>
        <v/>
      </c>
      <c r="H352" s="7" t="str">
        <f>IF(ISNA(MATCH(339,Engine!$C$2:$C$1199,0)),"",INDEX('Compliance Database'!$H$2:$H$1199,MATCH(339,Engine!$C$2:$C$1199,0)))</f>
        <v/>
      </c>
      <c r="I352" s="7" t="str">
        <f>IF(ISNA(MATCH(339,Engine!$C$2:$C$1199,0)),"",INDEX('Compliance Database'!$I$2:$I$1199,MATCH(339,Engine!$C$2:$C$1199,0)))</f>
        <v/>
      </c>
      <c r="J352" s="6" t="str">
        <f>IF(ISNA(MATCH(339,Engine!$C$2:$C$1199,0)),"",INDEX('Compliance Database'!$J$2:$J$1199,MATCH(339,Engine!$C$2:$C$1199,0)))</f>
        <v/>
      </c>
      <c r="K352" s="7" t="str">
        <f>IF(ISNA(MATCH(339,Engine!$C$2:$C$1199,0)),"",INDEX('Compliance Database'!$K$2:$K$1199,MATCH(339,Engine!$C$2:$C$1199,0)))</f>
        <v/>
      </c>
      <c r="L352" s="7" t="str">
        <f>IF(ISNA(MATCH(339,Engine!$C$2:$C$1199,0)),"",INDEX('Compliance Database'!$L$2:$L$1199,MATCH(339,Engine!$C$2:$C$1199,0)))</f>
        <v/>
      </c>
      <c r="M352" s="7" t="str">
        <f>IF(ISNA(MATCH(339,Engine!$C$2:$C$1199,0)),"",INDEX('Compliance Database'!$M$2:$M$1199,MATCH(339,Engine!$C$2:$C$1199,0)))</f>
        <v/>
      </c>
      <c r="N352" s="7" t="str">
        <f>IF(ISNA(MATCH(339,Engine!$C$2:$C$1199,0)),"",INDEX('Compliance Database'!$N$2:$N$1199,MATCH(339,Engine!$C$2:$C$1199,0)))</f>
        <v/>
      </c>
      <c r="O352" s="7" t="str">
        <f>IF(ISNA(MATCH(339,Engine!$C$2:$C$1199,0)),"",INDEX('Compliance Database'!$O$2:$O$1199,MATCH(339,Engine!$C$2:$C$1199,0)))</f>
        <v/>
      </c>
      <c r="P352" s="6" t="str">
        <f>IF(ISNA(MATCH(339,Engine!$C$2:$C$1199,0)),"",HYPERLINK("#Acts!A"&amp;INDEX('Compliance Database'!$P$2:$P$1199,MATCH(339,Engine!$C$2:$C$1199,0)),"Go to Act"))</f>
        <v/>
      </c>
    </row>
    <row r="353" spans="1:16" ht="172.95" customHeight="1" x14ac:dyDescent="0.3">
      <c r="A353" s="6" t="str">
        <f>IF(ISNA(MATCH(340,Engine!$C$2:$C$1199,0)),"",INDEX('Compliance Database'!$A$2:$A$1199,MATCH(340,Engine!$C$2:$C$1199,0)))</f>
        <v/>
      </c>
      <c r="B353" s="6" t="str">
        <f>IF(ISNA(MATCH(340,Engine!$C$2:$C$1199,0)),"",INDEX('Compliance Database'!$B$2:$B$1199,MATCH(340,Engine!$C$2:$C$1199,0)))</f>
        <v/>
      </c>
      <c r="C353" s="6" t="str">
        <f>IF(ISNA(MATCH(340,Engine!$C$2:$C$1199,0)),"",INDEX('Compliance Database'!$C$2:$C$1199,MATCH(340,Engine!$C$2:$C$1199,0)))</f>
        <v/>
      </c>
      <c r="D353" s="7" t="str">
        <f>IF(ISNA(MATCH(340,Engine!$C$2:$C$1199,0)),"",INDEX('Compliance Database'!$D$2:$D$1199,MATCH(340,Engine!$C$2:$C$1199,0)))</f>
        <v/>
      </c>
      <c r="E353" s="6" t="str">
        <f>IF(ISNA(MATCH(340,Engine!$C$2:$C$1199,0)),"",INDEX('Compliance Database'!$E$2:$E$1199,MATCH(340,Engine!$C$2:$C$1199,0)))</f>
        <v/>
      </c>
      <c r="F353" s="6" t="str">
        <f>IF(ISNA(MATCH(340,Engine!$C$2:$C$1199,0)),"",INDEX('Compliance Database'!$F$2:$F$1199,MATCH(340,Engine!$C$2:$C$1199,0)))</f>
        <v/>
      </c>
      <c r="G353" s="6" t="str">
        <f>IF(ISNA(MATCH(340,Engine!$C$2:$C$1199,0)),"",INDEX('Compliance Database'!$G$2:$G$1199,MATCH(340,Engine!$C$2:$C$1199,0)))</f>
        <v/>
      </c>
      <c r="H353" s="7" t="str">
        <f>IF(ISNA(MATCH(340,Engine!$C$2:$C$1199,0)),"",INDEX('Compliance Database'!$H$2:$H$1199,MATCH(340,Engine!$C$2:$C$1199,0)))</f>
        <v/>
      </c>
      <c r="I353" s="7" t="str">
        <f>IF(ISNA(MATCH(340,Engine!$C$2:$C$1199,0)),"",INDEX('Compliance Database'!$I$2:$I$1199,MATCH(340,Engine!$C$2:$C$1199,0)))</f>
        <v/>
      </c>
      <c r="J353" s="6" t="str">
        <f>IF(ISNA(MATCH(340,Engine!$C$2:$C$1199,0)),"",INDEX('Compliance Database'!$J$2:$J$1199,MATCH(340,Engine!$C$2:$C$1199,0)))</f>
        <v/>
      </c>
      <c r="K353" s="7" t="str">
        <f>IF(ISNA(MATCH(340,Engine!$C$2:$C$1199,0)),"",INDEX('Compliance Database'!$K$2:$K$1199,MATCH(340,Engine!$C$2:$C$1199,0)))</f>
        <v/>
      </c>
      <c r="L353" s="7" t="str">
        <f>IF(ISNA(MATCH(340,Engine!$C$2:$C$1199,0)),"",INDEX('Compliance Database'!$L$2:$L$1199,MATCH(340,Engine!$C$2:$C$1199,0)))</f>
        <v/>
      </c>
      <c r="M353" s="7" t="str">
        <f>IF(ISNA(MATCH(340,Engine!$C$2:$C$1199,0)),"",INDEX('Compliance Database'!$M$2:$M$1199,MATCH(340,Engine!$C$2:$C$1199,0)))</f>
        <v/>
      </c>
      <c r="N353" s="7" t="str">
        <f>IF(ISNA(MATCH(340,Engine!$C$2:$C$1199,0)),"",INDEX('Compliance Database'!$N$2:$N$1199,MATCH(340,Engine!$C$2:$C$1199,0)))</f>
        <v/>
      </c>
      <c r="O353" s="7" t="str">
        <f>IF(ISNA(MATCH(340,Engine!$C$2:$C$1199,0)),"",INDEX('Compliance Database'!$O$2:$O$1199,MATCH(340,Engine!$C$2:$C$1199,0)))</f>
        <v/>
      </c>
      <c r="P353" s="6" t="str">
        <f>IF(ISNA(MATCH(340,Engine!$C$2:$C$1199,0)),"",HYPERLINK("#Acts!A"&amp;INDEX('Compliance Database'!$P$2:$P$1199,MATCH(340,Engine!$C$2:$C$1199,0)),"Go to Act"))</f>
        <v/>
      </c>
    </row>
    <row r="354" spans="1:16" ht="172.95" customHeight="1" x14ac:dyDescent="0.3">
      <c r="A354" s="6" t="str">
        <f>IF(ISNA(MATCH(341,Engine!$C$2:$C$1199,0)),"",INDEX('Compliance Database'!$A$2:$A$1199,MATCH(341,Engine!$C$2:$C$1199,0)))</f>
        <v/>
      </c>
      <c r="B354" s="6" t="str">
        <f>IF(ISNA(MATCH(341,Engine!$C$2:$C$1199,0)),"",INDEX('Compliance Database'!$B$2:$B$1199,MATCH(341,Engine!$C$2:$C$1199,0)))</f>
        <v/>
      </c>
      <c r="C354" s="6" t="str">
        <f>IF(ISNA(MATCH(341,Engine!$C$2:$C$1199,0)),"",INDEX('Compliance Database'!$C$2:$C$1199,MATCH(341,Engine!$C$2:$C$1199,0)))</f>
        <v/>
      </c>
      <c r="D354" s="7" t="str">
        <f>IF(ISNA(MATCH(341,Engine!$C$2:$C$1199,0)),"",INDEX('Compliance Database'!$D$2:$D$1199,MATCH(341,Engine!$C$2:$C$1199,0)))</f>
        <v/>
      </c>
      <c r="E354" s="6" t="str">
        <f>IF(ISNA(MATCH(341,Engine!$C$2:$C$1199,0)),"",INDEX('Compliance Database'!$E$2:$E$1199,MATCH(341,Engine!$C$2:$C$1199,0)))</f>
        <v/>
      </c>
      <c r="F354" s="6" t="str">
        <f>IF(ISNA(MATCH(341,Engine!$C$2:$C$1199,0)),"",INDEX('Compliance Database'!$F$2:$F$1199,MATCH(341,Engine!$C$2:$C$1199,0)))</f>
        <v/>
      </c>
      <c r="G354" s="6" t="str">
        <f>IF(ISNA(MATCH(341,Engine!$C$2:$C$1199,0)),"",INDEX('Compliance Database'!$G$2:$G$1199,MATCH(341,Engine!$C$2:$C$1199,0)))</f>
        <v/>
      </c>
      <c r="H354" s="7" t="str">
        <f>IF(ISNA(MATCH(341,Engine!$C$2:$C$1199,0)),"",INDEX('Compliance Database'!$H$2:$H$1199,MATCH(341,Engine!$C$2:$C$1199,0)))</f>
        <v/>
      </c>
      <c r="I354" s="7" t="str">
        <f>IF(ISNA(MATCH(341,Engine!$C$2:$C$1199,0)),"",INDEX('Compliance Database'!$I$2:$I$1199,MATCH(341,Engine!$C$2:$C$1199,0)))</f>
        <v/>
      </c>
      <c r="J354" s="6" t="str">
        <f>IF(ISNA(MATCH(341,Engine!$C$2:$C$1199,0)),"",INDEX('Compliance Database'!$J$2:$J$1199,MATCH(341,Engine!$C$2:$C$1199,0)))</f>
        <v/>
      </c>
      <c r="K354" s="7" t="str">
        <f>IF(ISNA(MATCH(341,Engine!$C$2:$C$1199,0)),"",INDEX('Compliance Database'!$K$2:$K$1199,MATCH(341,Engine!$C$2:$C$1199,0)))</f>
        <v/>
      </c>
      <c r="L354" s="7" t="str">
        <f>IF(ISNA(MATCH(341,Engine!$C$2:$C$1199,0)),"",INDEX('Compliance Database'!$L$2:$L$1199,MATCH(341,Engine!$C$2:$C$1199,0)))</f>
        <v/>
      </c>
      <c r="M354" s="7" t="str">
        <f>IF(ISNA(MATCH(341,Engine!$C$2:$C$1199,0)),"",INDEX('Compliance Database'!$M$2:$M$1199,MATCH(341,Engine!$C$2:$C$1199,0)))</f>
        <v/>
      </c>
      <c r="N354" s="7" t="str">
        <f>IF(ISNA(MATCH(341,Engine!$C$2:$C$1199,0)),"",INDEX('Compliance Database'!$N$2:$N$1199,MATCH(341,Engine!$C$2:$C$1199,0)))</f>
        <v/>
      </c>
      <c r="O354" s="7" t="str">
        <f>IF(ISNA(MATCH(341,Engine!$C$2:$C$1199,0)),"",INDEX('Compliance Database'!$O$2:$O$1199,MATCH(341,Engine!$C$2:$C$1199,0)))</f>
        <v/>
      </c>
      <c r="P354" s="6" t="str">
        <f>IF(ISNA(MATCH(341,Engine!$C$2:$C$1199,0)),"",HYPERLINK("#Acts!A"&amp;INDEX('Compliance Database'!$P$2:$P$1199,MATCH(341,Engine!$C$2:$C$1199,0)),"Go to Act"))</f>
        <v/>
      </c>
    </row>
    <row r="355" spans="1:16" ht="172.95" customHeight="1" x14ac:dyDescent="0.3">
      <c r="A355" s="6" t="str">
        <f>IF(ISNA(MATCH(342,Engine!$C$2:$C$1199,0)),"",INDEX('Compliance Database'!$A$2:$A$1199,MATCH(342,Engine!$C$2:$C$1199,0)))</f>
        <v/>
      </c>
      <c r="B355" s="6" t="str">
        <f>IF(ISNA(MATCH(342,Engine!$C$2:$C$1199,0)),"",INDEX('Compliance Database'!$B$2:$B$1199,MATCH(342,Engine!$C$2:$C$1199,0)))</f>
        <v/>
      </c>
      <c r="C355" s="6" t="str">
        <f>IF(ISNA(MATCH(342,Engine!$C$2:$C$1199,0)),"",INDEX('Compliance Database'!$C$2:$C$1199,MATCH(342,Engine!$C$2:$C$1199,0)))</f>
        <v/>
      </c>
      <c r="D355" s="7" t="str">
        <f>IF(ISNA(MATCH(342,Engine!$C$2:$C$1199,0)),"",INDEX('Compliance Database'!$D$2:$D$1199,MATCH(342,Engine!$C$2:$C$1199,0)))</f>
        <v/>
      </c>
      <c r="E355" s="6" t="str">
        <f>IF(ISNA(MATCH(342,Engine!$C$2:$C$1199,0)),"",INDEX('Compliance Database'!$E$2:$E$1199,MATCH(342,Engine!$C$2:$C$1199,0)))</f>
        <v/>
      </c>
      <c r="F355" s="6" t="str">
        <f>IF(ISNA(MATCH(342,Engine!$C$2:$C$1199,0)),"",INDEX('Compliance Database'!$F$2:$F$1199,MATCH(342,Engine!$C$2:$C$1199,0)))</f>
        <v/>
      </c>
      <c r="G355" s="6" t="str">
        <f>IF(ISNA(MATCH(342,Engine!$C$2:$C$1199,0)),"",INDEX('Compliance Database'!$G$2:$G$1199,MATCH(342,Engine!$C$2:$C$1199,0)))</f>
        <v/>
      </c>
      <c r="H355" s="7" t="str">
        <f>IF(ISNA(MATCH(342,Engine!$C$2:$C$1199,0)),"",INDEX('Compliance Database'!$H$2:$H$1199,MATCH(342,Engine!$C$2:$C$1199,0)))</f>
        <v/>
      </c>
      <c r="I355" s="7" t="str">
        <f>IF(ISNA(MATCH(342,Engine!$C$2:$C$1199,0)),"",INDEX('Compliance Database'!$I$2:$I$1199,MATCH(342,Engine!$C$2:$C$1199,0)))</f>
        <v/>
      </c>
      <c r="J355" s="6" t="str">
        <f>IF(ISNA(MATCH(342,Engine!$C$2:$C$1199,0)),"",INDEX('Compliance Database'!$J$2:$J$1199,MATCH(342,Engine!$C$2:$C$1199,0)))</f>
        <v/>
      </c>
      <c r="K355" s="7" t="str">
        <f>IF(ISNA(MATCH(342,Engine!$C$2:$C$1199,0)),"",INDEX('Compliance Database'!$K$2:$K$1199,MATCH(342,Engine!$C$2:$C$1199,0)))</f>
        <v/>
      </c>
      <c r="L355" s="7" t="str">
        <f>IF(ISNA(MATCH(342,Engine!$C$2:$C$1199,0)),"",INDEX('Compliance Database'!$L$2:$L$1199,MATCH(342,Engine!$C$2:$C$1199,0)))</f>
        <v/>
      </c>
      <c r="M355" s="7" t="str">
        <f>IF(ISNA(MATCH(342,Engine!$C$2:$C$1199,0)),"",INDEX('Compliance Database'!$M$2:$M$1199,MATCH(342,Engine!$C$2:$C$1199,0)))</f>
        <v/>
      </c>
      <c r="N355" s="7" t="str">
        <f>IF(ISNA(MATCH(342,Engine!$C$2:$C$1199,0)),"",INDEX('Compliance Database'!$N$2:$N$1199,MATCH(342,Engine!$C$2:$C$1199,0)))</f>
        <v/>
      </c>
      <c r="O355" s="7" t="str">
        <f>IF(ISNA(MATCH(342,Engine!$C$2:$C$1199,0)),"",INDEX('Compliance Database'!$O$2:$O$1199,MATCH(342,Engine!$C$2:$C$1199,0)))</f>
        <v/>
      </c>
      <c r="P355" s="6" t="str">
        <f>IF(ISNA(MATCH(342,Engine!$C$2:$C$1199,0)),"",HYPERLINK("#Acts!A"&amp;INDEX('Compliance Database'!$P$2:$P$1199,MATCH(342,Engine!$C$2:$C$1199,0)),"Go to Act"))</f>
        <v/>
      </c>
    </row>
    <row r="356" spans="1:16" ht="172.95" customHeight="1" x14ac:dyDescent="0.3">
      <c r="A356" s="6" t="str">
        <f>IF(ISNA(MATCH(343,Engine!$C$2:$C$1199,0)),"",INDEX('Compliance Database'!$A$2:$A$1199,MATCH(343,Engine!$C$2:$C$1199,0)))</f>
        <v/>
      </c>
      <c r="B356" s="6" t="str">
        <f>IF(ISNA(MATCH(343,Engine!$C$2:$C$1199,0)),"",INDEX('Compliance Database'!$B$2:$B$1199,MATCH(343,Engine!$C$2:$C$1199,0)))</f>
        <v/>
      </c>
      <c r="C356" s="6" t="str">
        <f>IF(ISNA(MATCH(343,Engine!$C$2:$C$1199,0)),"",INDEX('Compliance Database'!$C$2:$C$1199,MATCH(343,Engine!$C$2:$C$1199,0)))</f>
        <v/>
      </c>
      <c r="D356" s="7" t="str">
        <f>IF(ISNA(MATCH(343,Engine!$C$2:$C$1199,0)),"",INDEX('Compliance Database'!$D$2:$D$1199,MATCH(343,Engine!$C$2:$C$1199,0)))</f>
        <v/>
      </c>
      <c r="E356" s="6" t="str">
        <f>IF(ISNA(MATCH(343,Engine!$C$2:$C$1199,0)),"",INDEX('Compliance Database'!$E$2:$E$1199,MATCH(343,Engine!$C$2:$C$1199,0)))</f>
        <v/>
      </c>
      <c r="F356" s="6" t="str">
        <f>IF(ISNA(MATCH(343,Engine!$C$2:$C$1199,0)),"",INDEX('Compliance Database'!$F$2:$F$1199,MATCH(343,Engine!$C$2:$C$1199,0)))</f>
        <v/>
      </c>
      <c r="G356" s="6" t="str">
        <f>IF(ISNA(MATCH(343,Engine!$C$2:$C$1199,0)),"",INDEX('Compliance Database'!$G$2:$G$1199,MATCH(343,Engine!$C$2:$C$1199,0)))</f>
        <v/>
      </c>
      <c r="H356" s="7" t="str">
        <f>IF(ISNA(MATCH(343,Engine!$C$2:$C$1199,0)),"",INDEX('Compliance Database'!$H$2:$H$1199,MATCH(343,Engine!$C$2:$C$1199,0)))</f>
        <v/>
      </c>
      <c r="I356" s="7" t="str">
        <f>IF(ISNA(MATCH(343,Engine!$C$2:$C$1199,0)),"",INDEX('Compliance Database'!$I$2:$I$1199,MATCH(343,Engine!$C$2:$C$1199,0)))</f>
        <v/>
      </c>
      <c r="J356" s="6" t="str">
        <f>IF(ISNA(MATCH(343,Engine!$C$2:$C$1199,0)),"",INDEX('Compliance Database'!$J$2:$J$1199,MATCH(343,Engine!$C$2:$C$1199,0)))</f>
        <v/>
      </c>
      <c r="K356" s="7" t="str">
        <f>IF(ISNA(MATCH(343,Engine!$C$2:$C$1199,0)),"",INDEX('Compliance Database'!$K$2:$K$1199,MATCH(343,Engine!$C$2:$C$1199,0)))</f>
        <v/>
      </c>
      <c r="L356" s="7" t="str">
        <f>IF(ISNA(MATCH(343,Engine!$C$2:$C$1199,0)),"",INDEX('Compliance Database'!$L$2:$L$1199,MATCH(343,Engine!$C$2:$C$1199,0)))</f>
        <v/>
      </c>
      <c r="M356" s="7" t="str">
        <f>IF(ISNA(MATCH(343,Engine!$C$2:$C$1199,0)),"",INDEX('Compliance Database'!$M$2:$M$1199,MATCH(343,Engine!$C$2:$C$1199,0)))</f>
        <v/>
      </c>
      <c r="N356" s="7" t="str">
        <f>IF(ISNA(MATCH(343,Engine!$C$2:$C$1199,0)),"",INDEX('Compliance Database'!$N$2:$N$1199,MATCH(343,Engine!$C$2:$C$1199,0)))</f>
        <v/>
      </c>
      <c r="O356" s="7" t="str">
        <f>IF(ISNA(MATCH(343,Engine!$C$2:$C$1199,0)),"",INDEX('Compliance Database'!$O$2:$O$1199,MATCH(343,Engine!$C$2:$C$1199,0)))</f>
        <v/>
      </c>
      <c r="P356" s="6" t="str">
        <f>IF(ISNA(MATCH(343,Engine!$C$2:$C$1199,0)),"",HYPERLINK("#Acts!A"&amp;INDEX('Compliance Database'!$P$2:$P$1199,MATCH(343,Engine!$C$2:$C$1199,0)),"Go to Act"))</f>
        <v/>
      </c>
    </row>
    <row r="357" spans="1:16" ht="172.95" customHeight="1" x14ac:dyDescent="0.3">
      <c r="A357" s="6" t="str">
        <f>IF(ISNA(MATCH(344,Engine!$C$2:$C$1199,0)),"",INDEX('Compliance Database'!$A$2:$A$1199,MATCH(344,Engine!$C$2:$C$1199,0)))</f>
        <v/>
      </c>
      <c r="B357" s="6" t="str">
        <f>IF(ISNA(MATCH(344,Engine!$C$2:$C$1199,0)),"",INDEX('Compliance Database'!$B$2:$B$1199,MATCH(344,Engine!$C$2:$C$1199,0)))</f>
        <v/>
      </c>
      <c r="C357" s="6" t="str">
        <f>IF(ISNA(MATCH(344,Engine!$C$2:$C$1199,0)),"",INDEX('Compliance Database'!$C$2:$C$1199,MATCH(344,Engine!$C$2:$C$1199,0)))</f>
        <v/>
      </c>
      <c r="D357" s="7" t="str">
        <f>IF(ISNA(MATCH(344,Engine!$C$2:$C$1199,0)),"",INDEX('Compliance Database'!$D$2:$D$1199,MATCH(344,Engine!$C$2:$C$1199,0)))</f>
        <v/>
      </c>
      <c r="E357" s="6" t="str">
        <f>IF(ISNA(MATCH(344,Engine!$C$2:$C$1199,0)),"",INDEX('Compliance Database'!$E$2:$E$1199,MATCH(344,Engine!$C$2:$C$1199,0)))</f>
        <v/>
      </c>
      <c r="F357" s="6" t="str">
        <f>IF(ISNA(MATCH(344,Engine!$C$2:$C$1199,0)),"",INDEX('Compliance Database'!$F$2:$F$1199,MATCH(344,Engine!$C$2:$C$1199,0)))</f>
        <v/>
      </c>
      <c r="G357" s="6" t="str">
        <f>IF(ISNA(MATCH(344,Engine!$C$2:$C$1199,0)),"",INDEX('Compliance Database'!$G$2:$G$1199,MATCH(344,Engine!$C$2:$C$1199,0)))</f>
        <v/>
      </c>
      <c r="H357" s="7" t="str">
        <f>IF(ISNA(MATCH(344,Engine!$C$2:$C$1199,0)),"",INDEX('Compliance Database'!$H$2:$H$1199,MATCH(344,Engine!$C$2:$C$1199,0)))</f>
        <v/>
      </c>
      <c r="I357" s="7" t="str">
        <f>IF(ISNA(MATCH(344,Engine!$C$2:$C$1199,0)),"",INDEX('Compliance Database'!$I$2:$I$1199,MATCH(344,Engine!$C$2:$C$1199,0)))</f>
        <v/>
      </c>
      <c r="J357" s="6" t="str">
        <f>IF(ISNA(MATCH(344,Engine!$C$2:$C$1199,0)),"",INDEX('Compliance Database'!$J$2:$J$1199,MATCH(344,Engine!$C$2:$C$1199,0)))</f>
        <v/>
      </c>
      <c r="K357" s="7" t="str">
        <f>IF(ISNA(MATCH(344,Engine!$C$2:$C$1199,0)),"",INDEX('Compliance Database'!$K$2:$K$1199,MATCH(344,Engine!$C$2:$C$1199,0)))</f>
        <v/>
      </c>
      <c r="L357" s="7" t="str">
        <f>IF(ISNA(MATCH(344,Engine!$C$2:$C$1199,0)),"",INDEX('Compliance Database'!$L$2:$L$1199,MATCH(344,Engine!$C$2:$C$1199,0)))</f>
        <v/>
      </c>
      <c r="M357" s="7" t="str">
        <f>IF(ISNA(MATCH(344,Engine!$C$2:$C$1199,0)),"",INDEX('Compliance Database'!$M$2:$M$1199,MATCH(344,Engine!$C$2:$C$1199,0)))</f>
        <v/>
      </c>
      <c r="N357" s="7" t="str">
        <f>IF(ISNA(MATCH(344,Engine!$C$2:$C$1199,0)),"",INDEX('Compliance Database'!$N$2:$N$1199,MATCH(344,Engine!$C$2:$C$1199,0)))</f>
        <v/>
      </c>
      <c r="O357" s="7" t="str">
        <f>IF(ISNA(MATCH(344,Engine!$C$2:$C$1199,0)),"",INDEX('Compliance Database'!$O$2:$O$1199,MATCH(344,Engine!$C$2:$C$1199,0)))</f>
        <v/>
      </c>
      <c r="P357" s="6" t="str">
        <f>IF(ISNA(MATCH(344,Engine!$C$2:$C$1199,0)),"",HYPERLINK("#Acts!A"&amp;INDEX('Compliance Database'!$P$2:$P$1199,MATCH(344,Engine!$C$2:$C$1199,0)),"Go to Act"))</f>
        <v/>
      </c>
    </row>
    <row r="358" spans="1:16" ht="172.95" customHeight="1" x14ac:dyDescent="0.3">
      <c r="A358" s="6" t="str">
        <f>IF(ISNA(MATCH(345,Engine!$C$2:$C$1199,0)),"",INDEX('Compliance Database'!$A$2:$A$1199,MATCH(345,Engine!$C$2:$C$1199,0)))</f>
        <v/>
      </c>
      <c r="B358" s="6" t="str">
        <f>IF(ISNA(MATCH(345,Engine!$C$2:$C$1199,0)),"",INDEX('Compliance Database'!$B$2:$B$1199,MATCH(345,Engine!$C$2:$C$1199,0)))</f>
        <v/>
      </c>
      <c r="C358" s="6" t="str">
        <f>IF(ISNA(MATCH(345,Engine!$C$2:$C$1199,0)),"",INDEX('Compliance Database'!$C$2:$C$1199,MATCH(345,Engine!$C$2:$C$1199,0)))</f>
        <v/>
      </c>
      <c r="D358" s="7" t="str">
        <f>IF(ISNA(MATCH(345,Engine!$C$2:$C$1199,0)),"",INDEX('Compliance Database'!$D$2:$D$1199,MATCH(345,Engine!$C$2:$C$1199,0)))</f>
        <v/>
      </c>
      <c r="E358" s="6" t="str">
        <f>IF(ISNA(MATCH(345,Engine!$C$2:$C$1199,0)),"",INDEX('Compliance Database'!$E$2:$E$1199,MATCH(345,Engine!$C$2:$C$1199,0)))</f>
        <v/>
      </c>
      <c r="F358" s="6" t="str">
        <f>IF(ISNA(MATCH(345,Engine!$C$2:$C$1199,0)),"",INDEX('Compliance Database'!$F$2:$F$1199,MATCH(345,Engine!$C$2:$C$1199,0)))</f>
        <v/>
      </c>
      <c r="G358" s="6" t="str">
        <f>IF(ISNA(MATCH(345,Engine!$C$2:$C$1199,0)),"",INDEX('Compliance Database'!$G$2:$G$1199,MATCH(345,Engine!$C$2:$C$1199,0)))</f>
        <v/>
      </c>
      <c r="H358" s="7" t="str">
        <f>IF(ISNA(MATCH(345,Engine!$C$2:$C$1199,0)),"",INDEX('Compliance Database'!$H$2:$H$1199,MATCH(345,Engine!$C$2:$C$1199,0)))</f>
        <v/>
      </c>
      <c r="I358" s="7" t="str">
        <f>IF(ISNA(MATCH(345,Engine!$C$2:$C$1199,0)),"",INDEX('Compliance Database'!$I$2:$I$1199,MATCH(345,Engine!$C$2:$C$1199,0)))</f>
        <v/>
      </c>
      <c r="J358" s="6" t="str">
        <f>IF(ISNA(MATCH(345,Engine!$C$2:$C$1199,0)),"",INDEX('Compliance Database'!$J$2:$J$1199,MATCH(345,Engine!$C$2:$C$1199,0)))</f>
        <v/>
      </c>
      <c r="K358" s="7" t="str">
        <f>IF(ISNA(MATCH(345,Engine!$C$2:$C$1199,0)),"",INDEX('Compliance Database'!$K$2:$K$1199,MATCH(345,Engine!$C$2:$C$1199,0)))</f>
        <v/>
      </c>
      <c r="L358" s="7" t="str">
        <f>IF(ISNA(MATCH(345,Engine!$C$2:$C$1199,0)),"",INDEX('Compliance Database'!$L$2:$L$1199,MATCH(345,Engine!$C$2:$C$1199,0)))</f>
        <v/>
      </c>
      <c r="M358" s="7" t="str">
        <f>IF(ISNA(MATCH(345,Engine!$C$2:$C$1199,0)),"",INDEX('Compliance Database'!$M$2:$M$1199,MATCH(345,Engine!$C$2:$C$1199,0)))</f>
        <v/>
      </c>
      <c r="N358" s="7" t="str">
        <f>IF(ISNA(MATCH(345,Engine!$C$2:$C$1199,0)),"",INDEX('Compliance Database'!$N$2:$N$1199,MATCH(345,Engine!$C$2:$C$1199,0)))</f>
        <v/>
      </c>
      <c r="O358" s="7" t="str">
        <f>IF(ISNA(MATCH(345,Engine!$C$2:$C$1199,0)),"",INDEX('Compliance Database'!$O$2:$O$1199,MATCH(345,Engine!$C$2:$C$1199,0)))</f>
        <v/>
      </c>
      <c r="P358" s="6" t="str">
        <f>IF(ISNA(MATCH(345,Engine!$C$2:$C$1199,0)),"",HYPERLINK("#Acts!A"&amp;INDEX('Compliance Database'!$P$2:$P$1199,MATCH(345,Engine!$C$2:$C$1199,0)),"Go to Act"))</f>
        <v/>
      </c>
    </row>
    <row r="359" spans="1:16" ht="172.95" customHeight="1" x14ac:dyDescent="0.3">
      <c r="A359" s="6" t="str">
        <f>IF(ISNA(MATCH(346,Engine!$C$2:$C$1199,0)),"",INDEX('Compliance Database'!$A$2:$A$1199,MATCH(346,Engine!$C$2:$C$1199,0)))</f>
        <v/>
      </c>
      <c r="B359" s="6" t="str">
        <f>IF(ISNA(MATCH(346,Engine!$C$2:$C$1199,0)),"",INDEX('Compliance Database'!$B$2:$B$1199,MATCH(346,Engine!$C$2:$C$1199,0)))</f>
        <v/>
      </c>
      <c r="C359" s="6" t="str">
        <f>IF(ISNA(MATCH(346,Engine!$C$2:$C$1199,0)),"",INDEX('Compliance Database'!$C$2:$C$1199,MATCH(346,Engine!$C$2:$C$1199,0)))</f>
        <v/>
      </c>
      <c r="D359" s="7" t="str">
        <f>IF(ISNA(MATCH(346,Engine!$C$2:$C$1199,0)),"",INDEX('Compliance Database'!$D$2:$D$1199,MATCH(346,Engine!$C$2:$C$1199,0)))</f>
        <v/>
      </c>
      <c r="E359" s="6" t="str">
        <f>IF(ISNA(MATCH(346,Engine!$C$2:$C$1199,0)),"",INDEX('Compliance Database'!$E$2:$E$1199,MATCH(346,Engine!$C$2:$C$1199,0)))</f>
        <v/>
      </c>
      <c r="F359" s="6" t="str">
        <f>IF(ISNA(MATCH(346,Engine!$C$2:$C$1199,0)),"",INDEX('Compliance Database'!$F$2:$F$1199,MATCH(346,Engine!$C$2:$C$1199,0)))</f>
        <v/>
      </c>
      <c r="G359" s="6" t="str">
        <f>IF(ISNA(MATCH(346,Engine!$C$2:$C$1199,0)),"",INDEX('Compliance Database'!$G$2:$G$1199,MATCH(346,Engine!$C$2:$C$1199,0)))</f>
        <v/>
      </c>
      <c r="H359" s="7" t="str">
        <f>IF(ISNA(MATCH(346,Engine!$C$2:$C$1199,0)),"",INDEX('Compliance Database'!$H$2:$H$1199,MATCH(346,Engine!$C$2:$C$1199,0)))</f>
        <v/>
      </c>
      <c r="I359" s="7" t="str">
        <f>IF(ISNA(MATCH(346,Engine!$C$2:$C$1199,0)),"",INDEX('Compliance Database'!$I$2:$I$1199,MATCH(346,Engine!$C$2:$C$1199,0)))</f>
        <v/>
      </c>
      <c r="J359" s="6" t="str">
        <f>IF(ISNA(MATCH(346,Engine!$C$2:$C$1199,0)),"",INDEX('Compliance Database'!$J$2:$J$1199,MATCH(346,Engine!$C$2:$C$1199,0)))</f>
        <v/>
      </c>
      <c r="K359" s="7" t="str">
        <f>IF(ISNA(MATCH(346,Engine!$C$2:$C$1199,0)),"",INDEX('Compliance Database'!$K$2:$K$1199,MATCH(346,Engine!$C$2:$C$1199,0)))</f>
        <v/>
      </c>
      <c r="L359" s="7" t="str">
        <f>IF(ISNA(MATCH(346,Engine!$C$2:$C$1199,0)),"",INDEX('Compliance Database'!$L$2:$L$1199,MATCH(346,Engine!$C$2:$C$1199,0)))</f>
        <v/>
      </c>
      <c r="M359" s="7" t="str">
        <f>IF(ISNA(MATCH(346,Engine!$C$2:$C$1199,0)),"",INDEX('Compliance Database'!$M$2:$M$1199,MATCH(346,Engine!$C$2:$C$1199,0)))</f>
        <v/>
      </c>
      <c r="N359" s="7" t="str">
        <f>IF(ISNA(MATCH(346,Engine!$C$2:$C$1199,0)),"",INDEX('Compliance Database'!$N$2:$N$1199,MATCH(346,Engine!$C$2:$C$1199,0)))</f>
        <v/>
      </c>
      <c r="O359" s="7" t="str">
        <f>IF(ISNA(MATCH(346,Engine!$C$2:$C$1199,0)),"",INDEX('Compliance Database'!$O$2:$O$1199,MATCH(346,Engine!$C$2:$C$1199,0)))</f>
        <v/>
      </c>
      <c r="P359" s="6" t="str">
        <f>IF(ISNA(MATCH(346,Engine!$C$2:$C$1199,0)),"",HYPERLINK("#Acts!A"&amp;INDEX('Compliance Database'!$P$2:$P$1199,MATCH(346,Engine!$C$2:$C$1199,0)),"Go to Act"))</f>
        <v/>
      </c>
    </row>
    <row r="360" spans="1:16" ht="172.95" customHeight="1" x14ac:dyDescent="0.3">
      <c r="A360" s="6" t="str">
        <f>IF(ISNA(MATCH(347,Engine!$C$2:$C$1199,0)),"",INDEX('Compliance Database'!$A$2:$A$1199,MATCH(347,Engine!$C$2:$C$1199,0)))</f>
        <v/>
      </c>
      <c r="B360" s="6" t="str">
        <f>IF(ISNA(MATCH(347,Engine!$C$2:$C$1199,0)),"",INDEX('Compliance Database'!$B$2:$B$1199,MATCH(347,Engine!$C$2:$C$1199,0)))</f>
        <v/>
      </c>
      <c r="C360" s="6" t="str">
        <f>IF(ISNA(MATCH(347,Engine!$C$2:$C$1199,0)),"",INDEX('Compliance Database'!$C$2:$C$1199,MATCH(347,Engine!$C$2:$C$1199,0)))</f>
        <v/>
      </c>
      <c r="D360" s="7" t="str">
        <f>IF(ISNA(MATCH(347,Engine!$C$2:$C$1199,0)),"",INDEX('Compliance Database'!$D$2:$D$1199,MATCH(347,Engine!$C$2:$C$1199,0)))</f>
        <v/>
      </c>
      <c r="E360" s="6" t="str">
        <f>IF(ISNA(MATCH(347,Engine!$C$2:$C$1199,0)),"",INDEX('Compliance Database'!$E$2:$E$1199,MATCH(347,Engine!$C$2:$C$1199,0)))</f>
        <v/>
      </c>
      <c r="F360" s="6" t="str">
        <f>IF(ISNA(MATCH(347,Engine!$C$2:$C$1199,0)),"",INDEX('Compliance Database'!$F$2:$F$1199,MATCH(347,Engine!$C$2:$C$1199,0)))</f>
        <v/>
      </c>
      <c r="G360" s="6" t="str">
        <f>IF(ISNA(MATCH(347,Engine!$C$2:$C$1199,0)),"",INDEX('Compliance Database'!$G$2:$G$1199,MATCH(347,Engine!$C$2:$C$1199,0)))</f>
        <v/>
      </c>
      <c r="H360" s="7" t="str">
        <f>IF(ISNA(MATCH(347,Engine!$C$2:$C$1199,0)),"",INDEX('Compliance Database'!$H$2:$H$1199,MATCH(347,Engine!$C$2:$C$1199,0)))</f>
        <v/>
      </c>
      <c r="I360" s="7" t="str">
        <f>IF(ISNA(MATCH(347,Engine!$C$2:$C$1199,0)),"",INDEX('Compliance Database'!$I$2:$I$1199,MATCH(347,Engine!$C$2:$C$1199,0)))</f>
        <v/>
      </c>
      <c r="J360" s="6" t="str">
        <f>IF(ISNA(MATCH(347,Engine!$C$2:$C$1199,0)),"",INDEX('Compliance Database'!$J$2:$J$1199,MATCH(347,Engine!$C$2:$C$1199,0)))</f>
        <v/>
      </c>
      <c r="K360" s="7" t="str">
        <f>IF(ISNA(MATCH(347,Engine!$C$2:$C$1199,0)),"",INDEX('Compliance Database'!$K$2:$K$1199,MATCH(347,Engine!$C$2:$C$1199,0)))</f>
        <v/>
      </c>
      <c r="L360" s="7" t="str">
        <f>IF(ISNA(MATCH(347,Engine!$C$2:$C$1199,0)),"",INDEX('Compliance Database'!$L$2:$L$1199,MATCH(347,Engine!$C$2:$C$1199,0)))</f>
        <v/>
      </c>
      <c r="M360" s="7" t="str">
        <f>IF(ISNA(MATCH(347,Engine!$C$2:$C$1199,0)),"",INDEX('Compliance Database'!$M$2:$M$1199,MATCH(347,Engine!$C$2:$C$1199,0)))</f>
        <v/>
      </c>
      <c r="N360" s="7" t="str">
        <f>IF(ISNA(MATCH(347,Engine!$C$2:$C$1199,0)),"",INDEX('Compliance Database'!$N$2:$N$1199,MATCH(347,Engine!$C$2:$C$1199,0)))</f>
        <v/>
      </c>
      <c r="O360" s="7" t="str">
        <f>IF(ISNA(MATCH(347,Engine!$C$2:$C$1199,0)),"",INDEX('Compliance Database'!$O$2:$O$1199,MATCH(347,Engine!$C$2:$C$1199,0)))</f>
        <v/>
      </c>
      <c r="P360" s="6" t="str">
        <f>IF(ISNA(MATCH(347,Engine!$C$2:$C$1199,0)),"",HYPERLINK("#Acts!A"&amp;INDEX('Compliance Database'!$P$2:$P$1199,MATCH(347,Engine!$C$2:$C$1199,0)),"Go to Act"))</f>
        <v/>
      </c>
    </row>
    <row r="361" spans="1:16" ht="172.95" customHeight="1" x14ac:dyDescent="0.3">
      <c r="A361" s="6" t="str">
        <f>IF(ISNA(MATCH(348,Engine!$C$2:$C$1199,0)),"",INDEX('Compliance Database'!$A$2:$A$1199,MATCH(348,Engine!$C$2:$C$1199,0)))</f>
        <v/>
      </c>
      <c r="B361" s="6" t="str">
        <f>IF(ISNA(MATCH(348,Engine!$C$2:$C$1199,0)),"",INDEX('Compliance Database'!$B$2:$B$1199,MATCH(348,Engine!$C$2:$C$1199,0)))</f>
        <v/>
      </c>
      <c r="C361" s="6" t="str">
        <f>IF(ISNA(MATCH(348,Engine!$C$2:$C$1199,0)),"",INDEX('Compliance Database'!$C$2:$C$1199,MATCH(348,Engine!$C$2:$C$1199,0)))</f>
        <v/>
      </c>
      <c r="D361" s="7" t="str">
        <f>IF(ISNA(MATCH(348,Engine!$C$2:$C$1199,0)),"",INDEX('Compliance Database'!$D$2:$D$1199,MATCH(348,Engine!$C$2:$C$1199,0)))</f>
        <v/>
      </c>
      <c r="E361" s="6" t="str">
        <f>IF(ISNA(MATCH(348,Engine!$C$2:$C$1199,0)),"",INDEX('Compliance Database'!$E$2:$E$1199,MATCH(348,Engine!$C$2:$C$1199,0)))</f>
        <v/>
      </c>
      <c r="F361" s="6" t="str">
        <f>IF(ISNA(MATCH(348,Engine!$C$2:$C$1199,0)),"",INDEX('Compliance Database'!$F$2:$F$1199,MATCH(348,Engine!$C$2:$C$1199,0)))</f>
        <v/>
      </c>
      <c r="G361" s="6" t="str">
        <f>IF(ISNA(MATCH(348,Engine!$C$2:$C$1199,0)),"",INDEX('Compliance Database'!$G$2:$G$1199,MATCH(348,Engine!$C$2:$C$1199,0)))</f>
        <v/>
      </c>
      <c r="H361" s="7" t="str">
        <f>IF(ISNA(MATCH(348,Engine!$C$2:$C$1199,0)),"",INDEX('Compliance Database'!$H$2:$H$1199,MATCH(348,Engine!$C$2:$C$1199,0)))</f>
        <v/>
      </c>
      <c r="I361" s="7" t="str">
        <f>IF(ISNA(MATCH(348,Engine!$C$2:$C$1199,0)),"",INDEX('Compliance Database'!$I$2:$I$1199,MATCH(348,Engine!$C$2:$C$1199,0)))</f>
        <v/>
      </c>
      <c r="J361" s="6" t="str">
        <f>IF(ISNA(MATCH(348,Engine!$C$2:$C$1199,0)),"",INDEX('Compliance Database'!$J$2:$J$1199,MATCH(348,Engine!$C$2:$C$1199,0)))</f>
        <v/>
      </c>
      <c r="K361" s="7" t="str">
        <f>IF(ISNA(MATCH(348,Engine!$C$2:$C$1199,0)),"",INDEX('Compliance Database'!$K$2:$K$1199,MATCH(348,Engine!$C$2:$C$1199,0)))</f>
        <v/>
      </c>
      <c r="L361" s="7" t="str">
        <f>IF(ISNA(MATCH(348,Engine!$C$2:$C$1199,0)),"",INDEX('Compliance Database'!$L$2:$L$1199,MATCH(348,Engine!$C$2:$C$1199,0)))</f>
        <v/>
      </c>
      <c r="M361" s="7" t="str">
        <f>IF(ISNA(MATCH(348,Engine!$C$2:$C$1199,0)),"",INDEX('Compliance Database'!$M$2:$M$1199,MATCH(348,Engine!$C$2:$C$1199,0)))</f>
        <v/>
      </c>
      <c r="N361" s="7" t="str">
        <f>IF(ISNA(MATCH(348,Engine!$C$2:$C$1199,0)),"",INDEX('Compliance Database'!$N$2:$N$1199,MATCH(348,Engine!$C$2:$C$1199,0)))</f>
        <v/>
      </c>
      <c r="O361" s="7" t="str">
        <f>IF(ISNA(MATCH(348,Engine!$C$2:$C$1199,0)),"",INDEX('Compliance Database'!$O$2:$O$1199,MATCH(348,Engine!$C$2:$C$1199,0)))</f>
        <v/>
      </c>
      <c r="P361" s="6" t="str">
        <f>IF(ISNA(MATCH(348,Engine!$C$2:$C$1199,0)),"",HYPERLINK("#Acts!A"&amp;INDEX('Compliance Database'!$P$2:$P$1199,MATCH(348,Engine!$C$2:$C$1199,0)),"Go to Act"))</f>
        <v/>
      </c>
    </row>
    <row r="362" spans="1:16" ht="172.95" customHeight="1" x14ac:dyDescent="0.3">
      <c r="A362" s="6" t="str">
        <f>IF(ISNA(MATCH(349,Engine!$C$2:$C$1199,0)),"",INDEX('Compliance Database'!$A$2:$A$1199,MATCH(349,Engine!$C$2:$C$1199,0)))</f>
        <v/>
      </c>
      <c r="B362" s="6" t="str">
        <f>IF(ISNA(MATCH(349,Engine!$C$2:$C$1199,0)),"",INDEX('Compliance Database'!$B$2:$B$1199,MATCH(349,Engine!$C$2:$C$1199,0)))</f>
        <v/>
      </c>
      <c r="C362" s="6" t="str">
        <f>IF(ISNA(MATCH(349,Engine!$C$2:$C$1199,0)),"",INDEX('Compliance Database'!$C$2:$C$1199,MATCH(349,Engine!$C$2:$C$1199,0)))</f>
        <v/>
      </c>
      <c r="D362" s="7" t="str">
        <f>IF(ISNA(MATCH(349,Engine!$C$2:$C$1199,0)),"",INDEX('Compliance Database'!$D$2:$D$1199,MATCH(349,Engine!$C$2:$C$1199,0)))</f>
        <v/>
      </c>
      <c r="E362" s="6" t="str">
        <f>IF(ISNA(MATCH(349,Engine!$C$2:$C$1199,0)),"",INDEX('Compliance Database'!$E$2:$E$1199,MATCH(349,Engine!$C$2:$C$1199,0)))</f>
        <v/>
      </c>
      <c r="F362" s="6" t="str">
        <f>IF(ISNA(MATCH(349,Engine!$C$2:$C$1199,0)),"",INDEX('Compliance Database'!$F$2:$F$1199,MATCH(349,Engine!$C$2:$C$1199,0)))</f>
        <v/>
      </c>
      <c r="G362" s="6" t="str">
        <f>IF(ISNA(MATCH(349,Engine!$C$2:$C$1199,0)),"",INDEX('Compliance Database'!$G$2:$G$1199,MATCH(349,Engine!$C$2:$C$1199,0)))</f>
        <v/>
      </c>
      <c r="H362" s="7" t="str">
        <f>IF(ISNA(MATCH(349,Engine!$C$2:$C$1199,0)),"",INDEX('Compliance Database'!$H$2:$H$1199,MATCH(349,Engine!$C$2:$C$1199,0)))</f>
        <v/>
      </c>
      <c r="I362" s="7" t="str">
        <f>IF(ISNA(MATCH(349,Engine!$C$2:$C$1199,0)),"",INDEX('Compliance Database'!$I$2:$I$1199,MATCH(349,Engine!$C$2:$C$1199,0)))</f>
        <v/>
      </c>
      <c r="J362" s="6" t="str">
        <f>IF(ISNA(MATCH(349,Engine!$C$2:$C$1199,0)),"",INDEX('Compliance Database'!$J$2:$J$1199,MATCH(349,Engine!$C$2:$C$1199,0)))</f>
        <v/>
      </c>
      <c r="K362" s="7" t="str">
        <f>IF(ISNA(MATCH(349,Engine!$C$2:$C$1199,0)),"",INDEX('Compliance Database'!$K$2:$K$1199,MATCH(349,Engine!$C$2:$C$1199,0)))</f>
        <v/>
      </c>
      <c r="L362" s="7" t="str">
        <f>IF(ISNA(MATCH(349,Engine!$C$2:$C$1199,0)),"",INDEX('Compliance Database'!$L$2:$L$1199,MATCH(349,Engine!$C$2:$C$1199,0)))</f>
        <v/>
      </c>
      <c r="M362" s="7" t="str">
        <f>IF(ISNA(MATCH(349,Engine!$C$2:$C$1199,0)),"",INDEX('Compliance Database'!$M$2:$M$1199,MATCH(349,Engine!$C$2:$C$1199,0)))</f>
        <v/>
      </c>
      <c r="N362" s="7" t="str">
        <f>IF(ISNA(MATCH(349,Engine!$C$2:$C$1199,0)),"",INDEX('Compliance Database'!$N$2:$N$1199,MATCH(349,Engine!$C$2:$C$1199,0)))</f>
        <v/>
      </c>
      <c r="O362" s="7" t="str">
        <f>IF(ISNA(MATCH(349,Engine!$C$2:$C$1199,0)),"",INDEX('Compliance Database'!$O$2:$O$1199,MATCH(349,Engine!$C$2:$C$1199,0)))</f>
        <v/>
      </c>
      <c r="P362" s="6" t="str">
        <f>IF(ISNA(MATCH(349,Engine!$C$2:$C$1199,0)),"",HYPERLINK("#Acts!A"&amp;INDEX('Compliance Database'!$P$2:$P$1199,MATCH(349,Engine!$C$2:$C$1199,0)),"Go to Act"))</f>
        <v/>
      </c>
    </row>
    <row r="363" spans="1:16" ht="172.95" customHeight="1" x14ac:dyDescent="0.3">
      <c r="A363" s="6" t="str">
        <f>IF(ISNA(MATCH(350,Engine!$C$2:$C$1199,0)),"",INDEX('Compliance Database'!$A$2:$A$1199,MATCH(350,Engine!$C$2:$C$1199,0)))</f>
        <v/>
      </c>
      <c r="B363" s="6" t="str">
        <f>IF(ISNA(MATCH(350,Engine!$C$2:$C$1199,0)),"",INDEX('Compliance Database'!$B$2:$B$1199,MATCH(350,Engine!$C$2:$C$1199,0)))</f>
        <v/>
      </c>
      <c r="C363" s="6" t="str">
        <f>IF(ISNA(MATCH(350,Engine!$C$2:$C$1199,0)),"",INDEX('Compliance Database'!$C$2:$C$1199,MATCH(350,Engine!$C$2:$C$1199,0)))</f>
        <v/>
      </c>
      <c r="D363" s="7" t="str">
        <f>IF(ISNA(MATCH(350,Engine!$C$2:$C$1199,0)),"",INDEX('Compliance Database'!$D$2:$D$1199,MATCH(350,Engine!$C$2:$C$1199,0)))</f>
        <v/>
      </c>
      <c r="E363" s="6" t="str">
        <f>IF(ISNA(MATCH(350,Engine!$C$2:$C$1199,0)),"",INDEX('Compliance Database'!$E$2:$E$1199,MATCH(350,Engine!$C$2:$C$1199,0)))</f>
        <v/>
      </c>
      <c r="F363" s="6" t="str">
        <f>IF(ISNA(MATCH(350,Engine!$C$2:$C$1199,0)),"",INDEX('Compliance Database'!$F$2:$F$1199,MATCH(350,Engine!$C$2:$C$1199,0)))</f>
        <v/>
      </c>
      <c r="G363" s="6" t="str">
        <f>IF(ISNA(MATCH(350,Engine!$C$2:$C$1199,0)),"",INDEX('Compliance Database'!$G$2:$G$1199,MATCH(350,Engine!$C$2:$C$1199,0)))</f>
        <v/>
      </c>
      <c r="H363" s="7" t="str">
        <f>IF(ISNA(MATCH(350,Engine!$C$2:$C$1199,0)),"",INDEX('Compliance Database'!$H$2:$H$1199,MATCH(350,Engine!$C$2:$C$1199,0)))</f>
        <v/>
      </c>
      <c r="I363" s="7" t="str">
        <f>IF(ISNA(MATCH(350,Engine!$C$2:$C$1199,0)),"",INDEX('Compliance Database'!$I$2:$I$1199,MATCH(350,Engine!$C$2:$C$1199,0)))</f>
        <v/>
      </c>
      <c r="J363" s="6" t="str">
        <f>IF(ISNA(MATCH(350,Engine!$C$2:$C$1199,0)),"",INDEX('Compliance Database'!$J$2:$J$1199,MATCH(350,Engine!$C$2:$C$1199,0)))</f>
        <v/>
      </c>
      <c r="K363" s="7" t="str">
        <f>IF(ISNA(MATCH(350,Engine!$C$2:$C$1199,0)),"",INDEX('Compliance Database'!$K$2:$K$1199,MATCH(350,Engine!$C$2:$C$1199,0)))</f>
        <v/>
      </c>
      <c r="L363" s="7" t="str">
        <f>IF(ISNA(MATCH(350,Engine!$C$2:$C$1199,0)),"",INDEX('Compliance Database'!$L$2:$L$1199,MATCH(350,Engine!$C$2:$C$1199,0)))</f>
        <v/>
      </c>
      <c r="M363" s="7" t="str">
        <f>IF(ISNA(MATCH(350,Engine!$C$2:$C$1199,0)),"",INDEX('Compliance Database'!$M$2:$M$1199,MATCH(350,Engine!$C$2:$C$1199,0)))</f>
        <v/>
      </c>
      <c r="N363" s="7" t="str">
        <f>IF(ISNA(MATCH(350,Engine!$C$2:$C$1199,0)),"",INDEX('Compliance Database'!$N$2:$N$1199,MATCH(350,Engine!$C$2:$C$1199,0)))</f>
        <v/>
      </c>
      <c r="O363" s="7" t="str">
        <f>IF(ISNA(MATCH(350,Engine!$C$2:$C$1199,0)),"",INDEX('Compliance Database'!$O$2:$O$1199,MATCH(350,Engine!$C$2:$C$1199,0)))</f>
        <v/>
      </c>
      <c r="P363" s="6" t="str">
        <f>IF(ISNA(MATCH(350,Engine!$C$2:$C$1199,0)),"",HYPERLINK("#Acts!A"&amp;INDEX('Compliance Database'!$P$2:$P$1199,MATCH(350,Engine!$C$2:$C$1199,0)),"Go to Act"))</f>
        <v/>
      </c>
    </row>
    <row r="364" spans="1:16" ht="172.95" customHeight="1" x14ac:dyDescent="0.3">
      <c r="A364" s="6" t="str">
        <f>IF(ISNA(MATCH(351,Engine!$C$2:$C$1199,0)),"",INDEX('Compliance Database'!$A$2:$A$1199,MATCH(351,Engine!$C$2:$C$1199,0)))</f>
        <v/>
      </c>
      <c r="B364" s="6" t="str">
        <f>IF(ISNA(MATCH(351,Engine!$C$2:$C$1199,0)),"",INDEX('Compliance Database'!$B$2:$B$1199,MATCH(351,Engine!$C$2:$C$1199,0)))</f>
        <v/>
      </c>
      <c r="C364" s="6" t="str">
        <f>IF(ISNA(MATCH(351,Engine!$C$2:$C$1199,0)),"",INDEX('Compliance Database'!$C$2:$C$1199,MATCH(351,Engine!$C$2:$C$1199,0)))</f>
        <v/>
      </c>
      <c r="D364" s="7" t="str">
        <f>IF(ISNA(MATCH(351,Engine!$C$2:$C$1199,0)),"",INDEX('Compliance Database'!$D$2:$D$1199,MATCH(351,Engine!$C$2:$C$1199,0)))</f>
        <v/>
      </c>
      <c r="E364" s="6" t="str">
        <f>IF(ISNA(MATCH(351,Engine!$C$2:$C$1199,0)),"",INDEX('Compliance Database'!$E$2:$E$1199,MATCH(351,Engine!$C$2:$C$1199,0)))</f>
        <v/>
      </c>
      <c r="F364" s="6" t="str">
        <f>IF(ISNA(MATCH(351,Engine!$C$2:$C$1199,0)),"",INDEX('Compliance Database'!$F$2:$F$1199,MATCH(351,Engine!$C$2:$C$1199,0)))</f>
        <v/>
      </c>
      <c r="G364" s="6" t="str">
        <f>IF(ISNA(MATCH(351,Engine!$C$2:$C$1199,0)),"",INDEX('Compliance Database'!$G$2:$G$1199,MATCH(351,Engine!$C$2:$C$1199,0)))</f>
        <v/>
      </c>
      <c r="H364" s="7" t="str">
        <f>IF(ISNA(MATCH(351,Engine!$C$2:$C$1199,0)),"",INDEX('Compliance Database'!$H$2:$H$1199,MATCH(351,Engine!$C$2:$C$1199,0)))</f>
        <v/>
      </c>
      <c r="I364" s="7" t="str">
        <f>IF(ISNA(MATCH(351,Engine!$C$2:$C$1199,0)),"",INDEX('Compliance Database'!$I$2:$I$1199,MATCH(351,Engine!$C$2:$C$1199,0)))</f>
        <v/>
      </c>
      <c r="J364" s="6" t="str">
        <f>IF(ISNA(MATCH(351,Engine!$C$2:$C$1199,0)),"",INDEX('Compliance Database'!$J$2:$J$1199,MATCH(351,Engine!$C$2:$C$1199,0)))</f>
        <v/>
      </c>
      <c r="K364" s="7" t="str">
        <f>IF(ISNA(MATCH(351,Engine!$C$2:$C$1199,0)),"",INDEX('Compliance Database'!$K$2:$K$1199,MATCH(351,Engine!$C$2:$C$1199,0)))</f>
        <v/>
      </c>
      <c r="L364" s="7" t="str">
        <f>IF(ISNA(MATCH(351,Engine!$C$2:$C$1199,0)),"",INDEX('Compliance Database'!$L$2:$L$1199,MATCH(351,Engine!$C$2:$C$1199,0)))</f>
        <v/>
      </c>
      <c r="M364" s="7" t="str">
        <f>IF(ISNA(MATCH(351,Engine!$C$2:$C$1199,0)),"",INDEX('Compliance Database'!$M$2:$M$1199,MATCH(351,Engine!$C$2:$C$1199,0)))</f>
        <v/>
      </c>
      <c r="N364" s="7" t="str">
        <f>IF(ISNA(MATCH(351,Engine!$C$2:$C$1199,0)),"",INDEX('Compliance Database'!$N$2:$N$1199,MATCH(351,Engine!$C$2:$C$1199,0)))</f>
        <v/>
      </c>
      <c r="O364" s="7" t="str">
        <f>IF(ISNA(MATCH(351,Engine!$C$2:$C$1199,0)),"",INDEX('Compliance Database'!$O$2:$O$1199,MATCH(351,Engine!$C$2:$C$1199,0)))</f>
        <v/>
      </c>
      <c r="P364" s="6" t="str">
        <f>IF(ISNA(MATCH(351,Engine!$C$2:$C$1199,0)),"",HYPERLINK("#Acts!A"&amp;INDEX('Compliance Database'!$P$2:$P$1199,MATCH(351,Engine!$C$2:$C$1199,0)),"Go to Act"))</f>
        <v/>
      </c>
    </row>
    <row r="365" spans="1:16" ht="172.95" customHeight="1" x14ac:dyDescent="0.3">
      <c r="A365" s="6" t="str">
        <f>IF(ISNA(MATCH(352,Engine!$C$2:$C$1199,0)),"",INDEX('Compliance Database'!$A$2:$A$1199,MATCH(352,Engine!$C$2:$C$1199,0)))</f>
        <v/>
      </c>
      <c r="B365" s="6" t="str">
        <f>IF(ISNA(MATCH(352,Engine!$C$2:$C$1199,0)),"",INDEX('Compliance Database'!$B$2:$B$1199,MATCH(352,Engine!$C$2:$C$1199,0)))</f>
        <v/>
      </c>
      <c r="C365" s="6" t="str">
        <f>IF(ISNA(MATCH(352,Engine!$C$2:$C$1199,0)),"",INDEX('Compliance Database'!$C$2:$C$1199,MATCH(352,Engine!$C$2:$C$1199,0)))</f>
        <v/>
      </c>
      <c r="D365" s="7" t="str">
        <f>IF(ISNA(MATCH(352,Engine!$C$2:$C$1199,0)),"",INDEX('Compliance Database'!$D$2:$D$1199,MATCH(352,Engine!$C$2:$C$1199,0)))</f>
        <v/>
      </c>
      <c r="E365" s="6" t="str">
        <f>IF(ISNA(MATCH(352,Engine!$C$2:$C$1199,0)),"",INDEX('Compliance Database'!$E$2:$E$1199,MATCH(352,Engine!$C$2:$C$1199,0)))</f>
        <v/>
      </c>
      <c r="F365" s="6" t="str">
        <f>IF(ISNA(MATCH(352,Engine!$C$2:$C$1199,0)),"",INDEX('Compliance Database'!$F$2:$F$1199,MATCH(352,Engine!$C$2:$C$1199,0)))</f>
        <v/>
      </c>
      <c r="G365" s="6" t="str">
        <f>IF(ISNA(MATCH(352,Engine!$C$2:$C$1199,0)),"",INDEX('Compliance Database'!$G$2:$G$1199,MATCH(352,Engine!$C$2:$C$1199,0)))</f>
        <v/>
      </c>
      <c r="H365" s="7" t="str">
        <f>IF(ISNA(MATCH(352,Engine!$C$2:$C$1199,0)),"",INDEX('Compliance Database'!$H$2:$H$1199,MATCH(352,Engine!$C$2:$C$1199,0)))</f>
        <v/>
      </c>
      <c r="I365" s="7" t="str">
        <f>IF(ISNA(MATCH(352,Engine!$C$2:$C$1199,0)),"",INDEX('Compliance Database'!$I$2:$I$1199,MATCH(352,Engine!$C$2:$C$1199,0)))</f>
        <v/>
      </c>
      <c r="J365" s="6" t="str">
        <f>IF(ISNA(MATCH(352,Engine!$C$2:$C$1199,0)),"",INDEX('Compliance Database'!$J$2:$J$1199,MATCH(352,Engine!$C$2:$C$1199,0)))</f>
        <v/>
      </c>
      <c r="K365" s="7" t="str">
        <f>IF(ISNA(MATCH(352,Engine!$C$2:$C$1199,0)),"",INDEX('Compliance Database'!$K$2:$K$1199,MATCH(352,Engine!$C$2:$C$1199,0)))</f>
        <v/>
      </c>
      <c r="L365" s="7" t="str">
        <f>IF(ISNA(MATCH(352,Engine!$C$2:$C$1199,0)),"",INDEX('Compliance Database'!$L$2:$L$1199,MATCH(352,Engine!$C$2:$C$1199,0)))</f>
        <v/>
      </c>
      <c r="M365" s="7" t="str">
        <f>IF(ISNA(MATCH(352,Engine!$C$2:$C$1199,0)),"",INDEX('Compliance Database'!$M$2:$M$1199,MATCH(352,Engine!$C$2:$C$1199,0)))</f>
        <v/>
      </c>
      <c r="N365" s="7" t="str">
        <f>IF(ISNA(MATCH(352,Engine!$C$2:$C$1199,0)),"",INDEX('Compliance Database'!$N$2:$N$1199,MATCH(352,Engine!$C$2:$C$1199,0)))</f>
        <v/>
      </c>
      <c r="O365" s="7" t="str">
        <f>IF(ISNA(MATCH(352,Engine!$C$2:$C$1199,0)),"",INDEX('Compliance Database'!$O$2:$O$1199,MATCH(352,Engine!$C$2:$C$1199,0)))</f>
        <v/>
      </c>
      <c r="P365" s="6" t="str">
        <f>IF(ISNA(MATCH(352,Engine!$C$2:$C$1199,0)),"",HYPERLINK("#Acts!A"&amp;INDEX('Compliance Database'!$P$2:$P$1199,MATCH(352,Engine!$C$2:$C$1199,0)),"Go to Act"))</f>
        <v/>
      </c>
    </row>
    <row r="366" spans="1:16" ht="172.95" customHeight="1" x14ac:dyDescent="0.3">
      <c r="A366" s="6" t="str">
        <f>IF(ISNA(MATCH(353,Engine!$C$2:$C$1199,0)),"",INDEX('Compliance Database'!$A$2:$A$1199,MATCH(353,Engine!$C$2:$C$1199,0)))</f>
        <v/>
      </c>
      <c r="B366" s="6" t="str">
        <f>IF(ISNA(MATCH(353,Engine!$C$2:$C$1199,0)),"",INDEX('Compliance Database'!$B$2:$B$1199,MATCH(353,Engine!$C$2:$C$1199,0)))</f>
        <v/>
      </c>
      <c r="C366" s="6" t="str">
        <f>IF(ISNA(MATCH(353,Engine!$C$2:$C$1199,0)),"",INDEX('Compliance Database'!$C$2:$C$1199,MATCH(353,Engine!$C$2:$C$1199,0)))</f>
        <v/>
      </c>
      <c r="D366" s="7" t="str">
        <f>IF(ISNA(MATCH(353,Engine!$C$2:$C$1199,0)),"",INDEX('Compliance Database'!$D$2:$D$1199,MATCH(353,Engine!$C$2:$C$1199,0)))</f>
        <v/>
      </c>
      <c r="E366" s="6" t="str">
        <f>IF(ISNA(MATCH(353,Engine!$C$2:$C$1199,0)),"",INDEX('Compliance Database'!$E$2:$E$1199,MATCH(353,Engine!$C$2:$C$1199,0)))</f>
        <v/>
      </c>
      <c r="F366" s="6" t="str">
        <f>IF(ISNA(MATCH(353,Engine!$C$2:$C$1199,0)),"",INDEX('Compliance Database'!$F$2:$F$1199,MATCH(353,Engine!$C$2:$C$1199,0)))</f>
        <v/>
      </c>
      <c r="G366" s="6" t="str">
        <f>IF(ISNA(MATCH(353,Engine!$C$2:$C$1199,0)),"",INDEX('Compliance Database'!$G$2:$G$1199,MATCH(353,Engine!$C$2:$C$1199,0)))</f>
        <v/>
      </c>
      <c r="H366" s="7" t="str">
        <f>IF(ISNA(MATCH(353,Engine!$C$2:$C$1199,0)),"",INDEX('Compliance Database'!$H$2:$H$1199,MATCH(353,Engine!$C$2:$C$1199,0)))</f>
        <v/>
      </c>
      <c r="I366" s="7" t="str">
        <f>IF(ISNA(MATCH(353,Engine!$C$2:$C$1199,0)),"",INDEX('Compliance Database'!$I$2:$I$1199,MATCH(353,Engine!$C$2:$C$1199,0)))</f>
        <v/>
      </c>
      <c r="J366" s="6" t="str">
        <f>IF(ISNA(MATCH(353,Engine!$C$2:$C$1199,0)),"",INDEX('Compliance Database'!$J$2:$J$1199,MATCH(353,Engine!$C$2:$C$1199,0)))</f>
        <v/>
      </c>
      <c r="K366" s="7" t="str">
        <f>IF(ISNA(MATCH(353,Engine!$C$2:$C$1199,0)),"",INDEX('Compliance Database'!$K$2:$K$1199,MATCH(353,Engine!$C$2:$C$1199,0)))</f>
        <v/>
      </c>
      <c r="L366" s="7" t="str">
        <f>IF(ISNA(MATCH(353,Engine!$C$2:$C$1199,0)),"",INDEX('Compliance Database'!$L$2:$L$1199,MATCH(353,Engine!$C$2:$C$1199,0)))</f>
        <v/>
      </c>
      <c r="M366" s="7" t="str">
        <f>IF(ISNA(MATCH(353,Engine!$C$2:$C$1199,0)),"",INDEX('Compliance Database'!$M$2:$M$1199,MATCH(353,Engine!$C$2:$C$1199,0)))</f>
        <v/>
      </c>
      <c r="N366" s="7" t="str">
        <f>IF(ISNA(MATCH(353,Engine!$C$2:$C$1199,0)),"",INDEX('Compliance Database'!$N$2:$N$1199,MATCH(353,Engine!$C$2:$C$1199,0)))</f>
        <v/>
      </c>
      <c r="O366" s="7" t="str">
        <f>IF(ISNA(MATCH(353,Engine!$C$2:$C$1199,0)),"",INDEX('Compliance Database'!$O$2:$O$1199,MATCH(353,Engine!$C$2:$C$1199,0)))</f>
        <v/>
      </c>
      <c r="P366" s="6" t="str">
        <f>IF(ISNA(MATCH(353,Engine!$C$2:$C$1199,0)),"",HYPERLINK("#Acts!A"&amp;INDEX('Compliance Database'!$P$2:$P$1199,MATCH(353,Engine!$C$2:$C$1199,0)),"Go to Act"))</f>
        <v/>
      </c>
    </row>
    <row r="367" spans="1:16" ht="172.95" customHeight="1" x14ac:dyDescent="0.3">
      <c r="A367" s="6" t="str">
        <f>IF(ISNA(MATCH(354,Engine!$C$2:$C$1199,0)),"",INDEX('Compliance Database'!$A$2:$A$1199,MATCH(354,Engine!$C$2:$C$1199,0)))</f>
        <v/>
      </c>
      <c r="B367" s="6" t="str">
        <f>IF(ISNA(MATCH(354,Engine!$C$2:$C$1199,0)),"",INDEX('Compliance Database'!$B$2:$B$1199,MATCH(354,Engine!$C$2:$C$1199,0)))</f>
        <v/>
      </c>
      <c r="C367" s="6" t="str">
        <f>IF(ISNA(MATCH(354,Engine!$C$2:$C$1199,0)),"",INDEX('Compliance Database'!$C$2:$C$1199,MATCH(354,Engine!$C$2:$C$1199,0)))</f>
        <v/>
      </c>
      <c r="D367" s="7" t="str">
        <f>IF(ISNA(MATCH(354,Engine!$C$2:$C$1199,0)),"",INDEX('Compliance Database'!$D$2:$D$1199,MATCH(354,Engine!$C$2:$C$1199,0)))</f>
        <v/>
      </c>
      <c r="E367" s="6" t="str">
        <f>IF(ISNA(MATCH(354,Engine!$C$2:$C$1199,0)),"",INDEX('Compliance Database'!$E$2:$E$1199,MATCH(354,Engine!$C$2:$C$1199,0)))</f>
        <v/>
      </c>
      <c r="F367" s="6" t="str">
        <f>IF(ISNA(MATCH(354,Engine!$C$2:$C$1199,0)),"",INDEX('Compliance Database'!$F$2:$F$1199,MATCH(354,Engine!$C$2:$C$1199,0)))</f>
        <v/>
      </c>
      <c r="G367" s="6" t="str">
        <f>IF(ISNA(MATCH(354,Engine!$C$2:$C$1199,0)),"",INDEX('Compliance Database'!$G$2:$G$1199,MATCH(354,Engine!$C$2:$C$1199,0)))</f>
        <v/>
      </c>
      <c r="H367" s="7" t="str">
        <f>IF(ISNA(MATCH(354,Engine!$C$2:$C$1199,0)),"",INDEX('Compliance Database'!$H$2:$H$1199,MATCH(354,Engine!$C$2:$C$1199,0)))</f>
        <v/>
      </c>
      <c r="I367" s="7" t="str">
        <f>IF(ISNA(MATCH(354,Engine!$C$2:$C$1199,0)),"",INDEX('Compliance Database'!$I$2:$I$1199,MATCH(354,Engine!$C$2:$C$1199,0)))</f>
        <v/>
      </c>
      <c r="J367" s="6" t="str">
        <f>IF(ISNA(MATCH(354,Engine!$C$2:$C$1199,0)),"",INDEX('Compliance Database'!$J$2:$J$1199,MATCH(354,Engine!$C$2:$C$1199,0)))</f>
        <v/>
      </c>
      <c r="K367" s="7" t="str">
        <f>IF(ISNA(MATCH(354,Engine!$C$2:$C$1199,0)),"",INDEX('Compliance Database'!$K$2:$K$1199,MATCH(354,Engine!$C$2:$C$1199,0)))</f>
        <v/>
      </c>
      <c r="L367" s="7" t="str">
        <f>IF(ISNA(MATCH(354,Engine!$C$2:$C$1199,0)),"",INDEX('Compliance Database'!$L$2:$L$1199,MATCH(354,Engine!$C$2:$C$1199,0)))</f>
        <v/>
      </c>
      <c r="M367" s="7" t="str">
        <f>IF(ISNA(MATCH(354,Engine!$C$2:$C$1199,0)),"",INDEX('Compliance Database'!$M$2:$M$1199,MATCH(354,Engine!$C$2:$C$1199,0)))</f>
        <v/>
      </c>
      <c r="N367" s="7" t="str">
        <f>IF(ISNA(MATCH(354,Engine!$C$2:$C$1199,0)),"",INDEX('Compliance Database'!$N$2:$N$1199,MATCH(354,Engine!$C$2:$C$1199,0)))</f>
        <v/>
      </c>
      <c r="O367" s="7" t="str">
        <f>IF(ISNA(MATCH(354,Engine!$C$2:$C$1199,0)),"",INDEX('Compliance Database'!$O$2:$O$1199,MATCH(354,Engine!$C$2:$C$1199,0)))</f>
        <v/>
      </c>
      <c r="P367" s="6" t="str">
        <f>IF(ISNA(MATCH(354,Engine!$C$2:$C$1199,0)),"",HYPERLINK("#Acts!A"&amp;INDEX('Compliance Database'!$P$2:$P$1199,MATCH(354,Engine!$C$2:$C$1199,0)),"Go to Act"))</f>
        <v/>
      </c>
    </row>
    <row r="368" spans="1:16" ht="172.95" customHeight="1" x14ac:dyDescent="0.3">
      <c r="A368" s="6" t="str">
        <f>IF(ISNA(MATCH(355,Engine!$C$2:$C$1199,0)),"",INDEX('Compliance Database'!$A$2:$A$1199,MATCH(355,Engine!$C$2:$C$1199,0)))</f>
        <v/>
      </c>
      <c r="B368" s="6" t="str">
        <f>IF(ISNA(MATCH(355,Engine!$C$2:$C$1199,0)),"",INDEX('Compliance Database'!$B$2:$B$1199,MATCH(355,Engine!$C$2:$C$1199,0)))</f>
        <v/>
      </c>
      <c r="C368" s="6" t="str">
        <f>IF(ISNA(MATCH(355,Engine!$C$2:$C$1199,0)),"",INDEX('Compliance Database'!$C$2:$C$1199,MATCH(355,Engine!$C$2:$C$1199,0)))</f>
        <v/>
      </c>
      <c r="D368" s="7" t="str">
        <f>IF(ISNA(MATCH(355,Engine!$C$2:$C$1199,0)),"",INDEX('Compliance Database'!$D$2:$D$1199,MATCH(355,Engine!$C$2:$C$1199,0)))</f>
        <v/>
      </c>
      <c r="E368" s="6" t="str">
        <f>IF(ISNA(MATCH(355,Engine!$C$2:$C$1199,0)),"",INDEX('Compliance Database'!$E$2:$E$1199,MATCH(355,Engine!$C$2:$C$1199,0)))</f>
        <v/>
      </c>
      <c r="F368" s="6" t="str">
        <f>IF(ISNA(MATCH(355,Engine!$C$2:$C$1199,0)),"",INDEX('Compliance Database'!$F$2:$F$1199,MATCH(355,Engine!$C$2:$C$1199,0)))</f>
        <v/>
      </c>
      <c r="G368" s="6" t="str">
        <f>IF(ISNA(MATCH(355,Engine!$C$2:$C$1199,0)),"",INDEX('Compliance Database'!$G$2:$G$1199,MATCH(355,Engine!$C$2:$C$1199,0)))</f>
        <v/>
      </c>
      <c r="H368" s="7" t="str">
        <f>IF(ISNA(MATCH(355,Engine!$C$2:$C$1199,0)),"",INDEX('Compliance Database'!$H$2:$H$1199,MATCH(355,Engine!$C$2:$C$1199,0)))</f>
        <v/>
      </c>
      <c r="I368" s="7" t="str">
        <f>IF(ISNA(MATCH(355,Engine!$C$2:$C$1199,0)),"",INDEX('Compliance Database'!$I$2:$I$1199,MATCH(355,Engine!$C$2:$C$1199,0)))</f>
        <v/>
      </c>
      <c r="J368" s="6" t="str">
        <f>IF(ISNA(MATCH(355,Engine!$C$2:$C$1199,0)),"",INDEX('Compliance Database'!$J$2:$J$1199,MATCH(355,Engine!$C$2:$C$1199,0)))</f>
        <v/>
      </c>
      <c r="K368" s="7" t="str">
        <f>IF(ISNA(MATCH(355,Engine!$C$2:$C$1199,0)),"",INDEX('Compliance Database'!$K$2:$K$1199,MATCH(355,Engine!$C$2:$C$1199,0)))</f>
        <v/>
      </c>
      <c r="L368" s="7" t="str">
        <f>IF(ISNA(MATCH(355,Engine!$C$2:$C$1199,0)),"",INDEX('Compliance Database'!$L$2:$L$1199,MATCH(355,Engine!$C$2:$C$1199,0)))</f>
        <v/>
      </c>
      <c r="M368" s="7" t="str">
        <f>IF(ISNA(MATCH(355,Engine!$C$2:$C$1199,0)),"",INDEX('Compliance Database'!$M$2:$M$1199,MATCH(355,Engine!$C$2:$C$1199,0)))</f>
        <v/>
      </c>
      <c r="N368" s="7" t="str">
        <f>IF(ISNA(MATCH(355,Engine!$C$2:$C$1199,0)),"",INDEX('Compliance Database'!$N$2:$N$1199,MATCH(355,Engine!$C$2:$C$1199,0)))</f>
        <v/>
      </c>
      <c r="O368" s="7" t="str">
        <f>IF(ISNA(MATCH(355,Engine!$C$2:$C$1199,0)),"",INDEX('Compliance Database'!$O$2:$O$1199,MATCH(355,Engine!$C$2:$C$1199,0)))</f>
        <v/>
      </c>
      <c r="P368" s="6" t="str">
        <f>IF(ISNA(MATCH(355,Engine!$C$2:$C$1199,0)),"",HYPERLINK("#Acts!A"&amp;INDEX('Compliance Database'!$P$2:$P$1199,MATCH(355,Engine!$C$2:$C$1199,0)),"Go to Act"))</f>
        <v/>
      </c>
    </row>
    <row r="369" spans="1:16" ht="172.95" customHeight="1" x14ac:dyDescent="0.3">
      <c r="A369" s="6" t="str">
        <f>IF(ISNA(MATCH(356,Engine!$C$2:$C$1199,0)),"",INDEX('Compliance Database'!$A$2:$A$1199,MATCH(356,Engine!$C$2:$C$1199,0)))</f>
        <v/>
      </c>
      <c r="B369" s="6" t="str">
        <f>IF(ISNA(MATCH(356,Engine!$C$2:$C$1199,0)),"",INDEX('Compliance Database'!$B$2:$B$1199,MATCH(356,Engine!$C$2:$C$1199,0)))</f>
        <v/>
      </c>
      <c r="C369" s="6" t="str">
        <f>IF(ISNA(MATCH(356,Engine!$C$2:$C$1199,0)),"",INDEX('Compliance Database'!$C$2:$C$1199,MATCH(356,Engine!$C$2:$C$1199,0)))</f>
        <v/>
      </c>
      <c r="D369" s="7" t="str">
        <f>IF(ISNA(MATCH(356,Engine!$C$2:$C$1199,0)),"",INDEX('Compliance Database'!$D$2:$D$1199,MATCH(356,Engine!$C$2:$C$1199,0)))</f>
        <v/>
      </c>
      <c r="E369" s="6" t="str">
        <f>IF(ISNA(MATCH(356,Engine!$C$2:$C$1199,0)),"",INDEX('Compliance Database'!$E$2:$E$1199,MATCH(356,Engine!$C$2:$C$1199,0)))</f>
        <v/>
      </c>
      <c r="F369" s="6" t="str">
        <f>IF(ISNA(MATCH(356,Engine!$C$2:$C$1199,0)),"",INDEX('Compliance Database'!$F$2:$F$1199,MATCH(356,Engine!$C$2:$C$1199,0)))</f>
        <v/>
      </c>
      <c r="G369" s="6" t="str">
        <f>IF(ISNA(MATCH(356,Engine!$C$2:$C$1199,0)),"",INDEX('Compliance Database'!$G$2:$G$1199,MATCH(356,Engine!$C$2:$C$1199,0)))</f>
        <v/>
      </c>
      <c r="H369" s="7" t="str">
        <f>IF(ISNA(MATCH(356,Engine!$C$2:$C$1199,0)),"",INDEX('Compliance Database'!$H$2:$H$1199,MATCH(356,Engine!$C$2:$C$1199,0)))</f>
        <v/>
      </c>
      <c r="I369" s="7" t="str">
        <f>IF(ISNA(MATCH(356,Engine!$C$2:$C$1199,0)),"",INDEX('Compliance Database'!$I$2:$I$1199,MATCH(356,Engine!$C$2:$C$1199,0)))</f>
        <v/>
      </c>
      <c r="J369" s="6" t="str">
        <f>IF(ISNA(MATCH(356,Engine!$C$2:$C$1199,0)),"",INDEX('Compliance Database'!$J$2:$J$1199,MATCH(356,Engine!$C$2:$C$1199,0)))</f>
        <v/>
      </c>
      <c r="K369" s="7" t="str">
        <f>IF(ISNA(MATCH(356,Engine!$C$2:$C$1199,0)),"",INDEX('Compliance Database'!$K$2:$K$1199,MATCH(356,Engine!$C$2:$C$1199,0)))</f>
        <v/>
      </c>
      <c r="L369" s="7" t="str">
        <f>IF(ISNA(MATCH(356,Engine!$C$2:$C$1199,0)),"",INDEX('Compliance Database'!$L$2:$L$1199,MATCH(356,Engine!$C$2:$C$1199,0)))</f>
        <v/>
      </c>
      <c r="M369" s="7" t="str">
        <f>IF(ISNA(MATCH(356,Engine!$C$2:$C$1199,0)),"",INDEX('Compliance Database'!$M$2:$M$1199,MATCH(356,Engine!$C$2:$C$1199,0)))</f>
        <v/>
      </c>
      <c r="N369" s="7" t="str">
        <f>IF(ISNA(MATCH(356,Engine!$C$2:$C$1199,0)),"",INDEX('Compliance Database'!$N$2:$N$1199,MATCH(356,Engine!$C$2:$C$1199,0)))</f>
        <v/>
      </c>
      <c r="O369" s="7" t="str">
        <f>IF(ISNA(MATCH(356,Engine!$C$2:$C$1199,0)),"",INDEX('Compliance Database'!$O$2:$O$1199,MATCH(356,Engine!$C$2:$C$1199,0)))</f>
        <v/>
      </c>
      <c r="P369" s="6" t="str">
        <f>IF(ISNA(MATCH(356,Engine!$C$2:$C$1199,0)),"",HYPERLINK("#Acts!A"&amp;INDEX('Compliance Database'!$P$2:$P$1199,MATCH(356,Engine!$C$2:$C$1199,0)),"Go to Act"))</f>
        <v/>
      </c>
    </row>
    <row r="370" spans="1:16" ht="172.95" customHeight="1" x14ac:dyDescent="0.3">
      <c r="A370" s="6" t="str">
        <f>IF(ISNA(MATCH(357,Engine!$C$2:$C$1199,0)),"",INDEX('Compliance Database'!$A$2:$A$1199,MATCH(357,Engine!$C$2:$C$1199,0)))</f>
        <v/>
      </c>
      <c r="B370" s="6" t="str">
        <f>IF(ISNA(MATCH(357,Engine!$C$2:$C$1199,0)),"",INDEX('Compliance Database'!$B$2:$B$1199,MATCH(357,Engine!$C$2:$C$1199,0)))</f>
        <v/>
      </c>
      <c r="C370" s="6" t="str">
        <f>IF(ISNA(MATCH(357,Engine!$C$2:$C$1199,0)),"",INDEX('Compliance Database'!$C$2:$C$1199,MATCH(357,Engine!$C$2:$C$1199,0)))</f>
        <v/>
      </c>
      <c r="D370" s="7" t="str">
        <f>IF(ISNA(MATCH(357,Engine!$C$2:$C$1199,0)),"",INDEX('Compliance Database'!$D$2:$D$1199,MATCH(357,Engine!$C$2:$C$1199,0)))</f>
        <v/>
      </c>
      <c r="E370" s="6" t="str">
        <f>IF(ISNA(MATCH(357,Engine!$C$2:$C$1199,0)),"",INDEX('Compliance Database'!$E$2:$E$1199,MATCH(357,Engine!$C$2:$C$1199,0)))</f>
        <v/>
      </c>
      <c r="F370" s="6" t="str">
        <f>IF(ISNA(MATCH(357,Engine!$C$2:$C$1199,0)),"",INDEX('Compliance Database'!$F$2:$F$1199,MATCH(357,Engine!$C$2:$C$1199,0)))</f>
        <v/>
      </c>
      <c r="G370" s="6" t="str">
        <f>IF(ISNA(MATCH(357,Engine!$C$2:$C$1199,0)),"",INDEX('Compliance Database'!$G$2:$G$1199,MATCH(357,Engine!$C$2:$C$1199,0)))</f>
        <v/>
      </c>
      <c r="H370" s="7" t="str">
        <f>IF(ISNA(MATCH(357,Engine!$C$2:$C$1199,0)),"",INDEX('Compliance Database'!$H$2:$H$1199,MATCH(357,Engine!$C$2:$C$1199,0)))</f>
        <v/>
      </c>
      <c r="I370" s="7" t="str">
        <f>IF(ISNA(MATCH(357,Engine!$C$2:$C$1199,0)),"",INDEX('Compliance Database'!$I$2:$I$1199,MATCH(357,Engine!$C$2:$C$1199,0)))</f>
        <v/>
      </c>
      <c r="J370" s="6" t="str">
        <f>IF(ISNA(MATCH(357,Engine!$C$2:$C$1199,0)),"",INDEX('Compliance Database'!$J$2:$J$1199,MATCH(357,Engine!$C$2:$C$1199,0)))</f>
        <v/>
      </c>
      <c r="K370" s="7" t="str">
        <f>IF(ISNA(MATCH(357,Engine!$C$2:$C$1199,0)),"",INDEX('Compliance Database'!$K$2:$K$1199,MATCH(357,Engine!$C$2:$C$1199,0)))</f>
        <v/>
      </c>
      <c r="L370" s="7" t="str">
        <f>IF(ISNA(MATCH(357,Engine!$C$2:$C$1199,0)),"",INDEX('Compliance Database'!$L$2:$L$1199,MATCH(357,Engine!$C$2:$C$1199,0)))</f>
        <v/>
      </c>
      <c r="M370" s="7" t="str">
        <f>IF(ISNA(MATCH(357,Engine!$C$2:$C$1199,0)),"",INDEX('Compliance Database'!$M$2:$M$1199,MATCH(357,Engine!$C$2:$C$1199,0)))</f>
        <v/>
      </c>
      <c r="N370" s="7" t="str">
        <f>IF(ISNA(MATCH(357,Engine!$C$2:$C$1199,0)),"",INDEX('Compliance Database'!$N$2:$N$1199,MATCH(357,Engine!$C$2:$C$1199,0)))</f>
        <v/>
      </c>
      <c r="O370" s="7" t="str">
        <f>IF(ISNA(MATCH(357,Engine!$C$2:$C$1199,0)),"",INDEX('Compliance Database'!$O$2:$O$1199,MATCH(357,Engine!$C$2:$C$1199,0)))</f>
        <v/>
      </c>
      <c r="P370" s="6" t="str">
        <f>IF(ISNA(MATCH(357,Engine!$C$2:$C$1199,0)),"",HYPERLINK("#Acts!A"&amp;INDEX('Compliance Database'!$P$2:$P$1199,MATCH(357,Engine!$C$2:$C$1199,0)),"Go to Act"))</f>
        <v/>
      </c>
    </row>
    <row r="371" spans="1:16" ht="172.95" customHeight="1" x14ac:dyDescent="0.3">
      <c r="A371" s="6" t="str">
        <f>IF(ISNA(MATCH(358,Engine!$C$2:$C$1199,0)),"",INDEX('Compliance Database'!$A$2:$A$1199,MATCH(358,Engine!$C$2:$C$1199,0)))</f>
        <v/>
      </c>
      <c r="B371" s="6" t="str">
        <f>IF(ISNA(MATCH(358,Engine!$C$2:$C$1199,0)),"",INDEX('Compliance Database'!$B$2:$B$1199,MATCH(358,Engine!$C$2:$C$1199,0)))</f>
        <v/>
      </c>
      <c r="C371" s="6" t="str">
        <f>IF(ISNA(MATCH(358,Engine!$C$2:$C$1199,0)),"",INDEX('Compliance Database'!$C$2:$C$1199,MATCH(358,Engine!$C$2:$C$1199,0)))</f>
        <v/>
      </c>
      <c r="D371" s="7" t="str">
        <f>IF(ISNA(MATCH(358,Engine!$C$2:$C$1199,0)),"",INDEX('Compliance Database'!$D$2:$D$1199,MATCH(358,Engine!$C$2:$C$1199,0)))</f>
        <v/>
      </c>
      <c r="E371" s="6" t="str">
        <f>IF(ISNA(MATCH(358,Engine!$C$2:$C$1199,0)),"",INDEX('Compliance Database'!$E$2:$E$1199,MATCH(358,Engine!$C$2:$C$1199,0)))</f>
        <v/>
      </c>
      <c r="F371" s="6" t="str">
        <f>IF(ISNA(MATCH(358,Engine!$C$2:$C$1199,0)),"",INDEX('Compliance Database'!$F$2:$F$1199,MATCH(358,Engine!$C$2:$C$1199,0)))</f>
        <v/>
      </c>
      <c r="G371" s="6" t="str">
        <f>IF(ISNA(MATCH(358,Engine!$C$2:$C$1199,0)),"",INDEX('Compliance Database'!$G$2:$G$1199,MATCH(358,Engine!$C$2:$C$1199,0)))</f>
        <v/>
      </c>
      <c r="H371" s="7" t="str">
        <f>IF(ISNA(MATCH(358,Engine!$C$2:$C$1199,0)),"",INDEX('Compliance Database'!$H$2:$H$1199,MATCH(358,Engine!$C$2:$C$1199,0)))</f>
        <v/>
      </c>
      <c r="I371" s="7" t="str">
        <f>IF(ISNA(MATCH(358,Engine!$C$2:$C$1199,0)),"",INDEX('Compliance Database'!$I$2:$I$1199,MATCH(358,Engine!$C$2:$C$1199,0)))</f>
        <v/>
      </c>
      <c r="J371" s="6" t="str">
        <f>IF(ISNA(MATCH(358,Engine!$C$2:$C$1199,0)),"",INDEX('Compliance Database'!$J$2:$J$1199,MATCH(358,Engine!$C$2:$C$1199,0)))</f>
        <v/>
      </c>
      <c r="K371" s="7" t="str">
        <f>IF(ISNA(MATCH(358,Engine!$C$2:$C$1199,0)),"",INDEX('Compliance Database'!$K$2:$K$1199,MATCH(358,Engine!$C$2:$C$1199,0)))</f>
        <v/>
      </c>
      <c r="L371" s="7" t="str">
        <f>IF(ISNA(MATCH(358,Engine!$C$2:$C$1199,0)),"",INDEX('Compliance Database'!$L$2:$L$1199,MATCH(358,Engine!$C$2:$C$1199,0)))</f>
        <v/>
      </c>
      <c r="M371" s="7" t="str">
        <f>IF(ISNA(MATCH(358,Engine!$C$2:$C$1199,0)),"",INDEX('Compliance Database'!$M$2:$M$1199,MATCH(358,Engine!$C$2:$C$1199,0)))</f>
        <v/>
      </c>
      <c r="N371" s="7" t="str">
        <f>IF(ISNA(MATCH(358,Engine!$C$2:$C$1199,0)),"",INDEX('Compliance Database'!$N$2:$N$1199,MATCH(358,Engine!$C$2:$C$1199,0)))</f>
        <v/>
      </c>
      <c r="O371" s="7" t="str">
        <f>IF(ISNA(MATCH(358,Engine!$C$2:$C$1199,0)),"",INDEX('Compliance Database'!$O$2:$O$1199,MATCH(358,Engine!$C$2:$C$1199,0)))</f>
        <v/>
      </c>
      <c r="P371" s="6" t="str">
        <f>IF(ISNA(MATCH(358,Engine!$C$2:$C$1199,0)),"",HYPERLINK("#Acts!A"&amp;INDEX('Compliance Database'!$P$2:$P$1199,MATCH(358,Engine!$C$2:$C$1199,0)),"Go to Act"))</f>
        <v/>
      </c>
    </row>
    <row r="372" spans="1:16" ht="172.95" customHeight="1" x14ac:dyDescent="0.3">
      <c r="A372" s="6" t="str">
        <f>IF(ISNA(MATCH(359,Engine!$C$2:$C$1199,0)),"",INDEX('Compliance Database'!$A$2:$A$1199,MATCH(359,Engine!$C$2:$C$1199,0)))</f>
        <v/>
      </c>
      <c r="B372" s="6" t="str">
        <f>IF(ISNA(MATCH(359,Engine!$C$2:$C$1199,0)),"",INDEX('Compliance Database'!$B$2:$B$1199,MATCH(359,Engine!$C$2:$C$1199,0)))</f>
        <v/>
      </c>
      <c r="C372" s="6" t="str">
        <f>IF(ISNA(MATCH(359,Engine!$C$2:$C$1199,0)),"",INDEX('Compliance Database'!$C$2:$C$1199,MATCH(359,Engine!$C$2:$C$1199,0)))</f>
        <v/>
      </c>
      <c r="D372" s="7" t="str">
        <f>IF(ISNA(MATCH(359,Engine!$C$2:$C$1199,0)),"",INDEX('Compliance Database'!$D$2:$D$1199,MATCH(359,Engine!$C$2:$C$1199,0)))</f>
        <v/>
      </c>
      <c r="E372" s="6" t="str">
        <f>IF(ISNA(MATCH(359,Engine!$C$2:$C$1199,0)),"",INDEX('Compliance Database'!$E$2:$E$1199,MATCH(359,Engine!$C$2:$C$1199,0)))</f>
        <v/>
      </c>
      <c r="F372" s="6" t="str">
        <f>IF(ISNA(MATCH(359,Engine!$C$2:$C$1199,0)),"",INDEX('Compliance Database'!$F$2:$F$1199,MATCH(359,Engine!$C$2:$C$1199,0)))</f>
        <v/>
      </c>
      <c r="G372" s="6" t="str">
        <f>IF(ISNA(MATCH(359,Engine!$C$2:$C$1199,0)),"",INDEX('Compliance Database'!$G$2:$G$1199,MATCH(359,Engine!$C$2:$C$1199,0)))</f>
        <v/>
      </c>
      <c r="H372" s="7" t="str">
        <f>IF(ISNA(MATCH(359,Engine!$C$2:$C$1199,0)),"",INDEX('Compliance Database'!$H$2:$H$1199,MATCH(359,Engine!$C$2:$C$1199,0)))</f>
        <v/>
      </c>
      <c r="I372" s="7" t="str">
        <f>IF(ISNA(MATCH(359,Engine!$C$2:$C$1199,0)),"",INDEX('Compliance Database'!$I$2:$I$1199,MATCH(359,Engine!$C$2:$C$1199,0)))</f>
        <v/>
      </c>
      <c r="J372" s="6" t="str">
        <f>IF(ISNA(MATCH(359,Engine!$C$2:$C$1199,0)),"",INDEX('Compliance Database'!$J$2:$J$1199,MATCH(359,Engine!$C$2:$C$1199,0)))</f>
        <v/>
      </c>
      <c r="K372" s="7" t="str">
        <f>IF(ISNA(MATCH(359,Engine!$C$2:$C$1199,0)),"",INDEX('Compliance Database'!$K$2:$K$1199,MATCH(359,Engine!$C$2:$C$1199,0)))</f>
        <v/>
      </c>
      <c r="L372" s="7" t="str">
        <f>IF(ISNA(MATCH(359,Engine!$C$2:$C$1199,0)),"",INDEX('Compliance Database'!$L$2:$L$1199,MATCH(359,Engine!$C$2:$C$1199,0)))</f>
        <v/>
      </c>
      <c r="M372" s="7" t="str">
        <f>IF(ISNA(MATCH(359,Engine!$C$2:$C$1199,0)),"",INDEX('Compliance Database'!$M$2:$M$1199,MATCH(359,Engine!$C$2:$C$1199,0)))</f>
        <v/>
      </c>
      <c r="N372" s="7" t="str">
        <f>IF(ISNA(MATCH(359,Engine!$C$2:$C$1199,0)),"",INDEX('Compliance Database'!$N$2:$N$1199,MATCH(359,Engine!$C$2:$C$1199,0)))</f>
        <v/>
      </c>
      <c r="O372" s="7" t="str">
        <f>IF(ISNA(MATCH(359,Engine!$C$2:$C$1199,0)),"",INDEX('Compliance Database'!$O$2:$O$1199,MATCH(359,Engine!$C$2:$C$1199,0)))</f>
        <v/>
      </c>
      <c r="P372" s="6" t="str">
        <f>IF(ISNA(MATCH(359,Engine!$C$2:$C$1199,0)),"",HYPERLINK("#Acts!A"&amp;INDEX('Compliance Database'!$P$2:$P$1199,MATCH(359,Engine!$C$2:$C$1199,0)),"Go to Act"))</f>
        <v/>
      </c>
    </row>
    <row r="373" spans="1:16" ht="172.95" customHeight="1" x14ac:dyDescent="0.3">
      <c r="A373" s="6" t="str">
        <f>IF(ISNA(MATCH(360,Engine!$C$2:$C$1199,0)),"",INDEX('Compliance Database'!$A$2:$A$1199,MATCH(360,Engine!$C$2:$C$1199,0)))</f>
        <v/>
      </c>
      <c r="B373" s="6" t="str">
        <f>IF(ISNA(MATCH(360,Engine!$C$2:$C$1199,0)),"",INDEX('Compliance Database'!$B$2:$B$1199,MATCH(360,Engine!$C$2:$C$1199,0)))</f>
        <v/>
      </c>
      <c r="C373" s="6" t="str">
        <f>IF(ISNA(MATCH(360,Engine!$C$2:$C$1199,0)),"",INDEX('Compliance Database'!$C$2:$C$1199,MATCH(360,Engine!$C$2:$C$1199,0)))</f>
        <v/>
      </c>
      <c r="D373" s="7" t="str">
        <f>IF(ISNA(MATCH(360,Engine!$C$2:$C$1199,0)),"",INDEX('Compliance Database'!$D$2:$D$1199,MATCH(360,Engine!$C$2:$C$1199,0)))</f>
        <v/>
      </c>
      <c r="E373" s="6" t="str">
        <f>IF(ISNA(MATCH(360,Engine!$C$2:$C$1199,0)),"",INDEX('Compliance Database'!$E$2:$E$1199,MATCH(360,Engine!$C$2:$C$1199,0)))</f>
        <v/>
      </c>
      <c r="F373" s="6" t="str">
        <f>IF(ISNA(MATCH(360,Engine!$C$2:$C$1199,0)),"",INDEX('Compliance Database'!$F$2:$F$1199,MATCH(360,Engine!$C$2:$C$1199,0)))</f>
        <v/>
      </c>
      <c r="G373" s="6" t="str">
        <f>IF(ISNA(MATCH(360,Engine!$C$2:$C$1199,0)),"",INDEX('Compliance Database'!$G$2:$G$1199,MATCH(360,Engine!$C$2:$C$1199,0)))</f>
        <v/>
      </c>
      <c r="H373" s="7" t="str">
        <f>IF(ISNA(MATCH(360,Engine!$C$2:$C$1199,0)),"",INDEX('Compliance Database'!$H$2:$H$1199,MATCH(360,Engine!$C$2:$C$1199,0)))</f>
        <v/>
      </c>
      <c r="I373" s="7" t="str">
        <f>IF(ISNA(MATCH(360,Engine!$C$2:$C$1199,0)),"",INDEX('Compliance Database'!$I$2:$I$1199,MATCH(360,Engine!$C$2:$C$1199,0)))</f>
        <v/>
      </c>
      <c r="J373" s="6" t="str">
        <f>IF(ISNA(MATCH(360,Engine!$C$2:$C$1199,0)),"",INDEX('Compliance Database'!$J$2:$J$1199,MATCH(360,Engine!$C$2:$C$1199,0)))</f>
        <v/>
      </c>
      <c r="K373" s="7" t="str">
        <f>IF(ISNA(MATCH(360,Engine!$C$2:$C$1199,0)),"",INDEX('Compliance Database'!$K$2:$K$1199,MATCH(360,Engine!$C$2:$C$1199,0)))</f>
        <v/>
      </c>
      <c r="L373" s="7" t="str">
        <f>IF(ISNA(MATCH(360,Engine!$C$2:$C$1199,0)),"",INDEX('Compliance Database'!$L$2:$L$1199,MATCH(360,Engine!$C$2:$C$1199,0)))</f>
        <v/>
      </c>
      <c r="M373" s="7" t="str">
        <f>IF(ISNA(MATCH(360,Engine!$C$2:$C$1199,0)),"",INDEX('Compliance Database'!$M$2:$M$1199,MATCH(360,Engine!$C$2:$C$1199,0)))</f>
        <v/>
      </c>
      <c r="N373" s="7" t="str">
        <f>IF(ISNA(MATCH(360,Engine!$C$2:$C$1199,0)),"",INDEX('Compliance Database'!$N$2:$N$1199,MATCH(360,Engine!$C$2:$C$1199,0)))</f>
        <v/>
      </c>
      <c r="O373" s="7" t="str">
        <f>IF(ISNA(MATCH(360,Engine!$C$2:$C$1199,0)),"",INDEX('Compliance Database'!$O$2:$O$1199,MATCH(360,Engine!$C$2:$C$1199,0)))</f>
        <v/>
      </c>
      <c r="P373" s="6" t="str">
        <f>IF(ISNA(MATCH(360,Engine!$C$2:$C$1199,0)),"",HYPERLINK("#Acts!A"&amp;INDEX('Compliance Database'!$P$2:$P$1199,MATCH(360,Engine!$C$2:$C$1199,0)),"Go to Act"))</f>
        <v/>
      </c>
    </row>
    <row r="374" spans="1:16" ht="172.95" customHeight="1" x14ac:dyDescent="0.3">
      <c r="A374" s="6" t="str">
        <f>IF(ISNA(MATCH(361,Engine!$C$2:$C$1199,0)),"",INDEX('Compliance Database'!$A$2:$A$1199,MATCH(361,Engine!$C$2:$C$1199,0)))</f>
        <v/>
      </c>
      <c r="B374" s="6" t="str">
        <f>IF(ISNA(MATCH(361,Engine!$C$2:$C$1199,0)),"",INDEX('Compliance Database'!$B$2:$B$1199,MATCH(361,Engine!$C$2:$C$1199,0)))</f>
        <v/>
      </c>
      <c r="C374" s="6" t="str">
        <f>IF(ISNA(MATCH(361,Engine!$C$2:$C$1199,0)),"",INDEX('Compliance Database'!$C$2:$C$1199,MATCH(361,Engine!$C$2:$C$1199,0)))</f>
        <v/>
      </c>
      <c r="D374" s="7" t="str">
        <f>IF(ISNA(MATCH(361,Engine!$C$2:$C$1199,0)),"",INDEX('Compliance Database'!$D$2:$D$1199,MATCH(361,Engine!$C$2:$C$1199,0)))</f>
        <v/>
      </c>
      <c r="E374" s="6" t="str">
        <f>IF(ISNA(MATCH(361,Engine!$C$2:$C$1199,0)),"",INDEX('Compliance Database'!$E$2:$E$1199,MATCH(361,Engine!$C$2:$C$1199,0)))</f>
        <v/>
      </c>
      <c r="F374" s="6" t="str">
        <f>IF(ISNA(MATCH(361,Engine!$C$2:$C$1199,0)),"",INDEX('Compliance Database'!$F$2:$F$1199,MATCH(361,Engine!$C$2:$C$1199,0)))</f>
        <v/>
      </c>
      <c r="G374" s="6" t="str">
        <f>IF(ISNA(MATCH(361,Engine!$C$2:$C$1199,0)),"",INDEX('Compliance Database'!$G$2:$G$1199,MATCH(361,Engine!$C$2:$C$1199,0)))</f>
        <v/>
      </c>
      <c r="H374" s="7" t="str">
        <f>IF(ISNA(MATCH(361,Engine!$C$2:$C$1199,0)),"",INDEX('Compliance Database'!$H$2:$H$1199,MATCH(361,Engine!$C$2:$C$1199,0)))</f>
        <v/>
      </c>
      <c r="I374" s="7" t="str">
        <f>IF(ISNA(MATCH(361,Engine!$C$2:$C$1199,0)),"",INDEX('Compliance Database'!$I$2:$I$1199,MATCH(361,Engine!$C$2:$C$1199,0)))</f>
        <v/>
      </c>
      <c r="J374" s="6" t="str">
        <f>IF(ISNA(MATCH(361,Engine!$C$2:$C$1199,0)),"",INDEX('Compliance Database'!$J$2:$J$1199,MATCH(361,Engine!$C$2:$C$1199,0)))</f>
        <v/>
      </c>
      <c r="K374" s="7" t="str">
        <f>IF(ISNA(MATCH(361,Engine!$C$2:$C$1199,0)),"",INDEX('Compliance Database'!$K$2:$K$1199,MATCH(361,Engine!$C$2:$C$1199,0)))</f>
        <v/>
      </c>
      <c r="L374" s="7" t="str">
        <f>IF(ISNA(MATCH(361,Engine!$C$2:$C$1199,0)),"",INDEX('Compliance Database'!$L$2:$L$1199,MATCH(361,Engine!$C$2:$C$1199,0)))</f>
        <v/>
      </c>
      <c r="M374" s="7" t="str">
        <f>IF(ISNA(MATCH(361,Engine!$C$2:$C$1199,0)),"",INDEX('Compliance Database'!$M$2:$M$1199,MATCH(361,Engine!$C$2:$C$1199,0)))</f>
        <v/>
      </c>
      <c r="N374" s="7" t="str">
        <f>IF(ISNA(MATCH(361,Engine!$C$2:$C$1199,0)),"",INDEX('Compliance Database'!$N$2:$N$1199,MATCH(361,Engine!$C$2:$C$1199,0)))</f>
        <v/>
      </c>
      <c r="O374" s="7" t="str">
        <f>IF(ISNA(MATCH(361,Engine!$C$2:$C$1199,0)),"",INDEX('Compliance Database'!$O$2:$O$1199,MATCH(361,Engine!$C$2:$C$1199,0)))</f>
        <v/>
      </c>
      <c r="P374" s="6" t="str">
        <f>IF(ISNA(MATCH(361,Engine!$C$2:$C$1199,0)),"",HYPERLINK("#Acts!A"&amp;INDEX('Compliance Database'!$P$2:$P$1199,MATCH(361,Engine!$C$2:$C$1199,0)),"Go to Act"))</f>
        <v/>
      </c>
    </row>
    <row r="375" spans="1:16" ht="172.95" customHeight="1" x14ac:dyDescent="0.3">
      <c r="A375" s="6" t="str">
        <f>IF(ISNA(MATCH(362,Engine!$C$2:$C$1199,0)),"",INDEX('Compliance Database'!$A$2:$A$1199,MATCH(362,Engine!$C$2:$C$1199,0)))</f>
        <v/>
      </c>
      <c r="B375" s="6" t="str">
        <f>IF(ISNA(MATCH(362,Engine!$C$2:$C$1199,0)),"",INDEX('Compliance Database'!$B$2:$B$1199,MATCH(362,Engine!$C$2:$C$1199,0)))</f>
        <v/>
      </c>
      <c r="C375" s="6" t="str">
        <f>IF(ISNA(MATCH(362,Engine!$C$2:$C$1199,0)),"",INDEX('Compliance Database'!$C$2:$C$1199,MATCH(362,Engine!$C$2:$C$1199,0)))</f>
        <v/>
      </c>
      <c r="D375" s="7" t="str">
        <f>IF(ISNA(MATCH(362,Engine!$C$2:$C$1199,0)),"",INDEX('Compliance Database'!$D$2:$D$1199,MATCH(362,Engine!$C$2:$C$1199,0)))</f>
        <v/>
      </c>
      <c r="E375" s="6" t="str">
        <f>IF(ISNA(MATCH(362,Engine!$C$2:$C$1199,0)),"",INDEX('Compliance Database'!$E$2:$E$1199,MATCH(362,Engine!$C$2:$C$1199,0)))</f>
        <v/>
      </c>
      <c r="F375" s="6" t="str">
        <f>IF(ISNA(MATCH(362,Engine!$C$2:$C$1199,0)),"",INDEX('Compliance Database'!$F$2:$F$1199,MATCH(362,Engine!$C$2:$C$1199,0)))</f>
        <v/>
      </c>
      <c r="G375" s="6" t="str">
        <f>IF(ISNA(MATCH(362,Engine!$C$2:$C$1199,0)),"",INDEX('Compliance Database'!$G$2:$G$1199,MATCH(362,Engine!$C$2:$C$1199,0)))</f>
        <v/>
      </c>
      <c r="H375" s="7" t="str">
        <f>IF(ISNA(MATCH(362,Engine!$C$2:$C$1199,0)),"",INDEX('Compliance Database'!$H$2:$H$1199,MATCH(362,Engine!$C$2:$C$1199,0)))</f>
        <v/>
      </c>
      <c r="I375" s="7" t="str">
        <f>IF(ISNA(MATCH(362,Engine!$C$2:$C$1199,0)),"",INDEX('Compliance Database'!$I$2:$I$1199,MATCH(362,Engine!$C$2:$C$1199,0)))</f>
        <v/>
      </c>
      <c r="J375" s="6" t="str">
        <f>IF(ISNA(MATCH(362,Engine!$C$2:$C$1199,0)),"",INDEX('Compliance Database'!$J$2:$J$1199,MATCH(362,Engine!$C$2:$C$1199,0)))</f>
        <v/>
      </c>
      <c r="K375" s="7" t="str">
        <f>IF(ISNA(MATCH(362,Engine!$C$2:$C$1199,0)),"",INDEX('Compliance Database'!$K$2:$K$1199,MATCH(362,Engine!$C$2:$C$1199,0)))</f>
        <v/>
      </c>
      <c r="L375" s="7" t="str">
        <f>IF(ISNA(MATCH(362,Engine!$C$2:$C$1199,0)),"",INDEX('Compliance Database'!$L$2:$L$1199,MATCH(362,Engine!$C$2:$C$1199,0)))</f>
        <v/>
      </c>
      <c r="M375" s="7" t="str">
        <f>IF(ISNA(MATCH(362,Engine!$C$2:$C$1199,0)),"",INDEX('Compliance Database'!$M$2:$M$1199,MATCH(362,Engine!$C$2:$C$1199,0)))</f>
        <v/>
      </c>
      <c r="N375" s="7" t="str">
        <f>IF(ISNA(MATCH(362,Engine!$C$2:$C$1199,0)),"",INDEX('Compliance Database'!$N$2:$N$1199,MATCH(362,Engine!$C$2:$C$1199,0)))</f>
        <v/>
      </c>
      <c r="O375" s="7" t="str">
        <f>IF(ISNA(MATCH(362,Engine!$C$2:$C$1199,0)),"",INDEX('Compliance Database'!$O$2:$O$1199,MATCH(362,Engine!$C$2:$C$1199,0)))</f>
        <v/>
      </c>
      <c r="P375" s="6" t="str">
        <f>IF(ISNA(MATCH(362,Engine!$C$2:$C$1199,0)),"",HYPERLINK("#Acts!A"&amp;INDEX('Compliance Database'!$P$2:$P$1199,MATCH(362,Engine!$C$2:$C$1199,0)),"Go to Act"))</f>
        <v/>
      </c>
    </row>
    <row r="376" spans="1:16" ht="172.95" customHeight="1" x14ac:dyDescent="0.3">
      <c r="A376" s="6" t="str">
        <f>IF(ISNA(MATCH(363,Engine!$C$2:$C$1199,0)),"",INDEX('Compliance Database'!$A$2:$A$1199,MATCH(363,Engine!$C$2:$C$1199,0)))</f>
        <v/>
      </c>
      <c r="B376" s="6" t="str">
        <f>IF(ISNA(MATCH(363,Engine!$C$2:$C$1199,0)),"",INDEX('Compliance Database'!$B$2:$B$1199,MATCH(363,Engine!$C$2:$C$1199,0)))</f>
        <v/>
      </c>
      <c r="C376" s="6" t="str">
        <f>IF(ISNA(MATCH(363,Engine!$C$2:$C$1199,0)),"",INDEX('Compliance Database'!$C$2:$C$1199,MATCH(363,Engine!$C$2:$C$1199,0)))</f>
        <v/>
      </c>
      <c r="D376" s="7" t="str">
        <f>IF(ISNA(MATCH(363,Engine!$C$2:$C$1199,0)),"",INDEX('Compliance Database'!$D$2:$D$1199,MATCH(363,Engine!$C$2:$C$1199,0)))</f>
        <v/>
      </c>
      <c r="E376" s="6" t="str">
        <f>IF(ISNA(MATCH(363,Engine!$C$2:$C$1199,0)),"",INDEX('Compliance Database'!$E$2:$E$1199,MATCH(363,Engine!$C$2:$C$1199,0)))</f>
        <v/>
      </c>
      <c r="F376" s="6" t="str">
        <f>IF(ISNA(MATCH(363,Engine!$C$2:$C$1199,0)),"",INDEX('Compliance Database'!$F$2:$F$1199,MATCH(363,Engine!$C$2:$C$1199,0)))</f>
        <v/>
      </c>
      <c r="G376" s="6" t="str">
        <f>IF(ISNA(MATCH(363,Engine!$C$2:$C$1199,0)),"",INDEX('Compliance Database'!$G$2:$G$1199,MATCH(363,Engine!$C$2:$C$1199,0)))</f>
        <v/>
      </c>
      <c r="H376" s="7" t="str">
        <f>IF(ISNA(MATCH(363,Engine!$C$2:$C$1199,0)),"",INDEX('Compliance Database'!$H$2:$H$1199,MATCH(363,Engine!$C$2:$C$1199,0)))</f>
        <v/>
      </c>
      <c r="I376" s="7" t="str">
        <f>IF(ISNA(MATCH(363,Engine!$C$2:$C$1199,0)),"",INDEX('Compliance Database'!$I$2:$I$1199,MATCH(363,Engine!$C$2:$C$1199,0)))</f>
        <v/>
      </c>
      <c r="J376" s="6" t="str">
        <f>IF(ISNA(MATCH(363,Engine!$C$2:$C$1199,0)),"",INDEX('Compliance Database'!$J$2:$J$1199,MATCH(363,Engine!$C$2:$C$1199,0)))</f>
        <v/>
      </c>
      <c r="K376" s="7" t="str">
        <f>IF(ISNA(MATCH(363,Engine!$C$2:$C$1199,0)),"",INDEX('Compliance Database'!$K$2:$K$1199,MATCH(363,Engine!$C$2:$C$1199,0)))</f>
        <v/>
      </c>
      <c r="L376" s="7" t="str">
        <f>IF(ISNA(MATCH(363,Engine!$C$2:$C$1199,0)),"",INDEX('Compliance Database'!$L$2:$L$1199,MATCH(363,Engine!$C$2:$C$1199,0)))</f>
        <v/>
      </c>
      <c r="M376" s="7" t="str">
        <f>IF(ISNA(MATCH(363,Engine!$C$2:$C$1199,0)),"",INDEX('Compliance Database'!$M$2:$M$1199,MATCH(363,Engine!$C$2:$C$1199,0)))</f>
        <v/>
      </c>
      <c r="N376" s="7" t="str">
        <f>IF(ISNA(MATCH(363,Engine!$C$2:$C$1199,0)),"",INDEX('Compliance Database'!$N$2:$N$1199,MATCH(363,Engine!$C$2:$C$1199,0)))</f>
        <v/>
      </c>
      <c r="O376" s="7" t="str">
        <f>IF(ISNA(MATCH(363,Engine!$C$2:$C$1199,0)),"",INDEX('Compliance Database'!$O$2:$O$1199,MATCH(363,Engine!$C$2:$C$1199,0)))</f>
        <v/>
      </c>
      <c r="P376" s="6" t="str">
        <f>IF(ISNA(MATCH(363,Engine!$C$2:$C$1199,0)),"",HYPERLINK("#Acts!A"&amp;INDEX('Compliance Database'!$P$2:$P$1199,MATCH(363,Engine!$C$2:$C$1199,0)),"Go to Act"))</f>
        <v/>
      </c>
    </row>
    <row r="377" spans="1:16" ht="172.95" customHeight="1" x14ac:dyDescent="0.3">
      <c r="A377" s="6" t="str">
        <f>IF(ISNA(MATCH(364,Engine!$C$2:$C$1199,0)),"",INDEX('Compliance Database'!$A$2:$A$1199,MATCH(364,Engine!$C$2:$C$1199,0)))</f>
        <v/>
      </c>
      <c r="B377" s="6" t="str">
        <f>IF(ISNA(MATCH(364,Engine!$C$2:$C$1199,0)),"",INDEX('Compliance Database'!$B$2:$B$1199,MATCH(364,Engine!$C$2:$C$1199,0)))</f>
        <v/>
      </c>
      <c r="C377" s="6" t="str">
        <f>IF(ISNA(MATCH(364,Engine!$C$2:$C$1199,0)),"",INDEX('Compliance Database'!$C$2:$C$1199,MATCH(364,Engine!$C$2:$C$1199,0)))</f>
        <v/>
      </c>
      <c r="D377" s="7" t="str">
        <f>IF(ISNA(MATCH(364,Engine!$C$2:$C$1199,0)),"",INDEX('Compliance Database'!$D$2:$D$1199,MATCH(364,Engine!$C$2:$C$1199,0)))</f>
        <v/>
      </c>
      <c r="E377" s="6" t="str">
        <f>IF(ISNA(MATCH(364,Engine!$C$2:$C$1199,0)),"",INDEX('Compliance Database'!$E$2:$E$1199,MATCH(364,Engine!$C$2:$C$1199,0)))</f>
        <v/>
      </c>
      <c r="F377" s="6" t="str">
        <f>IF(ISNA(MATCH(364,Engine!$C$2:$C$1199,0)),"",INDEX('Compliance Database'!$F$2:$F$1199,MATCH(364,Engine!$C$2:$C$1199,0)))</f>
        <v/>
      </c>
      <c r="G377" s="6" t="str">
        <f>IF(ISNA(MATCH(364,Engine!$C$2:$C$1199,0)),"",INDEX('Compliance Database'!$G$2:$G$1199,MATCH(364,Engine!$C$2:$C$1199,0)))</f>
        <v/>
      </c>
      <c r="H377" s="7" t="str">
        <f>IF(ISNA(MATCH(364,Engine!$C$2:$C$1199,0)),"",INDEX('Compliance Database'!$H$2:$H$1199,MATCH(364,Engine!$C$2:$C$1199,0)))</f>
        <v/>
      </c>
      <c r="I377" s="7" t="str">
        <f>IF(ISNA(MATCH(364,Engine!$C$2:$C$1199,0)),"",INDEX('Compliance Database'!$I$2:$I$1199,MATCH(364,Engine!$C$2:$C$1199,0)))</f>
        <v/>
      </c>
      <c r="J377" s="6" t="str">
        <f>IF(ISNA(MATCH(364,Engine!$C$2:$C$1199,0)),"",INDEX('Compliance Database'!$J$2:$J$1199,MATCH(364,Engine!$C$2:$C$1199,0)))</f>
        <v/>
      </c>
      <c r="K377" s="7" t="str">
        <f>IF(ISNA(MATCH(364,Engine!$C$2:$C$1199,0)),"",INDEX('Compliance Database'!$K$2:$K$1199,MATCH(364,Engine!$C$2:$C$1199,0)))</f>
        <v/>
      </c>
      <c r="L377" s="7" t="str">
        <f>IF(ISNA(MATCH(364,Engine!$C$2:$C$1199,0)),"",INDEX('Compliance Database'!$L$2:$L$1199,MATCH(364,Engine!$C$2:$C$1199,0)))</f>
        <v/>
      </c>
      <c r="M377" s="7" t="str">
        <f>IF(ISNA(MATCH(364,Engine!$C$2:$C$1199,0)),"",INDEX('Compliance Database'!$M$2:$M$1199,MATCH(364,Engine!$C$2:$C$1199,0)))</f>
        <v/>
      </c>
      <c r="N377" s="7" t="str">
        <f>IF(ISNA(MATCH(364,Engine!$C$2:$C$1199,0)),"",INDEX('Compliance Database'!$N$2:$N$1199,MATCH(364,Engine!$C$2:$C$1199,0)))</f>
        <v/>
      </c>
      <c r="O377" s="7" t="str">
        <f>IF(ISNA(MATCH(364,Engine!$C$2:$C$1199,0)),"",INDEX('Compliance Database'!$O$2:$O$1199,MATCH(364,Engine!$C$2:$C$1199,0)))</f>
        <v/>
      </c>
      <c r="P377" s="6" t="str">
        <f>IF(ISNA(MATCH(364,Engine!$C$2:$C$1199,0)),"",HYPERLINK("#Acts!A"&amp;INDEX('Compliance Database'!$P$2:$P$1199,MATCH(364,Engine!$C$2:$C$1199,0)),"Go to Act"))</f>
        <v/>
      </c>
    </row>
    <row r="378" spans="1:16" ht="172.95" customHeight="1" x14ac:dyDescent="0.3">
      <c r="A378" s="6" t="str">
        <f>IF(ISNA(MATCH(365,Engine!$C$2:$C$1199,0)),"",INDEX('Compliance Database'!$A$2:$A$1199,MATCH(365,Engine!$C$2:$C$1199,0)))</f>
        <v/>
      </c>
      <c r="B378" s="6" t="str">
        <f>IF(ISNA(MATCH(365,Engine!$C$2:$C$1199,0)),"",INDEX('Compliance Database'!$B$2:$B$1199,MATCH(365,Engine!$C$2:$C$1199,0)))</f>
        <v/>
      </c>
      <c r="C378" s="6" t="str">
        <f>IF(ISNA(MATCH(365,Engine!$C$2:$C$1199,0)),"",INDEX('Compliance Database'!$C$2:$C$1199,MATCH(365,Engine!$C$2:$C$1199,0)))</f>
        <v/>
      </c>
      <c r="D378" s="7" t="str">
        <f>IF(ISNA(MATCH(365,Engine!$C$2:$C$1199,0)),"",INDEX('Compliance Database'!$D$2:$D$1199,MATCH(365,Engine!$C$2:$C$1199,0)))</f>
        <v/>
      </c>
      <c r="E378" s="6" t="str">
        <f>IF(ISNA(MATCH(365,Engine!$C$2:$C$1199,0)),"",INDEX('Compliance Database'!$E$2:$E$1199,MATCH(365,Engine!$C$2:$C$1199,0)))</f>
        <v/>
      </c>
      <c r="F378" s="6" t="str">
        <f>IF(ISNA(MATCH(365,Engine!$C$2:$C$1199,0)),"",INDEX('Compliance Database'!$F$2:$F$1199,MATCH(365,Engine!$C$2:$C$1199,0)))</f>
        <v/>
      </c>
      <c r="G378" s="6" t="str">
        <f>IF(ISNA(MATCH(365,Engine!$C$2:$C$1199,0)),"",INDEX('Compliance Database'!$G$2:$G$1199,MATCH(365,Engine!$C$2:$C$1199,0)))</f>
        <v/>
      </c>
      <c r="H378" s="7" t="str">
        <f>IF(ISNA(MATCH(365,Engine!$C$2:$C$1199,0)),"",INDEX('Compliance Database'!$H$2:$H$1199,MATCH(365,Engine!$C$2:$C$1199,0)))</f>
        <v/>
      </c>
      <c r="I378" s="7" t="str">
        <f>IF(ISNA(MATCH(365,Engine!$C$2:$C$1199,0)),"",INDEX('Compliance Database'!$I$2:$I$1199,MATCH(365,Engine!$C$2:$C$1199,0)))</f>
        <v/>
      </c>
      <c r="J378" s="6" t="str">
        <f>IF(ISNA(MATCH(365,Engine!$C$2:$C$1199,0)),"",INDEX('Compliance Database'!$J$2:$J$1199,MATCH(365,Engine!$C$2:$C$1199,0)))</f>
        <v/>
      </c>
      <c r="K378" s="7" t="str">
        <f>IF(ISNA(MATCH(365,Engine!$C$2:$C$1199,0)),"",INDEX('Compliance Database'!$K$2:$K$1199,MATCH(365,Engine!$C$2:$C$1199,0)))</f>
        <v/>
      </c>
      <c r="L378" s="7" t="str">
        <f>IF(ISNA(MATCH(365,Engine!$C$2:$C$1199,0)),"",INDEX('Compliance Database'!$L$2:$L$1199,MATCH(365,Engine!$C$2:$C$1199,0)))</f>
        <v/>
      </c>
      <c r="M378" s="7" t="str">
        <f>IF(ISNA(MATCH(365,Engine!$C$2:$C$1199,0)),"",INDEX('Compliance Database'!$M$2:$M$1199,MATCH(365,Engine!$C$2:$C$1199,0)))</f>
        <v/>
      </c>
      <c r="N378" s="7" t="str">
        <f>IF(ISNA(MATCH(365,Engine!$C$2:$C$1199,0)),"",INDEX('Compliance Database'!$N$2:$N$1199,MATCH(365,Engine!$C$2:$C$1199,0)))</f>
        <v/>
      </c>
      <c r="O378" s="7" t="str">
        <f>IF(ISNA(MATCH(365,Engine!$C$2:$C$1199,0)),"",INDEX('Compliance Database'!$O$2:$O$1199,MATCH(365,Engine!$C$2:$C$1199,0)))</f>
        <v/>
      </c>
      <c r="P378" s="6" t="str">
        <f>IF(ISNA(MATCH(365,Engine!$C$2:$C$1199,0)),"",HYPERLINK("#Acts!A"&amp;INDEX('Compliance Database'!$P$2:$P$1199,MATCH(365,Engine!$C$2:$C$1199,0)),"Go to Act"))</f>
        <v/>
      </c>
    </row>
    <row r="379" spans="1:16" ht="172.95" customHeight="1" x14ac:dyDescent="0.3">
      <c r="A379" s="6" t="str">
        <f>IF(ISNA(MATCH(366,Engine!$C$2:$C$1199,0)),"",INDEX('Compliance Database'!$A$2:$A$1199,MATCH(366,Engine!$C$2:$C$1199,0)))</f>
        <v/>
      </c>
      <c r="B379" s="6" t="str">
        <f>IF(ISNA(MATCH(366,Engine!$C$2:$C$1199,0)),"",INDEX('Compliance Database'!$B$2:$B$1199,MATCH(366,Engine!$C$2:$C$1199,0)))</f>
        <v/>
      </c>
      <c r="C379" s="6" t="str">
        <f>IF(ISNA(MATCH(366,Engine!$C$2:$C$1199,0)),"",INDEX('Compliance Database'!$C$2:$C$1199,MATCH(366,Engine!$C$2:$C$1199,0)))</f>
        <v/>
      </c>
      <c r="D379" s="7" t="str">
        <f>IF(ISNA(MATCH(366,Engine!$C$2:$C$1199,0)),"",INDEX('Compliance Database'!$D$2:$D$1199,MATCH(366,Engine!$C$2:$C$1199,0)))</f>
        <v/>
      </c>
      <c r="E379" s="6" t="str">
        <f>IF(ISNA(MATCH(366,Engine!$C$2:$C$1199,0)),"",INDEX('Compliance Database'!$E$2:$E$1199,MATCH(366,Engine!$C$2:$C$1199,0)))</f>
        <v/>
      </c>
      <c r="F379" s="6" t="str">
        <f>IF(ISNA(MATCH(366,Engine!$C$2:$C$1199,0)),"",INDEX('Compliance Database'!$F$2:$F$1199,MATCH(366,Engine!$C$2:$C$1199,0)))</f>
        <v/>
      </c>
      <c r="G379" s="6" t="str">
        <f>IF(ISNA(MATCH(366,Engine!$C$2:$C$1199,0)),"",INDEX('Compliance Database'!$G$2:$G$1199,MATCH(366,Engine!$C$2:$C$1199,0)))</f>
        <v/>
      </c>
      <c r="H379" s="7" t="str">
        <f>IF(ISNA(MATCH(366,Engine!$C$2:$C$1199,0)),"",INDEX('Compliance Database'!$H$2:$H$1199,MATCH(366,Engine!$C$2:$C$1199,0)))</f>
        <v/>
      </c>
      <c r="I379" s="7" t="str">
        <f>IF(ISNA(MATCH(366,Engine!$C$2:$C$1199,0)),"",INDEX('Compliance Database'!$I$2:$I$1199,MATCH(366,Engine!$C$2:$C$1199,0)))</f>
        <v/>
      </c>
      <c r="J379" s="6" t="str">
        <f>IF(ISNA(MATCH(366,Engine!$C$2:$C$1199,0)),"",INDEX('Compliance Database'!$J$2:$J$1199,MATCH(366,Engine!$C$2:$C$1199,0)))</f>
        <v/>
      </c>
      <c r="K379" s="7" t="str">
        <f>IF(ISNA(MATCH(366,Engine!$C$2:$C$1199,0)),"",INDEX('Compliance Database'!$K$2:$K$1199,MATCH(366,Engine!$C$2:$C$1199,0)))</f>
        <v/>
      </c>
      <c r="L379" s="7" t="str">
        <f>IF(ISNA(MATCH(366,Engine!$C$2:$C$1199,0)),"",INDEX('Compliance Database'!$L$2:$L$1199,MATCH(366,Engine!$C$2:$C$1199,0)))</f>
        <v/>
      </c>
      <c r="M379" s="7" t="str">
        <f>IF(ISNA(MATCH(366,Engine!$C$2:$C$1199,0)),"",INDEX('Compliance Database'!$M$2:$M$1199,MATCH(366,Engine!$C$2:$C$1199,0)))</f>
        <v/>
      </c>
      <c r="N379" s="7" t="str">
        <f>IF(ISNA(MATCH(366,Engine!$C$2:$C$1199,0)),"",INDEX('Compliance Database'!$N$2:$N$1199,MATCH(366,Engine!$C$2:$C$1199,0)))</f>
        <v/>
      </c>
      <c r="O379" s="7" t="str">
        <f>IF(ISNA(MATCH(366,Engine!$C$2:$C$1199,0)),"",INDEX('Compliance Database'!$O$2:$O$1199,MATCH(366,Engine!$C$2:$C$1199,0)))</f>
        <v/>
      </c>
      <c r="P379" s="6" t="str">
        <f>IF(ISNA(MATCH(366,Engine!$C$2:$C$1199,0)),"",HYPERLINK("#Acts!A"&amp;INDEX('Compliance Database'!$P$2:$P$1199,MATCH(366,Engine!$C$2:$C$1199,0)),"Go to Act"))</f>
        <v/>
      </c>
    </row>
    <row r="380" spans="1:16" ht="172.95" customHeight="1" x14ac:dyDescent="0.3">
      <c r="A380" s="6" t="str">
        <f>IF(ISNA(MATCH(367,Engine!$C$2:$C$1199,0)),"",INDEX('Compliance Database'!$A$2:$A$1199,MATCH(367,Engine!$C$2:$C$1199,0)))</f>
        <v/>
      </c>
      <c r="B380" s="6" t="str">
        <f>IF(ISNA(MATCH(367,Engine!$C$2:$C$1199,0)),"",INDEX('Compliance Database'!$B$2:$B$1199,MATCH(367,Engine!$C$2:$C$1199,0)))</f>
        <v/>
      </c>
      <c r="C380" s="6" t="str">
        <f>IF(ISNA(MATCH(367,Engine!$C$2:$C$1199,0)),"",INDEX('Compliance Database'!$C$2:$C$1199,MATCH(367,Engine!$C$2:$C$1199,0)))</f>
        <v/>
      </c>
      <c r="D380" s="7" t="str">
        <f>IF(ISNA(MATCH(367,Engine!$C$2:$C$1199,0)),"",INDEX('Compliance Database'!$D$2:$D$1199,MATCH(367,Engine!$C$2:$C$1199,0)))</f>
        <v/>
      </c>
      <c r="E380" s="6" t="str">
        <f>IF(ISNA(MATCH(367,Engine!$C$2:$C$1199,0)),"",INDEX('Compliance Database'!$E$2:$E$1199,MATCH(367,Engine!$C$2:$C$1199,0)))</f>
        <v/>
      </c>
      <c r="F380" s="6" t="str">
        <f>IF(ISNA(MATCH(367,Engine!$C$2:$C$1199,0)),"",INDEX('Compliance Database'!$F$2:$F$1199,MATCH(367,Engine!$C$2:$C$1199,0)))</f>
        <v/>
      </c>
      <c r="G380" s="6" t="str">
        <f>IF(ISNA(MATCH(367,Engine!$C$2:$C$1199,0)),"",INDEX('Compliance Database'!$G$2:$G$1199,MATCH(367,Engine!$C$2:$C$1199,0)))</f>
        <v/>
      </c>
      <c r="H380" s="7" t="str">
        <f>IF(ISNA(MATCH(367,Engine!$C$2:$C$1199,0)),"",INDEX('Compliance Database'!$H$2:$H$1199,MATCH(367,Engine!$C$2:$C$1199,0)))</f>
        <v/>
      </c>
      <c r="I380" s="7" t="str">
        <f>IF(ISNA(MATCH(367,Engine!$C$2:$C$1199,0)),"",INDEX('Compliance Database'!$I$2:$I$1199,MATCH(367,Engine!$C$2:$C$1199,0)))</f>
        <v/>
      </c>
      <c r="J380" s="6" t="str">
        <f>IF(ISNA(MATCH(367,Engine!$C$2:$C$1199,0)),"",INDEX('Compliance Database'!$J$2:$J$1199,MATCH(367,Engine!$C$2:$C$1199,0)))</f>
        <v/>
      </c>
      <c r="K380" s="7" t="str">
        <f>IF(ISNA(MATCH(367,Engine!$C$2:$C$1199,0)),"",INDEX('Compliance Database'!$K$2:$K$1199,MATCH(367,Engine!$C$2:$C$1199,0)))</f>
        <v/>
      </c>
      <c r="L380" s="7" t="str">
        <f>IF(ISNA(MATCH(367,Engine!$C$2:$C$1199,0)),"",INDEX('Compliance Database'!$L$2:$L$1199,MATCH(367,Engine!$C$2:$C$1199,0)))</f>
        <v/>
      </c>
      <c r="M380" s="7" t="str">
        <f>IF(ISNA(MATCH(367,Engine!$C$2:$C$1199,0)),"",INDEX('Compliance Database'!$M$2:$M$1199,MATCH(367,Engine!$C$2:$C$1199,0)))</f>
        <v/>
      </c>
      <c r="N380" s="7" t="str">
        <f>IF(ISNA(MATCH(367,Engine!$C$2:$C$1199,0)),"",INDEX('Compliance Database'!$N$2:$N$1199,MATCH(367,Engine!$C$2:$C$1199,0)))</f>
        <v/>
      </c>
      <c r="O380" s="7" t="str">
        <f>IF(ISNA(MATCH(367,Engine!$C$2:$C$1199,0)),"",INDEX('Compliance Database'!$O$2:$O$1199,MATCH(367,Engine!$C$2:$C$1199,0)))</f>
        <v/>
      </c>
      <c r="P380" s="6" t="str">
        <f>IF(ISNA(MATCH(367,Engine!$C$2:$C$1199,0)),"",HYPERLINK("#Acts!A"&amp;INDEX('Compliance Database'!$P$2:$P$1199,MATCH(367,Engine!$C$2:$C$1199,0)),"Go to Act"))</f>
        <v/>
      </c>
    </row>
    <row r="381" spans="1:16" ht="172.95" customHeight="1" x14ac:dyDescent="0.3">
      <c r="A381" s="6" t="str">
        <f>IF(ISNA(MATCH(368,Engine!$C$2:$C$1199,0)),"",INDEX('Compliance Database'!$A$2:$A$1199,MATCH(368,Engine!$C$2:$C$1199,0)))</f>
        <v/>
      </c>
      <c r="B381" s="6" t="str">
        <f>IF(ISNA(MATCH(368,Engine!$C$2:$C$1199,0)),"",INDEX('Compliance Database'!$B$2:$B$1199,MATCH(368,Engine!$C$2:$C$1199,0)))</f>
        <v/>
      </c>
      <c r="C381" s="6" t="str">
        <f>IF(ISNA(MATCH(368,Engine!$C$2:$C$1199,0)),"",INDEX('Compliance Database'!$C$2:$C$1199,MATCH(368,Engine!$C$2:$C$1199,0)))</f>
        <v/>
      </c>
      <c r="D381" s="7" t="str">
        <f>IF(ISNA(MATCH(368,Engine!$C$2:$C$1199,0)),"",INDEX('Compliance Database'!$D$2:$D$1199,MATCH(368,Engine!$C$2:$C$1199,0)))</f>
        <v/>
      </c>
      <c r="E381" s="6" t="str">
        <f>IF(ISNA(MATCH(368,Engine!$C$2:$C$1199,0)),"",INDEX('Compliance Database'!$E$2:$E$1199,MATCH(368,Engine!$C$2:$C$1199,0)))</f>
        <v/>
      </c>
      <c r="F381" s="6" t="str">
        <f>IF(ISNA(MATCH(368,Engine!$C$2:$C$1199,0)),"",INDEX('Compliance Database'!$F$2:$F$1199,MATCH(368,Engine!$C$2:$C$1199,0)))</f>
        <v/>
      </c>
      <c r="G381" s="6" t="str">
        <f>IF(ISNA(MATCH(368,Engine!$C$2:$C$1199,0)),"",INDEX('Compliance Database'!$G$2:$G$1199,MATCH(368,Engine!$C$2:$C$1199,0)))</f>
        <v/>
      </c>
      <c r="H381" s="7" t="str">
        <f>IF(ISNA(MATCH(368,Engine!$C$2:$C$1199,0)),"",INDEX('Compliance Database'!$H$2:$H$1199,MATCH(368,Engine!$C$2:$C$1199,0)))</f>
        <v/>
      </c>
      <c r="I381" s="7" t="str">
        <f>IF(ISNA(MATCH(368,Engine!$C$2:$C$1199,0)),"",INDEX('Compliance Database'!$I$2:$I$1199,MATCH(368,Engine!$C$2:$C$1199,0)))</f>
        <v/>
      </c>
      <c r="J381" s="6" t="str">
        <f>IF(ISNA(MATCH(368,Engine!$C$2:$C$1199,0)),"",INDEX('Compliance Database'!$J$2:$J$1199,MATCH(368,Engine!$C$2:$C$1199,0)))</f>
        <v/>
      </c>
      <c r="K381" s="7" t="str">
        <f>IF(ISNA(MATCH(368,Engine!$C$2:$C$1199,0)),"",INDEX('Compliance Database'!$K$2:$K$1199,MATCH(368,Engine!$C$2:$C$1199,0)))</f>
        <v/>
      </c>
      <c r="L381" s="7" t="str">
        <f>IF(ISNA(MATCH(368,Engine!$C$2:$C$1199,0)),"",INDEX('Compliance Database'!$L$2:$L$1199,MATCH(368,Engine!$C$2:$C$1199,0)))</f>
        <v/>
      </c>
      <c r="M381" s="7" t="str">
        <f>IF(ISNA(MATCH(368,Engine!$C$2:$C$1199,0)),"",INDEX('Compliance Database'!$M$2:$M$1199,MATCH(368,Engine!$C$2:$C$1199,0)))</f>
        <v/>
      </c>
      <c r="N381" s="7" t="str">
        <f>IF(ISNA(MATCH(368,Engine!$C$2:$C$1199,0)),"",INDEX('Compliance Database'!$N$2:$N$1199,MATCH(368,Engine!$C$2:$C$1199,0)))</f>
        <v/>
      </c>
      <c r="O381" s="7" t="str">
        <f>IF(ISNA(MATCH(368,Engine!$C$2:$C$1199,0)),"",INDEX('Compliance Database'!$O$2:$O$1199,MATCH(368,Engine!$C$2:$C$1199,0)))</f>
        <v/>
      </c>
      <c r="P381" s="6" t="str">
        <f>IF(ISNA(MATCH(368,Engine!$C$2:$C$1199,0)),"",HYPERLINK("#Acts!A"&amp;INDEX('Compliance Database'!$P$2:$P$1199,MATCH(368,Engine!$C$2:$C$1199,0)),"Go to Act"))</f>
        <v/>
      </c>
    </row>
    <row r="382" spans="1:16" ht="172.95" customHeight="1" x14ac:dyDescent="0.3">
      <c r="A382" s="6" t="str">
        <f>IF(ISNA(MATCH(369,Engine!$C$2:$C$1199,0)),"",INDEX('Compliance Database'!$A$2:$A$1199,MATCH(369,Engine!$C$2:$C$1199,0)))</f>
        <v/>
      </c>
      <c r="B382" s="6" t="str">
        <f>IF(ISNA(MATCH(369,Engine!$C$2:$C$1199,0)),"",INDEX('Compliance Database'!$B$2:$B$1199,MATCH(369,Engine!$C$2:$C$1199,0)))</f>
        <v/>
      </c>
      <c r="C382" s="6" t="str">
        <f>IF(ISNA(MATCH(369,Engine!$C$2:$C$1199,0)),"",INDEX('Compliance Database'!$C$2:$C$1199,MATCH(369,Engine!$C$2:$C$1199,0)))</f>
        <v/>
      </c>
      <c r="D382" s="7" t="str">
        <f>IF(ISNA(MATCH(369,Engine!$C$2:$C$1199,0)),"",INDEX('Compliance Database'!$D$2:$D$1199,MATCH(369,Engine!$C$2:$C$1199,0)))</f>
        <v/>
      </c>
      <c r="E382" s="6" t="str">
        <f>IF(ISNA(MATCH(369,Engine!$C$2:$C$1199,0)),"",INDEX('Compliance Database'!$E$2:$E$1199,MATCH(369,Engine!$C$2:$C$1199,0)))</f>
        <v/>
      </c>
      <c r="F382" s="6" t="str">
        <f>IF(ISNA(MATCH(369,Engine!$C$2:$C$1199,0)),"",INDEX('Compliance Database'!$F$2:$F$1199,MATCH(369,Engine!$C$2:$C$1199,0)))</f>
        <v/>
      </c>
      <c r="G382" s="6" t="str">
        <f>IF(ISNA(MATCH(369,Engine!$C$2:$C$1199,0)),"",INDEX('Compliance Database'!$G$2:$G$1199,MATCH(369,Engine!$C$2:$C$1199,0)))</f>
        <v/>
      </c>
      <c r="H382" s="7" t="str">
        <f>IF(ISNA(MATCH(369,Engine!$C$2:$C$1199,0)),"",INDEX('Compliance Database'!$H$2:$H$1199,MATCH(369,Engine!$C$2:$C$1199,0)))</f>
        <v/>
      </c>
      <c r="I382" s="7" t="str">
        <f>IF(ISNA(MATCH(369,Engine!$C$2:$C$1199,0)),"",INDEX('Compliance Database'!$I$2:$I$1199,MATCH(369,Engine!$C$2:$C$1199,0)))</f>
        <v/>
      </c>
      <c r="J382" s="6" t="str">
        <f>IF(ISNA(MATCH(369,Engine!$C$2:$C$1199,0)),"",INDEX('Compliance Database'!$J$2:$J$1199,MATCH(369,Engine!$C$2:$C$1199,0)))</f>
        <v/>
      </c>
      <c r="K382" s="7" t="str">
        <f>IF(ISNA(MATCH(369,Engine!$C$2:$C$1199,0)),"",INDEX('Compliance Database'!$K$2:$K$1199,MATCH(369,Engine!$C$2:$C$1199,0)))</f>
        <v/>
      </c>
      <c r="L382" s="7" t="str">
        <f>IF(ISNA(MATCH(369,Engine!$C$2:$C$1199,0)),"",INDEX('Compliance Database'!$L$2:$L$1199,MATCH(369,Engine!$C$2:$C$1199,0)))</f>
        <v/>
      </c>
      <c r="M382" s="7" t="str">
        <f>IF(ISNA(MATCH(369,Engine!$C$2:$C$1199,0)),"",INDEX('Compliance Database'!$M$2:$M$1199,MATCH(369,Engine!$C$2:$C$1199,0)))</f>
        <v/>
      </c>
      <c r="N382" s="7" t="str">
        <f>IF(ISNA(MATCH(369,Engine!$C$2:$C$1199,0)),"",INDEX('Compliance Database'!$N$2:$N$1199,MATCH(369,Engine!$C$2:$C$1199,0)))</f>
        <v/>
      </c>
      <c r="O382" s="7" t="str">
        <f>IF(ISNA(MATCH(369,Engine!$C$2:$C$1199,0)),"",INDEX('Compliance Database'!$O$2:$O$1199,MATCH(369,Engine!$C$2:$C$1199,0)))</f>
        <v/>
      </c>
      <c r="P382" s="6" t="str">
        <f>IF(ISNA(MATCH(369,Engine!$C$2:$C$1199,0)),"",HYPERLINK("#Acts!A"&amp;INDEX('Compliance Database'!$P$2:$P$1199,MATCH(369,Engine!$C$2:$C$1199,0)),"Go to Act"))</f>
        <v/>
      </c>
    </row>
    <row r="383" spans="1:16" ht="172.95" customHeight="1" x14ac:dyDescent="0.3">
      <c r="A383" s="6" t="str">
        <f>IF(ISNA(MATCH(370,Engine!$C$2:$C$1199,0)),"",INDEX('Compliance Database'!$A$2:$A$1199,MATCH(370,Engine!$C$2:$C$1199,0)))</f>
        <v/>
      </c>
      <c r="B383" s="6" t="str">
        <f>IF(ISNA(MATCH(370,Engine!$C$2:$C$1199,0)),"",INDEX('Compliance Database'!$B$2:$B$1199,MATCH(370,Engine!$C$2:$C$1199,0)))</f>
        <v/>
      </c>
      <c r="C383" s="6" t="str">
        <f>IF(ISNA(MATCH(370,Engine!$C$2:$C$1199,0)),"",INDEX('Compliance Database'!$C$2:$C$1199,MATCH(370,Engine!$C$2:$C$1199,0)))</f>
        <v/>
      </c>
      <c r="D383" s="7" t="str">
        <f>IF(ISNA(MATCH(370,Engine!$C$2:$C$1199,0)),"",INDEX('Compliance Database'!$D$2:$D$1199,MATCH(370,Engine!$C$2:$C$1199,0)))</f>
        <v/>
      </c>
      <c r="E383" s="6" t="str">
        <f>IF(ISNA(MATCH(370,Engine!$C$2:$C$1199,0)),"",INDEX('Compliance Database'!$E$2:$E$1199,MATCH(370,Engine!$C$2:$C$1199,0)))</f>
        <v/>
      </c>
      <c r="F383" s="6" t="str">
        <f>IF(ISNA(MATCH(370,Engine!$C$2:$C$1199,0)),"",INDEX('Compliance Database'!$F$2:$F$1199,MATCH(370,Engine!$C$2:$C$1199,0)))</f>
        <v/>
      </c>
      <c r="G383" s="6" t="str">
        <f>IF(ISNA(MATCH(370,Engine!$C$2:$C$1199,0)),"",INDEX('Compliance Database'!$G$2:$G$1199,MATCH(370,Engine!$C$2:$C$1199,0)))</f>
        <v/>
      </c>
      <c r="H383" s="7" t="str">
        <f>IF(ISNA(MATCH(370,Engine!$C$2:$C$1199,0)),"",INDEX('Compliance Database'!$H$2:$H$1199,MATCH(370,Engine!$C$2:$C$1199,0)))</f>
        <v/>
      </c>
      <c r="I383" s="7" t="str">
        <f>IF(ISNA(MATCH(370,Engine!$C$2:$C$1199,0)),"",INDEX('Compliance Database'!$I$2:$I$1199,MATCH(370,Engine!$C$2:$C$1199,0)))</f>
        <v/>
      </c>
      <c r="J383" s="6" t="str">
        <f>IF(ISNA(MATCH(370,Engine!$C$2:$C$1199,0)),"",INDEX('Compliance Database'!$J$2:$J$1199,MATCH(370,Engine!$C$2:$C$1199,0)))</f>
        <v/>
      </c>
      <c r="K383" s="7" t="str">
        <f>IF(ISNA(MATCH(370,Engine!$C$2:$C$1199,0)),"",INDEX('Compliance Database'!$K$2:$K$1199,MATCH(370,Engine!$C$2:$C$1199,0)))</f>
        <v/>
      </c>
      <c r="L383" s="7" t="str">
        <f>IF(ISNA(MATCH(370,Engine!$C$2:$C$1199,0)),"",INDEX('Compliance Database'!$L$2:$L$1199,MATCH(370,Engine!$C$2:$C$1199,0)))</f>
        <v/>
      </c>
      <c r="M383" s="7" t="str">
        <f>IF(ISNA(MATCH(370,Engine!$C$2:$C$1199,0)),"",INDEX('Compliance Database'!$M$2:$M$1199,MATCH(370,Engine!$C$2:$C$1199,0)))</f>
        <v/>
      </c>
      <c r="N383" s="7" t="str">
        <f>IF(ISNA(MATCH(370,Engine!$C$2:$C$1199,0)),"",INDEX('Compliance Database'!$N$2:$N$1199,MATCH(370,Engine!$C$2:$C$1199,0)))</f>
        <v/>
      </c>
      <c r="O383" s="7" t="str">
        <f>IF(ISNA(MATCH(370,Engine!$C$2:$C$1199,0)),"",INDEX('Compliance Database'!$O$2:$O$1199,MATCH(370,Engine!$C$2:$C$1199,0)))</f>
        <v/>
      </c>
      <c r="P383" s="6" t="str">
        <f>IF(ISNA(MATCH(370,Engine!$C$2:$C$1199,0)),"",HYPERLINK("#Acts!A"&amp;INDEX('Compliance Database'!$P$2:$P$1199,MATCH(370,Engine!$C$2:$C$1199,0)),"Go to Act"))</f>
        <v/>
      </c>
    </row>
    <row r="384" spans="1:16" ht="172.95" customHeight="1" x14ac:dyDescent="0.3">
      <c r="A384" s="6" t="str">
        <f>IF(ISNA(MATCH(371,Engine!$C$2:$C$1199,0)),"",INDEX('Compliance Database'!$A$2:$A$1199,MATCH(371,Engine!$C$2:$C$1199,0)))</f>
        <v/>
      </c>
      <c r="B384" s="6" t="str">
        <f>IF(ISNA(MATCH(371,Engine!$C$2:$C$1199,0)),"",INDEX('Compliance Database'!$B$2:$B$1199,MATCH(371,Engine!$C$2:$C$1199,0)))</f>
        <v/>
      </c>
      <c r="C384" s="6" t="str">
        <f>IF(ISNA(MATCH(371,Engine!$C$2:$C$1199,0)),"",INDEX('Compliance Database'!$C$2:$C$1199,MATCH(371,Engine!$C$2:$C$1199,0)))</f>
        <v/>
      </c>
      <c r="D384" s="7" t="str">
        <f>IF(ISNA(MATCH(371,Engine!$C$2:$C$1199,0)),"",INDEX('Compliance Database'!$D$2:$D$1199,MATCH(371,Engine!$C$2:$C$1199,0)))</f>
        <v/>
      </c>
      <c r="E384" s="6" t="str">
        <f>IF(ISNA(MATCH(371,Engine!$C$2:$C$1199,0)),"",INDEX('Compliance Database'!$E$2:$E$1199,MATCH(371,Engine!$C$2:$C$1199,0)))</f>
        <v/>
      </c>
      <c r="F384" s="6" t="str">
        <f>IF(ISNA(MATCH(371,Engine!$C$2:$C$1199,0)),"",INDEX('Compliance Database'!$F$2:$F$1199,MATCH(371,Engine!$C$2:$C$1199,0)))</f>
        <v/>
      </c>
      <c r="G384" s="6" t="str">
        <f>IF(ISNA(MATCH(371,Engine!$C$2:$C$1199,0)),"",INDEX('Compliance Database'!$G$2:$G$1199,MATCH(371,Engine!$C$2:$C$1199,0)))</f>
        <v/>
      </c>
      <c r="H384" s="7" t="str">
        <f>IF(ISNA(MATCH(371,Engine!$C$2:$C$1199,0)),"",INDEX('Compliance Database'!$H$2:$H$1199,MATCH(371,Engine!$C$2:$C$1199,0)))</f>
        <v/>
      </c>
      <c r="I384" s="7" t="str">
        <f>IF(ISNA(MATCH(371,Engine!$C$2:$C$1199,0)),"",INDEX('Compliance Database'!$I$2:$I$1199,MATCH(371,Engine!$C$2:$C$1199,0)))</f>
        <v/>
      </c>
      <c r="J384" s="6" t="str">
        <f>IF(ISNA(MATCH(371,Engine!$C$2:$C$1199,0)),"",INDEX('Compliance Database'!$J$2:$J$1199,MATCH(371,Engine!$C$2:$C$1199,0)))</f>
        <v/>
      </c>
      <c r="K384" s="7" t="str">
        <f>IF(ISNA(MATCH(371,Engine!$C$2:$C$1199,0)),"",INDEX('Compliance Database'!$K$2:$K$1199,MATCH(371,Engine!$C$2:$C$1199,0)))</f>
        <v/>
      </c>
      <c r="L384" s="7" t="str">
        <f>IF(ISNA(MATCH(371,Engine!$C$2:$C$1199,0)),"",INDEX('Compliance Database'!$L$2:$L$1199,MATCH(371,Engine!$C$2:$C$1199,0)))</f>
        <v/>
      </c>
      <c r="M384" s="7" t="str">
        <f>IF(ISNA(MATCH(371,Engine!$C$2:$C$1199,0)),"",INDEX('Compliance Database'!$M$2:$M$1199,MATCH(371,Engine!$C$2:$C$1199,0)))</f>
        <v/>
      </c>
      <c r="N384" s="7" t="str">
        <f>IF(ISNA(MATCH(371,Engine!$C$2:$C$1199,0)),"",INDEX('Compliance Database'!$N$2:$N$1199,MATCH(371,Engine!$C$2:$C$1199,0)))</f>
        <v/>
      </c>
      <c r="O384" s="7" t="str">
        <f>IF(ISNA(MATCH(371,Engine!$C$2:$C$1199,0)),"",INDEX('Compliance Database'!$O$2:$O$1199,MATCH(371,Engine!$C$2:$C$1199,0)))</f>
        <v/>
      </c>
      <c r="P384" s="6" t="str">
        <f>IF(ISNA(MATCH(371,Engine!$C$2:$C$1199,0)),"",HYPERLINK("#Acts!A"&amp;INDEX('Compliance Database'!$P$2:$P$1199,MATCH(371,Engine!$C$2:$C$1199,0)),"Go to Act"))</f>
        <v/>
      </c>
    </row>
    <row r="385" spans="1:16" ht="172.95" customHeight="1" x14ac:dyDescent="0.3">
      <c r="A385" s="6" t="str">
        <f>IF(ISNA(MATCH(372,Engine!$C$2:$C$1199,0)),"",INDEX('Compliance Database'!$A$2:$A$1199,MATCH(372,Engine!$C$2:$C$1199,0)))</f>
        <v/>
      </c>
      <c r="B385" s="6" t="str">
        <f>IF(ISNA(MATCH(372,Engine!$C$2:$C$1199,0)),"",INDEX('Compliance Database'!$B$2:$B$1199,MATCH(372,Engine!$C$2:$C$1199,0)))</f>
        <v/>
      </c>
      <c r="C385" s="6" t="str">
        <f>IF(ISNA(MATCH(372,Engine!$C$2:$C$1199,0)),"",INDEX('Compliance Database'!$C$2:$C$1199,MATCH(372,Engine!$C$2:$C$1199,0)))</f>
        <v/>
      </c>
      <c r="D385" s="7" t="str">
        <f>IF(ISNA(MATCH(372,Engine!$C$2:$C$1199,0)),"",INDEX('Compliance Database'!$D$2:$D$1199,MATCH(372,Engine!$C$2:$C$1199,0)))</f>
        <v/>
      </c>
      <c r="E385" s="6" t="str">
        <f>IF(ISNA(MATCH(372,Engine!$C$2:$C$1199,0)),"",INDEX('Compliance Database'!$E$2:$E$1199,MATCH(372,Engine!$C$2:$C$1199,0)))</f>
        <v/>
      </c>
      <c r="F385" s="6" t="str">
        <f>IF(ISNA(MATCH(372,Engine!$C$2:$C$1199,0)),"",INDEX('Compliance Database'!$F$2:$F$1199,MATCH(372,Engine!$C$2:$C$1199,0)))</f>
        <v/>
      </c>
      <c r="G385" s="6" t="str">
        <f>IF(ISNA(MATCH(372,Engine!$C$2:$C$1199,0)),"",INDEX('Compliance Database'!$G$2:$G$1199,MATCH(372,Engine!$C$2:$C$1199,0)))</f>
        <v/>
      </c>
      <c r="H385" s="7" t="str">
        <f>IF(ISNA(MATCH(372,Engine!$C$2:$C$1199,0)),"",INDEX('Compliance Database'!$H$2:$H$1199,MATCH(372,Engine!$C$2:$C$1199,0)))</f>
        <v/>
      </c>
      <c r="I385" s="7" t="str">
        <f>IF(ISNA(MATCH(372,Engine!$C$2:$C$1199,0)),"",INDEX('Compliance Database'!$I$2:$I$1199,MATCH(372,Engine!$C$2:$C$1199,0)))</f>
        <v/>
      </c>
      <c r="J385" s="6" t="str">
        <f>IF(ISNA(MATCH(372,Engine!$C$2:$C$1199,0)),"",INDEX('Compliance Database'!$J$2:$J$1199,MATCH(372,Engine!$C$2:$C$1199,0)))</f>
        <v/>
      </c>
      <c r="K385" s="7" t="str">
        <f>IF(ISNA(MATCH(372,Engine!$C$2:$C$1199,0)),"",INDEX('Compliance Database'!$K$2:$K$1199,MATCH(372,Engine!$C$2:$C$1199,0)))</f>
        <v/>
      </c>
      <c r="L385" s="7" t="str">
        <f>IF(ISNA(MATCH(372,Engine!$C$2:$C$1199,0)),"",INDEX('Compliance Database'!$L$2:$L$1199,MATCH(372,Engine!$C$2:$C$1199,0)))</f>
        <v/>
      </c>
      <c r="M385" s="7" t="str">
        <f>IF(ISNA(MATCH(372,Engine!$C$2:$C$1199,0)),"",INDEX('Compliance Database'!$M$2:$M$1199,MATCH(372,Engine!$C$2:$C$1199,0)))</f>
        <v/>
      </c>
      <c r="N385" s="7" t="str">
        <f>IF(ISNA(MATCH(372,Engine!$C$2:$C$1199,0)),"",INDEX('Compliance Database'!$N$2:$N$1199,MATCH(372,Engine!$C$2:$C$1199,0)))</f>
        <v/>
      </c>
      <c r="O385" s="7" t="str">
        <f>IF(ISNA(MATCH(372,Engine!$C$2:$C$1199,0)),"",INDEX('Compliance Database'!$O$2:$O$1199,MATCH(372,Engine!$C$2:$C$1199,0)))</f>
        <v/>
      </c>
      <c r="P385" s="6" t="str">
        <f>IF(ISNA(MATCH(372,Engine!$C$2:$C$1199,0)),"",HYPERLINK("#Acts!A"&amp;INDEX('Compliance Database'!$P$2:$P$1199,MATCH(372,Engine!$C$2:$C$1199,0)),"Go to Act"))</f>
        <v/>
      </c>
    </row>
    <row r="386" spans="1:16" ht="172.95" customHeight="1" x14ac:dyDescent="0.3">
      <c r="A386" s="6" t="str">
        <f>IF(ISNA(MATCH(373,Engine!$C$2:$C$1199,0)),"",INDEX('Compliance Database'!$A$2:$A$1199,MATCH(373,Engine!$C$2:$C$1199,0)))</f>
        <v/>
      </c>
      <c r="B386" s="6" t="str">
        <f>IF(ISNA(MATCH(373,Engine!$C$2:$C$1199,0)),"",INDEX('Compliance Database'!$B$2:$B$1199,MATCH(373,Engine!$C$2:$C$1199,0)))</f>
        <v/>
      </c>
      <c r="C386" s="6" t="str">
        <f>IF(ISNA(MATCH(373,Engine!$C$2:$C$1199,0)),"",INDEX('Compliance Database'!$C$2:$C$1199,MATCH(373,Engine!$C$2:$C$1199,0)))</f>
        <v/>
      </c>
      <c r="D386" s="7" t="str">
        <f>IF(ISNA(MATCH(373,Engine!$C$2:$C$1199,0)),"",INDEX('Compliance Database'!$D$2:$D$1199,MATCH(373,Engine!$C$2:$C$1199,0)))</f>
        <v/>
      </c>
      <c r="E386" s="6" t="str">
        <f>IF(ISNA(MATCH(373,Engine!$C$2:$C$1199,0)),"",INDEX('Compliance Database'!$E$2:$E$1199,MATCH(373,Engine!$C$2:$C$1199,0)))</f>
        <v/>
      </c>
      <c r="F386" s="6" t="str">
        <f>IF(ISNA(MATCH(373,Engine!$C$2:$C$1199,0)),"",INDEX('Compliance Database'!$F$2:$F$1199,MATCH(373,Engine!$C$2:$C$1199,0)))</f>
        <v/>
      </c>
      <c r="G386" s="6" t="str">
        <f>IF(ISNA(MATCH(373,Engine!$C$2:$C$1199,0)),"",INDEX('Compliance Database'!$G$2:$G$1199,MATCH(373,Engine!$C$2:$C$1199,0)))</f>
        <v/>
      </c>
      <c r="H386" s="7" t="str">
        <f>IF(ISNA(MATCH(373,Engine!$C$2:$C$1199,0)),"",INDEX('Compliance Database'!$H$2:$H$1199,MATCH(373,Engine!$C$2:$C$1199,0)))</f>
        <v/>
      </c>
      <c r="I386" s="7" t="str">
        <f>IF(ISNA(MATCH(373,Engine!$C$2:$C$1199,0)),"",INDEX('Compliance Database'!$I$2:$I$1199,MATCH(373,Engine!$C$2:$C$1199,0)))</f>
        <v/>
      </c>
      <c r="J386" s="6" t="str">
        <f>IF(ISNA(MATCH(373,Engine!$C$2:$C$1199,0)),"",INDEX('Compliance Database'!$J$2:$J$1199,MATCH(373,Engine!$C$2:$C$1199,0)))</f>
        <v/>
      </c>
      <c r="K386" s="7" t="str">
        <f>IF(ISNA(MATCH(373,Engine!$C$2:$C$1199,0)),"",INDEX('Compliance Database'!$K$2:$K$1199,MATCH(373,Engine!$C$2:$C$1199,0)))</f>
        <v/>
      </c>
      <c r="L386" s="7" t="str">
        <f>IF(ISNA(MATCH(373,Engine!$C$2:$C$1199,0)),"",INDEX('Compliance Database'!$L$2:$L$1199,MATCH(373,Engine!$C$2:$C$1199,0)))</f>
        <v/>
      </c>
      <c r="M386" s="7" t="str">
        <f>IF(ISNA(MATCH(373,Engine!$C$2:$C$1199,0)),"",INDEX('Compliance Database'!$M$2:$M$1199,MATCH(373,Engine!$C$2:$C$1199,0)))</f>
        <v/>
      </c>
      <c r="N386" s="7" t="str">
        <f>IF(ISNA(MATCH(373,Engine!$C$2:$C$1199,0)),"",INDEX('Compliance Database'!$N$2:$N$1199,MATCH(373,Engine!$C$2:$C$1199,0)))</f>
        <v/>
      </c>
      <c r="O386" s="7" t="str">
        <f>IF(ISNA(MATCH(373,Engine!$C$2:$C$1199,0)),"",INDEX('Compliance Database'!$O$2:$O$1199,MATCH(373,Engine!$C$2:$C$1199,0)))</f>
        <v/>
      </c>
      <c r="P386" s="6" t="str">
        <f>IF(ISNA(MATCH(373,Engine!$C$2:$C$1199,0)),"",HYPERLINK("#Acts!A"&amp;INDEX('Compliance Database'!$P$2:$P$1199,MATCH(373,Engine!$C$2:$C$1199,0)),"Go to Act"))</f>
        <v/>
      </c>
    </row>
    <row r="387" spans="1:16" ht="172.95" customHeight="1" x14ac:dyDescent="0.3">
      <c r="A387" s="6" t="str">
        <f>IF(ISNA(MATCH(374,Engine!$C$2:$C$1199,0)),"",INDEX('Compliance Database'!$A$2:$A$1199,MATCH(374,Engine!$C$2:$C$1199,0)))</f>
        <v/>
      </c>
      <c r="B387" s="6" t="str">
        <f>IF(ISNA(MATCH(374,Engine!$C$2:$C$1199,0)),"",INDEX('Compliance Database'!$B$2:$B$1199,MATCH(374,Engine!$C$2:$C$1199,0)))</f>
        <v/>
      </c>
      <c r="C387" s="6" t="str">
        <f>IF(ISNA(MATCH(374,Engine!$C$2:$C$1199,0)),"",INDEX('Compliance Database'!$C$2:$C$1199,MATCH(374,Engine!$C$2:$C$1199,0)))</f>
        <v/>
      </c>
      <c r="D387" s="7" t="str">
        <f>IF(ISNA(MATCH(374,Engine!$C$2:$C$1199,0)),"",INDEX('Compliance Database'!$D$2:$D$1199,MATCH(374,Engine!$C$2:$C$1199,0)))</f>
        <v/>
      </c>
      <c r="E387" s="6" t="str">
        <f>IF(ISNA(MATCH(374,Engine!$C$2:$C$1199,0)),"",INDEX('Compliance Database'!$E$2:$E$1199,MATCH(374,Engine!$C$2:$C$1199,0)))</f>
        <v/>
      </c>
      <c r="F387" s="6" t="str">
        <f>IF(ISNA(MATCH(374,Engine!$C$2:$C$1199,0)),"",INDEX('Compliance Database'!$F$2:$F$1199,MATCH(374,Engine!$C$2:$C$1199,0)))</f>
        <v/>
      </c>
      <c r="G387" s="6" t="str">
        <f>IF(ISNA(MATCH(374,Engine!$C$2:$C$1199,0)),"",INDEX('Compliance Database'!$G$2:$G$1199,MATCH(374,Engine!$C$2:$C$1199,0)))</f>
        <v/>
      </c>
      <c r="H387" s="7" t="str">
        <f>IF(ISNA(MATCH(374,Engine!$C$2:$C$1199,0)),"",INDEX('Compliance Database'!$H$2:$H$1199,MATCH(374,Engine!$C$2:$C$1199,0)))</f>
        <v/>
      </c>
      <c r="I387" s="7" t="str">
        <f>IF(ISNA(MATCH(374,Engine!$C$2:$C$1199,0)),"",INDEX('Compliance Database'!$I$2:$I$1199,MATCH(374,Engine!$C$2:$C$1199,0)))</f>
        <v/>
      </c>
      <c r="J387" s="6" t="str">
        <f>IF(ISNA(MATCH(374,Engine!$C$2:$C$1199,0)),"",INDEX('Compliance Database'!$J$2:$J$1199,MATCH(374,Engine!$C$2:$C$1199,0)))</f>
        <v/>
      </c>
      <c r="K387" s="7" t="str">
        <f>IF(ISNA(MATCH(374,Engine!$C$2:$C$1199,0)),"",INDEX('Compliance Database'!$K$2:$K$1199,MATCH(374,Engine!$C$2:$C$1199,0)))</f>
        <v/>
      </c>
      <c r="L387" s="7" t="str">
        <f>IF(ISNA(MATCH(374,Engine!$C$2:$C$1199,0)),"",INDEX('Compliance Database'!$L$2:$L$1199,MATCH(374,Engine!$C$2:$C$1199,0)))</f>
        <v/>
      </c>
      <c r="M387" s="7" t="str">
        <f>IF(ISNA(MATCH(374,Engine!$C$2:$C$1199,0)),"",INDEX('Compliance Database'!$M$2:$M$1199,MATCH(374,Engine!$C$2:$C$1199,0)))</f>
        <v/>
      </c>
      <c r="N387" s="7" t="str">
        <f>IF(ISNA(MATCH(374,Engine!$C$2:$C$1199,0)),"",INDEX('Compliance Database'!$N$2:$N$1199,MATCH(374,Engine!$C$2:$C$1199,0)))</f>
        <v/>
      </c>
      <c r="O387" s="7" t="str">
        <f>IF(ISNA(MATCH(374,Engine!$C$2:$C$1199,0)),"",INDEX('Compliance Database'!$O$2:$O$1199,MATCH(374,Engine!$C$2:$C$1199,0)))</f>
        <v/>
      </c>
      <c r="P387" s="6" t="str">
        <f>IF(ISNA(MATCH(374,Engine!$C$2:$C$1199,0)),"",HYPERLINK("#Acts!A"&amp;INDEX('Compliance Database'!$P$2:$P$1199,MATCH(374,Engine!$C$2:$C$1199,0)),"Go to Act"))</f>
        <v/>
      </c>
    </row>
    <row r="388" spans="1:16" ht="172.95" customHeight="1" x14ac:dyDescent="0.3">
      <c r="A388" s="6" t="str">
        <f>IF(ISNA(MATCH(375,Engine!$C$2:$C$1199,0)),"",INDEX('Compliance Database'!$A$2:$A$1199,MATCH(375,Engine!$C$2:$C$1199,0)))</f>
        <v/>
      </c>
      <c r="B388" s="6" t="str">
        <f>IF(ISNA(MATCH(375,Engine!$C$2:$C$1199,0)),"",INDEX('Compliance Database'!$B$2:$B$1199,MATCH(375,Engine!$C$2:$C$1199,0)))</f>
        <v/>
      </c>
      <c r="C388" s="6" t="str">
        <f>IF(ISNA(MATCH(375,Engine!$C$2:$C$1199,0)),"",INDEX('Compliance Database'!$C$2:$C$1199,MATCH(375,Engine!$C$2:$C$1199,0)))</f>
        <v/>
      </c>
      <c r="D388" s="7" t="str">
        <f>IF(ISNA(MATCH(375,Engine!$C$2:$C$1199,0)),"",INDEX('Compliance Database'!$D$2:$D$1199,MATCH(375,Engine!$C$2:$C$1199,0)))</f>
        <v/>
      </c>
      <c r="E388" s="6" t="str">
        <f>IF(ISNA(MATCH(375,Engine!$C$2:$C$1199,0)),"",INDEX('Compliance Database'!$E$2:$E$1199,MATCH(375,Engine!$C$2:$C$1199,0)))</f>
        <v/>
      </c>
      <c r="F388" s="6" t="str">
        <f>IF(ISNA(MATCH(375,Engine!$C$2:$C$1199,0)),"",INDEX('Compliance Database'!$F$2:$F$1199,MATCH(375,Engine!$C$2:$C$1199,0)))</f>
        <v/>
      </c>
      <c r="G388" s="6" t="str">
        <f>IF(ISNA(MATCH(375,Engine!$C$2:$C$1199,0)),"",INDEX('Compliance Database'!$G$2:$G$1199,MATCH(375,Engine!$C$2:$C$1199,0)))</f>
        <v/>
      </c>
      <c r="H388" s="7" t="str">
        <f>IF(ISNA(MATCH(375,Engine!$C$2:$C$1199,0)),"",INDEX('Compliance Database'!$H$2:$H$1199,MATCH(375,Engine!$C$2:$C$1199,0)))</f>
        <v/>
      </c>
      <c r="I388" s="7" t="str">
        <f>IF(ISNA(MATCH(375,Engine!$C$2:$C$1199,0)),"",INDEX('Compliance Database'!$I$2:$I$1199,MATCH(375,Engine!$C$2:$C$1199,0)))</f>
        <v/>
      </c>
      <c r="J388" s="6" t="str">
        <f>IF(ISNA(MATCH(375,Engine!$C$2:$C$1199,0)),"",INDEX('Compliance Database'!$J$2:$J$1199,MATCH(375,Engine!$C$2:$C$1199,0)))</f>
        <v/>
      </c>
      <c r="K388" s="7" t="str">
        <f>IF(ISNA(MATCH(375,Engine!$C$2:$C$1199,0)),"",INDEX('Compliance Database'!$K$2:$K$1199,MATCH(375,Engine!$C$2:$C$1199,0)))</f>
        <v/>
      </c>
      <c r="L388" s="7" t="str">
        <f>IF(ISNA(MATCH(375,Engine!$C$2:$C$1199,0)),"",INDEX('Compliance Database'!$L$2:$L$1199,MATCH(375,Engine!$C$2:$C$1199,0)))</f>
        <v/>
      </c>
      <c r="M388" s="7" t="str">
        <f>IF(ISNA(MATCH(375,Engine!$C$2:$C$1199,0)),"",INDEX('Compliance Database'!$M$2:$M$1199,MATCH(375,Engine!$C$2:$C$1199,0)))</f>
        <v/>
      </c>
      <c r="N388" s="7" t="str">
        <f>IF(ISNA(MATCH(375,Engine!$C$2:$C$1199,0)),"",INDEX('Compliance Database'!$N$2:$N$1199,MATCH(375,Engine!$C$2:$C$1199,0)))</f>
        <v/>
      </c>
      <c r="O388" s="7" t="str">
        <f>IF(ISNA(MATCH(375,Engine!$C$2:$C$1199,0)),"",INDEX('Compliance Database'!$O$2:$O$1199,MATCH(375,Engine!$C$2:$C$1199,0)))</f>
        <v/>
      </c>
      <c r="P388" s="6" t="str">
        <f>IF(ISNA(MATCH(375,Engine!$C$2:$C$1199,0)),"",HYPERLINK("#Acts!A"&amp;INDEX('Compliance Database'!$P$2:$P$1199,MATCH(375,Engine!$C$2:$C$1199,0)),"Go to Act"))</f>
        <v/>
      </c>
    </row>
    <row r="389" spans="1:16" ht="172.95" customHeight="1" x14ac:dyDescent="0.3">
      <c r="A389" s="6" t="str">
        <f>IF(ISNA(MATCH(376,Engine!$C$2:$C$1199,0)),"",INDEX('Compliance Database'!$A$2:$A$1199,MATCH(376,Engine!$C$2:$C$1199,0)))</f>
        <v/>
      </c>
      <c r="B389" s="6" t="str">
        <f>IF(ISNA(MATCH(376,Engine!$C$2:$C$1199,0)),"",INDEX('Compliance Database'!$B$2:$B$1199,MATCH(376,Engine!$C$2:$C$1199,0)))</f>
        <v/>
      </c>
      <c r="C389" s="6" t="str">
        <f>IF(ISNA(MATCH(376,Engine!$C$2:$C$1199,0)),"",INDEX('Compliance Database'!$C$2:$C$1199,MATCH(376,Engine!$C$2:$C$1199,0)))</f>
        <v/>
      </c>
      <c r="D389" s="7" t="str">
        <f>IF(ISNA(MATCH(376,Engine!$C$2:$C$1199,0)),"",INDEX('Compliance Database'!$D$2:$D$1199,MATCH(376,Engine!$C$2:$C$1199,0)))</f>
        <v/>
      </c>
      <c r="E389" s="6" t="str">
        <f>IF(ISNA(MATCH(376,Engine!$C$2:$C$1199,0)),"",INDEX('Compliance Database'!$E$2:$E$1199,MATCH(376,Engine!$C$2:$C$1199,0)))</f>
        <v/>
      </c>
      <c r="F389" s="6" t="str">
        <f>IF(ISNA(MATCH(376,Engine!$C$2:$C$1199,0)),"",INDEX('Compliance Database'!$F$2:$F$1199,MATCH(376,Engine!$C$2:$C$1199,0)))</f>
        <v/>
      </c>
      <c r="G389" s="6" t="str">
        <f>IF(ISNA(MATCH(376,Engine!$C$2:$C$1199,0)),"",INDEX('Compliance Database'!$G$2:$G$1199,MATCH(376,Engine!$C$2:$C$1199,0)))</f>
        <v/>
      </c>
      <c r="H389" s="7" t="str">
        <f>IF(ISNA(MATCH(376,Engine!$C$2:$C$1199,0)),"",INDEX('Compliance Database'!$H$2:$H$1199,MATCH(376,Engine!$C$2:$C$1199,0)))</f>
        <v/>
      </c>
      <c r="I389" s="7" t="str">
        <f>IF(ISNA(MATCH(376,Engine!$C$2:$C$1199,0)),"",INDEX('Compliance Database'!$I$2:$I$1199,MATCH(376,Engine!$C$2:$C$1199,0)))</f>
        <v/>
      </c>
      <c r="J389" s="6" t="str">
        <f>IF(ISNA(MATCH(376,Engine!$C$2:$C$1199,0)),"",INDEX('Compliance Database'!$J$2:$J$1199,MATCH(376,Engine!$C$2:$C$1199,0)))</f>
        <v/>
      </c>
      <c r="K389" s="7" t="str">
        <f>IF(ISNA(MATCH(376,Engine!$C$2:$C$1199,0)),"",INDEX('Compliance Database'!$K$2:$K$1199,MATCH(376,Engine!$C$2:$C$1199,0)))</f>
        <v/>
      </c>
      <c r="L389" s="7" t="str">
        <f>IF(ISNA(MATCH(376,Engine!$C$2:$C$1199,0)),"",INDEX('Compliance Database'!$L$2:$L$1199,MATCH(376,Engine!$C$2:$C$1199,0)))</f>
        <v/>
      </c>
      <c r="M389" s="7" t="str">
        <f>IF(ISNA(MATCH(376,Engine!$C$2:$C$1199,0)),"",INDEX('Compliance Database'!$M$2:$M$1199,MATCH(376,Engine!$C$2:$C$1199,0)))</f>
        <v/>
      </c>
      <c r="N389" s="7" t="str">
        <f>IF(ISNA(MATCH(376,Engine!$C$2:$C$1199,0)),"",INDEX('Compliance Database'!$N$2:$N$1199,MATCH(376,Engine!$C$2:$C$1199,0)))</f>
        <v/>
      </c>
      <c r="O389" s="7" t="str">
        <f>IF(ISNA(MATCH(376,Engine!$C$2:$C$1199,0)),"",INDEX('Compliance Database'!$O$2:$O$1199,MATCH(376,Engine!$C$2:$C$1199,0)))</f>
        <v/>
      </c>
      <c r="P389" s="6" t="str">
        <f>IF(ISNA(MATCH(376,Engine!$C$2:$C$1199,0)),"",HYPERLINK("#Acts!A"&amp;INDEX('Compliance Database'!$P$2:$P$1199,MATCH(376,Engine!$C$2:$C$1199,0)),"Go to Act"))</f>
        <v/>
      </c>
    </row>
    <row r="390" spans="1:16" ht="172.95" customHeight="1" x14ac:dyDescent="0.3">
      <c r="A390" s="6" t="str">
        <f>IF(ISNA(MATCH(377,Engine!$C$2:$C$1199,0)),"",INDEX('Compliance Database'!$A$2:$A$1199,MATCH(377,Engine!$C$2:$C$1199,0)))</f>
        <v/>
      </c>
      <c r="B390" s="6" t="str">
        <f>IF(ISNA(MATCH(377,Engine!$C$2:$C$1199,0)),"",INDEX('Compliance Database'!$B$2:$B$1199,MATCH(377,Engine!$C$2:$C$1199,0)))</f>
        <v/>
      </c>
      <c r="C390" s="6" t="str">
        <f>IF(ISNA(MATCH(377,Engine!$C$2:$C$1199,0)),"",INDEX('Compliance Database'!$C$2:$C$1199,MATCH(377,Engine!$C$2:$C$1199,0)))</f>
        <v/>
      </c>
      <c r="D390" s="7" t="str">
        <f>IF(ISNA(MATCH(377,Engine!$C$2:$C$1199,0)),"",INDEX('Compliance Database'!$D$2:$D$1199,MATCH(377,Engine!$C$2:$C$1199,0)))</f>
        <v/>
      </c>
      <c r="E390" s="6" t="str">
        <f>IF(ISNA(MATCH(377,Engine!$C$2:$C$1199,0)),"",INDEX('Compliance Database'!$E$2:$E$1199,MATCH(377,Engine!$C$2:$C$1199,0)))</f>
        <v/>
      </c>
      <c r="F390" s="6" t="str">
        <f>IF(ISNA(MATCH(377,Engine!$C$2:$C$1199,0)),"",INDEX('Compliance Database'!$F$2:$F$1199,MATCH(377,Engine!$C$2:$C$1199,0)))</f>
        <v/>
      </c>
      <c r="G390" s="6" t="str">
        <f>IF(ISNA(MATCH(377,Engine!$C$2:$C$1199,0)),"",INDEX('Compliance Database'!$G$2:$G$1199,MATCH(377,Engine!$C$2:$C$1199,0)))</f>
        <v/>
      </c>
      <c r="H390" s="7" t="str">
        <f>IF(ISNA(MATCH(377,Engine!$C$2:$C$1199,0)),"",INDEX('Compliance Database'!$H$2:$H$1199,MATCH(377,Engine!$C$2:$C$1199,0)))</f>
        <v/>
      </c>
      <c r="I390" s="7" t="str">
        <f>IF(ISNA(MATCH(377,Engine!$C$2:$C$1199,0)),"",INDEX('Compliance Database'!$I$2:$I$1199,MATCH(377,Engine!$C$2:$C$1199,0)))</f>
        <v/>
      </c>
      <c r="J390" s="6" t="str">
        <f>IF(ISNA(MATCH(377,Engine!$C$2:$C$1199,0)),"",INDEX('Compliance Database'!$J$2:$J$1199,MATCH(377,Engine!$C$2:$C$1199,0)))</f>
        <v/>
      </c>
      <c r="K390" s="7" t="str">
        <f>IF(ISNA(MATCH(377,Engine!$C$2:$C$1199,0)),"",INDEX('Compliance Database'!$K$2:$K$1199,MATCH(377,Engine!$C$2:$C$1199,0)))</f>
        <v/>
      </c>
      <c r="L390" s="7" t="str">
        <f>IF(ISNA(MATCH(377,Engine!$C$2:$C$1199,0)),"",INDEX('Compliance Database'!$L$2:$L$1199,MATCH(377,Engine!$C$2:$C$1199,0)))</f>
        <v/>
      </c>
      <c r="M390" s="7" t="str">
        <f>IF(ISNA(MATCH(377,Engine!$C$2:$C$1199,0)),"",INDEX('Compliance Database'!$M$2:$M$1199,MATCH(377,Engine!$C$2:$C$1199,0)))</f>
        <v/>
      </c>
      <c r="N390" s="7" t="str">
        <f>IF(ISNA(MATCH(377,Engine!$C$2:$C$1199,0)),"",INDEX('Compliance Database'!$N$2:$N$1199,MATCH(377,Engine!$C$2:$C$1199,0)))</f>
        <v/>
      </c>
      <c r="O390" s="7" t="str">
        <f>IF(ISNA(MATCH(377,Engine!$C$2:$C$1199,0)),"",INDEX('Compliance Database'!$O$2:$O$1199,MATCH(377,Engine!$C$2:$C$1199,0)))</f>
        <v/>
      </c>
      <c r="P390" s="6" t="str">
        <f>IF(ISNA(MATCH(377,Engine!$C$2:$C$1199,0)),"",HYPERLINK("#Acts!A"&amp;INDEX('Compliance Database'!$P$2:$P$1199,MATCH(377,Engine!$C$2:$C$1199,0)),"Go to Act"))</f>
        <v/>
      </c>
    </row>
    <row r="391" spans="1:16" ht="172.95" customHeight="1" x14ac:dyDescent="0.3">
      <c r="A391" s="6" t="str">
        <f>IF(ISNA(MATCH(378,Engine!$C$2:$C$1199,0)),"",INDEX('Compliance Database'!$A$2:$A$1199,MATCH(378,Engine!$C$2:$C$1199,0)))</f>
        <v/>
      </c>
      <c r="B391" s="6" t="str">
        <f>IF(ISNA(MATCH(378,Engine!$C$2:$C$1199,0)),"",INDEX('Compliance Database'!$B$2:$B$1199,MATCH(378,Engine!$C$2:$C$1199,0)))</f>
        <v/>
      </c>
      <c r="C391" s="6" t="str">
        <f>IF(ISNA(MATCH(378,Engine!$C$2:$C$1199,0)),"",INDEX('Compliance Database'!$C$2:$C$1199,MATCH(378,Engine!$C$2:$C$1199,0)))</f>
        <v/>
      </c>
      <c r="D391" s="7" t="str">
        <f>IF(ISNA(MATCH(378,Engine!$C$2:$C$1199,0)),"",INDEX('Compliance Database'!$D$2:$D$1199,MATCH(378,Engine!$C$2:$C$1199,0)))</f>
        <v/>
      </c>
      <c r="E391" s="6" t="str">
        <f>IF(ISNA(MATCH(378,Engine!$C$2:$C$1199,0)),"",INDEX('Compliance Database'!$E$2:$E$1199,MATCH(378,Engine!$C$2:$C$1199,0)))</f>
        <v/>
      </c>
      <c r="F391" s="6" t="str">
        <f>IF(ISNA(MATCH(378,Engine!$C$2:$C$1199,0)),"",INDEX('Compliance Database'!$F$2:$F$1199,MATCH(378,Engine!$C$2:$C$1199,0)))</f>
        <v/>
      </c>
      <c r="G391" s="6" t="str">
        <f>IF(ISNA(MATCH(378,Engine!$C$2:$C$1199,0)),"",INDEX('Compliance Database'!$G$2:$G$1199,MATCH(378,Engine!$C$2:$C$1199,0)))</f>
        <v/>
      </c>
      <c r="H391" s="7" t="str">
        <f>IF(ISNA(MATCH(378,Engine!$C$2:$C$1199,0)),"",INDEX('Compliance Database'!$H$2:$H$1199,MATCH(378,Engine!$C$2:$C$1199,0)))</f>
        <v/>
      </c>
      <c r="I391" s="7" t="str">
        <f>IF(ISNA(MATCH(378,Engine!$C$2:$C$1199,0)),"",INDEX('Compliance Database'!$I$2:$I$1199,MATCH(378,Engine!$C$2:$C$1199,0)))</f>
        <v/>
      </c>
      <c r="J391" s="6" t="str">
        <f>IF(ISNA(MATCH(378,Engine!$C$2:$C$1199,0)),"",INDEX('Compliance Database'!$J$2:$J$1199,MATCH(378,Engine!$C$2:$C$1199,0)))</f>
        <v/>
      </c>
      <c r="K391" s="7" t="str">
        <f>IF(ISNA(MATCH(378,Engine!$C$2:$C$1199,0)),"",INDEX('Compliance Database'!$K$2:$K$1199,MATCH(378,Engine!$C$2:$C$1199,0)))</f>
        <v/>
      </c>
      <c r="L391" s="7" t="str">
        <f>IF(ISNA(MATCH(378,Engine!$C$2:$C$1199,0)),"",INDEX('Compliance Database'!$L$2:$L$1199,MATCH(378,Engine!$C$2:$C$1199,0)))</f>
        <v/>
      </c>
      <c r="M391" s="7" t="str">
        <f>IF(ISNA(MATCH(378,Engine!$C$2:$C$1199,0)),"",INDEX('Compliance Database'!$M$2:$M$1199,MATCH(378,Engine!$C$2:$C$1199,0)))</f>
        <v/>
      </c>
      <c r="N391" s="7" t="str">
        <f>IF(ISNA(MATCH(378,Engine!$C$2:$C$1199,0)),"",INDEX('Compliance Database'!$N$2:$N$1199,MATCH(378,Engine!$C$2:$C$1199,0)))</f>
        <v/>
      </c>
      <c r="O391" s="7" t="str">
        <f>IF(ISNA(MATCH(378,Engine!$C$2:$C$1199,0)),"",INDEX('Compliance Database'!$O$2:$O$1199,MATCH(378,Engine!$C$2:$C$1199,0)))</f>
        <v/>
      </c>
      <c r="P391" s="6" t="str">
        <f>IF(ISNA(MATCH(378,Engine!$C$2:$C$1199,0)),"",HYPERLINK("#Acts!A"&amp;INDEX('Compliance Database'!$P$2:$P$1199,MATCH(378,Engine!$C$2:$C$1199,0)),"Go to Act"))</f>
        <v/>
      </c>
    </row>
    <row r="392" spans="1:16" ht="172.95" customHeight="1" x14ac:dyDescent="0.3">
      <c r="A392" s="6" t="str">
        <f>IF(ISNA(MATCH(379,Engine!$C$2:$C$1199,0)),"",INDEX('Compliance Database'!$A$2:$A$1199,MATCH(379,Engine!$C$2:$C$1199,0)))</f>
        <v/>
      </c>
      <c r="B392" s="6" t="str">
        <f>IF(ISNA(MATCH(379,Engine!$C$2:$C$1199,0)),"",INDEX('Compliance Database'!$B$2:$B$1199,MATCH(379,Engine!$C$2:$C$1199,0)))</f>
        <v/>
      </c>
      <c r="C392" s="6" t="str">
        <f>IF(ISNA(MATCH(379,Engine!$C$2:$C$1199,0)),"",INDEX('Compliance Database'!$C$2:$C$1199,MATCH(379,Engine!$C$2:$C$1199,0)))</f>
        <v/>
      </c>
      <c r="D392" s="7" t="str">
        <f>IF(ISNA(MATCH(379,Engine!$C$2:$C$1199,0)),"",INDEX('Compliance Database'!$D$2:$D$1199,MATCH(379,Engine!$C$2:$C$1199,0)))</f>
        <v/>
      </c>
      <c r="E392" s="6" t="str">
        <f>IF(ISNA(MATCH(379,Engine!$C$2:$C$1199,0)),"",INDEX('Compliance Database'!$E$2:$E$1199,MATCH(379,Engine!$C$2:$C$1199,0)))</f>
        <v/>
      </c>
      <c r="F392" s="6" t="str">
        <f>IF(ISNA(MATCH(379,Engine!$C$2:$C$1199,0)),"",INDEX('Compliance Database'!$F$2:$F$1199,MATCH(379,Engine!$C$2:$C$1199,0)))</f>
        <v/>
      </c>
      <c r="G392" s="6" t="str">
        <f>IF(ISNA(MATCH(379,Engine!$C$2:$C$1199,0)),"",INDEX('Compliance Database'!$G$2:$G$1199,MATCH(379,Engine!$C$2:$C$1199,0)))</f>
        <v/>
      </c>
      <c r="H392" s="7" t="str">
        <f>IF(ISNA(MATCH(379,Engine!$C$2:$C$1199,0)),"",INDEX('Compliance Database'!$H$2:$H$1199,MATCH(379,Engine!$C$2:$C$1199,0)))</f>
        <v/>
      </c>
      <c r="I392" s="7" t="str">
        <f>IF(ISNA(MATCH(379,Engine!$C$2:$C$1199,0)),"",INDEX('Compliance Database'!$I$2:$I$1199,MATCH(379,Engine!$C$2:$C$1199,0)))</f>
        <v/>
      </c>
      <c r="J392" s="6" t="str">
        <f>IF(ISNA(MATCH(379,Engine!$C$2:$C$1199,0)),"",INDEX('Compliance Database'!$J$2:$J$1199,MATCH(379,Engine!$C$2:$C$1199,0)))</f>
        <v/>
      </c>
      <c r="K392" s="7" t="str">
        <f>IF(ISNA(MATCH(379,Engine!$C$2:$C$1199,0)),"",INDEX('Compliance Database'!$K$2:$K$1199,MATCH(379,Engine!$C$2:$C$1199,0)))</f>
        <v/>
      </c>
      <c r="L392" s="7" t="str">
        <f>IF(ISNA(MATCH(379,Engine!$C$2:$C$1199,0)),"",INDEX('Compliance Database'!$L$2:$L$1199,MATCH(379,Engine!$C$2:$C$1199,0)))</f>
        <v/>
      </c>
      <c r="M392" s="7" t="str">
        <f>IF(ISNA(MATCH(379,Engine!$C$2:$C$1199,0)),"",INDEX('Compliance Database'!$M$2:$M$1199,MATCH(379,Engine!$C$2:$C$1199,0)))</f>
        <v/>
      </c>
      <c r="N392" s="7" t="str">
        <f>IF(ISNA(MATCH(379,Engine!$C$2:$C$1199,0)),"",INDEX('Compliance Database'!$N$2:$N$1199,MATCH(379,Engine!$C$2:$C$1199,0)))</f>
        <v/>
      </c>
      <c r="O392" s="7" t="str">
        <f>IF(ISNA(MATCH(379,Engine!$C$2:$C$1199,0)),"",INDEX('Compliance Database'!$O$2:$O$1199,MATCH(379,Engine!$C$2:$C$1199,0)))</f>
        <v/>
      </c>
      <c r="P392" s="6" t="str">
        <f>IF(ISNA(MATCH(379,Engine!$C$2:$C$1199,0)),"",HYPERLINK("#Acts!A"&amp;INDEX('Compliance Database'!$P$2:$P$1199,MATCH(379,Engine!$C$2:$C$1199,0)),"Go to Act"))</f>
        <v/>
      </c>
    </row>
    <row r="393" spans="1:16" ht="172.95" customHeight="1" x14ac:dyDescent="0.3">
      <c r="A393" s="6" t="str">
        <f>IF(ISNA(MATCH(380,Engine!$C$2:$C$1199,0)),"",INDEX('Compliance Database'!$A$2:$A$1199,MATCH(380,Engine!$C$2:$C$1199,0)))</f>
        <v/>
      </c>
      <c r="B393" s="6" t="str">
        <f>IF(ISNA(MATCH(380,Engine!$C$2:$C$1199,0)),"",INDEX('Compliance Database'!$B$2:$B$1199,MATCH(380,Engine!$C$2:$C$1199,0)))</f>
        <v/>
      </c>
      <c r="C393" s="6" t="str">
        <f>IF(ISNA(MATCH(380,Engine!$C$2:$C$1199,0)),"",INDEX('Compliance Database'!$C$2:$C$1199,MATCH(380,Engine!$C$2:$C$1199,0)))</f>
        <v/>
      </c>
      <c r="D393" s="7" t="str">
        <f>IF(ISNA(MATCH(380,Engine!$C$2:$C$1199,0)),"",INDEX('Compliance Database'!$D$2:$D$1199,MATCH(380,Engine!$C$2:$C$1199,0)))</f>
        <v/>
      </c>
      <c r="E393" s="6" t="str">
        <f>IF(ISNA(MATCH(380,Engine!$C$2:$C$1199,0)),"",INDEX('Compliance Database'!$E$2:$E$1199,MATCH(380,Engine!$C$2:$C$1199,0)))</f>
        <v/>
      </c>
      <c r="F393" s="6" t="str">
        <f>IF(ISNA(MATCH(380,Engine!$C$2:$C$1199,0)),"",INDEX('Compliance Database'!$F$2:$F$1199,MATCH(380,Engine!$C$2:$C$1199,0)))</f>
        <v/>
      </c>
      <c r="G393" s="6" t="str">
        <f>IF(ISNA(MATCH(380,Engine!$C$2:$C$1199,0)),"",INDEX('Compliance Database'!$G$2:$G$1199,MATCH(380,Engine!$C$2:$C$1199,0)))</f>
        <v/>
      </c>
      <c r="H393" s="7" t="str">
        <f>IF(ISNA(MATCH(380,Engine!$C$2:$C$1199,0)),"",INDEX('Compliance Database'!$H$2:$H$1199,MATCH(380,Engine!$C$2:$C$1199,0)))</f>
        <v/>
      </c>
      <c r="I393" s="7" t="str">
        <f>IF(ISNA(MATCH(380,Engine!$C$2:$C$1199,0)),"",INDEX('Compliance Database'!$I$2:$I$1199,MATCH(380,Engine!$C$2:$C$1199,0)))</f>
        <v/>
      </c>
      <c r="J393" s="6" t="str">
        <f>IF(ISNA(MATCH(380,Engine!$C$2:$C$1199,0)),"",INDEX('Compliance Database'!$J$2:$J$1199,MATCH(380,Engine!$C$2:$C$1199,0)))</f>
        <v/>
      </c>
      <c r="K393" s="7" t="str">
        <f>IF(ISNA(MATCH(380,Engine!$C$2:$C$1199,0)),"",INDEX('Compliance Database'!$K$2:$K$1199,MATCH(380,Engine!$C$2:$C$1199,0)))</f>
        <v/>
      </c>
      <c r="L393" s="7" t="str">
        <f>IF(ISNA(MATCH(380,Engine!$C$2:$C$1199,0)),"",INDEX('Compliance Database'!$L$2:$L$1199,MATCH(380,Engine!$C$2:$C$1199,0)))</f>
        <v/>
      </c>
      <c r="M393" s="7" t="str">
        <f>IF(ISNA(MATCH(380,Engine!$C$2:$C$1199,0)),"",INDEX('Compliance Database'!$M$2:$M$1199,MATCH(380,Engine!$C$2:$C$1199,0)))</f>
        <v/>
      </c>
      <c r="N393" s="7" t="str">
        <f>IF(ISNA(MATCH(380,Engine!$C$2:$C$1199,0)),"",INDEX('Compliance Database'!$N$2:$N$1199,MATCH(380,Engine!$C$2:$C$1199,0)))</f>
        <v/>
      </c>
      <c r="O393" s="7" t="str">
        <f>IF(ISNA(MATCH(380,Engine!$C$2:$C$1199,0)),"",INDEX('Compliance Database'!$O$2:$O$1199,MATCH(380,Engine!$C$2:$C$1199,0)))</f>
        <v/>
      </c>
      <c r="P393" s="6" t="str">
        <f>IF(ISNA(MATCH(380,Engine!$C$2:$C$1199,0)),"",HYPERLINK("#Acts!A"&amp;INDEX('Compliance Database'!$P$2:$P$1199,MATCH(380,Engine!$C$2:$C$1199,0)),"Go to Act"))</f>
        <v/>
      </c>
    </row>
    <row r="394" spans="1:16" ht="172.95" customHeight="1" x14ac:dyDescent="0.3">
      <c r="A394" s="6" t="str">
        <f>IF(ISNA(MATCH(381,Engine!$C$2:$C$1199,0)),"",INDEX('Compliance Database'!$A$2:$A$1199,MATCH(381,Engine!$C$2:$C$1199,0)))</f>
        <v/>
      </c>
      <c r="B394" s="6" t="str">
        <f>IF(ISNA(MATCH(381,Engine!$C$2:$C$1199,0)),"",INDEX('Compliance Database'!$B$2:$B$1199,MATCH(381,Engine!$C$2:$C$1199,0)))</f>
        <v/>
      </c>
      <c r="C394" s="6" t="str">
        <f>IF(ISNA(MATCH(381,Engine!$C$2:$C$1199,0)),"",INDEX('Compliance Database'!$C$2:$C$1199,MATCH(381,Engine!$C$2:$C$1199,0)))</f>
        <v/>
      </c>
      <c r="D394" s="7" t="str">
        <f>IF(ISNA(MATCH(381,Engine!$C$2:$C$1199,0)),"",INDEX('Compliance Database'!$D$2:$D$1199,MATCH(381,Engine!$C$2:$C$1199,0)))</f>
        <v/>
      </c>
      <c r="E394" s="6" t="str">
        <f>IF(ISNA(MATCH(381,Engine!$C$2:$C$1199,0)),"",INDEX('Compliance Database'!$E$2:$E$1199,MATCH(381,Engine!$C$2:$C$1199,0)))</f>
        <v/>
      </c>
      <c r="F394" s="6" t="str">
        <f>IF(ISNA(MATCH(381,Engine!$C$2:$C$1199,0)),"",INDEX('Compliance Database'!$F$2:$F$1199,MATCH(381,Engine!$C$2:$C$1199,0)))</f>
        <v/>
      </c>
      <c r="G394" s="6" t="str">
        <f>IF(ISNA(MATCH(381,Engine!$C$2:$C$1199,0)),"",INDEX('Compliance Database'!$G$2:$G$1199,MATCH(381,Engine!$C$2:$C$1199,0)))</f>
        <v/>
      </c>
      <c r="H394" s="7" t="str">
        <f>IF(ISNA(MATCH(381,Engine!$C$2:$C$1199,0)),"",INDEX('Compliance Database'!$H$2:$H$1199,MATCH(381,Engine!$C$2:$C$1199,0)))</f>
        <v/>
      </c>
      <c r="I394" s="7" t="str">
        <f>IF(ISNA(MATCH(381,Engine!$C$2:$C$1199,0)),"",INDEX('Compliance Database'!$I$2:$I$1199,MATCH(381,Engine!$C$2:$C$1199,0)))</f>
        <v/>
      </c>
      <c r="J394" s="6" t="str">
        <f>IF(ISNA(MATCH(381,Engine!$C$2:$C$1199,0)),"",INDEX('Compliance Database'!$J$2:$J$1199,MATCH(381,Engine!$C$2:$C$1199,0)))</f>
        <v/>
      </c>
      <c r="K394" s="7" t="str">
        <f>IF(ISNA(MATCH(381,Engine!$C$2:$C$1199,0)),"",INDEX('Compliance Database'!$K$2:$K$1199,MATCH(381,Engine!$C$2:$C$1199,0)))</f>
        <v/>
      </c>
      <c r="L394" s="7" t="str">
        <f>IF(ISNA(MATCH(381,Engine!$C$2:$C$1199,0)),"",INDEX('Compliance Database'!$L$2:$L$1199,MATCH(381,Engine!$C$2:$C$1199,0)))</f>
        <v/>
      </c>
      <c r="M394" s="7" t="str">
        <f>IF(ISNA(MATCH(381,Engine!$C$2:$C$1199,0)),"",INDEX('Compliance Database'!$M$2:$M$1199,MATCH(381,Engine!$C$2:$C$1199,0)))</f>
        <v/>
      </c>
      <c r="N394" s="7" t="str">
        <f>IF(ISNA(MATCH(381,Engine!$C$2:$C$1199,0)),"",INDEX('Compliance Database'!$N$2:$N$1199,MATCH(381,Engine!$C$2:$C$1199,0)))</f>
        <v/>
      </c>
      <c r="O394" s="7" t="str">
        <f>IF(ISNA(MATCH(381,Engine!$C$2:$C$1199,0)),"",INDEX('Compliance Database'!$O$2:$O$1199,MATCH(381,Engine!$C$2:$C$1199,0)))</f>
        <v/>
      </c>
      <c r="P394" s="6" t="str">
        <f>IF(ISNA(MATCH(381,Engine!$C$2:$C$1199,0)),"",HYPERLINK("#Acts!A"&amp;INDEX('Compliance Database'!$P$2:$P$1199,MATCH(381,Engine!$C$2:$C$1199,0)),"Go to Act"))</f>
        <v/>
      </c>
    </row>
    <row r="395" spans="1:16" ht="172.95" customHeight="1" x14ac:dyDescent="0.3">
      <c r="A395" s="6" t="str">
        <f>IF(ISNA(MATCH(382,Engine!$C$2:$C$1199,0)),"",INDEX('Compliance Database'!$A$2:$A$1199,MATCH(382,Engine!$C$2:$C$1199,0)))</f>
        <v/>
      </c>
      <c r="B395" s="6" t="str">
        <f>IF(ISNA(MATCH(382,Engine!$C$2:$C$1199,0)),"",INDEX('Compliance Database'!$B$2:$B$1199,MATCH(382,Engine!$C$2:$C$1199,0)))</f>
        <v/>
      </c>
      <c r="C395" s="6" t="str">
        <f>IF(ISNA(MATCH(382,Engine!$C$2:$C$1199,0)),"",INDEX('Compliance Database'!$C$2:$C$1199,MATCH(382,Engine!$C$2:$C$1199,0)))</f>
        <v/>
      </c>
      <c r="D395" s="7" t="str">
        <f>IF(ISNA(MATCH(382,Engine!$C$2:$C$1199,0)),"",INDEX('Compliance Database'!$D$2:$D$1199,MATCH(382,Engine!$C$2:$C$1199,0)))</f>
        <v/>
      </c>
      <c r="E395" s="6" t="str">
        <f>IF(ISNA(MATCH(382,Engine!$C$2:$C$1199,0)),"",INDEX('Compliance Database'!$E$2:$E$1199,MATCH(382,Engine!$C$2:$C$1199,0)))</f>
        <v/>
      </c>
      <c r="F395" s="6" t="str">
        <f>IF(ISNA(MATCH(382,Engine!$C$2:$C$1199,0)),"",INDEX('Compliance Database'!$F$2:$F$1199,MATCH(382,Engine!$C$2:$C$1199,0)))</f>
        <v/>
      </c>
      <c r="G395" s="6" t="str">
        <f>IF(ISNA(MATCH(382,Engine!$C$2:$C$1199,0)),"",INDEX('Compliance Database'!$G$2:$G$1199,MATCH(382,Engine!$C$2:$C$1199,0)))</f>
        <v/>
      </c>
      <c r="H395" s="7" t="str">
        <f>IF(ISNA(MATCH(382,Engine!$C$2:$C$1199,0)),"",INDEX('Compliance Database'!$H$2:$H$1199,MATCH(382,Engine!$C$2:$C$1199,0)))</f>
        <v/>
      </c>
      <c r="I395" s="7" t="str">
        <f>IF(ISNA(MATCH(382,Engine!$C$2:$C$1199,0)),"",INDEX('Compliance Database'!$I$2:$I$1199,MATCH(382,Engine!$C$2:$C$1199,0)))</f>
        <v/>
      </c>
      <c r="J395" s="6" t="str">
        <f>IF(ISNA(MATCH(382,Engine!$C$2:$C$1199,0)),"",INDEX('Compliance Database'!$J$2:$J$1199,MATCH(382,Engine!$C$2:$C$1199,0)))</f>
        <v/>
      </c>
      <c r="K395" s="7" t="str">
        <f>IF(ISNA(MATCH(382,Engine!$C$2:$C$1199,0)),"",INDEX('Compliance Database'!$K$2:$K$1199,MATCH(382,Engine!$C$2:$C$1199,0)))</f>
        <v/>
      </c>
      <c r="L395" s="7" t="str">
        <f>IF(ISNA(MATCH(382,Engine!$C$2:$C$1199,0)),"",INDEX('Compliance Database'!$L$2:$L$1199,MATCH(382,Engine!$C$2:$C$1199,0)))</f>
        <v/>
      </c>
      <c r="M395" s="7" t="str">
        <f>IF(ISNA(MATCH(382,Engine!$C$2:$C$1199,0)),"",INDEX('Compliance Database'!$M$2:$M$1199,MATCH(382,Engine!$C$2:$C$1199,0)))</f>
        <v/>
      </c>
      <c r="N395" s="7" t="str">
        <f>IF(ISNA(MATCH(382,Engine!$C$2:$C$1199,0)),"",INDEX('Compliance Database'!$N$2:$N$1199,MATCH(382,Engine!$C$2:$C$1199,0)))</f>
        <v/>
      </c>
      <c r="O395" s="7" t="str">
        <f>IF(ISNA(MATCH(382,Engine!$C$2:$C$1199,0)),"",INDEX('Compliance Database'!$O$2:$O$1199,MATCH(382,Engine!$C$2:$C$1199,0)))</f>
        <v/>
      </c>
      <c r="P395" s="6" t="str">
        <f>IF(ISNA(MATCH(382,Engine!$C$2:$C$1199,0)),"",HYPERLINK("#Acts!A"&amp;INDEX('Compliance Database'!$P$2:$P$1199,MATCH(382,Engine!$C$2:$C$1199,0)),"Go to Act"))</f>
        <v/>
      </c>
    </row>
    <row r="396" spans="1:16" ht="172.95" customHeight="1" x14ac:dyDescent="0.3">
      <c r="A396" s="6" t="str">
        <f>IF(ISNA(MATCH(383,Engine!$C$2:$C$1199,0)),"",INDEX('Compliance Database'!$A$2:$A$1199,MATCH(383,Engine!$C$2:$C$1199,0)))</f>
        <v/>
      </c>
      <c r="B396" s="6" t="str">
        <f>IF(ISNA(MATCH(383,Engine!$C$2:$C$1199,0)),"",INDEX('Compliance Database'!$B$2:$B$1199,MATCH(383,Engine!$C$2:$C$1199,0)))</f>
        <v/>
      </c>
      <c r="C396" s="6" t="str">
        <f>IF(ISNA(MATCH(383,Engine!$C$2:$C$1199,0)),"",INDEX('Compliance Database'!$C$2:$C$1199,MATCH(383,Engine!$C$2:$C$1199,0)))</f>
        <v/>
      </c>
      <c r="D396" s="7" t="str">
        <f>IF(ISNA(MATCH(383,Engine!$C$2:$C$1199,0)),"",INDEX('Compliance Database'!$D$2:$D$1199,MATCH(383,Engine!$C$2:$C$1199,0)))</f>
        <v/>
      </c>
      <c r="E396" s="6" t="str">
        <f>IF(ISNA(MATCH(383,Engine!$C$2:$C$1199,0)),"",INDEX('Compliance Database'!$E$2:$E$1199,MATCH(383,Engine!$C$2:$C$1199,0)))</f>
        <v/>
      </c>
      <c r="F396" s="6" t="str">
        <f>IF(ISNA(MATCH(383,Engine!$C$2:$C$1199,0)),"",INDEX('Compliance Database'!$F$2:$F$1199,MATCH(383,Engine!$C$2:$C$1199,0)))</f>
        <v/>
      </c>
      <c r="G396" s="6" t="str">
        <f>IF(ISNA(MATCH(383,Engine!$C$2:$C$1199,0)),"",INDEX('Compliance Database'!$G$2:$G$1199,MATCH(383,Engine!$C$2:$C$1199,0)))</f>
        <v/>
      </c>
      <c r="H396" s="7" t="str">
        <f>IF(ISNA(MATCH(383,Engine!$C$2:$C$1199,0)),"",INDEX('Compliance Database'!$H$2:$H$1199,MATCH(383,Engine!$C$2:$C$1199,0)))</f>
        <v/>
      </c>
      <c r="I396" s="7" t="str">
        <f>IF(ISNA(MATCH(383,Engine!$C$2:$C$1199,0)),"",INDEX('Compliance Database'!$I$2:$I$1199,MATCH(383,Engine!$C$2:$C$1199,0)))</f>
        <v/>
      </c>
      <c r="J396" s="6" t="str">
        <f>IF(ISNA(MATCH(383,Engine!$C$2:$C$1199,0)),"",INDEX('Compliance Database'!$J$2:$J$1199,MATCH(383,Engine!$C$2:$C$1199,0)))</f>
        <v/>
      </c>
      <c r="K396" s="7" t="str">
        <f>IF(ISNA(MATCH(383,Engine!$C$2:$C$1199,0)),"",INDEX('Compliance Database'!$K$2:$K$1199,MATCH(383,Engine!$C$2:$C$1199,0)))</f>
        <v/>
      </c>
      <c r="L396" s="7" t="str">
        <f>IF(ISNA(MATCH(383,Engine!$C$2:$C$1199,0)),"",INDEX('Compliance Database'!$L$2:$L$1199,MATCH(383,Engine!$C$2:$C$1199,0)))</f>
        <v/>
      </c>
      <c r="M396" s="7" t="str">
        <f>IF(ISNA(MATCH(383,Engine!$C$2:$C$1199,0)),"",INDEX('Compliance Database'!$M$2:$M$1199,MATCH(383,Engine!$C$2:$C$1199,0)))</f>
        <v/>
      </c>
      <c r="N396" s="7" t="str">
        <f>IF(ISNA(MATCH(383,Engine!$C$2:$C$1199,0)),"",INDEX('Compliance Database'!$N$2:$N$1199,MATCH(383,Engine!$C$2:$C$1199,0)))</f>
        <v/>
      </c>
      <c r="O396" s="7" t="str">
        <f>IF(ISNA(MATCH(383,Engine!$C$2:$C$1199,0)),"",INDEX('Compliance Database'!$O$2:$O$1199,MATCH(383,Engine!$C$2:$C$1199,0)))</f>
        <v/>
      </c>
      <c r="P396" s="6" t="str">
        <f>IF(ISNA(MATCH(383,Engine!$C$2:$C$1199,0)),"",HYPERLINK("#Acts!A"&amp;INDEX('Compliance Database'!$P$2:$P$1199,MATCH(383,Engine!$C$2:$C$1199,0)),"Go to Act"))</f>
        <v/>
      </c>
    </row>
    <row r="397" spans="1:16" ht="172.95" customHeight="1" x14ac:dyDescent="0.3">
      <c r="A397" s="6" t="str">
        <f>IF(ISNA(MATCH(384,Engine!$C$2:$C$1199,0)),"",INDEX('Compliance Database'!$A$2:$A$1199,MATCH(384,Engine!$C$2:$C$1199,0)))</f>
        <v/>
      </c>
      <c r="B397" s="6" t="str">
        <f>IF(ISNA(MATCH(384,Engine!$C$2:$C$1199,0)),"",INDEX('Compliance Database'!$B$2:$B$1199,MATCH(384,Engine!$C$2:$C$1199,0)))</f>
        <v/>
      </c>
      <c r="C397" s="6" t="str">
        <f>IF(ISNA(MATCH(384,Engine!$C$2:$C$1199,0)),"",INDEX('Compliance Database'!$C$2:$C$1199,MATCH(384,Engine!$C$2:$C$1199,0)))</f>
        <v/>
      </c>
      <c r="D397" s="7" t="str">
        <f>IF(ISNA(MATCH(384,Engine!$C$2:$C$1199,0)),"",INDEX('Compliance Database'!$D$2:$D$1199,MATCH(384,Engine!$C$2:$C$1199,0)))</f>
        <v/>
      </c>
      <c r="E397" s="6" t="str">
        <f>IF(ISNA(MATCH(384,Engine!$C$2:$C$1199,0)),"",INDEX('Compliance Database'!$E$2:$E$1199,MATCH(384,Engine!$C$2:$C$1199,0)))</f>
        <v/>
      </c>
      <c r="F397" s="6" t="str">
        <f>IF(ISNA(MATCH(384,Engine!$C$2:$C$1199,0)),"",INDEX('Compliance Database'!$F$2:$F$1199,MATCH(384,Engine!$C$2:$C$1199,0)))</f>
        <v/>
      </c>
      <c r="G397" s="6" t="str">
        <f>IF(ISNA(MATCH(384,Engine!$C$2:$C$1199,0)),"",INDEX('Compliance Database'!$G$2:$G$1199,MATCH(384,Engine!$C$2:$C$1199,0)))</f>
        <v/>
      </c>
      <c r="H397" s="7" t="str">
        <f>IF(ISNA(MATCH(384,Engine!$C$2:$C$1199,0)),"",INDEX('Compliance Database'!$H$2:$H$1199,MATCH(384,Engine!$C$2:$C$1199,0)))</f>
        <v/>
      </c>
      <c r="I397" s="7" t="str">
        <f>IF(ISNA(MATCH(384,Engine!$C$2:$C$1199,0)),"",INDEX('Compliance Database'!$I$2:$I$1199,MATCH(384,Engine!$C$2:$C$1199,0)))</f>
        <v/>
      </c>
      <c r="J397" s="6" t="str">
        <f>IF(ISNA(MATCH(384,Engine!$C$2:$C$1199,0)),"",INDEX('Compliance Database'!$J$2:$J$1199,MATCH(384,Engine!$C$2:$C$1199,0)))</f>
        <v/>
      </c>
      <c r="K397" s="7" t="str">
        <f>IF(ISNA(MATCH(384,Engine!$C$2:$C$1199,0)),"",INDEX('Compliance Database'!$K$2:$K$1199,MATCH(384,Engine!$C$2:$C$1199,0)))</f>
        <v/>
      </c>
      <c r="L397" s="7" t="str">
        <f>IF(ISNA(MATCH(384,Engine!$C$2:$C$1199,0)),"",INDEX('Compliance Database'!$L$2:$L$1199,MATCH(384,Engine!$C$2:$C$1199,0)))</f>
        <v/>
      </c>
      <c r="M397" s="7" t="str">
        <f>IF(ISNA(MATCH(384,Engine!$C$2:$C$1199,0)),"",INDEX('Compliance Database'!$M$2:$M$1199,MATCH(384,Engine!$C$2:$C$1199,0)))</f>
        <v/>
      </c>
      <c r="N397" s="7" t="str">
        <f>IF(ISNA(MATCH(384,Engine!$C$2:$C$1199,0)),"",INDEX('Compliance Database'!$N$2:$N$1199,MATCH(384,Engine!$C$2:$C$1199,0)))</f>
        <v/>
      </c>
      <c r="O397" s="7" t="str">
        <f>IF(ISNA(MATCH(384,Engine!$C$2:$C$1199,0)),"",INDEX('Compliance Database'!$O$2:$O$1199,MATCH(384,Engine!$C$2:$C$1199,0)))</f>
        <v/>
      </c>
      <c r="P397" s="6" t="str">
        <f>IF(ISNA(MATCH(384,Engine!$C$2:$C$1199,0)),"",HYPERLINK("#Acts!A"&amp;INDEX('Compliance Database'!$P$2:$P$1199,MATCH(384,Engine!$C$2:$C$1199,0)),"Go to Act"))</f>
        <v/>
      </c>
    </row>
    <row r="398" spans="1:16" ht="172.95" customHeight="1" x14ac:dyDescent="0.3">
      <c r="A398" s="6" t="str">
        <f>IF(ISNA(MATCH(385,Engine!$C$2:$C$1199,0)),"",INDEX('Compliance Database'!$A$2:$A$1199,MATCH(385,Engine!$C$2:$C$1199,0)))</f>
        <v/>
      </c>
      <c r="B398" s="6" t="str">
        <f>IF(ISNA(MATCH(385,Engine!$C$2:$C$1199,0)),"",INDEX('Compliance Database'!$B$2:$B$1199,MATCH(385,Engine!$C$2:$C$1199,0)))</f>
        <v/>
      </c>
      <c r="C398" s="6" t="str">
        <f>IF(ISNA(MATCH(385,Engine!$C$2:$C$1199,0)),"",INDEX('Compliance Database'!$C$2:$C$1199,MATCH(385,Engine!$C$2:$C$1199,0)))</f>
        <v/>
      </c>
      <c r="D398" s="7" t="str">
        <f>IF(ISNA(MATCH(385,Engine!$C$2:$C$1199,0)),"",INDEX('Compliance Database'!$D$2:$D$1199,MATCH(385,Engine!$C$2:$C$1199,0)))</f>
        <v/>
      </c>
      <c r="E398" s="6" t="str">
        <f>IF(ISNA(MATCH(385,Engine!$C$2:$C$1199,0)),"",INDEX('Compliance Database'!$E$2:$E$1199,MATCH(385,Engine!$C$2:$C$1199,0)))</f>
        <v/>
      </c>
      <c r="F398" s="6" t="str">
        <f>IF(ISNA(MATCH(385,Engine!$C$2:$C$1199,0)),"",INDEX('Compliance Database'!$F$2:$F$1199,MATCH(385,Engine!$C$2:$C$1199,0)))</f>
        <v/>
      </c>
      <c r="G398" s="6" t="str">
        <f>IF(ISNA(MATCH(385,Engine!$C$2:$C$1199,0)),"",INDEX('Compliance Database'!$G$2:$G$1199,MATCH(385,Engine!$C$2:$C$1199,0)))</f>
        <v/>
      </c>
      <c r="H398" s="7" t="str">
        <f>IF(ISNA(MATCH(385,Engine!$C$2:$C$1199,0)),"",INDEX('Compliance Database'!$H$2:$H$1199,MATCH(385,Engine!$C$2:$C$1199,0)))</f>
        <v/>
      </c>
      <c r="I398" s="7" t="str">
        <f>IF(ISNA(MATCH(385,Engine!$C$2:$C$1199,0)),"",INDEX('Compliance Database'!$I$2:$I$1199,MATCH(385,Engine!$C$2:$C$1199,0)))</f>
        <v/>
      </c>
      <c r="J398" s="6" t="str">
        <f>IF(ISNA(MATCH(385,Engine!$C$2:$C$1199,0)),"",INDEX('Compliance Database'!$J$2:$J$1199,MATCH(385,Engine!$C$2:$C$1199,0)))</f>
        <v/>
      </c>
      <c r="K398" s="7" t="str">
        <f>IF(ISNA(MATCH(385,Engine!$C$2:$C$1199,0)),"",INDEX('Compliance Database'!$K$2:$K$1199,MATCH(385,Engine!$C$2:$C$1199,0)))</f>
        <v/>
      </c>
      <c r="L398" s="7" t="str">
        <f>IF(ISNA(MATCH(385,Engine!$C$2:$C$1199,0)),"",INDEX('Compliance Database'!$L$2:$L$1199,MATCH(385,Engine!$C$2:$C$1199,0)))</f>
        <v/>
      </c>
      <c r="M398" s="7" t="str">
        <f>IF(ISNA(MATCH(385,Engine!$C$2:$C$1199,0)),"",INDEX('Compliance Database'!$M$2:$M$1199,MATCH(385,Engine!$C$2:$C$1199,0)))</f>
        <v/>
      </c>
      <c r="N398" s="7" t="str">
        <f>IF(ISNA(MATCH(385,Engine!$C$2:$C$1199,0)),"",INDEX('Compliance Database'!$N$2:$N$1199,MATCH(385,Engine!$C$2:$C$1199,0)))</f>
        <v/>
      </c>
      <c r="O398" s="7" t="str">
        <f>IF(ISNA(MATCH(385,Engine!$C$2:$C$1199,0)),"",INDEX('Compliance Database'!$O$2:$O$1199,MATCH(385,Engine!$C$2:$C$1199,0)))</f>
        <v/>
      </c>
      <c r="P398" s="6" t="str">
        <f>IF(ISNA(MATCH(385,Engine!$C$2:$C$1199,0)),"",HYPERLINK("#Acts!A"&amp;INDEX('Compliance Database'!$P$2:$P$1199,MATCH(385,Engine!$C$2:$C$1199,0)),"Go to Act"))</f>
        <v/>
      </c>
    </row>
    <row r="399" spans="1:16" ht="172.95" customHeight="1" x14ac:dyDescent="0.3">
      <c r="A399" s="6" t="str">
        <f>IF(ISNA(MATCH(386,Engine!$C$2:$C$1199,0)),"",INDEX('Compliance Database'!$A$2:$A$1199,MATCH(386,Engine!$C$2:$C$1199,0)))</f>
        <v/>
      </c>
      <c r="B399" s="6" t="str">
        <f>IF(ISNA(MATCH(386,Engine!$C$2:$C$1199,0)),"",INDEX('Compliance Database'!$B$2:$B$1199,MATCH(386,Engine!$C$2:$C$1199,0)))</f>
        <v/>
      </c>
      <c r="C399" s="6" t="str">
        <f>IF(ISNA(MATCH(386,Engine!$C$2:$C$1199,0)),"",INDEX('Compliance Database'!$C$2:$C$1199,MATCH(386,Engine!$C$2:$C$1199,0)))</f>
        <v/>
      </c>
      <c r="D399" s="7" t="str">
        <f>IF(ISNA(MATCH(386,Engine!$C$2:$C$1199,0)),"",INDEX('Compliance Database'!$D$2:$D$1199,MATCH(386,Engine!$C$2:$C$1199,0)))</f>
        <v/>
      </c>
      <c r="E399" s="6" t="str">
        <f>IF(ISNA(MATCH(386,Engine!$C$2:$C$1199,0)),"",INDEX('Compliance Database'!$E$2:$E$1199,MATCH(386,Engine!$C$2:$C$1199,0)))</f>
        <v/>
      </c>
      <c r="F399" s="6" t="str">
        <f>IF(ISNA(MATCH(386,Engine!$C$2:$C$1199,0)),"",INDEX('Compliance Database'!$F$2:$F$1199,MATCH(386,Engine!$C$2:$C$1199,0)))</f>
        <v/>
      </c>
      <c r="G399" s="6" t="str">
        <f>IF(ISNA(MATCH(386,Engine!$C$2:$C$1199,0)),"",INDEX('Compliance Database'!$G$2:$G$1199,MATCH(386,Engine!$C$2:$C$1199,0)))</f>
        <v/>
      </c>
      <c r="H399" s="7" t="str">
        <f>IF(ISNA(MATCH(386,Engine!$C$2:$C$1199,0)),"",INDEX('Compliance Database'!$H$2:$H$1199,MATCH(386,Engine!$C$2:$C$1199,0)))</f>
        <v/>
      </c>
      <c r="I399" s="7" t="str">
        <f>IF(ISNA(MATCH(386,Engine!$C$2:$C$1199,0)),"",INDEX('Compliance Database'!$I$2:$I$1199,MATCH(386,Engine!$C$2:$C$1199,0)))</f>
        <v/>
      </c>
      <c r="J399" s="6" t="str">
        <f>IF(ISNA(MATCH(386,Engine!$C$2:$C$1199,0)),"",INDEX('Compliance Database'!$J$2:$J$1199,MATCH(386,Engine!$C$2:$C$1199,0)))</f>
        <v/>
      </c>
      <c r="K399" s="7" t="str">
        <f>IF(ISNA(MATCH(386,Engine!$C$2:$C$1199,0)),"",INDEX('Compliance Database'!$K$2:$K$1199,MATCH(386,Engine!$C$2:$C$1199,0)))</f>
        <v/>
      </c>
      <c r="L399" s="7" t="str">
        <f>IF(ISNA(MATCH(386,Engine!$C$2:$C$1199,0)),"",INDEX('Compliance Database'!$L$2:$L$1199,MATCH(386,Engine!$C$2:$C$1199,0)))</f>
        <v/>
      </c>
      <c r="M399" s="7" t="str">
        <f>IF(ISNA(MATCH(386,Engine!$C$2:$C$1199,0)),"",INDEX('Compliance Database'!$M$2:$M$1199,MATCH(386,Engine!$C$2:$C$1199,0)))</f>
        <v/>
      </c>
      <c r="N399" s="7" t="str">
        <f>IF(ISNA(MATCH(386,Engine!$C$2:$C$1199,0)),"",INDEX('Compliance Database'!$N$2:$N$1199,MATCH(386,Engine!$C$2:$C$1199,0)))</f>
        <v/>
      </c>
      <c r="O399" s="7" t="str">
        <f>IF(ISNA(MATCH(386,Engine!$C$2:$C$1199,0)),"",INDEX('Compliance Database'!$O$2:$O$1199,MATCH(386,Engine!$C$2:$C$1199,0)))</f>
        <v/>
      </c>
      <c r="P399" s="6" t="str">
        <f>IF(ISNA(MATCH(386,Engine!$C$2:$C$1199,0)),"",HYPERLINK("#Acts!A"&amp;INDEX('Compliance Database'!$P$2:$P$1199,MATCH(386,Engine!$C$2:$C$1199,0)),"Go to Act"))</f>
        <v/>
      </c>
    </row>
    <row r="400" spans="1:16" ht="172.95" customHeight="1" x14ac:dyDescent="0.3">
      <c r="A400" s="6" t="str">
        <f>IF(ISNA(MATCH(387,Engine!$C$2:$C$1199,0)),"",INDEX('Compliance Database'!$A$2:$A$1199,MATCH(387,Engine!$C$2:$C$1199,0)))</f>
        <v/>
      </c>
      <c r="B400" s="6" t="str">
        <f>IF(ISNA(MATCH(387,Engine!$C$2:$C$1199,0)),"",INDEX('Compliance Database'!$B$2:$B$1199,MATCH(387,Engine!$C$2:$C$1199,0)))</f>
        <v/>
      </c>
      <c r="C400" s="6" t="str">
        <f>IF(ISNA(MATCH(387,Engine!$C$2:$C$1199,0)),"",INDEX('Compliance Database'!$C$2:$C$1199,MATCH(387,Engine!$C$2:$C$1199,0)))</f>
        <v/>
      </c>
      <c r="D400" s="7" t="str">
        <f>IF(ISNA(MATCH(387,Engine!$C$2:$C$1199,0)),"",INDEX('Compliance Database'!$D$2:$D$1199,MATCH(387,Engine!$C$2:$C$1199,0)))</f>
        <v/>
      </c>
      <c r="E400" s="6" t="str">
        <f>IF(ISNA(MATCH(387,Engine!$C$2:$C$1199,0)),"",INDEX('Compliance Database'!$E$2:$E$1199,MATCH(387,Engine!$C$2:$C$1199,0)))</f>
        <v/>
      </c>
      <c r="F400" s="6" t="str">
        <f>IF(ISNA(MATCH(387,Engine!$C$2:$C$1199,0)),"",INDEX('Compliance Database'!$F$2:$F$1199,MATCH(387,Engine!$C$2:$C$1199,0)))</f>
        <v/>
      </c>
      <c r="G400" s="6" t="str">
        <f>IF(ISNA(MATCH(387,Engine!$C$2:$C$1199,0)),"",INDEX('Compliance Database'!$G$2:$G$1199,MATCH(387,Engine!$C$2:$C$1199,0)))</f>
        <v/>
      </c>
      <c r="H400" s="7" t="str">
        <f>IF(ISNA(MATCH(387,Engine!$C$2:$C$1199,0)),"",INDEX('Compliance Database'!$H$2:$H$1199,MATCH(387,Engine!$C$2:$C$1199,0)))</f>
        <v/>
      </c>
      <c r="I400" s="7" t="str">
        <f>IF(ISNA(MATCH(387,Engine!$C$2:$C$1199,0)),"",INDEX('Compliance Database'!$I$2:$I$1199,MATCH(387,Engine!$C$2:$C$1199,0)))</f>
        <v/>
      </c>
      <c r="J400" s="6" t="str">
        <f>IF(ISNA(MATCH(387,Engine!$C$2:$C$1199,0)),"",INDEX('Compliance Database'!$J$2:$J$1199,MATCH(387,Engine!$C$2:$C$1199,0)))</f>
        <v/>
      </c>
      <c r="K400" s="7" t="str">
        <f>IF(ISNA(MATCH(387,Engine!$C$2:$C$1199,0)),"",INDEX('Compliance Database'!$K$2:$K$1199,MATCH(387,Engine!$C$2:$C$1199,0)))</f>
        <v/>
      </c>
      <c r="L400" s="7" t="str">
        <f>IF(ISNA(MATCH(387,Engine!$C$2:$C$1199,0)),"",INDEX('Compliance Database'!$L$2:$L$1199,MATCH(387,Engine!$C$2:$C$1199,0)))</f>
        <v/>
      </c>
      <c r="M400" s="7" t="str">
        <f>IF(ISNA(MATCH(387,Engine!$C$2:$C$1199,0)),"",INDEX('Compliance Database'!$M$2:$M$1199,MATCH(387,Engine!$C$2:$C$1199,0)))</f>
        <v/>
      </c>
      <c r="N400" s="7" t="str">
        <f>IF(ISNA(MATCH(387,Engine!$C$2:$C$1199,0)),"",INDEX('Compliance Database'!$N$2:$N$1199,MATCH(387,Engine!$C$2:$C$1199,0)))</f>
        <v/>
      </c>
      <c r="O400" s="7" t="str">
        <f>IF(ISNA(MATCH(387,Engine!$C$2:$C$1199,0)),"",INDEX('Compliance Database'!$O$2:$O$1199,MATCH(387,Engine!$C$2:$C$1199,0)))</f>
        <v/>
      </c>
      <c r="P400" s="6" t="str">
        <f>IF(ISNA(MATCH(387,Engine!$C$2:$C$1199,0)),"",HYPERLINK("#Acts!A"&amp;INDEX('Compliance Database'!$P$2:$P$1199,MATCH(387,Engine!$C$2:$C$1199,0)),"Go to Act"))</f>
        <v/>
      </c>
    </row>
    <row r="401" spans="1:16" ht="172.95" customHeight="1" x14ac:dyDescent="0.3">
      <c r="A401" s="6" t="str">
        <f>IF(ISNA(MATCH(388,Engine!$C$2:$C$1199,0)),"",INDEX('Compliance Database'!$A$2:$A$1199,MATCH(388,Engine!$C$2:$C$1199,0)))</f>
        <v/>
      </c>
      <c r="B401" s="6" t="str">
        <f>IF(ISNA(MATCH(388,Engine!$C$2:$C$1199,0)),"",INDEX('Compliance Database'!$B$2:$B$1199,MATCH(388,Engine!$C$2:$C$1199,0)))</f>
        <v/>
      </c>
      <c r="C401" s="6" t="str">
        <f>IF(ISNA(MATCH(388,Engine!$C$2:$C$1199,0)),"",INDEX('Compliance Database'!$C$2:$C$1199,MATCH(388,Engine!$C$2:$C$1199,0)))</f>
        <v/>
      </c>
      <c r="D401" s="7" t="str">
        <f>IF(ISNA(MATCH(388,Engine!$C$2:$C$1199,0)),"",INDEX('Compliance Database'!$D$2:$D$1199,MATCH(388,Engine!$C$2:$C$1199,0)))</f>
        <v/>
      </c>
      <c r="E401" s="6" t="str">
        <f>IF(ISNA(MATCH(388,Engine!$C$2:$C$1199,0)),"",INDEX('Compliance Database'!$E$2:$E$1199,MATCH(388,Engine!$C$2:$C$1199,0)))</f>
        <v/>
      </c>
      <c r="F401" s="6" t="str">
        <f>IF(ISNA(MATCH(388,Engine!$C$2:$C$1199,0)),"",INDEX('Compliance Database'!$F$2:$F$1199,MATCH(388,Engine!$C$2:$C$1199,0)))</f>
        <v/>
      </c>
      <c r="G401" s="6" t="str">
        <f>IF(ISNA(MATCH(388,Engine!$C$2:$C$1199,0)),"",INDEX('Compliance Database'!$G$2:$G$1199,MATCH(388,Engine!$C$2:$C$1199,0)))</f>
        <v/>
      </c>
      <c r="H401" s="7" t="str">
        <f>IF(ISNA(MATCH(388,Engine!$C$2:$C$1199,0)),"",INDEX('Compliance Database'!$H$2:$H$1199,MATCH(388,Engine!$C$2:$C$1199,0)))</f>
        <v/>
      </c>
      <c r="I401" s="7" t="str">
        <f>IF(ISNA(MATCH(388,Engine!$C$2:$C$1199,0)),"",INDEX('Compliance Database'!$I$2:$I$1199,MATCH(388,Engine!$C$2:$C$1199,0)))</f>
        <v/>
      </c>
      <c r="J401" s="6" t="str">
        <f>IF(ISNA(MATCH(388,Engine!$C$2:$C$1199,0)),"",INDEX('Compliance Database'!$J$2:$J$1199,MATCH(388,Engine!$C$2:$C$1199,0)))</f>
        <v/>
      </c>
      <c r="K401" s="7" t="str">
        <f>IF(ISNA(MATCH(388,Engine!$C$2:$C$1199,0)),"",INDEX('Compliance Database'!$K$2:$K$1199,MATCH(388,Engine!$C$2:$C$1199,0)))</f>
        <v/>
      </c>
      <c r="L401" s="7" t="str">
        <f>IF(ISNA(MATCH(388,Engine!$C$2:$C$1199,0)),"",INDEX('Compliance Database'!$L$2:$L$1199,MATCH(388,Engine!$C$2:$C$1199,0)))</f>
        <v/>
      </c>
      <c r="M401" s="7" t="str">
        <f>IF(ISNA(MATCH(388,Engine!$C$2:$C$1199,0)),"",INDEX('Compliance Database'!$M$2:$M$1199,MATCH(388,Engine!$C$2:$C$1199,0)))</f>
        <v/>
      </c>
      <c r="N401" s="7" t="str">
        <f>IF(ISNA(MATCH(388,Engine!$C$2:$C$1199,0)),"",INDEX('Compliance Database'!$N$2:$N$1199,MATCH(388,Engine!$C$2:$C$1199,0)))</f>
        <v/>
      </c>
      <c r="O401" s="7" t="str">
        <f>IF(ISNA(MATCH(388,Engine!$C$2:$C$1199,0)),"",INDEX('Compliance Database'!$O$2:$O$1199,MATCH(388,Engine!$C$2:$C$1199,0)))</f>
        <v/>
      </c>
      <c r="P401" s="6" t="str">
        <f>IF(ISNA(MATCH(388,Engine!$C$2:$C$1199,0)),"",HYPERLINK("#Acts!A"&amp;INDEX('Compliance Database'!$P$2:$P$1199,MATCH(388,Engine!$C$2:$C$1199,0)),"Go to Act"))</f>
        <v/>
      </c>
    </row>
    <row r="402" spans="1:16" ht="172.95" customHeight="1" x14ac:dyDescent="0.3">
      <c r="A402" s="6" t="str">
        <f>IF(ISNA(MATCH(389,Engine!$C$2:$C$1199,0)),"",INDEX('Compliance Database'!$A$2:$A$1199,MATCH(389,Engine!$C$2:$C$1199,0)))</f>
        <v/>
      </c>
      <c r="B402" s="6" t="str">
        <f>IF(ISNA(MATCH(389,Engine!$C$2:$C$1199,0)),"",INDEX('Compliance Database'!$B$2:$B$1199,MATCH(389,Engine!$C$2:$C$1199,0)))</f>
        <v/>
      </c>
      <c r="C402" s="6" t="str">
        <f>IF(ISNA(MATCH(389,Engine!$C$2:$C$1199,0)),"",INDEX('Compliance Database'!$C$2:$C$1199,MATCH(389,Engine!$C$2:$C$1199,0)))</f>
        <v/>
      </c>
      <c r="D402" s="7" t="str">
        <f>IF(ISNA(MATCH(389,Engine!$C$2:$C$1199,0)),"",INDEX('Compliance Database'!$D$2:$D$1199,MATCH(389,Engine!$C$2:$C$1199,0)))</f>
        <v/>
      </c>
      <c r="E402" s="6" t="str">
        <f>IF(ISNA(MATCH(389,Engine!$C$2:$C$1199,0)),"",INDEX('Compliance Database'!$E$2:$E$1199,MATCH(389,Engine!$C$2:$C$1199,0)))</f>
        <v/>
      </c>
      <c r="F402" s="6" t="str">
        <f>IF(ISNA(MATCH(389,Engine!$C$2:$C$1199,0)),"",INDEX('Compliance Database'!$F$2:$F$1199,MATCH(389,Engine!$C$2:$C$1199,0)))</f>
        <v/>
      </c>
      <c r="G402" s="6" t="str">
        <f>IF(ISNA(MATCH(389,Engine!$C$2:$C$1199,0)),"",INDEX('Compliance Database'!$G$2:$G$1199,MATCH(389,Engine!$C$2:$C$1199,0)))</f>
        <v/>
      </c>
      <c r="H402" s="7" t="str">
        <f>IF(ISNA(MATCH(389,Engine!$C$2:$C$1199,0)),"",INDEX('Compliance Database'!$H$2:$H$1199,MATCH(389,Engine!$C$2:$C$1199,0)))</f>
        <v/>
      </c>
      <c r="I402" s="7" t="str">
        <f>IF(ISNA(MATCH(389,Engine!$C$2:$C$1199,0)),"",INDEX('Compliance Database'!$I$2:$I$1199,MATCH(389,Engine!$C$2:$C$1199,0)))</f>
        <v/>
      </c>
      <c r="J402" s="6" t="str">
        <f>IF(ISNA(MATCH(389,Engine!$C$2:$C$1199,0)),"",INDEX('Compliance Database'!$J$2:$J$1199,MATCH(389,Engine!$C$2:$C$1199,0)))</f>
        <v/>
      </c>
      <c r="K402" s="7" t="str">
        <f>IF(ISNA(MATCH(389,Engine!$C$2:$C$1199,0)),"",INDEX('Compliance Database'!$K$2:$K$1199,MATCH(389,Engine!$C$2:$C$1199,0)))</f>
        <v/>
      </c>
      <c r="L402" s="7" t="str">
        <f>IF(ISNA(MATCH(389,Engine!$C$2:$C$1199,0)),"",INDEX('Compliance Database'!$L$2:$L$1199,MATCH(389,Engine!$C$2:$C$1199,0)))</f>
        <v/>
      </c>
      <c r="M402" s="7" t="str">
        <f>IF(ISNA(MATCH(389,Engine!$C$2:$C$1199,0)),"",INDEX('Compliance Database'!$M$2:$M$1199,MATCH(389,Engine!$C$2:$C$1199,0)))</f>
        <v/>
      </c>
      <c r="N402" s="7" t="str">
        <f>IF(ISNA(MATCH(389,Engine!$C$2:$C$1199,0)),"",INDEX('Compliance Database'!$N$2:$N$1199,MATCH(389,Engine!$C$2:$C$1199,0)))</f>
        <v/>
      </c>
      <c r="O402" s="7" t="str">
        <f>IF(ISNA(MATCH(389,Engine!$C$2:$C$1199,0)),"",INDEX('Compliance Database'!$O$2:$O$1199,MATCH(389,Engine!$C$2:$C$1199,0)))</f>
        <v/>
      </c>
      <c r="P402" s="6" t="str">
        <f>IF(ISNA(MATCH(389,Engine!$C$2:$C$1199,0)),"",HYPERLINK("#Acts!A"&amp;INDEX('Compliance Database'!$P$2:$P$1199,MATCH(389,Engine!$C$2:$C$1199,0)),"Go to Act"))</f>
        <v/>
      </c>
    </row>
    <row r="403" spans="1:16" ht="172.95" customHeight="1" x14ac:dyDescent="0.3">
      <c r="A403" s="6" t="str">
        <f>IF(ISNA(MATCH(390,Engine!$C$2:$C$1199,0)),"",INDEX('Compliance Database'!$A$2:$A$1199,MATCH(390,Engine!$C$2:$C$1199,0)))</f>
        <v/>
      </c>
      <c r="B403" s="6" t="str">
        <f>IF(ISNA(MATCH(390,Engine!$C$2:$C$1199,0)),"",INDEX('Compliance Database'!$B$2:$B$1199,MATCH(390,Engine!$C$2:$C$1199,0)))</f>
        <v/>
      </c>
      <c r="C403" s="6" t="str">
        <f>IF(ISNA(MATCH(390,Engine!$C$2:$C$1199,0)),"",INDEX('Compliance Database'!$C$2:$C$1199,MATCH(390,Engine!$C$2:$C$1199,0)))</f>
        <v/>
      </c>
      <c r="D403" s="7" t="str">
        <f>IF(ISNA(MATCH(390,Engine!$C$2:$C$1199,0)),"",INDEX('Compliance Database'!$D$2:$D$1199,MATCH(390,Engine!$C$2:$C$1199,0)))</f>
        <v/>
      </c>
      <c r="E403" s="6" t="str">
        <f>IF(ISNA(MATCH(390,Engine!$C$2:$C$1199,0)),"",INDEX('Compliance Database'!$E$2:$E$1199,MATCH(390,Engine!$C$2:$C$1199,0)))</f>
        <v/>
      </c>
      <c r="F403" s="6" t="str">
        <f>IF(ISNA(MATCH(390,Engine!$C$2:$C$1199,0)),"",INDEX('Compliance Database'!$F$2:$F$1199,MATCH(390,Engine!$C$2:$C$1199,0)))</f>
        <v/>
      </c>
      <c r="G403" s="6" t="str">
        <f>IF(ISNA(MATCH(390,Engine!$C$2:$C$1199,0)),"",INDEX('Compliance Database'!$G$2:$G$1199,MATCH(390,Engine!$C$2:$C$1199,0)))</f>
        <v/>
      </c>
      <c r="H403" s="7" t="str">
        <f>IF(ISNA(MATCH(390,Engine!$C$2:$C$1199,0)),"",INDEX('Compliance Database'!$H$2:$H$1199,MATCH(390,Engine!$C$2:$C$1199,0)))</f>
        <v/>
      </c>
      <c r="I403" s="7" t="str">
        <f>IF(ISNA(MATCH(390,Engine!$C$2:$C$1199,0)),"",INDEX('Compliance Database'!$I$2:$I$1199,MATCH(390,Engine!$C$2:$C$1199,0)))</f>
        <v/>
      </c>
      <c r="J403" s="6" t="str">
        <f>IF(ISNA(MATCH(390,Engine!$C$2:$C$1199,0)),"",INDEX('Compliance Database'!$J$2:$J$1199,MATCH(390,Engine!$C$2:$C$1199,0)))</f>
        <v/>
      </c>
      <c r="K403" s="7" t="str">
        <f>IF(ISNA(MATCH(390,Engine!$C$2:$C$1199,0)),"",INDEX('Compliance Database'!$K$2:$K$1199,MATCH(390,Engine!$C$2:$C$1199,0)))</f>
        <v/>
      </c>
      <c r="L403" s="7" t="str">
        <f>IF(ISNA(MATCH(390,Engine!$C$2:$C$1199,0)),"",INDEX('Compliance Database'!$L$2:$L$1199,MATCH(390,Engine!$C$2:$C$1199,0)))</f>
        <v/>
      </c>
      <c r="M403" s="7" t="str">
        <f>IF(ISNA(MATCH(390,Engine!$C$2:$C$1199,0)),"",INDEX('Compliance Database'!$M$2:$M$1199,MATCH(390,Engine!$C$2:$C$1199,0)))</f>
        <v/>
      </c>
      <c r="N403" s="7" t="str">
        <f>IF(ISNA(MATCH(390,Engine!$C$2:$C$1199,0)),"",INDEX('Compliance Database'!$N$2:$N$1199,MATCH(390,Engine!$C$2:$C$1199,0)))</f>
        <v/>
      </c>
      <c r="O403" s="7" t="str">
        <f>IF(ISNA(MATCH(390,Engine!$C$2:$C$1199,0)),"",INDEX('Compliance Database'!$O$2:$O$1199,MATCH(390,Engine!$C$2:$C$1199,0)))</f>
        <v/>
      </c>
      <c r="P403" s="6" t="str">
        <f>IF(ISNA(MATCH(390,Engine!$C$2:$C$1199,0)),"",HYPERLINK("#Acts!A"&amp;INDEX('Compliance Database'!$P$2:$P$1199,MATCH(390,Engine!$C$2:$C$1199,0)),"Go to Act"))</f>
        <v/>
      </c>
    </row>
    <row r="404" spans="1:16" ht="172.95" customHeight="1" x14ac:dyDescent="0.3">
      <c r="A404" s="6" t="str">
        <f>IF(ISNA(MATCH(391,Engine!$C$2:$C$1199,0)),"",INDEX('Compliance Database'!$A$2:$A$1199,MATCH(391,Engine!$C$2:$C$1199,0)))</f>
        <v/>
      </c>
      <c r="B404" s="6" t="str">
        <f>IF(ISNA(MATCH(391,Engine!$C$2:$C$1199,0)),"",INDEX('Compliance Database'!$B$2:$B$1199,MATCH(391,Engine!$C$2:$C$1199,0)))</f>
        <v/>
      </c>
      <c r="C404" s="6" t="str">
        <f>IF(ISNA(MATCH(391,Engine!$C$2:$C$1199,0)),"",INDEX('Compliance Database'!$C$2:$C$1199,MATCH(391,Engine!$C$2:$C$1199,0)))</f>
        <v/>
      </c>
      <c r="D404" s="7" t="str">
        <f>IF(ISNA(MATCH(391,Engine!$C$2:$C$1199,0)),"",INDEX('Compliance Database'!$D$2:$D$1199,MATCH(391,Engine!$C$2:$C$1199,0)))</f>
        <v/>
      </c>
      <c r="E404" s="6" t="str">
        <f>IF(ISNA(MATCH(391,Engine!$C$2:$C$1199,0)),"",INDEX('Compliance Database'!$E$2:$E$1199,MATCH(391,Engine!$C$2:$C$1199,0)))</f>
        <v/>
      </c>
      <c r="F404" s="6" t="str">
        <f>IF(ISNA(MATCH(391,Engine!$C$2:$C$1199,0)),"",INDEX('Compliance Database'!$F$2:$F$1199,MATCH(391,Engine!$C$2:$C$1199,0)))</f>
        <v/>
      </c>
      <c r="G404" s="6" t="str">
        <f>IF(ISNA(MATCH(391,Engine!$C$2:$C$1199,0)),"",INDEX('Compliance Database'!$G$2:$G$1199,MATCH(391,Engine!$C$2:$C$1199,0)))</f>
        <v/>
      </c>
      <c r="H404" s="7" t="str">
        <f>IF(ISNA(MATCH(391,Engine!$C$2:$C$1199,0)),"",INDEX('Compliance Database'!$H$2:$H$1199,MATCH(391,Engine!$C$2:$C$1199,0)))</f>
        <v/>
      </c>
      <c r="I404" s="7" t="str">
        <f>IF(ISNA(MATCH(391,Engine!$C$2:$C$1199,0)),"",INDEX('Compliance Database'!$I$2:$I$1199,MATCH(391,Engine!$C$2:$C$1199,0)))</f>
        <v/>
      </c>
      <c r="J404" s="6" t="str">
        <f>IF(ISNA(MATCH(391,Engine!$C$2:$C$1199,0)),"",INDEX('Compliance Database'!$J$2:$J$1199,MATCH(391,Engine!$C$2:$C$1199,0)))</f>
        <v/>
      </c>
      <c r="K404" s="7" t="str">
        <f>IF(ISNA(MATCH(391,Engine!$C$2:$C$1199,0)),"",INDEX('Compliance Database'!$K$2:$K$1199,MATCH(391,Engine!$C$2:$C$1199,0)))</f>
        <v/>
      </c>
      <c r="L404" s="7" t="str">
        <f>IF(ISNA(MATCH(391,Engine!$C$2:$C$1199,0)),"",INDEX('Compliance Database'!$L$2:$L$1199,MATCH(391,Engine!$C$2:$C$1199,0)))</f>
        <v/>
      </c>
      <c r="M404" s="7" t="str">
        <f>IF(ISNA(MATCH(391,Engine!$C$2:$C$1199,0)),"",INDEX('Compliance Database'!$M$2:$M$1199,MATCH(391,Engine!$C$2:$C$1199,0)))</f>
        <v/>
      </c>
      <c r="N404" s="7" t="str">
        <f>IF(ISNA(MATCH(391,Engine!$C$2:$C$1199,0)),"",INDEX('Compliance Database'!$N$2:$N$1199,MATCH(391,Engine!$C$2:$C$1199,0)))</f>
        <v/>
      </c>
      <c r="O404" s="7" t="str">
        <f>IF(ISNA(MATCH(391,Engine!$C$2:$C$1199,0)),"",INDEX('Compliance Database'!$O$2:$O$1199,MATCH(391,Engine!$C$2:$C$1199,0)))</f>
        <v/>
      </c>
      <c r="P404" s="6" t="str">
        <f>IF(ISNA(MATCH(391,Engine!$C$2:$C$1199,0)),"",HYPERLINK("#Acts!A"&amp;INDEX('Compliance Database'!$P$2:$P$1199,MATCH(391,Engine!$C$2:$C$1199,0)),"Go to Act"))</f>
        <v/>
      </c>
    </row>
    <row r="405" spans="1:16" ht="172.95" customHeight="1" x14ac:dyDescent="0.3">
      <c r="A405" s="6" t="str">
        <f>IF(ISNA(MATCH(392,Engine!$C$2:$C$1199,0)),"",INDEX('Compliance Database'!$A$2:$A$1199,MATCH(392,Engine!$C$2:$C$1199,0)))</f>
        <v/>
      </c>
      <c r="B405" s="6" t="str">
        <f>IF(ISNA(MATCH(392,Engine!$C$2:$C$1199,0)),"",INDEX('Compliance Database'!$B$2:$B$1199,MATCH(392,Engine!$C$2:$C$1199,0)))</f>
        <v/>
      </c>
      <c r="C405" s="6" t="str">
        <f>IF(ISNA(MATCH(392,Engine!$C$2:$C$1199,0)),"",INDEX('Compliance Database'!$C$2:$C$1199,MATCH(392,Engine!$C$2:$C$1199,0)))</f>
        <v/>
      </c>
      <c r="D405" s="7" t="str">
        <f>IF(ISNA(MATCH(392,Engine!$C$2:$C$1199,0)),"",INDEX('Compliance Database'!$D$2:$D$1199,MATCH(392,Engine!$C$2:$C$1199,0)))</f>
        <v/>
      </c>
      <c r="E405" s="6" t="str">
        <f>IF(ISNA(MATCH(392,Engine!$C$2:$C$1199,0)),"",INDEX('Compliance Database'!$E$2:$E$1199,MATCH(392,Engine!$C$2:$C$1199,0)))</f>
        <v/>
      </c>
      <c r="F405" s="6" t="str">
        <f>IF(ISNA(MATCH(392,Engine!$C$2:$C$1199,0)),"",INDEX('Compliance Database'!$F$2:$F$1199,MATCH(392,Engine!$C$2:$C$1199,0)))</f>
        <v/>
      </c>
      <c r="G405" s="6" t="str">
        <f>IF(ISNA(MATCH(392,Engine!$C$2:$C$1199,0)),"",INDEX('Compliance Database'!$G$2:$G$1199,MATCH(392,Engine!$C$2:$C$1199,0)))</f>
        <v/>
      </c>
      <c r="H405" s="7" t="str">
        <f>IF(ISNA(MATCH(392,Engine!$C$2:$C$1199,0)),"",INDEX('Compliance Database'!$H$2:$H$1199,MATCH(392,Engine!$C$2:$C$1199,0)))</f>
        <v/>
      </c>
      <c r="I405" s="7" t="str">
        <f>IF(ISNA(MATCH(392,Engine!$C$2:$C$1199,0)),"",INDEX('Compliance Database'!$I$2:$I$1199,MATCH(392,Engine!$C$2:$C$1199,0)))</f>
        <v/>
      </c>
      <c r="J405" s="6" t="str">
        <f>IF(ISNA(MATCH(392,Engine!$C$2:$C$1199,0)),"",INDEX('Compliance Database'!$J$2:$J$1199,MATCH(392,Engine!$C$2:$C$1199,0)))</f>
        <v/>
      </c>
      <c r="K405" s="7" t="str">
        <f>IF(ISNA(MATCH(392,Engine!$C$2:$C$1199,0)),"",INDEX('Compliance Database'!$K$2:$K$1199,MATCH(392,Engine!$C$2:$C$1199,0)))</f>
        <v/>
      </c>
      <c r="L405" s="7" t="str">
        <f>IF(ISNA(MATCH(392,Engine!$C$2:$C$1199,0)),"",INDEX('Compliance Database'!$L$2:$L$1199,MATCH(392,Engine!$C$2:$C$1199,0)))</f>
        <v/>
      </c>
      <c r="M405" s="7" t="str">
        <f>IF(ISNA(MATCH(392,Engine!$C$2:$C$1199,0)),"",INDEX('Compliance Database'!$M$2:$M$1199,MATCH(392,Engine!$C$2:$C$1199,0)))</f>
        <v/>
      </c>
      <c r="N405" s="7" t="str">
        <f>IF(ISNA(MATCH(392,Engine!$C$2:$C$1199,0)),"",INDEX('Compliance Database'!$N$2:$N$1199,MATCH(392,Engine!$C$2:$C$1199,0)))</f>
        <v/>
      </c>
      <c r="O405" s="7" t="str">
        <f>IF(ISNA(MATCH(392,Engine!$C$2:$C$1199,0)),"",INDEX('Compliance Database'!$O$2:$O$1199,MATCH(392,Engine!$C$2:$C$1199,0)))</f>
        <v/>
      </c>
      <c r="P405" s="6" t="str">
        <f>IF(ISNA(MATCH(392,Engine!$C$2:$C$1199,0)),"",HYPERLINK("#Acts!A"&amp;INDEX('Compliance Database'!$P$2:$P$1199,MATCH(392,Engine!$C$2:$C$1199,0)),"Go to Act"))</f>
        <v/>
      </c>
    </row>
    <row r="406" spans="1:16" ht="172.95" customHeight="1" x14ac:dyDescent="0.3">
      <c r="A406" s="6" t="str">
        <f>IF(ISNA(MATCH(393,Engine!$C$2:$C$1199,0)),"",INDEX('Compliance Database'!$A$2:$A$1199,MATCH(393,Engine!$C$2:$C$1199,0)))</f>
        <v/>
      </c>
      <c r="B406" s="6" t="str">
        <f>IF(ISNA(MATCH(393,Engine!$C$2:$C$1199,0)),"",INDEX('Compliance Database'!$B$2:$B$1199,MATCH(393,Engine!$C$2:$C$1199,0)))</f>
        <v/>
      </c>
      <c r="C406" s="6" t="str">
        <f>IF(ISNA(MATCH(393,Engine!$C$2:$C$1199,0)),"",INDEX('Compliance Database'!$C$2:$C$1199,MATCH(393,Engine!$C$2:$C$1199,0)))</f>
        <v/>
      </c>
      <c r="D406" s="7" t="str">
        <f>IF(ISNA(MATCH(393,Engine!$C$2:$C$1199,0)),"",INDEX('Compliance Database'!$D$2:$D$1199,MATCH(393,Engine!$C$2:$C$1199,0)))</f>
        <v/>
      </c>
      <c r="E406" s="6" t="str">
        <f>IF(ISNA(MATCH(393,Engine!$C$2:$C$1199,0)),"",INDEX('Compliance Database'!$E$2:$E$1199,MATCH(393,Engine!$C$2:$C$1199,0)))</f>
        <v/>
      </c>
      <c r="F406" s="6" t="str">
        <f>IF(ISNA(MATCH(393,Engine!$C$2:$C$1199,0)),"",INDEX('Compliance Database'!$F$2:$F$1199,MATCH(393,Engine!$C$2:$C$1199,0)))</f>
        <v/>
      </c>
      <c r="G406" s="6" t="str">
        <f>IF(ISNA(MATCH(393,Engine!$C$2:$C$1199,0)),"",INDEX('Compliance Database'!$G$2:$G$1199,MATCH(393,Engine!$C$2:$C$1199,0)))</f>
        <v/>
      </c>
      <c r="H406" s="7" t="str">
        <f>IF(ISNA(MATCH(393,Engine!$C$2:$C$1199,0)),"",INDEX('Compliance Database'!$H$2:$H$1199,MATCH(393,Engine!$C$2:$C$1199,0)))</f>
        <v/>
      </c>
      <c r="I406" s="7" t="str">
        <f>IF(ISNA(MATCH(393,Engine!$C$2:$C$1199,0)),"",INDEX('Compliance Database'!$I$2:$I$1199,MATCH(393,Engine!$C$2:$C$1199,0)))</f>
        <v/>
      </c>
      <c r="J406" s="6" t="str">
        <f>IF(ISNA(MATCH(393,Engine!$C$2:$C$1199,0)),"",INDEX('Compliance Database'!$J$2:$J$1199,MATCH(393,Engine!$C$2:$C$1199,0)))</f>
        <v/>
      </c>
      <c r="K406" s="7" t="str">
        <f>IF(ISNA(MATCH(393,Engine!$C$2:$C$1199,0)),"",INDEX('Compliance Database'!$K$2:$K$1199,MATCH(393,Engine!$C$2:$C$1199,0)))</f>
        <v/>
      </c>
      <c r="L406" s="7" t="str">
        <f>IF(ISNA(MATCH(393,Engine!$C$2:$C$1199,0)),"",INDEX('Compliance Database'!$L$2:$L$1199,MATCH(393,Engine!$C$2:$C$1199,0)))</f>
        <v/>
      </c>
      <c r="M406" s="7" t="str">
        <f>IF(ISNA(MATCH(393,Engine!$C$2:$C$1199,0)),"",INDEX('Compliance Database'!$M$2:$M$1199,MATCH(393,Engine!$C$2:$C$1199,0)))</f>
        <v/>
      </c>
      <c r="N406" s="7" t="str">
        <f>IF(ISNA(MATCH(393,Engine!$C$2:$C$1199,0)),"",INDEX('Compliance Database'!$N$2:$N$1199,MATCH(393,Engine!$C$2:$C$1199,0)))</f>
        <v/>
      </c>
      <c r="O406" s="7" t="str">
        <f>IF(ISNA(MATCH(393,Engine!$C$2:$C$1199,0)),"",INDEX('Compliance Database'!$O$2:$O$1199,MATCH(393,Engine!$C$2:$C$1199,0)))</f>
        <v/>
      </c>
      <c r="P406" s="6" t="str">
        <f>IF(ISNA(MATCH(393,Engine!$C$2:$C$1199,0)),"",HYPERLINK("#Acts!A"&amp;INDEX('Compliance Database'!$P$2:$P$1199,MATCH(393,Engine!$C$2:$C$1199,0)),"Go to Act"))</f>
        <v/>
      </c>
    </row>
    <row r="407" spans="1:16" ht="172.95" customHeight="1" x14ac:dyDescent="0.3">
      <c r="A407" s="6" t="str">
        <f>IF(ISNA(MATCH(394,Engine!$C$2:$C$1199,0)),"",INDEX('Compliance Database'!$A$2:$A$1199,MATCH(394,Engine!$C$2:$C$1199,0)))</f>
        <v/>
      </c>
      <c r="B407" s="6" t="str">
        <f>IF(ISNA(MATCH(394,Engine!$C$2:$C$1199,0)),"",INDEX('Compliance Database'!$B$2:$B$1199,MATCH(394,Engine!$C$2:$C$1199,0)))</f>
        <v/>
      </c>
      <c r="C407" s="6" t="str">
        <f>IF(ISNA(MATCH(394,Engine!$C$2:$C$1199,0)),"",INDEX('Compliance Database'!$C$2:$C$1199,MATCH(394,Engine!$C$2:$C$1199,0)))</f>
        <v/>
      </c>
      <c r="D407" s="7" t="str">
        <f>IF(ISNA(MATCH(394,Engine!$C$2:$C$1199,0)),"",INDEX('Compliance Database'!$D$2:$D$1199,MATCH(394,Engine!$C$2:$C$1199,0)))</f>
        <v/>
      </c>
      <c r="E407" s="6" t="str">
        <f>IF(ISNA(MATCH(394,Engine!$C$2:$C$1199,0)),"",INDEX('Compliance Database'!$E$2:$E$1199,MATCH(394,Engine!$C$2:$C$1199,0)))</f>
        <v/>
      </c>
      <c r="F407" s="6" t="str">
        <f>IF(ISNA(MATCH(394,Engine!$C$2:$C$1199,0)),"",INDEX('Compliance Database'!$F$2:$F$1199,MATCH(394,Engine!$C$2:$C$1199,0)))</f>
        <v/>
      </c>
      <c r="G407" s="6" t="str">
        <f>IF(ISNA(MATCH(394,Engine!$C$2:$C$1199,0)),"",INDEX('Compliance Database'!$G$2:$G$1199,MATCH(394,Engine!$C$2:$C$1199,0)))</f>
        <v/>
      </c>
      <c r="H407" s="7" t="str">
        <f>IF(ISNA(MATCH(394,Engine!$C$2:$C$1199,0)),"",INDEX('Compliance Database'!$H$2:$H$1199,MATCH(394,Engine!$C$2:$C$1199,0)))</f>
        <v/>
      </c>
      <c r="I407" s="7" t="str">
        <f>IF(ISNA(MATCH(394,Engine!$C$2:$C$1199,0)),"",INDEX('Compliance Database'!$I$2:$I$1199,MATCH(394,Engine!$C$2:$C$1199,0)))</f>
        <v/>
      </c>
      <c r="J407" s="6" t="str">
        <f>IF(ISNA(MATCH(394,Engine!$C$2:$C$1199,0)),"",INDEX('Compliance Database'!$J$2:$J$1199,MATCH(394,Engine!$C$2:$C$1199,0)))</f>
        <v/>
      </c>
      <c r="K407" s="7" t="str">
        <f>IF(ISNA(MATCH(394,Engine!$C$2:$C$1199,0)),"",INDEX('Compliance Database'!$K$2:$K$1199,MATCH(394,Engine!$C$2:$C$1199,0)))</f>
        <v/>
      </c>
      <c r="L407" s="7" t="str">
        <f>IF(ISNA(MATCH(394,Engine!$C$2:$C$1199,0)),"",INDEX('Compliance Database'!$L$2:$L$1199,MATCH(394,Engine!$C$2:$C$1199,0)))</f>
        <v/>
      </c>
      <c r="M407" s="7" t="str">
        <f>IF(ISNA(MATCH(394,Engine!$C$2:$C$1199,0)),"",INDEX('Compliance Database'!$M$2:$M$1199,MATCH(394,Engine!$C$2:$C$1199,0)))</f>
        <v/>
      </c>
      <c r="N407" s="7" t="str">
        <f>IF(ISNA(MATCH(394,Engine!$C$2:$C$1199,0)),"",INDEX('Compliance Database'!$N$2:$N$1199,MATCH(394,Engine!$C$2:$C$1199,0)))</f>
        <v/>
      </c>
      <c r="O407" s="7" t="str">
        <f>IF(ISNA(MATCH(394,Engine!$C$2:$C$1199,0)),"",INDEX('Compliance Database'!$O$2:$O$1199,MATCH(394,Engine!$C$2:$C$1199,0)))</f>
        <v/>
      </c>
      <c r="P407" s="6" t="str">
        <f>IF(ISNA(MATCH(394,Engine!$C$2:$C$1199,0)),"",HYPERLINK("#Acts!A"&amp;INDEX('Compliance Database'!$P$2:$P$1199,MATCH(394,Engine!$C$2:$C$1199,0)),"Go to Act"))</f>
        <v/>
      </c>
    </row>
    <row r="408" spans="1:16" ht="172.95" customHeight="1" x14ac:dyDescent="0.3">
      <c r="A408" s="6" t="str">
        <f>IF(ISNA(MATCH(395,Engine!$C$2:$C$1199,0)),"",INDEX('Compliance Database'!$A$2:$A$1199,MATCH(395,Engine!$C$2:$C$1199,0)))</f>
        <v/>
      </c>
      <c r="B408" s="6" t="str">
        <f>IF(ISNA(MATCH(395,Engine!$C$2:$C$1199,0)),"",INDEX('Compliance Database'!$B$2:$B$1199,MATCH(395,Engine!$C$2:$C$1199,0)))</f>
        <v/>
      </c>
      <c r="C408" s="6" t="str">
        <f>IF(ISNA(MATCH(395,Engine!$C$2:$C$1199,0)),"",INDEX('Compliance Database'!$C$2:$C$1199,MATCH(395,Engine!$C$2:$C$1199,0)))</f>
        <v/>
      </c>
      <c r="D408" s="7" t="str">
        <f>IF(ISNA(MATCH(395,Engine!$C$2:$C$1199,0)),"",INDEX('Compliance Database'!$D$2:$D$1199,MATCH(395,Engine!$C$2:$C$1199,0)))</f>
        <v/>
      </c>
      <c r="E408" s="6" t="str">
        <f>IF(ISNA(MATCH(395,Engine!$C$2:$C$1199,0)),"",INDEX('Compliance Database'!$E$2:$E$1199,MATCH(395,Engine!$C$2:$C$1199,0)))</f>
        <v/>
      </c>
      <c r="F408" s="6" t="str">
        <f>IF(ISNA(MATCH(395,Engine!$C$2:$C$1199,0)),"",INDEX('Compliance Database'!$F$2:$F$1199,MATCH(395,Engine!$C$2:$C$1199,0)))</f>
        <v/>
      </c>
      <c r="G408" s="6" t="str">
        <f>IF(ISNA(MATCH(395,Engine!$C$2:$C$1199,0)),"",INDEX('Compliance Database'!$G$2:$G$1199,MATCH(395,Engine!$C$2:$C$1199,0)))</f>
        <v/>
      </c>
      <c r="H408" s="7" t="str">
        <f>IF(ISNA(MATCH(395,Engine!$C$2:$C$1199,0)),"",INDEX('Compliance Database'!$H$2:$H$1199,MATCH(395,Engine!$C$2:$C$1199,0)))</f>
        <v/>
      </c>
      <c r="I408" s="7" t="str">
        <f>IF(ISNA(MATCH(395,Engine!$C$2:$C$1199,0)),"",INDEX('Compliance Database'!$I$2:$I$1199,MATCH(395,Engine!$C$2:$C$1199,0)))</f>
        <v/>
      </c>
      <c r="J408" s="6" t="str">
        <f>IF(ISNA(MATCH(395,Engine!$C$2:$C$1199,0)),"",INDEX('Compliance Database'!$J$2:$J$1199,MATCH(395,Engine!$C$2:$C$1199,0)))</f>
        <v/>
      </c>
      <c r="K408" s="7" t="str">
        <f>IF(ISNA(MATCH(395,Engine!$C$2:$C$1199,0)),"",INDEX('Compliance Database'!$K$2:$K$1199,MATCH(395,Engine!$C$2:$C$1199,0)))</f>
        <v/>
      </c>
      <c r="L408" s="7" t="str">
        <f>IF(ISNA(MATCH(395,Engine!$C$2:$C$1199,0)),"",INDEX('Compliance Database'!$L$2:$L$1199,MATCH(395,Engine!$C$2:$C$1199,0)))</f>
        <v/>
      </c>
      <c r="M408" s="7" t="str">
        <f>IF(ISNA(MATCH(395,Engine!$C$2:$C$1199,0)),"",INDEX('Compliance Database'!$M$2:$M$1199,MATCH(395,Engine!$C$2:$C$1199,0)))</f>
        <v/>
      </c>
      <c r="N408" s="7" t="str">
        <f>IF(ISNA(MATCH(395,Engine!$C$2:$C$1199,0)),"",INDEX('Compliance Database'!$N$2:$N$1199,MATCH(395,Engine!$C$2:$C$1199,0)))</f>
        <v/>
      </c>
      <c r="O408" s="7" t="str">
        <f>IF(ISNA(MATCH(395,Engine!$C$2:$C$1199,0)),"",INDEX('Compliance Database'!$O$2:$O$1199,MATCH(395,Engine!$C$2:$C$1199,0)))</f>
        <v/>
      </c>
      <c r="P408" s="6" t="str">
        <f>IF(ISNA(MATCH(395,Engine!$C$2:$C$1199,0)),"",HYPERLINK("#Acts!A"&amp;INDEX('Compliance Database'!$P$2:$P$1199,MATCH(395,Engine!$C$2:$C$1199,0)),"Go to Act"))</f>
        <v/>
      </c>
    </row>
    <row r="409" spans="1:16" ht="172.95" customHeight="1" x14ac:dyDescent="0.3">
      <c r="A409" s="6" t="str">
        <f>IF(ISNA(MATCH(396,Engine!$C$2:$C$1199,0)),"",INDEX('Compliance Database'!$A$2:$A$1199,MATCH(396,Engine!$C$2:$C$1199,0)))</f>
        <v/>
      </c>
      <c r="B409" s="6" t="str">
        <f>IF(ISNA(MATCH(396,Engine!$C$2:$C$1199,0)),"",INDEX('Compliance Database'!$B$2:$B$1199,MATCH(396,Engine!$C$2:$C$1199,0)))</f>
        <v/>
      </c>
      <c r="C409" s="6" t="str">
        <f>IF(ISNA(MATCH(396,Engine!$C$2:$C$1199,0)),"",INDEX('Compliance Database'!$C$2:$C$1199,MATCH(396,Engine!$C$2:$C$1199,0)))</f>
        <v/>
      </c>
      <c r="D409" s="7" t="str">
        <f>IF(ISNA(MATCH(396,Engine!$C$2:$C$1199,0)),"",INDEX('Compliance Database'!$D$2:$D$1199,MATCH(396,Engine!$C$2:$C$1199,0)))</f>
        <v/>
      </c>
      <c r="E409" s="6" t="str">
        <f>IF(ISNA(MATCH(396,Engine!$C$2:$C$1199,0)),"",INDEX('Compliance Database'!$E$2:$E$1199,MATCH(396,Engine!$C$2:$C$1199,0)))</f>
        <v/>
      </c>
      <c r="F409" s="6" t="str">
        <f>IF(ISNA(MATCH(396,Engine!$C$2:$C$1199,0)),"",INDEX('Compliance Database'!$F$2:$F$1199,MATCH(396,Engine!$C$2:$C$1199,0)))</f>
        <v/>
      </c>
      <c r="G409" s="6" t="str">
        <f>IF(ISNA(MATCH(396,Engine!$C$2:$C$1199,0)),"",INDEX('Compliance Database'!$G$2:$G$1199,MATCH(396,Engine!$C$2:$C$1199,0)))</f>
        <v/>
      </c>
      <c r="H409" s="7" t="str">
        <f>IF(ISNA(MATCH(396,Engine!$C$2:$C$1199,0)),"",INDEX('Compliance Database'!$H$2:$H$1199,MATCH(396,Engine!$C$2:$C$1199,0)))</f>
        <v/>
      </c>
      <c r="I409" s="7" t="str">
        <f>IF(ISNA(MATCH(396,Engine!$C$2:$C$1199,0)),"",INDEX('Compliance Database'!$I$2:$I$1199,MATCH(396,Engine!$C$2:$C$1199,0)))</f>
        <v/>
      </c>
      <c r="J409" s="6" t="str">
        <f>IF(ISNA(MATCH(396,Engine!$C$2:$C$1199,0)),"",INDEX('Compliance Database'!$J$2:$J$1199,MATCH(396,Engine!$C$2:$C$1199,0)))</f>
        <v/>
      </c>
      <c r="K409" s="7" t="str">
        <f>IF(ISNA(MATCH(396,Engine!$C$2:$C$1199,0)),"",INDEX('Compliance Database'!$K$2:$K$1199,MATCH(396,Engine!$C$2:$C$1199,0)))</f>
        <v/>
      </c>
      <c r="L409" s="7" t="str">
        <f>IF(ISNA(MATCH(396,Engine!$C$2:$C$1199,0)),"",INDEX('Compliance Database'!$L$2:$L$1199,MATCH(396,Engine!$C$2:$C$1199,0)))</f>
        <v/>
      </c>
      <c r="M409" s="7" t="str">
        <f>IF(ISNA(MATCH(396,Engine!$C$2:$C$1199,0)),"",INDEX('Compliance Database'!$M$2:$M$1199,MATCH(396,Engine!$C$2:$C$1199,0)))</f>
        <v/>
      </c>
      <c r="N409" s="7" t="str">
        <f>IF(ISNA(MATCH(396,Engine!$C$2:$C$1199,0)),"",INDEX('Compliance Database'!$N$2:$N$1199,MATCH(396,Engine!$C$2:$C$1199,0)))</f>
        <v/>
      </c>
      <c r="O409" s="7" t="str">
        <f>IF(ISNA(MATCH(396,Engine!$C$2:$C$1199,0)),"",INDEX('Compliance Database'!$O$2:$O$1199,MATCH(396,Engine!$C$2:$C$1199,0)))</f>
        <v/>
      </c>
      <c r="P409" s="6" t="str">
        <f>IF(ISNA(MATCH(396,Engine!$C$2:$C$1199,0)),"",HYPERLINK("#Acts!A"&amp;INDEX('Compliance Database'!$P$2:$P$1199,MATCH(396,Engine!$C$2:$C$1199,0)),"Go to Act"))</f>
        <v/>
      </c>
    </row>
    <row r="410" spans="1:16" ht="172.95" customHeight="1" x14ac:dyDescent="0.3">
      <c r="A410" s="6" t="str">
        <f>IF(ISNA(MATCH(397,Engine!$C$2:$C$1199,0)),"",INDEX('Compliance Database'!$A$2:$A$1199,MATCH(397,Engine!$C$2:$C$1199,0)))</f>
        <v/>
      </c>
      <c r="B410" s="6" t="str">
        <f>IF(ISNA(MATCH(397,Engine!$C$2:$C$1199,0)),"",INDEX('Compliance Database'!$B$2:$B$1199,MATCH(397,Engine!$C$2:$C$1199,0)))</f>
        <v/>
      </c>
      <c r="C410" s="6" t="str">
        <f>IF(ISNA(MATCH(397,Engine!$C$2:$C$1199,0)),"",INDEX('Compliance Database'!$C$2:$C$1199,MATCH(397,Engine!$C$2:$C$1199,0)))</f>
        <v/>
      </c>
      <c r="D410" s="7" t="str">
        <f>IF(ISNA(MATCH(397,Engine!$C$2:$C$1199,0)),"",INDEX('Compliance Database'!$D$2:$D$1199,MATCH(397,Engine!$C$2:$C$1199,0)))</f>
        <v/>
      </c>
      <c r="E410" s="6" t="str">
        <f>IF(ISNA(MATCH(397,Engine!$C$2:$C$1199,0)),"",INDEX('Compliance Database'!$E$2:$E$1199,MATCH(397,Engine!$C$2:$C$1199,0)))</f>
        <v/>
      </c>
      <c r="F410" s="6" t="str">
        <f>IF(ISNA(MATCH(397,Engine!$C$2:$C$1199,0)),"",INDEX('Compliance Database'!$F$2:$F$1199,MATCH(397,Engine!$C$2:$C$1199,0)))</f>
        <v/>
      </c>
      <c r="G410" s="6" t="str">
        <f>IF(ISNA(MATCH(397,Engine!$C$2:$C$1199,0)),"",INDEX('Compliance Database'!$G$2:$G$1199,MATCH(397,Engine!$C$2:$C$1199,0)))</f>
        <v/>
      </c>
      <c r="H410" s="7" t="str">
        <f>IF(ISNA(MATCH(397,Engine!$C$2:$C$1199,0)),"",INDEX('Compliance Database'!$H$2:$H$1199,MATCH(397,Engine!$C$2:$C$1199,0)))</f>
        <v/>
      </c>
      <c r="I410" s="7" t="str">
        <f>IF(ISNA(MATCH(397,Engine!$C$2:$C$1199,0)),"",INDEX('Compliance Database'!$I$2:$I$1199,MATCH(397,Engine!$C$2:$C$1199,0)))</f>
        <v/>
      </c>
      <c r="J410" s="6" t="str">
        <f>IF(ISNA(MATCH(397,Engine!$C$2:$C$1199,0)),"",INDEX('Compliance Database'!$J$2:$J$1199,MATCH(397,Engine!$C$2:$C$1199,0)))</f>
        <v/>
      </c>
      <c r="K410" s="7" t="str">
        <f>IF(ISNA(MATCH(397,Engine!$C$2:$C$1199,0)),"",INDEX('Compliance Database'!$K$2:$K$1199,MATCH(397,Engine!$C$2:$C$1199,0)))</f>
        <v/>
      </c>
      <c r="L410" s="7" t="str">
        <f>IF(ISNA(MATCH(397,Engine!$C$2:$C$1199,0)),"",INDEX('Compliance Database'!$L$2:$L$1199,MATCH(397,Engine!$C$2:$C$1199,0)))</f>
        <v/>
      </c>
      <c r="M410" s="7" t="str">
        <f>IF(ISNA(MATCH(397,Engine!$C$2:$C$1199,0)),"",INDEX('Compliance Database'!$M$2:$M$1199,MATCH(397,Engine!$C$2:$C$1199,0)))</f>
        <v/>
      </c>
      <c r="N410" s="7" t="str">
        <f>IF(ISNA(MATCH(397,Engine!$C$2:$C$1199,0)),"",INDEX('Compliance Database'!$N$2:$N$1199,MATCH(397,Engine!$C$2:$C$1199,0)))</f>
        <v/>
      </c>
      <c r="O410" s="7" t="str">
        <f>IF(ISNA(MATCH(397,Engine!$C$2:$C$1199,0)),"",INDEX('Compliance Database'!$O$2:$O$1199,MATCH(397,Engine!$C$2:$C$1199,0)))</f>
        <v/>
      </c>
      <c r="P410" s="6" t="str">
        <f>IF(ISNA(MATCH(397,Engine!$C$2:$C$1199,0)),"",HYPERLINK("#Acts!A"&amp;INDEX('Compliance Database'!$P$2:$P$1199,MATCH(397,Engine!$C$2:$C$1199,0)),"Go to Act"))</f>
        <v/>
      </c>
    </row>
    <row r="411" spans="1:16" ht="172.95" customHeight="1" x14ac:dyDescent="0.3">
      <c r="A411" s="6" t="str">
        <f>IF(ISNA(MATCH(398,Engine!$C$2:$C$1199,0)),"",INDEX('Compliance Database'!$A$2:$A$1199,MATCH(398,Engine!$C$2:$C$1199,0)))</f>
        <v/>
      </c>
      <c r="B411" s="6" t="str">
        <f>IF(ISNA(MATCH(398,Engine!$C$2:$C$1199,0)),"",INDEX('Compliance Database'!$B$2:$B$1199,MATCH(398,Engine!$C$2:$C$1199,0)))</f>
        <v/>
      </c>
      <c r="C411" s="6" t="str">
        <f>IF(ISNA(MATCH(398,Engine!$C$2:$C$1199,0)),"",INDEX('Compliance Database'!$C$2:$C$1199,MATCH(398,Engine!$C$2:$C$1199,0)))</f>
        <v/>
      </c>
      <c r="D411" s="7" t="str">
        <f>IF(ISNA(MATCH(398,Engine!$C$2:$C$1199,0)),"",INDEX('Compliance Database'!$D$2:$D$1199,MATCH(398,Engine!$C$2:$C$1199,0)))</f>
        <v/>
      </c>
      <c r="E411" s="6" t="str">
        <f>IF(ISNA(MATCH(398,Engine!$C$2:$C$1199,0)),"",INDEX('Compliance Database'!$E$2:$E$1199,MATCH(398,Engine!$C$2:$C$1199,0)))</f>
        <v/>
      </c>
      <c r="F411" s="6" t="str">
        <f>IF(ISNA(MATCH(398,Engine!$C$2:$C$1199,0)),"",INDEX('Compliance Database'!$F$2:$F$1199,MATCH(398,Engine!$C$2:$C$1199,0)))</f>
        <v/>
      </c>
      <c r="G411" s="6" t="str">
        <f>IF(ISNA(MATCH(398,Engine!$C$2:$C$1199,0)),"",INDEX('Compliance Database'!$G$2:$G$1199,MATCH(398,Engine!$C$2:$C$1199,0)))</f>
        <v/>
      </c>
      <c r="H411" s="7" t="str">
        <f>IF(ISNA(MATCH(398,Engine!$C$2:$C$1199,0)),"",INDEX('Compliance Database'!$H$2:$H$1199,MATCH(398,Engine!$C$2:$C$1199,0)))</f>
        <v/>
      </c>
      <c r="I411" s="7" t="str">
        <f>IF(ISNA(MATCH(398,Engine!$C$2:$C$1199,0)),"",INDEX('Compliance Database'!$I$2:$I$1199,MATCH(398,Engine!$C$2:$C$1199,0)))</f>
        <v/>
      </c>
      <c r="J411" s="6" t="str">
        <f>IF(ISNA(MATCH(398,Engine!$C$2:$C$1199,0)),"",INDEX('Compliance Database'!$J$2:$J$1199,MATCH(398,Engine!$C$2:$C$1199,0)))</f>
        <v/>
      </c>
      <c r="K411" s="7" t="str">
        <f>IF(ISNA(MATCH(398,Engine!$C$2:$C$1199,0)),"",INDEX('Compliance Database'!$K$2:$K$1199,MATCH(398,Engine!$C$2:$C$1199,0)))</f>
        <v/>
      </c>
      <c r="L411" s="7" t="str">
        <f>IF(ISNA(MATCH(398,Engine!$C$2:$C$1199,0)),"",INDEX('Compliance Database'!$L$2:$L$1199,MATCH(398,Engine!$C$2:$C$1199,0)))</f>
        <v/>
      </c>
      <c r="M411" s="7" t="str">
        <f>IF(ISNA(MATCH(398,Engine!$C$2:$C$1199,0)),"",INDEX('Compliance Database'!$M$2:$M$1199,MATCH(398,Engine!$C$2:$C$1199,0)))</f>
        <v/>
      </c>
      <c r="N411" s="7" t="str">
        <f>IF(ISNA(MATCH(398,Engine!$C$2:$C$1199,0)),"",INDEX('Compliance Database'!$N$2:$N$1199,MATCH(398,Engine!$C$2:$C$1199,0)))</f>
        <v/>
      </c>
      <c r="O411" s="7" t="str">
        <f>IF(ISNA(MATCH(398,Engine!$C$2:$C$1199,0)),"",INDEX('Compliance Database'!$O$2:$O$1199,MATCH(398,Engine!$C$2:$C$1199,0)))</f>
        <v/>
      </c>
      <c r="P411" s="6" t="str">
        <f>IF(ISNA(MATCH(398,Engine!$C$2:$C$1199,0)),"",HYPERLINK("#Acts!A"&amp;INDEX('Compliance Database'!$P$2:$P$1199,MATCH(398,Engine!$C$2:$C$1199,0)),"Go to Act"))</f>
        <v/>
      </c>
    </row>
    <row r="412" spans="1:16" ht="172.95" customHeight="1" x14ac:dyDescent="0.3">
      <c r="A412" s="6" t="str">
        <f>IF(ISNA(MATCH(399,Engine!$C$2:$C$1199,0)),"",INDEX('Compliance Database'!$A$2:$A$1199,MATCH(399,Engine!$C$2:$C$1199,0)))</f>
        <v/>
      </c>
      <c r="B412" s="6" t="str">
        <f>IF(ISNA(MATCH(399,Engine!$C$2:$C$1199,0)),"",INDEX('Compliance Database'!$B$2:$B$1199,MATCH(399,Engine!$C$2:$C$1199,0)))</f>
        <v/>
      </c>
      <c r="C412" s="6" t="str">
        <f>IF(ISNA(MATCH(399,Engine!$C$2:$C$1199,0)),"",INDEX('Compliance Database'!$C$2:$C$1199,MATCH(399,Engine!$C$2:$C$1199,0)))</f>
        <v/>
      </c>
      <c r="D412" s="7" t="str">
        <f>IF(ISNA(MATCH(399,Engine!$C$2:$C$1199,0)),"",INDEX('Compliance Database'!$D$2:$D$1199,MATCH(399,Engine!$C$2:$C$1199,0)))</f>
        <v/>
      </c>
      <c r="E412" s="6" t="str">
        <f>IF(ISNA(MATCH(399,Engine!$C$2:$C$1199,0)),"",INDEX('Compliance Database'!$E$2:$E$1199,MATCH(399,Engine!$C$2:$C$1199,0)))</f>
        <v/>
      </c>
      <c r="F412" s="6" t="str">
        <f>IF(ISNA(MATCH(399,Engine!$C$2:$C$1199,0)),"",INDEX('Compliance Database'!$F$2:$F$1199,MATCH(399,Engine!$C$2:$C$1199,0)))</f>
        <v/>
      </c>
      <c r="G412" s="6" t="str">
        <f>IF(ISNA(MATCH(399,Engine!$C$2:$C$1199,0)),"",INDEX('Compliance Database'!$G$2:$G$1199,MATCH(399,Engine!$C$2:$C$1199,0)))</f>
        <v/>
      </c>
      <c r="H412" s="7" t="str">
        <f>IF(ISNA(MATCH(399,Engine!$C$2:$C$1199,0)),"",INDEX('Compliance Database'!$H$2:$H$1199,MATCH(399,Engine!$C$2:$C$1199,0)))</f>
        <v/>
      </c>
      <c r="I412" s="7" t="str">
        <f>IF(ISNA(MATCH(399,Engine!$C$2:$C$1199,0)),"",INDEX('Compliance Database'!$I$2:$I$1199,MATCH(399,Engine!$C$2:$C$1199,0)))</f>
        <v/>
      </c>
      <c r="J412" s="6" t="str">
        <f>IF(ISNA(MATCH(399,Engine!$C$2:$C$1199,0)),"",INDEX('Compliance Database'!$J$2:$J$1199,MATCH(399,Engine!$C$2:$C$1199,0)))</f>
        <v/>
      </c>
      <c r="K412" s="7" t="str">
        <f>IF(ISNA(MATCH(399,Engine!$C$2:$C$1199,0)),"",INDEX('Compliance Database'!$K$2:$K$1199,MATCH(399,Engine!$C$2:$C$1199,0)))</f>
        <v/>
      </c>
      <c r="L412" s="7" t="str">
        <f>IF(ISNA(MATCH(399,Engine!$C$2:$C$1199,0)),"",INDEX('Compliance Database'!$L$2:$L$1199,MATCH(399,Engine!$C$2:$C$1199,0)))</f>
        <v/>
      </c>
      <c r="M412" s="7" t="str">
        <f>IF(ISNA(MATCH(399,Engine!$C$2:$C$1199,0)),"",INDEX('Compliance Database'!$M$2:$M$1199,MATCH(399,Engine!$C$2:$C$1199,0)))</f>
        <v/>
      </c>
      <c r="N412" s="7" t="str">
        <f>IF(ISNA(MATCH(399,Engine!$C$2:$C$1199,0)),"",INDEX('Compliance Database'!$N$2:$N$1199,MATCH(399,Engine!$C$2:$C$1199,0)))</f>
        <v/>
      </c>
      <c r="O412" s="7" t="str">
        <f>IF(ISNA(MATCH(399,Engine!$C$2:$C$1199,0)),"",INDEX('Compliance Database'!$O$2:$O$1199,MATCH(399,Engine!$C$2:$C$1199,0)))</f>
        <v/>
      </c>
      <c r="P412" s="6" t="str">
        <f>IF(ISNA(MATCH(399,Engine!$C$2:$C$1199,0)),"",HYPERLINK("#Acts!A"&amp;INDEX('Compliance Database'!$P$2:$P$1199,MATCH(399,Engine!$C$2:$C$1199,0)),"Go to Act"))</f>
        <v/>
      </c>
    </row>
    <row r="413" spans="1:16" ht="172.95" customHeight="1" x14ac:dyDescent="0.3">
      <c r="A413" s="6" t="str">
        <f>IF(ISNA(MATCH(400,Engine!$C$2:$C$1199,0)),"",INDEX('Compliance Database'!$A$2:$A$1199,MATCH(400,Engine!$C$2:$C$1199,0)))</f>
        <v/>
      </c>
      <c r="B413" s="6" t="str">
        <f>IF(ISNA(MATCH(400,Engine!$C$2:$C$1199,0)),"",INDEX('Compliance Database'!$B$2:$B$1199,MATCH(400,Engine!$C$2:$C$1199,0)))</f>
        <v/>
      </c>
      <c r="C413" s="6" t="str">
        <f>IF(ISNA(MATCH(400,Engine!$C$2:$C$1199,0)),"",INDEX('Compliance Database'!$C$2:$C$1199,MATCH(400,Engine!$C$2:$C$1199,0)))</f>
        <v/>
      </c>
      <c r="D413" s="7" t="str">
        <f>IF(ISNA(MATCH(400,Engine!$C$2:$C$1199,0)),"",INDEX('Compliance Database'!$D$2:$D$1199,MATCH(400,Engine!$C$2:$C$1199,0)))</f>
        <v/>
      </c>
      <c r="E413" s="6" t="str">
        <f>IF(ISNA(MATCH(400,Engine!$C$2:$C$1199,0)),"",INDEX('Compliance Database'!$E$2:$E$1199,MATCH(400,Engine!$C$2:$C$1199,0)))</f>
        <v/>
      </c>
      <c r="F413" s="6" t="str">
        <f>IF(ISNA(MATCH(400,Engine!$C$2:$C$1199,0)),"",INDEX('Compliance Database'!$F$2:$F$1199,MATCH(400,Engine!$C$2:$C$1199,0)))</f>
        <v/>
      </c>
      <c r="G413" s="6" t="str">
        <f>IF(ISNA(MATCH(400,Engine!$C$2:$C$1199,0)),"",INDEX('Compliance Database'!$G$2:$G$1199,MATCH(400,Engine!$C$2:$C$1199,0)))</f>
        <v/>
      </c>
      <c r="H413" s="7" t="str">
        <f>IF(ISNA(MATCH(400,Engine!$C$2:$C$1199,0)),"",INDEX('Compliance Database'!$H$2:$H$1199,MATCH(400,Engine!$C$2:$C$1199,0)))</f>
        <v/>
      </c>
      <c r="I413" s="7" t="str">
        <f>IF(ISNA(MATCH(400,Engine!$C$2:$C$1199,0)),"",INDEX('Compliance Database'!$I$2:$I$1199,MATCH(400,Engine!$C$2:$C$1199,0)))</f>
        <v/>
      </c>
      <c r="J413" s="6" t="str">
        <f>IF(ISNA(MATCH(400,Engine!$C$2:$C$1199,0)),"",INDEX('Compliance Database'!$J$2:$J$1199,MATCH(400,Engine!$C$2:$C$1199,0)))</f>
        <v/>
      </c>
      <c r="K413" s="7" t="str">
        <f>IF(ISNA(MATCH(400,Engine!$C$2:$C$1199,0)),"",INDEX('Compliance Database'!$K$2:$K$1199,MATCH(400,Engine!$C$2:$C$1199,0)))</f>
        <v/>
      </c>
      <c r="L413" s="7" t="str">
        <f>IF(ISNA(MATCH(400,Engine!$C$2:$C$1199,0)),"",INDEX('Compliance Database'!$L$2:$L$1199,MATCH(400,Engine!$C$2:$C$1199,0)))</f>
        <v/>
      </c>
      <c r="M413" s="7" t="str">
        <f>IF(ISNA(MATCH(400,Engine!$C$2:$C$1199,0)),"",INDEX('Compliance Database'!$M$2:$M$1199,MATCH(400,Engine!$C$2:$C$1199,0)))</f>
        <v/>
      </c>
      <c r="N413" s="7" t="str">
        <f>IF(ISNA(MATCH(400,Engine!$C$2:$C$1199,0)),"",INDEX('Compliance Database'!$N$2:$N$1199,MATCH(400,Engine!$C$2:$C$1199,0)))</f>
        <v/>
      </c>
      <c r="O413" s="7" t="str">
        <f>IF(ISNA(MATCH(400,Engine!$C$2:$C$1199,0)),"",INDEX('Compliance Database'!$O$2:$O$1199,MATCH(400,Engine!$C$2:$C$1199,0)))</f>
        <v/>
      </c>
      <c r="P413" s="6" t="str">
        <f>IF(ISNA(MATCH(400,Engine!$C$2:$C$1199,0)),"",HYPERLINK("#Acts!A"&amp;INDEX('Compliance Database'!$P$2:$P$1199,MATCH(400,Engine!$C$2:$C$1199,0)),"Go to Act"))</f>
        <v/>
      </c>
    </row>
    <row r="414" spans="1:16" ht="172.95" customHeight="1" x14ac:dyDescent="0.3">
      <c r="A414" s="6" t="str">
        <f>IF(ISNA(MATCH(401,Engine!$C$2:$C$1199,0)),"",INDEX('Compliance Database'!$A$2:$A$1199,MATCH(401,Engine!$C$2:$C$1199,0)))</f>
        <v/>
      </c>
      <c r="B414" s="6" t="str">
        <f>IF(ISNA(MATCH(401,Engine!$C$2:$C$1199,0)),"",INDEX('Compliance Database'!$B$2:$B$1199,MATCH(401,Engine!$C$2:$C$1199,0)))</f>
        <v/>
      </c>
      <c r="C414" s="6" t="str">
        <f>IF(ISNA(MATCH(401,Engine!$C$2:$C$1199,0)),"",INDEX('Compliance Database'!$C$2:$C$1199,MATCH(401,Engine!$C$2:$C$1199,0)))</f>
        <v/>
      </c>
      <c r="D414" s="7" t="str">
        <f>IF(ISNA(MATCH(401,Engine!$C$2:$C$1199,0)),"",INDEX('Compliance Database'!$D$2:$D$1199,MATCH(401,Engine!$C$2:$C$1199,0)))</f>
        <v/>
      </c>
      <c r="E414" s="6" t="str">
        <f>IF(ISNA(MATCH(401,Engine!$C$2:$C$1199,0)),"",INDEX('Compliance Database'!$E$2:$E$1199,MATCH(401,Engine!$C$2:$C$1199,0)))</f>
        <v/>
      </c>
      <c r="F414" s="6" t="str">
        <f>IF(ISNA(MATCH(401,Engine!$C$2:$C$1199,0)),"",INDEX('Compliance Database'!$F$2:$F$1199,MATCH(401,Engine!$C$2:$C$1199,0)))</f>
        <v/>
      </c>
      <c r="G414" s="6" t="str">
        <f>IF(ISNA(MATCH(401,Engine!$C$2:$C$1199,0)),"",INDEX('Compliance Database'!$G$2:$G$1199,MATCH(401,Engine!$C$2:$C$1199,0)))</f>
        <v/>
      </c>
      <c r="H414" s="7" t="str">
        <f>IF(ISNA(MATCH(401,Engine!$C$2:$C$1199,0)),"",INDEX('Compliance Database'!$H$2:$H$1199,MATCH(401,Engine!$C$2:$C$1199,0)))</f>
        <v/>
      </c>
      <c r="I414" s="7" t="str">
        <f>IF(ISNA(MATCH(401,Engine!$C$2:$C$1199,0)),"",INDEX('Compliance Database'!$I$2:$I$1199,MATCH(401,Engine!$C$2:$C$1199,0)))</f>
        <v/>
      </c>
      <c r="J414" s="6" t="str">
        <f>IF(ISNA(MATCH(401,Engine!$C$2:$C$1199,0)),"",INDEX('Compliance Database'!$J$2:$J$1199,MATCH(401,Engine!$C$2:$C$1199,0)))</f>
        <v/>
      </c>
      <c r="K414" s="7" t="str">
        <f>IF(ISNA(MATCH(401,Engine!$C$2:$C$1199,0)),"",INDEX('Compliance Database'!$K$2:$K$1199,MATCH(401,Engine!$C$2:$C$1199,0)))</f>
        <v/>
      </c>
      <c r="L414" s="7" t="str">
        <f>IF(ISNA(MATCH(401,Engine!$C$2:$C$1199,0)),"",INDEX('Compliance Database'!$L$2:$L$1199,MATCH(401,Engine!$C$2:$C$1199,0)))</f>
        <v/>
      </c>
      <c r="M414" s="7" t="str">
        <f>IF(ISNA(MATCH(401,Engine!$C$2:$C$1199,0)),"",INDEX('Compliance Database'!$M$2:$M$1199,MATCH(401,Engine!$C$2:$C$1199,0)))</f>
        <v/>
      </c>
      <c r="N414" s="7" t="str">
        <f>IF(ISNA(MATCH(401,Engine!$C$2:$C$1199,0)),"",INDEX('Compliance Database'!$N$2:$N$1199,MATCH(401,Engine!$C$2:$C$1199,0)))</f>
        <v/>
      </c>
      <c r="O414" s="7" t="str">
        <f>IF(ISNA(MATCH(401,Engine!$C$2:$C$1199,0)),"",INDEX('Compliance Database'!$O$2:$O$1199,MATCH(401,Engine!$C$2:$C$1199,0)))</f>
        <v/>
      </c>
      <c r="P414" s="6" t="str">
        <f>IF(ISNA(MATCH(401,Engine!$C$2:$C$1199,0)),"",HYPERLINK("#Acts!A"&amp;INDEX('Compliance Database'!$P$2:$P$1199,MATCH(401,Engine!$C$2:$C$1199,0)),"Go to Act"))</f>
        <v/>
      </c>
    </row>
    <row r="415" spans="1:16" ht="172.95" customHeight="1" x14ac:dyDescent="0.3">
      <c r="A415" s="6" t="str">
        <f>IF(ISNA(MATCH(402,Engine!$C$2:$C$1199,0)),"",INDEX('Compliance Database'!$A$2:$A$1199,MATCH(402,Engine!$C$2:$C$1199,0)))</f>
        <v/>
      </c>
      <c r="B415" s="6" t="str">
        <f>IF(ISNA(MATCH(402,Engine!$C$2:$C$1199,0)),"",INDEX('Compliance Database'!$B$2:$B$1199,MATCH(402,Engine!$C$2:$C$1199,0)))</f>
        <v/>
      </c>
      <c r="C415" s="6" t="str">
        <f>IF(ISNA(MATCH(402,Engine!$C$2:$C$1199,0)),"",INDEX('Compliance Database'!$C$2:$C$1199,MATCH(402,Engine!$C$2:$C$1199,0)))</f>
        <v/>
      </c>
      <c r="D415" s="7" t="str">
        <f>IF(ISNA(MATCH(402,Engine!$C$2:$C$1199,0)),"",INDEX('Compliance Database'!$D$2:$D$1199,MATCH(402,Engine!$C$2:$C$1199,0)))</f>
        <v/>
      </c>
      <c r="E415" s="6" t="str">
        <f>IF(ISNA(MATCH(402,Engine!$C$2:$C$1199,0)),"",INDEX('Compliance Database'!$E$2:$E$1199,MATCH(402,Engine!$C$2:$C$1199,0)))</f>
        <v/>
      </c>
      <c r="F415" s="6" t="str">
        <f>IF(ISNA(MATCH(402,Engine!$C$2:$C$1199,0)),"",INDEX('Compliance Database'!$F$2:$F$1199,MATCH(402,Engine!$C$2:$C$1199,0)))</f>
        <v/>
      </c>
      <c r="G415" s="6" t="str">
        <f>IF(ISNA(MATCH(402,Engine!$C$2:$C$1199,0)),"",INDEX('Compliance Database'!$G$2:$G$1199,MATCH(402,Engine!$C$2:$C$1199,0)))</f>
        <v/>
      </c>
      <c r="H415" s="7" t="str">
        <f>IF(ISNA(MATCH(402,Engine!$C$2:$C$1199,0)),"",INDEX('Compliance Database'!$H$2:$H$1199,MATCH(402,Engine!$C$2:$C$1199,0)))</f>
        <v/>
      </c>
      <c r="I415" s="7" t="str">
        <f>IF(ISNA(MATCH(402,Engine!$C$2:$C$1199,0)),"",INDEX('Compliance Database'!$I$2:$I$1199,MATCH(402,Engine!$C$2:$C$1199,0)))</f>
        <v/>
      </c>
      <c r="J415" s="6" t="str">
        <f>IF(ISNA(MATCH(402,Engine!$C$2:$C$1199,0)),"",INDEX('Compliance Database'!$J$2:$J$1199,MATCH(402,Engine!$C$2:$C$1199,0)))</f>
        <v/>
      </c>
      <c r="K415" s="7" t="str">
        <f>IF(ISNA(MATCH(402,Engine!$C$2:$C$1199,0)),"",INDEX('Compliance Database'!$K$2:$K$1199,MATCH(402,Engine!$C$2:$C$1199,0)))</f>
        <v/>
      </c>
      <c r="L415" s="7" t="str">
        <f>IF(ISNA(MATCH(402,Engine!$C$2:$C$1199,0)),"",INDEX('Compliance Database'!$L$2:$L$1199,MATCH(402,Engine!$C$2:$C$1199,0)))</f>
        <v/>
      </c>
      <c r="M415" s="7" t="str">
        <f>IF(ISNA(MATCH(402,Engine!$C$2:$C$1199,0)),"",INDEX('Compliance Database'!$M$2:$M$1199,MATCH(402,Engine!$C$2:$C$1199,0)))</f>
        <v/>
      </c>
      <c r="N415" s="7" t="str">
        <f>IF(ISNA(MATCH(402,Engine!$C$2:$C$1199,0)),"",INDEX('Compliance Database'!$N$2:$N$1199,MATCH(402,Engine!$C$2:$C$1199,0)))</f>
        <v/>
      </c>
      <c r="O415" s="7" t="str">
        <f>IF(ISNA(MATCH(402,Engine!$C$2:$C$1199,0)),"",INDEX('Compliance Database'!$O$2:$O$1199,MATCH(402,Engine!$C$2:$C$1199,0)))</f>
        <v/>
      </c>
      <c r="P415" s="6" t="str">
        <f>IF(ISNA(MATCH(402,Engine!$C$2:$C$1199,0)),"",HYPERLINK("#Acts!A"&amp;INDEX('Compliance Database'!$P$2:$P$1199,MATCH(402,Engine!$C$2:$C$1199,0)),"Go to Act"))</f>
        <v/>
      </c>
    </row>
    <row r="416" spans="1:16" ht="172.95" customHeight="1" x14ac:dyDescent="0.3">
      <c r="A416" s="6" t="str">
        <f>IF(ISNA(MATCH(403,Engine!$C$2:$C$1199,0)),"",INDEX('Compliance Database'!$A$2:$A$1199,MATCH(403,Engine!$C$2:$C$1199,0)))</f>
        <v/>
      </c>
      <c r="B416" s="6" t="str">
        <f>IF(ISNA(MATCH(403,Engine!$C$2:$C$1199,0)),"",INDEX('Compliance Database'!$B$2:$B$1199,MATCH(403,Engine!$C$2:$C$1199,0)))</f>
        <v/>
      </c>
      <c r="C416" s="6" t="str">
        <f>IF(ISNA(MATCH(403,Engine!$C$2:$C$1199,0)),"",INDEX('Compliance Database'!$C$2:$C$1199,MATCH(403,Engine!$C$2:$C$1199,0)))</f>
        <v/>
      </c>
      <c r="D416" s="7" t="str">
        <f>IF(ISNA(MATCH(403,Engine!$C$2:$C$1199,0)),"",INDEX('Compliance Database'!$D$2:$D$1199,MATCH(403,Engine!$C$2:$C$1199,0)))</f>
        <v/>
      </c>
      <c r="E416" s="6" t="str">
        <f>IF(ISNA(MATCH(403,Engine!$C$2:$C$1199,0)),"",INDEX('Compliance Database'!$E$2:$E$1199,MATCH(403,Engine!$C$2:$C$1199,0)))</f>
        <v/>
      </c>
      <c r="F416" s="6" t="str">
        <f>IF(ISNA(MATCH(403,Engine!$C$2:$C$1199,0)),"",INDEX('Compliance Database'!$F$2:$F$1199,MATCH(403,Engine!$C$2:$C$1199,0)))</f>
        <v/>
      </c>
      <c r="G416" s="6" t="str">
        <f>IF(ISNA(MATCH(403,Engine!$C$2:$C$1199,0)),"",INDEX('Compliance Database'!$G$2:$G$1199,MATCH(403,Engine!$C$2:$C$1199,0)))</f>
        <v/>
      </c>
      <c r="H416" s="7" t="str">
        <f>IF(ISNA(MATCH(403,Engine!$C$2:$C$1199,0)),"",INDEX('Compliance Database'!$H$2:$H$1199,MATCH(403,Engine!$C$2:$C$1199,0)))</f>
        <v/>
      </c>
      <c r="I416" s="7" t="str">
        <f>IF(ISNA(MATCH(403,Engine!$C$2:$C$1199,0)),"",INDEX('Compliance Database'!$I$2:$I$1199,MATCH(403,Engine!$C$2:$C$1199,0)))</f>
        <v/>
      </c>
      <c r="J416" s="6" t="str">
        <f>IF(ISNA(MATCH(403,Engine!$C$2:$C$1199,0)),"",INDEX('Compliance Database'!$J$2:$J$1199,MATCH(403,Engine!$C$2:$C$1199,0)))</f>
        <v/>
      </c>
      <c r="K416" s="7" t="str">
        <f>IF(ISNA(MATCH(403,Engine!$C$2:$C$1199,0)),"",INDEX('Compliance Database'!$K$2:$K$1199,MATCH(403,Engine!$C$2:$C$1199,0)))</f>
        <v/>
      </c>
      <c r="L416" s="7" t="str">
        <f>IF(ISNA(MATCH(403,Engine!$C$2:$C$1199,0)),"",INDEX('Compliance Database'!$L$2:$L$1199,MATCH(403,Engine!$C$2:$C$1199,0)))</f>
        <v/>
      </c>
      <c r="M416" s="7" t="str">
        <f>IF(ISNA(MATCH(403,Engine!$C$2:$C$1199,0)),"",INDEX('Compliance Database'!$M$2:$M$1199,MATCH(403,Engine!$C$2:$C$1199,0)))</f>
        <v/>
      </c>
      <c r="N416" s="7" t="str">
        <f>IF(ISNA(MATCH(403,Engine!$C$2:$C$1199,0)),"",INDEX('Compliance Database'!$N$2:$N$1199,MATCH(403,Engine!$C$2:$C$1199,0)))</f>
        <v/>
      </c>
      <c r="O416" s="7" t="str">
        <f>IF(ISNA(MATCH(403,Engine!$C$2:$C$1199,0)),"",INDEX('Compliance Database'!$O$2:$O$1199,MATCH(403,Engine!$C$2:$C$1199,0)))</f>
        <v/>
      </c>
      <c r="P416" s="6" t="str">
        <f>IF(ISNA(MATCH(403,Engine!$C$2:$C$1199,0)),"",HYPERLINK("#Acts!A"&amp;INDEX('Compliance Database'!$P$2:$P$1199,MATCH(403,Engine!$C$2:$C$1199,0)),"Go to Act"))</f>
        <v/>
      </c>
    </row>
    <row r="417" spans="1:16" ht="172.95" customHeight="1" x14ac:dyDescent="0.3">
      <c r="A417" s="6" t="str">
        <f>IF(ISNA(MATCH(404,Engine!$C$2:$C$1199,0)),"",INDEX('Compliance Database'!$A$2:$A$1199,MATCH(404,Engine!$C$2:$C$1199,0)))</f>
        <v/>
      </c>
      <c r="B417" s="6" t="str">
        <f>IF(ISNA(MATCH(404,Engine!$C$2:$C$1199,0)),"",INDEX('Compliance Database'!$B$2:$B$1199,MATCH(404,Engine!$C$2:$C$1199,0)))</f>
        <v/>
      </c>
      <c r="C417" s="6" t="str">
        <f>IF(ISNA(MATCH(404,Engine!$C$2:$C$1199,0)),"",INDEX('Compliance Database'!$C$2:$C$1199,MATCH(404,Engine!$C$2:$C$1199,0)))</f>
        <v/>
      </c>
      <c r="D417" s="7" t="str">
        <f>IF(ISNA(MATCH(404,Engine!$C$2:$C$1199,0)),"",INDEX('Compliance Database'!$D$2:$D$1199,MATCH(404,Engine!$C$2:$C$1199,0)))</f>
        <v/>
      </c>
      <c r="E417" s="6" t="str">
        <f>IF(ISNA(MATCH(404,Engine!$C$2:$C$1199,0)),"",INDEX('Compliance Database'!$E$2:$E$1199,MATCH(404,Engine!$C$2:$C$1199,0)))</f>
        <v/>
      </c>
      <c r="F417" s="6" t="str">
        <f>IF(ISNA(MATCH(404,Engine!$C$2:$C$1199,0)),"",INDEX('Compliance Database'!$F$2:$F$1199,MATCH(404,Engine!$C$2:$C$1199,0)))</f>
        <v/>
      </c>
      <c r="G417" s="6" t="str">
        <f>IF(ISNA(MATCH(404,Engine!$C$2:$C$1199,0)),"",INDEX('Compliance Database'!$G$2:$G$1199,MATCH(404,Engine!$C$2:$C$1199,0)))</f>
        <v/>
      </c>
      <c r="H417" s="7" t="str">
        <f>IF(ISNA(MATCH(404,Engine!$C$2:$C$1199,0)),"",INDEX('Compliance Database'!$H$2:$H$1199,MATCH(404,Engine!$C$2:$C$1199,0)))</f>
        <v/>
      </c>
      <c r="I417" s="7" t="str">
        <f>IF(ISNA(MATCH(404,Engine!$C$2:$C$1199,0)),"",INDEX('Compliance Database'!$I$2:$I$1199,MATCH(404,Engine!$C$2:$C$1199,0)))</f>
        <v/>
      </c>
      <c r="J417" s="6" t="str">
        <f>IF(ISNA(MATCH(404,Engine!$C$2:$C$1199,0)),"",INDEX('Compliance Database'!$J$2:$J$1199,MATCH(404,Engine!$C$2:$C$1199,0)))</f>
        <v/>
      </c>
      <c r="K417" s="7" t="str">
        <f>IF(ISNA(MATCH(404,Engine!$C$2:$C$1199,0)),"",INDEX('Compliance Database'!$K$2:$K$1199,MATCH(404,Engine!$C$2:$C$1199,0)))</f>
        <v/>
      </c>
      <c r="L417" s="7" t="str">
        <f>IF(ISNA(MATCH(404,Engine!$C$2:$C$1199,0)),"",INDEX('Compliance Database'!$L$2:$L$1199,MATCH(404,Engine!$C$2:$C$1199,0)))</f>
        <v/>
      </c>
      <c r="M417" s="7" t="str">
        <f>IF(ISNA(MATCH(404,Engine!$C$2:$C$1199,0)),"",INDEX('Compliance Database'!$M$2:$M$1199,MATCH(404,Engine!$C$2:$C$1199,0)))</f>
        <v/>
      </c>
      <c r="N417" s="7" t="str">
        <f>IF(ISNA(MATCH(404,Engine!$C$2:$C$1199,0)),"",INDEX('Compliance Database'!$N$2:$N$1199,MATCH(404,Engine!$C$2:$C$1199,0)))</f>
        <v/>
      </c>
      <c r="O417" s="7" t="str">
        <f>IF(ISNA(MATCH(404,Engine!$C$2:$C$1199,0)),"",INDEX('Compliance Database'!$O$2:$O$1199,MATCH(404,Engine!$C$2:$C$1199,0)))</f>
        <v/>
      </c>
      <c r="P417" s="6" t="str">
        <f>IF(ISNA(MATCH(404,Engine!$C$2:$C$1199,0)),"",HYPERLINK("#Acts!A"&amp;INDEX('Compliance Database'!$P$2:$P$1199,MATCH(404,Engine!$C$2:$C$1199,0)),"Go to Act"))</f>
        <v/>
      </c>
    </row>
    <row r="418" spans="1:16" ht="172.95" customHeight="1" x14ac:dyDescent="0.3">
      <c r="A418" s="6" t="str">
        <f>IF(ISNA(MATCH(405,Engine!$C$2:$C$1199,0)),"",INDEX('Compliance Database'!$A$2:$A$1199,MATCH(405,Engine!$C$2:$C$1199,0)))</f>
        <v/>
      </c>
      <c r="B418" s="6" t="str">
        <f>IF(ISNA(MATCH(405,Engine!$C$2:$C$1199,0)),"",INDEX('Compliance Database'!$B$2:$B$1199,MATCH(405,Engine!$C$2:$C$1199,0)))</f>
        <v/>
      </c>
      <c r="C418" s="6" t="str">
        <f>IF(ISNA(MATCH(405,Engine!$C$2:$C$1199,0)),"",INDEX('Compliance Database'!$C$2:$C$1199,MATCH(405,Engine!$C$2:$C$1199,0)))</f>
        <v/>
      </c>
      <c r="D418" s="7" t="str">
        <f>IF(ISNA(MATCH(405,Engine!$C$2:$C$1199,0)),"",INDEX('Compliance Database'!$D$2:$D$1199,MATCH(405,Engine!$C$2:$C$1199,0)))</f>
        <v/>
      </c>
      <c r="E418" s="6" t="str">
        <f>IF(ISNA(MATCH(405,Engine!$C$2:$C$1199,0)),"",INDEX('Compliance Database'!$E$2:$E$1199,MATCH(405,Engine!$C$2:$C$1199,0)))</f>
        <v/>
      </c>
      <c r="F418" s="6" t="str">
        <f>IF(ISNA(MATCH(405,Engine!$C$2:$C$1199,0)),"",INDEX('Compliance Database'!$F$2:$F$1199,MATCH(405,Engine!$C$2:$C$1199,0)))</f>
        <v/>
      </c>
      <c r="G418" s="6" t="str">
        <f>IF(ISNA(MATCH(405,Engine!$C$2:$C$1199,0)),"",INDEX('Compliance Database'!$G$2:$G$1199,MATCH(405,Engine!$C$2:$C$1199,0)))</f>
        <v/>
      </c>
      <c r="H418" s="7" t="str">
        <f>IF(ISNA(MATCH(405,Engine!$C$2:$C$1199,0)),"",INDEX('Compliance Database'!$H$2:$H$1199,MATCH(405,Engine!$C$2:$C$1199,0)))</f>
        <v/>
      </c>
      <c r="I418" s="7" t="str">
        <f>IF(ISNA(MATCH(405,Engine!$C$2:$C$1199,0)),"",INDEX('Compliance Database'!$I$2:$I$1199,MATCH(405,Engine!$C$2:$C$1199,0)))</f>
        <v/>
      </c>
      <c r="J418" s="6" t="str">
        <f>IF(ISNA(MATCH(405,Engine!$C$2:$C$1199,0)),"",INDEX('Compliance Database'!$J$2:$J$1199,MATCH(405,Engine!$C$2:$C$1199,0)))</f>
        <v/>
      </c>
      <c r="K418" s="7" t="str">
        <f>IF(ISNA(MATCH(405,Engine!$C$2:$C$1199,0)),"",INDEX('Compliance Database'!$K$2:$K$1199,MATCH(405,Engine!$C$2:$C$1199,0)))</f>
        <v/>
      </c>
      <c r="L418" s="7" t="str">
        <f>IF(ISNA(MATCH(405,Engine!$C$2:$C$1199,0)),"",INDEX('Compliance Database'!$L$2:$L$1199,MATCH(405,Engine!$C$2:$C$1199,0)))</f>
        <v/>
      </c>
      <c r="M418" s="7" t="str">
        <f>IF(ISNA(MATCH(405,Engine!$C$2:$C$1199,0)),"",INDEX('Compliance Database'!$M$2:$M$1199,MATCH(405,Engine!$C$2:$C$1199,0)))</f>
        <v/>
      </c>
      <c r="N418" s="7" t="str">
        <f>IF(ISNA(MATCH(405,Engine!$C$2:$C$1199,0)),"",INDEX('Compliance Database'!$N$2:$N$1199,MATCH(405,Engine!$C$2:$C$1199,0)))</f>
        <v/>
      </c>
      <c r="O418" s="7" t="str">
        <f>IF(ISNA(MATCH(405,Engine!$C$2:$C$1199,0)),"",INDEX('Compliance Database'!$O$2:$O$1199,MATCH(405,Engine!$C$2:$C$1199,0)))</f>
        <v/>
      </c>
      <c r="P418" s="6" t="str">
        <f>IF(ISNA(MATCH(405,Engine!$C$2:$C$1199,0)),"",HYPERLINK("#Acts!A"&amp;INDEX('Compliance Database'!$P$2:$P$1199,MATCH(405,Engine!$C$2:$C$1199,0)),"Go to Act"))</f>
        <v/>
      </c>
    </row>
    <row r="419" spans="1:16" ht="172.95" customHeight="1" x14ac:dyDescent="0.3">
      <c r="A419" s="6" t="str">
        <f>IF(ISNA(MATCH(406,Engine!$C$2:$C$1199,0)),"",INDEX('Compliance Database'!$A$2:$A$1199,MATCH(406,Engine!$C$2:$C$1199,0)))</f>
        <v/>
      </c>
      <c r="B419" s="6" t="str">
        <f>IF(ISNA(MATCH(406,Engine!$C$2:$C$1199,0)),"",INDEX('Compliance Database'!$B$2:$B$1199,MATCH(406,Engine!$C$2:$C$1199,0)))</f>
        <v/>
      </c>
      <c r="C419" s="6" t="str">
        <f>IF(ISNA(MATCH(406,Engine!$C$2:$C$1199,0)),"",INDEX('Compliance Database'!$C$2:$C$1199,MATCH(406,Engine!$C$2:$C$1199,0)))</f>
        <v/>
      </c>
      <c r="D419" s="7" t="str">
        <f>IF(ISNA(MATCH(406,Engine!$C$2:$C$1199,0)),"",INDEX('Compliance Database'!$D$2:$D$1199,MATCH(406,Engine!$C$2:$C$1199,0)))</f>
        <v/>
      </c>
      <c r="E419" s="6" t="str">
        <f>IF(ISNA(MATCH(406,Engine!$C$2:$C$1199,0)),"",INDEX('Compliance Database'!$E$2:$E$1199,MATCH(406,Engine!$C$2:$C$1199,0)))</f>
        <v/>
      </c>
      <c r="F419" s="6" t="str">
        <f>IF(ISNA(MATCH(406,Engine!$C$2:$C$1199,0)),"",INDEX('Compliance Database'!$F$2:$F$1199,MATCH(406,Engine!$C$2:$C$1199,0)))</f>
        <v/>
      </c>
      <c r="G419" s="6" t="str">
        <f>IF(ISNA(MATCH(406,Engine!$C$2:$C$1199,0)),"",INDEX('Compliance Database'!$G$2:$G$1199,MATCH(406,Engine!$C$2:$C$1199,0)))</f>
        <v/>
      </c>
      <c r="H419" s="7" t="str">
        <f>IF(ISNA(MATCH(406,Engine!$C$2:$C$1199,0)),"",INDEX('Compliance Database'!$H$2:$H$1199,MATCH(406,Engine!$C$2:$C$1199,0)))</f>
        <v/>
      </c>
      <c r="I419" s="7" t="str">
        <f>IF(ISNA(MATCH(406,Engine!$C$2:$C$1199,0)),"",INDEX('Compliance Database'!$I$2:$I$1199,MATCH(406,Engine!$C$2:$C$1199,0)))</f>
        <v/>
      </c>
      <c r="J419" s="6" t="str">
        <f>IF(ISNA(MATCH(406,Engine!$C$2:$C$1199,0)),"",INDEX('Compliance Database'!$J$2:$J$1199,MATCH(406,Engine!$C$2:$C$1199,0)))</f>
        <v/>
      </c>
      <c r="K419" s="7" t="str">
        <f>IF(ISNA(MATCH(406,Engine!$C$2:$C$1199,0)),"",INDEX('Compliance Database'!$K$2:$K$1199,MATCH(406,Engine!$C$2:$C$1199,0)))</f>
        <v/>
      </c>
      <c r="L419" s="7" t="str">
        <f>IF(ISNA(MATCH(406,Engine!$C$2:$C$1199,0)),"",INDEX('Compliance Database'!$L$2:$L$1199,MATCH(406,Engine!$C$2:$C$1199,0)))</f>
        <v/>
      </c>
      <c r="M419" s="7" t="str">
        <f>IF(ISNA(MATCH(406,Engine!$C$2:$C$1199,0)),"",INDEX('Compliance Database'!$M$2:$M$1199,MATCH(406,Engine!$C$2:$C$1199,0)))</f>
        <v/>
      </c>
      <c r="N419" s="7" t="str">
        <f>IF(ISNA(MATCH(406,Engine!$C$2:$C$1199,0)),"",INDEX('Compliance Database'!$N$2:$N$1199,MATCH(406,Engine!$C$2:$C$1199,0)))</f>
        <v/>
      </c>
      <c r="O419" s="7" t="str">
        <f>IF(ISNA(MATCH(406,Engine!$C$2:$C$1199,0)),"",INDEX('Compliance Database'!$O$2:$O$1199,MATCH(406,Engine!$C$2:$C$1199,0)))</f>
        <v/>
      </c>
      <c r="P419" s="6" t="str">
        <f>IF(ISNA(MATCH(406,Engine!$C$2:$C$1199,0)),"",HYPERLINK("#Acts!A"&amp;INDEX('Compliance Database'!$P$2:$P$1199,MATCH(406,Engine!$C$2:$C$1199,0)),"Go to Act"))</f>
        <v/>
      </c>
    </row>
    <row r="420" spans="1:16" ht="172.95" customHeight="1" x14ac:dyDescent="0.3">
      <c r="A420" s="6" t="str">
        <f>IF(ISNA(MATCH(407,Engine!$C$2:$C$1199,0)),"",INDEX('Compliance Database'!$A$2:$A$1199,MATCH(407,Engine!$C$2:$C$1199,0)))</f>
        <v/>
      </c>
      <c r="B420" s="6" t="str">
        <f>IF(ISNA(MATCH(407,Engine!$C$2:$C$1199,0)),"",INDEX('Compliance Database'!$B$2:$B$1199,MATCH(407,Engine!$C$2:$C$1199,0)))</f>
        <v/>
      </c>
      <c r="C420" s="6" t="str">
        <f>IF(ISNA(MATCH(407,Engine!$C$2:$C$1199,0)),"",INDEX('Compliance Database'!$C$2:$C$1199,MATCH(407,Engine!$C$2:$C$1199,0)))</f>
        <v/>
      </c>
      <c r="D420" s="7" t="str">
        <f>IF(ISNA(MATCH(407,Engine!$C$2:$C$1199,0)),"",INDEX('Compliance Database'!$D$2:$D$1199,MATCH(407,Engine!$C$2:$C$1199,0)))</f>
        <v/>
      </c>
      <c r="E420" s="6" t="str">
        <f>IF(ISNA(MATCH(407,Engine!$C$2:$C$1199,0)),"",INDEX('Compliance Database'!$E$2:$E$1199,MATCH(407,Engine!$C$2:$C$1199,0)))</f>
        <v/>
      </c>
      <c r="F420" s="6" t="str">
        <f>IF(ISNA(MATCH(407,Engine!$C$2:$C$1199,0)),"",INDEX('Compliance Database'!$F$2:$F$1199,MATCH(407,Engine!$C$2:$C$1199,0)))</f>
        <v/>
      </c>
      <c r="G420" s="6" t="str">
        <f>IF(ISNA(MATCH(407,Engine!$C$2:$C$1199,0)),"",INDEX('Compliance Database'!$G$2:$G$1199,MATCH(407,Engine!$C$2:$C$1199,0)))</f>
        <v/>
      </c>
      <c r="H420" s="7" t="str">
        <f>IF(ISNA(MATCH(407,Engine!$C$2:$C$1199,0)),"",INDEX('Compliance Database'!$H$2:$H$1199,MATCH(407,Engine!$C$2:$C$1199,0)))</f>
        <v/>
      </c>
      <c r="I420" s="7" t="str">
        <f>IF(ISNA(MATCH(407,Engine!$C$2:$C$1199,0)),"",INDEX('Compliance Database'!$I$2:$I$1199,MATCH(407,Engine!$C$2:$C$1199,0)))</f>
        <v/>
      </c>
      <c r="J420" s="6" t="str">
        <f>IF(ISNA(MATCH(407,Engine!$C$2:$C$1199,0)),"",INDEX('Compliance Database'!$J$2:$J$1199,MATCH(407,Engine!$C$2:$C$1199,0)))</f>
        <v/>
      </c>
      <c r="K420" s="7" t="str">
        <f>IF(ISNA(MATCH(407,Engine!$C$2:$C$1199,0)),"",INDEX('Compliance Database'!$K$2:$K$1199,MATCH(407,Engine!$C$2:$C$1199,0)))</f>
        <v/>
      </c>
      <c r="L420" s="7" t="str">
        <f>IF(ISNA(MATCH(407,Engine!$C$2:$C$1199,0)),"",INDEX('Compliance Database'!$L$2:$L$1199,MATCH(407,Engine!$C$2:$C$1199,0)))</f>
        <v/>
      </c>
      <c r="M420" s="7" t="str">
        <f>IF(ISNA(MATCH(407,Engine!$C$2:$C$1199,0)),"",INDEX('Compliance Database'!$M$2:$M$1199,MATCH(407,Engine!$C$2:$C$1199,0)))</f>
        <v/>
      </c>
      <c r="N420" s="7" t="str">
        <f>IF(ISNA(MATCH(407,Engine!$C$2:$C$1199,0)),"",INDEX('Compliance Database'!$N$2:$N$1199,MATCH(407,Engine!$C$2:$C$1199,0)))</f>
        <v/>
      </c>
      <c r="O420" s="7" t="str">
        <f>IF(ISNA(MATCH(407,Engine!$C$2:$C$1199,0)),"",INDEX('Compliance Database'!$O$2:$O$1199,MATCH(407,Engine!$C$2:$C$1199,0)))</f>
        <v/>
      </c>
      <c r="P420" s="6" t="str">
        <f>IF(ISNA(MATCH(407,Engine!$C$2:$C$1199,0)),"",HYPERLINK("#Acts!A"&amp;INDEX('Compliance Database'!$P$2:$P$1199,MATCH(407,Engine!$C$2:$C$1199,0)),"Go to Act"))</f>
        <v/>
      </c>
    </row>
    <row r="421" spans="1:16" ht="172.95" customHeight="1" x14ac:dyDescent="0.3">
      <c r="A421" s="6" t="str">
        <f>IF(ISNA(MATCH(408,Engine!$C$2:$C$1199,0)),"",INDEX('Compliance Database'!$A$2:$A$1199,MATCH(408,Engine!$C$2:$C$1199,0)))</f>
        <v/>
      </c>
      <c r="B421" s="6" t="str">
        <f>IF(ISNA(MATCH(408,Engine!$C$2:$C$1199,0)),"",INDEX('Compliance Database'!$B$2:$B$1199,MATCH(408,Engine!$C$2:$C$1199,0)))</f>
        <v/>
      </c>
      <c r="C421" s="6" t="str">
        <f>IF(ISNA(MATCH(408,Engine!$C$2:$C$1199,0)),"",INDEX('Compliance Database'!$C$2:$C$1199,MATCH(408,Engine!$C$2:$C$1199,0)))</f>
        <v/>
      </c>
      <c r="D421" s="7" t="str">
        <f>IF(ISNA(MATCH(408,Engine!$C$2:$C$1199,0)),"",INDEX('Compliance Database'!$D$2:$D$1199,MATCH(408,Engine!$C$2:$C$1199,0)))</f>
        <v/>
      </c>
      <c r="E421" s="6" t="str">
        <f>IF(ISNA(MATCH(408,Engine!$C$2:$C$1199,0)),"",INDEX('Compliance Database'!$E$2:$E$1199,MATCH(408,Engine!$C$2:$C$1199,0)))</f>
        <v/>
      </c>
      <c r="F421" s="6" t="str">
        <f>IF(ISNA(MATCH(408,Engine!$C$2:$C$1199,0)),"",INDEX('Compliance Database'!$F$2:$F$1199,MATCH(408,Engine!$C$2:$C$1199,0)))</f>
        <v/>
      </c>
      <c r="G421" s="6" t="str">
        <f>IF(ISNA(MATCH(408,Engine!$C$2:$C$1199,0)),"",INDEX('Compliance Database'!$G$2:$G$1199,MATCH(408,Engine!$C$2:$C$1199,0)))</f>
        <v/>
      </c>
      <c r="H421" s="7" t="str">
        <f>IF(ISNA(MATCH(408,Engine!$C$2:$C$1199,0)),"",INDEX('Compliance Database'!$H$2:$H$1199,MATCH(408,Engine!$C$2:$C$1199,0)))</f>
        <v/>
      </c>
      <c r="I421" s="7" t="str">
        <f>IF(ISNA(MATCH(408,Engine!$C$2:$C$1199,0)),"",INDEX('Compliance Database'!$I$2:$I$1199,MATCH(408,Engine!$C$2:$C$1199,0)))</f>
        <v/>
      </c>
      <c r="J421" s="6" t="str">
        <f>IF(ISNA(MATCH(408,Engine!$C$2:$C$1199,0)),"",INDEX('Compliance Database'!$J$2:$J$1199,MATCH(408,Engine!$C$2:$C$1199,0)))</f>
        <v/>
      </c>
      <c r="K421" s="7" t="str">
        <f>IF(ISNA(MATCH(408,Engine!$C$2:$C$1199,0)),"",INDEX('Compliance Database'!$K$2:$K$1199,MATCH(408,Engine!$C$2:$C$1199,0)))</f>
        <v/>
      </c>
      <c r="L421" s="7" t="str">
        <f>IF(ISNA(MATCH(408,Engine!$C$2:$C$1199,0)),"",INDEX('Compliance Database'!$L$2:$L$1199,MATCH(408,Engine!$C$2:$C$1199,0)))</f>
        <v/>
      </c>
      <c r="M421" s="7" t="str">
        <f>IF(ISNA(MATCH(408,Engine!$C$2:$C$1199,0)),"",INDEX('Compliance Database'!$M$2:$M$1199,MATCH(408,Engine!$C$2:$C$1199,0)))</f>
        <v/>
      </c>
      <c r="N421" s="7" t="str">
        <f>IF(ISNA(MATCH(408,Engine!$C$2:$C$1199,0)),"",INDEX('Compliance Database'!$N$2:$N$1199,MATCH(408,Engine!$C$2:$C$1199,0)))</f>
        <v/>
      </c>
      <c r="O421" s="7" t="str">
        <f>IF(ISNA(MATCH(408,Engine!$C$2:$C$1199,0)),"",INDEX('Compliance Database'!$O$2:$O$1199,MATCH(408,Engine!$C$2:$C$1199,0)))</f>
        <v/>
      </c>
      <c r="P421" s="6" t="str">
        <f>IF(ISNA(MATCH(408,Engine!$C$2:$C$1199,0)),"",HYPERLINK("#Acts!A"&amp;INDEX('Compliance Database'!$P$2:$P$1199,MATCH(408,Engine!$C$2:$C$1199,0)),"Go to Act"))</f>
        <v/>
      </c>
    </row>
    <row r="422" spans="1:16" ht="172.95" customHeight="1" x14ac:dyDescent="0.3">
      <c r="A422" s="6" t="str">
        <f>IF(ISNA(MATCH(409,Engine!$C$2:$C$1199,0)),"",INDEX('Compliance Database'!$A$2:$A$1199,MATCH(409,Engine!$C$2:$C$1199,0)))</f>
        <v/>
      </c>
      <c r="B422" s="6" t="str">
        <f>IF(ISNA(MATCH(409,Engine!$C$2:$C$1199,0)),"",INDEX('Compliance Database'!$B$2:$B$1199,MATCH(409,Engine!$C$2:$C$1199,0)))</f>
        <v/>
      </c>
      <c r="C422" s="6" t="str">
        <f>IF(ISNA(MATCH(409,Engine!$C$2:$C$1199,0)),"",INDEX('Compliance Database'!$C$2:$C$1199,MATCH(409,Engine!$C$2:$C$1199,0)))</f>
        <v/>
      </c>
      <c r="D422" s="7" t="str">
        <f>IF(ISNA(MATCH(409,Engine!$C$2:$C$1199,0)),"",INDEX('Compliance Database'!$D$2:$D$1199,MATCH(409,Engine!$C$2:$C$1199,0)))</f>
        <v/>
      </c>
      <c r="E422" s="6" t="str">
        <f>IF(ISNA(MATCH(409,Engine!$C$2:$C$1199,0)),"",INDEX('Compliance Database'!$E$2:$E$1199,MATCH(409,Engine!$C$2:$C$1199,0)))</f>
        <v/>
      </c>
      <c r="F422" s="6" t="str">
        <f>IF(ISNA(MATCH(409,Engine!$C$2:$C$1199,0)),"",INDEX('Compliance Database'!$F$2:$F$1199,MATCH(409,Engine!$C$2:$C$1199,0)))</f>
        <v/>
      </c>
      <c r="G422" s="6" t="str">
        <f>IF(ISNA(MATCH(409,Engine!$C$2:$C$1199,0)),"",INDEX('Compliance Database'!$G$2:$G$1199,MATCH(409,Engine!$C$2:$C$1199,0)))</f>
        <v/>
      </c>
      <c r="H422" s="7" t="str">
        <f>IF(ISNA(MATCH(409,Engine!$C$2:$C$1199,0)),"",INDEX('Compliance Database'!$H$2:$H$1199,MATCH(409,Engine!$C$2:$C$1199,0)))</f>
        <v/>
      </c>
      <c r="I422" s="7" t="str">
        <f>IF(ISNA(MATCH(409,Engine!$C$2:$C$1199,0)),"",INDEX('Compliance Database'!$I$2:$I$1199,MATCH(409,Engine!$C$2:$C$1199,0)))</f>
        <v/>
      </c>
      <c r="J422" s="6" t="str">
        <f>IF(ISNA(MATCH(409,Engine!$C$2:$C$1199,0)),"",INDEX('Compliance Database'!$J$2:$J$1199,MATCH(409,Engine!$C$2:$C$1199,0)))</f>
        <v/>
      </c>
      <c r="K422" s="7" t="str">
        <f>IF(ISNA(MATCH(409,Engine!$C$2:$C$1199,0)),"",INDEX('Compliance Database'!$K$2:$K$1199,MATCH(409,Engine!$C$2:$C$1199,0)))</f>
        <v/>
      </c>
      <c r="L422" s="7" t="str">
        <f>IF(ISNA(MATCH(409,Engine!$C$2:$C$1199,0)),"",INDEX('Compliance Database'!$L$2:$L$1199,MATCH(409,Engine!$C$2:$C$1199,0)))</f>
        <v/>
      </c>
      <c r="M422" s="7" t="str">
        <f>IF(ISNA(MATCH(409,Engine!$C$2:$C$1199,0)),"",INDEX('Compliance Database'!$M$2:$M$1199,MATCH(409,Engine!$C$2:$C$1199,0)))</f>
        <v/>
      </c>
      <c r="N422" s="7" t="str">
        <f>IF(ISNA(MATCH(409,Engine!$C$2:$C$1199,0)),"",INDEX('Compliance Database'!$N$2:$N$1199,MATCH(409,Engine!$C$2:$C$1199,0)))</f>
        <v/>
      </c>
      <c r="O422" s="7" t="str">
        <f>IF(ISNA(MATCH(409,Engine!$C$2:$C$1199,0)),"",INDEX('Compliance Database'!$O$2:$O$1199,MATCH(409,Engine!$C$2:$C$1199,0)))</f>
        <v/>
      </c>
      <c r="P422" s="6" t="str">
        <f>IF(ISNA(MATCH(409,Engine!$C$2:$C$1199,0)),"",HYPERLINK("#Acts!A"&amp;INDEX('Compliance Database'!$P$2:$P$1199,MATCH(409,Engine!$C$2:$C$1199,0)),"Go to Act"))</f>
        <v/>
      </c>
    </row>
    <row r="423" spans="1:16" ht="172.95" customHeight="1" x14ac:dyDescent="0.3">
      <c r="A423" s="6" t="str">
        <f>IF(ISNA(MATCH(410,Engine!$C$2:$C$1199,0)),"",INDEX('Compliance Database'!$A$2:$A$1199,MATCH(410,Engine!$C$2:$C$1199,0)))</f>
        <v/>
      </c>
      <c r="B423" s="6" t="str">
        <f>IF(ISNA(MATCH(410,Engine!$C$2:$C$1199,0)),"",INDEX('Compliance Database'!$B$2:$B$1199,MATCH(410,Engine!$C$2:$C$1199,0)))</f>
        <v/>
      </c>
      <c r="C423" s="6" t="str">
        <f>IF(ISNA(MATCH(410,Engine!$C$2:$C$1199,0)),"",INDEX('Compliance Database'!$C$2:$C$1199,MATCH(410,Engine!$C$2:$C$1199,0)))</f>
        <v/>
      </c>
      <c r="D423" s="7" t="str">
        <f>IF(ISNA(MATCH(410,Engine!$C$2:$C$1199,0)),"",INDEX('Compliance Database'!$D$2:$D$1199,MATCH(410,Engine!$C$2:$C$1199,0)))</f>
        <v/>
      </c>
      <c r="E423" s="6" t="str">
        <f>IF(ISNA(MATCH(410,Engine!$C$2:$C$1199,0)),"",INDEX('Compliance Database'!$E$2:$E$1199,MATCH(410,Engine!$C$2:$C$1199,0)))</f>
        <v/>
      </c>
      <c r="F423" s="6" t="str">
        <f>IF(ISNA(MATCH(410,Engine!$C$2:$C$1199,0)),"",INDEX('Compliance Database'!$F$2:$F$1199,MATCH(410,Engine!$C$2:$C$1199,0)))</f>
        <v/>
      </c>
      <c r="G423" s="6" t="str">
        <f>IF(ISNA(MATCH(410,Engine!$C$2:$C$1199,0)),"",INDEX('Compliance Database'!$G$2:$G$1199,MATCH(410,Engine!$C$2:$C$1199,0)))</f>
        <v/>
      </c>
      <c r="H423" s="7" t="str">
        <f>IF(ISNA(MATCH(410,Engine!$C$2:$C$1199,0)),"",INDEX('Compliance Database'!$H$2:$H$1199,MATCH(410,Engine!$C$2:$C$1199,0)))</f>
        <v/>
      </c>
      <c r="I423" s="7" t="str">
        <f>IF(ISNA(MATCH(410,Engine!$C$2:$C$1199,0)),"",INDEX('Compliance Database'!$I$2:$I$1199,MATCH(410,Engine!$C$2:$C$1199,0)))</f>
        <v/>
      </c>
      <c r="J423" s="6" t="str">
        <f>IF(ISNA(MATCH(410,Engine!$C$2:$C$1199,0)),"",INDEX('Compliance Database'!$J$2:$J$1199,MATCH(410,Engine!$C$2:$C$1199,0)))</f>
        <v/>
      </c>
      <c r="K423" s="7" t="str">
        <f>IF(ISNA(MATCH(410,Engine!$C$2:$C$1199,0)),"",INDEX('Compliance Database'!$K$2:$K$1199,MATCH(410,Engine!$C$2:$C$1199,0)))</f>
        <v/>
      </c>
      <c r="L423" s="7" t="str">
        <f>IF(ISNA(MATCH(410,Engine!$C$2:$C$1199,0)),"",INDEX('Compliance Database'!$L$2:$L$1199,MATCH(410,Engine!$C$2:$C$1199,0)))</f>
        <v/>
      </c>
      <c r="M423" s="7" t="str">
        <f>IF(ISNA(MATCH(410,Engine!$C$2:$C$1199,0)),"",INDEX('Compliance Database'!$M$2:$M$1199,MATCH(410,Engine!$C$2:$C$1199,0)))</f>
        <v/>
      </c>
      <c r="N423" s="7" t="str">
        <f>IF(ISNA(MATCH(410,Engine!$C$2:$C$1199,0)),"",INDEX('Compliance Database'!$N$2:$N$1199,MATCH(410,Engine!$C$2:$C$1199,0)))</f>
        <v/>
      </c>
      <c r="O423" s="7" t="str">
        <f>IF(ISNA(MATCH(410,Engine!$C$2:$C$1199,0)),"",INDEX('Compliance Database'!$O$2:$O$1199,MATCH(410,Engine!$C$2:$C$1199,0)))</f>
        <v/>
      </c>
      <c r="P423" s="6" t="str">
        <f>IF(ISNA(MATCH(410,Engine!$C$2:$C$1199,0)),"",HYPERLINK("#Acts!A"&amp;INDEX('Compliance Database'!$P$2:$P$1199,MATCH(410,Engine!$C$2:$C$1199,0)),"Go to Act"))</f>
        <v/>
      </c>
    </row>
    <row r="424" spans="1:16" ht="172.95" customHeight="1" x14ac:dyDescent="0.3">
      <c r="A424" s="6" t="str">
        <f>IF(ISNA(MATCH(411,Engine!$C$2:$C$1199,0)),"",INDEX('Compliance Database'!$A$2:$A$1199,MATCH(411,Engine!$C$2:$C$1199,0)))</f>
        <v/>
      </c>
      <c r="B424" s="6" t="str">
        <f>IF(ISNA(MATCH(411,Engine!$C$2:$C$1199,0)),"",INDEX('Compliance Database'!$B$2:$B$1199,MATCH(411,Engine!$C$2:$C$1199,0)))</f>
        <v/>
      </c>
      <c r="C424" s="6" t="str">
        <f>IF(ISNA(MATCH(411,Engine!$C$2:$C$1199,0)),"",INDEX('Compliance Database'!$C$2:$C$1199,MATCH(411,Engine!$C$2:$C$1199,0)))</f>
        <v/>
      </c>
      <c r="D424" s="7" t="str">
        <f>IF(ISNA(MATCH(411,Engine!$C$2:$C$1199,0)),"",INDEX('Compliance Database'!$D$2:$D$1199,MATCH(411,Engine!$C$2:$C$1199,0)))</f>
        <v/>
      </c>
      <c r="E424" s="6" t="str">
        <f>IF(ISNA(MATCH(411,Engine!$C$2:$C$1199,0)),"",INDEX('Compliance Database'!$E$2:$E$1199,MATCH(411,Engine!$C$2:$C$1199,0)))</f>
        <v/>
      </c>
      <c r="F424" s="6" t="str">
        <f>IF(ISNA(MATCH(411,Engine!$C$2:$C$1199,0)),"",INDEX('Compliance Database'!$F$2:$F$1199,MATCH(411,Engine!$C$2:$C$1199,0)))</f>
        <v/>
      </c>
      <c r="G424" s="6" t="str">
        <f>IF(ISNA(MATCH(411,Engine!$C$2:$C$1199,0)),"",INDEX('Compliance Database'!$G$2:$G$1199,MATCH(411,Engine!$C$2:$C$1199,0)))</f>
        <v/>
      </c>
      <c r="H424" s="7" t="str">
        <f>IF(ISNA(MATCH(411,Engine!$C$2:$C$1199,0)),"",INDEX('Compliance Database'!$H$2:$H$1199,MATCH(411,Engine!$C$2:$C$1199,0)))</f>
        <v/>
      </c>
      <c r="I424" s="7" t="str">
        <f>IF(ISNA(MATCH(411,Engine!$C$2:$C$1199,0)),"",INDEX('Compliance Database'!$I$2:$I$1199,MATCH(411,Engine!$C$2:$C$1199,0)))</f>
        <v/>
      </c>
      <c r="J424" s="6" t="str">
        <f>IF(ISNA(MATCH(411,Engine!$C$2:$C$1199,0)),"",INDEX('Compliance Database'!$J$2:$J$1199,MATCH(411,Engine!$C$2:$C$1199,0)))</f>
        <v/>
      </c>
      <c r="K424" s="7" t="str">
        <f>IF(ISNA(MATCH(411,Engine!$C$2:$C$1199,0)),"",INDEX('Compliance Database'!$K$2:$K$1199,MATCH(411,Engine!$C$2:$C$1199,0)))</f>
        <v/>
      </c>
      <c r="L424" s="7" t="str">
        <f>IF(ISNA(MATCH(411,Engine!$C$2:$C$1199,0)),"",INDEX('Compliance Database'!$L$2:$L$1199,MATCH(411,Engine!$C$2:$C$1199,0)))</f>
        <v/>
      </c>
      <c r="M424" s="7" t="str">
        <f>IF(ISNA(MATCH(411,Engine!$C$2:$C$1199,0)),"",INDEX('Compliance Database'!$M$2:$M$1199,MATCH(411,Engine!$C$2:$C$1199,0)))</f>
        <v/>
      </c>
      <c r="N424" s="7" t="str">
        <f>IF(ISNA(MATCH(411,Engine!$C$2:$C$1199,0)),"",INDEX('Compliance Database'!$N$2:$N$1199,MATCH(411,Engine!$C$2:$C$1199,0)))</f>
        <v/>
      </c>
      <c r="O424" s="7" t="str">
        <f>IF(ISNA(MATCH(411,Engine!$C$2:$C$1199,0)),"",INDEX('Compliance Database'!$O$2:$O$1199,MATCH(411,Engine!$C$2:$C$1199,0)))</f>
        <v/>
      </c>
      <c r="P424" s="6" t="str">
        <f>IF(ISNA(MATCH(411,Engine!$C$2:$C$1199,0)),"",HYPERLINK("#Acts!A"&amp;INDEX('Compliance Database'!$P$2:$P$1199,MATCH(411,Engine!$C$2:$C$1199,0)),"Go to Act"))</f>
        <v/>
      </c>
    </row>
    <row r="425" spans="1:16" ht="172.95" customHeight="1" x14ac:dyDescent="0.3">
      <c r="A425" s="6" t="str">
        <f>IF(ISNA(MATCH(412,Engine!$C$2:$C$1199,0)),"",INDEX('Compliance Database'!$A$2:$A$1199,MATCH(412,Engine!$C$2:$C$1199,0)))</f>
        <v/>
      </c>
      <c r="B425" s="6" t="str">
        <f>IF(ISNA(MATCH(412,Engine!$C$2:$C$1199,0)),"",INDEX('Compliance Database'!$B$2:$B$1199,MATCH(412,Engine!$C$2:$C$1199,0)))</f>
        <v/>
      </c>
      <c r="C425" s="6" t="str">
        <f>IF(ISNA(MATCH(412,Engine!$C$2:$C$1199,0)),"",INDEX('Compliance Database'!$C$2:$C$1199,MATCH(412,Engine!$C$2:$C$1199,0)))</f>
        <v/>
      </c>
      <c r="D425" s="7" t="str">
        <f>IF(ISNA(MATCH(412,Engine!$C$2:$C$1199,0)),"",INDEX('Compliance Database'!$D$2:$D$1199,MATCH(412,Engine!$C$2:$C$1199,0)))</f>
        <v/>
      </c>
      <c r="E425" s="6" t="str">
        <f>IF(ISNA(MATCH(412,Engine!$C$2:$C$1199,0)),"",INDEX('Compliance Database'!$E$2:$E$1199,MATCH(412,Engine!$C$2:$C$1199,0)))</f>
        <v/>
      </c>
      <c r="F425" s="6" t="str">
        <f>IF(ISNA(MATCH(412,Engine!$C$2:$C$1199,0)),"",INDEX('Compliance Database'!$F$2:$F$1199,MATCH(412,Engine!$C$2:$C$1199,0)))</f>
        <v/>
      </c>
      <c r="G425" s="6" t="str">
        <f>IF(ISNA(MATCH(412,Engine!$C$2:$C$1199,0)),"",INDEX('Compliance Database'!$G$2:$G$1199,MATCH(412,Engine!$C$2:$C$1199,0)))</f>
        <v/>
      </c>
      <c r="H425" s="7" t="str">
        <f>IF(ISNA(MATCH(412,Engine!$C$2:$C$1199,0)),"",INDEX('Compliance Database'!$H$2:$H$1199,MATCH(412,Engine!$C$2:$C$1199,0)))</f>
        <v/>
      </c>
      <c r="I425" s="7" t="str">
        <f>IF(ISNA(MATCH(412,Engine!$C$2:$C$1199,0)),"",INDEX('Compliance Database'!$I$2:$I$1199,MATCH(412,Engine!$C$2:$C$1199,0)))</f>
        <v/>
      </c>
      <c r="J425" s="6" t="str">
        <f>IF(ISNA(MATCH(412,Engine!$C$2:$C$1199,0)),"",INDEX('Compliance Database'!$J$2:$J$1199,MATCH(412,Engine!$C$2:$C$1199,0)))</f>
        <v/>
      </c>
      <c r="K425" s="7" t="str">
        <f>IF(ISNA(MATCH(412,Engine!$C$2:$C$1199,0)),"",INDEX('Compliance Database'!$K$2:$K$1199,MATCH(412,Engine!$C$2:$C$1199,0)))</f>
        <v/>
      </c>
      <c r="L425" s="7" t="str">
        <f>IF(ISNA(MATCH(412,Engine!$C$2:$C$1199,0)),"",INDEX('Compliance Database'!$L$2:$L$1199,MATCH(412,Engine!$C$2:$C$1199,0)))</f>
        <v/>
      </c>
      <c r="M425" s="7" t="str">
        <f>IF(ISNA(MATCH(412,Engine!$C$2:$C$1199,0)),"",INDEX('Compliance Database'!$M$2:$M$1199,MATCH(412,Engine!$C$2:$C$1199,0)))</f>
        <v/>
      </c>
      <c r="N425" s="7" t="str">
        <f>IF(ISNA(MATCH(412,Engine!$C$2:$C$1199,0)),"",INDEX('Compliance Database'!$N$2:$N$1199,MATCH(412,Engine!$C$2:$C$1199,0)))</f>
        <v/>
      </c>
      <c r="O425" s="7" t="str">
        <f>IF(ISNA(MATCH(412,Engine!$C$2:$C$1199,0)),"",INDEX('Compliance Database'!$O$2:$O$1199,MATCH(412,Engine!$C$2:$C$1199,0)))</f>
        <v/>
      </c>
      <c r="P425" s="6" t="str">
        <f>IF(ISNA(MATCH(412,Engine!$C$2:$C$1199,0)),"",HYPERLINK("#Acts!A"&amp;INDEX('Compliance Database'!$P$2:$P$1199,MATCH(412,Engine!$C$2:$C$1199,0)),"Go to Act"))</f>
        <v/>
      </c>
    </row>
    <row r="426" spans="1:16" ht="172.95" customHeight="1" x14ac:dyDescent="0.3">
      <c r="A426" s="6" t="str">
        <f>IF(ISNA(MATCH(413,Engine!$C$2:$C$1199,0)),"",INDEX('Compliance Database'!$A$2:$A$1199,MATCH(413,Engine!$C$2:$C$1199,0)))</f>
        <v/>
      </c>
      <c r="B426" s="6" t="str">
        <f>IF(ISNA(MATCH(413,Engine!$C$2:$C$1199,0)),"",INDEX('Compliance Database'!$B$2:$B$1199,MATCH(413,Engine!$C$2:$C$1199,0)))</f>
        <v/>
      </c>
      <c r="C426" s="6" t="str">
        <f>IF(ISNA(MATCH(413,Engine!$C$2:$C$1199,0)),"",INDEX('Compliance Database'!$C$2:$C$1199,MATCH(413,Engine!$C$2:$C$1199,0)))</f>
        <v/>
      </c>
      <c r="D426" s="7" t="str">
        <f>IF(ISNA(MATCH(413,Engine!$C$2:$C$1199,0)),"",INDEX('Compliance Database'!$D$2:$D$1199,MATCH(413,Engine!$C$2:$C$1199,0)))</f>
        <v/>
      </c>
      <c r="E426" s="6" t="str">
        <f>IF(ISNA(MATCH(413,Engine!$C$2:$C$1199,0)),"",INDEX('Compliance Database'!$E$2:$E$1199,MATCH(413,Engine!$C$2:$C$1199,0)))</f>
        <v/>
      </c>
      <c r="F426" s="6" t="str">
        <f>IF(ISNA(MATCH(413,Engine!$C$2:$C$1199,0)),"",INDEX('Compliance Database'!$F$2:$F$1199,MATCH(413,Engine!$C$2:$C$1199,0)))</f>
        <v/>
      </c>
      <c r="G426" s="6" t="str">
        <f>IF(ISNA(MATCH(413,Engine!$C$2:$C$1199,0)),"",INDEX('Compliance Database'!$G$2:$G$1199,MATCH(413,Engine!$C$2:$C$1199,0)))</f>
        <v/>
      </c>
      <c r="H426" s="7" t="str">
        <f>IF(ISNA(MATCH(413,Engine!$C$2:$C$1199,0)),"",INDEX('Compliance Database'!$H$2:$H$1199,MATCH(413,Engine!$C$2:$C$1199,0)))</f>
        <v/>
      </c>
      <c r="I426" s="7" t="str">
        <f>IF(ISNA(MATCH(413,Engine!$C$2:$C$1199,0)),"",INDEX('Compliance Database'!$I$2:$I$1199,MATCH(413,Engine!$C$2:$C$1199,0)))</f>
        <v/>
      </c>
      <c r="J426" s="6" t="str">
        <f>IF(ISNA(MATCH(413,Engine!$C$2:$C$1199,0)),"",INDEX('Compliance Database'!$J$2:$J$1199,MATCH(413,Engine!$C$2:$C$1199,0)))</f>
        <v/>
      </c>
      <c r="K426" s="7" t="str">
        <f>IF(ISNA(MATCH(413,Engine!$C$2:$C$1199,0)),"",INDEX('Compliance Database'!$K$2:$K$1199,MATCH(413,Engine!$C$2:$C$1199,0)))</f>
        <v/>
      </c>
      <c r="L426" s="7" t="str">
        <f>IF(ISNA(MATCH(413,Engine!$C$2:$C$1199,0)),"",INDEX('Compliance Database'!$L$2:$L$1199,MATCH(413,Engine!$C$2:$C$1199,0)))</f>
        <v/>
      </c>
      <c r="M426" s="7" t="str">
        <f>IF(ISNA(MATCH(413,Engine!$C$2:$C$1199,0)),"",INDEX('Compliance Database'!$M$2:$M$1199,MATCH(413,Engine!$C$2:$C$1199,0)))</f>
        <v/>
      </c>
      <c r="N426" s="7" t="str">
        <f>IF(ISNA(MATCH(413,Engine!$C$2:$C$1199,0)),"",INDEX('Compliance Database'!$N$2:$N$1199,MATCH(413,Engine!$C$2:$C$1199,0)))</f>
        <v/>
      </c>
      <c r="O426" s="7" t="str">
        <f>IF(ISNA(MATCH(413,Engine!$C$2:$C$1199,0)),"",INDEX('Compliance Database'!$O$2:$O$1199,MATCH(413,Engine!$C$2:$C$1199,0)))</f>
        <v/>
      </c>
      <c r="P426" s="6" t="str">
        <f>IF(ISNA(MATCH(413,Engine!$C$2:$C$1199,0)),"",HYPERLINK("#Acts!A"&amp;INDEX('Compliance Database'!$P$2:$P$1199,MATCH(413,Engine!$C$2:$C$1199,0)),"Go to Act"))</f>
        <v/>
      </c>
    </row>
    <row r="427" spans="1:16" ht="172.95" customHeight="1" x14ac:dyDescent="0.3">
      <c r="A427" s="6" t="str">
        <f>IF(ISNA(MATCH(414,Engine!$C$2:$C$1199,0)),"",INDEX('Compliance Database'!$A$2:$A$1199,MATCH(414,Engine!$C$2:$C$1199,0)))</f>
        <v/>
      </c>
      <c r="B427" s="6" t="str">
        <f>IF(ISNA(MATCH(414,Engine!$C$2:$C$1199,0)),"",INDEX('Compliance Database'!$B$2:$B$1199,MATCH(414,Engine!$C$2:$C$1199,0)))</f>
        <v/>
      </c>
      <c r="C427" s="6" t="str">
        <f>IF(ISNA(MATCH(414,Engine!$C$2:$C$1199,0)),"",INDEX('Compliance Database'!$C$2:$C$1199,MATCH(414,Engine!$C$2:$C$1199,0)))</f>
        <v/>
      </c>
      <c r="D427" s="7" t="str">
        <f>IF(ISNA(MATCH(414,Engine!$C$2:$C$1199,0)),"",INDEX('Compliance Database'!$D$2:$D$1199,MATCH(414,Engine!$C$2:$C$1199,0)))</f>
        <v/>
      </c>
      <c r="E427" s="6" t="str">
        <f>IF(ISNA(MATCH(414,Engine!$C$2:$C$1199,0)),"",INDEX('Compliance Database'!$E$2:$E$1199,MATCH(414,Engine!$C$2:$C$1199,0)))</f>
        <v/>
      </c>
      <c r="F427" s="6" t="str">
        <f>IF(ISNA(MATCH(414,Engine!$C$2:$C$1199,0)),"",INDEX('Compliance Database'!$F$2:$F$1199,MATCH(414,Engine!$C$2:$C$1199,0)))</f>
        <v/>
      </c>
      <c r="G427" s="6" t="str">
        <f>IF(ISNA(MATCH(414,Engine!$C$2:$C$1199,0)),"",INDEX('Compliance Database'!$G$2:$G$1199,MATCH(414,Engine!$C$2:$C$1199,0)))</f>
        <v/>
      </c>
      <c r="H427" s="7" t="str">
        <f>IF(ISNA(MATCH(414,Engine!$C$2:$C$1199,0)),"",INDEX('Compliance Database'!$H$2:$H$1199,MATCH(414,Engine!$C$2:$C$1199,0)))</f>
        <v/>
      </c>
      <c r="I427" s="7" t="str">
        <f>IF(ISNA(MATCH(414,Engine!$C$2:$C$1199,0)),"",INDEX('Compliance Database'!$I$2:$I$1199,MATCH(414,Engine!$C$2:$C$1199,0)))</f>
        <v/>
      </c>
      <c r="J427" s="6" t="str">
        <f>IF(ISNA(MATCH(414,Engine!$C$2:$C$1199,0)),"",INDEX('Compliance Database'!$J$2:$J$1199,MATCH(414,Engine!$C$2:$C$1199,0)))</f>
        <v/>
      </c>
      <c r="K427" s="7" t="str">
        <f>IF(ISNA(MATCH(414,Engine!$C$2:$C$1199,0)),"",INDEX('Compliance Database'!$K$2:$K$1199,MATCH(414,Engine!$C$2:$C$1199,0)))</f>
        <v/>
      </c>
      <c r="L427" s="7" t="str">
        <f>IF(ISNA(MATCH(414,Engine!$C$2:$C$1199,0)),"",INDEX('Compliance Database'!$L$2:$L$1199,MATCH(414,Engine!$C$2:$C$1199,0)))</f>
        <v/>
      </c>
      <c r="M427" s="7" t="str">
        <f>IF(ISNA(MATCH(414,Engine!$C$2:$C$1199,0)),"",INDEX('Compliance Database'!$M$2:$M$1199,MATCH(414,Engine!$C$2:$C$1199,0)))</f>
        <v/>
      </c>
      <c r="N427" s="7" t="str">
        <f>IF(ISNA(MATCH(414,Engine!$C$2:$C$1199,0)),"",INDEX('Compliance Database'!$N$2:$N$1199,MATCH(414,Engine!$C$2:$C$1199,0)))</f>
        <v/>
      </c>
      <c r="O427" s="7" t="str">
        <f>IF(ISNA(MATCH(414,Engine!$C$2:$C$1199,0)),"",INDEX('Compliance Database'!$O$2:$O$1199,MATCH(414,Engine!$C$2:$C$1199,0)))</f>
        <v/>
      </c>
      <c r="P427" s="6" t="str">
        <f>IF(ISNA(MATCH(414,Engine!$C$2:$C$1199,0)),"",HYPERLINK("#Acts!A"&amp;INDEX('Compliance Database'!$P$2:$P$1199,MATCH(414,Engine!$C$2:$C$1199,0)),"Go to Act"))</f>
        <v/>
      </c>
    </row>
    <row r="428" spans="1:16" ht="172.95" customHeight="1" x14ac:dyDescent="0.3">
      <c r="A428" s="6" t="str">
        <f>IF(ISNA(MATCH(415,Engine!$C$2:$C$1199,0)),"",INDEX('Compliance Database'!$A$2:$A$1199,MATCH(415,Engine!$C$2:$C$1199,0)))</f>
        <v/>
      </c>
      <c r="B428" s="6" t="str">
        <f>IF(ISNA(MATCH(415,Engine!$C$2:$C$1199,0)),"",INDEX('Compliance Database'!$B$2:$B$1199,MATCH(415,Engine!$C$2:$C$1199,0)))</f>
        <v/>
      </c>
      <c r="C428" s="6" t="str">
        <f>IF(ISNA(MATCH(415,Engine!$C$2:$C$1199,0)),"",INDEX('Compliance Database'!$C$2:$C$1199,MATCH(415,Engine!$C$2:$C$1199,0)))</f>
        <v/>
      </c>
      <c r="D428" s="7" t="str">
        <f>IF(ISNA(MATCH(415,Engine!$C$2:$C$1199,0)),"",INDEX('Compliance Database'!$D$2:$D$1199,MATCH(415,Engine!$C$2:$C$1199,0)))</f>
        <v/>
      </c>
      <c r="E428" s="6" t="str">
        <f>IF(ISNA(MATCH(415,Engine!$C$2:$C$1199,0)),"",INDEX('Compliance Database'!$E$2:$E$1199,MATCH(415,Engine!$C$2:$C$1199,0)))</f>
        <v/>
      </c>
      <c r="F428" s="6" t="str">
        <f>IF(ISNA(MATCH(415,Engine!$C$2:$C$1199,0)),"",INDEX('Compliance Database'!$F$2:$F$1199,MATCH(415,Engine!$C$2:$C$1199,0)))</f>
        <v/>
      </c>
      <c r="G428" s="6" t="str">
        <f>IF(ISNA(MATCH(415,Engine!$C$2:$C$1199,0)),"",INDEX('Compliance Database'!$G$2:$G$1199,MATCH(415,Engine!$C$2:$C$1199,0)))</f>
        <v/>
      </c>
      <c r="H428" s="7" t="str">
        <f>IF(ISNA(MATCH(415,Engine!$C$2:$C$1199,0)),"",INDEX('Compliance Database'!$H$2:$H$1199,MATCH(415,Engine!$C$2:$C$1199,0)))</f>
        <v/>
      </c>
      <c r="I428" s="7" t="str">
        <f>IF(ISNA(MATCH(415,Engine!$C$2:$C$1199,0)),"",INDEX('Compliance Database'!$I$2:$I$1199,MATCH(415,Engine!$C$2:$C$1199,0)))</f>
        <v/>
      </c>
      <c r="J428" s="6" t="str">
        <f>IF(ISNA(MATCH(415,Engine!$C$2:$C$1199,0)),"",INDEX('Compliance Database'!$J$2:$J$1199,MATCH(415,Engine!$C$2:$C$1199,0)))</f>
        <v/>
      </c>
      <c r="K428" s="7" t="str">
        <f>IF(ISNA(MATCH(415,Engine!$C$2:$C$1199,0)),"",INDEX('Compliance Database'!$K$2:$K$1199,MATCH(415,Engine!$C$2:$C$1199,0)))</f>
        <v/>
      </c>
      <c r="L428" s="7" t="str">
        <f>IF(ISNA(MATCH(415,Engine!$C$2:$C$1199,0)),"",INDEX('Compliance Database'!$L$2:$L$1199,MATCH(415,Engine!$C$2:$C$1199,0)))</f>
        <v/>
      </c>
      <c r="M428" s="7" t="str">
        <f>IF(ISNA(MATCH(415,Engine!$C$2:$C$1199,0)),"",INDEX('Compliance Database'!$M$2:$M$1199,MATCH(415,Engine!$C$2:$C$1199,0)))</f>
        <v/>
      </c>
      <c r="N428" s="7" t="str">
        <f>IF(ISNA(MATCH(415,Engine!$C$2:$C$1199,0)),"",INDEX('Compliance Database'!$N$2:$N$1199,MATCH(415,Engine!$C$2:$C$1199,0)))</f>
        <v/>
      </c>
      <c r="O428" s="7" t="str">
        <f>IF(ISNA(MATCH(415,Engine!$C$2:$C$1199,0)),"",INDEX('Compliance Database'!$O$2:$O$1199,MATCH(415,Engine!$C$2:$C$1199,0)))</f>
        <v/>
      </c>
      <c r="P428" s="6" t="str">
        <f>IF(ISNA(MATCH(415,Engine!$C$2:$C$1199,0)),"",HYPERLINK("#Acts!A"&amp;INDEX('Compliance Database'!$P$2:$P$1199,MATCH(415,Engine!$C$2:$C$1199,0)),"Go to Act"))</f>
        <v/>
      </c>
    </row>
    <row r="429" spans="1:16" ht="172.95" customHeight="1" x14ac:dyDescent="0.3">
      <c r="A429" s="6" t="str">
        <f>IF(ISNA(MATCH(416,Engine!$C$2:$C$1199,0)),"",INDEX('Compliance Database'!$A$2:$A$1199,MATCH(416,Engine!$C$2:$C$1199,0)))</f>
        <v/>
      </c>
      <c r="B429" s="6" t="str">
        <f>IF(ISNA(MATCH(416,Engine!$C$2:$C$1199,0)),"",INDEX('Compliance Database'!$B$2:$B$1199,MATCH(416,Engine!$C$2:$C$1199,0)))</f>
        <v/>
      </c>
      <c r="C429" s="6" t="str">
        <f>IF(ISNA(MATCH(416,Engine!$C$2:$C$1199,0)),"",INDEX('Compliance Database'!$C$2:$C$1199,MATCH(416,Engine!$C$2:$C$1199,0)))</f>
        <v/>
      </c>
      <c r="D429" s="7" t="str">
        <f>IF(ISNA(MATCH(416,Engine!$C$2:$C$1199,0)),"",INDEX('Compliance Database'!$D$2:$D$1199,MATCH(416,Engine!$C$2:$C$1199,0)))</f>
        <v/>
      </c>
      <c r="E429" s="6" t="str">
        <f>IF(ISNA(MATCH(416,Engine!$C$2:$C$1199,0)),"",INDEX('Compliance Database'!$E$2:$E$1199,MATCH(416,Engine!$C$2:$C$1199,0)))</f>
        <v/>
      </c>
      <c r="F429" s="6" t="str">
        <f>IF(ISNA(MATCH(416,Engine!$C$2:$C$1199,0)),"",INDEX('Compliance Database'!$F$2:$F$1199,MATCH(416,Engine!$C$2:$C$1199,0)))</f>
        <v/>
      </c>
      <c r="G429" s="6" t="str">
        <f>IF(ISNA(MATCH(416,Engine!$C$2:$C$1199,0)),"",INDEX('Compliance Database'!$G$2:$G$1199,MATCH(416,Engine!$C$2:$C$1199,0)))</f>
        <v/>
      </c>
      <c r="H429" s="7" t="str">
        <f>IF(ISNA(MATCH(416,Engine!$C$2:$C$1199,0)),"",INDEX('Compliance Database'!$H$2:$H$1199,MATCH(416,Engine!$C$2:$C$1199,0)))</f>
        <v/>
      </c>
      <c r="I429" s="7" t="str">
        <f>IF(ISNA(MATCH(416,Engine!$C$2:$C$1199,0)),"",INDEX('Compliance Database'!$I$2:$I$1199,MATCH(416,Engine!$C$2:$C$1199,0)))</f>
        <v/>
      </c>
      <c r="J429" s="6" t="str">
        <f>IF(ISNA(MATCH(416,Engine!$C$2:$C$1199,0)),"",INDEX('Compliance Database'!$J$2:$J$1199,MATCH(416,Engine!$C$2:$C$1199,0)))</f>
        <v/>
      </c>
      <c r="K429" s="7" t="str">
        <f>IF(ISNA(MATCH(416,Engine!$C$2:$C$1199,0)),"",INDEX('Compliance Database'!$K$2:$K$1199,MATCH(416,Engine!$C$2:$C$1199,0)))</f>
        <v/>
      </c>
      <c r="L429" s="7" t="str">
        <f>IF(ISNA(MATCH(416,Engine!$C$2:$C$1199,0)),"",INDEX('Compliance Database'!$L$2:$L$1199,MATCH(416,Engine!$C$2:$C$1199,0)))</f>
        <v/>
      </c>
      <c r="M429" s="7" t="str">
        <f>IF(ISNA(MATCH(416,Engine!$C$2:$C$1199,0)),"",INDEX('Compliance Database'!$M$2:$M$1199,MATCH(416,Engine!$C$2:$C$1199,0)))</f>
        <v/>
      </c>
      <c r="N429" s="7" t="str">
        <f>IF(ISNA(MATCH(416,Engine!$C$2:$C$1199,0)),"",INDEX('Compliance Database'!$N$2:$N$1199,MATCH(416,Engine!$C$2:$C$1199,0)))</f>
        <v/>
      </c>
      <c r="O429" s="7" t="str">
        <f>IF(ISNA(MATCH(416,Engine!$C$2:$C$1199,0)),"",INDEX('Compliance Database'!$O$2:$O$1199,MATCH(416,Engine!$C$2:$C$1199,0)))</f>
        <v/>
      </c>
      <c r="P429" s="6" t="str">
        <f>IF(ISNA(MATCH(416,Engine!$C$2:$C$1199,0)),"",HYPERLINK("#Acts!A"&amp;INDEX('Compliance Database'!$P$2:$P$1199,MATCH(416,Engine!$C$2:$C$1199,0)),"Go to Act"))</f>
        <v/>
      </c>
    </row>
    <row r="430" spans="1:16" ht="172.95" customHeight="1" x14ac:dyDescent="0.3">
      <c r="A430" s="6" t="str">
        <f>IF(ISNA(MATCH(417,Engine!$C$2:$C$1199,0)),"",INDEX('Compliance Database'!$A$2:$A$1199,MATCH(417,Engine!$C$2:$C$1199,0)))</f>
        <v/>
      </c>
      <c r="B430" s="6" t="str">
        <f>IF(ISNA(MATCH(417,Engine!$C$2:$C$1199,0)),"",INDEX('Compliance Database'!$B$2:$B$1199,MATCH(417,Engine!$C$2:$C$1199,0)))</f>
        <v/>
      </c>
      <c r="C430" s="6" t="str">
        <f>IF(ISNA(MATCH(417,Engine!$C$2:$C$1199,0)),"",INDEX('Compliance Database'!$C$2:$C$1199,MATCH(417,Engine!$C$2:$C$1199,0)))</f>
        <v/>
      </c>
      <c r="D430" s="7" t="str">
        <f>IF(ISNA(MATCH(417,Engine!$C$2:$C$1199,0)),"",INDEX('Compliance Database'!$D$2:$D$1199,MATCH(417,Engine!$C$2:$C$1199,0)))</f>
        <v/>
      </c>
      <c r="E430" s="6" t="str">
        <f>IF(ISNA(MATCH(417,Engine!$C$2:$C$1199,0)),"",INDEX('Compliance Database'!$E$2:$E$1199,MATCH(417,Engine!$C$2:$C$1199,0)))</f>
        <v/>
      </c>
      <c r="F430" s="6" t="str">
        <f>IF(ISNA(MATCH(417,Engine!$C$2:$C$1199,0)),"",INDEX('Compliance Database'!$F$2:$F$1199,MATCH(417,Engine!$C$2:$C$1199,0)))</f>
        <v/>
      </c>
      <c r="G430" s="6" t="str">
        <f>IF(ISNA(MATCH(417,Engine!$C$2:$C$1199,0)),"",INDEX('Compliance Database'!$G$2:$G$1199,MATCH(417,Engine!$C$2:$C$1199,0)))</f>
        <v/>
      </c>
      <c r="H430" s="7" t="str">
        <f>IF(ISNA(MATCH(417,Engine!$C$2:$C$1199,0)),"",INDEX('Compliance Database'!$H$2:$H$1199,MATCH(417,Engine!$C$2:$C$1199,0)))</f>
        <v/>
      </c>
      <c r="I430" s="7" t="str">
        <f>IF(ISNA(MATCH(417,Engine!$C$2:$C$1199,0)),"",INDEX('Compliance Database'!$I$2:$I$1199,MATCH(417,Engine!$C$2:$C$1199,0)))</f>
        <v/>
      </c>
      <c r="J430" s="6" t="str">
        <f>IF(ISNA(MATCH(417,Engine!$C$2:$C$1199,0)),"",INDEX('Compliance Database'!$J$2:$J$1199,MATCH(417,Engine!$C$2:$C$1199,0)))</f>
        <v/>
      </c>
      <c r="K430" s="7" t="str">
        <f>IF(ISNA(MATCH(417,Engine!$C$2:$C$1199,0)),"",INDEX('Compliance Database'!$K$2:$K$1199,MATCH(417,Engine!$C$2:$C$1199,0)))</f>
        <v/>
      </c>
      <c r="L430" s="7" t="str">
        <f>IF(ISNA(MATCH(417,Engine!$C$2:$C$1199,0)),"",INDEX('Compliance Database'!$L$2:$L$1199,MATCH(417,Engine!$C$2:$C$1199,0)))</f>
        <v/>
      </c>
      <c r="M430" s="7" t="str">
        <f>IF(ISNA(MATCH(417,Engine!$C$2:$C$1199,0)),"",INDEX('Compliance Database'!$M$2:$M$1199,MATCH(417,Engine!$C$2:$C$1199,0)))</f>
        <v/>
      </c>
      <c r="N430" s="7" t="str">
        <f>IF(ISNA(MATCH(417,Engine!$C$2:$C$1199,0)),"",INDEX('Compliance Database'!$N$2:$N$1199,MATCH(417,Engine!$C$2:$C$1199,0)))</f>
        <v/>
      </c>
      <c r="O430" s="7" t="str">
        <f>IF(ISNA(MATCH(417,Engine!$C$2:$C$1199,0)),"",INDEX('Compliance Database'!$O$2:$O$1199,MATCH(417,Engine!$C$2:$C$1199,0)))</f>
        <v/>
      </c>
      <c r="P430" s="6" t="str">
        <f>IF(ISNA(MATCH(417,Engine!$C$2:$C$1199,0)),"",HYPERLINK("#Acts!A"&amp;INDEX('Compliance Database'!$P$2:$P$1199,MATCH(417,Engine!$C$2:$C$1199,0)),"Go to Act"))</f>
        <v/>
      </c>
    </row>
    <row r="431" spans="1:16" ht="172.95" customHeight="1" x14ac:dyDescent="0.3">
      <c r="A431" s="6" t="str">
        <f>IF(ISNA(MATCH(418,Engine!$C$2:$C$1199,0)),"",INDEX('Compliance Database'!$A$2:$A$1199,MATCH(418,Engine!$C$2:$C$1199,0)))</f>
        <v/>
      </c>
      <c r="B431" s="6" t="str">
        <f>IF(ISNA(MATCH(418,Engine!$C$2:$C$1199,0)),"",INDEX('Compliance Database'!$B$2:$B$1199,MATCH(418,Engine!$C$2:$C$1199,0)))</f>
        <v/>
      </c>
      <c r="C431" s="6" t="str">
        <f>IF(ISNA(MATCH(418,Engine!$C$2:$C$1199,0)),"",INDEX('Compliance Database'!$C$2:$C$1199,MATCH(418,Engine!$C$2:$C$1199,0)))</f>
        <v/>
      </c>
      <c r="D431" s="7" t="str">
        <f>IF(ISNA(MATCH(418,Engine!$C$2:$C$1199,0)),"",INDEX('Compliance Database'!$D$2:$D$1199,MATCH(418,Engine!$C$2:$C$1199,0)))</f>
        <v/>
      </c>
      <c r="E431" s="6" t="str">
        <f>IF(ISNA(MATCH(418,Engine!$C$2:$C$1199,0)),"",INDEX('Compliance Database'!$E$2:$E$1199,MATCH(418,Engine!$C$2:$C$1199,0)))</f>
        <v/>
      </c>
      <c r="F431" s="6" t="str">
        <f>IF(ISNA(MATCH(418,Engine!$C$2:$C$1199,0)),"",INDEX('Compliance Database'!$F$2:$F$1199,MATCH(418,Engine!$C$2:$C$1199,0)))</f>
        <v/>
      </c>
      <c r="G431" s="6" t="str">
        <f>IF(ISNA(MATCH(418,Engine!$C$2:$C$1199,0)),"",INDEX('Compliance Database'!$G$2:$G$1199,MATCH(418,Engine!$C$2:$C$1199,0)))</f>
        <v/>
      </c>
      <c r="H431" s="7" t="str">
        <f>IF(ISNA(MATCH(418,Engine!$C$2:$C$1199,0)),"",INDEX('Compliance Database'!$H$2:$H$1199,MATCH(418,Engine!$C$2:$C$1199,0)))</f>
        <v/>
      </c>
      <c r="I431" s="7" t="str">
        <f>IF(ISNA(MATCH(418,Engine!$C$2:$C$1199,0)),"",INDEX('Compliance Database'!$I$2:$I$1199,MATCH(418,Engine!$C$2:$C$1199,0)))</f>
        <v/>
      </c>
      <c r="J431" s="6" t="str">
        <f>IF(ISNA(MATCH(418,Engine!$C$2:$C$1199,0)),"",INDEX('Compliance Database'!$J$2:$J$1199,MATCH(418,Engine!$C$2:$C$1199,0)))</f>
        <v/>
      </c>
      <c r="K431" s="7" t="str">
        <f>IF(ISNA(MATCH(418,Engine!$C$2:$C$1199,0)),"",INDEX('Compliance Database'!$K$2:$K$1199,MATCH(418,Engine!$C$2:$C$1199,0)))</f>
        <v/>
      </c>
      <c r="L431" s="7" t="str">
        <f>IF(ISNA(MATCH(418,Engine!$C$2:$C$1199,0)),"",INDEX('Compliance Database'!$L$2:$L$1199,MATCH(418,Engine!$C$2:$C$1199,0)))</f>
        <v/>
      </c>
      <c r="M431" s="7" t="str">
        <f>IF(ISNA(MATCH(418,Engine!$C$2:$C$1199,0)),"",INDEX('Compliance Database'!$M$2:$M$1199,MATCH(418,Engine!$C$2:$C$1199,0)))</f>
        <v/>
      </c>
      <c r="N431" s="7" t="str">
        <f>IF(ISNA(MATCH(418,Engine!$C$2:$C$1199,0)),"",INDEX('Compliance Database'!$N$2:$N$1199,MATCH(418,Engine!$C$2:$C$1199,0)))</f>
        <v/>
      </c>
      <c r="O431" s="7" t="str">
        <f>IF(ISNA(MATCH(418,Engine!$C$2:$C$1199,0)),"",INDEX('Compliance Database'!$O$2:$O$1199,MATCH(418,Engine!$C$2:$C$1199,0)))</f>
        <v/>
      </c>
      <c r="P431" s="6" t="str">
        <f>IF(ISNA(MATCH(418,Engine!$C$2:$C$1199,0)),"",HYPERLINK("#Acts!A"&amp;INDEX('Compliance Database'!$P$2:$P$1199,MATCH(418,Engine!$C$2:$C$1199,0)),"Go to Act"))</f>
        <v/>
      </c>
    </row>
    <row r="432" spans="1:16" ht="172.95" customHeight="1" x14ac:dyDescent="0.3">
      <c r="A432" s="6" t="str">
        <f>IF(ISNA(MATCH(419,Engine!$C$2:$C$1199,0)),"",INDEX('Compliance Database'!$A$2:$A$1199,MATCH(419,Engine!$C$2:$C$1199,0)))</f>
        <v/>
      </c>
      <c r="B432" s="6" t="str">
        <f>IF(ISNA(MATCH(419,Engine!$C$2:$C$1199,0)),"",INDEX('Compliance Database'!$B$2:$B$1199,MATCH(419,Engine!$C$2:$C$1199,0)))</f>
        <v/>
      </c>
      <c r="C432" s="6" t="str">
        <f>IF(ISNA(MATCH(419,Engine!$C$2:$C$1199,0)),"",INDEX('Compliance Database'!$C$2:$C$1199,MATCH(419,Engine!$C$2:$C$1199,0)))</f>
        <v/>
      </c>
      <c r="D432" s="7" t="str">
        <f>IF(ISNA(MATCH(419,Engine!$C$2:$C$1199,0)),"",INDEX('Compliance Database'!$D$2:$D$1199,MATCH(419,Engine!$C$2:$C$1199,0)))</f>
        <v/>
      </c>
      <c r="E432" s="6" t="str">
        <f>IF(ISNA(MATCH(419,Engine!$C$2:$C$1199,0)),"",INDEX('Compliance Database'!$E$2:$E$1199,MATCH(419,Engine!$C$2:$C$1199,0)))</f>
        <v/>
      </c>
      <c r="F432" s="6" t="str">
        <f>IF(ISNA(MATCH(419,Engine!$C$2:$C$1199,0)),"",INDEX('Compliance Database'!$F$2:$F$1199,MATCH(419,Engine!$C$2:$C$1199,0)))</f>
        <v/>
      </c>
      <c r="G432" s="6" t="str">
        <f>IF(ISNA(MATCH(419,Engine!$C$2:$C$1199,0)),"",INDEX('Compliance Database'!$G$2:$G$1199,MATCH(419,Engine!$C$2:$C$1199,0)))</f>
        <v/>
      </c>
      <c r="H432" s="7" t="str">
        <f>IF(ISNA(MATCH(419,Engine!$C$2:$C$1199,0)),"",INDEX('Compliance Database'!$H$2:$H$1199,MATCH(419,Engine!$C$2:$C$1199,0)))</f>
        <v/>
      </c>
      <c r="I432" s="7" t="str">
        <f>IF(ISNA(MATCH(419,Engine!$C$2:$C$1199,0)),"",INDEX('Compliance Database'!$I$2:$I$1199,MATCH(419,Engine!$C$2:$C$1199,0)))</f>
        <v/>
      </c>
      <c r="J432" s="6" t="str">
        <f>IF(ISNA(MATCH(419,Engine!$C$2:$C$1199,0)),"",INDEX('Compliance Database'!$J$2:$J$1199,MATCH(419,Engine!$C$2:$C$1199,0)))</f>
        <v/>
      </c>
      <c r="K432" s="7" t="str">
        <f>IF(ISNA(MATCH(419,Engine!$C$2:$C$1199,0)),"",INDEX('Compliance Database'!$K$2:$K$1199,MATCH(419,Engine!$C$2:$C$1199,0)))</f>
        <v/>
      </c>
      <c r="L432" s="7" t="str">
        <f>IF(ISNA(MATCH(419,Engine!$C$2:$C$1199,0)),"",INDEX('Compliance Database'!$L$2:$L$1199,MATCH(419,Engine!$C$2:$C$1199,0)))</f>
        <v/>
      </c>
      <c r="M432" s="7" t="str">
        <f>IF(ISNA(MATCH(419,Engine!$C$2:$C$1199,0)),"",INDEX('Compliance Database'!$M$2:$M$1199,MATCH(419,Engine!$C$2:$C$1199,0)))</f>
        <v/>
      </c>
      <c r="N432" s="7" t="str">
        <f>IF(ISNA(MATCH(419,Engine!$C$2:$C$1199,0)),"",INDEX('Compliance Database'!$N$2:$N$1199,MATCH(419,Engine!$C$2:$C$1199,0)))</f>
        <v/>
      </c>
      <c r="O432" s="7" t="str">
        <f>IF(ISNA(MATCH(419,Engine!$C$2:$C$1199,0)),"",INDEX('Compliance Database'!$O$2:$O$1199,MATCH(419,Engine!$C$2:$C$1199,0)))</f>
        <v/>
      </c>
      <c r="P432" s="6" t="str">
        <f>IF(ISNA(MATCH(419,Engine!$C$2:$C$1199,0)),"",HYPERLINK("#Acts!A"&amp;INDEX('Compliance Database'!$P$2:$P$1199,MATCH(419,Engine!$C$2:$C$1199,0)),"Go to Act"))</f>
        <v/>
      </c>
    </row>
    <row r="433" spans="1:16" ht="172.95" customHeight="1" x14ac:dyDescent="0.3">
      <c r="A433" s="6" t="str">
        <f>IF(ISNA(MATCH(420,Engine!$C$2:$C$1199,0)),"",INDEX('Compliance Database'!$A$2:$A$1199,MATCH(420,Engine!$C$2:$C$1199,0)))</f>
        <v/>
      </c>
      <c r="B433" s="6" t="str">
        <f>IF(ISNA(MATCH(420,Engine!$C$2:$C$1199,0)),"",INDEX('Compliance Database'!$B$2:$B$1199,MATCH(420,Engine!$C$2:$C$1199,0)))</f>
        <v/>
      </c>
      <c r="C433" s="6" t="str">
        <f>IF(ISNA(MATCH(420,Engine!$C$2:$C$1199,0)),"",INDEX('Compliance Database'!$C$2:$C$1199,MATCH(420,Engine!$C$2:$C$1199,0)))</f>
        <v/>
      </c>
      <c r="D433" s="7" t="str">
        <f>IF(ISNA(MATCH(420,Engine!$C$2:$C$1199,0)),"",INDEX('Compliance Database'!$D$2:$D$1199,MATCH(420,Engine!$C$2:$C$1199,0)))</f>
        <v/>
      </c>
      <c r="E433" s="6" t="str">
        <f>IF(ISNA(MATCH(420,Engine!$C$2:$C$1199,0)),"",INDEX('Compliance Database'!$E$2:$E$1199,MATCH(420,Engine!$C$2:$C$1199,0)))</f>
        <v/>
      </c>
      <c r="F433" s="6" t="str">
        <f>IF(ISNA(MATCH(420,Engine!$C$2:$C$1199,0)),"",INDEX('Compliance Database'!$F$2:$F$1199,MATCH(420,Engine!$C$2:$C$1199,0)))</f>
        <v/>
      </c>
      <c r="G433" s="6" t="str">
        <f>IF(ISNA(MATCH(420,Engine!$C$2:$C$1199,0)),"",INDEX('Compliance Database'!$G$2:$G$1199,MATCH(420,Engine!$C$2:$C$1199,0)))</f>
        <v/>
      </c>
      <c r="H433" s="7" t="str">
        <f>IF(ISNA(MATCH(420,Engine!$C$2:$C$1199,0)),"",INDEX('Compliance Database'!$H$2:$H$1199,MATCH(420,Engine!$C$2:$C$1199,0)))</f>
        <v/>
      </c>
      <c r="I433" s="7" t="str">
        <f>IF(ISNA(MATCH(420,Engine!$C$2:$C$1199,0)),"",INDEX('Compliance Database'!$I$2:$I$1199,MATCH(420,Engine!$C$2:$C$1199,0)))</f>
        <v/>
      </c>
      <c r="J433" s="6" t="str">
        <f>IF(ISNA(MATCH(420,Engine!$C$2:$C$1199,0)),"",INDEX('Compliance Database'!$J$2:$J$1199,MATCH(420,Engine!$C$2:$C$1199,0)))</f>
        <v/>
      </c>
      <c r="K433" s="7" t="str">
        <f>IF(ISNA(MATCH(420,Engine!$C$2:$C$1199,0)),"",INDEX('Compliance Database'!$K$2:$K$1199,MATCH(420,Engine!$C$2:$C$1199,0)))</f>
        <v/>
      </c>
      <c r="L433" s="7" t="str">
        <f>IF(ISNA(MATCH(420,Engine!$C$2:$C$1199,0)),"",INDEX('Compliance Database'!$L$2:$L$1199,MATCH(420,Engine!$C$2:$C$1199,0)))</f>
        <v/>
      </c>
      <c r="M433" s="7" t="str">
        <f>IF(ISNA(MATCH(420,Engine!$C$2:$C$1199,0)),"",INDEX('Compliance Database'!$M$2:$M$1199,MATCH(420,Engine!$C$2:$C$1199,0)))</f>
        <v/>
      </c>
      <c r="N433" s="7" t="str">
        <f>IF(ISNA(MATCH(420,Engine!$C$2:$C$1199,0)),"",INDEX('Compliance Database'!$N$2:$N$1199,MATCH(420,Engine!$C$2:$C$1199,0)))</f>
        <v/>
      </c>
      <c r="O433" s="7" t="str">
        <f>IF(ISNA(MATCH(420,Engine!$C$2:$C$1199,0)),"",INDEX('Compliance Database'!$O$2:$O$1199,MATCH(420,Engine!$C$2:$C$1199,0)))</f>
        <v/>
      </c>
      <c r="P433" s="6" t="str">
        <f>IF(ISNA(MATCH(420,Engine!$C$2:$C$1199,0)),"",HYPERLINK("#Acts!A"&amp;INDEX('Compliance Database'!$P$2:$P$1199,MATCH(420,Engine!$C$2:$C$1199,0)),"Go to Act"))</f>
        <v/>
      </c>
    </row>
    <row r="434" spans="1:16" ht="172.95" customHeight="1" x14ac:dyDescent="0.3">
      <c r="A434" s="6" t="str">
        <f>IF(ISNA(MATCH(421,Engine!$C$2:$C$1199,0)),"",INDEX('Compliance Database'!$A$2:$A$1199,MATCH(421,Engine!$C$2:$C$1199,0)))</f>
        <v/>
      </c>
      <c r="B434" s="6" t="str">
        <f>IF(ISNA(MATCH(421,Engine!$C$2:$C$1199,0)),"",INDEX('Compliance Database'!$B$2:$B$1199,MATCH(421,Engine!$C$2:$C$1199,0)))</f>
        <v/>
      </c>
      <c r="C434" s="6" t="str">
        <f>IF(ISNA(MATCH(421,Engine!$C$2:$C$1199,0)),"",INDEX('Compliance Database'!$C$2:$C$1199,MATCH(421,Engine!$C$2:$C$1199,0)))</f>
        <v/>
      </c>
      <c r="D434" s="7" t="str">
        <f>IF(ISNA(MATCH(421,Engine!$C$2:$C$1199,0)),"",INDEX('Compliance Database'!$D$2:$D$1199,MATCH(421,Engine!$C$2:$C$1199,0)))</f>
        <v/>
      </c>
      <c r="E434" s="6" t="str">
        <f>IF(ISNA(MATCH(421,Engine!$C$2:$C$1199,0)),"",INDEX('Compliance Database'!$E$2:$E$1199,MATCH(421,Engine!$C$2:$C$1199,0)))</f>
        <v/>
      </c>
      <c r="F434" s="6" t="str">
        <f>IF(ISNA(MATCH(421,Engine!$C$2:$C$1199,0)),"",INDEX('Compliance Database'!$F$2:$F$1199,MATCH(421,Engine!$C$2:$C$1199,0)))</f>
        <v/>
      </c>
      <c r="G434" s="6" t="str">
        <f>IF(ISNA(MATCH(421,Engine!$C$2:$C$1199,0)),"",INDEX('Compliance Database'!$G$2:$G$1199,MATCH(421,Engine!$C$2:$C$1199,0)))</f>
        <v/>
      </c>
      <c r="H434" s="7" t="str">
        <f>IF(ISNA(MATCH(421,Engine!$C$2:$C$1199,0)),"",INDEX('Compliance Database'!$H$2:$H$1199,MATCH(421,Engine!$C$2:$C$1199,0)))</f>
        <v/>
      </c>
      <c r="I434" s="7" t="str">
        <f>IF(ISNA(MATCH(421,Engine!$C$2:$C$1199,0)),"",INDEX('Compliance Database'!$I$2:$I$1199,MATCH(421,Engine!$C$2:$C$1199,0)))</f>
        <v/>
      </c>
      <c r="J434" s="6" t="str">
        <f>IF(ISNA(MATCH(421,Engine!$C$2:$C$1199,0)),"",INDEX('Compliance Database'!$J$2:$J$1199,MATCH(421,Engine!$C$2:$C$1199,0)))</f>
        <v/>
      </c>
      <c r="K434" s="7" t="str">
        <f>IF(ISNA(MATCH(421,Engine!$C$2:$C$1199,0)),"",INDEX('Compliance Database'!$K$2:$K$1199,MATCH(421,Engine!$C$2:$C$1199,0)))</f>
        <v/>
      </c>
      <c r="L434" s="7" t="str">
        <f>IF(ISNA(MATCH(421,Engine!$C$2:$C$1199,0)),"",INDEX('Compliance Database'!$L$2:$L$1199,MATCH(421,Engine!$C$2:$C$1199,0)))</f>
        <v/>
      </c>
      <c r="M434" s="7" t="str">
        <f>IF(ISNA(MATCH(421,Engine!$C$2:$C$1199,0)),"",INDEX('Compliance Database'!$M$2:$M$1199,MATCH(421,Engine!$C$2:$C$1199,0)))</f>
        <v/>
      </c>
      <c r="N434" s="7" t="str">
        <f>IF(ISNA(MATCH(421,Engine!$C$2:$C$1199,0)),"",INDEX('Compliance Database'!$N$2:$N$1199,MATCH(421,Engine!$C$2:$C$1199,0)))</f>
        <v/>
      </c>
      <c r="O434" s="7" t="str">
        <f>IF(ISNA(MATCH(421,Engine!$C$2:$C$1199,0)),"",INDEX('Compliance Database'!$O$2:$O$1199,MATCH(421,Engine!$C$2:$C$1199,0)))</f>
        <v/>
      </c>
      <c r="P434" s="6" t="str">
        <f>IF(ISNA(MATCH(421,Engine!$C$2:$C$1199,0)),"",HYPERLINK("#Acts!A"&amp;INDEX('Compliance Database'!$P$2:$P$1199,MATCH(421,Engine!$C$2:$C$1199,0)),"Go to Act"))</f>
        <v/>
      </c>
    </row>
    <row r="435" spans="1:16" ht="172.95" customHeight="1" x14ac:dyDescent="0.3">
      <c r="A435" s="6" t="str">
        <f>IF(ISNA(MATCH(422,Engine!$C$2:$C$1199,0)),"",INDEX('Compliance Database'!$A$2:$A$1199,MATCH(422,Engine!$C$2:$C$1199,0)))</f>
        <v/>
      </c>
      <c r="B435" s="6" t="str">
        <f>IF(ISNA(MATCH(422,Engine!$C$2:$C$1199,0)),"",INDEX('Compliance Database'!$B$2:$B$1199,MATCH(422,Engine!$C$2:$C$1199,0)))</f>
        <v/>
      </c>
      <c r="C435" s="6" t="str">
        <f>IF(ISNA(MATCH(422,Engine!$C$2:$C$1199,0)),"",INDEX('Compliance Database'!$C$2:$C$1199,MATCH(422,Engine!$C$2:$C$1199,0)))</f>
        <v/>
      </c>
      <c r="D435" s="7" t="str">
        <f>IF(ISNA(MATCH(422,Engine!$C$2:$C$1199,0)),"",INDEX('Compliance Database'!$D$2:$D$1199,MATCH(422,Engine!$C$2:$C$1199,0)))</f>
        <v/>
      </c>
      <c r="E435" s="6" t="str">
        <f>IF(ISNA(MATCH(422,Engine!$C$2:$C$1199,0)),"",INDEX('Compliance Database'!$E$2:$E$1199,MATCH(422,Engine!$C$2:$C$1199,0)))</f>
        <v/>
      </c>
      <c r="F435" s="6" t="str">
        <f>IF(ISNA(MATCH(422,Engine!$C$2:$C$1199,0)),"",INDEX('Compliance Database'!$F$2:$F$1199,MATCH(422,Engine!$C$2:$C$1199,0)))</f>
        <v/>
      </c>
      <c r="G435" s="6" t="str">
        <f>IF(ISNA(MATCH(422,Engine!$C$2:$C$1199,0)),"",INDEX('Compliance Database'!$G$2:$G$1199,MATCH(422,Engine!$C$2:$C$1199,0)))</f>
        <v/>
      </c>
      <c r="H435" s="7" t="str">
        <f>IF(ISNA(MATCH(422,Engine!$C$2:$C$1199,0)),"",INDEX('Compliance Database'!$H$2:$H$1199,MATCH(422,Engine!$C$2:$C$1199,0)))</f>
        <v/>
      </c>
      <c r="I435" s="7" t="str">
        <f>IF(ISNA(MATCH(422,Engine!$C$2:$C$1199,0)),"",INDEX('Compliance Database'!$I$2:$I$1199,MATCH(422,Engine!$C$2:$C$1199,0)))</f>
        <v/>
      </c>
      <c r="J435" s="6" t="str">
        <f>IF(ISNA(MATCH(422,Engine!$C$2:$C$1199,0)),"",INDEX('Compliance Database'!$J$2:$J$1199,MATCH(422,Engine!$C$2:$C$1199,0)))</f>
        <v/>
      </c>
      <c r="K435" s="7" t="str">
        <f>IF(ISNA(MATCH(422,Engine!$C$2:$C$1199,0)),"",INDEX('Compliance Database'!$K$2:$K$1199,MATCH(422,Engine!$C$2:$C$1199,0)))</f>
        <v/>
      </c>
      <c r="L435" s="7" t="str">
        <f>IF(ISNA(MATCH(422,Engine!$C$2:$C$1199,0)),"",INDEX('Compliance Database'!$L$2:$L$1199,MATCH(422,Engine!$C$2:$C$1199,0)))</f>
        <v/>
      </c>
      <c r="M435" s="7" t="str">
        <f>IF(ISNA(MATCH(422,Engine!$C$2:$C$1199,0)),"",INDEX('Compliance Database'!$M$2:$M$1199,MATCH(422,Engine!$C$2:$C$1199,0)))</f>
        <v/>
      </c>
      <c r="N435" s="7" t="str">
        <f>IF(ISNA(MATCH(422,Engine!$C$2:$C$1199,0)),"",INDEX('Compliance Database'!$N$2:$N$1199,MATCH(422,Engine!$C$2:$C$1199,0)))</f>
        <v/>
      </c>
      <c r="O435" s="7" t="str">
        <f>IF(ISNA(MATCH(422,Engine!$C$2:$C$1199,0)),"",INDEX('Compliance Database'!$O$2:$O$1199,MATCH(422,Engine!$C$2:$C$1199,0)))</f>
        <v/>
      </c>
      <c r="P435" s="6" t="str">
        <f>IF(ISNA(MATCH(422,Engine!$C$2:$C$1199,0)),"",HYPERLINK("#Acts!A"&amp;INDEX('Compliance Database'!$P$2:$P$1199,MATCH(422,Engine!$C$2:$C$1199,0)),"Go to Act"))</f>
        <v/>
      </c>
    </row>
    <row r="436" spans="1:16" ht="172.95" customHeight="1" x14ac:dyDescent="0.3">
      <c r="A436" s="6" t="str">
        <f>IF(ISNA(MATCH(423,Engine!$C$2:$C$1199,0)),"",INDEX('Compliance Database'!$A$2:$A$1199,MATCH(423,Engine!$C$2:$C$1199,0)))</f>
        <v/>
      </c>
      <c r="B436" s="6" t="str">
        <f>IF(ISNA(MATCH(423,Engine!$C$2:$C$1199,0)),"",INDEX('Compliance Database'!$B$2:$B$1199,MATCH(423,Engine!$C$2:$C$1199,0)))</f>
        <v/>
      </c>
      <c r="C436" s="6" t="str">
        <f>IF(ISNA(MATCH(423,Engine!$C$2:$C$1199,0)),"",INDEX('Compliance Database'!$C$2:$C$1199,MATCH(423,Engine!$C$2:$C$1199,0)))</f>
        <v/>
      </c>
      <c r="D436" s="7" t="str">
        <f>IF(ISNA(MATCH(423,Engine!$C$2:$C$1199,0)),"",INDEX('Compliance Database'!$D$2:$D$1199,MATCH(423,Engine!$C$2:$C$1199,0)))</f>
        <v/>
      </c>
      <c r="E436" s="6" t="str">
        <f>IF(ISNA(MATCH(423,Engine!$C$2:$C$1199,0)),"",INDEX('Compliance Database'!$E$2:$E$1199,MATCH(423,Engine!$C$2:$C$1199,0)))</f>
        <v/>
      </c>
      <c r="F436" s="6" t="str">
        <f>IF(ISNA(MATCH(423,Engine!$C$2:$C$1199,0)),"",INDEX('Compliance Database'!$F$2:$F$1199,MATCH(423,Engine!$C$2:$C$1199,0)))</f>
        <v/>
      </c>
      <c r="G436" s="6" t="str">
        <f>IF(ISNA(MATCH(423,Engine!$C$2:$C$1199,0)),"",INDEX('Compliance Database'!$G$2:$G$1199,MATCH(423,Engine!$C$2:$C$1199,0)))</f>
        <v/>
      </c>
      <c r="H436" s="7" t="str">
        <f>IF(ISNA(MATCH(423,Engine!$C$2:$C$1199,0)),"",INDEX('Compliance Database'!$H$2:$H$1199,MATCH(423,Engine!$C$2:$C$1199,0)))</f>
        <v/>
      </c>
      <c r="I436" s="7" t="str">
        <f>IF(ISNA(MATCH(423,Engine!$C$2:$C$1199,0)),"",INDEX('Compliance Database'!$I$2:$I$1199,MATCH(423,Engine!$C$2:$C$1199,0)))</f>
        <v/>
      </c>
      <c r="J436" s="6" t="str">
        <f>IF(ISNA(MATCH(423,Engine!$C$2:$C$1199,0)),"",INDEX('Compliance Database'!$J$2:$J$1199,MATCH(423,Engine!$C$2:$C$1199,0)))</f>
        <v/>
      </c>
      <c r="K436" s="7" t="str">
        <f>IF(ISNA(MATCH(423,Engine!$C$2:$C$1199,0)),"",INDEX('Compliance Database'!$K$2:$K$1199,MATCH(423,Engine!$C$2:$C$1199,0)))</f>
        <v/>
      </c>
      <c r="L436" s="7" t="str">
        <f>IF(ISNA(MATCH(423,Engine!$C$2:$C$1199,0)),"",INDEX('Compliance Database'!$L$2:$L$1199,MATCH(423,Engine!$C$2:$C$1199,0)))</f>
        <v/>
      </c>
      <c r="M436" s="7" t="str">
        <f>IF(ISNA(MATCH(423,Engine!$C$2:$C$1199,0)),"",INDEX('Compliance Database'!$M$2:$M$1199,MATCH(423,Engine!$C$2:$C$1199,0)))</f>
        <v/>
      </c>
      <c r="N436" s="7" t="str">
        <f>IF(ISNA(MATCH(423,Engine!$C$2:$C$1199,0)),"",INDEX('Compliance Database'!$N$2:$N$1199,MATCH(423,Engine!$C$2:$C$1199,0)))</f>
        <v/>
      </c>
      <c r="O436" s="7" t="str">
        <f>IF(ISNA(MATCH(423,Engine!$C$2:$C$1199,0)),"",INDEX('Compliance Database'!$O$2:$O$1199,MATCH(423,Engine!$C$2:$C$1199,0)))</f>
        <v/>
      </c>
      <c r="P436" s="6" t="str">
        <f>IF(ISNA(MATCH(423,Engine!$C$2:$C$1199,0)),"",HYPERLINK("#Acts!A"&amp;INDEX('Compliance Database'!$P$2:$P$1199,MATCH(423,Engine!$C$2:$C$1199,0)),"Go to Act"))</f>
        <v/>
      </c>
    </row>
    <row r="437" spans="1:16" ht="172.95" customHeight="1" x14ac:dyDescent="0.3">
      <c r="A437" s="6" t="str">
        <f>IF(ISNA(MATCH(424,Engine!$C$2:$C$1199,0)),"",INDEX('Compliance Database'!$A$2:$A$1199,MATCH(424,Engine!$C$2:$C$1199,0)))</f>
        <v/>
      </c>
      <c r="B437" s="6" t="str">
        <f>IF(ISNA(MATCH(424,Engine!$C$2:$C$1199,0)),"",INDEX('Compliance Database'!$B$2:$B$1199,MATCH(424,Engine!$C$2:$C$1199,0)))</f>
        <v/>
      </c>
      <c r="C437" s="6" t="str">
        <f>IF(ISNA(MATCH(424,Engine!$C$2:$C$1199,0)),"",INDEX('Compliance Database'!$C$2:$C$1199,MATCH(424,Engine!$C$2:$C$1199,0)))</f>
        <v/>
      </c>
      <c r="D437" s="7" t="str">
        <f>IF(ISNA(MATCH(424,Engine!$C$2:$C$1199,0)),"",INDEX('Compliance Database'!$D$2:$D$1199,MATCH(424,Engine!$C$2:$C$1199,0)))</f>
        <v/>
      </c>
      <c r="E437" s="6" t="str">
        <f>IF(ISNA(MATCH(424,Engine!$C$2:$C$1199,0)),"",INDEX('Compliance Database'!$E$2:$E$1199,MATCH(424,Engine!$C$2:$C$1199,0)))</f>
        <v/>
      </c>
      <c r="F437" s="6" t="str">
        <f>IF(ISNA(MATCH(424,Engine!$C$2:$C$1199,0)),"",INDEX('Compliance Database'!$F$2:$F$1199,MATCH(424,Engine!$C$2:$C$1199,0)))</f>
        <v/>
      </c>
      <c r="G437" s="6" t="str">
        <f>IF(ISNA(MATCH(424,Engine!$C$2:$C$1199,0)),"",INDEX('Compliance Database'!$G$2:$G$1199,MATCH(424,Engine!$C$2:$C$1199,0)))</f>
        <v/>
      </c>
      <c r="H437" s="7" t="str">
        <f>IF(ISNA(MATCH(424,Engine!$C$2:$C$1199,0)),"",INDEX('Compliance Database'!$H$2:$H$1199,MATCH(424,Engine!$C$2:$C$1199,0)))</f>
        <v/>
      </c>
      <c r="I437" s="7" t="str">
        <f>IF(ISNA(MATCH(424,Engine!$C$2:$C$1199,0)),"",INDEX('Compliance Database'!$I$2:$I$1199,MATCH(424,Engine!$C$2:$C$1199,0)))</f>
        <v/>
      </c>
      <c r="J437" s="6" t="str">
        <f>IF(ISNA(MATCH(424,Engine!$C$2:$C$1199,0)),"",INDEX('Compliance Database'!$J$2:$J$1199,MATCH(424,Engine!$C$2:$C$1199,0)))</f>
        <v/>
      </c>
      <c r="K437" s="7" t="str">
        <f>IF(ISNA(MATCH(424,Engine!$C$2:$C$1199,0)),"",INDEX('Compliance Database'!$K$2:$K$1199,MATCH(424,Engine!$C$2:$C$1199,0)))</f>
        <v/>
      </c>
      <c r="L437" s="7" t="str">
        <f>IF(ISNA(MATCH(424,Engine!$C$2:$C$1199,0)),"",INDEX('Compliance Database'!$L$2:$L$1199,MATCH(424,Engine!$C$2:$C$1199,0)))</f>
        <v/>
      </c>
      <c r="M437" s="7" t="str">
        <f>IF(ISNA(MATCH(424,Engine!$C$2:$C$1199,0)),"",INDEX('Compliance Database'!$M$2:$M$1199,MATCH(424,Engine!$C$2:$C$1199,0)))</f>
        <v/>
      </c>
      <c r="N437" s="7" t="str">
        <f>IF(ISNA(MATCH(424,Engine!$C$2:$C$1199,0)),"",INDEX('Compliance Database'!$N$2:$N$1199,MATCH(424,Engine!$C$2:$C$1199,0)))</f>
        <v/>
      </c>
      <c r="O437" s="7" t="str">
        <f>IF(ISNA(MATCH(424,Engine!$C$2:$C$1199,0)),"",INDEX('Compliance Database'!$O$2:$O$1199,MATCH(424,Engine!$C$2:$C$1199,0)))</f>
        <v/>
      </c>
      <c r="P437" s="6" t="str">
        <f>IF(ISNA(MATCH(424,Engine!$C$2:$C$1199,0)),"",HYPERLINK("#Acts!A"&amp;INDEX('Compliance Database'!$P$2:$P$1199,MATCH(424,Engine!$C$2:$C$1199,0)),"Go to Act"))</f>
        <v/>
      </c>
    </row>
    <row r="438" spans="1:16" ht="172.95" customHeight="1" x14ac:dyDescent="0.3">
      <c r="A438" s="6" t="str">
        <f>IF(ISNA(MATCH(425,Engine!$C$2:$C$1199,0)),"",INDEX('Compliance Database'!$A$2:$A$1199,MATCH(425,Engine!$C$2:$C$1199,0)))</f>
        <v/>
      </c>
      <c r="B438" s="6" t="str">
        <f>IF(ISNA(MATCH(425,Engine!$C$2:$C$1199,0)),"",INDEX('Compliance Database'!$B$2:$B$1199,MATCH(425,Engine!$C$2:$C$1199,0)))</f>
        <v/>
      </c>
      <c r="C438" s="6" t="str">
        <f>IF(ISNA(MATCH(425,Engine!$C$2:$C$1199,0)),"",INDEX('Compliance Database'!$C$2:$C$1199,MATCH(425,Engine!$C$2:$C$1199,0)))</f>
        <v/>
      </c>
      <c r="D438" s="7" t="str">
        <f>IF(ISNA(MATCH(425,Engine!$C$2:$C$1199,0)),"",INDEX('Compliance Database'!$D$2:$D$1199,MATCH(425,Engine!$C$2:$C$1199,0)))</f>
        <v/>
      </c>
      <c r="E438" s="6" t="str">
        <f>IF(ISNA(MATCH(425,Engine!$C$2:$C$1199,0)),"",INDEX('Compliance Database'!$E$2:$E$1199,MATCH(425,Engine!$C$2:$C$1199,0)))</f>
        <v/>
      </c>
      <c r="F438" s="6" t="str">
        <f>IF(ISNA(MATCH(425,Engine!$C$2:$C$1199,0)),"",INDEX('Compliance Database'!$F$2:$F$1199,MATCH(425,Engine!$C$2:$C$1199,0)))</f>
        <v/>
      </c>
      <c r="G438" s="6" t="str">
        <f>IF(ISNA(MATCH(425,Engine!$C$2:$C$1199,0)),"",INDEX('Compliance Database'!$G$2:$G$1199,MATCH(425,Engine!$C$2:$C$1199,0)))</f>
        <v/>
      </c>
      <c r="H438" s="7" t="str">
        <f>IF(ISNA(MATCH(425,Engine!$C$2:$C$1199,0)),"",INDEX('Compliance Database'!$H$2:$H$1199,MATCH(425,Engine!$C$2:$C$1199,0)))</f>
        <v/>
      </c>
      <c r="I438" s="7" t="str">
        <f>IF(ISNA(MATCH(425,Engine!$C$2:$C$1199,0)),"",INDEX('Compliance Database'!$I$2:$I$1199,MATCH(425,Engine!$C$2:$C$1199,0)))</f>
        <v/>
      </c>
      <c r="J438" s="6" t="str">
        <f>IF(ISNA(MATCH(425,Engine!$C$2:$C$1199,0)),"",INDEX('Compliance Database'!$J$2:$J$1199,MATCH(425,Engine!$C$2:$C$1199,0)))</f>
        <v/>
      </c>
      <c r="K438" s="7" t="str">
        <f>IF(ISNA(MATCH(425,Engine!$C$2:$C$1199,0)),"",INDEX('Compliance Database'!$K$2:$K$1199,MATCH(425,Engine!$C$2:$C$1199,0)))</f>
        <v/>
      </c>
      <c r="L438" s="7" t="str">
        <f>IF(ISNA(MATCH(425,Engine!$C$2:$C$1199,0)),"",INDEX('Compliance Database'!$L$2:$L$1199,MATCH(425,Engine!$C$2:$C$1199,0)))</f>
        <v/>
      </c>
      <c r="M438" s="7" t="str">
        <f>IF(ISNA(MATCH(425,Engine!$C$2:$C$1199,0)),"",INDEX('Compliance Database'!$M$2:$M$1199,MATCH(425,Engine!$C$2:$C$1199,0)))</f>
        <v/>
      </c>
      <c r="N438" s="7" t="str">
        <f>IF(ISNA(MATCH(425,Engine!$C$2:$C$1199,0)),"",INDEX('Compliance Database'!$N$2:$N$1199,MATCH(425,Engine!$C$2:$C$1199,0)))</f>
        <v/>
      </c>
      <c r="O438" s="7" t="str">
        <f>IF(ISNA(MATCH(425,Engine!$C$2:$C$1199,0)),"",INDEX('Compliance Database'!$O$2:$O$1199,MATCH(425,Engine!$C$2:$C$1199,0)))</f>
        <v/>
      </c>
      <c r="P438" s="6" t="str">
        <f>IF(ISNA(MATCH(425,Engine!$C$2:$C$1199,0)),"",HYPERLINK("#Acts!A"&amp;INDEX('Compliance Database'!$P$2:$P$1199,MATCH(425,Engine!$C$2:$C$1199,0)),"Go to Act"))</f>
        <v/>
      </c>
    </row>
    <row r="439" spans="1:16" ht="172.95" customHeight="1" x14ac:dyDescent="0.3">
      <c r="A439" s="6" t="str">
        <f>IF(ISNA(MATCH(426,Engine!$C$2:$C$1199,0)),"",INDEX('Compliance Database'!$A$2:$A$1199,MATCH(426,Engine!$C$2:$C$1199,0)))</f>
        <v/>
      </c>
      <c r="B439" s="6" t="str">
        <f>IF(ISNA(MATCH(426,Engine!$C$2:$C$1199,0)),"",INDEX('Compliance Database'!$B$2:$B$1199,MATCH(426,Engine!$C$2:$C$1199,0)))</f>
        <v/>
      </c>
      <c r="C439" s="6" t="str">
        <f>IF(ISNA(MATCH(426,Engine!$C$2:$C$1199,0)),"",INDEX('Compliance Database'!$C$2:$C$1199,MATCH(426,Engine!$C$2:$C$1199,0)))</f>
        <v/>
      </c>
      <c r="D439" s="7" t="str">
        <f>IF(ISNA(MATCH(426,Engine!$C$2:$C$1199,0)),"",INDEX('Compliance Database'!$D$2:$D$1199,MATCH(426,Engine!$C$2:$C$1199,0)))</f>
        <v/>
      </c>
      <c r="E439" s="6" t="str">
        <f>IF(ISNA(MATCH(426,Engine!$C$2:$C$1199,0)),"",INDEX('Compliance Database'!$E$2:$E$1199,MATCH(426,Engine!$C$2:$C$1199,0)))</f>
        <v/>
      </c>
      <c r="F439" s="6" t="str">
        <f>IF(ISNA(MATCH(426,Engine!$C$2:$C$1199,0)),"",INDEX('Compliance Database'!$F$2:$F$1199,MATCH(426,Engine!$C$2:$C$1199,0)))</f>
        <v/>
      </c>
      <c r="G439" s="6" t="str">
        <f>IF(ISNA(MATCH(426,Engine!$C$2:$C$1199,0)),"",INDEX('Compliance Database'!$G$2:$G$1199,MATCH(426,Engine!$C$2:$C$1199,0)))</f>
        <v/>
      </c>
      <c r="H439" s="7" t="str">
        <f>IF(ISNA(MATCH(426,Engine!$C$2:$C$1199,0)),"",INDEX('Compliance Database'!$H$2:$H$1199,MATCH(426,Engine!$C$2:$C$1199,0)))</f>
        <v/>
      </c>
      <c r="I439" s="7" t="str">
        <f>IF(ISNA(MATCH(426,Engine!$C$2:$C$1199,0)),"",INDEX('Compliance Database'!$I$2:$I$1199,MATCH(426,Engine!$C$2:$C$1199,0)))</f>
        <v/>
      </c>
      <c r="J439" s="6" t="str">
        <f>IF(ISNA(MATCH(426,Engine!$C$2:$C$1199,0)),"",INDEX('Compliance Database'!$J$2:$J$1199,MATCH(426,Engine!$C$2:$C$1199,0)))</f>
        <v/>
      </c>
      <c r="K439" s="7" t="str">
        <f>IF(ISNA(MATCH(426,Engine!$C$2:$C$1199,0)),"",INDEX('Compliance Database'!$K$2:$K$1199,MATCH(426,Engine!$C$2:$C$1199,0)))</f>
        <v/>
      </c>
      <c r="L439" s="7" t="str">
        <f>IF(ISNA(MATCH(426,Engine!$C$2:$C$1199,0)),"",INDEX('Compliance Database'!$L$2:$L$1199,MATCH(426,Engine!$C$2:$C$1199,0)))</f>
        <v/>
      </c>
      <c r="M439" s="7" t="str">
        <f>IF(ISNA(MATCH(426,Engine!$C$2:$C$1199,0)),"",INDEX('Compliance Database'!$M$2:$M$1199,MATCH(426,Engine!$C$2:$C$1199,0)))</f>
        <v/>
      </c>
      <c r="N439" s="7" t="str">
        <f>IF(ISNA(MATCH(426,Engine!$C$2:$C$1199,0)),"",INDEX('Compliance Database'!$N$2:$N$1199,MATCH(426,Engine!$C$2:$C$1199,0)))</f>
        <v/>
      </c>
      <c r="O439" s="7" t="str">
        <f>IF(ISNA(MATCH(426,Engine!$C$2:$C$1199,0)),"",INDEX('Compliance Database'!$O$2:$O$1199,MATCH(426,Engine!$C$2:$C$1199,0)))</f>
        <v/>
      </c>
      <c r="P439" s="6" t="str">
        <f>IF(ISNA(MATCH(426,Engine!$C$2:$C$1199,0)),"",HYPERLINK("#Acts!A"&amp;INDEX('Compliance Database'!$P$2:$P$1199,MATCH(426,Engine!$C$2:$C$1199,0)),"Go to Act"))</f>
        <v/>
      </c>
    </row>
    <row r="440" spans="1:16" ht="172.95" customHeight="1" x14ac:dyDescent="0.3">
      <c r="A440" s="6" t="str">
        <f>IF(ISNA(MATCH(427,Engine!$C$2:$C$1199,0)),"",INDEX('Compliance Database'!$A$2:$A$1199,MATCH(427,Engine!$C$2:$C$1199,0)))</f>
        <v/>
      </c>
      <c r="B440" s="6" t="str">
        <f>IF(ISNA(MATCH(427,Engine!$C$2:$C$1199,0)),"",INDEX('Compliance Database'!$B$2:$B$1199,MATCH(427,Engine!$C$2:$C$1199,0)))</f>
        <v/>
      </c>
      <c r="C440" s="6" t="str">
        <f>IF(ISNA(MATCH(427,Engine!$C$2:$C$1199,0)),"",INDEX('Compliance Database'!$C$2:$C$1199,MATCH(427,Engine!$C$2:$C$1199,0)))</f>
        <v/>
      </c>
      <c r="D440" s="7" t="str">
        <f>IF(ISNA(MATCH(427,Engine!$C$2:$C$1199,0)),"",INDEX('Compliance Database'!$D$2:$D$1199,MATCH(427,Engine!$C$2:$C$1199,0)))</f>
        <v/>
      </c>
      <c r="E440" s="6" t="str">
        <f>IF(ISNA(MATCH(427,Engine!$C$2:$C$1199,0)),"",INDEX('Compliance Database'!$E$2:$E$1199,MATCH(427,Engine!$C$2:$C$1199,0)))</f>
        <v/>
      </c>
      <c r="F440" s="6" t="str">
        <f>IF(ISNA(MATCH(427,Engine!$C$2:$C$1199,0)),"",INDEX('Compliance Database'!$F$2:$F$1199,MATCH(427,Engine!$C$2:$C$1199,0)))</f>
        <v/>
      </c>
      <c r="G440" s="6" t="str">
        <f>IF(ISNA(MATCH(427,Engine!$C$2:$C$1199,0)),"",INDEX('Compliance Database'!$G$2:$G$1199,MATCH(427,Engine!$C$2:$C$1199,0)))</f>
        <v/>
      </c>
      <c r="H440" s="7" t="str">
        <f>IF(ISNA(MATCH(427,Engine!$C$2:$C$1199,0)),"",INDEX('Compliance Database'!$H$2:$H$1199,MATCH(427,Engine!$C$2:$C$1199,0)))</f>
        <v/>
      </c>
      <c r="I440" s="7" t="str">
        <f>IF(ISNA(MATCH(427,Engine!$C$2:$C$1199,0)),"",INDEX('Compliance Database'!$I$2:$I$1199,MATCH(427,Engine!$C$2:$C$1199,0)))</f>
        <v/>
      </c>
      <c r="J440" s="6" t="str">
        <f>IF(ISNA(MATCH(427,Engine!$C$2:$C$1199,0)),"",INDEX('Compliance Database'!$J$2:$J$1199,MATCH(427,Engine!$C$2:$C$1199,0)))</f>
        <v/>
      </c>
      <c r="K440" s="7" t="str">
        <f>IF(ISNA(MATCH(427,Engine!$C$2:$C$1199,0)),"",INDEX('Compliance Database'!$K$2:$K$1199,MATCH(427,Engine!$C$2:$C$1199,0)))</f>
        <v/>
      </c>
      <c r="L440" s="7" t="str">
        <f>IF(ISNA(MATCH(427,Engine!$C$2:$C$1199,0)),"",INDEX('Compliance Database'!$L$2:$L$1199,MATCH(427,Engine!$C$2:$C$1199,0)))</f>
        <v/>
      </c>
      <c r="M440" s="7" t="str">
        <f>IF(ISNA(MATCH(427,Engine!$C$2:$C$1199,0)),"",INDEX('Compliance Database'!$M$2:$M$1199,MATCH(427,Engine!$C$2:$C$1199,0)))</f>
        <v/>
      </c>
      <c r="N440" s="7" t="str">
        <f>IF(ISNA(MATCH(427,Engine!$C$2:$C$1199,0)),"",INDEX('Compliance Database'!$N$2:$N$1199,MATCH(427,Engine!$C$2:$C$1199,0)))</f>
        <v/>
      </c>
      <c r="O440" s="7" t="str">
        <f>IF(ISNA(MATCH(427,Engine!$C$2:$C$1199,0)),"",INDEX('Compliance Database'!$O$2:$O$1199,MATCH(427,Engine!$C$2:$C$1199,0)))</f>
        <v/>
      </c>
      <c r="P440" s="6" t="str">
        <f>IF(ISNA(MATCH(427,Engine!$C$2:$C$1199,0)),"",HYPERLINK("#Acts!A"&amp;INDEX('Compliance Database'!$P$2:$P$1199,MATCH(427,Engine!$C$2:$C$1199,0)),"Go to Act"))</f>
        <v/>
      </c>
    </row>
    <row r="441" spans="1:16" ht="172.95" customHeight="1" x14ac:dyDescent="0.3">
      <c r="A441" s="6" t="str">
        <f>IF(ISNA(MATCH(428,Engine!$C$2:$C$1199,0)),"",INDEX('Compliance Database'!$A$2:$A$1199,MATCH(428,Engine!$C$2:$C$1199,0)))</f>
        <v/>
      </c>
      <c r="B441" s="6" t="str">
        <f>IF(ISNA(MATCH(428,Engine!$C$2:$C$1199,0)),"",INDEX('Compliance Database'!$B$2:$B$1199,MATCH(428,Engine!$C$2:$C$1199,0)))</f>
        <v/>
      </c>
      <c r="C441" s="6" t="str">
        <f>IF(ISNA(MATCH(428,Engine!$C$2:$C$1199,0)),"",INDEX('Compliance Database'!$C$2:$C$1199,MATCH(428,Engine!$C$2:$C$1199,0)))</f>
        <v/>
      </c>
      <c r="D441" s="7" t="str">
        <f>IF(ISNA(MATCH(428,Engine!$C$2:$C$1199,0)),"",INDEX('Compliance Database'!$D$2:$D$1199,MATCH(428,Engine!$C$2:$C$1199,0)))</f>
        <v/>
      </c>
      <c r="E441" s="6" t="str">
        <f>IF(ISNA(MATCH(428,Engine!$C$2:$C$1199,0)),"",INDEX('Compliance Database'!$E$2:$E$1199,MATCH(428,Engine!$C$2:$C$1199,0)))</f>
        <v/>
      </c>
      <c r="F441" s="6" t="str">
        <f>IF(ISNA(MATCH(428,Engine!$C$2:$C$1199,0)),"",INDEX('Compliance Database'!$F$2:$F$1199,MATCH(428,Engine!$C$2:$C$1199,0)))</f>
        <v/>
      </c>
      <c r="G441" s="6" t="str">
        <f>IF(ISNA(MATCH(428,Engine!$C$2:$C$1199,0)),"",INDEX('Compliance Database'!$G$2:$G$1199,MATCH(428,Engine!$C$2:$C$1199,0)))</f>
        <v/>
      </c>
      <c r="H441" s="7" t="str">
        <f>IF(ISNA(MATCH(428,Engine!$C$2:$C$1199,0)),"",INDEX('Compliance Database'!$H$2:$H$1199,MATCH(428,Engine!$C$2:$C$1199,0)))</f>
        <v/>
      </c>
      <c r="I441" s="7" t="str">
        <f>IF(ISNA(MATCH(428,Engine!$C$2:$C$1199,0)),"",INDEX('Compliance Database'!$I$2:$I$1199,MATCH(428,Engine!$C$2:$C$1199,0)))</f>
        <v/>
      </c>
      <c r="J441" s="6" t="str">
        <f>IF(ISNA(MATCH(428,Engine!$C$2:$C$1199,0)),"",INDEX('Compliance Database'!$J$2:$J$1199,MATCH(428,Engine!$C$2:$C$1199,0)))</f>
        <v/>
      </c>
      <c r="K441" s="7" t="str">
        <f>IF(ISNA(MATCH(428,Engine!$C$2:$C$1199,0)),"",INDEX('Compliance Database'!$K$2:$K$1199,MATCH(428,Engine!$C$2:$C$1199,0)))</f>
        <v/>
      </c>
      <c r="L441" s="7" t="str">
        <f>IF(ISNA(MATCH(428,Engine!$C$2:$C$1199,0)),"",INDEX('Compliance Database'!$L$2:$L$1199,MATCH(428,Engine!$C$2:$C$1199,0)))</f>
        <v/>
      </c>
      <c r="M441" s="7" t="str">
        <f>IF(ISNA(MATCH(428,Engine!$C$2:$C$1199,0)),"",INDEX('Compliance Database'!$M$2:$M$1199,MATCH(428,Engine!$C$2:$C$1199,0)))</f>
        <v/>
      </c>
      <c r="N441" s="7" t="str">
        <f>IF(ISNA(MATCH(428,Engine!$C$2:$C$1199,0)),"",INDEX('Compliance Database'!$N$2:$N$1199,MATCH(428,Engine!$C$2:$C$1199,0)))</f>
        <v/>
      </c>
      <c r="O441" s="7" t="str">
        <f>IF(ISNA(MATCH(428,Engine!$C$2:$C$1199,0)),"",INDEX('Compliance Database'!$O$2:$O$1199,MATCH(428,Engine!$C$2:$C$1199,0)))</f>
        <v/>
      </c>
      <c r="P441" s="6" t="str">
        <f>IF(ISNA(MATCH(428,Engine!$C$2:$C$1199,0)),"",HYPERLINK("#Acts!A"&amp;INDEX('Compliance Database'!$P$2:$P$1199,MATCH(428,Engine!$C$2:$C$1199,0)),"Go to Act"))</f>
        <v/>
      </c>
    </row>
    <row r="442" spans="1:16" ht="172.95" customHeight="1" x14ac:dyDescent="0.3">
      <c r="A442" s="6" t="str">
        <f>IF(ISNA(MATCH(429,Engine!$C$2:$C$1199,0)),"",INDEX('Compliance Database'!$A$2:$A$1199,MATCH(429,Engine!$C$2:$C$1199,0)))</f>
        <v/>
      </c>
      <c r="B442" s="6" t="str">
        <f>IF(ISNA(MATCH(429,Engine!$C$2:$C$1199,0)),"",INDEX('Compliance Database'!$B$2:$B$1199,MATCH(429,Engine!$C$2:$C$1199,0)))</f>
        <v/>
      </c>
      <c r="C442" s="6" t="str">
        <f>IF(ISNA(MATCH(429,Engine!$C$2:$C$1199,0)),"",INDEX('Compliance Database'!$C$2:$C$1199,MATCH(429,Engine!$C$2:$C$1199,0)))</f>
        <v/>
      </c>
      <c r="D442" s="7" t="str">
        <f>IF(ISNA(MATCH(429,Engine!$C$2:$C$1199,0)),"",INDEX('Compliance Database'!$D$2:$D$1199,MATCH(429,Engine!$C$2:$C$1199,0)))</f>
        <v/>
      </c>
      <c r="E442" s="6" t="str">
        <f>IF(ISNA(MATCH(429,Engine!$C$2:$C$1199,0)),"",INDEX('Compliance Database'!$E$2:$E$1199,MATCH(429,Engine!$C$2:$C$1199,0)))</f>
        <v/>
      </c>
      <c r="F442" s="6" t="str">
        <f>IF(ISNA(MATCH(429,Engine!$C$2:$C$1199,0)),"",INDEX('Compliance Database'!$F$2:$F$1199,MATCH(429,Engine!$C$2:$C$1199,0)))</f>
        <v/>
      </c>
      <c r="G442" s="6" t="str">
        <f>IF(ISNA(MATCH(429,Engine!$C$2:$C$1199,0)),"",INDEX('Compliance Database'!$G$2:$G$1199,MATCH(429,Engine!$C$2:$C$1199,0)))</f>
        <v/>
      </c>
      <c r="H442" s="7" t="str">
        <f>IF(ISNA(MATCH(429,Engine!$C$2:$C$1199,0)),"",INDEX('Compliance Database'!$H$2:$H$1199,MATCH(429,Engine!$C$2:$C$1199,0)))</f>
        <v/>
      </c>
      <c r="I442" s="7" t="str">
        <f>IF(ISNA(MATCH(429,Engine!$C$2:$C$1199,0)),"",INDEX('Compliance Database'!$I$2:$I$1199,MATCH(429,Engine!$C$2:$C$1199,0)))</f>
        <v/>
      </c>
      <c r="J442" s="6" t="str">
        <f>IF(ISNA(MATCH(429,Engine!$C$2:$C$1199,0)),"",INDEX('Compliance Database'!$J$2:$J$1199,MATCH(429,Engine!$C$2:$C$1199,0)))</f>
        <v/>
      </c>
      <c r="K442" s="7" t="str">
        <f>IF(ISNA(MATCH(429,Engine!$C$2:$C$1199,0)),"",INDEX('Compliance Database'!$K$2:$K$1199,MATCH(429,Engine!$C$2:$C$1199,0)))</f>
        <v/>
      </c>
      <c r="L442" s="7" t="str">
        <f>IF(ISNA(MATCH(429,Engine!$C$2:$C$1199,0)),"",INDEX('Compliance Database'!$L$2:$L$1199,MATCH(429,Engine!$C$2:$C$1199,0)))</f>
        <v/>
      </c>
      <c r="M442" s="7" t="str">
        <f>IF(ISNA(MATCH(429,Engine!$C$2:$C$1199,0)),"",INDEX('Compliance Database'!$M$2:$M$1199,MATCH(429,Engine!$C$2:$C$1199,0)))</f>
        <v/>
      </c>
      <c r="N442" s="7" t="str">
        <f>IF(ISNA(MATCH(429,Engine!$C$2:$C$1199,0)),"",INDEX('Compliance Database'!$N$2:$N$1199,MATCH(429,Engine!$C$2:$C$1199,0)))</f>
        <v/>
      </c>
      <c r="O442" s="7" t="str">
        <f>IF(ISNA(MATCH(429,Engine!$C$2:$C$1199,0)),"",INDEX('Compliance Database'!$O$2:$O$1199,MATCH(429,Engine!$C$2:$C$1199,0)))</f>
        <v/>
      </c>
      <c r="P442" s="6" t="str">
        <f>IF(ISNA(MATCH(429,Engine!$C$2:$C$1199,0)),"",HYPERLINK("#Acts!A"&amp;INDEX('Compliance Database'!$P$2:$P$1199,MATCH(429,Engine!$C$2:$C$1199,0)),"Go to Act"))</f>
        <v/>
      </c>
    </row>
    <row r="443" spans="1:16" ht="172.95" customHeight="1" x14ac:dyDescent="0.3">
      <c r="A443" s="6" t="str">
        <f>IF(ISNA(MATCH(430,Engine!$C$2:$C$1199,0)),"",INDEX('Compliance Database'!$A$2:$A$1199,MATCH(430,Engine!$C$2:$C$1199,0)))</f>
        <v/>
      </c>
      <c r="B443" s="6" t="str">
        <f>IF(ISNA(MATCH(430,Engine!$C$2:$C$1199,0)),"",INDEX('Compliance Database'!$B$2:$B$1199,MATCH(430,Engine!$C$2:$C$1199,0)))</f>
        <v/>
      </c>
      <c r="C443" s="6" t="str">
        <f>IF(ISNA(MATCH(430,Engine!$C$2:$C$1199,0)),"",INDEX('Compliance Database'!$C$2:$C$1199,MATCH(430,Engine!$C$2:$C$1199,0)))</f>
        <v/>
      </c>
      <c r="D443" s="7" t="str">
        <f>IF(ISNA(MATCH(430,Engine!$C$2:$C$1199,0)),"",INDEX('Compliance Database'!$D$2:$D$1199,MATCH(430,Engine!$C$2:$C$1199,0)))</f>
        <v/>
      </c>
      <c r="E443" s="6" t="str">
        <f>IF(ISNA(MATCH(430,Engine!$C$2:$C$1199,0)),"",INDEX('Compliance Database'!$E$2:$E$1199,MATCH(430,Engine!$C$2:$C$1199,0)))</f>
        <v/>
      </c>
      <c r="F443" s="6" t="str">
        <f>IF(ISNA(MATCH(430,Engine!$C$2:$C$1199,0)),"",INDEX('Compliance Database'!$F$2:$F$1199,MATCH(430,Engine!$C$2:$C$1199,0)))</f>
        <v/>
      </c>
      <c r="G443" s="6" t="str">
        <f>IF(ISNA(MATCH(430,Engine!$C$2:$C$1199,0)),"",INDEX('Compliance Database'!$G$2:$G$1199,MATCH(430,Engine!$C$2:$C$1199,0)))</f>
        <v/>
      </c>
      <c r="H443" s="7" t="str">
        <f>IF(ISNA(MATCH(430,Engine!$C$2:$C$1199,0)),"",INDEX('Compliance Database'!$H$2:$H$1199,MATCH(430,Engine!$C$2:$C$1199,0)))</f>
        <v/>
      </c>
      <c r="I443" s="7" t="str">
        <f>IF(ISNA(MATCH(430,Engine!$C$2:$C$1199,0)),"",INDEX('Compliance Database'!$I$2:$I$1199,MATCH(430,Engine!$C$2:$C$1199,0)))</f>
        <v/>
      </c>
      <c r="J443" s="6" t="str">
        <f>IF(ISNA(MATCH(430,Engine!$C$2:$C$1199,0)),"",INDEX('Compliance Database'!$J$2:$J$1199,MATCH(430,Engine!$C$2:$C$1199,0)))</f>
        <v/>
      </c>
      <c r="K443" s="7" t="str">
        <f>IF(ISNA(MATCH(430,Engine!$C$2:$C$1199,0)),"",INDEX('Compliance Database'!$K$2:$K$1199,MATCH(430,Engine!$C$2:$C$1199,0)))</f>
        <v/>
      </c>
      <c r="L443" s="7" t="str">
        <f>IF(ISNA(MATCH(430,Engine!$C$2:$C$1199,0)),"",INDEX('Compliance Database'!$L$2:$L$1199,MATCH(430,Engine!$C$2:$C$1199,0)))</f>
        <v/>
      </c>
      <c r="M443" s="7" t="str">
        <f>IF(ISNA(MATCH(430,Engine!$C$2:$C$1199,0)),"",INDEX('Compliance Database'!$M$2:$M$1199,MATCH(430,Engine!$C$2:$C$1199,0)))</f>
        <v/>
      </c>
      <c r="N443" s="7" t="str">
        <f>IF(ISNA(MATCH(430,Engine!$C$2:$C$1199,0)),"",INDEX('Compliance Database'!$N$2:$N$1199,MATCH(430,Engine!$C$2:$C$1199,0)))</f>
        <v/>
      </c>
      <c r="O443" s="7" t="str">
        <f>IF(ISNA(MATCH(430,Engine!$C$2:$C$1199,0)),"",INDEX('Compliance Database'!$O$2:$O$1199,MATCH(430,Engine!$C$2:$C$1199,0)))</f>
        <v/>
      </c>
      <c r="P443" s="6" t="str">
        <f>IF(ISNA(MATCH(430,Engine!$C$2:$C$1199,0)),"",HYPERLINK("#Acts!A"&amp;INDEX('Compliance Database'!$P$2:$P$1199,MATCH(430,Engine!$C$2:$C$1199,0)),"Go to Act"))</f>
        <v/>
      </c>
    </row>
    <row r="444" spans="1:16" ht="172.95" customHeight="1" x14ac:dyDescent="0.3">
      <c r="A444" s="6" t="str">
        <f>IF(ISNA(MATCH(431,Engine!$C$2:$C$1199,0)),"",INDEX('Compliance Database'!$A$2:$A$1199,MATCH(431,Engine!$C$2:$C$1199,0)))</f>
        <v/>
      </c>
      <c r="B444" s="6" t="str">
        <f>IF(ISNA(MATCH(431,Engine!$C$2:$C$1199,0)),"",INDEX('Compliance Database'!$B$2:$B$1199,MATCH(431,Engine!$C$2:$C$1199,0)))</f>
        <v/>
      </c>
      <c r="C444" s="6" t="str">
        <f>IF(ISNA(MATCH(431,Engine!$C$2:$C$1199,0)),"",INDEX('Compliance Database'!$C$2:$C$1199,MATCH(431,Engine!$C$2:$C$1199,0)))</f>
        <v/>
      </c>
      <c r="D444" s="7" t="str">
        <f>IF(ISNA(MATCH(431,Engine!$C$2:$C$1199,0)),"",INDEX('Compliance Database'!$D$2:$D$1199,MATCH(431,Engine!$C$2:$C$1199,0)))</f>
        <v/>
      </c>
      <c r="E444" s="6" t="str">
        <f>IF(ISNA(MATCH(431,Engine!$C$2:$C$1199,0)),"",INDEX('Compliance Database'!$E$2:$E$1199,MATCH(431,Engine!$C$2:$C$1199,0)))</f>
        <v/>
      </c>
      <c r="F444" s="6" t="str">
        <f>IF(ISNA(MATCH(431,Engine!$C$2:$C$1199,0)),"",INDEX('Compliance Database'!$F$2:$F$1199,MATCH(431,Engine!$C$2:$C$1199,0)))</f>
        <v/>
      </c>
      <c r="G444" s="6" t="str">
        <f>IF(ISNA(MATCH(431,Engine!$C$2:$C$1199,0)),"",INDEX('Compliance Database'!$G$2:$G$1199,MATCH(431,Engine!$C$2:$C$1199,0)))</f>
        <v/>
      </c>
      <c r="H444" s="7" t="str">
        <f>IF(ISNA(MATCH(431,Engine!$C$2:$C$1199,0)),"",INDEX('Compliance Database'!$H$2:$H$1199,MATCH(431,Engine!$C$2:$C$1199,0)))</f>
        <v/>
      </c>
      <c r="I444" s="7" t="str">
        <f>IF(ISNA(MATCH(431,Engine!$C$2:$C$1199,0)),"",INDEX('Compliance Database'!$I$2:$I$1199,MATCH(431,Engine!$C$2:$C$1199,0)))</f>
        <v/>
      </c>
      <c r="J444" s="6" t="str">
        <f>IF(ISNA(MATCH(431,Engine!$C$2:$C$1199,0)),"",INDEX('Compliance Database'!$J$2:$J$1199,MATCH(431,Engine!$C$2:$C$1199,0)))</f>
        <v/>
      </c>
      <c r="K444" s="7" t="str">
        <f>IF(ISNA(MATCH(431,Engine!$C$2:$C$1199,0)),"",INDEX('Compliance Database'!$K$2:$K$1199,MATCH(431,Engine!$C$2:$C$1199,0)))</f>
        <v/>
      </c>
      <c r="L444" s="7" t="str">
        <f>IF(ISNA(MATCH(431,Engine!$C$2:$C$1199,0)),"",INDEX('Compliance Database'!$L$2:$L$1199,MATCH(431,Engine!$C$2:$C$1199,0)))</f>
        <v/>
      </c>
      <c r="M444" s="7" t="str">
        <f>IF(ISNA(MATCH(431,Engine!$C$2:$C$1199,0)),"",INDEX('Compliance Database'!$M$2:$M$1199,MATCH(431,Engine!$C$2:$C$1199,0)))</f>
        <v/>
      </c>
      <c r="N444" s="7" t="str">
        <f>IF(ISNA(MATCH(431,Engine!$C$2:$C$1199,0)),"",INDEX('Compliance Database'!$N$2:$N$1199,MATCH(431,Engine!$C$2:$C$1199,0)))</f>
        <v/>
      </c>
      <c r="O444" s="7" t="str">
        <f>IF(ISNA(MATCH(431,Engine!$C$2:$C$1199,0)),"",INDEX('Compliance Database'!$O$2:$O$1199,MATCH(431,Engine!$C$2:$C$1199,0)))</f>
        <v/>
      </c>
      <c r="P444" s="6" t="str">
        <f>IF(ISNA(MATCH(431,Engine!$C$2:$C$1199,0)),"",HYPERLINK("#Acts!A"&amp;INDEX('Compliance Database'!$P$2:$P$1199,MATCH(431,Engine!$C$2:$C$1199,0)),"Go to Act"))</f>
        <v/>
      </c>
    </row>
    <row r="445" spans="1:16" ht="172.95" customHeight="1" x14ac:dyDescent="0.3">
      <c r="A445" s="6" t="str">
        <f>IF(ISNA(MATCH(432,Engine!$C$2:$C$1199,0)),"",INDEX('Compliance Database'!$A$2:$A$1199,MATCH(432,Engine!$C$2:$C$1199,0)))</f>
        <v/>
      </c>
      <c r="B445" s="6" t="str">
        <f>IF(ISNA(MATCH(432,Engine!$C$2:$C$1199,0)),"",INDEX('Compliance Database'!$B$2:$B$1199,MATCH(432,Engine!$C$2:$C$1199,0)))</f>
        <v/>
      </c>
      <c r="C445" s="6" t="str">
        <f>IF(ISNA(MATCH(432,Engine!$C$2:$C$1199,0)),"",INDEX('Compliance Database'!$C$2:$C$1199,MATCH(432,Engine!$C$2:$C$1199,0)))</f>
        <v/>
      </c>
      <c r="D445" s="7" t="str">
        <f>IF(ISNA(MATCH(432,Engine!$C$2:$C$1199,0)),"",INDEX('Compliance Database'!$D$2:$D$1199,MATCH(432,Engine!$C$2:$C$1199,0)))</f>
        <v/>
      </c>
      <c r="E445" s="6" t="str">
        <f>IF(ISNA(MATCH(432,Engine!$C$2:$C$1199,0)),"",INDEX('Compliance Database'!$E$2:$E$1199,MATCH(432,Engine!$C$2:$C$1199,0)))</f>
        <v/>
      </c>
      <c r="F445" s="6" t="str">
        <f>IF(ISNA(MATCH(432,Engine!$C$2:$C$1199,0)),"",INDEX('Compliance Database'!$F$2:$F$1199,MATCH(432,Engine!$C$2:$C$1199,0)))</f>
        <v/>
      </c>
      <c r="G445" s="6" t="str">
        <f>IF(ISNA(MATCH(432,Engine!$C$2:$C$1199,0)),"",INDEX('Compliance Database'!$G$2:$G$1199,MATCH(432,Engine!$C$2:$C$1199,0)))</f>
        <v/>
      </c>
      <c r="H445" s="7" t="str">
        <f>IF(ISNA(MATCH(432,Engine!$C$2:$C$1199,0)),"",INDEX('Compliance Database'!$H$2:$H$1199,MATCH(432,Engine!$C$2:$C$1199,0)))</f>
        <v/>
      </c>
      <c r="I445" s="7" t="str">
        <f>IF(ISNA(MATCH(432,Engine!$C$2:$C$1199,0)),"",INDEX('Compliance Database'!$I$2:$I$1199,MATCH(432,Engine!$C$2:$C$1199,0)))</f>
        <v/>
      </c>
      <c r="J445" s="6" t="str">
        <f>IF(ISNA(MATCH(432,Engine!$C$2:$C$1199,0)),"",INDEX('Compliance Database'!$J$2:$J$1199,MATCH(432,Engine!$C$2:$C$1199,0)))</f>
        <v/>
      </c>
      <c r="K445" s="7" t="str">
        <f>IF(ISNA(MATCH(432,Engine!$C$2:$C$1199,0)),"",INDEX('Compliance Database'!$K$2:$K$1199,MATCH(432,Engine!$C$2:$C$1199,0)))</f>
        <v/>
      </c>
      <c r="L445" s="7" t="str">
        <f>IF(ISNA(MATCH(432,Engine!$C$2:$C$1199,0)),"",INDEX('Compliance Database'!$L$2:$L$1199,MATCH(432,Engine!$C$2:$C$1199,0)))</f>
        <v/>
      </c>
      <c r="M445" s="7" t="str">
        <f>IF(ISNA(MATCH(432,Engine!$C$2:$C$1199,0)),"",INDEX('Compliance Database'!$M$2:$M$1199,MATCH(432,Engine!$C$2:$C$1199,0)))</f>
        <v/>
      </c>
      <c r="N445" s="7" t="str">
        <f>IF(ISNA(MATCH(432,Engine!$C$2:$C$1199,0)),"",INDEX('Compliance Database'!$N$2:$N$1199,MATCH(432,Engine!$C$2:$C$1199,0)))</f>
        <v/>
      </c>
      <c r="O445" s="7" t="str">
        <f>IF(ISNA(MATCH(432,Engine!$C$2:$C$1199,0)),"",INDEX('Compliance Database'!$O$2:$O$1199,MATCH(432,Engine!$C$2:$C$1199,0)))</f>
        <v/>
      </c>
      <c r="P445" s="6" t="str">
        <f>IF(ISNA(MATCH(432,Engine!$C$2:$C$1199,0)),"",HYPERLINK("#Acts!A"&amp;INDEX('Compliance Database'!$P$2:$P$1199,MATCH(432,Engine!$C$2:$C$1199,0)),"Go to Act"))</f>
        <v/>
      </c>
    </row>
    <row r="446" spans="1:16" ht="172.95" customHeight="1" x14ac:dyDescent="0.3">
      <c r="A446" s="6" t="str">
        <f>IF(ISNA(MATCH(433,Engine!$C$2:$C$1199,0)),"",INDEX('Compliance Database'!$A$2:$A$1199,MATCH(433,Engine!$C$2:$C$1199,0)))</f>
        <v/>
      </c>
      <c r="B446" s="6" t="str">
        <f>IF(ISNA(MATCH(433,Engine!$C$2:$C$1199,0)),"",INDEX('Compliance Database'!$B$2:$B$1199,MATCH(433,Engine!$C$2:$C$1199,0)))</f>
        <v/>
      </c>
      <c r="C446" s="6" t="str">
        <f>IF(ISNA(MATCH(433,Engine!$C$2:$C$1199,0)),"",INDEX('Compliance Database'!$C$2:$C$1199,MATCH(433,Engine!$C$2:$C$1199,0)))</f>
        <v/>
      </c>
      <c r="D446" s="7" t="str">
        <f>IF(ISNA(MATCH(433,Engine!$C$2:$C$1199,0)),"",INDEX('Compliance Database'!$D$2:$D$1199,MATCH(433,Engine!$C$2:$C$1199,0)))</f>
        <v/>
      </c>
      <c r="E446" s="6" t="str">
        <f>IF(ISNA(MATCH(433,Engine!$C$2:$C$1199,0)),"",INDEX('Compliance Database'!$E$2:$E$1199,MATCH(433,Engine!$C$2:$C$1199,0)))</f>
        <v/>
      </c>
      <c r="F446" s="6" t="str">
        <f>IF(ISNA(MATCH(433,Engine!$C$2:$C$1199,0)),"",INDEX('Compliance Database'!$F$2:$F$1199,MATCH(433,Engine!$C$2:$C$1199,0)))</f>
        <v/>
      </c>
      <c r="G446" s="6" t="str">
        <f>IF(ISNA(MATCH(433,Engine!$C$2:$C$1199,0)),"",INDEX('Compliance Database'!$G$2:$G$1199,MATCH(433,Engine!$C$2:$C$1199,0)))</f>
        <v/>
      </c>
      <c r="H446" s="7" t="str">
        <f>IF(ISNA(MATCH(433,Engine!$C$2:$C$1199,0)),"",INDEX('Compliance Database'!$H$2:$H$1199,MATCH(433,Engine!$C$2:$C$1199,0)))</f>
        <v/>
      </c>
      <c r="I446" s="7" t="str">
        <f>IF(ISNA(MATCH(433,Engine!$C$2:$C$1199,0)),"",INDEX('Compliance Database'!$I$2:$I$1199,MATCH(433,Engine!$C$2:$C$1199,0)))</f>
        <v/>
      </c>
      <c r="J446" s="6" t="str">
        <f>IF(ISNA(MATCH(433,Engine!$C$2:$C$1199,0)),"",INDEX('Compliance Database'!$J$2:$J$1199,MATCH(433,Engine!$C$2:$C$1199,0)))</f>
        <v/>
      </c>
      <c r="K446" s="7" t="str">
        <f>IF(ISNA(MATCH(433,Engine!$C$2:$C$1199,0)),"",INDEX('Compliance Database'!$K$2:$K$1199,MATCH(433,Engine!$C$2:$C$1199,0)))</f>
        <v/>
      </c>
      <c r="L446" s="7" t="str">
        <f>IF(ISNA(MATCH(433,Engine!$C$2:$C$1199,0)),"",INDEX('Compliance Database'!$L$2:$L$1199,MATCH(433,Engine!$C$2:$C$1199,0)))</f>
        <v/>
      </c>
      <c r="M446" s="7" t="str">
        <f>IF(ISNA(MATCH(433,Engine!$C$2:$C$1199,0)),"",INDEX('Compliance Database'!$M$2:$M$1199,MATCH(433,Engine!$C$2:$C$1199,0)))</f>
        <v/>
      </c>
      <c r="N446" s="7" t="str">
        <f>IF(ISNA(MATCH(433,Engine!$C$2:$C$1199,0)),"",INDEX('Compliance Database'!$N$2:$N$1199,MATCH(433,Engine!$C$2:$C$1199,0)))</f>
        <v/>
      </c>
      <c r="O446" s="7" t="str">
        <f>IF(ISNA(MATCH(433,Engine!$C$2:$C$1199,0)),"",INDEX('Compliance Database'!$O$2:$O$1199,MATCH(433,Engine!$C$2:$C$1199,0)))</f>
        <v/>
      </c>
      <c r="P446" s="6" t="str">
        <f>IF(ISNA(MATCH(433,Engine!$C$2:$C$1199,0)),"",HYPERLINK("#Acts!A"&amp;INDEX('Compliance Database'!$P$2:$P$1199,MATCH(433,Engine!$C$2:$C$1199,0)),"Go to Act"))</f>
        <v/>
      </c>
    </row>
    <row r="447" spans="1:16" ht="172.95" customHeight="1" x14ac:dyDescent="0.3">
      <c r="A447" s="6" t="str">
        <f>IF(ISNA(MATCH(434,Engine!$C$2:$C$1199,0)),"",INDEX('Compliance Database'!$A$2:$A$1199,MATCH(434,Engine!$C$2:$C$1199,0)))</f>
        <v/>
      </c>
      <c r="B447" s="6" t="str">
        <f>IF(ISNA(MATCH(434,Engine!$C$2:$C$1199,0)),"",INDEX('Compliance Database'!$B$2:$B$1199,MATCH(434,Engine!$C$2:$C$1199,0)))</f>
        <v/>
      </c>
      <c r="C447" s="6" t="str">
        <f>IF(ISNA(MATCH(434,Engine!$C$2:$C$1199,0)),"",INDEX('Compliance Database'!$C$2:$C$1199,MATCH(434,Engine!$C$2:$C$1199,0)))</f>
        <v/>
      </c>
      <c r="D447" s="7" t="str">
        <f>IF(ISNA(MATCH(434,Engine!$C$2:$C$1199,0)),"",INDEX('Compliance Database'!$D$2:$D$1199,MATCH(434,Engine!$C$2:$C$1199,0)))</f>
        <v/>
      </c>
      <c r="E447" s="6" t="str">
        <f>IF(ISNA(MATCH(434,Engine!$C$2:$C$1199,0)),"",INDEX('Compliance Database'!$E$2:$E$1199,MATCH(434,Engine!$C$2:$C$1199,0)))</f>
        <v/>
      </c>
      <c r="F447" s="6" t="str">
        <f>IF(ISNA(MATCH(434,Engine!$C$2:$C$1199,0)),"",INDEX('Compliance Database'!$F$2:$F$1199,MATCH(434,Engine!$C$2:$C$1199,0)))</f>
        <v/>
      </c>
      <c r="G447" s="6" t="str">
        <f>IF(ISNA(MATCH(434,Engine!$C$2:$C$1199,0)),"",INDEX('Compliance Database'!$G$2:$G$1199,MATCH(434,Engine!$C$2:$C$1199,0)))</f>
        <v/>
      </c>
      <c r="H447" s="7" t="str">
        <f>IF(ISNA(MATCH(434,Engine!$C$2:$C$1199,0)),"",INDEX('Compliance Database'!$H$2:$H$1199,MATCH(434,Engine!$C$2:$C$1199,0)))</f>
        <v/>
      </c>
      <c r="I447" s="7" t="str">
        <f>IF(ISNA(MATCH(434,Engine!$C$2:$C$1199,0)),"",INDEX('Compliance Database'!$I$2:$I$1199,MATCH(434,Engine!$C$2:$C$1199,0)))</f>
        <v/>
      </c>
      <c r="J447" s="6" t="str">
        <f>IF(ISNA(MATCH(434,Engine!$C$2:$C$1199,0)),"",INDEX('Compliance Database'!$J$2:$J$1199,MATCH(434,Engine!$C$2:$C$1199,0)))</f>
        <v/>
      </c>
      <c r="K447" s="7" t="str">
        <f>IF(ISNA(MATCH(434,Engine!$C$2:$C$1199,0)),"",INDEX('Compliance Database'!$K$2:$K$1199,MATCH(434,Engine!$C$2:$C$1199,0)))</f>
        <v/>
      </c>
      <c r="L447" s="7" t="str">
        <f>IF(ISNA(MATCH(434,Engine!$C$2:$C$1199,0)),"",INDEX('Compliance Database'!$L$2:$L$1199,MATCH(434,Engine!$C$2:$C$1199,0)))</f>
        <v/>
      </c>
      <c r="M447" s="7" t="str">
        <f>IF(ISNA(MATCH(434,Engine!$C$2:$C$1199,0)),"",INDEX('Compliance Database'!$M$2:$M$1199,MATCH(434,Engine!$C$2:$C$1199,0)))</f>
        <v/>
      </c>
      <c r="N447" s="7" t="str">
        <f>IF(ISNA(MATCH(434,Engine!$C$2:$C$1199,0)),"",INDEX('Compliance Database'!$N$2:$N$1199,MATCH(434,Engine!$C$2:$C$1199,0)))</f>
        <v/>
      </c>
      <c r="O447" s="7" t="str">
        <f>IF(ISNA(MATCH(434,Engine!$C$2:$C$1199,0)),"",INDEX('Compliance Database'!$O$2:$O$1199,MATCH(434,Engine!$C$2:$C$1199,0)))</f>
        <v/>
      </c>
      <c r="P447" s="6" t="str">
        <f>IF(ISNA(MATCH(434,Engine!$C$2:$C$1199,0)),"",HYPERLINK("#Acts!A"&amp;INDEX('Compliance Database'!$P$2:$P$1199,MATCH(434,Engine!$C$2:$C$1199,0)),"Go to Act"))</f>
        <v/>
      </c>
    </row>
    <row r="448" spans="1:16" ht="172.95" customHeight="1" x14ac:dyDescent="0.3">
      <c r="A448" s="6" t="str">
        <f>IF(ISNA(MATCH(435,Engine!$C$2:$C$1199,0)),"",INDEX('Compliance Database'!$A$2:$A$1199,MATCH(435,Engine!$C$2:$C$1199,0)))</f>
        <v/>
      </c>
      <c r="B448" s="6" t="str">
        <f>IF(ISNA(MATCH(435,Engine!$C$2:$C$1199,0)),"",INDEX('Compliance Database'!$B$2:$B$1199,MATCH(435,Engine!$C$2:$C$1199,0)))</f>
        <v/>
      </c>
      <c r="C448" s="6" t="str">
        <f>IF(ISNA(MATCH(435,Engine!$C$2:$C$1199,0)),"",INDEX('Compliance Database'!$C$2:$C$1199,MATCH(435,Engine!$C$2:$C$1199,0)))</f>
        <v/>
      </c>
      <c r="D448" s="7" t="str">
        <f>IF(ISNA(MATCH(435,Engine!$C$2:$C$1199,0)),"",INDEX('Compliance Database'!$D$2:$D$1199,MATCH(435,Engine!$C$2:$C$1199,0)))</f>
        <v/>
      </c>
      <c r="E448" s="6" t="str">
        <f>IF(ISNA(MATCH(435,Engine!$C$2:$C$1199,0)),"",INDEX('Compliance Database'!$E$2:$E$1199,MATCH(435,Engine!$C$2:$C$1199,0)))</f>
        <v/>
      </c>
      <c r="F448" s="6" t="str">
        <f>IF(ISNA(MATCH(435,Engine!$C$2:$C$1199,0)),"",INDEX('Compliance Database'!$F$2:$F$1199,MATCH(435,Engine!$C$2:$C$1199,0)))</f>
        <v/>
      </c>
      <c r="G448" s="6" t="str">
        <f>IF(ISNA(MATCH(435,Engine!$C$2:$C$1199,0)),"",INDEX('Compliance Database'!$G$2:$G$1199,MATCH(435,Engine!$C$2:$C$1199,0)))</f>
        <v/>
      </c>
      <c r="H448" s="7" t="str">
        <f>IF(ISNA(MATCH(435,Engine!$C$2:$C$1199,0)),"",INDEX('Compliance Database'!$H$2:$H$1199,MATCH(435,Engine!$C$2:$C$1199,0)))</f>
        <v/>
      </c>
      <c r="I448" s="7" t="str">
        <f>IF(ISNA(MATCH(435,Engine!$C$2:$C$1199,0)),"",INDEX('Compliance Database'!$I$2:$I$1199,MATCH(435,Engine!$C$2:$C$1199,0)))</f>
        <v/>
      </c>
      <c r="J448" s="6" t="str">
        <f>IF(ISNA(MATCH(435,Engine!$C$2:$C$1199,0)),"",INDEX('Compliance Database'!$J$2:$J$1199,MATCH(435,Engine!$C$2:$C$1199,0)))</f>
        <v/>
      </c>
      <c r="K448" s="7" t="str">
        <f>IF(ISNA(MATCH(435,Engine!$C$2:$C$1199,0)),"",INDEX('Compliance Database'!$K$2:$K$1199,MATCH(435,Engine!$C$2:$C$1199,0)))</f>
        <v/>
      </c>
      <c r="L448" s="7" t="str">
        <f>IF(ISNA(MATCH(435,Engine!$C$2:$C$1199,0)),"",INDEX('Compliance Database'!$L$2:$L$1199,MATCH(435,Engine!$C$2:$C$1199,0)))</f>
        <v/>
      </c>
      <c r="M448" s="7" t="str">
        <f>IF(ISNA(MATCH(435,Engine!$C$2:$C$1199,0)),"",INDEX('Compliance Database'!$M$2:$M$1199,MATCH(435,Engine!$C$2:$C$1199,0)))</f>
        <v/>
      </c>
      <c r="N448" s="7" t="str">
        <f>IF(ISNA(MATCH(435,Engine!$C$2:$C$1199,0)),"",INDEX('Compliance Database'!$N$2:$N$1199,MATCH(435,Engine!$C$2:$C$1199,0)))</f>
        <v/>
      </c>
      <c r="O448" s="7" t="str">
        <f>IF(ISNA(MATCH(435,Engine!$C$2:$C$1199,0)),"",INDEX('Compliance Database'!$O$2:$O$1199,MATCH(435,Engine!$C$2:$C$1199,0)))</f>
        <v/>
      </c>
      <c r="P448" s="6" t="str">
        <f>IF(ISNA(MATCH(435,Engine!$C$2:$C$1199,0)),"",HYPERLINK("#Acts!A"&amp;INDEX('Compliance Database'!$P$2:$P$1199,MATCH(435,Engine!$C$2:$C$1199,0)),"Go to Act"))</f>
        <v/>
      </c>
    </row>
    <row r="449" spans="1:16" ht="172.95" customHeight="1" x14ac:dyDescent="0.3">
      <c r="A449" s="6" t="str">
        <f>IF(ISNA(MATCH(436,Engine!$C$2:$C$1199,0)),"",INDEX('Compliance Database'!$A$2:$A$1199,MATCH(436,Engine!$C$2:$C$1199,0)))</f>
        <v/>
      </c>
      <c r="B449" s="6" t="str">
        <f>IF(ISNA(MATCH(436,Engine!$C$2:$C$1199,0)),"",INDEX('Compliance Database'!$B$2:$B$1199,MATCH(436,Engine!$C$2:$C$1199,0)))</f>
        <v/>
      </c>
      <c r="C449" s="6" t="str">
        <f>IF(ISNA(MATCH(436,Engine!$C$2:$C$1199,0)),"",INDEX('Compliance Database'!$C$2:$C$1199,MATCH(436,Engine!$C$2:$C$1199,0)))</f>
        <v/>
      </c>
      <c r="D449" s="7" t="str">
        <f>IF(ISNA(MATCH(436,Engine!$C$2:$C$1199,0)),"",INDEX('Compliance Database'!$D$2:$D$1199,MATCH(436,Engine!$C$2:$C$1199,0)))</f>
        <v/>
      </c>
      <c r="E449" s="6" t="str">
        <f>IF(ISNA(MATCH(436,Engine!$C$2:$C$1199,0)),"",INDEX('Compliance Database'!$E$2:$E$1199,MATCH(436,Engine!$C$2:$C$1199,0)))</f>
        <v/>
      </c>
      <c r="F449" s="6" t="str">
        <f>IF(ISNA(MATCH(436,Engine!$C$2:$C$1199,0)),"",INDEX('Compliance Database'!$F$2:$F$1199,MATCH(436,Engine!$C$2:$C$1199,0)))</f>
        <v/>
      </c>
      <c r="G449" s="6" t="str">
        <f>IF(ISNA(MATCH(436,Engine!$C$2:$C$1199,0)),"",INDEX('Compliance Database'!$G$2:$G$1199,MATCH(436,Engine!$C$2:$C$1199,0)))</f>
        <v/>
      </c>
      <c r="H449" s="7" t="str">
        <f>IF(ISNA(MATCH(436,Engine!$C$2:$C$1199,0)),"",INDEX('Compliance Database'!$H$2:$H$1199,MATCH(436,Engine!$C$2:$C$1199,0)))</f>
        <v/>
      </c>
      <c r="I449" s="7" t="str">
        <f>IF(ISNA(MATCH(436,Engine!$C$2:$C$1199,0)),"",INDEX('Compliance Database'!$I$2:$I$1199,MATCH(436,Engine!$C$2:$C$1199,0)))</f>
        <v/>
      </c>
      <c r="J449" s="6" t="str">
        <f>IF(ISNA(MATCH(436,Engine!$C$2:$C$1199,0)),"",INDEX('Compliance Database'!$J$2:$J$1199,MATCH(436,Engine!$C$2:$C$1199,0)))</f>
        <v/>
      </c>
      <c r="K449" s="7" t="str">
        <f>IF(ISNA(MATCH(436,Engine!$C$2:$C$1199,0)),"",INDEX('Compliance Database'!$K$2:$K$1199,MATCH(436,Engine!$C$2:$C$1199,0)))</f>
        <v/>
      </c>
      <c r="L449" s="7" t="str">
        <f>IF(ISNA(MATCH(436,Engine!$C$2:$C$1199,0)),"",INDEX('Compliance Database'!$L$2:$L$1199,MATCH(436,Engine!$C$2:$C$1199,0)))</f>
        <v/>
      </c>
      <c r="M449" s="7" t="str">
        <f>IF(ISNA(MATCH(436,Engine!$C$2:$C$1199,0)),"",INDEX('Compliance Database'!$M$2:$M$1199,MATCH(436,Engine!$C$2:$C$1199,0)))</f>
        <v/>
      </c>
      <c r="N449" s="7" t="str">
        <f>IF(ISNA(MATCH(436,Engine!$C$2:$C$1199,0)),"",INDEX('Compliance Database'!$N$2:$N$1199,MATCH(436,Engine!$C$2:$C$1199,0)))</f>
        <v/>
      </c>
      <c r="O449" s="7" t="str">
        <f>IF(ISNA(MATCH(436,Engine!$C$2:$C$1199,0)),"",INDEX('Compliance Database'!$O$2:$O$1199,MATCH(436,Engine!$C$2:$C$1199,0)))</f>
        <v/>
      </c>
      <c r="P449" s="6" t="str">
        <f>IF(ISNA(MATCH(436,Engine!$C$2:$C$1199,0)),"",HYPERLINK("#Acts!A"&amp;INDEX('Compliance Database'!$P$2:$P$1199,MATCH(436,Engine!$C$2:$C$1199,0)),"Go to Act"))</f>
        <v/>
      </c>
    </row>
    <row r="450" spans="1:16" ht="172.95" customHeight="1" x14ac:dyDescent="0.3">
      <c r="A450" s="6" t="str">
        <f>IF(ISNA(MATCH(437,Engine!$C$2:$C$1199,0)),"",INDEX('Compliance Database'!$A$2:$A$1199,MATCH(437,Engine!$C$2:$C$1199,0)))</f>
        <v/>
      </c>
      <c r="B450" s="6" t="str">
        <f>IF(ISNA(MATCH(437,Engine!$C$2:$C$1199,0)),"",INDEX('Compliance Database'!$B$2:$B$1199,MATCH(437,Engine!$C$2:$C$1199,0)))</f>
        <v/>
      </c>
      <c r="C450" s="6" t="str">
        <f>IF(ISNA(MATCH(437,Engine!$C$2:$C$1199,0)),"",INDEX('Compliance Database'!$C$2:$C$1199,MATCH(437,Engine!$C$2:$C$1199,0)))</f>
        <v/>
      </c>
      <c r="D450" s="7" t="str">
        <f>IF(ISNA(MATCH(437,Engine!$C$2:$C$1199,0)),"",INDEX('Compliance Database'!$D$2:$D$1199,MATCH(437,Engine!$C$2:$C$1199,0)))</f>
        <v/>
      </c>
      <c r="E450" s="6" t="str">
        <f>IF(ISNA(MATCH(437,Engine!$C$2:$C$1199,0)),"",INDEX('Compliance Database'!$E$2:$E$1199,MATCH(437,Engine!$C$2:$C$1199,0)))</f>
        <v/>
      </c>
      <c r="F450" s="6" t="str">
        <f>IF(ISNA(MATCH(437,Engine!$C$2:$C$1199,0)),"",INDEX('Compliance Database'!$F$2:$F$1199,MATCH(437,Engine!$C$2:$C$1199,0)))</f>
        <v/>
      </c>
      <c r="G450" s="6" t="str">
        <f>IF(ISNA(MATCH(437,Engine!$C$2:$C$1199,0)),"",INDEX('Compliance Database'!$G$2:$G$1199,MATCH(437,Engine!$C$2:$C$1199,0)))</f>
        <v/>
      </c>
      <c r="H450" s="7" t="str">
        <f>IF(ISNA(MATCH(437,Engine!$C$2:$C$1199,0)),"",INDEX('Compliance Database'!$H$2:$H$1199,MATCH(437,Engine!$C$2:$C$1199,0)))</f>
        <v/>
      </c>
      <c r="I450" s="7" t="str">
        <f>IF(ISNA(MATCH(437,Engine!$C$2:$C$1199,0)),"",INDEX('Compliance Database'!$I$2:$I$1199,MATCH(437,Engine!$C$2:$C$1199,0)))</f>
        <v/>
      </c>
      <c r="J450" s="6" t="str">
        <f>IF(ISNA(MATCH(437,Engine!$C$2:$C$1199,0)),"",INDEX('Compliance Database'!$J$2:$J$1199,MATCH(437,Engine!$C$2:$C$1199,0)))</f>
        <v/>
      </c>
      <c r="K450" s="7" t="str">
        <f>IF(ISNA(MATCH(437,Engine!$C$2:$C$1199,0)),"",INDEX('Compliance Database'!$K$2:$K$1199,MATCH(437,Engine!$C$2:$C$1199,0)))</f>
        <v/>
      </c>
      <c r="L450" s="7" t="str">
        <f>IF(ISNA(MATCH(437,Engine!$C$2:$C$1199,0)),"",INDEX('Compliance Database'!$L$2:$L$1199,MATCH(437,Engine!$C$2:$C$1199,0)))</f>
        <v/>
      </c>
      <c r="M450" s="7" t="str">
        <f>IF(ISNA(MATCH(437,Engine!$C$2:$C$1199,0)),"",INDEX('Compliance Database'!$M$2:$M$1199,MATCH(437,Engine!$C$2:$C$1199,0)))</f>
        <v/>
      </c>
      <c r="N450" s="7" t="str">
        <f>IF(ISNA(MATCH(437,Engine!$C$2:$C$1199,0)),"",INDEX('Compliance Database'!$N$2:$N$1199,MATCH(437,Engine!$C$2:$C$1199,0)))</f>
        <v/>
      </c>
      <c r="O450" s="7" t="str">
        <f>IF(ISNA(MATCH(437,Engine!$C$2:$C$1199,0)),"",INDEX('Compliance Database'!$O$2:$O$1199,MATCH(437,Engine!$C$2:$C$1199,0)))</f>
        <v/>
      </c>
      <c r="P450" s="6" t="str">
        <f>IF(ISNA(MATCH(437,Engine!$C$2:$C$1199,0)),"",HYPERLINK("#Acts!A"&amp;INDEX('Compliance Database'!$P$2:$P$1199,MATCH(437,Engine!$C$2:$C$1199,0)),"Go to Act"))</f>
        <v/>
      </c>
    </row>
    <row r="451" spans="1:16" ht="172.95" customHeight="1" x14ac:dyDescent="0.3">
      <c r="A451" s="6" t="str">
        <f>IF(ISNA(MATCH(438,Engine!$C$2:$C$1199,0)),"",INDEX('Compliance Database'!$A$2:$A$1199,MATCH(438,Engine!$C$2:$C$1199,0)))</f>
        <v/>
      </c>
      <c r="B451" s="6" t="str">
        <f>IF(ISNA(MATCH(438,Engine!$C$2:$C$1199,0)),"",INDEX('Compliance Database'!$B$2:$B$1199,MATCH(438,Engine!$C$2:$C$1199,0)))</f>
        <v/>
      </c>
      <c r="C451" s="6" t="str">
        <f>IF(ISNA(MATCH(438,Engine!$C$2:$C$1199,0)),"",INDEX('Compliance Database'!$C$2:$C$1199,MATCH(438,Engine!$C$2:$C$1199,0)))</f>
        <v/>
      </c>
      <c r="D451" s="7" t="str">
        <f>IF(ISNA(MATCH(438,Engine!$C$2:$C$1199,0)),"",INDEX('Compliance Database'!$D$2:$D$1199,MATCH(438,Engine!$C$2:$C$1199,0)))</f>
        <v/>
      </c>
      <c r="E451" s="6" t="str">
        <f>IF(ISNA(MATCH(438,Engine!$C$2:$C$1199,0)),"",INDEX('Compliance Database'!$E$2:$E$1199,MATCH(438,Engine!$C$2:$C$1199,0)))</f>
        <v/>
      </c>
      <c r="F451" s="6" t="str">
        <f>IF(ISNA(MATCH(438,Engine!$C$2:$C$1199,0)),"",INDEX('Compliance Database'!$F$2:$F$1199,MATCH(438,Engine!$C$2:$C$1199,0)))</f>
        <v/>
      </c>
      <c r="G451" s="6" t="str">
        <f>IF(ISNA(MATCH(438,Engine!$C$2:$C$1199,0)),"",INDEX('Compliance Database'!$G$2:$G$1199,MATCH(438,Engine!$C$2:$C$1199,0)))</f>
        <v/>
      </c>
      <c r="H451" s="7" t="str">
        <f>IF(ISNA(MATCH(438,Engine!$C$2:$C$1199,0)),"",INDEX('Compliance Database'!$H$2:$H$1199,MATCH(438,Engine!$C$2:$C$1199,0)))</f>
        <v/>
      </c>
      <c r="I451" s="7" t="str">
        <f>IF(ISNA(MATCH(438,Engine!$C$2:$C$1199,0)),"",INDEX('Compliance Database'!$I$2:$I$1199,MATCH(438,Engine!$C$2:$C$1199,0)))</f>
        <v/>
      </c>
      <c r="J451" s="6" t="str">
        <f>IF(ISNA(MATCH(438,Engine!$C$2:$C$1199,0)),"",INDEX('Compliance Database'!$J$2:$J$1199,MATCH(438,Engine!$C$2:$C$1199,0)))</f>
        <v/>
      </c>
      <c r="K451" s="7" t="str">
        <f>IF(ISNA(MATCH(438,Engine!$C$2:$C$1199,0)),"",INDEX('Compliance Database'!$K$2:$K$1199,MATCH(438,Engine!$C$2:$C$1199,0)))</f>
        <v/>
      </c>
      <c r="L451" s="7" t="str">
        <f>IF(ISNA(MATCH(438,Engine!$C$2:$C$1199,0)),"",INDEX('Compliance Database'!$L$2:$L$1199,MATCH(438,Engine!$C$2:$C$1199,0)))</f>
        <v/>
      </c>
      <c r="M451" s="7" t="str">
        <f>IF(ISNA(MATCH(438,Engine!$C$2:$C$1199,0)),"",INDEX('Compliance Database'!$M$2:$M$1199,MATCH(438,Engine!$C$2:$C$1199,0)))</f>
        <v/>
      </c>
      <c r="N451" s="7" t="str">
        <f>IF(ISNA(MATCH(438,Engine!$C$2:$C$1199,0)),"",INDEX('Compliance Database'!$N$2:$N$1199,MATCH(438,Engine!$C$2:$C$1199,0)))</f>
        <v/>
      </c>
      <c r="O451" s="7" t="str">
        <f>IF(ISNA(MATCH(438,Engine!$C$2:$C$1199,0)),"",INDEX('Compliance Database'!$O$2:$O$1199,MATCH(438,Engine!$C$2:$C$1199,0)))</f>
        <v/>
      </c>
      <c r="P451" s="6" t="str">
        <f>IF(ISNA(MATCH(438,Engine!$C$2:$C$1199,0)),"",HYPERLINK("#Acts!A"&amp;INDEX('Compliance Database'!$P$2:$P$1199,MATCH(438,Engine!$C$2:$C$1199,0)),"Go to Act"))</f>
        <v/>
      </c>
    </row>
    <row r="452" spans="1:16" ht="172.95" customHeight="1" x14ac:dyDescent="0.3">
      <c r="A452" s="6" t="str">
        <f>IF(ISNA(MATCH(439,Engine!$C$2:$C$1199,0)),"",INDEX('Compliance Database'!$A$2:$A$1199,MATCH(439,Engine!$C$2:$C$1199,0)))</f>
        <v/>
      </c>
      <c r="B452" s="6" t="str">
        <f>IF(ISNA(MATCH(439,Engine!$C$2:$C$1199,0)),"",INDEX('Compliance Database'!$B$2:$B$1199,MATCH(439,Engine!$C$2:$C$1199,0)))</f>
        <v/>
      </c>
      <c r="C452" s="6" t="str">
        <f>IF(ISNA(MATCH(439,Engine!$C$2:$C$1199,0)),"",INDEX('Compliance Database'!$C$2:$C$1199,MATCH(439,Engine!$C$2:$C$1199,0)))</f>
        <v/>
      </c>
      <c r="D452" s="7" t="str">
        <f>IF(ISNA(MATCH(439,Engine!$C$2:$C$1199,0)),"",INDEX('Compliance Database'!$D$2:$D$1199,MATCH(439,Engine!$C$2:$C$1199,0)))</f>
        <v/>
      </c>
      <c r="E452" s="6" t="str">
        <f>IF(ISNA(MATCH(439,Engine!$C$2:$C$1199,0)),"",INDEX('Compliance Database'!$E$2:$E$1199,MATCH(439,Engine!$C$2:$C$1199,0)))</f>
        <v/>
      </c>
      <c r="F452" s="6" t="str">
        <f>IF(ISNA(MATCH(439,Engine!$C$2:$C$1199,0)),"",INDEX('Compliance Database'!$F$2:$F$1199,MATCH(439,Engine!$C$2:$C$1199,0)))</f>
        <v/>
      </c>
      <c r="G452" s="6" t="str">
        <f>IF(ISNA(MATCH(439,Engine!$C$2:$C$1199,0)),"",INDEX('Compliance Database'!$G$2:$G$1199,MATCH(439,Engine!$C$2:$C$1199,0)))</f>
        <v/>
      </c>
      <c r="H452" s="7" t="str">
        <f>IF(ISNA(MATCH(439,Engine!$C$2:$C$1199,0)),"",INDEX('Compliance Database'!$H$2:$H$1199,MATCH(439,Engine!$C$2:$C$1199,0)))</f>
        <v/>
      </c>
      <c r="I452" s="7" t="str">
        <f>IF(ISNA(MATCH(439,Engine!$C$2:$C$1199,0)),"",INDEX('Compliance Database'!$I$2:$I$1199,MATCH(439,Engine!$C$2:$C$1199,0)))</f>
        <v/>
      </c>
      <c r="J452" s="6" t="str">
        <f>IF(ISNA(MATCH(439,Engine!$C$2:$C$1199,0)),"",INDEX('Compliance Database'!$J$2:$J$1199,MATCH(439,Engine!$C$2:$C$1199,0)))</f>
        <v/>
      </c>
      <c r="K452" s="7" t="str">
        <f>IF(ISNA(MATCH(439,Engine!$C$2:$C$1199,0)),"",INDEX('Compliance Database'!$K$2:$K$1199,MATCH(439,Engine!$C$2:$C$1199,0)))</f>
        <v/>
      </c>
      <c r="L452" s="7" t="str">
        <f>IF(ISNA(MATCH(439,Engine!$C$2:$C$1199,0)),"",INDEX('Compliance Database'!$L$2:$L$1199,MATCH(439,Engine!$C$2:$C$1199,0)))</f>
        <v/>
      </c>
      <c r="M452" s="7" t="str">
        <f>IF(ISNA(MATCH(439,Engine!$C$2:$C$1199,0)),"",INDEX('Compliance Database'!$M$2:$M$1199,MATCH(439,Engine!$C$2:$C$1199,0)))</f>
        <v/>
      </c>
      <c r="N452" s="7" t="str">
        <f>IF(ISNA(MATCH(439,Engine!$C$2:$C$1199,0)),"",INDEX('Compliance Database'!$N$2:$N$1199,MATCH(439,Engine!$C$2:$C$1199,0)))</f>
        <v/>
      </c>
      <c r="O452" s="7" t="str">
        <f>IF(ISNA(MATCH(439,Engine!$C$2:$C$1199,0)),"",INDEX('Compliance Database'!$O$2:$O$1199,MATCH(439,Engine!$C$2:$C$1199,0)))</f>
        <v/>
      </c>
      <c r="P452" s="6" t="str">
        <f>IF(ISNA(MATCH(439,Engine!$C$2:$C$1199,0)),"",HYPERLINK("#Acts!A"&amp;INDEX('Compliance Database'!$P$2:$P$1199,MATCH(439,Engine!$C$2:$C$1199,0)),"Go to Act"))</f>
        <v/>
      </c>
    </row>
    <row r="453" spans="1:16" ht="172.95" customHeight="1" x14ac:dyDescent="0.3">
      <c r="A453" s="6" t="str">
        <f>IF(ISNA(MATCH(440,Engine!$C$2:$C$1199,0)),"",INDEX('Compliance Database'!$A$2:$A$1199,MATCH(440,Engine!$C$2:$C$1199,0)))</f>
        <v/>
      </c>
      <c r="B453" s="6" t="str">
        <f>IF(ISNA(MATCH(440,Engine!$C$2:$C$1199,0)),"",INDEX('Compliance Database'!$B$2:$B$1199,MATCH(440,Engine!$C$2:$C$1199,0)))</f>
        <v/>
      </c>
      <c r="C453" s="6" t="str">
        <f>IF(ISNA(MATCH(440,Engine!$C$2:$C$1199,0)),"",INDEX('Compliance Database'!$C$2:$C$1199,MATCH(440,Engine!$C$2:$C$1199,0)))</f>
        <v/>
      </c>
      <c r="D453" s="7" t="str">
        <f>IF(ISNA(MATCH(440,Engine!$C$2:$C$1199,0)),"",INDEX('Compliance Database'!$D$2:$D$1199,MATCH(440,Engine!$C$2:$C$1199,0)))</f>
        <v/>
      </c>
      <c r="E453" s="6" t="str">
        <f>IF(ISNA(MATCH(440,Engine!$C$2:$C$1199,0)),"",INDEX('Compliance Database'!$E$2:$E$1199,MATCH(440,Engine!$C$2:$C$1199,0)))</f>
        <v/>
      </c>
      <c r="F453" s="6" t="str">
        <f>IF(ISNA(MATCH(440,Engine!$C$2:$C$1199,0)),"",INDEX('Compliance Database'!$F$2:$F$1199,MATCH(440,Engine!$C$2:$C$1199,0)))</f>
        <v/>
      </c>
      <c r="G453" s="6" t="str">
        <f>IF(ISNA(MATCH(440,Engine!$C$2:$C$1199,0)),"",INDEX('Compliance Database'!$G$2:$G$1199,MATCH(440,Engine!$C$2:$C$1199,0)))</f>
        <v/>
      </c>
      <c r="H453" s="7" t="str">
        <f>IF(ISNA(MATCH(440,Engine!$C$2:$C$1199,0)),"",INDEX('Compliance Database'!$H$2:$H$1199,MATCH(440,Engine!$C$2:$C$1199,0)))</f>
        <v/>
      </c>
      <c r="I453" s="7" t="str">
        <f>IF(ISNA(MATCH(440,Engine!$C$2:$C$1199,0)),"",INDEX('Compliance Database'!$I$2:$I$1199,MATCH(440,Engine!$C$2:$C$1199,0)))</f>
        <v/>
      </c>
      <c r="J453" s="6" t="str">
        <f>IF(ISNA(MATCH(440,Engine!$C$2:$C$1199,0)),"",INDEX('Compliance Database'!$J$2:$J$1199,MATCH(440,Engine!$C$2:$C$1199,0)))</f>
        <v/>
      </c>
      <c r="K453" s="7" t="str">
        <f>IF(ISNA(MATCH(440,Engine!$C$2:$C$1199,0)),"",INDEX('Compliance Database'!$K$2:$K$1199,MATCH(440,Engine!$C$2:$C$1199,0)))</f>
        <v/>
      </c>
      <c r="L453" s="7" t="str">
        <f>IF(ISNA(MATCH(440,Engine!$C$2:$C$1199,0)),"",INDEX('Compliance Database'!$L$2:$L$1199,MATCH(440,Engine!$C$2:$C$1199,0)))</f>
        <v/>
      </c>
      <c r="M453" s="7" t="str">
        <f>IF(ISNA(MATCH(440,Engine!$C$2:$C$1199,0)),"",INDEX('Compliance Database'!$M$2:$M$1199,MATCH(440,Engine!$C$2:$C$1199,0)))</f>
        <v/>
      </c>
      <c r="N453" s="7" t="str">
        <f>IF(ISNA(MATCH(440,Engine!$C$2:$C$1199,0)),"",INDEX('Compliance Database'!$N$2:$N$1199,MATCH(440,Engine!$C$2:$C$1199,0)))</f>
        <v/>
      </c>
      <c r="O453" s="7" t="str">
        <f>IF(ISNA(MATCH(440,Engine!$C$2:$C$1199,0)),"",INDEX('Compliance Database'!$O$2:$O$1199,MATCH(440,Engine!$C$2:$C$1199,0)))</f>
        <v/>
      </c>
      <c r="P453" s="6" t="str">
        <f>IF(ISNA(MATCH(440,Engine!$C$2:$C$1199,0)),"",HYPERLINK("#Acts!A"&amp;INDEX('Compliance Database'!$P$2:$P$1199,MATCH(440,Engine!$C$2:$C$1199,0)),"Go to Act"))</f>
        <v/>
      </c>
    </row>
    <row r="454" spans="1:16" ht="172.95" customHeight="1" x14ac:dyDescent="0.3">
      <c r="A454" s="6" t="str">
        <f>IF(ISNA(MATCH(441,Engine!$C$2:$C$1199,0)),"",INDEX('Compliance Database'!$A$2:$A$1199,MATCH(441,Engine!$C$2:$C$1199,0)))</f>
        <v/>
      </c>
      <c r="B454" s="6" t="str">
        <f>IF(ISNA(MATCH(441,Engine!$C$2:$C$1199,0)),"",INDEX('Compliance Database'!$B$2:$B$1199,MATCH(441,Engine!$C$2:$C$1199,0)))</f>
        <v/>
      </c>
      <c r="C454" s="6" t="str">
        <f>IF(ISNA(MATCH(441,Engine!$C$2:$C$1199,0)),"",INDEX('Compliance Database'!$C$2:$C$1199,MATCH(441,Engine!$C$2:$C$1199,0)))</f>
        <v/>
      </c>
      <c r="D454" s="7" t="str">
        <f>IF(ISNA(MATCH(441,Engine!$C$2:$C$1199,0)),"",INDEX('Compliance Database'!$D$2:$D$1199,MATCH(441,Engine!$C$2:$C$1199,0)))</f>
        <v/>
      </c>
      <c r="E454" s="6" t="str">
        <f>IF(ISNA(MATCH(441,Engine!$C$2:$C$1199,0)),"",INDEX('Compliance Database'!$E$2:$E$1199,MATCH(441,Engine!$C$2:$C$1199,0)))</f>
        <v/>
      </c>
      <c r="F454" s="6" t="str">
        <f>IF(ISNA(MATCH(441,Engine!$C$2:$C$1199,0)),"",INDEX('Compliance Database'!$F$2:$F$1199,MATCH(441,Engine!$C$2:$C$1199,0)))</f>
        <v/>
      </c>
      <c r="G454" s="6" t="str">
        <f>IF(ISNA(MATCH(441,Engine!$C$2:$C$1199,0)),"",INDEX('Compliance Database'!$G$2:$G$1199,MATCH(441,Engine!$C$2:$C$1199,0)))</f>
        <v/>
      </c>
      <c r="H454" s="7" t="str">
        <f>IF(ISNA(MATCH(441,Engine!$C$2:$C$1199,0)),"",INDEX('Compliance Database'!$H$2:$H$1199,MATCH(441,Engine!$C$2:$C$1199,0)))</f>
        <v/>
      </c>
      <c r="I454" s="7" t="str">
        <f>IF(ISNA(MATCH(441,Engine!$C$2:$C$1199,0)),"",INDEX('Compliance Database'!$I$2:$I$1199,MATCH(441,Engine!$C$2:$C$1199,0)))</f>
        <v/>
      </c>
      <c r="J454" s="6" t="str">
        <f>IF(ISNA(MATCH(441,Engine!$C$2:$C$1199,0)),"",INDEX('Compliance Database'!$J$2:$J$1199,MATCH(441,Engine!$C$2:$C$1199,0)))</f>
        <v/>
      </c>
      <c r="K454" s="7" t="str">
        <f>IF(ISNA(MATCH(441,Engine!$C$2:$C$1199,0)),"",INDEX('Compliance Database'!$K$2:$K$1199,MATCH(441,Engine!$C$2:$C$1199,0)))</f>
        <v/>
      </c>
      <c r="L454" s="7" t="str">
        <f>IF(ISNA(MATCH(441,Engine!$C$2:$C$1199,0)),"",INDEX('Compliance Database'!$L$2:$L$1199,MATCH(441,Engine!$C$2:$C$1199,0)))</f>
        <v/>
      </c>
      <c r="M454" s="7" t="str">
        <f>IF(ISNA(MATCH(441,Engine!$C$2:$C$1199,0)),"",INDEX('Compliance Database'!$M$2:$M$1199,MATCH(441,Engine!$C$2:$C$1199,0)))</f>
        <v/>
      </c>
      <c r="N454" s="7" t="str">
        <f>IF(ISNA(MATCH(441,Engine!$C$2:$C$1199,0)),"",INDEX('Compliance Database'!$N$2:$N$1199,MATCH(441,Engine!$C$2:$C$1199,0)))</f>
        <v/>
      </c>
      <c r="O454" s="7" t="str">
        <f>IF(ISNA(MATCH(441,Engine!$C$2:$C$1199,0)),"",INDEX('Compliance Database'!$O$2:$O$1199,MATCH(441,Engine!$C$2:$C$1199,0)))</f>
        <v/>
      </c>
      <c r="P454" s="6" t="str">
        <f>IF(ISNA(MATCH(441,Engine!$C$2:$C$1199,0)),"",HYPERLINK("#Acts!A"&amp;INDEX('Compliance Database'!$P$2:$P$1199,MATCH(441,Engine!$C$2:$C$1199,0)),"Go to Act"))</f>
        <v/>
      </c>
    </row>
    <row r="455" spans="1:16" ht="172.95" customHeight="1" x14ac:dyDescent="0.3">
      <c r="A455" s="6" t="str">
        <f>IF(ISNA(MATCH(442,Engine!$C$2:$C$1199,0)),"",INDEX('Compliance Database'!$A$2:$A$1199,MATCH(442,Engine!$C$2:$C$1199,0)))</f>
        <v/>
      </c>
      <c r="B455" s="6" t="str">
        <f>IF(ISNA(MATCH(442,Engine!$C$2:$C$1199,0)),"",INDEX('Compliance Database'!$B$2:$B$1199,MATCH(442,Engine!$C$2:$C$1199,0)))</f>
        <v/>
      </c>
      <c r="C455" s="6" t="str">
        <f>IF(ISNA(MATCH(442,Engine!$C$2:$C$1199,0)),"",INDEX('Compliance Database'!$C$2:$C$1199,MATCH(442,Engine!$C$2:$C$1199,0)))</f>
        <v/>
      </c>
      <c r="D455" s="7" t="str">
        <f>IF(ISNA(MATCH(442,Engine!$C$2:$C$1199,0)),"",INDEX('Compliance Database'!$D$2:$D$1199,MATCH(442,Engine!$C$2:$C$1199,0)))</f>
        <v/>
      </c>
      <c r="E455" s="6" t="str">
        <f>IF(ISNA(MATCH(442,Engine!$C$2:$C$1199,0)),"",INDEX('Compliance Database'!$E$2:$E$1199,MATCH(442,Engine!$C$2:$C$1199,0)))</f>
        <v/>
      </c>
      <c r="F455" s="6" t="str">
        <f>IF(ISNA(MATCH(442,Engine!$C$2:$C$1199,0)),"",INDEX('Compliance Database'!$F$2:$F$1199,MATCH(442,Engine!$C$2:$C$1199,0)))</f>
        <v/>
      </c>
      <c r="G455" s="6" t="str">
        <f>IF(ISNA(MATCH(442,Engine!$C$2:$C$1199,0)),"",INDEX('Compliance Database'!$G$2:$G$1199,MATCH(442,Engine!$C$2:$C$1199,0)))</f>
        <v/>
      </c>
      <c r="H455" s="7" t="str">
        <f>IF(ISNA(MATCH(442,Engine!$C$2:$C$1199,0)),"",INDEX('Compliance Database'!$H$2:$H$1199,MATCH(442,Engine!$C$2:$C$1199,0)))</f>
        <v/>
      </c>
      <c r="I455" s="7" t="str">
        <f>IF(ISNA(MATCH(442,Engine!$C$2:$C$1199,0)),"",INDEX('Compliance Database'!$I$2:$I$1199,MATCH(442,Engine!$C$2:$C$1199,0)))</f>
        <v/>
      </c>
      <c r="J455" s="6" t="str">
        <f>IF(ISNA(MATCH(442,Engine!$C$2:$C$1199,0)),"",INDEX('Compliance Database'!$J$2:$J$1199,MATCH(442,Engine!$C$2:$C$1199,0)))</f>
        <v/>
      </c>
      <c r="K455" s="7" t="str">
        <f>IF(ISNA(MATCH(442,Engine!$C$2:$C$1199,0)),"",INDEX('Compliance Database'!$K$2:$K$1199,MATCH(442,Engine!$C$2:$C$1199,0)))</f>
        <v/>
      </c>
      <c r="L455" s="7" t="str">
        <f>IF(ISNA(MATCH(442,Engine!$C$2:$C$1199,0)),"",INDEX('Compliance Database'!$L$2:$L$1199,MATCH(442,Engine!$C$2:$C$1199,0)))</f>
        <v/>
      </c>
      <c r="M455" s="7" t="str">
        <f>IF(ISNA(MATCH(442,Engine!$C$2:$C$1199,0)),"",INDEX('Compliance Database'!$M$2:$M$1199,MATCH(442,Engine!$C$2:$C$1199,0)))</f>
        <v/>
      </c>
      <c r="N455" s="7" t="str">
        <f>IF(ISNA(MATCH(442,Engine!$C$2:$C$1199,0)),"",INDEX('Compliance Database'!$N$2:$N$1199,MATCH(442,Engine!$C$2:$C$1199,0)))</f>
        <v/>
      </c>
      <c r="O455" s="7" t="str">
        <f>IF(ISNA(MATCH(442,Engine!$C$2:$C$1199,0)),"",INDEX('Compliance Database'!$O$2:$O$1199,MATCH(442,Engine!$C$2:$C$1199,0)))</f>
        <v/>
      </c>
      <c r="P455" s="6" t="str">
        <f>IF(ISNA(MATCH(442,Engine!$C$2:$C$1199,0)),"",HYPERLINK("#Acts!A"&amp;INDEX('Compliance Database'!$P$2:$P$1199,MATCH(442,Engine!$C$2:$C$1199,0)),"Go to Act"))</f>
        <v/>
      </c>
    </row>
    <row r="456" spans="1:16" ht="172.95" customHeight="1" x14ac:dyDescent="0.3">
      <c r="A456" s="6" t="str">
        <f>IF(ISNA(MATCH(443,Engine!$C$2:$C$1199,0)),"",INDEX('Compliance Database'!$A$2:$A$1199,MATCH(443,Engine!$C$2:$C$1199,0)))</f>
        <v/>
      </c>
      <c r="B456" s="6" t="str">
        <f>IF(ISNA(MATCH(443,Engine!$C$2:$C$1199,0)),"",INDEX('Compliance Database'!$B$2:$B$1199,MATCH(443,Engine!$C$2:$C$1199,0)))</f>
        <v/>
      </c>
      <c r="C456" s="6" t="str">
        <f>IF(ISNA(MATCH(443,Engine!$C$2:$C$1199,0)),"",INDEX('Compliance Database'!$C$2:$C$1199,MATCH(443,Engine!$C$2:$C$1199,0)))</f>
        <v/>
      </c>
      <c r="D456" s="7" t="str">
        <f>IF(ISNA(MATCH(443,Engine!$C$2:$C$1199,0)),"",INDEX('Compliance Database'!$D$2:$D$1199,MATCH(443,Engine!$C$2:$C$1199,0)))</f>
        <v/>
      </c>
      <c r="E456" s="6" t="str">
        <f>IF(ISNA(MATCH(443,Engine!$C$2:$C$1199,0)),"",INDEX('Compliance Database'!$E$2:$E$1199,MATCH(443,Engine!$C$2:$C$1199,0)))</f>
        <v/>
      </c>
      <c r="F456" s="6" t="str">
        <f>IF(ISNA(MATCH(443,Engine!$C$2:$C$1199,0)),"",INDEX('Compliance Database'!$F$2:$F$1199,MATCH(443,Engine!$C$2:$C$1199,0)))</f>
        <v/>
      </c>
      <c r="G456" s="6" t="str">
        <f>IF(ISNA(MATCH(443,Engine!$C$2:$C$1199,0)),"",INDEX('Compliance Database'!$G$2:$G$1199,MATCH(443,Engine!$C$2:$C$1199,0)))</f>
        <v/>
      </c>
      <c r="H456" s="7" t="str">
        <f>IF(ISNA(MATCH(443,Engine!$C$2:$C$1199,0)),"",INDEX('Compliance Database'!$H$2:$H$1199,MATCH(443,Engine!$C$2:$C$1199,0)))</f>
        <v/>
      </c>
      <c r="I456" s="7" t="str">
        <f>IF(ISNA(MATCH(443,Engine!$C$2:$C$1199,0)),"",INDEX('Compliance Database'!$I$2:$I$1199,MATCH(443,Engine!$C$2:$C$1199,0)))</f>
        <v/>
      </c>
      <c r="J456" s="6" t="str">
        <f>IF(ISNA(MATCH(443,Engine!$C$2:$C$1199,0)),"",INDEX('Compliance Database'!$J$2:$J$1199,MATCH(443,Engine!$C$2:$C$1199,0)))</f>
        <v/>
      </c>
      <c r="K456" s="7" t="str">
        <f>IF(ISNA(MATCH(443,Engine!$C$2:$C$1199,0)),"",INDEX('Compliance Database'!$K$2:$K$1199,MATCH(443,Engine!$C$2:$C$1199,0)))</f>
        <v/>
      </c>
      <c r="L456" s="7" t="str">
        <f>IF(ISNA(MATCH(443,Engine!$C$2:$C$1199,0)),"",INDEX('Compliance Database'!$L$2:$L$1199,MATCH(443,Engine!$C$2:$C$1199,0)))</f>
        <v/>
      </c>
      <c r="M456" s="7" t="str">
        <f>IF(ISNA(MATCH(443,Engine!$C$2:$C$1199,0)),"",INDEX('Compliance Database'!$M$2:$M$1199,MATCH(443,Engine!$C$2:$C$1199,0)))</f>
        <v/>
      </c>
      <c r="N456" s="7" t="str">
        <f>IF(ISNA(MATCH(443,Engine!$C$2:$C$1199,0)),"",INDEX('Compliance Database'!$N$2:$N$1199,MATCH(443,Engine!$C$2:$C$1199,0)))</f>
        <v/>
      </c>
      <c r="O456" s="7" t="str">
        <f>IF(ISNA(MATCH(443,Engine!$C$2:$C$1199,0)),"",INDEX('Compliance Database'!$O$2:$O$1199,MATCH(443,Engine!$C$2:$C$1199,0)))</f>
        <v/>
      </c>
      <c r="P456" s="6" t="str">
        <f>IF(ISNA(MATCH(443,Engine!$C$2:$C$1199,0)),"",HYPERLINK("#Acts!A"&amp;INDEX('Compliance Database'!$P$2:$P$1199,MATCH(443,Engine!$C$2:$C$1199,0)),"Go to Act"))</f>
        <v/>
      </c>
    </row>
    <row r="457" spans="1:16" ht="172.95" customHeight="1" x14ac:dyDescent="0.3">
      <c r="A457" s="6" t="str">
        <f>IF(ISNA(MATCH(444,Engine!$C$2:$C$1199,0)),"",INDEX('Compliance Database'!$A$2:$A$1199,MATCH(444,Engine!$C$2:$C$1199,0)))</f>
        <v/>
      </c>
      <c r="B457" s="6" t="str">
        <f>IF(ISNA(MATCH(444,Engine!$C$2:$C$1199,0)),"",INDEX('Compliance Database'!$B$2:$B$1199,MATCH(444,Engine!$C$2:$C$1199,0)))</f>
        <v/>
      </c>
      <c r="C457" s="6" t="str">
        <f>IF(ISNA(MATCH(444,Engine!$C$2:$C$1199,0)),"",INDEX('Compliance Database'!$C$2:$C$1199,MATCH(444,Engine!$C$2:$C$1199,0)))</f>
        <v/>
      </c>
      <c r="D457" s="7" t="str">
        <f>IF(ISNA(MATCH(444,Engine!$C$2:$C$1199,0)),"",INDEX('Compliance Database'!$D$2:$D$1199,MATCH(444,Engine!$C$2:$C$1199,0)))</f>
        <v/>
      </c>
      <c r="E457" s="6" t="str">
        <f>IF(ISNA(MATCH(444,Engine!$C$2:$C$1199,0)),"",INDEX('Compliance Database'!$E$2:$E$1199,MATCH(444,Engine!$C$2:$C$1199,0)))</f>
        <v/>
      </c>
      <c r="F457" s="6" t="str">
        <f>IF(ISNA(MATCH(444,Engine!$C$2:$C$1199,0)),"",INDEX('Compliance Database'!$F$2:$F$1199,MATCH(444,Engine!$C$2:$C$1199,0)))</f>
        <v/>
      </c>
      <c r="G457" s="6" t="str">
        <f>IF(ISNA(MATCH(444,Engine!$C$2:$C$1199,0)),"",INDEX('Compliance Database'!$G$2:$G$1199,MATCH(444,Engine!$C$2:$C$1199,0)))</f>
        <v/>
      </c>
      <c r="H457" s="7" t="str">
        <f>IF(ISNA(MATCH(444,Engine!$C$2:$C$1199,0)),"",INDEX('Compliance Database'!$H$2:$H$1199,MATCH(444,Engine!$C$2:$C$1199,0)))</f>
        <v/>
      </c>
      <c r="I457" s="7" t="str">
        <f>IF(ISNA(MATCH(444,Engine!$C$2:$C$1199,0)),"",INDEX('Compliance Database'!$I$2:$I$1199,MATCH(444,Engine!$C$2:$C$1199,0)))</f>
        <v/>
      </c>
      <c r="J457" s="6" t="str">
        <f>IF(ISNA(MATCH(444,Engine!$C$2:$C$1199,0)),"",INDEX('Compliance Database'!$J$2:$J$1199,MATCH(444,Engine!$C$2:$C$1199,0)))</f>
        <v/>
      </c>
      <c r="K457" s="7" t="str">
        <f>IF(ISNA(MATCH(444,Engine!$C$2:$C$1199,0)),"",INDEX('Compliance Database'!$K$2:$K$1199,MATCH(444,Engine!$C$2:$C$1199,0)))</f>
        <v/>
      </c>
      <c r="L457" s="7" t="str">
        <f>IF(ISNA(MATCH(444,Engine!$C$2:$C$1199,0)),"",INDEX('Compliance Database'!$L$2:$L$1199,MATCH(444,Engine!$C$2:$C$1199,0)))</f>
        <v/>
      </c>
      <c r="M457" s="7" t="str">
        <f>IF(ISNA(MATCH(444,Engine!$C$2:$C$1199,0)),"",INDEX('Compliance Database'!$M$2:$M$1199,MATCH(444,Engine!$C$2:$C$1199,0)))</f>
        <v/>
      </c>
      <c r="N457" s="7" t="str">
        <f>IF(ISNA(MATCH(444,Engine!$C$2:$C$1199,0)),"",INDEX('Compliance Database'!$N$2:$N$1199,MATCH(444,Engine!$C$2:$C$1199,0)))</f>
        <v/>
      </c>
      <c r="O457" s="7" t="str">
        <f>IF(ISNA(MATCH(444,Engine!$C$2:$C$1199,0)),"",INDEX('Compliance Database'!$O$2:$O$1199,MATCH(444,Engine!$C$2:$C$1199,0)))</f>
        <v/>
      </c>
      <c r="P457" s="6" t="str">
        <f>IF(ISNA(MATCH(444,Engine!$C$2:$C$1199,0)),"",HYPERLINK("#Acts!A"&amp;INDEX('Compliance Database'!$P$2:$P$1199,MATCH(444,Engine!$C$2:$C$1199,0)),"Go to Act"))</f>
        <v/>
      </c>
    </row>
    <row r="458" spans="1:16" ht="172.95" customHeight="1" x14ac:dyDescent="0.3">
      <c r="A458" s="6" t="str">
        <f>IF(ISNA(MATCH(445,Engine!$C$2:$C$1199,0)),"",INDEX('Compliance Database'!$A$2:$A$1199,MATCH(445,Engine!$C$2:$C$1199,0)))</f>
        <v/>
      </c>
      <c r="B458" s="6" t="str">
        <f>IF(ISNA(MATCH(445,Engine!$C$2:$C$1199,0)),"",INDEX('Compliance Database'!$B$2:$B$1199,MATCH(445,Engine!$C$2:$C$1199,0)))</f>
        <v/>
      </c>
      <c r="C458" s="6" t="str">
        <f>IF(ISNA(MATCH(445,Engine!$C$2:$C$1199,0)),"",INDEX('Compliance Database'!$C$2:$C$1199,MATCH(445,Engine!$C$2:$C$1199,0)))</f>
        <v/>
      </c>
      <c r="D458" s="7" t="str">
        <f>IF(ISNA(MATCH(445,Engine!$C$2:$C$1199,0)),"",INDEX('Compliance Database'!$D$2:$D$1199,MATCH(445,Engine!$C$2:$C$1199,0)))</f>
        <v/>
      </c>
      <c r="E458" s="6" t="str">
        <f>IF(ISNA(MATCH(445,Engine!$C$2:$C$1199,0)),"",INDEX('Compliance Database'!$E$2:$E$1199,MATCH(445,Engine!$C$2:$C$1199,0)))</f>
        <v/>
      </c>
      <c r="F458" s="6" t="str">
        <f>IF(ISNA(MATCH(445,Engine!$C$2:$C$1199,0)),"",INDEX('Compliance Database'!$F$2:$F$1199,MATCH(445,Engine!$C$2:$C$1199,0)))</f>
        <v/>
      </c>
      <c r="G458" s="6" t="str">
        <f>IF(ISNA(MATCH(445,Engine!$C$2:$C$1199,0)),"",INDEX('Compliance Database'!$G$2:$G$1199,MATCH(445,Engine!$C$2:$C$1199,0)))</f>
        <v/>
      </c>
      <c r="H458" s="7" t="str">
        <f>IF(ISNA(MATCH(445,Engine!$C$2:$C$1199,0)),"",INDEX('Compliance Database'!$H$2:$H$1199,MATCH(445,Engine!$C$2:$C$1199,0)))</f>
        <v/>
      </c>
      <c r="I458" s="7" t="str">
        <f>IF(ISNA(MATCH(445,Engine!$C$2:$C$1199,0)),"",INDEX('Compliance Database'!$I$2:$I$1199,MATCH(445,Engine!$C$2:$C$1199,0)))</f>
        <v/>
      </c>
      <c r="J458" s="6" t="str">
        <f>IF(ISNA(MATCH(445,Engine!$C$2:$C$1199,0)),"",INDEX('Compliance Database'!$J$2:$J$1199,MATCH(445,Engine!$C$2:$C$1199,0)))</f>
        <v/>
      </c>
      <c r="K458" s="7" t="str">
        <f>IF(ISNA(MATCH(445,Engine!$C$2:$C$1199,0)),"",INDEX('Compliance Database'!$K$2:$K$1199,MATCH(445,Engine!$C$2:$C$1199,0)))</f>
        <v/>
      </c>
      <c r="L458" s="7" t="str">
        <f>IF(ISNA(MATCH(445,Engine!$C$2:$C$1199,0)),"",INDEX('Compliance Database'!$L$2:$L$1199,MATCH(445,Engine!$C$2:$C$1199,0)))</f>
        <v/>
      </c>
      <c r="M458" s="7" t="str">
        <f>IF(ISNA(MATCH(445,Engine!$C$2:$C$1199,0)),"",INDEX('Compliance Database'!$M$2:$M$1199,MATCH(445,Engine!$C$2:$C$1199,0)))</f>
        <v/>
      </c>
      <c r="N458" s="7" t="str">
        <f>IF(ISNA(MATCH(445,Engine!$C$2:$C$1199,0)),"",INDEX('Compliance Database'!$N$2:$N$1199,MATCH(445,Engine!$C$2:$C$1199,0)))</f>
        <v/>
      </c>
      <c r="O458" s="7" t="str">
        <f>IF(ISNA(MATCH(445,Engine!$C$2:$C$1199,0)),"",INDEX('Compliance Database'!$O$2:$O$1199,MATCH(445,Engine!$C$2:$C$1199,0)))</f>
        <v/>
      </c>
      <c r="P458" s="6" t="str">
        <f>IF(ISNA(MATCH(445,Engine!$C$2:$C$1199,0)),"",HYPERLINK("#Acts!A"&amp;INDEX('Compliance Database'!$P$2:$P$1199,MATCH(445,Engine!$C$2:$C$1199,0)),"Go to Act"))</f>
        <v/>
      </c>
    </row>
    <row r="459" spans="1:16" ht="172.95" customHeight="1" x14ac:dyDescent="0.3">
      <c r="A459" s="6" t="str">
        <f>IF(ISNA(MATCH(446,Engine!$C$2:$C$1199,0)),"",INDEX('Compliance Database'!$A$2:$A$1199,MATCH(446,Engine!$C$2:$C$1199,0)))</f>
        <v/>
      </c>
      <c r="B459" s="6" t="str">
        <f>IF(ISNA(MATCH(446,Engine!$C$2:$C$1199,0)),"",INDEX('Compliance Database'!$B$2:$B$1199,MATCH(446,Engine!$C$2:$C$1199,0)))</f>
        <v/>
      </c>
      <c r="C459" s="6" t="str">
        <f>IF(ISNA(MATCH(446,Engine!$C$2:$C$1199,0)),"",INDEX('Compliance Database'!$C$2:$C$1199,MATCH(446,Engine!$C$2:$C$1199,0)))</f>
        <v/>
      </c>
      <c r="D459" s="7" t="str">
        <f>IF(ISNA(MATCH(446,Engine!$C$2:$C$1199,0)),"",INDEX('Compliance Database'!$D$2:$D$1199,MATCH(446,Engine!$C$2:$C$1199,0)))</f>
        <v/>
      </c>
      <c r="E459" s="6" t="str">
        <f>IF(ISNA(MATCH(446,Engine!$C$2:$C$1199,0)),"",INDEX('Compliance Database'!$E$2:$E$1199,MATCH(446,Engine!$C$2:$C$1199,0)))</f>
        <v/>
      </c>
      <c r="F459" s="6" t="str">
        <f>IF(ISNA(MATCH(446,Engine!$C$2:$C$1199,0)),"",INDEX('Compliance Database'!$F$2:$F$1199,MATCH(446,Engine!$C$2:$C$1199,0)))</f>
        <v/>
      </c>
      <c r="G459" s="6" t="str">
        <f>IF(ISNA(MATCH(446,Engine!$C$2:$C$1199,0)),"",INDEX('Compliance Database'!$G$2:$G$1199,MATCH(446,Engine!$C$2:$C$1199,0)))</f>
        <v/>
      </c>
      <c r="H459" s="7" t="str">
        <f>IF(ISNA(MATCH(446,Engine!$C$2:$C$1199,0)),"",INDEX('Compliance Database'!$H$2:$H$1199,MATCH(446,Engine!$C$2:$C$1199,0)))</f>
        <v/>
      </c>
      <c r="I459" s="7" t="str">
        <f>IF(ISNA(MATCH(446,Engine!$C$2:$C$1199,0)),"",INDEX('Compliance Database'!$I$2:$I$1199,MATCH(446,Engine!$C$2:$C$1199,0)))</f>
        <v/>
      </c>
      <c r="J459" s="6" t="str">
        <f>IF(ISNA(MATCH(446,Engine!$C$2:$C$1199,0)),"",INDEX('Compliance Database'!$J$2:$J$1199,MATCH(446,Engine!$C$2:$C$1199,0)))</f>
        <v/>
      </c>
      <c r="K459" s="7" t="str">
        <f>IF(ISNA(MATCH(446,Engine!$C$2:$C$1199,0)),"",INDEX('Compliance Database'!$K$2:$K$1199,MATCH(446,Engine!$C$2:$C$1199,0)))</f>
        <v/>
      </c>
      <c r="L459" s="7" t="str">
        <f>IF(ISNA(MATCH(446,Engine!$C$2:$C$1199,0)),"",INDEX('Compliance Database'!$L$2:$L$1199,MATCH(446,Engine!$C$2:$C$1199,0)))</f>
        <v/>
      </c>
      <c r="M459" s="7" t="str">
        <f>IF(ISNA(MATCH(446,Engine!$C$2:$C$1199,0)),"",INDEX('Compliance Database'!$M$2:$M$1199,MATCH(446,Engine!$C$2:$C$1199,0)))</f>
        <v/>
      </c>
      <c r="N459" s="7" t="str">
        <f>IF(ISNA(MATCH(446,Engine!$C$2:$C$1199,0)),"",INDEX('Compliance Database'!$N$2:$N$1199,MATCH(446,Engine!$C$2:$C$1199,0)))</f>
        <v/>
      </c>
      <c r="O459" s="7" t="str">
        <f>IF(ISNA(MATCH(446,Engine!$C$2:$C$1199,0)),"",INDEX('Compliance Database'!$O$2:$O$1199,MATCH(446,Engine!$C$2:$C$1199,0)))</f>
        <v/>
      </c>
      <c r="P459" s="6" t="str">
        <f>IF(ISNA(MATCH(446,Engine!$C$2:$C$1199,0)),"",HYPERLINK("#Acts!A"&amp;INDEX('Compliance Database'!$P$2:$P$1199,MATCH(446,Engine!$C$2:$C$1199,0)),"Go to Act"))</f>
        <v/>
      </c>
    </row>
    <row r="460" spans="1:16" ht="172.95" customHeight="1" x14ac:dyDescent="0.3">
      <c r="A460" s="6" t="str">
        <f>IF(ISNA(MATCH(447,Engine!$C$2:$C$1199,0)),"",INDEX('Compliance Database'!$A$2:$A$1199,MATCH(447,Engine!$C$2:$C$1199,0)))</f>
        <v/>
      </c>
      <c r="B460" s="6" t="str">
        <f>IF(ISNA(MATCH(447,Engine!$C$2:$C$1199,0)),"",INDEX('Compliance Database'!$B$2:$B$1199,MATCH(447,Engine!$C$2:$C$1199,0)))</f>
        <v/>
      </c>
      <c r="C460" s="6" t="str">
        <f>IF(ISNA(MATCH(447,Engine!$C$2:$C$1199,0)),"",INDEX('Compliance Database'!$C$2:$C$1199,MATCH(447,Engine!$C$2:$C$1199,0)))</f>
        <v/>
      </c>
      <c r="D460" s="7" t="str">
        <f>IF(ISNA(MATCH(447,Engine!$C$2:$C$1199,0)),"",INDEX('Compliance Database'!$D$2:$D$1199,MATCH(447,Engine!$C$2:$C$1199,0)))</f>
        <v/>
      </c>
      <c r="E460" s="6" t="str">
        <f>IF(ISNA(MATCH(447,Engine!$C$2:$C$1199,0)),"",INDEX('Compliance Database'!$E$2:$E$1199,MATCH(447,Engine!$C$2:$C$1199,0)))</f>
        <v/>
      </c>
      <c r="F460" s="6" t="str">
        <f>IF(ISNA(MATCH(447,Engine!$C$2:$C$1199,0)),"",INDEX('Compliance Database'!$F$2:$F$1199,MATCH(447,Engine!$C$2:$C$1199,0)))</f>
        <v/>
      </c>
      <c r="G460" s="6" t="str">
        <f>IF(ISNA(MATCH(447,Engine!$C$2:$C$1199,0)),"",INDEX('Compliance Database'!$G$2:$G$1199,MATCH(447,Engine!$C$2:$C$1199,0)))</f>
        <v/>
      </c>
      <c r="H460" s="7" t="str">
        <f>IF(ISNA(MATCH(447,Engine!$C$2:$C$1199,0)),"",INDEX('Compliance Database'!$H$2:$H$1199,MATCH(447,Engine!$C$2:$C$1199,0)))</f>
        <v/>
      </c>
      <c r="I460" s="7" t="str">
        <f>IF(ISNA(MATCH(447,Engine!$C$2:$C$1199,0)),"",INDEX('Compliance Database'!$I$2:$I$1199,MATCH(447,Engine!$C$2:$C$1199,0)))</f>
        <v/>
      </c>
      <c r="J460" s="6" t="str">
        <f>IF(ISNA(MATCH(447,Engine!$C$2:$C$1199,0)),"",INDEX('Compliance Database'!$J$2:$J$1199,MATCH(447,Engine!$C$2:$C$1199,0)))</f>
        <v/>
      </c>
      <c r="K460" s="7" t="str">
        <f>IF(ISNA(MATCH(447,Engine!$C$2:$C$1199,0)),"",INDEX('Compliance Database'!$K$2:$K$1199,MATCH(447,Engine!$C$2:$C$1199,0)))</f>
        <v/>
      </c>
      <c r="L460" s="7" t="str">
        <f>IF(ISNA(MATCH(447,Engine!$C$2:$C$1199,0)),"",INDEX('Compliance Database'!$L$2:$L$1199,MATCH(447,Engine!$C$2:$C$1199,0)))</f>
        <v/>
      </c>
      <c r="M460" s="7" t="str">
        <f>IF(ISNA(MATCH(447,Engine!$C$2:$C$1199,0)),"",INDEX('Compliance Database'!$M$2:$M$1199,MATCH(447,Engine!$C$2:$C$1199,0)))</f>
        <v/>
      </c>
      <c r="N460" s="7" t="str">
        <f>IF(ISNA(MATCH(447,Engine!$C$2:$C$1199,0)),"",INDEX('Compliance Database'!$N$2:$N$1199,MATCH(447,Engine!$C$2:$C$1199,0)))</f>
        <v/>
      </c>
      <c r="O460" s="7" t="str">
        <f>IF(ISNA(MATCH(447,Engine!$C$2:$C$1199,0)),"",INDEX('Compliance Database'!$O$2:$O$1199,MATCH(447,Engine!$C$2:$C$1199,0)))</f>
        <v/>
      </c>
      <c r="P460" s="6" t="str">
        <f>IF(ISNA(MATCH(447,Engine!$C$2:$C$1199,0)),"",HYPERLINK("#Acts!A"&amp;INDEX('Compliance Database'!$P$2:$P$1199,MATCH(447,Engine!$C$2:$C$1199,0)),"Go to Act"))</f>
        <v/>
      </c>
    </row>
    <row r="461" spans="1:16" ht="172.95" customHeight="1" x14ac:dyDescent="0.3">
      <c r="A461" s="6" t="str">
        <f>IF(ISNA(MATCH(448,Engine!$C$2:$C$1199,0)),"",INDEX('Compliance Database'!$A$2:$A$1199,MATCH(448,Engine!$C$2:$C$1199,0)))</f>
        <v/>
      </c>
      <c r="B461" s="6" t="str">
        <f>IF(ISNA(MATCH(448,Engine!$C$2:$C$1199,0)),"",INDEX('Compliance Database'!$B$2:$B$1199,MATCH(448,Engine!$C$2:$C$1199,0)))</f>
        <v/>
      </c>
      <c r="C461" s="6" t="str">
        <f>IF(ISNA(MATCH(448,Engine!$C$2:$C$1199,0)),"",INDEX('Compliance Database'!$C$2:$C$1199,MATCH(448,Engine!$C$2:$C$1199,0)))</f>
        <v/>
      </c>
      <c r="D461" s="7" t="str">
        <f>IF(ISNA(MATCH(448,Engine!$C$2:$C$1199,0)),"",INDEX('Compliance Database'!$D$2:$D$1199,MATCH(448,Engine!$C$2:$C$1199,0)))</f>
        <v/>
      </c>
      <c r="E461" s="6" t="str">
        <f>IF(ISNA(MATCH(448,Engine!$C$2:$C$1199,0)),"",INDEX('Compliance Database'!$E$2:$E$1199,MATCH(448,Engine!$C$2:$C$1199,0)))</f>
        <v/>
      </c>
      <c r="F461" s="6" t="str">
        <f>IF(ISNA(MATCH(448,Engine!$C$2:$C$1199,0)),"",INDEX('Compliance Database'!$F$2:$F$1199,MATCH(448,Engine!$C$2:$C$1199,0)))</f>
        <v/>
      </c>
      <c r="G461" s="6" t="str">
        <f>IF(ISNA(MATCH(448,Engine!$C$2:$C$1199,0)),"",INDEX('Compliance Database'!$G$2:$G$1199,MATCH(448,Engine!$C$2:$C$1199,0)))</f>
        <v/>
      </c>
      <c r="H461" s="7" t="str">
        <f>IF(ISNA(MATCH(448,Engine!$C$2:$C$1199,0)),"",INDEX('Compliance Database'!$H$2:$H$1199,MATCH(448,Engine!$C$2:$C$1199,0)))</f>
        <v/>
      </c>
      <c r="I461" s="7" t="str">
        <f>IF(ISNA(MATCH(448,Engine!$C$2:$C$1199,0)),"",INDEX('Compliance Database'!$I$2:$I$1199,MATCH(448,Engine!$C$2:$C$1199,0)))</f>
        <v/>
      </c>
      <c r="J461" s="6" t="str">
        <f>IF(ISNA(MATCH(448,Engine!$C$2:$C$1199,0)),"",INDEX('Compliance Database'!$J$2:$J$1199,MATCH(448,Engine!$C$2:$C$1199,0)))</f>
        <v/>
      </c>
      <c r="K461" s="7" t="str">
        <f>IF(ISNA(MATCH(448,Engine!$C$2:$C$1199,0)),"",INDEX('Compliance Database'!$K$2:$K$1199,MATCH(448,Engine!$C$2:$C$1199,0)))</f>
        <v/>
      </c>
      <c r="L461" s="7" t="str">
        <f>IF(ISNA(MATCH(448,Engine!$C$2:$C$1199,0)),"",INDEX('Compliance Database'!$L$2:$L$1199,MATCH(448,Engine!$C$2:$C$1199,0)))</f>
        <v/>
      </c>
      <c r="M461" s="7" t="str">
        <f>IF(ISNA(MATCH(448,Engine!$C$2:$C$1199,0)),"",INDEX('Compliance Database'!$M$2:$M$1199,MATCH(448,Engine!$C$2:$C$1199,0)))</f>
        <v/>
      </c>
      <c r="N461" s="7" t="str">
        <f>IF(ISNA(MATCH(448,Engine!$C$2:$C$1199,0)),"",INDEX('Compliance Database'!$N$2:$N$1199,MATCH(448,Engine!$C$2:$C$1199,0)))</f>
        <v/>
      </c>
      <c r="O461" s="7" t="str">
        <f>IF(ISNA(MATCH(448,Engine!$C$2:$C$1199,0)),"",INDEX('Compliance Database'!$O$2:$O$1199,MATCH(448,Engine!$C$2:$C$1199,0)))</f>
        <v/>
      </c>
      <c r="P461" s="6" t="str">
        <f>IF(ISNA(MATCH(448,Engine!$C$2:$C$1199,0)),"",HYPERLINK("#Acts!A"&amp;INDEX('Compliance Database'!$P$2:$P$1199,MATCH(448,Engine!$C$2:$C$1199,0)),"Go to Act"))</f>
        <v/>
      </c>
    </row>
    <row r="462" spans="1:16" ht="172.95" customHeight="1" x14ac:dyDescent="0.3">
      <c r="A462" s="6" t="str">
        <f>IF(ISNA(MATCH(449,Engine!$C$2:$C$1199,0)),"",INDEX('Compliance Database'!$A$2:$A$1199,MATCH(449,Engine!$C$2:$C$1199,0)))</f>
        <v/>
      </c>
      <c r="B462" s="6" t="str">
        <f>IF(ISNA(MATCH(449,Engine!$C$2:$C$1199,0)),"",INDEX('Compliance Database'!$B$2:$B$1199,MATCH(449,Engine!$C$2:$C$1199,0)))</f>
        <v/>
      </c>
      <c r="C462" s="6" t="str">
        <f>IF(ISNA(MATCH(449,Engine!$C$2:$C$1199,0)),"",INDEX('Compliance Database'!$C$2:$C$1199,MATCH(449,Engine!$C$2:$C$1199,0)))</f>
        <v/>
      </c>
      <c r="D462" s="7" t="str">
        <f>IF(ISNA(MATCH(449,Engine!$C$2:$C$1199,0)),"",INDEX('Compliance Database'!$D$2:$D$1199,MATCH(449,Engine!$C$2:$C$1199,0)))</f>
        <v/>
      </c>
      <c r="E462" s="6" t="str">
        <f>IF(ISNA(MATCH(449,Engine!$C$2:$C$1199,0)),"",INDEX('Compliance Database'!$E$2:$E$1199,MATCH(449,Engine!$C$2:$C$1199,0)))</f>
        <v/>
      </c>
      <c r="F462" s="6" t="str">
        <f>IF(ISNA(MATCH(449,Engine!$C$2:$C$1199,0)),"",INDEX('Compliance Database'!$F$2:$F$1199,MATCH(449,Engine!$C$2:$C$1199,0)))</f>
        <v/>
      </c>
      <c r="G462" s="6" t="str">
        <f>IF(ISNA(MATCH(449,Engine!$C$2:$C$1199,0)),"",INDEX('Compliance Database'!$G$2:$G$1199,MATCH(449,Engine!$C$2:$C$1199,0)))</f>
        <v/>
      </c>
      <c r="H462" s="7" t="str">
        <f>IF(ISNA(MATCH(449,Engine!$C$2:$C$1199,0)),"",INDEX('Compliance Database'!$H$2:$H$1199,MATCH(449,Engine!$C$2:$C$1199,0)))</f>
        <v/>
      </c>
      <c r="I462" s="7" t="str">
        <f>IF(ISNA(MATCH(449,Engine!$C$2:$C$1199,0)),"",INDEX('Compliance Database'!$I$2:$I$1199,MATCH(449,Engine!$C$2:$C$1199,0)))</f>
        <v/>
      </c>
      <c r="J462" s="6" t="str">
        <f>IF(ISNA(MATCH(449,Engine!$C$2:$C$1199,0)),"",INDEX('Compliance Database'!$J$2:$J$1199,MATCH(449,Engine!$C$2:$C$1199,0)))</f>
        <v/>
      </c>
      <c r="K462" s="7" t="str">
        <f>IF(ISNA(MATCH(449,Engine!$C$2:$C$1199,0)),"",INDEX('Compliance Database'!$K$2:$K$1199,MATCH(449,Engine!$C$2:$C$1199,0)))</f>
        <v/>
      </c>
      <c r="L462" s="7" t="str">
        <f>IF(ISNA(MATCH(449,Engine!$C$2:$C$1199,0)),"",INDEX('Compliance Database'!$L$2:$L$1199,MATCH(449,Engine!$C$2:$C$1199,0)))</f>
        <v/>
      </c>
      <c r="M462" s="7" t="str">
        <f>IF(ISNA(MATCH(449,Engine!$C$2:$C$1199,0)),"",INDEX('Compliance Database'!$M$2:$M$1199,MATCH(449,Engine!$C$2:$C$1199,0)))</f>
        <v/>
      </c>
      <c r="N462" s="7" t="str">
        <f>IF(ISNA(MATCH(449,Engine!$C$2:$C$1199,0)),"",INDEX('Compliance Database'!$N$2:$N$1199,MATCH(449,Engine!$C$2:$C$1199,0)))</f>
        <v/>
      </c>
      <c r="O462" s="7" t="str">
        <f>IF(ISNA(MATCH(449,Engine!$C$2:$C$1199,0)),"",INDEX('Compliance Database'!$O$2:$O$1199,MATCH(449,Engine!$C$2:$C$1199,0)))</f>
        <v/>
      </c>
      <c r="P462" s="6" t="str">
        <f>IF(ISNA(MATCH(449,Engine!$C$2:$C$1199,0)),"",HYPERLINK("#Acts!A"&amp;INDEX('Compliance Database'!$P$2:$P$1199,MATCH(449,Engine!$C$2:$C$1199,0)),"Go to Act"))</f>
        <v/>
      </c>
    </row>
    <row r="463" spans="1:16" ht="172.95" customHeight="1" x14ac:dyDescent="0.3">
      <c r="A463" s="6" t="str">
        <f>IF(ISNA(MATCH(450,Engine!$C$2:$C$1199,0)),"",INDEX('Compliance Database'!$A$2:$A$1199,MATCH(450,Engine!$C$2:$C$1199,0)))</f>
        <v/>
      </c>
      <c r="B463" s="6" t="str">
        <f>IF(ISNA(MATCH(450,Engine!$C$2:$C$1199,0)),"",INDEX('Compliance Database'!$B$2:$B$1199,MATCH(450,Engine!$C$2:$C$1199,0)))</f>
        <v/>
      </c>
      <c r="C463" s="6" t="str">
        <f>IF(ISNA(MATCH(450,Engine!$C$2:$C$1199,0)),"",INDEX('Compliance Database'!$C$2:$C$1199,MATCH(450,Engine!$C$2:$C$1199,0)))</f>
        <v/>
      </c>
      <c r="D463" s="7" t="str">
        <f>IF(ISNA(MATCH(450,Engine!$C$2:$C$1199,0)),"",INDEX('Compliance Database'!$D$2:$D$1199,MATCH(450,Engine!$C$2:$C$1199,0)))</f>
        <v/>
      </c>
      <c r="E463" s="6" t="str">
        <f>IF(ISNA(MATCH(450,Engine!$C$2:$C$1199,0)),"",INDEX('Compliance Database'!$E$2:$E$1199,MATCH(450,Engine!$C$2:$C$1199,0)))</f>
        <v/>
      </c>
      <c r="F463" s="6" t="str">
        <f>IF(ISNA(MATCH(450,Engine!$C$2:$C$1199,0)),"",INDEX('Compliance Database'!$F$2:$F$1199,MATCH(450,Engine!$C$2:$C$1199,0)))</f>
        <v/>
      </c>
      <c r="G463" s="6" t="str">
        <f>IF(ISNA(MATCH(450,Engine!$C$2:$C$1199,0)),"",INDEX('Compliance Database'!$G$2:$G$1199,MATCH(450,Engine!$C$2:$C$1199,0)))</f>
        <v/>
      </c>
      <c r="H463" s="7" t="str">
        <f>IF(ISNA(MATCH(450,Engine!$C$2:$C$1199,0)),"",INDEX('Compliance Database'!$H$2:$H$1199,MATCH(450,Engine!$C$2:$C$1199,0)))</f>
        <v/>
      </c>
      <c r="I463" s="7" t="str">
        <f>IF(ISNA(MATCH(450,Engine!$C$2:$C$1199,0)),"",INDEX('Compliance Database'!$I$2:$I$1199,MATCH(450,Engine!$C$2:$C$1199,0)))</f>
        <v/>
      </c>
      <c r="J463" s="6" t="str">
        <f>IF(ISNA(MATCH(450,Engine!$C$2:$C$1199,0)),"",INDEX('Compliance Database'!$J$2:$J$1199,MATCH(450,Engine!$C$2:$C$1199,0)))</f>
        <v/>
      </c>
      <c r="K463" s="7" t="str">
        <f>IF(ISNA(MATCH(450,Engine!$C$2:$C$1199,0)),"",INDEX('Compliance Database'!$K$2:$K$1199,MATCH(450,Engine!$C$2:$C$1199,0)))</f>
        <v/>
      </c>
      <c r="L463" s="7" t="str">
        <f>IF(ISNA(MATCH(450,Engine!$C$2:$C$1199,0)),"",INDEX('Compliance Database'!$L$2:$L$1199,MATCH(450,Engine!$C$2:$C$1199,0)))</f>
        <v/>
      </c>
      <c r="M463" s="7" t="str">
        <f>IF(ISNA(MATCH(450,Engine!$C$2:$C$1199,0)),"",INDEX('Compliance Database'!$M$2:$M$1199,MATCH(450,Engine!$C$2:$C$1199,0)))</f>
        <v/>
      </c>
      <c r="N463" s="7" t="str">
        <f>IF(ISNA(MATCH(450,Engine!$C$2:$C$1199,0)),"",INDEX('Compliance Database'!$N$2:$N$1199,MATCH(450,Engine!$C$2:$C$1199,0)))</f>
        <v/>
      </c>
      <c r="O463" s="7" t="str">
        <f>IF(ISNA(MATCH(450,Engine!$C$2:$C$1199,0)),"",INDEX('Compliance Database'!$O$2:$O$1199,MATCH(450,Engine!$C$2:$C$1199,0)))</f>
        <v/>
      </c>
      <c r="P463" s="6" t="str">
        <f>IF(ISNA(MATCH(450,Engine!$C$2:$C$1199,0)),"",HYPERLINK("#Acts!A"&amp;INDEX('Compliance Database'!$P$2:$P$1199,MATCH(450,Engine!$C$2:$C$1199,0)),"Go to Act"))</f>
        <v/>
      </c>
    </row>
    <row r="464" spans="1:16" ht="172.95" customHeight="1" x14ac:dyDescent="0.3">
      <c r="A464" s="6" t="str">
        <f>IF(ISNA(MATCH(451,Engine!$C$2:$C$1199,0)),"",INDEX('Compliance Database'!$A$2:$A$1199,MATCH(451,Engine!$C$2:$C$1199,0)))</f>
        <v/>
      </c>
      <c r="B464" s="6" t="str">
        <f>IF(ISNA(MATCH(451,Engine!$C$2:$C$1199,0)),"",INDEX('Compliance Database'!$B$2:$B$1199,MATCH(451,Engine!$C$2:$C$1199,0)))</f>
        <v/>
      </c>
      <c r="C464" s="6" t="str">
        <f>IF(ISNA(MATCH(451,Engine!$C$2:$C$1199,0)),"",INDEX('Compliance Database'!$C$2:$C$1199,MATCH(451,Engine!$C$2:$C$1199,0)))</f>
        <v/>
      </c>
      <c r="D464" s="7" t="str">
        <f>IF(ISNA(MATCH(451,Engine!$C$2:$C$1199,0)),"",INDEX('Compliance Database'!$D$2:$D$1199,MATCH(451,Engine!$C$2:$C$1199,0)))</f>
        <v/>
      </c>
      <c r="E464" s="6" t="str">
        <f>IF(ISNA(MATCH(451,Engine!$C$2:$C$1199,0)),"",INDEX('Compliance Database'!$E$2:$E$1199,MATCH(451,Engine!$C$2:$C$1199,0)))</f>
        <v/>
      </c>
      <c r="F464" s="6" t="str">
        <f>IF(ISNA(MATCH(451,Engine!$C$2:$C$1199,0)),"",INDEX('Compliance Database'!$F$2:$F$1199,MATCH(451,Engine!$C$2:$C$1199,0)))</f>
        <v/>
      </c>
      <c r="G464" s="6" t="str">
        <f>IF(ISNA(MATCH(451,Engine!$C$2:$C$1199,0)),"",INDEX('Compliance Database'!$G$2:$G$1199,MATCH(451,Engine!$C$2:$C$1199,0)))</f>
        <v/>
      </c>
      <c r="H464" s="7" t="str">
        <f>IF(ISNA(MATCH(451,Engine!$C$2:$C$1199,0)),"",INDEX('Compliance Database'!$H$2:$H$1199,MATCH(451,Engine!$C$2:$C$1199,0)))</f>
        <v/>
      </c>
      <c r="I464" s="7" t="str">
        <f>IF(ISNA(MATCH(451,Engine!$C$2:$C$1199,0)),"",INDEX('Compliance Database'!$I$2:$I$1199,MATCH(451,Engine!$C$2:$C$1199,0)))</f>
        <v/>
      </c>
      <c r="J464" s="6" t="str">
        <f>IF(ISNA(MATCH(451,Engine!$C$2:$C$1199,0)),"",INDEX('Compliance Database'!$J$2:$J$1199,MATCH(451,Engine!$C$2:$C$1199,0)))</f>
        <v/>
      </c>
      <c r="K464" s="7" t="str">
        <f>IF(ISNA(MATCH(451,Engine!$C$2:$C$1199,0)),"",INDEX('Compliance Database'!$K$2:$K$1199,MATCH(451,Engine!$C$2:$C$1199,0)))</f>
        <v/>
      </c>
      <c r="L464" s="7" t="str">
        <f>IF(ISNA(MATCH(451,Engine!$C$2:$C$1199,0)),"",INDEX('Compliance Database'!$L$2:$L$1199,MATCH(451,Engine!$C$2:$C$1199,0)))</f>
        <v/>
      </c>
      <c r="M464" s="7" t="str">
        <f>IF(ISNA(MATCH(451,Engine!$C$2:$C$1199,0)),"",INDEX('Compliance Database'!$M$2:$M$1199,MATCH(451,Engine!$C$2:$C$1199,0)))</f>
        <v/>
      </c>
      <c r="N464" s="7" t="str">
        <f>IF(ISNA(MATCH(451,Engine!$C$2:$C$1199,0)),"",INDEX('Compliance Database'!$N$2:$N$1199,MATCH(451,Engine!$C$2:$C$1199,0)))</f>
        <v/>
      </c>
      <c r="O464" s="7" t="str">
        <f>IF(ISNA(MATCH(451,Engine!$C$2:$C$1199,0)),"",INDEX('Compliance Database'!$O$2:$O$1199,MATCH(451,Engine!$C$2:$C$1199,0)))</f>
        <v/>
      </c>
      <c r="P464" s="6" t="str">
        <f>IF(ISNA(MATCH(451,Engine!$C$2:$C$1199,0)),"",HYPERLINK("#Acts!A"&amp;INDEX('Compliance Database'!$P$2:$P$1199,MATCH(451,Engine!$C$2:$C$1199,0)),"Go to Act"))</f>
        <v/>
      </c>
    </row>
    <row r="465" spans="1:16" ht="172.95" customHeight="1" x14ac:dyDescent="0.3">
      <c r="A465" s="6" t="str">
        <f>IF(ISNA(MATCH(452,Engine!$C$2:$C$1199,0)),"",INDEX('Compliance Database'!$A$2:$A$1199,MATCH(452,Engine!$C$2:$C$1199,0)))</f>
        <v/>
      </c>
      <c r="B465" s="6" t="str">
        <f>IF(ISNA(MATCH(452,Engine!$C$2:$C$1199,0)),"",INDEX('Compliance Database'!$B$2:$B$1199,MATCH(452,Engine!$C$2:$C$1199,0)))</f>
        <v/>
      </c>
      <c r="C465" s="6" t="str">
        <f>IF(ISNA(MATCH(452,Engine!$C$2:$C$1199,0)),"",INDEX('Compliance Database'!$C$2:$C$1199,MATCH(452,Engine!$C$2:$C$1199,0)))</f>
        <v/>
      </c>
      <c r="D465" s="7" t="str">
        <f>IF(ISNA(MATCH(452,Engine!$C$2:$C$1199,0)),"",INDEX('Compliance Database'!$D$2:$D$1199,MATCH(452,Engine!$C$2:$C$1199,0)))</f>
        <v/>
      </c>
      <c r="E465" s="6" t="str">
        <f>IF(ISNA(MATCH(452,Engine!$C$2:$C$1199,0)),"",INDEX('Compliance Database'!$E$2:$E$1199,MATCH(452,Engine!$C$2:$C$1199,0)))</f>
        <v/>
      </c>
      <c r="F465" s="6" t="str">
        <f>IF(ISNA(MATCH(452,Engine!$C$2:$C$1199,0)),"",INDEX('Compliance Database'!$F$2:$F$1199,MATCH(452,Engine!$C$2:$C$1199,0)))</f>
        <v/>
      </c>
      <c r="G465" s="6" t="str">
        <f>IF(ISNA(MATCH(452,Engine!$C$2:$C$1199,0)),"",INDEX('Compliance Database'!$G$2:$G$1199,MATCH(452,Engine!$C$2:$C$1199,0)))</f>
        <v/>
      </c>
      <c r="H465" s="7" t="str">
        <f>IF(ISNA(MATCH(452,Engine!$C$2:$C$1199,0)),"",INDEX('Compliance Database'!$H$2:$H$1199,MATCH(452,Engine!$C$2:$C$1199,0)))</f>
        <v/>
      </c>
      <c r="I465" s="7" t="str">
        <f>IF(ISNA(MATCH(452,Engine!$C$2:$C$1199,0)),"",INDEX('Compliance Database'!$I$2:$I$1199,MATCH(452,Engine!$C$2:$C$1199,0)))</f>
        <v/>
      </c>
      <c r="J465" s="6" t="str">
        <f>IF(ISNA(MATCH(452,Engine!$C$2:$C$1199,0)),"",INDEX('Compliance Database'!$J$2:$J$1199,MATCH(452,Engine!$C$2:$C$1199,0)))</f>
        <v/>
      </c>
      <c r="K465" s="7" t="str">
        <f>IF(ISNA(MATCH(452,Engine!$C$2:$C$1199,0)),"",INDEX('Compliance Database'!$K$2:$K$1199,MATCH(452,Engine!$C$2:$C$1199,0)))</f>
        <v/>
      </c>
      <c r="L465" s="7" t="str">
        <f>IF(ISNA(MATCH(452,Engine!$C$2:$C$1199,0)),"",INDEX('Compliance Database'!$L$2:$L$1199,MATCH(452,Engine!$C$2:$C$1199,0)))</f>
        <v/>
      </c>
      <c r="M465" s="7" t="str">
        <f>IF(ISNA(MATCH(452,Engine!$C$2:$C$1199,0)),"",INDEX('Compliance Database'!$M$2:$M$1199,MATCH(452,Engine!$C$2:$C$1199,0)))</f>
        <v/>
      </c>
      <c r="N465" s="7" t="str">
        <f>IF(ISNA(MATCH(452,Engine!$C$2:$C$1199,0)),"",INDEX('Compliance Database'!$N$2:$N$1199,MATCH(452,Engine!$C$2:$C$1199,0)))</f>
        <v/>
      </c>
      <c r="O465" s="7" t="str">
        <f>IF(ISNA(MATCH(452,Engine!$C$2:$C$1199,0)),"",INDEX('Compliance Database'!$O$2:$O$1199,MATCH(452,Engine!$C$2:$C$1199,0)))</f>
        <v/>
      </c>
      <c r="P465" s="6" t="str">
        <f>IF(ISNA(MATCH(452,Engine!$C$2:$C$1199,0)),"",HYPERLINK("#Acts!A"&amp;INDEX('Compliance Database'!$P$2:$P$1199,MATCH(452,Engine!$C$2:$C$1199,0)),"Go to Act"))</f>
        <v/>
      </c>
    </row>
    <row r="466" spans="1:16" ht="172.95" customHeight="1" x14ac:dyDescent="0.3">
      <c r="A466" s="6" t="str">
        <f>IF(ISNA(MATCH(453,Engine!$C$2:$C$1199,0)),"",INDEX('Compliance Database'!$A$2:$A$1199,MATCH(453,Engine!$C$2:$C$1199,0)))</f>
        <v/>
      </c>
      <c r="B466" s="6" t="str">
        <f>IF(ISNA(MATCH(453,Engine!$C$2:$C$1199,0)),"",INDEX('Compliance Database'!$B$2:$B$1199,MATCH(453,Engine!$C$2:$C$1199,0)))</f>
        <v/>
      </c>
      <c r="C466" s="6" t="str">
        <f>IF(ISNA(MATCH(453,Engine!$C$2:$C$1199,0)),"",INDEX('Compliance Database'!$C$2:$C$1199,MATCH(453,Engine!$C$2:$C$1199,0)))</f>
        <v/>
      </c>
      <c r="D466" s="7" t="str">
        <f>IF(ISNA(MATCH(453,Engine!$C$2:$C$1199,0)),"",INDEX('Compliance Database'!$D$2:$D$1199,MATCH(453,Engine!$C$2:$C$1199,0)))</f>
        <v/>
      </c>
      <c r="E466" s="6" t="str">
        <f>IF(ISNA(MATCH(453,Engine!$C$2:$C$1199,0)),"",INDEX('Compliance Database'!$E$2:$E$1199,MATCH(453,Engine!$C$2:$C$1199,0)))</f>
        <v/>
      </c>
      <c r="F466" s="6" t="str">
        <f>IF(ISNA(MATCH(453,Engine!$C$2:$C$1199,0)),"",INDEX('Compliance Database'!$F$2:$F$1199,MATCH(453,Engine!$C$2:$C$1199,0)))</f>
        <v/>
      </c>
      <c r="G466" s="6" t="str">
        <f>IF(ISNA(MATCH(453,Engine!$C$2:$C$1199,0)),"",INDEX('Compliance Database'!$G$2:$G$1199,MATCH(453,Engine!$C$2:$C$1199,0)))</f>
        <v/>
      </c>
      <c r="H466" s="7" t="str">
        <f>IF(ISNA(MATCH(453,Engine!$C$2:$C$1199,0)),"",INDEX('Compliance Database'!$H$2:$H$1199,MATCH(453,Engine!$C$2:$C$1199,0)))</f>
        <v/>
      </c>
      <c r="I466" s="7" t="str">
        <f>IF(ISNA(MATCH(453,Engine!$C$2:$C$1199,0)),"",INDEX('Compliance Database'!$I$2:$I$1199,MATCH(453,Engine!$C$2:$C$1199,0)))</f>
        <v/>
      </c>
      <c r="J466" s="6" t="str">
        <f>IF(ISNA(MATCH(453,Engine!$C$2:$C$1199,0)),"",INDEX('Compliance Database'!$J$2:$J$1199,MATCH(453,Engine!$C$2:$C$1199,0)))</f>
        <v/>
      </c>
      <c r="K466" s="7" t="str">
        <f>IF(ISNA(MATCH(453,Engine!$C$2:$C$1199,0)),"",INDEX('Compliance Database'!$K$2:$K$1199,MATCH(453,Engine!$C$2:$C$1199,0)))</f>
        <v/>
      </c>
      <c r="L466" s="7" t="str">
        <f>IF(ISNA(MATCH(453,Engine!$C$2:$C$1199,0)),"",INDEX('Compliance Database'!$L$2:$L$1199,MATCH(453,Engine!$C$2:$C$1199,0)))</f>
        <v/>
      </c>
      <c r="M466" s="7" t="str">
        <f>IF(ISNA(MATCH(453,Engine!$C$2:$C$1199,0)),"",INDEX('Compliance Database'!$M$2:$M$1199,MATCH(453,Engine!$C$2:$C$1199,0)))</f>
        <v/>
      </c>
      <c r="N466" s="7" t="str">
        <f>IF(ISNA(MATCH(453,Engine!$C$2:$C$1199,0)),"",INDEX('Compliance Database'!$N$2:$N$1199,MATCH(453,Engine!$C$2:$C$1199,0)))</f>
        <v/>
      </c>
      <c r="O466" s="7" t="str">
        <f>IF(ISNA(MATCH(453,Engine!$C$2:$C$1199,0)),"",INDEX('Compliance Database'!$O$2:$O$1199,MATCH(453,Engine!$C$2:$C$1199,0)))</f>
        <v/>
      </c>
      <c r="P466" s="6" t="str">
        <f>IF(ISNA(MATCH(453,Engine!$C$2:$C$1199,0)),"",HYPERLINK("#Acts!A"&amp;INDEX('Compliance Database'!$P$2:$P$1199,MATCH(453,Engine!$C$2:$C$1199,0)),"Go to Act"))</f>
        <v/>
      </c>
    </row>
    <row r="467" spans="1:16" ht="172.95" customHeight="1" x14ac:dyDescent="0.3">
      <c r="A467" s="6" t="str">
        <f>IF(ISNA(MATCH(454,Engine!$C$2:$C$1199,0)),"",INDEX('Compliance Database'!$A$2:$A$1199,MATCH(454,Engine!$C$2:$C$1199,0)))</f>
        <v/>
      </c>
      <c r="B467" s="6" t="str">
        <f>IF(ISNA(MATCH(454,Engine!$C$2:$C$1199,0)),"",INDEX('Compliance Database'!$B$2:$B$1199,MATCH(454,Engine!$C$2:$C$1199,0)))</f>
        <v/>
      </c>
      <c r="C467" s="6" t="str">
        <f>IF(ISNA(MATCH(454,Engine!$C$2:$C$1199,0)),"",INDEX('Compliance Database'!$C$2:$C$1199,MATCH(454,Engine!$C$2:$C$1199,0)))</f>
        <v/>
      </c>
      <c r="D467" s="7" t="str">
        <f>IF(ISNA(MATCH(454,Engine!$C$2:$C$1199,0)),"",INDEX('Compliance Database'!$D$2:$D$1199,MATCH(454,Engine!$C$2:$C$1199,0)))</f>
        <v/>
      </c>
      <c r="E467" s="6" t="str">
        <f>IF(ISNA(MATCH(454,Engine!$C$2:$C$1199,0)),"",INDEX('Compliance Database'!$E$2:$E$1199,MATCH(454,Engine!$C$2:$C$1199,0)))</f>
        <v/>
      </c>
      <c r="F467" s="6" t="str">
        <f>IF(ISNA(MATCH(454,Engine!$C$2:$C$1199,0)),"",INDEX('Compliance Database'!$F$2:$F$1199,MATCH(454,Engine!$C$2:$C$1199,0)))</f>
        <v/>
      </c>
      <c r="G467" s="6" t="str">
        <f>IF(ISNA(MATCH(454,Engine!$C$2:$C$1199,0)),"",INDEX('Compliance Database'!$G$2:$G$1199,MATCH(454,Engine!$C$2:$C$1199,0)))</f>
        <v/>
      </c>
      <c r="H467" s="7" t="str">
        <f>IF(ISNA(MATCH(454,Engine!$C$2:$C$1199,0)),"",INDEX('Compliance Database'!$H$2:$H$1199,MATCH(454,Engine!$C$2:$C$1199,0)))</f>
        <v/>
      </c>
      <c r="I467" s="7" t="str">
        <f>IF(ISNA(MATCH(454,Engine!$C$2:$C$1199,0)),"",INDEX('Compliance Database'!$I$2:$I$1199,MATCH(454,Engine!$C$2:$C$1199,0)))</f>
        <v/>
      </c>
      <c r="J467" s="6" t="str">
        <f>IF(ISNA(MATCH(454,Engine!$C$2:$C$1199,0)),"",INDEX('Compliance Database'!$J$2:$J$1199,MATCH(454,Engine!$C$2:$C$1199,0)))</f>
        <v/>
      </c>
      <c r="K467" s="7" t="str">
        <f>IF(ISNA(MATCH(454,Engine!$C$2:$C$1199,0)),"",INDEX('Compliance Database'!$K$2:$K$1199,MATCH(454,Engine!$C$2:$C$1199,0)))</f>
        <v/>
      </c>
      <c r="L467" s="7" t="str">
        <f>IF(ISNA(MATCH(454,Engine!$C$2:$C$1199,0)),"",INDEX('Compliance Database'!$L$2:$L$1199,MATCH(454,Engine!$C$2:$C$1199,0)))</f>
        <v/>
      </c>
      <c r="M467" s="7" t="str">
        <f>IF(ISNA(MATCH(454,Engine!$C$2:$C$1199,0)),"",INDEX('Compliance Database'!$M$2:$M$1199,MATCH(454,Engine!$C$2:$C$1199,0)))</f>
        <v/>
      </c>
      <c r="N467" s="7" t="str">
        <f>IF(ISNA(MATCH(454,Engine!$C$2:$C$1199,0)),"",INDEX('Compliance Database'!$N$2:$N$1199,MATCH(454,Engine!$C$2:$C$1199,0)))</f>
        <v/>
      </c>
      <c r="O467" s="7" t="str">
        <f>IF(ISNA(MATCH(454,Engine!$C$2:$C$1199,0)),"",INDEX('Compliance Database'!$O$2:$O$1199,MATCH(454,Engine!$C$2:$C$1199,0)))</f>
        <v/>
      </c>
      <c r="P467" s="6" t="str">
        <f>IF(ISNA(MATCH(454,Engine!$C$2:$C$1199,0)),"",HYPERLINK("#Acts!A"&amp;INDEX('Compliance Database'!$P$2:$P$1199,MATCH(454,Engine!$C$2:$C$1199,0)),"Go to Act"))</f>
        <v/>
      </c>
    </row>
    <row r="468" spans="1:16" ht="172.95" customHeight="1" x14ac:dyDescent="0.3">
      <c r="A468" s="6" t="str">
        <f>IF(ISNA(MATCH(455,Engine!$C$2:$C$1199,0)),"",INDEX('Compliance Database'!$A$2:$A$1199,MATCH(455,Engine!$C$2:$C$1199,0)))</f>
        <v/>
      </c>
      <c r="B468" s="6" t="str">
        <f>IF(ISNA(MATCH(455,Engine!$C$2:$C$1199,0)),"",INDEX('Compliance Database'!$B$2:$B$1199,MATCH(455,Engine!$C$2:$C$1199,0)))</f>
        <v/>
      </c>
      <c r="C468" s="6" t="str">
        <f>IF(ISNA(MATCH(455,Engine!$C$2:$C$1199,0)),"",INDEX('Compliance Database'!$C$2:$C$1199,MATCH(455,Engine!$C$2:$C$1199,0)))</f>
        <v/>
      </c>
      <c r="D468" s="7" t="str">
        <f>IF(ISNA(MATCH(455,Engine!$C$2:$C$1199,0)),"",INDEX('Compliance Database'!$D$2:$D$1199,MATCH(455,Engine!$C$2:$C$1199,0)))</f>
        <v/>
      </c>
      <c r="E468" s="6" t="str">
        <f>IF(ISNA(MATCH(455,Engine!$C$2:$C$1199,0)),"",INDEX('Compliance Database'!$E$2:$E$1199,MATCH(455,Engine!$C$2:$C$1199,0)))</f>
        <v/>
      </c>
      <c r="F468" s="6" t="str">
        <f>IF(ISNA(MATCH(455,Engine!$C$2:$C$1199,0)),"",INDEX('Compliance Database'!$F$2:$F$1199,MATCH(455,Engine!$C$2:$C$1199,0)))</f>
        <v/>
      </c>
      <c r="G468" s="6" t="str">
        <f>IF(ISNA(MATCH(455,Engine!$C$2:$C$1199,0)),"",INDEX('Compliance Database'!$G$2:$G$1199,MATCH(455,Engine!$C$2:$C$1199,0)))</f>
        <v/>
      </c>
      <c r="H468" s="7" t="str">
        <f>IF(ISNA(MATCH(455,Engine!$C$2:$C$1199,0)),"",INDEX('Compliance Database'!$H$2:$H$1199,MATCH(455,Engine!$C$2:$C$1199,0)))</f>
        <v/>
      </c>
      <c r="I468" s="7" t="str">
        <f>IF(ISNA(MATCH(455,Engine!$C$2:$C$1199,0)),"",INDEX('Compliance Database'!$I$2:$I$1199,MATCH(455,Engine!$C$2:$C$1199,0)))</f>
        <v/>
      </c>
      <c r="J468" s="6" t="str">
        <f>IF(ISNA(MATCH(455,Engine!$C$2:$C$1199,0)),"",INDEX('Compliance Database'!$J$2:$J$1199,MATCH(455,Engine!$C$2:$C$1199,0)))</f>
        <v/>
      </c>
      <c r="K468" s="7" t="str">
        <f>IF(ISNA(MATCH(455,Engine!$C$2:$C$1199,0)),"",INDEX('Compliance Database'!$K$2:$K$1199,MATCH(455,Engine!$C$2:$C$1199,0)))</f>
        <v/>
      </c>
      <c r="L468" s="7" t="str">
        <f>IF(ISNA(MATCH(455,Engine!$C$2:$C$1199,0)),"",INDEX('Compliance Database'!$L$2:$L$1199,MATCH(455,Engine!$C$2:$C$1199,0)))</f>
        <v/>
      </c>
      <c r="M468" s="7" t="str">
        <f>IF(ISNA(MATCH(455,Engine!$C$2:$C$1199,0)),"",INDEX('Compliance Database'!$M$2:$M$1199,MATCH(455,Engine!$C$2:$C$1199,0)))</f>
        <v/>
      </c>
      <c r="N468" s="7" t="str">
        <f>IF(ISNA(MATCH(455,Engine!$C$2:$C$1199,0)),"",INDEX('Compliance Database'!$N$2:$N$1199,MATCH(455,Engine!$C$2:$C$1199,0)))</f>
        <v/>
      </c>
      <c r="O468" s="7" t="str">
        <f>IF(ISNA(MATCH(455,Engine!$C$2:$C$1199,0)),"",INDEX('Compliance Database'!$O$2:$O$1199,MATCH(455,Engine!$C$2:$C$1199,0)))</f>
        <v/>
      </c>
      <c r="P468" s="6" t="str">
        <f>IF(ISNA(MATCH(455,Engine!$C$2:$C$1199,0)),"",HYPERLINK("#Acts!A"&amp;INDEX('Compliance Database'!$P$2:$P$1199,MATCH(455,Engine!$C$2:$C$1199,0)),"Go to Act"))</f>
        <v/>
      </c>
    </row>
    <row r="469" spans="1:16" ht="172.95" customHeight="1" x14ac:dyDescent="0.3">
      <c r="A469" s="6" t="str">
        <f>IF(ISNA(MATCH(456,Engine!$C$2:$C$1199,0)),"",INDEX('Compliance Database'!$A$2:$A$1199,MATCH(456,Engine!$C$2:$C$1199,0)))</f>
        <v/>
      </c>
      <c r="B469" s="6" t="str">
        <f>IF(ISNA(MATCH(456,Engine!$C$2:$C$1199,0)),"",INDEX('Compliance Database'!$B$2:$B$1199,MATCH(456,Engine!$C$2:$C$1199,0)))</f>
        <v/>
      </c>
      <c r="C469" s="6" t="str">
        <f>IF(ISNA(MATCH(456,Engine!$C$2:$C$1199,0)),"",INDEX('Compliance Database'!$C$2:$C$1199,MATCH(456,Engine!$C$2:$C$1199,0)))</f>
        <v/>
      </c>
      <c r="D469" s="7" t="str">
        <f>IF(ISNA(MATCH(456,Engine!$C$2:$C$1199,0)),"",INDEX('Compliance Database'!$D$2:$D$1199,MATCH(456,Engine!$C$2:$C$1199,0)))</f>
        <v/>
      </c>
      <c r="E469" s="6" t="str">
        <f>IF(ISNA(MATCH(456,Engine!$C$2:$C$1199,0)),"",INDEX('Compliance Database'!$E$2:$E$1199,MATCH(456,Engine!$C$2:$C$1199,0)))</f>
        <v/>
      </c>
      <c r="F469" s="6" t="str">
        <f>IF(ISNA(MATCH(456,Engine!$C$2:$C$1199,0)),"",INDEX('Compliance Database'!$F$2:$F$1199,MATCH(456,Engine!$C$2:$C$1199,0)))</f>
        <v/>
      </c>
      <c r="G469" s="6" t="str">
        <f>IF(ISNA(MATCH(456,Engine!$C$2:$C$1199,0)),"",INDEX('Compliance Database'!$G$2:$G$1199,MATCH(456,Engine!$C$2:$C$1199,0)))</f>
        <v/>
      </c>
      <c r="H469" s="7" t="str">
        <f>IF(ISNA(MATCH(456,Engine!$C$2:$C$1199,0)),"",INDEX('Compliance Database'!$H$2:$H$1199,MATCH(456,Engine!$C$2:$C$1199,0)))</f>
        <v/>
      </c>
      <c r="I469" s="7" t="str">
        <f>IF(ISNA(MATCH(456,Engine!$C$2:$C$1199,0)),"",INDEX('Compliance Database'!$I$2:$I$1199,MATCH(456,Engine!$C$2:$C$1199,0)))</f>
        <v/>
      </c>
      <c r="J469" s="6" t="str">
        <f>IF(ISNA(MATCH(456,Engine!$C$2:$C$1199,0)),"",INDEX('Compliance Database'!$J$2:$J$1199,MATCH(456,Engine!$C$2:$C$1199,0)))</f>
        <v/>
      </c>
      <c r="K469" s="7" t="str">
        <f>IF(ISNA(MATCH(456,Engine!$C$2:$C$1199,0)),"",INDEX('Compliance Database'!$K$2:$K$1199,MATCH(456,Engine!$C$2:$C$1199,0)))</f>
        <v/>
      </c>
      <c r="L469" s="7" t="str">
        <f>IF(ISNA(MATCH(456,Engine!$C$2:$C$1199,0)),"",INDEX('Compliance Database'!$L$2:$L$1199,MATCH(456,Engine!$C$2:$C$1199,0)))</f>
        <v/>
      </c>
      <c r="M469" s="7" t="str">
        <f>IF(ISNA(MATCH(456,Engine!$C$2:$C$1199,0)),"",INDEX('Compliance Database'!$M$2:$M$1199,MATCH(456,Engine!$C$2:$C$1199,0)))</f>
        <v/>
      </c>
      <c r="N469" s="7" t="str">
        <f>IF(ISNA(MATCH(456,Engine!$C$2:$C$1199,0)),"",INDEX('Compliance Database'!$N$2:$N$1199,MATCH(456,Engine!$C$2:$C$1199,0)))</f>
        <v/>
      </c>
      <c r="O469" s="7" t="str">
        <f>IF(ISNA(MATCH(456,Engine!$C$2:$C$1199,0)),"",INDEX('Compliance Database'!$O$2:$O$1199,MATCH(456,Engine!$C$2:$C$1199,0)))</f>
        <v/>
      </c>
      <c r="P469" s="6" t="str">
        <f>IF(ISNA(MATCH(456,Engine!$C$2:$C$1199,0)),"",HYPERLINK("#Acts!A"&amp;INDEX('Compliance Database'!$P$2:$P$1199,MATCH(456,Engine!$C$2:$C$1199,0)),"Go to Act"))</f>
        <v/>
      </c>
    </row>
    <row r="470" spans="1:16" ht="172.95" customHeight="1" x14ac:dyDescent="0.3">
      <c r="A470" s="6" t="str">
        <f>IF(ISNA(MATCH(457,Engine!$C$2:$C$1199,0)),"",INDEX('Compliance Database'!$A$2:$A$1199,MATCH(457,Engine!$C$2:$C$1199,0)))</f>
        <v/>
      </c>
      <c r="B470" s="6" t="str">
        <f>IF(ISNA(MATCH(457,Engine!$C$2:$C$1199,0)),"",INDEX('Compliance Database'!$B$2:$B$1199,MATCH(457,Engine!$C$2:$C$1199,0)))</f>
        <v/>
      </c>
      <c r="C470" s="6" t="str">
        <f>IF(ISNA(MATCH(457,Engine!$C$2:$C$1199,0)),"",INDEX('Compliance Database'!$C$2:$C$1199,MATCH(457,Engine!$C$2:$C$1199,0)))</f>
        <v/>
      </c>
      <c r="D470" s="7" t="str">
        <f>IF(ISNA(MATCH(457,Engine!$C$2:$C$1199,0)),"",INDEX('Compliance Database'!$D$2:$D$1199,MATCH(457,Engine!$C$2:$C$1199,0)))</f>
        <v/>
      </c>
      <c r="E470" s="6" t="str">
        <f>IF(ISNA(MATCH(457,Engine!$C$2:$C$1199,0)),"",INDEX('Compliance Database'!$E$2:$E$1199,MATCH(457,Engine!$C$2:$C$1199,0)))</f>
        <v/>
      </c>
      <c r="F470" s="6" t="str">
        <f>IF(ISNA(MATCH(457,Engine!$C$2:$C$1199,0)),"",INDEX('Compliance Database'!$F$2:$F$1199,MATCH(457,Engine!$C$2:$C$1199,0)))</f>
        <v/>
      </c>
      <c r="G470" s="6" t="str">
        <f>IF(ISNA(MATCH(457,Engine!$C$2:$C$1199,0)),"",INDEX('Compliance Database'!$G$2:$G$1199,MATCH(457,Engine!$C$2:$C$1199,0)))</f>
        <v/>
      </c>
      <c r="H470" s="7" t="str">
        <f>IF(ISNA(MATCH(457,Engine!$C$2:$C$1199,0)),"",INDEX('Compliance Database'!$H$2:$H$1199,MATCH(457,Engine!$C$2:$C$1199,0)))</f>
        <v/>
      </c>
      <c r="I470" s="7" t="str">
        <f>IF(ISNA(MATCH(457,Engine!$C$2:$C$1199,0)),"",INDEX('Compliance Database'!$I$2:$I$1199,MATCH(457,Engine!$C$2:$C$1199,0)))</f>
        <v/>
      </c>
      <c r="J470" s="6" t="str">
        <f>IF(ISNA(MATCH(457,Engine!$C$2:$C$1199,0)),"",INDEX('Compliance Database'!$J$2:$J$1199,MATCH(457,Engine!$C$2:$C$1199,0)))</f>
        <v/>
      </c>
      <c r="K470" s="7" t="str">
        <f>IF(ISNA(MATCH(457,Engine!$C$2:$C$1199,0)),"",INDEX('Compliance Database'!$K$2:$K$1199,MATCH(457,Engine!$C$2:$C$1199,0)))</f>
        <v/>
      </c>
      <c r="L470" s="7" t="str">
        <f>IF(ISNA(MATCH(457,Engine!$C$2:$C$1199,0)),"",INDEX('Compliance Database'!$L$2:$L$1199,MATCH(457,Engine!$C$2:$C$1199,0)))</f>
        <v/>
      </c>
      <c r="M470" s="7" t="str">
        <f>IF(ISNA(MATCH(457,Engine!$C$2:$C$1199,0)),"",INDEX('Compliance Database'!$M$2:$M$1199,MATCH(457,Engine!$C$2:$C$1199,0)))</f>
        <v/>
      </c>
      <c r="N470" s="7" t="str">
        <f>IF(ISNA(MATCH(457,Engine!$C$2:$C$1199,0)),"",INDEX('Compliance Database'!$N$2:$N$1199,MATCH(457,Engine!$C$2:$C$1199,0)))</f>
        <v/>
      </c>
      <c r="O470" s="7" t="str">
        <f>IF(ISNA(MATCH(457,Engine!$C$2:$C$1199,0)),"",INDEX('Compliance Database'!$O$2:$O$1199,MATCH(457,Engine!$C$2:$C$1199,0)))</f>
        <v/>
      </c>
      <c r="P470" s="6" t="str">
        <f>IF(ISNA(MATCH(457,Engine!$C$2:$C$1199,0)),"",HYPERLINK("#Acts!A"&amp;INDEX('Compliance Database'!$P$2:$P$1199,MATCH(457,Engine!$C$2:$C$1199,0)),"Go to Act"))</f>
        <v/>
      </c>
    </row>
    <row r="471" spans="1:16" ht="172.95" customHeight="1" x14ac:dyDescent="0.3">
      <c r="A471" s="6" t="str">
        <f>IF(ISNA(MATCH(458,Engine!$C$2:$C$1199,0)),"",INDEX('Compliance Database'!$A$2:$A$1199,MATCH(458,Engine!$C$2:$C$1199,0)))</f>
        <v/>
      </c>
      <c r="B471" s="6" t="str">
        <f>IF(ISNA(MATCH(458,Engine!$C$2:$C$1199,0)),"",INDEX('Compliance Database'!$B$2:$B$1199,MATCH(458,Engine!$C$2:$C$1199,0)))</f>
        <v/>
      </c>
      <c r="C471" s="6" t="str">
        <f>IF(ISNA(MATCH(458,Engine!$C$2:$C$1199,0)),"",INDEX('Compliance Database'!$C$2:$C$1199,MATCH(458,Engine!$C$2:$C$1199,0)))</f>
        <v/>
      </c>
      <c r="D471" s="7" t="str">
        <f>IF(ISNA(MATCH(458,Engine!$C$2:$C$1199,0)),"",INDEX('Compliance Database'!$D$2:$D$1199,MATCH(458,Engine!$C$2:$C$1199,0)))</f>
        <v/>
      </c>
      <c r="E471" s="6" t="str">
        <f>IF(ISNA(MATCH(458,Engine!$C$2:$C$1199,0)),"",INDEX('Compliance Database'!$E$2:$E$1199,MATCH(458,Engine!$C$2:$C$1199,0)))</f>
        <v/>
      </c>
      <c r="F471" s="6" t="str">
        <f>IF(ISNA(MATCH(458,Engine!$C$2:$C$1199,0)),"",INDEX('Compliance Database'!$F$2:$F$1199,MATCH(458,Engine!$C$2:$C$1199,0)))</f>
        <v/>
      </c>
      <c r="G471" s="6" t="str">
        <f>IF(ISNA(MATCH(458,Engine!$C$2:$C$1199,0)),"",INDEX('Compliance Database'!$G$2:$G$1199,MATCH(458,Engine!$C$2:$C$1199,0)))</f>
        <v/>
      </c>
      <c r="H471" s="7" t="str">
        <f>IF(ISNA(MATCH(458,Engine!$C$2:$C$1199,0)),"",INDEX('Compliance Database'!$H$2:$H$1199,MATCH(458,Engine!$C$2:$C$1199,0)))</f>
        <v/>
      </c>
      <c r="I471" s="7" t="str">
        <f>IF(ISNA(MATCH(458,Engine!$C$2:$C$1199,0)),"",INDEX('Compliance Database'!$I$2:$I$1199,MATCH(458,Engine!$C$2:$C$1199,0)))</f>
        <v/>
      </c>
      <c r="J471" s="6" t="str">
        <f>IF(ISNA(MATCH(458,Engine!$C$2:$C$1199,0)),"",INDEX('Compliance Database'!$J$2:$J$1199,MATCH(458,Engine!$C$2:$C$1199,0)))</f>
        <v/>
      </c>
      <c r="K471" s="7" t="str">
        <f>IF(ISNA(MATCH(458,Engine!$C$2:$C$1199,0)),"",INDEX('Compliance Database'!$K$2:$K$1199,MATCH(458,Engine!$C$2:$C$1199,0)))</f>
        <v/>
      </c>
      <c r="L471" s="7" t="str">
        <f>IF(ISNA(MATCH(458,Engine!$C$2:$C$1199,0)),"",INDEX('Compliance Database'!$L$2:$L$1199,MATCH(458,Engine!$C$2:$C$1199,0)))</f>
        <v/>
      </c>
      <c r="M471" s="7" t="str">
        <f>IF(ISNA(MATCH(458,Engine!$C$2:$C$1199,0)),"",INDEX('Compliance Database'!$M$2:$M$1199,MATCH(458,Engine!$C$2:$C$1199,0)))</f>
        <v/>
      </c>
      <c r="N471" s="7" t="str">
        <f>IF(ISNA(MATCH(458,Engine!$C$2:$C$1199,0)),"",INDEX('Compliance Database'!$N$2:$N$1199,MATCH(458,Engine!$C$2:$C$1199,0)))</f>
        <v/>
      </c>
      <c r="O471" s="7" t="str">
        <f>IF(ISNA(MATCH(458,Engine!$C$2:$C$1199,0)),"",INDEX('Compliance Database'!$O$2:$O$1199,MATCH(458,Engine!$C$2:$C$1199,0)))</f>
        <v/>
      </c>
      <c r="P471" s="6" t="str">
        <f>IF(ISNA(MATCH(458,Engine!$C$2:$C$1199,0)),"",HYPERLINK("#Acts!A"&amp;INDEX('Compliance Database'!$P$2:$P$1199,MATCH(458,Engine!$C$2:$C$1199,0)),"Go to Act"))</f>
        <v/>
      </c>
    </row>
    <row r="472" spans="1:16" ht="172.95" customHeight="1" x14ac:dyDescent="0.3">
      <c r="A472" s="6" t="str">
        <f>IF(ISNA(MATCH(459,Engine!$C$2:$C$1199,0)),"",INDEX('Compliance Database'!$A$2:$A$1199,MATCH(459,Engine!$C$2:$C$1199,0)))</f>
        <v/>
      </c>
      <c r="B472" s="6" t="str">
        <f>IF(ISNA(MATCH(459,Engine!$C$2:$C$1199,0)),"",INDEX('Compliance Database'!$B$2:$B$1199,MATCH(459,Engine!$C$2:$C$1199,0)))</f>
        <v/>
      </c>
      <c r="C472" s="6" t="str">
        <f>IF(ISNA(MATCH(459,Engine!$C$2:$C$1199,0)),"",INDEX('Compliance Database'!$C$2:$C$1199,MATCH(459,Engine!$C$2:$C$1199,0)))</f>
        <v/>
      </c>
      <c r="D472" s="7" t="str">
        <f>IF(ISNA(MATCH(459,Engine!$C$2:$C$1199,0)),"",INDEX('Compliance Database'!$D$2:$D$1199,MATCH(459,Engine!$C$2:$C$1199,0)))</f>
        <v/>
      </c>
      <c r="E472" s="6" t="str">
        <f>IF(ISNA(MATCH(459,Engine!$C$2:$C$1199,0)),"",INDEX('Compliance Database'!$E$2:$E$1199,MATCH(459,Engine!$C$2:$C$1199,0)))</f>
        <v/>
      </c>
      <c r="F472" s="6" t="str">
        <f>IF(ISNA(MATCH(459,Engine!$C$2:$C$1199,0)),"",INDEX('Compliance Database'!$F$2:$F$1199,MATCH(459,Engine!$C$2:$C$1199,0)))</f>
        <v/>
      </c>
      <c r="G472" s="6" t="str">
        <f>IF(ISNA(MATCH(459,Engine!$C$2:$C$1199,0)),"",INDEX('Compliance Database'!$G$2:$G$1199,MATCH(459,Engine!$C$2:$C$1199,0)))</f>
        <v/>
      </c>
      <c r="H472" s="7" t="str">
        <f>IF(ISNA(MATCH(459,Engine!$C$2:$C$1199,0)),"",INDEX('Compliance Database'!$H$2:$H$1199,MATCH(459,Engine!$C$2:$C$1199,0)))</f>
        <v/>
      </c>
      <c r="I472" s="7" t="str">
        <f>IF(ISNA(MATCH(459,Engine!$C$2:$C$1199,0)),"",INDEX('Compliance Database'!$I$2:$I$1199,MATCH(459,Engine!$C$2:$C$1199,0)))</f>
        <v/>
      </c>
      <c r="J472" s="6" t="str">
        <f>IF(ISNA(MATCH(459,Engine!$C$2:$C$1199,0)),"",INDEX('Compliance Database'!$J$2:$J$1199,MATCH(459,Engine!$C$2:$C$1199,0)))</f>
        <v/>
      </c>
      <c r="K472" s="7" t="str">
        <f>IF(ISNA(MATCH(459,Engine!$C$2:$C$1199,0)),"",INDEX('Compliance Database'!$K$2:$K$1199,MATCH(459,Engine!$C$2:$C$1199,0)))</f>
        <v/>
      </c>
      <c r="L472" s="7" t="str">
        <f>IF(ISNA(MATCH(459,Engine!$C$2:$C$1199,0)),"",INDEX('Compliance Database'!$L$2:$L$1199,MATCH(459,Engine!$C$2:$C$1199,0)))</f>
        <v/>
      </c>
      <c r="M472" s="7" t="str">
        <f>IF(ISNA(MATCH(459,Engine!$C$2:$C$1199,0)),"",INDEX('Compliance Database'!$M$2:$M$1199,MATCH(459,Engine!$C$2:$C$1199,0)))</f>
        <v/>
      </c>
      <c r="N472" s="7" t="str">
        <f>IF(ISNA(MATCH(459,Engine!$C$2:$C$1199,0)),"",INDEX('Compliance Database'!$N$2:$N$1199,MATCH(459,Engine!$C$2:$C$1199,0)))</f>
        <v/>
      </c>
      <c r="O472" s="7" t="str">
        <f>IF(ISNA(MATCH(459,Engine!$C$2:$C$1199,0)),"",INDEX('Compliance Database'!$O$2:$O$1199,MATCH(459,Engine!$C$2:$C$1199,0)))</f>
        <v/>
      </c>
      <c r="P472" s="6" t="str">
        <f>IF(ISNA(MATCH(459,Engine!$C$2:$C$1199,0)),"",HYPERLINK("#Acts!A"&amp;INDEX('Compliance Database'!$P$2:$P$1199,MATCH(459,Engine!$C$2:$C$1199,0)),"Go to Act"))</f>
        <v/>
      </c>
    </row>
    <row r="473" spans="1:16" ht="172.95" customHeight="1" x14ac:dyDescent="0.3">
      <c r="A473" s="6" t="str">
        <f>IF(ISNA(MATCH(460,Engine!$C$2:$C$1199,0)),"",INDEX('Compliance Database'!$A$2:$A$1199,MATCH(460,Engine!$C$2:$C$1199,0)))</f>
        <v/>
      </c>
      <c r="B473" s="6" t="str">
        <f>IF(ISNA(MATCH(460,Engine!$C$2:$C$1199,0)),"",INDEX('Compliance Database'!$B$2:$B$1199,MATCH(460,Engine!$C$2:$C$1199,0)))</f>
        <v/>
      </c>
      <c r="C473" s="6" t="str">
        <f>IF(ISNA(MATCH(460,Engine!$C$2:$C$1199,0)),"",INDEX('Compliance Database'!$C$2:$C$1199,MATCH(460,Engine!$C$2:$C$1199,0)))</f>
        <v/>
      </c>
      <c r="D473" s="7" t="str">
        <f>IF(ISNA(MATCH(460,Engine!$C$2:$C$1199,0)),"",INDEX('Compliance Database'!$D$2:$D$1199,MATCH(460,Engine!$C$2:$C$1199,0)))</f>
        <v/>
      </c>
      <c r="E473" s="6" t="str">
        <f>IF(ISNA(MATCH(460,Engine!$C$2:$C$1199,0)),"",INDEX('Compliance Database'!$E$2:$E$1199,MATCH(460,Engine!$C$2:$C$1199,0)))</f>
        <v/>
      </c>
      <c r="F473" s="6" t="str">
        <f>IF(ISNA(MATCH(460,Engine!$C$2:$C$1199,0)),"",INDEX('Compliance Database'!$F$2:$F$1199,MATCH(460,Engine!$C$2:$C$1199,0)))</f>
        <v/>
      </c>
      <c r="G473" s="6" t="str">
        <f>IF(ISNA(MATCH(460,Engine!$C$2:$C$1199,0)),"",INDEX('Compliance Database'!$G$2:$G$1199,MATCH(460,Engine!$C$2:$C$1199,0)))</f>
        <v/>
      </c>
      <c r="H473" s="7" t="str">
        <f>IF(ISNA(MATCH(460,Engine!$C$2:$C$1199,0)),"",INDEX('Compliance Database'!$H$2:$H$1199,MATCH(460,Engine!$C$2:$C$1199,0)))</f>
        <v/>
      </c>
      <c r="I473" s="7" t="str">
        <f>IF(ISNA(MATCH(460,Engine!$C$2:$C$1199,0)),"",INDEX('Compliance Database'!$I$2:$I$1199,MATCH(460,Engine!$C$2:$C$1199,0)))</f>
        <v/>
      </c>
      <c r="J473" s="6" t="str">
        <f>IF(ISNA(MATCH(460,Engine!$C$2:$C$1199,0)),"",INDEX('Compliance Database'!$J$2:$J$1199,MATCH(460,Engine!$C$2:$C$1199,0)))</f>
        <v/>
      </c>
      <c r="K473" s="7" t="str">
        <f>IF(ISNA(MATCH(460,Engine!$C$2:$C$1199,0)),"",INDEX('Compliance Database'!$K$2:$K$1199,MATCH(460,Engine!$C$2:$C$1199,0)))</f>
        <v/>
      </c>
      <c r="L473" s="7" t="str">
        <f>IF(ISNA(MATCH(460,Engine!$C$2:$C$1199,0)),"",INDEX('Compliance Database'!$L$2:$L$1199,MATCH(460,Engine!$C$2:$C$1199,0)))</f>
        <v/>
      </c>
      <c r="M473" s="7" t="str">
        <f>IF(ISNA(MATCH(460,Engine!$C$2:$C$1199,0)),"",INDEX('Compliance Database'!$M$2:$M$1199,MATCH(460,Engine!$C$2:$C$1199,0)))</f>
        <v/>
      </c>
      <c r="N473" s="7" t="str">
        <f>IF(ISNA(MATCH(460,Engine!$C$2:$C$1199,0)),"",INDEX('Compliance Database'!$N$2:$N$1199,MATCH(460,Engine!$C$2:$C$1199,0)))</f>
        <v/>
      </c>
      <c r="O473" s="7" t="str">
        <f>IF(ISNA(MATCH(460,Engine!$C$2:$C$1199,0)),"",INDEX('Compliance Database'!$O$2:$O$1199,MATCH(460,Engine!$C$2:$C$1199,0)))</f>
        <v/>
      </c>
      <c r="P473" s="6" t="str">
        <f>IF(ISNA(MATCH(460,Engine!$C$2:$C$1199,0)),"",HYPERLINK("#Acts!A"&amp;INDEX('Compliance Database'!$P$2:$P$1199,MATCH(460,Engine!$C$2:$C$1199,0)),"Go to Act"))</f>
        <v/>
      </c>
    </row>
    <row r="474" spans="1:16" ht="172.95" customHeight="1" x14ac:dyDescent="0.3">
      <c r="A474" s="6" t="str">
        <f>IF(ISNA(MATCH(461,Engine!$C$2:$C$1199,0)),"",INDEX('Compliance Database'!$A$2:$A$1199,MATCH(461,Engine!$C$2:$C$1199,0)))</f>
        <v/>
      </c>
      <c r="B474" s="6" t="str">
        <f>IF(ISNA(MATCH(461,Engine!$C$2:$C$1199,0)),"",INDEX('Compliance Database'!$B$2:$B$1199,MATCH(461,Engine!$C$2:$C$1199,0)))</f>
        <v/>
      </c>
      <c r="C474" s="6" t="str">
        <f>IF(ISNA(MATCH(461,Engine!$C$2:$C$1199,0)),"",INDEX('Compliance Database'!$C$2:$C$1199,MATCH(461,Engine!$C$2:$C$1199,0)))</f>
        <v/>
      </c>
      <c r="D474" s="7" t="str">
        <f>IF(ISNA(MATCH(461,Engine!$C$2:$C$1199,0)),"",INDEX('Compliance Database'!$D$2:$D$1199,MATCH(461,Engine!$C$2:$C$1199,0)))</f>
        <v/>
      </c>
      <c r="E474" s="6" t="str">
        <f>IF(ISNA(MATCH(461,Engine!$C$2:$C$1199,0)),"",INDEX('Compliance Database'!$E$2:$E$1199,MATCH(461,Engine!$C$2:$C$1199,0)))</f>
        <v/>
      </c>
      <c r="F474" s="6" t="str">
        <f>IF(ISNA(MATCH(461,Engine!$C$2:$C$1199,0)),"",INDEX('Compliance Database'!$F$2:$F$1199,MATCH(461,Engine!$C$2:$C$1199,0)))</f>
        <v/>
      </c>
      <c r="G474" s="6" t="str">
        <f>IF(ISNA(MATCH(461,Engine!$C$2:$C$1199,0)),"",INDEX('Compliance Database'!$G$2:$G$1199,MATCH(461,Engine!$C$2:$C$1199,0)))</f>
        <v/>
      </c>
      <c r="H474" s="7" t="str">
        <f>IF(ISNA(MATCH(461,Engine!$C$2:$C$1199,0)),"",INDEX('Compliance Database'!$H$2:$H$1199,MATCH(461,Engine!$C$2:$C$1199,0)))</f>
        <v/>
      </c>
      <c r="I474" s="7" t="str">
        <f>IF(ISNA(MATCH(461,Engine!$C$2:$C$1199,0)),"",INDEX('Compliance Database'!$I$2:$I$1199,MATCH(461,Engine!$C$2:$C$1199,0)))</f>
        <v/>
      </c>
      <c r="J474" s="6" t="str">
        <f>IF(ISNA(MATCH(461,Engine!$C$2:$C$1199,0)),"",INDEX('Compliance Database'!$J$2:$J$1199,MATCH(461,Engine!$C$2:$C$1199,0)))</f>
        <v/>
      </c>
      <c r="K474" s="7" t="str">
        <f>IF(ISNA(MATCH(461,Engine!$C$2:$C$1199,0)),"",INDEX('Compliance Database'!$K$2:$K$1199,MATCH(461,Engine!$C$2:$C$1199,0)))</f>
        <v/>
      </c>
      <c r="L474" s="7" t="str">
        <f>IF(ISNA(MATCH(461,Engine!$C$2:$C$1199,0)),"",INDEX('Compliance Database'!$L$2:$L$1199,MATCH(461,Engine!$C$2:$C$1199,0)))</f>
        <v/>
      </c>
      <c r="M474" s="7" t="str">
        <f>IF(ISNA(MATCH(461,Engine!$C$2:$C$1199,0)),"",INDEX('Compliance Database'!$M$2:$M$1199,MATCH(461,Engine!$C$2:$C$1199,0)))</f>
        <v/>
      </c>
      <c r="N474" s="7" t="str">
        <f>IF(ISNA(MATCH(461,Engine!$C$2:$C$1199,0)),"",INDEX('Compliance Database'!$N$2:$N$1199,MATCH(461,Engine!$C$2:$C$1199,0)))</f>
        <v/>
      </c>
      <c r="O474" s="7" t="str">
        <f>IF(ISNA(MATCH(461,Engine!$C$2:$C$1199,0)),"",INDEX('Compliance Database'!$O$2:$O$1199,MATCH(461,Engine!$C$2:$C$1199,0)))</f>
        <v/>
      </c>
      <c r="P474" s="6" t="str">
        <f>IF(ISNA(MATCH(461,Engine!$C$2:$C$1199,0)),"",HYPERLINK("#Acts!A"&amp;INDEX('Compliance Database'!$P$2:$P$1199,MATCH(461,Engine!$C$2:$C$1199,0)),"Go to Act"))</f>
        <v/>
      </c>
    </row>
    <row r="475" spans="1:16" ht="172.95" customHeight="1" x14ac:dyDescent="0.3">
      <c r="A475" s="6" t="str">
        <f>IF(ISNA(MATCH(462,Engine!$C$2:$C$1199,0)),"",INDEX('Compliance Database'!$A$2:$A$1199,MATCH(462,Engine!$C$2:$C$1199,0)))</f>
        <v/>
      </c>
      <c r="B475" s="6" t="str">
        <f>IF(ISNA(MATCH(462,Engine!$C$2:$C$1199,0)),"",INDEX('Compliance Database'!$B$2:$B$1199,MATCH(462,Engine!$C$2:$C$1199,0)))</f>
        <v/>
      </c>
      <c r="C475" s="6" t="str">
        <f>IF(ISNA(MATCH(462,Engine!$C$2:$C$1199,0)),"",INDEX('Compliance Database'!$C$2:$C$1199,MATCH(462,Engine!$C$2:$C$1199,0)))</f>
        <v/>
      </c>
      <c r="D475" s="7" t="str">
        <f>IF(ISNA(MATCH(462,Engine!$C$2:$C$1199,0)),"",INDEX('Compliance Database'!$D$2:$D$1199,MATCH(462,Engine!$C$2:$C$1199,0)))</f>
        <v/>
      </c>
      <c r="E475" s="6" t="str">
        <f>IF(ISNA(MATCH(462,Engine!$C$2:$C$1199,0)),"",INDEX('Compliance Database'!$E$2:$E$1199,MATCH(462,Engine!$C$2:$C$1199,0)))</f>
        <v/>
      </c>
      <c r="F475" s="6" t="str">
        <f>IF(ISNA(MATCH(462,Engine!$C$2:$C$1199,0)),"",INDEX('Compliance Database'!$F$2:$F$1199,MATCH(462,Engine!$C$2:$C$1199,0)))</f>
        <v/>
      </c>
      <c r="G475" s="6" t="str">
        <f>IF(ISNA(MATCH(462,Engine!$C$2:$C$1199,0)),"",INDEX('Compliance Database'!$G$2:$G$1199,MATCH(462,Engine!$C$2:$C$1199,0)))</f>
        <v/>
      </c>
      <c r="H475" s="7" t="str">
        <f>IF(ISNA(MATCH(462,Engine!$C$2:$C$1199,0)),"",INDEX('Compliance Database'!$H$2:$H$1199,MATCH(462,Engine!$C$2:$C$1199,0)))</f>
        <v/>
      </c>
      <c r="I475" s="7" t="str">
        <f>IF(ISNA(MATCH(462,Engine!$C$2:$C$1199,0)),"",INDEX('Compliance Database'!$I$2:$I$1199,MATCH(462,Engine!$C$2:$C$1199,0)))</f>
        <v/>
      </c>
      <c r="J475" s="6" t="str">
        <f>IF(ISNA(MATCH(462,Engine!$C$2:$C$1199,0)),"",INDEX('Compliance Database'!$J$2:$J$1199,MATCH(462,Engine!$C$2:$C$1199,0)))</f>
        <v/>
      </c>
      <c r="K475" s="7" t="str">
        <f>IF(ISNA(MATCH(462,Engine!$C$2:$C$1199,0)),"",INDEX('Compliance Database'!$K$2:$K$1199,MATCH(462,Engine!$C$2:$C$1199,0)))</f>
        <v/>
      </c>
      <c r="L475" s="7" t="str">
        <f>IF(ISNA(MATCH(462,Engine!$C$2:$C$1199,0)),"",INDEX('Compliance Database'!$L$2:$L$1199,MATCH(462,Engine!$C$2:$C$1199,0)))</f>
        <v/>
      </c>
      <c r="M475" s="7" t="str">
        <f>IF(ISNA(MATCH(462,Engine!$C$2:$C$1199,0)),"",INDEX('Compliance Database'!$M$2:$M$1199,MATCH(462,Engine!$C$2:$C$1199,0)))</f>
        <v/>
      </c>
      <c r="N475" s="7" t="str">
        <f>IF(ISNA(MATCH(462,Engine!$C$2:$C$1199,0)),"",INDEX('Compliance Database'!$N$2:$N$1199,MATCH(462,Engine!$C$2:$C$1199,0)))</f>
        <v/>
      </c>
      <c r="O475" s="7" t="str">
        <f>IF(ISNA(MATCH(462,Engine!$C$2:$C$1199,0)),"",INDEX('Compliance Database'!$O$2:$O$1199,MATCH(462,Engine!$C$2:$C$1199,0)))</f>
        <v/>
      </c>
      <c r="P475" s="6" t="str">
        <f>IF(ISNA(MATCH(462,Engine!$C$2:$C$1199,0)),"",HYPERLINK("#Acts!A"&amp;INDEX('Compliance Database'!$P$2:$P$1199,MATCH(462,Engine!$C$2:$C$1199,0)),"Go to Act"))</f>
        <v/>
      </c>
    </row>
    <row r="476" spans="1:16" ht="172.95" customHeight="1" x14ac:dyDescent="0.3">
      <c r="A476" s="6" t="str">
        <f>IF(ISNA(MATCH(463,Engine!$C$2:$C$1199,0)),"",INDEX('Compliance Database'!$A$2:$A$1199,MATCH(463,Engine!$C$2:$C$1199,0)))</f>
        <v/>
      </c>
      <c r="B476" s="6" t="str">
        <f>IF(ISNA(MATCH(463,Engine!$C$2:$C$1199,0)),"",INDEX('Compliance Database'!$B$2:$B$1199,MATCH(463,Engine!$C$2:$C$1199,0)))</f>
        <v/>
      </c>
      <c r="C476" s="6" t="str">
        <f>IF(ISNA(MATCH(463,Engine!$C$2:$C$1199,0)),"",INDEX('Compliance Database'!$C$2:$C$1199,MATCH(463,Engine!$C$2:$C$1199,0)))</f>
        <v/>
      </c>
      <c r="D476" s="7" t="str">
        <f>IF(ISNA(MATCH(463,Engine!$C$2:$C$1199,0)),"",INDEX('Compliance Database'!$D$2:$D$1199,MATCH(463,Engine!$C$2:$C$1199,0)))</f>
        <v/>
      </c>
      <c r="E476" s="6" t="str">
        <f>IF(ISNA(MATCH(463,Engine!$C$2:$C$1199,0)),"",INDEX('Compliance Database'!$E$2:$E$1199,MATCH(463,Engine!$C$2:$C$1199,0)))</f>
        <v/>
      </c>
      <c r="F476" s="6" t="str">
        <f>IF(ISNA(MATCH(463,Engine!$C$2:$C$1199,0)),"",INDEX('Compliance Database'!$F$2:$F$1199,MATCH(463,Engine!$C$2:$C$1199,0)))</f>
        <v/>
      </c>
      <c r="G476" s="6" t="str">
        <f>IF(ISNA(MATCH(463,Engine!$C$2:$C$1199,0)),"",INDEX('Compliance Database'!$G$2:$G$1199,MATCH(463,Engine!$C$2:$C$1199,0)))</f>
        <v/>
      </c>
      <c r="H476" s="7" t="str">
        <f>IF(ISNA(MATCH(463,Engine!$C$2:$C$1199,0)),"",INDEX('Compliance Database'!$H$2:$H$1199,MATCH(463,Engine!$C$2:$C$1199,0)))</f>
        <v/>
      </c>
      <c r="I476" s="7" t="str">
        <f>IF(ISNA(MATCH(463,Engine!$C$2:$C$1199,0)),"",INDEX('Compliance Database'!$I$2:$I$1199,MATCH(463,Engine!$C$2:$C$1199,0)))</f>
        <v/>
      </c>
      <c r="J476" s="6" t="str">
        <f>IF(ISNA(MATCH(463,Engine!$C$2:$C$1199,0)),"",INDEX('Compliance Database'!$J$2:$J$1199,MATCH(463,Engine!$C$2:$C$1199,0)))</f>
        <v/>
      </c>
      <c r="K476" s="7" t="str">
        <f>IF(ISNA(MATCH(463,Engine!$C$2:$C$1199,0)),"",INDEX('Compliance Database'!$K$2:$K$1199,MATCH(463,Engine!$C$2:$C$1199,0)))</f>
        <v/>
      </c>
      <c r="L476" s="7" t="str">
        <f>IF(ISNA(MATCH(463,Engine!$C$2:$C$1199,0)),"",INDEX('Compliance Database'!$L$2:$L$1199,MATCH(463,Engine!$C$2:$C$1199,0)))</f>
        <v/>
      </c>
      <c r="M476" s="7" t="str">
        <f>IF(ISNA(MATCH(463,Engine!$C$2:$C$1199,0)),"",INDEX('Compliance Database'!$M$2:$M$1199,MATCH(463,Engine!$C$2:$C$1199,0)))</f>
        <v/>
      </c>
      <c r="N476" s="7" t="str">
        <f>IF(ISNA(MATCH(463,Engine!$C$2:$C$1199,0)),"",INDEX('Compliance Database'!$N$2:$N$1199,MATCH(463,Engine!$C$2:$C$1199,0)))</f>
        <v/>
      </c>
      <c r="O476" s="7" t="str">
        <f>IF(ISNA(MATCH(463,Engine!$C$2:$C$1199,0)),"",INDEX('Compliance Database'!$O$2:$O$1199,MATCH(463,Engine!$C$2:$C$1199,0)))</f>
        <v/>
      </c>
      <c r="P476" s="6" t="str">
        <f>IF(ISNA(MATCH(463,Engine!$C$2:$C$1199,0)),"",HYPERLINK("#Acts!A"&amp;INDEX('Compliance Database'!$P$2:$P$1199,MATCH(463,Engine!$C$2:$C$1199,0)),"Go to Act"))</f>
        <v/>
      </c>
    </row>
    <row r="477" spans="1:16" ht="172.95" customHeight="1" x14ac:dyDescent="0.3">
      <c r="A477" s="6" t="str">
        <f>IF(ISNA(MATCH(464,Engine!$C$2:$C$1199,0)),"",INDEX('Compliance Database'!$A$2:$A$1199,MATCH(464,Engine!$C$2:$C$1199,0)))</f>
        <v/>
      </c>
      <c r="B477" s="6" t="str">
        <f>IF(ISNA(MATCH(464,Engine!$C$2:$C$1199,0)),"",INDEX('Compliance Database'!$B$2:$B$1199,MATCH(464,Engine!$C$2:$C$1199,0)))</f>
        <v/>
      </c>
      <c r="C477" s="6" t="str">
        <f>IF(ISNA(MATCH(464,Engine!$C$2:$C$1199,0)),"",INDEX('Compliance Database'!$C$2:$C$1199,MATCH(464,Engine!$C$2:$C$1199,0)))</f>
        <v/>
      </c>
      <c r="D477" s="7" t="str">
        <f>IF(ISNA(MATCH(464,Engine!$C$2:$C$1199,0)),"",INDEX('Compliance Database'!$D$2:$D$1199,MATCH(464,Engine!$C$2:$C$1199,0)))</f>
        <v/>
      </c>
      <c r="E477" s="6" t="str">
        <f>IF(ISNA(MATCH(464,Engine!$C$2:$C$1199,0)),"",INDEX('Compliance Database'!$E$2:$E$1199,MATCH(464,Engine!$C$2:$C$1199,0)))</f>
        <v/>
      </c>
      <c r="F477" s="6" t="str">
        <f>IF(ISNA(MATCH(464,Engine!$C$2:$C$1199,0)),"",INDEX('Compliance Database'!$F$2:$F$1199,MATCH(464,Engine!$C$2:$C$1199,0)))</f>
        <v/>
      </c>
      <c r="G477" s="6" t="str">
        <f>IF(ISNA(MATCH(464,Engine!$C$2:$C$1199,0)),"",INDEX('Compliance Database'!$G$2:$G$1199,MATCH(464,Engine!$C$2:$C$1199,0)))</f>
        <v/>
      </c>
      <c r="H477" s="7" t="str">
        <f>IF(ISNA(MATCH(464,Engine!$C$2:$C$1199,0)),"",INDEX('Compliance Database'!$H$2:$H$1199,MATCH(464,Engine!$C$2:$C$1199,0)))</f>
        <v/>
      </c>
      <c r="I477" s="7" t="str">
        <f>IF(ISNA(MATCH(464,Engine!$C$2:$C$1199,0)),"",INDEX('Compliance Database'!$I$2:$I$1199,MATCH(464,Engine!$C$2:$C$1199,0)))</f>
        <v/>
      </c>
      <c r="J477" s="6" t="str">
        <f>IF(ISNA(MATCH(464,Engine!$C$2:$C$1199,0)),"",INDEX('Compliance Database'!$J$2:$J$1199,MATCH(464,Engine!$C$2:$C$1199,0)))</f>
        <v/>
      </c>
      <c r="K477" s="7" t="str">
        <f>IF(ISNA(MATCH(464,Engine!$C$2:$C$1199,0)),"",INDEX('Compliance Database'!$K$2:$K$1199,MATCH(464,Engine!$C$2:$C$1199,0)))</f>
        <v/>
      </c>
      <c r="L477" s="7" t="str">
        <f>IF(ISNA(MATCH(464,Engine!$C$2:$C$1199,0)),"",INDEX('Compliance Database'!$L$2:$L$1199,MATCH(464,Engine!$C$2:$C$1199,0)))</f>
        <v/>
      </c>
      <c r="M477" s="7" t="str">
        <f>IF(ISNA(MATCH(464,Engine!$C$2:$C$1199,0)),"",INDEX('Compliance Database'!$M$2:$M$1199,MATCH(464,Engine!$C$2:$C$1199,0)))</f>
        <v/>
      </c>
      <c r="N477" s="7" t="str">
        <f>IF(ISNA(MATCH(464,Engine!$C$2:$C$1199,0)),"",INDEX('Compliance Database'!$N$2:$N$1199,MATCH(464,Engine!$C$2:$C$1199,0)))</f>
        <v/>
      </c>
      <c r="O477" s="7" t="str">
        <f>IF(ISNA(MATCH(464,Engine!$C$2:$C$1199,0)),"",INDEX('Compliance Database'!$O$2:$O$1199,MATCH(464,Engine!$C$2:$C$1199,0)))</f>
        <v/>
      </c>
      <c r="P477" s="6" t="str">
        <f>IF(ISNA(MATCH(464,Engine!$C$2:$C$1199,0)),"",HYPERLINK("#Acts!A"&amp;INDEX('Compliance Database'!$P$2:$P$1199,MATCH(464,Engine!$C$2:$C$1199,0)),"Go to Act"))</f>
        <v/>
      </c>
    </row>
    <row r="478" spans="1:16" ht="172.95" customHeight="1" x14ac:dyDescent="0.3">
      <c r="A478" s="6" t="str">
        <f>IF(ISNA(MATCH(465,Engine!$C$2:$C$1199,0)),"",INDEX('Compliance Database'!$A$2:$A$1199,MATCH(465,Engine!$C$2:$C$1199,0)))</f>
        <v/>
      </c>
      <c r="B478" s="6" t="str">
        <f>IF(ISNA(MATCH(465,Engine!$C$2:$C$1199,0)),"",INDEX('Compliance Database'!$B$2:$B$1199,MATCH(465,Engine!$C$2:$C$1199,0)))</f>
        <v/>
      </c>
      <c r="C478" s="6" t="str">
        <f>IF(ISNA(MATCH(465,Engine!$C$2:$C$1199,0)),"",INDEX('Compliance Database'!$C$2:$C$1199,MATCH(465,Engine!$C$2:$C$1199,0)))</f>
        <v/>
      </c>
      <c r="D478" s="7" t="str">
        <f>IF(ISNA(MATCH(465,Engine!$C$2:$C$1199,0)),"",INDEX('Compliance Database'!$D$2:$D$1199,MATCH(465,Engine!$C$2:$C$1199,0)))</f>
        <v/>
      </c>
      <c r="E478" s="6" t="str">
        <f>IF(ISNA(MATCH(465,Engine!$C$2:$C$1199,0)),"",INDEX('Compliance Database'!$E$2:$E$1199,MATCH(465,Engine!$C$2:$C$1199,0)))</f>
        <v/>
      </c>
      <c r="F478" s="6" t="str">
        <f>IF(ISNA(MATCH(465,Engine!$C$2:$C$1199,0)),"",INDEX('Compliance Database'!$F$2:$F$1199,MATCH(465,Engine!$C$2:$C$1199,0)))</f>
        <v/>
      </c>
      <c r="G478" s="6" t="str">
        <f>IF(ISNA(MATCH(465,Engine!$C$2:$C$1199,0)),"",INDEX('Compliance Database'!$G$2:$G$1199,MATCH(465,Engine!$C$2:$C$1199,0)))</f>
        <v/>
      </c>
      <c r="H478" s="7" t="str">
        <f>IF(ISNA(MATCH(465,Engine!$C$2:$C$1199,0)),"",INDEX('Compliance Database'!$H$2:$H$1199,MATCH(465,Engine!$C$2:$C$1199,0)))</f>
        <v/>
      </c>
      <c r="I478" s="7" t="str">
        <f>IF(ISNA(MATCH(465,Engine!$C$2:$C$1199,0)),"",INDEX('Compliance Database'!$I$2:$I$1199,MATCH(465,Engine!$C$2:$C$1199,0)))</f>
        <v/>
      </c>
      <c r="J478" s="6" t="str">
        <f>IF(ISNA(MATCH(465,Engine!$C$2:$C$1199,0)),"",INDEX('Compliance Database'!$J$2:$J$1199,MATCH(465,Engine!$C$2:$C$1199,0)))</f>
        <v/>
      </c>
      <c r="K478" s="7" t="str">
        <f>IF(ISNA(MATCH(465,Engine!$C$2:$C$1199,0)),"",INDEX('Compliance Database'!$K$2:$K$1199,MATCH(465,Engine!$C$2:$C$1199,0)))</f>
        <v/>
      </c>
      <c r="L478" s="7" t="str">
        <f>IF(ISNA(MATCH(465,Engine!$C$2:$C$1199,0)),"",INDEX('Compliance Database'!$L$2:$L$1199,MATCH(465,Engine!$C$2:$C$1199,0)))</f>
        <v/>
      </c>
      <c r="M478" s="7" t="str">
        <f>IF(ISNA(MATCH(465,Engine!$C$2:$C$1199,0)),"",INDEX('Compliance Database'!$M$2:$M$1199,MATCH(465,Engine!$C$2:$C$1199,0)))</f>
        <v/>
      </c>
      <c r="N478" s="7" t="str">
        <f>IF(ISNA(MATCH(465,Engine!$C$2:$C$1199,0)),"",INDEX('Compliance Database'!$N$2:$N$1199,MATCH(465,Engine!$C$2:$C$1199,0)))</f>
        <v/>
      </c>
      <c r="O478" s="7" t="str">
        <f>IF(ISNA(MATCH(465,Engine!$C$2:$C$1199,0)),"",INDEX('Compliance Database'!$O$2:$O$1199,MATCH(465,Engine!$C$2:$C$1199,0)))</f>
        <v/>
      </c>
      <c r="P478" s="6" t="str">
        <f>IF(ISNA(MATCH(465,Engine!$C$2:$C$1199,0)),"",HYPERLINK("#Acts!A"&amp;INDEX('Compliance Database'!$P$2:$P$1199,MATCH(465,Engine!$C$2:$C$1199,0)),"Go to Act"))</f>
        <v/>
      </c>
    </row>
    <row r="479" spans="1:16" ht="172.95" customHeight="1" x14ac:dyDescent="0.3">
      <c r="A479" s="6" t="str">
        <f>IF(ISNA(MATCH(466,Engine!$C$2:$C$1199,0)),"",INDEX('Compliance Database'!$A$2:$A$1199,MATCH(466,Engine!$C$2:$C$1199,0)))</f>
        <v/>
      </c>
      <c r="B479" s="6" t="str">
        <f>IF(ISNA(MATCH(466,Engine!$C$2:$C$1199,0)),"",INDEX('Compliance Database'!$B$2:$B$1199,MATCH(466,Engine!$C$2:$C$1199,0)))</f>
        <v/>
      </c>
      <c r="C479" s="6" t="str">
        <f>IF(ISNA(MATCH(466,Engine!$C$2:$C$1199,0)),"",INDEX('Compliance Database'!$C$2:$C$1199,MATCH(466,Engine!$C$2:$C$1199,0)))</f>
        <v/>
      </c>
      <c r="D479" s="7" t="str">
        <f>IF(ISNA(MATCH(466,Engine!$C$2:$C$1199,0)),"",INDEX('Compliance Database'!$D$2:$D$1199,MATCH(466,Engine!$C$2:$C$1199,0)))</f>
        <v/>
      </c>
      <c r="E479" s="6" t="str">
        <f>IF(ISNA(MATCH(466,Engine!$C$2:$C$1199,0)),"",INDEX('Compliance Database'!$E$2:$E$1199,MATCH(466,Engine!$C$2:$C$1199,0)))</f>
        <v/>
      </c>
      <c r="F479" s="6" t="str">
        <f>IF(ISNA(MATCH(466,Engine!$C$2:$C$1199,0)),"",INDEX('Compliance Database'!$F$2:$F$1199,MATCH(466,Engine!$C$2:$C$1199,0)))</f>
        <v/>
      </c>
      <c r="G479" s="6" t="str">
        <f>IF(ISNA(MATCH(466,Engine!$C$2:$C$1199,0)),"",INDEX('Compliance Database'!$G$2:$G$1199,MATCH(466,Engine!$C$2:$C$1199,0)))</f>
        <v/>
      </c>
      <c r="H479" s="7" t="str">
        <f>IF(ISNA(MATCH(466,Engine!$C$2:$C$1199,0)),"",INDEX('Compliance Database'!$H$2:$H$1199,MATCH(466,Engine!$C$2:$C$1199,0)))</f>
        <v/>
      </c>
      <c r="I479" s="7" t="str">
        <f>IF(ISNA(MATCH(466,Engine!$C$2:$C$1199,0)),"",INDEX('Compliance Database'!$I$2:$I$1199,MATCH(466,Engine!$C$2:$C$1199,0)))</f>
        <v/>
      </c>
      <c r="J479" s="6" t="str">
        <f>IF(ISNA(MATCH(466,Engine!$C$2:$C$1199,0)),"",INDEX('Compliance Database'!$J$2:$J$1199,MATCH(466,Engine!$C$2:$C$1199,0)))</f>
        <v/>
      </c>
      <c r="K479" s="7" t="str">
        <f>IF(ISNA(MATCH(466,Engine!$C$2:$C$1199,0)),"",INDEX('Compliance Database'!$K$2:$K$1199,MATCH(466,Engine!$C$2:$C$1199,0)))</f>
        <v/>
      </c>
      <c r="L479" s="7" t="str">
        <f>IF(ISNA(MATCH(466,Engine!$C$2:$C$1199,0)),"",INDEX('Compliance Database'!$L$2:$L$1199,MATCH(466,Engine!$C$2:$C$1199,0)))</f>
        <v/>
      </c>
      <c r="M479" s="7" t="str">
        <f>IF(ISNA(MATCH(466,Engine!$C$2:$C$1199,0)),"",INDEX('Compliance Database'!$M$2:$M$1199,MATCH(466,Engine!$C$2:$C$1199,0)))</f>
        <v/>
      </c>
      <c r="N479" s="7" t="str">
        <f>IF(ISNA(MATCH(466,Engine!$C$2:$C$1199,0)),"",INDEX('Compliance Database'!$N$2:$N$1199,MATCH(466,Engine!$C$2:$C$1199,0)))</f>
        <v/>
      </c>
      <c r="O479" s="7" t="str">
        <f>IF(ISNA(MATCH(466,Engine!$C$2:$C$1199,0)),"",INDEX('Compliance Database'!$O$2:$O$1199,MATCH(466,Engine!$C$2:$C$1199,0)))</f>
        <v/>
      </c>
      <c r="P479" s="6" t="str">
        <f>IF(ISNA(MATCH(466,Engine!$C$2:$C$1199,0)),"",HYPERLINK("#Acts!A"&amp;INDEX('Compliance Database'!$P$2:$P$1199,MATCH(466,Engine!$C$2:$C$1199,0)),"Go to Act"))</f>
        <v/>
      </c>
    </row>
    <row r="480" spans="1:16" ht="172.95" customHeight="1" x14ac:dyDescent="0.3">
      <c r="A480" s="6" t="str">
        <f>IF(ISNA(MATCH(467,Engine!$C$2:$C$1199,0)),"",INDEX('Compliance Database'!$A$2:$A$1199,MATCH(467,Engine!$C$2:$C$1199,0)))</f>
        <v/>
      </c>
      <c r="B480" s="6" t="str">
        <f>IF(ISNA(MATCH(467,Engine!$C$2:$C$1199,0)),"",INDEX('Compliance Database'!$B$2:$B$1199,MATCH(467,Engine!$C$2:$C$1199,0)))</f>
        <v/>
      </c>
      <c r="C480" s="6" t="str">
        <f>IF(ISNA(MATCH(467,Engine!$C$2:$C$1199,0)),"",INDEX('Compliance Database'!$C$2:$C$1199,MATCH(467,Engine!$C$2:$C$1199,0)))</f>
        <v/>
      </c>
      <c r="D480" s="7" t="str">
        <f>IF(ISNA(MATCH(467,Engine!$C$2:$C$1199,0)),"",INDEX('Compliance Database'!$D$2:$D$1199,MATCH(467,Engine!$C$2:$C$1199,0)))</f>
        <v/>
      </c>
      <c r="E480" s="6" t="str">
        <f>IF(ISNA(MATCH(467,Engine!$C$2:$C$1199,0)),"",INDEX('Compliance Database'!$E$2:$E$1199,MATCH(467,Engine!$C$2:$C$1199,0)))</f>
        <v/>
      </c>
      <c r="F480" s="6" t="str">
        <f>IF(ISNA(MATCH(467,Engine!$C$2:$C$1199,0)),"",INDEX('Compliance Database'!$F$2:$F$1199,MATCH(467,Engine!$C$2:$C$1199,0)))</f>
        <v/>
      </c>
      <c r="G480" s="6" t="str">
        <f>IF(ISNA(MATCH(467,Engine!$C$2:$C$1199,0)),"",INDEX('Compliance Database'!$G$2:$G$1199,MATCH(467,Engine!$C$2:$C$1199,0)))</f>
        <v/>
      </c>
      <c r="H480" s="7" t="str">
        <f>IF(ISNA(MATCH(467,Engine!$C$2:$C$1199,0)),"",INDEX('Compliance Database'!$H$2:$H$1199,MATCH(467,Engine!$C$2:$C$1199,0)))</f>
        <v/>
      </c>
      <c r="I480" s="7" t="str">
        <f>IF(ISNA(MATCH(467,Engine!$C$2:$C$1199,0)),"",INDEX('Compliance Database'!$I$2:$I$1199,MATCH(467,Engine!$C$2:$C$1199,0)))</f>
        <v/>
      </c>
      <c r="J480" s="6" t="str">
        <f>IF(ISNA(MATCH(467,Engine!$C$2:$C$1199,0)),"",INDEX('Compliance Database'!$J$2:$J$1199,MATCH(467,Engine!$C$2:$C$1199,0)))</f>
        <v/>
      </c>
      <c r="K480" s="7" t="str">
        <f>IF(ISNA(MATCH(467,Engine!$C$2:$C$1199,0)),"",INDEX('Compliance Database'!$K$2:$K$1199,MATCH(467,Engine!$C$2:$C$1199,0)))</f>
        <v/>
      </c>
      <c r="L480" s="7" t="str">
        <f>IF(ISNA(MATCH(467,Engine!$C$2:$C$1199,0)),"",INDEX('Compliance Database'!$L$2:$L$1199,MATCH(467,Engine!$C$2:$C$1199,0)))</f>
        <v/>
      </c>
      <c r="M480" s="7" t="str">
        <f>IF(ISNA(MATCH(467,Engine!$C$2:$C$1199,0)),"",INDEX('Compliance Database'!$M$2:$M$1199,MATCH(467,Engine!$C$2:$C$1199,0)))</f>
        <v/>
      </c>
      <c r="N480" s="7" t="str">
        <f>IF(ISNA(MATCH(467,Engine!$C$2:$C$1199,0)),"",INDEX('Compliance Database'!$N$2:$N$1199,MATCH(467,Engine!$C$2:$C$1199,0)))</f>
        <v/>
      </c>
      <c r="O480" s="7" t="str">
        <f>IF(ISNA(MATCH(467,Engine!$C$2:$C$1199,0)),"",INDEX('Compliance Database'!$O$2:$O$1199,MATCH(467,Engine!$C$2:$C$1199,0)))</f>
        <v/>
      </c>
      <c r="P480" s="6" t="str">
        <f>IF(ISNA(MATCH(467,Engine!$C$2:$C$1199,0)),"",HYPERLINK("#Acts!A"&amp;INDEX('Compliance Database'!$P$2:$P$1199,MATCH(467,Engine!$C$2:$C$1199,0)),"Go to Act"))</f>
        <v/>
      </c>
    </row>
    <row r="481" spans="1:16" ht="172.95" customHeight="1" x14ac:dyDescent="0.3">
      <c r="A481" s="6" t="str">
        <f>IF(ISNA(MATCH(468,Engine!$C$2:$C$1199,0)),"",INDEX('Compliance Database'!$A$2:$A$1199,MATCH(468,Engine!$C$2:$C$1199,0)))</f>
        <v/>
      </c>
      <c r="B481" s="6" t="str">
        <f>IF(ISNA(MATCH(468,Engine!$C$2:$C$1199,0)),"",INDEX('Compliance Database'!$B$2:$B$1199,MATCH(468,Engine!$C$2:$C$1199,0)))</f>
        <v/>
      </c>
      <c r="C481" s="6" t="str">
        <f>IF(ISNA(MATCH(468,Engine!$C$2:$C$1199,0)),"",INDEX('Compliance Database'!$C$2:$C$1199,MATCH(468,Engine!$C$2:$C$1199,0)))</f>
        <v/>
      </c>
      <c r="D481" s="7" t="str">
        <f>IF(ISNA(MATCH(468,Engine!$C$2:$C$1199,0)),"",INDEX('Compliance Database'!$D$2:$D$1199,MATCH(468,Engine!$C$2:$C$1199,0)))</f>
        <v/>
      </c>
      <c r="E481" s="6" t="str">
        <f>IF(ISNA(MATCH(468,Engine!$C$2:$C$1199,0)),"",INDEX('Compliance Database'!$E$2:$E$1199,MATCH(468,Engine!$C$2:$C$1199,0)))</f>
        <v/>
      </c>
      <c r="F481" s="6" t="str">
        <f>IF(ISNA(MATCH(468,Engine!$C$2:$C$1199,0)),"",INDEX('Compliance Database'!$F$2:$F$1199,MATCH(468,Engine!$C$2:$C$1199,0)))</f>
        <v/>
      </c>
      <c r="G481" s="6" t="str">
        <f>IF(ISNA(MATCH(468,Engine!$C$2:$C$1199,0)),"",INDEX('Compliance Database'!$G$2:$G$1199,MATCH(468,Engine!$C$2:$C$1199,0)))</f>
        <v/>
      </c>
      <c r="H481" s="7" t="str">
        <f>IF(ISNA(MATCH(468,Engine!$C$2:$C$1199,0)),"",INDEX('Compliance Database'!$H$2:$H$1199,MATCH(468,Engine!$C$2:$C$1199,0)))</f>
        <v/>
      </c>
      <c r="I481" s="7" t="str">
        <f>IF(ISNA(MATCH(468,Engine!$C$2:$C$1199,0)),"",INDEX('Compliance Database'!$I$2:$I$1199,MATCH(468,Engine!$C$2:$C$1199,0)))</f>
        <v/>
      </c>
      <c r="J481" s="6" t="str">
        <f>IF(ISNA(MATCH(468,Engine!$C$2:$C$1199,0)),"",INDEX('Compliance Database'!$J$2:$J$1199,MATCH(468,Engine!$C$2:$C$1199,0)))</f>
        <v/>
      </c>
      <c r="K481" s="7" t="str">
        <f>IF(ISNA(MATCH(468,Engine!$C$2:$C$1199,0)),"",INDEX('Compliance Database'!$K$2:$K$1199,MATCH(468,Engine!$C$2:$C$1199,0)))</f>
        <v/>
      </c>
      <c r="L481" s="7" t="str">
        <f>IF(ISNA(MATCH(468,Engine!$C$2:$C$1199,0)),"",INDEX('Compliance Database'!$L$2:$L$1199,MATCH(468,Engine!$C$2:$C$1199,0)))</f>
        <v/>
      </c>
      <c r="M481" s="7" t="str">
        <f>IF(ISNA(MATCH(468,Engine!$C$2:$C$1199,0)),"",INDEX('Compliance Database'!$M$2:$M$1199,MATCH(468,Engine!$C$2:$C$1199,0)))</f>
        <v/>
      </c>
      <c r="N481" s="7" t="str">
        <f>IF(ISNA(MATCH(468,Engine!$C$2:$C$1199,0)),"",INDEX('Compliance Database'!$N$2:$N$1199,MATCH(468,Engine!$C$2:$C$1199,0)))</f>
        <v/>
      </c>
      <c r="O481" s="7" t="str">
        <f>IF(ISNA(MATCH(468,Engine!$C$2:$C$1199,0)),"",INDEX('Compliance Database'!$O$2:$O$1199,MATCH(468,Engine!$C$2:$C$1199,0)))</f>
        <v/>
      </c>
      <c r="P481" s="6" t="str">
        <f>IF(ISNA(MATCH(468,Engine!$C$2:$C$1199,0)),"",HYPERLINK("#Acts!A"&amp;INDEX('Compliance Database'!$P$2:$P$1199,MATCH(468,Engine!$C$2:$C$1199,0)),"Go to Act"))</f>
        <v/>
      </c>
    </row>
    <row r="482" spans="1:16" ht="172.95" customHeight="1" x14ac:dyDescent="0.3">
      <c r="A482" s="6" t="str">
        <f>IF(ISNA(MATCH(469,Engine!$C$2:$C$1199,0)),"",INDEX('Compliance Database'!$A$2:$A$1199,MATCH(469,Engine!$C$2:$C$1199,0)))</f>
        <v/>
      </c>
      <c r="B482" s="6" t="str">
        <f>IF(ISNA(MATCH(469,Engine!$C$2:$C$1199,0)),"",INDEX('Compliance Database'!$B$2:$B$1199,MATCH(469,Engine!$C$2:$C$1199,0)))</f>
        <v/>
      </c>
      <c r="C482" s="6" t="str">
        <f>IF(ISNA(MATCH(469,Engine!$C$2:$C$1199,0)),"",INDEX('Compliance Database'!$C$2:$C$1199,MATCH(469,Engine!$C$2:$C$1199,0)))</f>
        <v/>
      </c>
      <c r="D482" s="7" t="str">
        <f>IF(ISNA(MATCH(469,Engine!$C$2:$C$1199,0)),"",INDEX('Compliance Database'!$D$2:$D$1199,MATCH(469,Engine!$C$2:$C$1199,0)))</f>
        <v/>
      </c>
      <c r="E482" s="6" t="str">
        <f>IF(ISNA(MATCH(469,Engine!$C$2:$C$1199,0)),"",INDEX('Compliance Database'!$E$2:$E$1199,MATCH(469,Engine!$C$2:$C$1199,0)))</f>
        <v/>
      </c>
      <c r="F482" s="6" t="str">
        <f>IF(ISNA(MATCH(469,Engine!$C$2:$C$1199,0)),"",INDEX('Compliance Database'!$F$2:$F$1199,MATCH(469,Engine!$C$2:$C$1199,0)))</f>
        <v/>
      </c>
      <c r="G482" s="6" t="str">
        <f>IF(ISNA(MATCH(469,Engine!$C$2:$C$1199,0)),"",INDEX('Compliance Database'!$G$2:$G$1199,MATCH(469,Engine!$C$2:$C$1199,0)))</f>
        <v/>
      </c>
      <c r="H482" s="7" t="str">
        <f>IF(ISNA(MATCH(469,Engine!$C$2:$C$1199,0)),"",INDEX('Compliance Database'!$H$2:$H$1199,MATCH(469,Engine!$C$2:$C$1199,0)))</f>
        <v/>
      </c>
      <c r="I482" s="7" t="str">
        <f>IF(ISNA(MATCH(469,Engine!$C$2:$C$1199,0)),"",INDEX('Compliance Database'!$I$2:$I$1199,MATCH(469,Engine!$C$2:$C$1199,0)))</f>
        <v/>
      </c>
      <c r="J482" s="6" t="str">
        <f>IF(ISNA(MATCH(469,Engine!$C$2:$C$1199,0)),"",INDEX('Compliance Database'!$J$2:$J$1199,MATCH(469,Engine!$C$2:$C$1199,0)))</f>
        <v/>
      </c>
      <c r="K482" s="7" t="str">
        <f>IF(ISNA(MATCH(469,Engine!$C$2:$C$1199,0)),"",INDEX('Compliance Database'!$K$2:$K$1199,MATCH(469,Engine!$C$2:$C$1199,0)))</f>
        <v/>
      </c>
      <c r="L482" s="7" t="str">
        <f>IF(ISNA(MATCH(469,Engine!$C$2:$C$1199,0)),"",INDEX('Compliance Database'!$L$2:$L$1199,MATCH(469,Engine!$C$2:$C$1199,0)))</f>
        <v/>
      </c>
      <c r="M482" s="7" t="str">
        <f>IF(ISNA(MATCH(469,Engine!$C$2:$C$1199,0)),"",INDEX('Compliance Database'!$M$2:$M$1199,MATCH(469,Engine!$C$2:$C$1199,0)))</f>
        <v/>
      </c>
      <c r="N482" s="7" t="str">
        <f>IF(ISNA(MATCH(469,Engine!$C$2:$C$1199,0)),"",INDEX('Compliance Database'!$N$2:$N$1199,MATCH(469,Engine!$C$2:$C$1199,0)))</f>
        <v/>
      </c>
      <c r="O482" s="7" t="str">
        <f>IF(ISNA(MATCH(469,Engine!$C$2:$C$1199,0)),"",INDEX('Compliance Database'!$O$2:$O$1199,MATCH(469,Engine!$C$2:$C$1199,0)))</f>
        <v/>
      </c>
      <c r="P482" s="6" t="str">
        <f>IF(ISNA(MATCH(469,Engine!$C$2:$C$1199,0)),"",HYPERLINK("#Acts!A"&amp;INDEX('Compliance Database'!$P$2:$P$1199,MATCH(469,Engine!$C$2:$C$1199,0)),"Go to Act"))</f>
        <v/>
      </c>
    </row>
    <row r="483" spans="1:16" ht="172.95" customHeight="1" x14ac:dyDescent="0.3">
      <c r="A483" s="6" t="str">
        <f>IF(ISNA(MATCH(470,Engine!$C$2:$C$1199,0)),"",INDEX('Compliance Database'!$A$2:$A$1199,MATCH(470,Engine!$C$2:$C$1199,0)))</f>
        <v/>
      </c>
      <c r="B483" s="6" t="str">
        <f>IF(ISNA(MATCH(470,Engine!$C$2:$C$1199,0)),"",INDEX('Compliance Database'!$B$2:$B$1199,MATCH(470,Engine!$C$2:$C$1199,0)))</f>
        <v/>
      </c>
      <c r="C483" s="6" t="str">
        <f>IF(ISNA(MATCH(470,Engine!$C$2:$C$1199,0)),"",INDEX('Compliance Database'!$C$2:$C$1199,MATCH(470,Engine!$C$2:$C$1199,0)))</f>
        <v/>
      </c>
      <c r="D483" s="7" t="str">
        <f>IF(ISNA(MATCH(470,Engine!$C$2:$C$1199,0)),"",INDEX('Compliance Database'!$D$2:$D$1199,MATCH(470,Engine!$C$2:$C$1199,0)))</f>
        <v/>
      </c>
      <c r="E483" s="6" t="str">
        <f>IF(ISNA(MATCH(470,Engine!$C$2:$C$1199,0)),"",INDEX('Compliance Database'!$E$2:$E$1199,MATCH(470,Engine!$C$2:$C$1199,0)))</f>
        <v/>
      </c>
      <c r="F483" s="6" t="str">
        <f>IF(ISNA(MATCH(470,Engine!$C$2:$C$1199,0)),"",INDEX('Compliance Database'!$F$2:$F$1199,MATCH(470,Engine!$C$2:$C$1199,0)))</f>
        <v/>
      </c>
      <c r="G483" s="6" t="str">
        <f>IF(ISNA(MATCH(470,Engine!$C$2:$C$1199,0)),"",INDEX('Compliance Database'!$G$2:$G$1199,MATCH(470,Engine!$C$2:$C$1199,0)))</f>
        <v/>
      </c>
      <c r="H483" s="7" t="str">
        <f>IF(ISNA(MATCH(470,Engine!$C$2:$C$1199,0)),"",INDEX('Compliance Database'!$H$2:$H$1199,MATCH(470,Engine!$C$2:$C$1199,0)))</f>
        <v/>
      </c>
      <c r="I483" s="7" t="str">
        <f>IF(ISNA(MATCH(470,Engine!$C$2:$C$1199,0)),"",INDEX('Compliance Database'!$I$2:$I$1199,MATCH(470,Engine!$C$2:$C$1199,0)))</f>
        <v/>
      </c>
      <c r="J483" s="6" t="str">
        <f>IF(ISNA(MATCH(470,Engine!$C$2:$C$1199,0)),"",INDEX('Compliance Database'!$J$2:$J$1199,MATCH(470,Engine!$C$2:$C$1199,0)))</f>
        <v/>
      </c>
      <c r="K483" s="7" t="str">
        <f>IF(ISNA(MATCH(470,Engine!$C$2:$C$1199,0)),"",INDEX('Compliance Database'!$K$2:$K$1199,MATCH(470,Engine!$C$2:$C$1199,0)))</f>
        <v/>
      </c>
      <c r="L483" s="7" t="str">
        <f>IF(ISNA(MATCH(470,Engine!$C$2:$C$1199,0)),"",INDEX('Compliance Database'!$L$2:$L$1199,MATCH(470,Engine!$C$2:$C$1199,0)))</f>
        <v/>
      </c>
      <c r="M483" s="7" t="str">
        <f>IF(ISNA(MATCH(470,Engine!$C$2:$C$1199,0)),"",INDEX('Compliance Database'!$M$2:$M$1199,MATCH(470,Engine!$C$2:$C$1199,0)))</f>
        <v/>
      </c>
      <c r="N483" s="7" t="str">
        <f>IF(ISNA(MATCH(470,Engine!$C$2:$C$1199,0)),"",INDEX('Compliance Database'!$N$2:$N$1199,MATCH(470,Engine!$C$2:$C$1199,0)))</f>
        <v/>
      </c>
      <c r="O483" s="7" t="str">
        <f>IF(ISNA(MATCH(470,Engine!$C$2:$C$1199,0)),"",INDEX('Compliance Database'!$O$2:$O$1199,MATCH(470,Engine!$C$2:$C$1199,0)))</f>
        <v/>
      </c>
      <c r="P483" s="6" t="str">
        <f>IF(ISNA(MATCH(470,Engine!$C$2:$C$1199,0)),"",HYPERLINK("#Acts!A"&amp;INDEX('Compliance Database'!$P$2:$P$1199,MATCH(470,Engine!$C$2:$C$1199,0)),"Go to Act"))</f>
        <v/>
      </c>
    </row>
    <row r="484" spans="1:16" ht="172.95" customHeight="1" x14ac:dyDescent="0.3">
      <c r="A484" s="6" t="str">
        <f>IF(ISNA(MATCH(471,Engine!$C$2:$C$1199,0)),"",INDEX('Compliance Database'!$A$2:$A$1199,MATCH(471,Engine!$C$2:$C$1199,0)))</f>
        <v/>
      </c>
      <c r="B484" s="6" t="str">
        <f>IF(ISNA(MATCH(471,Engine!$C$2:$C$1199,0)),"",INDEX('Compliance Database'!$B$2:$B$1199,MATCH(471,Engine!$C$2:$C$1199,0)))</f>
        <v/>
      </c>
      <c r="C484" s="6" t="str">
        <f>IF(ISNA(MATCH(471,Engine!$C$2:$C$1199,0)),"",INDEX('Compliance Database'!$C$2:$C$1199,MATCH(471,Engine!$C$2:$C$1199,0)))</f>
        <v/>
      </c>
      <c r="D484" s="7" t="str">
        <f>IF(ISNA(MATCH(471,Engine!$C$2:$C$1199,0)),"",INDEX('Compliance Database'!$D$2:$D$1199,MATCH(471,Engine!$C$2:$C$1199,0)))</f>
        <v/>
      </c>
      <c r="E484" s="6" t="str">
        <f>IF(ISNA(MATCH(471,Engine!$C$2:$C$1199,0)),"",INDEX('Compliance Database'!$E$2:$E$1199,MATCH(471,Engine!$C$2:$C$1199,0)))</f>
        <v/>
      </c>
      <c r="F484" s="6" t="str">
        <f>IF(ISNA(MATCH(471,Engine!$C$2:$C$1199,0)),"",INDEX('Compliance Database'!$F$2:$F$1199,MATCH(471,Engine!$C$2:$C$1199,0)))</f>
        <v/>
      </c>
      <c r="G484" s="6" t="str">
        <f>IF(ISNA(MATCH(471,Engine!$C$2:$C$1199,0)),"",INDEX('Compliance Database'!$G$2:$G$1199,MATCH(471,Engine!$C$2:$C$1199,0)))</f>
        <v/>
      </c>
      <c r="H484" s="7" t="str">
        <f>IF(ISNA(MATCH(471,Engine!$C$2:$C$1199,0)),"",INDEX('Compliance Database'!$H$2:$H$1199,MATCH(471,Engine!$C$2:$C$1199,0)))</f>
        <v/>
      </c>
      <c r="I484" s="7" t="str">
        <f>IF(ISNA(MATCH(471,Engine!$C$2:$C$1199,0)),"",INDEX('Compliance Database'!$I$2:$I$1199,MATCH(471,Engine!$C$2:$C$1199,0)))</f>
        <v/>
      </c>
      <c r="J484" s="6" t="str">
        <f>IF(ISNA(MATCH(471,Engine!$C$2:$C$1199,0)),"",INDEX('Compliance Database'!$J$2:$J$1199,MATCH(471,Engine!$C$2:$C$1199,0)))</f>
        <v/>
      </c>
      <c r="K484" s="7" t="str">
        <f>IF(ISNA(MATCH(471,Engine!$C$2:$C$1199,0)),"",INDEX('Compliance Database'!$K$2:$K$1199,MATCH(471,Engine!$C$2:$C$1199,0)))</f>
        <v/>
      </c>
      <c r="L484" s="7" t="str">
        <f>IF(ISNA(MATCH(471,Engine!$C$2:$C$1199,0)),"",INDEX('Compliance Database'!$L$2:$L$1199,MATCH(471,Engine!$C$2:$C$1199,0)))</f>
        <v/>
      </c>
      <c r="M484" s="7" t="str">
        <f>IF(ISNA(MATCH(471,Engine!$C$2:$C$1199,0)),"",INDEX('Compliance Database'!$M$2:$M$1199,MATCH(471,Engine!$C$2:$C$1199,0)))</f>
        <v/>
      </c>
      <c r="N484" s="7" t="str">
        <f>IF(ISNA(MATCH(471,Engine!$C$2:$C$1199,0)),"",INDEX('Compliance Database'!$N$2:$N$1199,MATCH(471,Engine!$C$2:$C$1199,0)))</f>
        <v/>
      </c>
      <c r="O484" s="7" t="str">
        <f>IF(ISNA(MATCH(471,Engine!$C$2:$C$1199,0)),"",INDEX('Compliance Database'!$O$2:$O$1199,MATCH(471,Engine!$C$2:$C$1199,0)))</f>
        <v/>
      </c>
      <c r="P484" s="6" t="str">
        <f>IF(ISNA(MATCH(471,Engine!$C$2:$C$1199,0)),"",HYPERLINK("#Acts!A"&amp;INDEX('Compliance Database'!$P$2:$P$1199,MATCH(471,Engine!$C$2:$C$1199,0)),"Go to Act"))</f>
        <v/>
      </c>
    </row>
    <row r="485" spans="1:16" ht="172.95" customHeight="1" x14ac:dyDescent="0.3">
      <c r="A485" s="6" t="str">
        <f>IF(ISNA(MATCH(472,Engine!$C$2:$C$1199,0)),"",INDEX('Compliance Database'!$A$2:$A$1199,MATCH(472,Engine!$C$2:$C$1199,0)))</f>
        <v/>
      </c>
      <c r="B485" s="6" t="str">
        <f>IF(ISNA(MATCH(472,Engine!$C$2:$C$1199,0)),"",INDEX('Compliance Database'!$B$2:$B$1199,MATCH(472,Engine!$C$2:$C$1199,0)))</f>
        <v/>
      </c>
      <c r="C485" s="6" t="str">
        <f>IF(ISNA(MATCH(472,Engine!$C$2:$C$1199,0)),"",INDEX('Compliance Database'!$C$2:$C$1199,MATCH(472,Engine!$C$2:$C$1199,0)))</f>
        <v/>
      </c>
      <c r="D485" s="7" t="str">
        <f>IF(ISNA(MATCH(472,Engine!$C$2:$C$1199,0)),"",INDEX('Compliance Database'!$D$2:$D$1199,MATCH(472,Engine!$C$2:$C$1199,0)))</f>
        <v/>
      </c>
      <c r="E485" s="6" t="str">
        <f>IF(ISNA(MATCH(472,Engine!$C$2:$C$1199,0)),"",INDEX('Compliance Database'!$E$2:$E$1199,MATCH(472,Engine!$C$2:$C$1199,0)))</f>
        <v/>
      </c>
      <c r="F485" s="6" t="str">
        <f>IF(ISNA(MATCH(472,Engine!$C$2:$C$1199,0)),"",INDEX('Compliance Database'!$F$2:$F$1199,MATCH(472,Engine!$C$2:$C$1199,0)))</f>
        <v/>
      </c>
      <c r="G485" s="6" t="str">
        <f>IF(ISNA(MATCH(472,Engine!$C$2:$C$1199,0)),"",INDEX('Compliance Database'!$G$2:$G$1199,MATCH(472,Engine!$C$2:$C$1199,0)))</f>
        <v/>
      </c>
      <c r="H485" s="7" t="str">
        <f>IF(ISNA(MATCH(472,Engine!$C$2:$C$1199,0)),"",INDEX('Compliance Database'!$H$2:$H$1199,MATCH(472,Engine!$C$2:$C$1199,0)))</f>
        <v/>
      </c>
      <c r="I485" s="7" t="str">
        <f>IF(ISNA(MATCH(472,Engine!$C$2:$C$1199,0)),"",INDEX('Compliance Database'!$I$2:$I$1199,MATCH(472,Engine!$C$2:$C$1199,0)))</f>
        <v/>
      </c>
      <c r="J485" s="6" t="str">
        <f>IF(ISNA(MATCH(472,Engine!$C$2:$C$1199,0)),"",INDEX('Compliance Database'!$J$2:$J$1199,MATCH(472,Engine!$C$2:$C$1199,0)))</f>
        <v/>
      </c>
      <c r="K485" s="7" t="str">
        <f>IF(ISNA(MATCH(472,Engine!$C$2:$C$1199,0)),"",INDEX('Compliance Database'!$K$2:$K$1199,MATCH(472,Engine!$C$2:$C$1199,0)))</f>
        <v/>
      </c>
      <c r="L485" s="7" t="str">
        <f>IF(ISNA(MATCH(472,Engine!$C$2:$C$1199,0)),"",INDEX('Compliance Database'!$L$2:$L$1199,MATCH(472,Engine!$C$2:$C$1199,0)))</f>
        <v/>
      </c>
      <c r="M485" s="7" t="str">
        <f>IF(ISNA(MATCH(472,Engine!$C$2:$C$1199,0)),"",INDEX('Compliance Database'!$M$2:$M$1199,MATCH(472,Engine!$C$2:$C$1199,0)))</f>
        <v/>
      </c>
      <c r="N485" s="7" t="str">
        <f>IF(ISNA(MATCH(472,Engine!$C$2:$C$1199,0)),"",INDEX('Compliance Database'!$N$2:$N$1199,MATCH(472,Engine!$C$2:$C$1199,0)))</f>
        <v/>
      </c>
      <c r="O485" s="7" t="str">
        <f>IF(ISNA(MATCH(472,Engine!$C$2:$C$1199,0)),"",INDEX('Compliance Database'!$O$2:$O$1199,MATCH(472,Engine!$C$2:$C$1199,0)))</f>
        <v/>
      </c>
      <c r="P485" s="6" t="str">
        <f>IF(ISNA(MATCH(472,Engine!$C$2:$C$1199,0)),"",HYPERLINK("#Acts!A"&amp;INDEX('Compliance Database'!$P$2:$P$1199,MATCH(472,Engine!$C$2:$C$1199,0)),"Go to Act"))</f>
        <v/>
      </c>
    </row>
    <row r="486" spans="1:16" ht="172.95" customHeight="1" x14ac:dyDescent="0.3">
      <c r="A486" s="6" t="str">
        <f>IF(ISNA(MATCH(473,Engine!$C$2:$C$1199,0)),"",INDEX('Compliance Database'!$A$2:$A$1199,MATCH(473,Engine!$C$2:$C$1199,0)))</f>
        <v/>
      </c>
      <c r="B486" s="6" t="str">
        <f>IF(ISNA(MATCH(473,Engine!$C$2:$C$1199,0)),"",INDEX('Compliance Database'!$B$2:$B$1199,MATCH(473,Engine!$C$2:$C$1199,0)))</f>
        <v/>
      </c>
      <c r="C486" s="6" t="str">
        <f>IF(ISNA(MATCH(473,Engine!$C$2:$C$1199,0)),"",INDEX('Compliance Database'!$C$2:$C$1199,MATCH(473,Engine!$C$2:$C$1199,0)))</f>
        <v/>
      </c>
      <c r="D486" s="7" t="str">
        <f>IF(ISNA(MATCH(473,Engine!$C$2:$C$1199,0)),"",INDEX('Compliance Database'!$D$2:$D$1199,MATCH(473,Engine!$C$2:$C$1199,0)))</f>
        <v/>
      </c>
      <c r="E486" s="6" t="str">
        <f>IF(ISNA(MATCH(473,Engine!$C$2:$C$1199,0)),"",INDEX('Compliance Database'!$E$2:$E$1199,MATCH(473,Engine!$C$2:$C$1199,0)))</f>
        <v/>
      </c>
      <c r="F486" s="6" t="str">
        <f>IF(ISNA(MATCH(473,Engine!$C$2:$C$1199,0)),"",INDEX('Compliance Database'!$F$2:$F$1199,MATCH(473,Engine!$C$2:$C$1199,0)))</f>
        <v/>
      </c>
      <c r="G486" s="6" t="str">
        <f>IF(ISNA(MATCH(473,Engine!$C$2:$C$1199,0)),"",INDEX('Compliance Database'!$G$2:$G$1199,MATCH(473,Engine!$C$2:$C$1199,0)))</f>
        <v/>
      </c>
      <c r="H486" s="7" t="str">
        <f>IF(ISNA(MATCH(473,Engine!$C$2:$C$1199,0)),"",INDEX('Compliance Database'!$H$2:$H$1199,MATCH(473,Engine!$C$2:$C$1199,0)))</f>
        <v/>
      </c>
      <c r="I486" s="7" t="str">
        <f>IF(ISNA(MATCH(473,Engine!$C$2:$C$1199,0)),"",INDEX('Compliance Database'!$I$2:$I$1199,MATCH(473,Engine!$C$2:$C$1199,0)))</f>
        <v/>
      </c>
      <c r="J486" s="6" t="str">
        <f>IF(ISNA(MATCH(473,Engine!$C$2:$C$1199,0)),"",INDEX('Compliance Database'!$J$2:$J$1199,MATCH(473,Engine!$C$2:$C$1199,0)))</f>
        <v/>
      </c>
      <c r="K486" s="7" t="str">
        <f>IF(ISNA(MATCH(473,Engine!$C$2:$C$1199,0)),"",INDEX('Compliance Database'!$K$2:$K$1199,MATCH(473,Engine!$C$2:$C$1199,0)))</f>
        <v/>
      </c>
      <c r="L486" s="7" t="str">
        <f>IF(ISNA(MATCH(473,Engine!$C$2:$C$1199,0)),"",INDEX('Compliance Database'!$L$2:$L$1199,MATCH(473,Engine!$C$2:$C$1199,0)))</f>
        <v/>
      </c>
      <c r="M486" s="7" t="str">
        <f>IF(ISNA(MATCH(473,Engine!$C$2:$C$1199,0)),"",INDEX('Compliance Database'!$M$2:$M$1199,MATCH(473,Engine!$C$2:$C$1199,0)))</f>
        <v/>
      </c>
      <c r="N486" s="7" t="str">
        <f>IF(ISNA(MATCH(473,Engine!$C$2:$C$1199,0)),"",INDEX('Compliance Database'!$N$2:$N$1199,MATCH(473,Engine!$C$2:$C$1199,0)))</f>
        <v/>
      </c>
      <c r="O486" s="7" t="str">
        <f>IF(ISNA(MATCH(473,Engine!$C$2:$C$1199,0)),"",INDEX('Compliance Database'!$O$2:$O$1199,MATCH(473,Engine!$C$2:$C$1199,0)))</f>
        <v/>
      </c>
      <c r="P486" s="6" t="str">
        <f>IF(ISNA(MATCH(473,Engine!$C$2:$C$1199,0)),"",HYPERLINK("#Acts!A"&amp;INDEX('Compliance Database'!$P$2:$P$1199,MATCH(473,Engine!$C$2:$C$1199,0)),"Go to Act"))</f>
        <v/>
      </c>
    </row>
    <row r="487" spans="1:16" ht="172.95" customHeight="1" x14ac:dyDescent="0.3">
      <c r="A487" s="6" t="str">
        <f>IF(ISNA(MATCH(474,Engine!$C$2:$C$1199,0)),"",INDEX('Compliance Database'!$A$2:$A$1199,MATCH(474,Engine!$C$2:$C$1199,0)))</f>
        <v/>
      </c>
      <c r="B487" s="6" t="str">
        <f>IF(ISNA(MATCH(474,Engine!$C$2:$C$1199,0)),"",INDEX('Compliance Database'!$B$2:$B$1199,MATCH(474,Engine!$C$2:$C$1199,0)))</f>
        <v/>
      </c>
      <c r="C487" s="6" t="str">
        <f>IF(ISNA(MATCH(474,Engine!$C$2:$C$1199,0)),"",INDEX('Compliance Database'!$C$2:$C$1199,MATCH(474,Engine!$C$2:$C$1199,0)))</f>
        <v/>
      </c>
      <c r="D487" s="7" t="str">
        <f>IF(ISNA(MATCH(474,Engine!$C$2:$C$1199,0)),"",INDEX('Compliance Database'!$D$2:$D$1199,MATCH(474,Engine!$C$2:$C$1199,0)))</f>
        <v/>
      </c>
      <c r="E487" s="6" t="str">
        <f>IF(ISNA(MATCH(474,Engine!$C$2:$C$1199,0)),"",INDEX('Compliance Database'!$E$2:$E$1199,MATCH(474,Engine!$C$2:$C$1199,0)))</f>
        <v/>
      </c>
      <c r="F487" s="6" t="str">
        <f>IF(ISNA(MATCH(474,Engine!$C$2:$C$1199,0)),"",INDEX('Compliance Database'!$F$2:$F$1199,MATCH(474,Engine!$C$2:$C$1199,0)))</f>
        <v/>
      </c>
      <c r="G487" s="6" t="str">
        <f>IF(ISNA(MATCH(474,Engine!$C$2:$C$1199,0)),"",INDEX('Compliance Database'!$G$2:$G$1199,MATCH(474,Engine!$C$2:$C$1199,0)))</f>
        <v/>
      </c>
      <c r="H487" s="7" t="str">
        <f>IF(ISNA(MATCH(474,Engine!$C$2:$C$1199,0)),"",INDEX('Compliance Database'!$H$2:$H$1199,MATCH(474,Engine!$C$2:$C$1199,0)))</f>
        <v/>
      </c>
      <c r="I487" s="7" t="str">
        <f>IF(ISNA(MATCH(474,Engine!$C$2:$C$1199,0)),"",INDEX('Compliance Database'!$I$2:$I$1199,MATCH(474,Engine!$C$2:$C$1199,0)))</f>
        <v/>
      </c>
      <c r="J487" s="6" t="str">
        <f>IF(ISNA(MATCH(474,Engine!$C$2:$C$1199,0)),"",INDEX('Compliance Database'!$J$2:$J$1199,MATCH(474,Engine!$C$2:$C$1199,0)))</f>
        <v/>
      </c>
      <c r="K487" s="7" t="str">
        <f>IF(ISNA(MATCH(474,Engine!$C$2:$C$1199,0)),"",INDEX('Compliance Database'!$K$2:$K$1199,MATCH(474,Engine!$C$2:$C$1199,0)))</f>
        <v/>
      </c>
      <c r="L487" s="7" t="str">
        <f>IF(ISNA(MATCH(474,Engine!$C$2:$C$1199,0)),"",INDEX('Compliance Database'!$L$2:$L$1199,MATCH(474,Engine!$C$2:$C$1199,0)))</f>
        <v/>
      </c>
      <c r="M487" s="7" t="str">
        <f>IF(ISNA(MATCH(474,Engine!$C$2:$C$1199,0)),"",INDEX('Compliance Database'!$M$2:$M$1199,MATCH(474,Engine!$C$2:$C$1199,0)))</f>
        <v/>
      </c>
      <c r="N487" s="7" t="str">
        <f>IF(ISNA(MATCH(474,Engine!$C$2:$C$1199,0)),"",INDEX('Compliance Database'!$N$2:$N$1199,MATCH(474,Engine!$C$2:$C$1199,0)))</f>
        <v/>
      </c>
      <c r="O487" s="7" t="str">
        <f>IF(ISNA(MATCH(474,Engine!$C$2:$C$1199,0)),"",INDEX('Compliance Database'!$O$2:$O$1199,MATCH(474,Engine!$C$2:$C$1199,0)))</f>
        <v/>
      </c>
      <c r="P487" s="6" t="str">
        <f>IF(ISNA(MATCH(474,Engine!$C$2:$C$1199,0)),"",HYPERLINK("#Acts!A"&amp;INDEX('Compliance Database'!$P$2:$P$1199,MATCH(474,Engine!$C$2:$C$1199,0)),"Go to Act"))</f>
        <v/>
      </c>
    </row>
    <row r="488" spans="1:16" ht="172.95" customHeight="1" x14ac:dyDescent="0.3">
      <c r="A488" s="6" t="str">
        <f>IF(ISNA(MATCH(475,Engine!$C$2:$C$1199,0)),"",INDEX('Compliance Database'!$A$2:$A$1199,MATCH(475,Engine!$C$2:$C$1199,0)))</f>
        <v/>
      </c>
      <c r="B488" s="6" t="str">
        <f>IF(ISNA(MATCH(475,Engine!$C$2:$C$1199,0)),"",INDEX('Compliance Database'!$B$2:$B$1199,MATCH(475,Engine!$C$2:$C$1199,0)))</f>
        <v/>
      </c>
      <c r="C488" s="6" t="str">
        <f>IF(ISNA(MATCH(475,Engine!$C$2:$C$1199,0)),"",INDEX('Compliance Database'!$C$2:$C$1199,MATCH(475,Engine!$C$2:$C$1199,0)))</f>
        <v/>
      </c>
      <c r="D488" s="7" t="str">
        <f>IF(ISNA(MATCH(475,Engine!$C$2:$C$1199,0)),"",INDEX('Compliance Database'!$D$2:$D$1199,MATCH(475,Engine!$C$2:$C$1199,0)))</f>
        <v/>
      </c>
      <c r="E488" s="6" t="str">
        <f>IF(ISNA(MATCH(475,Engine!$C$2:$C$1199,0)),"",INDEX('Compliance Database'!$E$2:$E$1199,MATCH(475,Engine!$C$2:$C$1199,0)))</f>
        <v/>
      </c>
      <c r="F488" s="6" t="str">
        <f>IF(ISNA(MATCH(475,Engine!$C$2:$C$1199,0)),"",INDEX('Compliance Database'!$F$2:$F$1199,MATCH(475,Engine!$C$2:$C$1199,0)))</f>
        <v/>
      </c>
      <c r="G488" s="6" t="str">
        <f>IF(ISNA(MATCH(475,Engine!$C$2:$C$1199,0)),"",INDEX('Compliance Database'!$G$2:$G$1199,MATCH(475,Engine!$C$2:$C$1199,0)))</f>
        <v/>
      </c>
      <c r="H488" s="7" t="str">
        <f>IF(ISNA(MATCH(475,Engine!$C$2:$C$1199,0)),"",INDEX('Compliance Database'!$H$2:$H$1199,MATCH(475,Engine!$C$2:$C$1199,0)))</f>
        <v/>
      </c>
      <c r="I488" s="7" t="str">
        <f>IF(ISNA(MATCH(475,Engine!$C$2:$C$1199,0)),"",INDEX('Compliance Database'!$I$2:$I$1199,MATCH(475,Engine!$C$2:$C$1199,0)))</f>
        <v/>
      </c>
      <c r="J488" s="6" t="str">
        <f>IF(ISNA(MATCH(475,Engine!$C$2:$C$1199,0)),"",INDEX('Compliance Database'!$J$2:$J$1199,MATCH(475,Engine!$C$2:$C$1199,0)))</f>
        <v/>
      </c>
      <c r="K488" s="7" t="str">
        <f>IF(ISNA(MATCH(475,Engine!$C$2:$C$1199,0)),"",INDEX('Compliance Database'!$K$2:$K$1199,MATCH(475,Engine!$C$2:$C$1199,0)))</f>
        <v/>
      </c>
      <c r="L488" s="7" t="str">
        <f>IF(ISNA(MATCH(475,Engine!$C$2:$C$1199,0)),"",INDEX('Compliance Database'!$L$2:$L$1199,MATCH(475,Engine!$C$2:$C$1199,0)))</f>
        <v/>
      </c>
      <c r="M488" s="7" t="str">
        <f>IF(ISNA(MATCH(475,Engine!$C$2:$C$1199,0)),"",INDEX('Compliance Database'!$M$2:$M$1199,MATCH(475,Engine!$C$2:$C$1199,0)))</f>
        <v/>
      </c>
      <c r="N488" s="7" t="str">
        <f>IF(ISNA(MATCH(475,Engine!$C$2:$C$1199,0)),"",INDEX('Compliance Database'!$N$2:$N$1199,MATCH(475,Engine!$C$2:$C$1199,0)))</f>
        <v/>
      </c>
      <c r="O488" s="7" t="str">
        <f>IF(ISNA(MATCH(475,Engine!$C$2:$C$1199,0)),"",INDEX('Compliance Database'!$O$2:$O$1199,MATCH(475,Engine!$C$2:$C$1199,0)))</f>
        <v/>
      </c>
      <c r="P488" s="6" t="str">
        <f>IF(ISNA(MATCH(475,Engine!$C$2:$C$1199,0)),"",HYPERLINK("#Acts!A"&amp;INDEX('Compliance Database'!$P$2:$P$1199,MATCH(475,Engine!$C$2:$C$1199,0)),"Go to Act"))</f>
        <v/>
      </c>
    </row>
    <row r="489" spans="1:16" ht="172.95" customHeight="1" x14ac:dyDescent="0.3">
      <c r="A489" s="6" t="str">
        <f>IF(ISNA(MATCH(476,Engine!$C$2:$C$1199,0)),"",INDEX('Compliance Database'!$A$2:$A$1199,MATCH(476,Engine!$C$2:$C$1199,0)))</f>
        <v/>
      </c>
      <c r="B489" s="6" t="str">
        <f>IF(ISNA(MATCH(476,Engine!$C$2:$C$1199,0)),"",INDEX('Compliance Database'!$B$2:$B$1199,MATCH(476,Engine!$C$2:$C$1199,0)))</f>
        <v/>
      </c>
      <c r="C489" s="6" t="str">
        <f>IF(ISNA(MATCH(476,Engine!$C$2:$C$1199,0)),"",INDEX('Compliance Database'!$C$2:$C$1199,MATCH(476,Engine!$C$2:$C$1199,0)))</f>
        <v/>
      </c>
      <c r="D489" s="7" t="str">
        <f>IF(ISNA(MATCH(476,Engine!$C$2:$C$1199,0)),"",INDEX('Compliance Database'!$D$2:$D$1199,MATCH(476,Engine!$C$2:$C$1199,0)))</f>
        <v/>
      </c>
      <c r="E489" s="6" t="str">
        <f>IF(ISNA(MATCH(476,Engine!$C$2:$C$1199,0)),"",INDEX('Compliance Database'!$E$2:$E$1199,MATCH(476,Engine!$C$2:$C$1199,0)))</f>
        <v/>
      </c>
      <c r="F489" s="6" t="str">
        <f>IF(ISNA(MATCH(476,Engine!$C$2:$C$1199,0)),"",INDEX('Compliance Database'!$F$2:$F$1199,MATCH(476,Engine!$C$2:$C$1199,0)))</f>
        <v/>
      </c>
      <c r="G489" s="6" t="str">
        <f>IF(ISNA(MATCH(476,Engine!$C$2:$C$1199,0)),"",INDEX('Compliance Database'!$G$2:$G$1199,MATCH(476,Engine!$C$2:$C$1199,0)))</f>
        <v/>
      </c>
      <c r="H489" s="7" t="str">
        <f>IF(ISNA(MATCH(476,Engine!$C$2:$C$1199,0)),"",INDEX('Compliance Database'!$H$2:$H$1199,MATCH(476,Engine!$C$2:$C$1199,0)))</f>
        <v/>
      </c>
      <c r="I489" s="7" t="str">
        <f>IF(ISNA(MATCH(476,Engine!$C$2:$C$1199,0)),"",INDEX('Compliance Database'!$I$2:$I$1199,MATCH(476,Engine!$C$2:$C$1199,0)))</f>
        <v/>
      </c>
      <c r="J489" s="6" t="str">
        <f>IF(ISNA(MATCH(476,Engine!$C$2:$C$1199,0)),"",INDEX('Compliance Database'!$J$2:$J$1199,MATCH(476,Engine!$C$2:$C$1199,0)))</f>
        <v/>
      </c>
      <c r="K489" s="7" t="str">
        <f>IF(ISNA(MATCH(476,Engine!$C$2:$C$1199,0)),"",INDEX('Compliance Database'!$K$2:$K$1199,MATCH(476,Engine!$C$2:$C$1199,0)))</f>
        <v/>
      </c>
      <c r="L489" s="7" t="str">
        <f>IF(ISNA(MATCH(476,Engine!$C$2:$C$1199,0)),"",INDEX('Compliance Database'!$L$2:$L$1199,MATCH(476,Engine!$C$2:$C$1199,0)))</f>
        <v/>
      </c>
      <c r="M489" s="7" t="str">
        <f>IF(ISNA(MATCH(476,Engine!$C$2:$C$1199,0)),"",INDEX('Compliance Database'!$M$2:$M$1199,MATCH(476,Engine!$C$2:$C$1199,0)))</f>
        <v/>
      </c>
      <c r="N489" s="7" t="str">
        <f>IF(ISNA(MATCH(476,Engine!$C$2:$C$1199,0)),"",INDEX('Compliance Database'!$N$2:$N$1199,MATCH(476,Engine!$C$2:$C$1199,0)))</f>
        <v/>
      </c>
      <c r="O489" s="7" t="str">
        <f>IF(ISNA(MATCH(476,Engine!$C$2:$C$1199,0)),"",INDEX('Compliance Database'!$O$2:$O$1199,MATCH(476,Engine!$C$2:$C$1199,0)))</f>
        <v/>
      </c>
      <c r="P489" s="6" t="str">
        <f>IF(ISNA(MATCH(476,Engine!$C$2:$C$1199,0)),"",HYPERLINK("#Acts!A"&amp;INDEX('Compliance Database'!$P$2:$P$1199,MATCH(476,Engine!$C$2:$C$1199,0)),"Go to Act"))</f>
        <v/>
      </c>
    </row>
    <row r="490" spans="1:16" ht="172.95" customHeight="1" x14ac:dyDescent="0.3">
      <c r="A490" s="6" t="str">
        <f>IF(ISNA(MATCH(477,Engine!$C$2:$C$1199,0)),"",INDEX('Compliance Database'!$A$2:$A$1199,MATCH(477,Engine!$C$2:$C$1199,0)))</f>
        <v/>
      </c>
      <c r="B490" s="6" t="str">
        <f>IF(ISNA(MATCH(477,Engine!$C$2:$C$1199,0)),"",INDEX('Compliance Database'!$B$2:$B$1199,MATCH(477,Engine!$C$2:$C$1199,0)))</f>
        <v/>
      </c>
      <c r="C490" s="6" t="str">
        <f>IF(ISNA(MATCH(477,Engine!$C$2:$C$1199,0)),"",INDEX('Compliance Database'!$C$2:$C$1199,MATCH(477,Engine!$C$2:$C$1199,0)))</f>
        <v/>
      </c>
      <c r="D490" s="7" t="str">
        <f>IF(ISNA(MATCH(477,Engine!$C$2:$C$1199,0)),"",INDEX('Compliance Database'!$D$2:$D$1199,MATCH(477,Engine!$C$2:$C$1199,0)))</f>
        <v/>
      </c>
      <c r="E490" s="6" t="str">
        <f>IF(ISNA(MATCH(477,Engine!$C$2:$C$1199,0)),"",INDEX('Compliance Database'!$E$2:$E$1199,MATCH(477,Engine!$C$2:$C$1199,0)))</f>
        <v/>
      </c>
      <c r="F490" s="6" t="str">
        <f>IF(ISNA(MATCH(477,Engine!$C$2:$C$1199,0)),"",INDEX('Compliance Database'!$F$2:$F$1199,MATCH(477,Engine!$C$2:$C$1199,0)))</f>
        <v/>
      </c>
      <c r="G490" s="6" t="str">
        <f>IF(ISNA(MATCH(477,Engine!$C$2:$C$1199,0)),"",INDEX('Compliance Database'!$G$2:$G$1199,MATCH(477,Engine!$C$2:$C$1199,0)))</f>
        <v/>
      </c>
      <c r="H490" s="7" t="str">
        <f>IF(ISNA(MATCH(477,Engine!$C$2:$C$1199,0)),"",INDEX('Compliance Database'!$H$2:$H$1199,MATCH(477,Engine!$C$2:$C$1199,0)))</f>
        <v/>
      </c>
      <c r="I490" s="7" t="str">
        <f>IF(ISNA(MATCH(477,Engine!$C$2:$C$1199,0)),"",INDEX('Compliance Database'!$I$2:$I$1199,MATCH(477,Engine!$C$2:$C$1199,0)))</f>
        <v/>
      </c>
      <c r="J490" s="6" t="str">
        <f>IF(ISNA(MATCH(477,Engine!$C$2:$C$1199,0)),"",INDEX('Compliance Database'!$J$2:$J$1199,MATCH(477,Engine!$C$2:$C$1199,0)))</f>
        <v/>
      </c>
      <c r="K490" s="7" t="str">
        <f>IF(ISNA(MATCH(477,Engine!$C$2:$C$1199,0)),"",INDEX('Compliance Database'!$K$2:$K$1199,MATCH(477,Engine!$C$2:$C$1199,0)))</f>
        <v/>
      </c>
      <c r="L490" s="7" t="str">
        <f>IF(ISNA(MATCH(477,Engine!$C$2:$C$1199,0)),"",INDEX('Compliance Database'!$L$2:$L$1199,MATCH(477,Engine!$C$2:$C$1199,0)))</f>
        <v/>
      </c>
      <c r="M490" s="7" t="str">
        <f>IF(ISNA(MATCH(477,Engine!$C$2:$C$1199,0)),"",INDEX('Compliance Database'!$M$2:$M$1199,MATCH(477,Engine!$C$2:$C$1199,0)))</f>
        <v/>
      </c>
      <c r="N490" s="7" t="str">
        <f>IF(ISNA(MATCH(477,Engine!$C$2:$C$1199,0)),"",INDEX('Compliance Database'!$N$2:$N$1199,MATCH(477,Engine!$C$2:$C$1199,0)))</f>
        <v/>
      </c>
      <c r="O490" s="7" t="str">
        <f>IF(ISNA(MATCH(477,Engine!$C$2:$C$1199,0)),"",INDEX('Compliance Database'!$O$2:$O$1199,MATCH(477,Engine!$C$2:$C$1199,0)))</f>
        <v/>
      </c>
      <c r="P490" s="6" t="str">
        <f>IF(ISNA(MATCH(477,Engine!$C$2:$C$1199,0)),"",HYPERLINK("#Acts!A"&amp;INDEX('Compliance Database'!$P$2:$P$1199,MATCH(477,Engine!$C$2:$C$1199,0)),"Go to Act"))</f>
        <v/>
      </c>
    </row>
    <row r="491" spans="1:16" ht="172.95" customHeight="1" x14ac:dyDescent="0.3">
      <c r="A491" s="6" t="str">
        <f>IF(ISNA(MATCH(478,Engine!$C$2:$C$1199,0)),"",INDEX('Compliance Database'!$A$2:$A$1199,MATCH(478,Engine!$C$2:$C$1199,0)))</f>
        <v/>
      </c>
      <c r="B491" s="6" t="str">
        <f>IF(ISNA(MATCH(478,Engine!$C$2:$C$1199,0)),"",INDEX('Compliance Database'!$B$2:$B$1199,MATCH(478,Engine!$C$2:$C$1199,0)))</f>
        <v/>
      </c>
      <c r="C491" s="6" t="str">
        <f>IF(ISNA(MATCH(478,Engine!$C$2:$C$1199,0)),"",INDEX('Compliance Database'!$C$2:$C$1199,MATCH(478,Engine!$C$2:$C$1199,0)))</f>
        <v/>
      </c>
      <c r="D491" s="7" t="str">
        <f>IF(ISNA(MATCH(478,Engine!$C$2:$C$1199,0)),"",INDEX('Compliance Database'!$D$2:$D$1199,MATCH(478,Engine!$C$2:$C$1199,0)))</f>
        <v/>
      </c>
      <c r="E491" s="6" t="str">
        <f>IF(ISNA(MATCH(478,Engine!$C$2:$C$1199,0)),"",INDEX('Compliance Database'!$E$2:$E$1199,MATCH(478,Engine!$C$2:$C$1199,0)))</f>
        <v/>
      </c>
      <c r="F491" s="6" t="str">
        <f>IF(ISNA(MATCH(478,Engine!$C$2:$C$1199,0)),"",INDEX('Compliance Database'!$F$2:$F$1199,MATCH(478,Engine!$C$2:$C$1199,0)))</f>
        <v/>
      </c>
      <c r="G491" s="6" t="str">
        <f>IF(ISNA(MATCH(478,Engine!$C$2:$C$1199,0)),"",INDEX('Compliance Database'!$G$2:$G$1199,MATCH(478,Engine!$C$2:$C$1199,0)))</f>
        <v/>
      </c>
      <c r="H491" s="7" t="str">
        <f>IF(ISNA(MATCH(478,Engine!$C$2:$C$1199,0)),"",INDEX('Compliance Database'!$H$2:$H$1199,MATCH(478,Engine!$C$2:$C$1199,0)))</f>
        <v/>
      </c>
      <c r="I491" s="7" t="str">
        <f>IF(ISNA(MATCH(478,Engine!$C$2:$C$1199,0)),"",INDEX('Compliance Database'!$I$2:$I$1199,MATCH(478,Engine!$C$2:$C$1199,0)))</f>
        <v/>
      </c>
      <c r="J491" s="6" t="str">
        <f>IF(ISNA(MATCH(478,Engine!$C$2:$C$1199,0)),"",INDEX('Compliance Database'!$J$2:$J$1199,MATCH(478,Engine!$C$2:$C$1199,0)))</f>
        <v/>
      </c>
      <c r="K491" s="7" t="str">
        <f>IF(ISNA(MATCH(478,Engine!$C$2:$C$1199,0)),"",INDEX('Compliance Database'!$K$2:$K$1199,MATCH(478,Engine!$C$2:$C$1199,0)))</f>
        <v/>
      </c>
      <c r="L491" s="7" t="str">
        <f>IF(ISNA(MATCH(478,Engine!$C$2:$C$1199,0)),"",INDEX('Compliance Database'!$L$2:$L$1199,MATCH(478,Engine!$C$2:$C$1199,0)))</f>
        <v/>
      </c>
      <c r="M491" s="7" t="str">
        <f>IF(ISNA(MATCH(478,Engine!$C$2:$C$1199,0)),"",INDEX('Compliance Database'!$M$2:$M$1199,MATCH(478,Engine!$C$2:$C$1199,0)))</f>
        <v/>
      </c>
      <c r="N491" s="7" t="str">
        <f>IF(ISNA(MATCH(478,Engine!$C$2:$C$1199,0)),"",INDEX('Compliance Database'!$N$2:$N$1199,MATCH(478,Engine!$C$2:$C$1199,0)))</f>
        <v/>
      </c>
      <c r="O491" s="7" t="str">
        <f>IF(ISNA(MATCH(478,Engine!$C$2:$C$1199,0)),"",INDEX('Compliance Database'!$O$2:$O$1199,MATCH(478,Engine!$C$2:$C$1199,0)))</f>
        <v/>
      </c>
      <c r="P491" s="6" t="str">
        <f>IF(ISNA(MATCH(478,Engine!$C$2:$C$1199,0)),"",HYPERLINK("#Acts!A"&amp;INDEX('Compliance Database'!$P$2:$P$1199,MATCH(478,Engine!$C$2:$C$1199,0)),"Go to Act"))</f>
        <v/>
      </c>
    </row>
    <row r="492" spans="1:16" ht="172.95" customHeight="1" x14ac:dyDescent="0.3">
      <c r="A492" s="6" t="str">
        <f>IF(ISNA(MATCH(479,Engine!$C$2:$C$1199,0)),"",INDEX('Compliance Database'!$A$2:$A$1199,MATCH(479,Engine!$C$2:$C$1199,0)))</f>
        <v/>
      </c>
      <c r="B492" s="6" t="str">
        <f>IF(ISNA(MATCH(479,Engine!$C$2:$C$1199,0)),"",INDEX('Compliance Database'!$B$2:$B$1199,MATCH(479,Engine!$C$2:$C$1199,0)))</f>
        <v/>
      </c>
      <c r="C492" s="6" t="str">
        <f>IF(ISNA(MATCH(479,Engine!$C$2:$C$1199,0)),"",INDEX('Compliance Database'!$C$2:$C$1199,MATCH(479,Engine!$C$2:$C$1199,0)))</f>
        <v/>
      </c>
      <c r="D492" s="7" t="str">
        <f>IF(ISNA(MATCH(479,Engine!$C$2:$C$1199,0)),"",INDEX('Compliance Database'!$D$2:$D$1199,MATCH(479,Engine!$C$2:$C$1199,0)))</f>
        <v/>
      </c>
      <c r="E492" s="6" t="str">
        <f>IF(ISNA(MATCH(479,Engine!$C$2:$C$1199,0)),"",INDEX('Compliance Database'!$E$2:$E$1199,MATCH(479,Engine!$C$2:$C$1199,0)))</f>
        <v/>
      </c>
      <c r="F492" s="6" t="str">
        <f>IF(ISNA(MATCH(479,Engine!$C$2:$C$1199,0)),"",INDEX('Compliance Database'!$F$2:$F$1199,MATCH(479,Engine!$C$2:$C$1199,0)))</f>
        <v/>
      </c>
      <c r="G492" s="6" t="str">
        <f>IF(ISNA(MATCH(479,Engine!$C$2:$C$1199,0)),"",INDEX('Compliance Database'!$G$2:$G$1199,MATCH(479,Engine!$C$2:$C$1199,0)))</f>
        <v/>
      </c>
      <c r="H492" s="7" t="str">
        <f>IF(ISNA(MATCH(479,Engine!$C$2:$C$1199,0)),"",INDEX('Compliance Database'!$H$2:$H$1199,MATCH(479,Engine!$C$2:$C$1199,0)))</f>
        <v/>
      </c>
      <c r="I492" s="7" t="str">
        <f>IF(ISNA(MATCH(479,Engine!$C$2:$C$1199,0)),"",INDEX('Compliance Database'!$I$2:$I$1199,MATCH(479,Engine!$C$2:$C$1199,0)))</f>
        <v/>
      </c>
      <c r="J492" s="6" t="str">
        <f>IF(ISNA(MATCH(479,Engine!$C$2:$C$1199,0)),"",INDEX('Compliance Database'!$J$2:$J$1199,MATCH(479,Engine!$C$2:$C$1199,0)))</f>
        <v/>
      </c>
      <c r="K492" s="7" t="str">
        <f>IF(ISNA(MATCH(479,Engine!$C$2:$C$1199,0)),"",INDEX('Compliance Database'!$K$2:$K$1199,MATCH(479,Engine!$C$2:$C$1199,0)))</f>
        <v/>
      </c>
      <c r="L492" s="7" t="str">
        <f>IF(ISNA(MATCH(479,Engine!$C$2:$C$1199,0)),"",INDEX('Compliance Database'!$L$2:$L$1199,MATCH(479,Engine!$C$2:$C$1199,0)))</f>
        <v/>
      </c>
      <c r="M492" s="7" t="str">
        <f>IF(ISNA(MATCH(479,Engine!$C$2:$C$1199,0)),"",INDEX('Compliance Database'!$M$2:$M$1199,MATCH(479,Engine!$C$2:$C$1199,0)))</f>
        <v/>
      </c>
      <c r="N492" s="7" t="str">
        <f>IF(ISNA(MATCH(479,Engine!$C$2:$C$1199,0)),"",INDEX('Compliance Database'!$N$2:$N$1199,MATCH(479,Engine!$C$2:$C$1199,0)))</f>
        <v/>
      </c>
      <c r="O492" s="7" t="str">
        <f>IF(ISNA(MATCH(479,Engine!$C$2:$C$1199,0)),"",INDEX('Compliance Database'!$O$2:$O$1199,MATCH(479,Engine!$C$2:$C$1199,0)))</f>
        <v/>
      </c>
      <c r="P492" s="6" t="str">
        <f>IF(ISNA(MATCH(479,Engine!$C$2:$C$1199,0)),"",HYPERLINK("#Acts!A"&amp;INDEX('Compliance Database'!$P$2:$P$1199,MATCH(479,Engine!$C$2:$C$1199,0)),"Go to Act"))</f>
        <v/>
      </c>
    </row>
    <row r="493" spans="1:16" ht="172.95" customHeight="1" x14ac:dyDescent="0.3">
      <c r="A493" s="6" t="str">
        <f>IF(ISNA(MATCH(480,Engine!$C$2:$C$1199,0)),"",INDEX('Compliance Database'!$A$2:$A$1199,MATCH(480,Engine!$C$2:$C$1199,0)))</f>
        <v/>
      </c>
      <c r="B493" s="6" t="str">
        <f>IF(ISNA(MATCH(480,Engine!$C$2:$C$1199,0)),"",INDEX('Compliance Database'!$B$2:$B$1199,MATCH(480,Engine!$C$2:$C$1199,0)))</f>
        <v/>
      </c>
      <c r="C493" s="6" t="str">
        <f>IF(ISNA(MATCH(480,Engine!$C$2:$C$1199,0)),"",INDEX('Compliance Database'!$C$2:$C$1199,MATCH(480,Engine!$C$2:$C$1199,0)))</f>
        <v/>
      </c>
      <c r="D493" s="7" t="str">
        <f>IF(ISNA(MATCH(480,Engine!$C$2:$C$1199,0)),"",INDEX('Compliance Database'!$D$2:$D$1199,MATCH(480,Engine!$C$2:$C$1199,0)))</f>
        <v/>
      </c>
      <c r="E493" s="6" t="str">
        <f>IF(ISNA(MATCH(480,Engine!$C$2:$C$1199,0)),"",INDEX('Compliance Database'!$E$2:$E$1199,MATCH(480,Engine!$C$2:$C$1199,0)))</f>
        <v/>
      </c>
      <c r="F493" s="6" t="str">
        <f>IF(ISNA(MATCH(480,Engine!$C$2:$C$1199,0)),"",INDEX('Compliance Database'!$F$2:$F$1199,MATCH(480,Engine!$C$2:$C$1199,0)))</f>
        <v/>
      </c>
      <c r="G493" s="6" t="str">
        <f>IF(ISNA(MATCH(480,Engine!$C$2:$C$1199,0)),"",INDEX('Compliance Database'!$G$2:$G$1199,MATCH(480,Engine!$C$2:$C$1199,0)))</f>
        <v/>
      </c>
      <c r="H493" s="7" t="str">
        <f>IF(ISNA(MATCH(480,Engine!$C$2:$C$1199,0)),"",INDEX('Compliance Database'!$H$2:$H$1199,MATCH(480,Engine!$C$2:$C$1199,0)))</f>
        <v/>
      </c>
      <c r="I493" s="7" t="str">
        <f>IF(ISNA(MATCH(480,Engine!$C$2:$C$1199,0)),"",INDEX('Compliance Database'!$I$2:$I$1199,MATCH(480,Engine!$C$2:$C$1199,0)))</f>
        <v/>
      </c>
      <c r="J493" s="6" t="str">
        <f>IF(ISNA(MATCH(480,Engine!$C$2:$C$1199,0)),"",INDEX('Compliance Database'!$J$2:$J$1199,MATCH(480,Engine!$C$2:$C$1199,0)))</f>
        <v/>
      </c>
      <c r="K493" s="7" t="str">
        <f>IF(ISNA(MATCH(480,Engine!$C$2:$C$1199,0)),"",INDEX('Compliance Database'!$K$2:$K$1199,MATCH(480,Engine!$C$2:$C$1199,0)))</f>
        <v/>
      </c>
      <c r="L493" s="7" t="str">
        <f>IF(ISNA(MATCH(480,Engine!$C$2:$C$1199,0)),"",INDEX('Compliance Database'!$L$2:$L$1199,MATCH(480,Engine!$C$2:$C$1199,0)))</f>
        <v/>
      </c>
      <c r="M493" s="7" t="str">
        <f>IF(ISNA(MATCH(480,Engine!$C$2:$C$1199,0)),"",INDEX('Compliance Database'!$M$2:$M$1199,MATCH(480,Engine!$C$2:$C$1199,0)))</f>
        <v/>
      </c>
      <c r="N493" s="7" t="str">
        <f>IF(ISNA(MATCH(480,Engine!$C$2:$C$1199,0)),"",INDEX('Compliance Database'!$N$2:$N$1199,MATCH(480,Engine!$C$2:$C$1199,0)))</f>
        <v/>
      </c>
      <c r="O493" s="7" t="str">
        <f>IF(ISNA(MATCH(480,Engine!$C$2:$C$1199,0)),"",INDEX('Compliance Database'!$O$2:$O$1199,MATCH(480,Engine!$C$2:$C$1199,0)))</f>
        <v/>
      </c>
      <c r="P493" s="6" t="str">
        <f>IF(ISNA(MATCH(480,Engine!$C$2:$C$1199,0)),"",HYPERLINK("#Acts!A"&amp;INDEX('Compliance Database'!$P$2:$P$1199,MATCH(480,Engine!$C$2:$C$1199,0)),"Go to Act"))</f>
        <v/>
      </c>
    </row>
    <row r="494" spans="1:16" ht="172.95" customHeight="1" x14ac:dyDescent="0.3">
      <c r="A494" s="6" t="str">
        <f>IF(ISNA(MATCH(481,Engine!$C$2:$C$1199,0)),"",INDEX('Compliance Database'!$A$2:$A$1199,MATCH(481,Engine!$C$2:$C$1199,0)))</f>
        <v/>
      </c>
      <c r="B494" s="6" t="str">
        <f>IF(ISNA(MATCH(481,Engine!$C$2:$C$1199,0)),"",INDEX('Compliance Database'!$B$2:$B$1199,MATCH(481,Engine!$C$2:$C$1199,0)))</f>
        <v/>
      </c>
      <c r="C494" s="6" t="str">
        <f>IF(ISNA(MATCH(481,Engine!$C$2:$C$1199,0)),"",INDEX('Compliance Database'!$C$2:$C$1199,MATCH(481,Engine!$C$2:$C$1199,0)))</f>
        <v/>
      </c>
      <c r="D494" s="7" t="str">
        <f>IF(ISNA(MATCH(481,Engine!$C$2:$C$1199,0)),"",INDEX('Compliance Database'!$D$2:$D$1199,MATCH(481,Engine!$C$2:$C$1199,0)))</f>
        <v/>
      </c>
      <c r="E494" s="6" t="str">
        <f>IF(ISNA(MATCH(481,Engine!$C$2:$C$1199,0)),"",INDEX('Compliance Database'!$E$2:$E$1199,MATCH(481,Engine!$C$2:$C$1199,0)))</f>
        <v/>
      </c>
      <c r="F494" s="6" t="str">
        <f>IF(ISNA(MATCH(481,Engine!$C$2:$C$1199,0)),"",INDEX('Compliance Database'!$F$2:$F$1199,MATCH(481,Engine!$C$2:$C$1199,0)))</f>
        <v/>
      </c>
      <c r="G494" s="6" t="str">
        <f>IF(ISNA(MATCH(481,Engine!$C$2:$C$1199,0)),"",INDEX('Compliance Database'!$G$2:$G$1199,MATCH(481,Engine!$C$2:$C$1199,0)))</f>
        <v/>
      </c>
      <c r="H494" s="7" t="str">
        <f>IF(ISNA(MATCH(481,Engine!$C$2:$C$1199,0)),"",INDEX('Compliance Database'!$H$2:$H$1199,MATCH(481,Engine!$C$2:$C$1199,0)))</f>
        <v/>
      </c>
      <c r="I494" s="7" t="str">
        <f>IF(ISNA(MATCH(481,Engine!$C$2:$C$1199,0)),"",INDEX('Compliance Database'!$I$2:$I$1199,MATCH(481,Engine!$C$2:$C$1199,0)))</f>
        <v/>
      </c>
      <c r="J494" s="6" t="str">
        <f>IF(ISNA(MATCH(481,Engine!$C$2:$C$1199,0)),"",INDEX('Compliance Database'!$J$2:$J$1199,MATCH(481,Engine!$C$2:$C$1199,0)))</f>
        <v/>
      </c>
      <c r="K494" s="7" t="str">
        <f>IF(ISNA(MATCH(481,Engine!$C$2:$C$1199,0)),"",INDEX('Compliance Database'!$K$2:$K$1199,MATCH(481,Engine!$C$2:$C$1199,0)))</f>
        <v/>
      </c>
      <c r="L494" s="7" t="str">
        <f>IF(ISNA(MATCH(481,Engine!$C$2:$C$1199,0)),"",INDEX('Compliance Database'!$L$2:$L$1199,MATCH(481,Engine!$C$2:$C$1199,0)))</f>
        <v/>
      </c>
      <c r="M494" s="7" t="str">
        <f>IF(ISNA(MATCH(481,Engine!$C$2:$C$1199,0)),"",INDEX('Compliance Database'!$M$2:$M$1199,MATCH(481,Engine!$C$2:$C$1199,0)))</f>
        <v/>
      </c>
      <c r="N494" s="7" t="str">
        <f>IF(ISNA(MATCH(481,Engine!$C$2:$C$1199,0)),"",INDEX('Compliance Database'!$N$2:$N$1199,MATCH(481,Engine!$C$2:$C$1199,0)))</f>
        <v/>
      </c>
      <c r="O494" s="7" t="str">
        <f>IF(ISNA(MATCH(481,Engine!$C$2:$C$1199,0)),"",INDEX('Compliance Database'!$O$2:$O$1199,MATCH(481,Engine!$C$2:$C$1199,0)))</f>
        <v/>
      </c>
      <c r="P494" s="6" t="str">
        <f>IF(ISNA(MATCH(481,Engine!$C$2:$C$1199,0)),"",HYPERLINK("#Acts!A"&amp;INDEX('Compliance Database'!$P$2:$P$1199,MATCH(481,Engine!$C$2:$C$1199,0)),"Go to Act"))</f>
        <v/>
      </c>
    </row>
    <row r="495" spans="1:16" ht="172.95" customHeight="1" x14ac:dyDescent="0.3">
      <c r="A495" s="6" t="str">
        <f>IF(ISNA(MATCH(482,Engine!$C$2:$C$1199,0)),"",INDEX('Compliance Database'!$A$2:$A$1199,MATCH(482,Engine!$C$2:$C$1199,0)))</f>
        <v/>
      </c>
      <c r="B495" s="6" t="str">
        <f>IF(ISNA(MATCH(482,Engine!$C$2:$C$1199,0)),"",INDEX('Compliance Database'!$B$2:$B$1199,MATCH(482,Engine!$C$2:$C$1199,0)))</f>
        <v/>
      </c>
      <c r="C495" s="6" t="str">
        <f>IF(ISNA(MATCH(482,Engine!$C$2:$C$1199,0)),"",INDEX('Compliance Database'!$C$2:$C$1199,MATCH(482,Engine!$C$2:$C$1199,0)))</f>
        <v/>
      </c>
      <c r="D495" s="7" t="str">
        <f>IF(ISNA(MATCH(482,Engine!$C$2:$C$1199,0)),"",INDEX('Compliance Database'!$D$2:$D$1199,MATCH(482,Engine!$C$2:$C$1199,0)))</f>
        <v/>
      </c>
      <c r="E495" s="6" t="str">
        <f>IF(ISNA(MATCH(482,Engine!$C$2:$C$1199,0)),"",INDEX('Compliance Database'!$E$2:$E$1199,MATCH(482,Engine!$C$2:$C$1199,0)))</f>
        <v/>
      </c>
      <c r="F495" s="6" t="str">
        <f>IF(ISNA(MATCH(482,Engine!$C$2:$C$1199,0)),"",INDEX('Compliance Database'!$F$2:$F$1199,MATCH(482,Engine!$C$2:$C$1199,0)))</f>
        <v/>
      </c>
      <c r="G495" s="6" t="str">
        <f>IF(ISNA(MATCH(482,Engine!$C$2:$C$1199,0)),"",INDEX('Compliance Database'!$G$2:$G$1199,MATCH(482,Engine!$C$2:$C$1199,0)))</f>
        <v/>
      </c>
      <c r="H495" s="7" t="str">
        <f>IF(ISNA(MATCH(482,Engine!$C$2:$C$1199,0)),"",INDEX('Compliance Database'!$H$2:$H$1199,MATCH(482,Engine!$C$2:$C$1199,0)))</f>
        <v/>
      </c>
      <c r="I495" s="7" t="str">
        <f>IF(ISNA(MATCH(482,Engine!$C$2:$C$1199,0)),"",INDEX('Compliance Database'!$I$2:$I$1199,MATCH(482,Engine!$C$2:$C$1199,0)))</f>
        <v/>
      </c>
      <c r="J495" s="6" t="str">
        <f>IF(ISNA(MATCH(482,Engine!$C$2:$C$1199,0)),"",INDEX('Compliance Database'!$J$2:$J$1199,MATCH(482,Engine!$C$2:$C$1199,0)))</f>
        <v/>
      </c>
      <c r="K495" s="7" t="str">
        <f>IF(ISNA(MATCH(482,Engine!$C$2:$C$1199,0)),"",INDEX('Compliance Database'!$K$2:$K$1199,MATCH(482,Engine!$C$2:$C$1199,0)))</f>
        <v/>
      </c>
      <c r="L495" s="7" t="str">
        <f>IF(ISNA(MATCH(482,Engine!$C$2:$C$1199,0)),"",INDEX('Compliance Database'!$L$2:$L$1199,MATCH(482,Engine!$C$2:$C$1199,0)))</f>
        <v/>
      </c>
      <c r="M495" s="7" t="str">
        <f>IF(ISNA(MATCH(482,Engine!$C$2:$C$1199,0)),"",INDEX('Compliance Database'!$M$2:$M$1199,MATCH(482,Engine!$C$2:$C$1199,0)))</f>
        <v/>
      </c>
      <c r="N495" s="7" t="str">
        <f>IF(ISNA(MATCH(482,Engine!$C$2:$C$1199,0)),"",INDEX('Compliance Database'!$N$2:$N$1199,MATCH(482,Engine!$C$2:$C$1199,0)))</f>
        <v/>
      </c>
      <c r="O495" s="7" t="str">
        <f>IF(ISNA(MATCH(482,Engine!$C$2:$C$1199,0)),"",INDEX('Compliance Database'!$O$2:$O$1199,MATCH(482,Engine!$C$2:$C$1199,0)))</f>
        <v/>
      </c>
      <c r="P495" s="6" t="str">
        <f>IF(ISNA(MATCH(482,Engine!$C$2:$C$1199,0)),"",HYPERLINK("#Acts!A"&amp;INDEX('Compliance Database'!$P$2:$P$1199,MATCH(482,Engine!$C$2:$C$1199,0)),"Go to Act"))</f>
        <v/>
      </c>
    </row>
    <row r="496" spans="1:16" ht="172.95" customHeight="1" x14ac:dyDescent="0.3">
      <c r="A496" s="6" t="str">
        <f>IF(ISNA(MATCH(483,Engine!$C$2:$C$1199,0)),"",INDEX('Compliance Database'!$A$2:$A$1199,MATCH(483,Engine!$C$2:$C$1199,0)))</f>
        <v/>
      </c>
      <c r="B496" s="6" t="str">
        <f>IF(ISNA(MATCH(483,Engine!$C$2:$C$1199,0)),"",INDEX('Compliance Database'!$B$2:$B$1199,MATCH(483,Engine!$C$2:$C$1199,0)))</f>
        <v/>
      </c>
      <c r="C496" s="6" t="str">
        <f>IF(ISNA(MATCH(483,Engine!$C$2:$C$1199,0)),"",INDEX('Compliance Database'!$C$2:$C$1199,MATCH(483,Engine!$C$2:$C$1199,0)))</f>
        <v/>
      </c>
      <c r="D496" s="7" t="str">
        <f>IF(ISNA(MATCH(483,Engine!$C$2:$C$1199,0)),"",INDEX('Compliance Database'!$D$2:$D$1199,MATCH(483,Engine!$C$2:$C$1199,0)))</f>
        <v/>
      </c>
      <c r="E496" s="6" t="str">
        <f>IF(ISNA(MATCH(483,Engine!$C$2:$C$1199,0)),"",INDEX('Compliance Database'!$E$2:$E$1199,MATCH(483,Engine!$C$2:$C$1199,0)))</f>
        <v/>
      </c>
      <c r="F496" s="6" t="str">
        <f>IF(ISNA(MATCH(483,Engine!$C$2:$C$1199,0)),"",INDEX('Compliance Database'!$F$2:$F$1199,MATCH(483,Engine!$C$2:$C$1199,0)))</f>
        <v/>
      </c>
      <c r="G496" s="6" t="str">
        <f>IF(ISNA(MATCH(483,Engine!$C$2:$C$1199,0)),"",INDEX('Compliance Database'!$G$2:$G$1199,MATCH(483,Engine!$C$2:$C$1199,0)))</f>
        <v/>
      </c>
      <c r="H496" s="7" t="str">
        <f>IF(ISNA(MATCH(483,Engine!$C$2:$C$1199,0)),"",INDEX('Compliance Database'!$H$2:$H$1199,MATCH(483,Engine!$C$2:$C$1199,0)))</f>
        <v/>
      </c>
      <c r="I496" s="7" t="str">
        <f>IF(ISNA(MATCH(483,Engine!$C$2:$C$1199,0)),"",INDEX('Compliance Database'!$I$2:$I$1199,MATCH(483,Engine!$C$2:$C$1199,0)))</f>
        <v/>
      </c>
      <c r="J496" s="6" t="str">
        <f>IF(ISNA(MATCH(483,Engine!$C$2:$C$1199,0)),"",INDEX('Compliance Database'!$J$2:$J$1199,MATCH(483,Engine!$C$2:$C$1199,0)))</f>
        <v/>
      </c>
      <c r="K496" s="7" t="str">
        <f>IF(ISNA(MATCH(483,Engine!$C$2:$C$1199,0)),"",INDEX('Compliance Database'!$K$2:$K$1199,MATCH(483,Engine!$C$2:$C$1199,0)))</f>
        <v/>
      </c>
      <c r="L496" s="7" t="str">
        <f>IF(ISNA(MATCH(483,Engine!$C$2:$C$1199,0)),"",INDEX('Compliance Database'!$L$2:$L$1199,MATCH(483,Engine!$C$2:$C$1199,0)))</f>
        <v/>
      </c>
      <c r="M496" s="7" t="str">
        <f>IF(ISNA(MATCH(483,Engine!$C$2:$C$1199,0)),"",INDEX('Compliance Database'!$M$2:$M$1199,MATCH(483,Engine!$C$2:$C$1199,0)))</f>
        <v/>
      </c>
      <c r="N496" s="7" t="str">
        <f>IF(ISNA(MATCH(483,Engine!$C$2:$C$1199,0)),"",INDEX('Compliance Database'!$N$2:$N$1199,MATCH(483,Engine!$C$2:$C$1199,0)))</f>
        <v/>
      </c>
      <c r="O496" s="7" t="str">
        <f>IF(ISNA(MATCH(483,Engine!$C$2:$C$1199,0)),"",INDEX('Compliance Database'!$O$2:$O$1199,MATCH(483,Engine!$C$2:$C$1199,0)))</f>
        <v/>
      </c>
      <c r="P496" s="6" t="str">
        <f>IF(ISNA(MATCH(483,Engine!$C$2:$C$1199,0)),"",HYPERLINK("#Acts!A"&amp;INDEX('Compliance Database'!$P$2:$P$1199,MATCH(483,Engine!$C$2:$C$1199,0)),"Go to Act"))</f>
        <v/>
      </c>
    </row>
    <row r="497" spans="1:16" ht="172.95" customHeight="1" x14ac:dyDescent="0.3">
      <c r="A497" s="6" t="str">
        <f>IF(ISNA(MATCH(484,Engine!$C$2:$C$1199,0)),"",INDEX('Compliance Database'!$A$2:$A$1199,MATCH(484,Engine!$C$2:$C$1199,0)))</f>
        <v/>
      </c>
      <c r="B497" s="6" t="str">
        <f>IF(ISNA(MATCH(484,Engine!$C$2:$C$1199,0)),"",INDEX('Compliance Database'!$B$2:$B$1199,MATCH(484,Engine!$C$2:$C$1199,0)))</f>
        <v/>
      </c>
      <c r="C497" s="6" t="str">
        <f>IF(ISNA(MATCH(484,Engine!$C$2:$C$1199,0)),"",INDEX('Compliance Database'!$C$2:$C$1199,MATCH(484,Engine!$C$2:$C$1199,0)))</f>
        <v/>
      </c>
      <c r="D497" s="7" t="str">
        <f>IF(ISNA(MATCH(484,Engine!$C$2:$C$1199,0)),"",INDEX('Compliance Database'!$D$2:$D$1199,MATCH(484,Engine!$C$2:$C$1199,0)))</f>
        <v/>
      </c>
      <c r="E497" s="6" t="str">
        <f>IF(ISNA(MATCH(484,Engine!$C$2:$C$1199,0)),"",INDEX('Compliance Database'!$E$2:$E$1199,MATCH(484,Engine!$C$2:$C$1199,0)))</f>
        <v/>
      </c>
      <c r="F497" s="6" t="str">
        <f>IF(ISNA(MATCH(484,Engine!$C$2:$C$1199,0)),"",INDEX('Compliance Database'!$F$2:$F$1199,MATCH(484,Engine!$C$2:$C$1199,0)))</f>
        <v/>
      </c>
      <c r="G497" s="6" t="str">
        <f>IF(ISNA(MATCH(484,Engine!$C$2:$C$1199,0)),"",INDEX('Compliance Database'!$G$2:$G$1199,MATCH(484,Engine!$C$2:$C$1199,0)))</f>
        <v/>
      </c>
      <c r="H497" s="7" t="str">
        <f>IF(ISNA(MATCH(484,Engine!$C$2:$C$1199,0)),"",INDEX('Compliance Database'!$H$2:$H$1199,MATCH(484,Engine!$C$2:$C$1199,0)))</f>
        <v/>
      </c>
      <c r="I497" s="7" t="str">
        <f>IF(ISNA(MATCH(484,Engine!$C$2:$C$1199,0)),"",INDEX('Compliance Database'!$I$2:$I$1199,MATCH(484,Engine!$C$2:$C$1199,0)))</f>
        <v/>
      </c>
      <c r="J497" s="6" t="str">
        <f>IF(ISNA(MATCH(484,Engine!$C$2:$C$1199,0)),"",INDEX('Compliance Database'!$J$2:$J$1199,MATCH(484,Engine!$C$2:$C$1199,0)))</f>
        <v/>
      </c>
      <c r="K497" s="7" t="str">
        <f>IF(ISNA(MATCH(484,Engine!$C$2:$C$1199,0)),"",INDEX('Compliance Database'!$K$2:$K$1199,MATCH(484,Engine!$C$2:$C$1199,0)))</f>
        <v/>
      </c>
      <c r="L497" s="7" t="str">
        <f>IF(ISNA(MATCH(484,Engine!$C$2:$C$1199,0)),"",INDEX('Compliance Database'!$L$2:$L$1199,MATCH(484,Engine!$C$2:$C$1199,0)))</f>
        <v/>
      </c>
      <c r="M497" s="7" t="str">
        <f>IF(ISNA(MATCH(484,Engine!$C$2:$C$1199,0)),"",INDEX('Compliance Database'!$M$2:$M$1199,MATCH(484,Engine!$C$2:$C$1199,0)))</f>
        <v/>
      </c>
      <c r="N497" s="7" t="str">
        <f>IF(ISNA(MATCH(484,Engine!$C$2:$C$1199,0)),"",INDEX('Compliance Database'!$N$2:$N$1199,MATCH(484,Engine!$C$2:$C$1199,0)))</f>
        <v/>
      </c>
      <c r="O497" s="7" t="str">
        <f>IF(ISNA(MATCH(484,Engine!$C$2:$C$1199,0)),"",INDEX('Compliance Database'!$O$2:$O$1199,MATCH(484,Engine!$C$2:$C$1199,0)))</f>
        <v/>
      </c>
      <c r="P497" s="6" t="str">
        <f>IF(ISNA(MATCH(484,Engine!$C$2:$C$1199,0)),"",HYPERLINK("#Acts!A"&amp;INDEX('Compliance Database'!$P$2:$P$1199,MATCH(484,Engine!$C$2:$C$1199,0)),"Go to Act"))</f>
        <v/>
      </c>
    </row>
    <row r="498" spans="1:16" ht="172.95" customHeight="1" x14ac:dyDescent="0.3">
      <c r="A498" s="6" t="str">
        <f>IF(ISNA(MATCH(485,Engine!$C$2:$C$1199,0)),"",INDEX('Compliance Database'!$A$2:$A$1199,MATCH(485,Engine!$C$2:$C$1199,0)))</f>
        <v/>
      </c>
      <c r="B498" s="6" t="str">
        <f>IF(ISNA(MATCH(485,Engine!$C$2:$C$1199,0)),"",INDEX('Compliance Database'!$B$2:$B$1199,MATCH(485,Engine!$C$2:$C$1199,0)))</f>
        <v/>
      </c>
      <c r="C498" s="6" t="str">
        <f>IF(ISNA(MATCH(485,Engine!$C$2:$C$1199,0)),"",INDEX('Compliance Database'!$C$2:$C$1199,MATCH(485,Engine!$C$2:$C$1199,0)))</f>
        <v/>
      </c>
      <c r="D498" s="7" t="str">
        <f>IF(ISNA(MATCH(485,Engine!$C$2:$C$1199,0)),"",INDEX('Compliance Database'!$D$2:$D$1199,MATCH(485,Engine!$C$2:$C$1199,0)))</f>
        <v/>
      </c>
      <c r="E498" s="6" t="str">
        <f>IF(ISNA(MATCH(485,Engine!$C$2:$C$1199,0)),"",INDEX('Compliance Database'!$E$2:$E$1199,MATCH(485,Engine!$C$2:$C$1199,0)))</f>
        <v/>
      </c>
      <c r="F498" s="6" t="str">
        <f>IF(ISNA(MATCH(485,Engine!$C$2:$C$1199,0)),"",INDEX('Compliance Database'!$F$2:$F$1199,MATCH(485,Engine!$C$2:$C$1199,0)))</f>
        <v/>
      </c>
      <c r="G498" s="6" t="str">
        <f>IF(ISNA(MATCH(485,Engine!$C$2:$C$1199,0)),"",INDEX('Compliance Database'!$G$2:$G$1199,MATCH(485,Engine!$C$2:$C$1199,0)))</f>
        <v/>
      </c>
      <c r="H498" s="7" t="str">
        <f>IF(ISNA(MATCH(485,Engine!$C$2:$C$1199,0)),"",INDEX('Compliance Database'!$H$2:$H$1199,MATCH(485,Engine!$C$2:$C$1199,0)))</f>
        <v/>
      </c>
      <c r="I498" s="7" t="str">
        <f>IF(ISNA(MATCH(485,Engine!$C$2:$C$1199,0)),"",INDEX('Compliance Database'!$I$2:$I$1199,MATCH(485,Engine!$C$2:$C$1199,0)))</f>
        <v/>
      </c>
      <c r="J498" s="6" t="str">
        <f>IF(ISNA(MATCH(485,Engine!$C$2:$C$1199,0)),"",INDEX('Compliance Database'!$J$2:$J$1199,MATCH(485,Engine!$C$2:$C$1199,0)))</f>
        <v/>
      </c>
      <c r="K498" s="7" t="str">
        <f>IF(ISNA(MATCH(485,Engine!$C$2:$C$1199,0)),"",INDEX('Compliance Database'!$K$2:$K$1199,MATCH(485,Engine!$C$2:$C$1199,0)))</f>
        <v/>
      </c>
      <c r="L498" s="7" t="str">
        <f>IF(ISNA(MATCH(485,Engine!$C$2:$C$1199,0)),"",INDEX('Compliance Database'!$L$2:$L$1199,MATCH(485,Engine!$C$2:$C$1199,0)))</f>
        <v/>
      </c>
      <c r="M498" s="7" t="str">
        <f>IF(ISNA(MATCH(485,Engine!$C$2:$C$1199,0)),"",INDEX('Compliance Database'!$M$2:$M$1199,MATCH(485,Engine!$C$2:$C$1199,0)))</f>
        <v/>
      </c>
      <c r="N498" s="7" t="str">
        <f>IF(ISNA(MATCH(485,Engine!$C$2:$C$1199,0)),"",INDEX('Compliance Database'!$N$2:$N$1199,MATCH(485,Engine!$C$2:$C$1199,0)))</f>
        <v/>
      </c>
      <c r="O498" s="7" t="str">
        <f>IF(ISNA(MATCH(485,Engine!$C$2:$C$1199,0)),"",INDEX('Compliance Database'!$O$2:$O$1199,MATCH(485,Engine!$C$2:$C$1199,0)))</f>
        <v/>
      </c>
      <c r="P498" s="6" t="str">
        <f>IF(ISNA(MATCH(485,Engine!$C$2:$C$1199,0)),"",HYPERLINK("#Acts!A"&amp;INDEX('Compliance Database'!$P$2:$P$1199,MATCH(485,Engine!$C$2:$C$1199,0)),"Go to Act"))</f>
        <v/>
      </c>
    </row>
    <row r="499" spans="1:16" ht="172.95" customHeight="1" x14ac:dyDescent="0.3">
      <c r="A499" s="6" t="str">
        <f>IF(ISNA(MATCH(486,Engine!$C$2:$C$1199,0)),"",INDEX('Compliance Database'!$A$2:$A$1199,MATCH(486,Engine!$C$2:$C$1199,0)))</f>
        <v/>
      </c>
      <c r="B499" s="6" t="str">
        <f>IF(ISNA(MATCH(486,Engine!$C$2:$C$1199,0)),"",INDEX('Compliance Database'!$B$2:$B$1199,MATCH(486,Engine!$C$2:$C$1199,0)))</f>
        <v/>
      </c>
      <c r="C499" s="6" t="str">
        <f>IF(ISNA(MATCH(486,Engine!$C$2:$C$1199,0)),"",INDEX('Compliance Database'!$C$2:$C$1199,MATCH(486,Engine!$C$2:$C$1199,0)))</f>
        <v/>
      </c>
      <c r="D499" s="7" t="str">
        <f>IF(ISNA(MATCH(486,Engine!$C$2:$C$1199,0)),"",INDEX('Compliance Database'!$D$2:$D$1199,MATCH(486,Engine!$C$2:$C$1199,0)))</f>
        <v/>
      </c>
      <c r="E499" s="6" t="str">
        <f>IF(ISNA(MATCH(486,Engine!$C$2:$C$1199,0)),"",INDEX('Compliance Database'!$E$2:$E$1199,MATCH(486,Engine!$C$2:$C$1199,0)))</f>
        <v/>
      </c>
      <c r="F499" s="6" t="str">
        <f>IF(ISNA(MATCH(486,Engine!$C$2:$C$1199,0)),"",INDEX('Compliance Database'!$F$2:$F$1199,MATCH(486,Engine!$C$2:$C$1199,0)))</f>
        <v/>
      </c>
      <c r="G499" s="6" t="str">
        <f>IF(ISNA(MATCH(486,Engine!$C$2:$C$1199,0)),"",INDEX('Compliance Database'!$G$2:$G$1199,MATCH(486,Engine!$C$2:$C$1199,0)))</f>
        <v/>
      </c>
      <c r="H499" s="7" t="str">
        <f>IF(ISNA(MATCH(486,Engine!$C$2:$C$1199,0)),"",INDEX('Compliance Database'!$H$2:$H$1199,MATCH(486,Engine!$C$2:$C$1199,0)))</f>
        <v/>
      </c>
      <c r="I499" s="7" t="str">
        <f>IF(ISNA(MATCH(486,Engine!$C$2:$C$1199,0)),"",INDEX('Compliance Database'!$I$2:$I$1199,MATCH(486,Engine!$C$2:$C$1199,0)))</f>
        <v/>
      </c>
      <c r="J499" s="6" t="str">
        <f>IF(ISNA(MATCH(486,Engine!$C$2:$C$1199,0)),"",INDEX('Compliance Database'!$J$2:$J$1199,MATCH(486,Engine!$C$2:$C$1199,0)))</f>
        <v/>
      </c>
      <c r="K499" s="7" t="str">
        <f>IF(ISNA(MATCH(486,Engine!$C$2:$C$1199,0)),"",INDEX('Compliance Database'!$K$2:$K$1199,MATCH(486,Engine!$C$2:$C$1199,0)))</f>
        <v/>
      </c>
      <c r="L499" s="7" t="str">
        <f>IF(ISNA(MATCH(486,Engine!$C$2:$C$1199,0)),"",INDEX('Compliance Database'!$L$2:$L$1199,MATCH(486,Engine!$C$2:$C$1199,0)))</f>
        <v/>
      </c>
      <c r="M499" s="7" t="str">
        <f>IF(ISNA(MATCH(486,Engine!$C$2:$C$1199,0)),"",INDEX('Compliance Database'!$M$2:$M$1199,MATCH(486,Engine!$C$2:$C$1199,0)))</f>
        <v/>
      </c>
      <c r="N499" s="7" t="str">
        <f>IF(ISNA(MATCH(486,Engine!$C$2:$C$1199,0)),"",INDEX('Compliance Database'!$N$2:$N$1199,MATCH(486,Engine!$C$2:$C$1199,0)))</f>
        <v/>
      </c>
      <c r="O499" s="7" t="str">
        <f>IF(ISNA(MATCH(486,Engine!$C$2:$C$1199,0)),"",INDEX('Compliance Database'!$O$2:$O$1199,MATCH(486,Engine!$C$2:$C$1199,0)))</f>
        <v/>
      </c>
      <c r="P499" s="6" t="str">
        <f>IF(ISNA(MATCH(486,Engine!$C$2:$C$1199,0)),"",HYPERLINK("#Acts!A"&amp;INDEX('Compliance Database'!$P$2:$P$1199,MATCH(486,Engine!$C$2:$C$1199,0)),"Go to Act"))</f>
        <v/>
      </c>
    </row>
    <row r="500" spans="1:16" ht="172.95" customHeight="1" x14ac:dyDescent="0.3">
      <c r="A500" s="6" t="str">
        <f>IF(ISNA(MATCH(487,Engine!$C$2:$C$1199,0)),"",INDEX('Compliance Database'!$A$2:$A$1199,MATCH(487,Engine!$C$2:$C$1199,0)))</f>
        <v/>
      </c>
      <c r="B500" s="6" t="str">
        <f>IF(ISNA(MATCH(487,Engine!$C$2:$C$1199,0)),"",INDEX('Compliance Database'!$B$2:$B$1199,MATCH(487,Engine!$C$2:$C$1199,0)))</f>
        <v/>
      </c>
      <c r="C500" s="6" t="str">
        <f>IF(ISNA(MATCH(487,Engine!$C$2:$C$1199,0)),"",INDEX('Compliance Database'!$C$2:$C$1199,MATCH(487,Engine!$C$2:$C$1199,0)))</f>
        <v/>
      </c>
      <c r="D500" s="7" t="str">
        <f>IF(ISNA(MATCH(487,Engine!$C$2:$C$1199,0)),"",INDEX('Compliance Database'!$D$2:$D$1199,MATCH(487,Engine!$C$2:$C$1199,0)))</f>
        <v/>
      </c>
      <c r="E500" s="6" t="str">
        <f>IF(ISNA(MATCH(487,Engine!$C$2:$C$1199,0)),"",INDEX('Compliance Database'!$E$2:$E$1199,MATCH(487,Engine!$C$2:$C$1199,0)))</f>
        <v/>
      </c>
      <c r="F500" s="6" t="str">
        <f>IF(ISNA(MATCH(487,Engine!$C$2:$C$1199,0)),"",INDEX('Compliance Database'!$F$2:$F$1199,MATCH(487,Engine!$C$2:$C$1199,0)))</f>
        <v/>
      </c>
      <c r="G500" s="6" t="str">
        <f>IF(ISNA(MATCH(487,Engine!$C$2:$C$1199,0)),"",INDEX('Compliance Database'!$G$2:$G$1199,MATCH(487,Engine!$C$2:$C$1199,0)))</f>
        <v/>
      </c>
      <c r="H500" s="7" t="str">
        <f>IF(ISNA(MATCH(487,Engine!$C$2:$C$1199,0)),"",INDEX('Compliance Database'!$H$2:$H$1199,MATCH(487,Engine!$C$2:$C$1199,0)))</f>
        <v/>
      </c>
      <c r="I500" s="7" t="str">
        <f>IF(ISNA(MATCH(487,Engine!$C$2:$C$1199,0)),"",INDEX('Compliance Database'!$I$2:$I$1199,MATCH(487,Engine!$C$2:$C$1199,0)))</f>
        <v/>
      </c>
      <c r="J500" s="6" t="str">
        <f>IF(ISNA(MATCH(487,Engine!$C$2:$C$1199,0)),"",INDEX('Compliance Database'!$J$2:$J$1199,MATCH(487,Engine!$C$2:$C$1199,0)))</f>
        <v/>
      </c>
      <c r="K500" s="7" t="str">
        <f>IF(ISNA(MATCH(487,Engine!$C$2:$C$1199,0)),"",INDEX('Compliance Database'!$K$2:$K$1199,MATCH(487,Engine!$C$2:$C$1199,0)))</f>
        <v/>
      </c>
      <c r="L500" s="7" t="str">
        <f>IF(ISNA(MATCH(487,Engine!$C$2:$C$1199,0)),"",INDEX('Compliance Database'!$L$2:$L$1199,MATCH(487,Engine!$C$2:$C$1199,0)))</f>
        <v/>
      </c>
      <c r="M500" s="7" t="str">
        <f>IF(ISNA(MATCH(487,Engine!$C$2:$C$1199,0)),"",INDEX('Compliance Database'!$M$2:$M$1199,MATCH(487,Engine!$C$2:$C$1199,0)))</f>
        <v/>
      </c>
      <c r="N500" s="7" t="str">
        <f>IF(ISNA(MATCH(487,Engine!$C$2:$C$1199,0)),"",INDEX('Compliance Database'!$N$2:$N$1199,MATCH(487,Engine!$C$2:$C$1199,0)))</f>
        <v/>
      </c>
      <c r="O500" s="7" t="str">
        <f>IF(ISNA(MATCH(487,Engine!$C$2:$C$1199,0)),"",INDEX('Compliance Database'!$O$2:$O$1199,MATCH(487,Engine!$C$2:$C$1199,0)))</f>
        <v/>
      </c>
      <c r="P500" s="6" t="str">
        <f>IF(ISNA(MATCH(487,Engine!$C$2:$C$1199,0)),"",HYPERLINK("#Acts!A"&amp;INDEX('Compliance Database'!$P$2:$P$1199,MATCH(487,Engine!$C$2:$C$1199,0)),"Go to Act"))</f>
        <v/>
      </c>
    </row>
    <row r="501" spans="1:16" ht="172.95" customHeight="1" x14ac:dyDescent="0.3">
      <c r="A501" s="6" t="str">
        <f>IF(ISNA(MATCH(488,Engine!$C$2:$C$1199,0)),"",INDEX('Compliance Database'!$A$2:$A$1199,MATCH(488,Engine!$C$2:$C$1199,0)))</f>
        <v/>
      </c>
      <c r="B501" s="6" t="str">
        <f>IF(ISNA(MATCH(488,Engine!$C$2:$C$1199,0)),"",INDEX('Compliance Database'!$B$2:$B$1199,MATCH(488,Engine!$C$2:$C$1199,0)))</f>
        <v/>
      </c>
      <c r="C501" s="6" t="str">
        <f>IF(ISNA(MATCH(488,Engine!$C$2:$C$1199,0)),"",INDEX('Compliance Database'!$C$2:$C$1199,MATCH(488,Engine!$C$2:$C$1199,0)))</f>
        <v/>
      </c>
      <c r="D501" s="7" t="str">
        <f>IF(ISNA(MATCH(488,Engine!$C$2:$C$1199,0)),"",INDEX('Compliance Database'!$D$2:$D$1199,MATCH(488,Engine!$C$2:$C$1199,0)))</f>
        <v/>
      </c>
      <c r="E501" s="6" t="str">
        <f>IF(ISNA(MATCH(488,Engine!$C$2:$C$1199,0)),"",INDEX('Compliance Database'!$E$2:$E$1199,MATCH(488,Engine!$C$2:$C$1199,0)))</f>
        <v/>
      </c>
      <c r="F501" s="6" t="str">
        <f>IF(ISNA(MATCH(488,Engine!$C$2:$C$1199,0)),"",INDEX('Compliance Database'!$F$2:$F$1199,MATCH(488,Engine!$C$2:$C$1199,0)))</f>
        <v/>
      </c>
      <c r="G501" s="6" t="str">
        <f>IF(ISNA(MATCH(488,Engine!$C$2:$C$1199,0)),"",INDEX('Compliance Database'!$G$2:$G$1199,MATCH(488,Engine!$C$2:$C$1199,0)))</f>
        <v/>
      </c>
      <c r="H501" s="7" t="str">
        <f>IF(ISNA(MATCH(488,Engine!$C$2:$C$1199,0)),"",INDEX('Compliance Database'!$H$2:$H$1199,MATCH(488,Engine!$C$2:$C$1199,0)))</f>
        <v/>
      </c>
      <c r="I501" s="7" t="str">
        <f>IF(ISNA(MATCH(488,Engine!$C$2:$C$1199,0)),"",INDEX('Compliance Database'!$I$2:$I$1199,MATCH(488,Engine!$C$2:$C$1199,0)))</f>
        <v/>
      </c>
      <c r="J501" s="6" t="str">
        <f>IF(ISNA(MATCH(488,Engine!$C$2:$C$1199,0)),"",INDEX('Compliance Database'!$J$2:$J$1199,MATCH(488,Engine!$C$2:$C$1199,0)))</f>
        <v/>
      </c>
      <c r="K501" s="7" t="str">
        <f>IF(ISNA(MATCH(488,Engine!$C$2:$C$1199,0)),"",INDEX('Compliance Database'!$K$2:$K$1199,MATCH(488,Engine!$C$2:$C$1199,0)))</f>
        <v/>
      </c>
      <c r="L501" s="7" t="str">
        <f>IF(ISNA(MATCH(488,Engine!$C$2:$C$1199,0)),"",INDEX('Compliance Database'!$L$2:$L$1199,MATCH(488,Engine!$C$2:$C$1199,0)))</f>
        <v/>
      </c>
      <c r="M501" s="7" t="str">
        <f>IF(ISNA(MATCH(488,Engine!$C$2:$C$1199,0)),"",INDEX('Compliance Database'!$M$2:$M$1199,MATCH(488,Engine!$C$2:$C$1199,0)))</f>
        <v/>
      </c>
      <c r="N501" s="7" t="str">
        <f>IF(ISNA(MATCH(488,Engine!$C$2:$C$1199,0)),"",INDEX('Compliance Database'!$N$2:$N$1199,MATCH(488,Engine!$C$2:$C$1199,0)))</f>
        <v/>
      </c>
      <c r="O501" s="7" t="str">
        <f>IF(ISNA(MATCH(488,Engine!$C$2:$C$1199,0)),"",INDEX('Compliance Database'!$O$2:$O$1199,MATCH(488,Engine!$C$2:$C$1199,0)))</f>
        <v/>
      </c>
      <c r="P501" s="6" t="str">
        <f>IF(ISNA(MATCH(488,Engine!$C$2:$C$1199,0)),"",HYPERLINK("#Acts!A"&amp;INDEX('Compliance Database'!$P$2:$P$1199,MATCH(488,Engine!$C$2:$C$1199,0)),"Go to Act"))</f>
        <v/>
      </c>
    </row>
    <row r="502" spans="1:16" ht="172.95" customHeight="1" x14ac:dyDescent="0.3">
      <c r="A502" s="6" t="str">
        <f>IF(ISNA(MATCH(489,Engine!$C$2:$C$1199,0)),"",INDEX('Compliance Database'!$A$2:$A$1199,MATCH(489,Engine!$C$2:$C$1199,0)))</f>
        <v/>
      </c>
      <c r="B502" s="6" t="str">
        <f>IF(ISNA(MATCH(489,Engine!$C$2:$C$1199,0)),"",INDEX('Compliance Database'!$B$2:$B$1199,MATCH(489,Engine!$C$2:$C$1199,0)))</f>
        <v/>
      </c>
      <c r="C502" s="6" t="str">
        <f>IF(ISNA(MATCH(489,Engine!$C$2:$C$1199,0)),"",INDEX('Compliance Database'!$C$2:$C$1199,MATCH(489,Engine!$C$2:$C$1199,0)))</f>
        <v/>
      </c>
      <c r="D502" s="7" t="str">
        <f>IF(ISNA(MATCH(489,Engine!$C$2:$C$1199,0)),"",INDEX('Compliance Database'!$D$2:$D$1199,MATCH(489,Engine!$C$2:$C$1199,0)))</f>
        <v/>
      </c>
      <c r="E502" s="6" t="str">
        <f>IF(ISNA(MATCH(489,Engine!$C$2:$C$1199,0)),"",INDEX('Compliance Database'!$E$2:$E$1199,MATCH(489,Engine!$C$2:$C$1199,0)))</f>
        <v/>
      </c>
      <c r="F502" s="6" t="str">
        <f>IF(ISNA(MATCH(489,Engine!$C$2:$C$1199,0)),"",INDEX('Compliance Database'!$F$2:$F$1199,MATCH(489,Engine!$C$2:$C$1199,0)))</f>
        <v/>
      </c>
      <c r="G502" s="6" t="str">
        <f>IF(ISNA(MATCH(489,Engine!$C$2:$C$1199,0)),"",INDEX('Compliance Database'!$G$2:$G$1199,MATCH(489,Engine!$C$2:$C$1199,0)))</f>
        <v/>
      </c>
      <c r="H502" s="7" t="str">
        <f>IF(ISNA(MATCH(489,Engine!$C$2:$C$1199,0)),"",INDEX('Compliance Database'!$H$2:$H$1199,MATCH(489,Engine!$C$2:$C$1199,0)))</f>
        <v/>
      </c>
      <c r="I502" s="7" t="str">
        <f>IF(ISNA(MATCH(489,Engine!$C$2:$C$1199,0)),"",INDEX('Compliance Database'!$I$2:$I$1199,MATCH(489,Engine!$C$2:$C$1199,0)))</f>
        <v/>
      </c>
      <c r="J502" s="6" t="str">
        <f>IF(ISNA(MATCH(489,Engine!$C$2:$C$1199,0)),"",INDEX('Compliance Database'!$J$2:$J$1199,MATCH(489,Engine!$C$2:$C$1199,0)))</f>
        <v/>
      </c>
      <c r="K502" s="7" t="str">
        <f>IF(ISNA(MATCH(489,Engine!$C$2:$C$1199,0)),"",INDEX('Compliance Database'!$K$2:$K$1199,MATCH(489,Engine!$C$2:$C$1199,0)))</f>
        <v/>
      </c>
      <c r="L502" s="7" t="str">
        <f>IF(ISNA(MATCH(489,Engine!$C$2:$C$1199,0)),"",INDEX('Compliance Database'!$L$2:$L$1199,MATCH(489,Engine!$C$2:$C$1199,0)))</f>
        <v/>
      </c>
      <c r="M502" s="7" t="str">
        <f>IF(ISNA(MATCH(489,Engine!$C$2:$C$1199,0)),"",INDEX('Compliance Database'!$M$2:$M$1199,MATCH(489,Engine!$C$2:$C$1199,0)))</f>
        <v/>
      </c>
      <c r="N502" s="7" t="str">
        <f>IF(ISNA(MATCH(489,Engine!$C$2:$C$1199,0)),"",INDEX('Compliance Database'!$N$2:$N$1199,MATCH(489,Engine!$C$2:$C$1199,0)))</f>
        <v/>
      </c>
      <c r="O502" s="7" t="str">
        <f>IF(ISNA(MATCH(489,Engine!$C$2:$C$1199,0)),"",INDEX('Compliance Database'!$O$2:$O$1199,MATCH(489,Engine!$C$2:$C$1199,0)))</f>
        <v/>
      </c>
      <c r="P502" s="6" t="str">
        <f>IF(ISNA(MATCH(489,Engine!$C$2:$C$1199,0)),"",HYPERLINK("#Acts!A"&amp;INDEX('Compliance Database'!$P$2:$P$1199,MATCH(489,Engine!$C$2:$C$1199,0)),"Go to Act"))</f>
        <v/>
      </c>
    </row>
    <row r="503" spans="1:16" ht="172.95" customHeight="1" x14ac:dyDescent="0.3">
      <c r="A503" s="6" t="str">
        <f>IF(ISNA(MATCH(490,Engine!$C$2:$C$1199,0)),"",INDEX('Compliance Database'!$A$2:$A$1199,MATCH(490,Engine!$C$2:$C$1199,0)))</f>
        <v/>
      </c>
      <c r="B503" s="6" t="str">
        <f>IF(ISNA(MATCH(490,Engine!$C$2:$C$1199,0)),"",INDEX('Compliance Database'!$B$2:$B$1199,MATCH(490,Engine!$C$2:$C$1199,0)))</f>
        <v/>
      </c>
      <c r="C503" s="6" t="str">
        <f>IF(ISNA(MATCH(490,Engine!$C$2:$C$1199,0)),"",INDEX('Compliance Database'!$C$2:$C$1199,MATCH(490,Engine!$C$2:$C$1199,0)))</f>
        <v/>
      </c>
      <c r="D503" s="7" t="str">
        <f>IF(ISNA(MATCH(490,Engine!$C$2:$C$1199,0)),"",INDEX('Compliance Database'!$D$2:$D$1199,MATCH(490,Engine!$C$2:$C$1199,0)))</f>
        <v/>
      </c>
      <c r="E503" s="6" t="str">
        <f>IF(ISNA(MATCH(490,Engine!$C$2:$C$1199,0)),"",INDEX('Compliance Database'!$E$2:$E$1199,MATCH(490,Engine!$C$2:$C$1199,0)))</f>
        <v/>
      </c>
      <c r="F503" s="6" t="str">
        <f>IF(ISNA(MATCH(490,Engine!$C$2:$C$1199,0)),"",INDEX('Compliance Database'!$F$2:$F$1199,MATCH(490,Engine!$C$2:$C$1199,0)))</f>
        <v/>
      </c>
      <c r="G503" s="6" t="str">
        <f>IF(ISNA(MATCH(490,Engine!$C$2:$C$1199,0)),"",INDEX('Compliance Database'!$G$2:$G$1199,MATCH(490,Engine!$C$2:$C$1199,0)))</f>
        <v/>
      </c>
      <c r="H503" s="7" t="str">
        <f>IF(ISNA(MATCH(490,Engine!$C$2:$C$1199,0)),"",INDEX('Compliance Database'!$H$2:$H$1199,MATCH(490,Engine!$C$2:$C$1199,0)))</f>
        <v/>
      </c>
      <c r="I503" s="7" t="str">
        <f>IF(ISNA(MATCH(490,Engine!$C$2:$C$1199,0)),"",INDEX('Compliance Database'!$I$2:$I$1199,MATCH(490,Engine!$C$2:$C$1199,0)))</f>
        <v/>
      </c>
      <c r="J503" s="6" t="str">
        <f>IF(ISNA(MATCH(490,Engine!$C$2:$C$1199,0)),"",INDEX('Compliance Database'!$J$2:$J$1199,MATCH(490,Engine!$C$2:$C$1199,0)))</f>
        <v/>
      </c>
      <c r="K503" s="7" t="str">
        <f>IF(ISNA(MATCH(490,Engine!$C$2:$C$1199,0)),"",INDEX('Compliance Database'!$K$2:$K$1199,MATCH(490,Engine!$C$2:$C$1199,0)))</f>
        <v/>
      </c>
      <c r="L503" s="7" t="str">
        <f>IF(ISNA(MATCH(490,Engine!$C$2:$C$1199,0)),"",INDEX('Compliance Database'!$L$2:$L$1199,MATCH(490,Engine!$C$2:$C$1199,0)))</f>
        <v/>
      </c>
      <c r="M503" s="7" t="str">
        <f>IF(ISNA(MATCH(490,Engine!$C$2:$C$1199,0)),"",INDEX('Compliance Database'!$M$2:$M$1199,MATCH(490,Engine!$C$2:$C$1199,0)))</f>
        <v/>
      </c>
      <c r="N503" s="7" t="str">
        <f>IF(ISNA(MATCH(490,Engine!$C$2:$C$1199,0)),"",INDEX('Compliance Database'!$N$2:$N$1199,MATCH(490,Engine!$C$2:$C$1199,0)))</f>
        <v/>
      </c>
      <c r="O503" s="7" t="str">
        <f>IF(ISNA(MATCH(490,Engine!$C$2:$C$1199,0)),"",INDEX('Compliance Database'!$O$2:$O$1199,MATCH(490,Engine!$C$2:$C$1199,0)))</f>
        <v/>
      </c>
      <c r="P503" s="6" t="str">
        <f>IF(ISNA(MATCH(490,Engine!$C$2:$C$1199,0)),"",HYPERLINK("#Acts!A"&amp;INDEX('Compliance Database'!$P$2:$P$1199,MATCH(490,Engine!$C$2:$C$1199,0)),"Go to Act"))</f>
        <v/>
      </c>
    </row>
    <row r="504" spans="1:16" ht="172.95" customHeight="1" x14ac:dyDescent="0.3">
      <c r="A504" s="6" t="str">
        <f>IF(ISNA(MATCH(491,Engine!$C$2:$C$1199,0)),"",INDEX('Compliance Database'!$A$2:$A$1199,MATCH(491,Engine!$C$2:$C$1199,0)))</f>
        <v/>
      </c>
      <c r="B504" s="6" t="str">
        <f>IF(ISNA(MATCH(491,Engine!$C$2:$C$1199,0)),"",INDEX('Compliance Database'!$B$2:$B$1199,MATCH(491,Engine!$C$2:$C$1199,0)))</f>
        <v/>
      </c>
      <c r="C504" s="6" t="str">
        <f>IF(ISNA(MATCH(491,Engine!$C$2:$C$1199,0)),"",INDEX('Compliance Database'!$C$2:$C$1199,MATCH(491,Engine!$C$2:$C$1199,0)))</f>
        <v/>
      </c>
      <c r="D504" s="7" t="str">
        <f>IF(ISNA(MATCH(491,Engine!$C$2:$C$1199,0)),"",INDEX('Compliance Database'!$D$2:$D$1199,MATCH(491,Engine!$C$2:$C$1199,0)))</f>
        <v/>
      </c>
      <c r="E504" s="6" t="str">
        <f>IF(ISNA(MATCH(491,Engine!$C$2:$C$1199,0)),"",INDEX('Compliance Database'!$E$2:$E$1199,MATCH(491,Engine!$C$2:$C$1199,0)))</f>
        <v/>
      </c>
      <c r="F504" s="6" t="str">
        <f>IF(ISNA(MATCH(491,Engine!$C$2:$C$1199,0)),"",INDEX('Compliance Database'!$F$2:$F$1199,MATCH(491,Engine!$C$2:$C$1199,0)))</f>
        <v/>
      </c>
      <c r="G504" s="6" t="str">
        <f>IF(ISNA(MATCH(491,Engine!$C$2:$C$1199,0)),"",INDEX('Compliance Database'!$G$2:$G$1199,MATCH(491,Engine!$C$2:$C$1199,0)))</f>
        <v/>
      </c>
      <c r="H504" s="7" t="str">
        <f>IF(ISNA(MATCH(491,Engine!$C$2:$C$1199,0)),"",INDEX('Compliance Database'!$H$2:$H$1199,MATCH(491,Engine!$C$2:$C$1199,0)))</f>
        <v/>
      </c>
      <c r="I504" s="7" t="str">
        <f>IF(ISNA(MATCH(491,Engine!$C$2:$C$1199,0)),"",INDEX('Compliance Database'!$I$2:$I$1199,MATCH(491,Engine!$C$2:$C$1199,0)))</f>
        <v/>
      </c>
      <c r="J504" s="6" t="str">
        <f>IF(ISNA(MATCH(491,Engine!$C$2:$C$1199,0)),"",INDEX('Compliance Database'!$J$2:$J$1199,MATCH(491,Engine!$C$2:$C$1199,0)))</f>
        <v/>
      </c>
      <c r="K504" s="7" t="str">
        <f>IF(ISNA(MATCH(491,Engine!$C$2:$C$1199,0)),"",INDEX('Compliance Database'!$K$2:$K$1199,MATCH(491,Engine!$C$2:$C$1199,0)))</f>
        <v/>
      </c>
      <c r="L504" s="7" t="str">
        <f>IF(ISNA(MATCH(491,Engine!$C$2:$C$1199,0)),"",INDEX('Compliance Database'!$L$2:$L$1199,MATCH(491,Engine!$C$2:$C$1199,0)))</f>
        <v/>
      </c>
      <c r="M504" s="7" t="str">
        <f>IF(ISNA(MATCH(491,Engine!$C$2:$C$1199,0)),"",INDEX('Compliance Database'!$M$2:$M$1199,MATCH(491,Engine!$C$2:$C$1199,0)))</f>
        <v/>
      </c>
      <c r="N504" s="7" t="str">
        <f>IF(ISNA(MATCH(491,Engine!$C$2:$C$1199,0)),"",INDEX('Compliance Database'!$N$2:$N$1199,MATCH(491,Engine!$C$2:$C$1199,0)))</f>
        <v/>
      </c>
      <c r="O504" s="7" t="str">
        <f>IF(ISNA(MATCH(491,Engine!$C$2:$C$1199,0)),"",INDEX('Compliance Database'!$O$2:$O$1199,MATCH(491,Engine!$C$2:$C$1199,0)))</f>
        <v/>
      </c>
      <c r="P504" s="6" t="str">
        <f>IF(ISNA(MATCH(491,Engine!$C$2:$C$1199,0)),"",HYPERLINK("#Acts!A"&amp;INDEX('Compliance Database'!$P$2:$P$1199,MATCH(491,Engine!$C$2:$C$1199,0)),"Go to Act"))</f>
        <v/>
      </c>
    </row>
    <row r="505" spans="1:16" ht="172.95" customHeight="1" x14ac:dyDescent="0.3">
      <c r="A505" s="6" t="str">
        <f>IF(ISNA(MATCH(492,Engine!$C$2:$C$1199,0)),"",INDEX('Compliance Database'!$A$2:$A$1199,MATCH(492,Engine!$C$2:$C$1199,0)))</f>
        <v/>
      </c>
      <c r="B505" s="6" t="str">
        <f>IF(ISNA(MATCH(492,Engine!$C$2:$C$1199,0)),"",INDEX('Compliance Database'!$B$2:$B$1199,MATCH(492,Engine!$C$2:$C$1199,0)))</f>
        <v/>
      </c>
      <c r="C505" s="6" t="str">
        <f>IF(ISNA(MATCH(492,Engine!$C$2:$C$1199,0)),"",INDEX('Compliance Database'!$C$2:$C$1199,MATCH(492,Engine!$C$2:$C$1199,0)))</f>
        <v/>
      </c>
      <c r="D505" s="7" t="str">
        <f>IF(ISNA(MATCH(492,Engine!$C$2:$C$1199,0)),"",INDEX('Compliance Database'!$D$2:$D$1199,MATCH(492,Engine!$C$2:$C$1199,0)))</f>
        <v/>
      </c>
      <c r="E505" s="6" t="str">
        <f>IF(ISNA(MATCH(492,Engine!$C$2:$C$1199,0)),"",INDEX('Compliance Database'!$E$2:$E$1199,MATCH(492,Engine!$C$2:$C$1199,0)))</f>
        <v/>
      </c>
      <c r="F505" s="6" t="str">
        <f>IF(ISNA(MATCH(492,Engine!$C$2:$C$1199,0)),"",INDEX('Compliance Database'!$F$2:$F$1199,MATCH(492,Engine!$C$2:$C$1199,0)))</f>
        <v/>
      </c>
      <c r="G505" s="6" t="str">
        <f>IF(ISNA(MATCH(492,Engine!$C$2:$C$1199,0)),"",INDEX('Compliance Database'!$G$2:$G$1199,MATCH(492,Engine!$C$2:$C$1199,0)))</f>
        <v/>
      </c>
      <c r="H505" s="7" t="str">
        <f>IF(ISNA(MATCH(492,Engine!$C$2:$C$1199,0)),"",INDEX('Compliance Database'!$H$2:$H$1199,MATCH(492,Engine!$C$2:$C$1199,0)))</f>
        <v/>
      </c>
      <c r="I505" s="7" t="str">
        <f>IF(ISNA(MATCH(492,Engine!$C$2:$C$1199,0)),"",INDEX('Compliance Database'!$I$2:$I$1199,MATCH(492,Engine!$C$2:$C$1199,0)))</f>
        <v/>
      </c>
      <c r="J505" s="6" t="str">
        <f>IF(ISNA(MATCH(492,Engine!$C$2:$C$1199,0)),"",INDEX('Compliance Database'!$J$2:$J$1199,MATCH(492,Engine!$C$2:$C$1199,0)))</f>
        <v/>
      </c>
      <c r="K505" s="7" t="str">
        <f>IF(ISNA(MATCH(492,Engine!$C$2:$C$1199,0)),"",INDEX('Compliance Database'!$K$2:$K$1199,MATCH(492,Engine!$C$2:$C$1199,0)))</f>
        <v/>
      </c>
      <c r="L505" s="7" t="str">
        <f>IF(ISNA(MATCH(492,Engine!$C$2:$C$1199,0)),"",INDEX('Compliance Database'!$L$2:$L$1199,MATCH(492,Engine!$C$2:$C$1199,0)))</f>
        <v/>
      </c>
      <c r="M505" s="7" t="str">
        <f>IF(ISNA(MATCH(492,Engine!$C$2:$C$1199,0)),"",INDEX('Compliance Database'!$M$2:$M$1199,MATCH(492,Engine!$C$2:$C$1199,0)))</f>
        <v/>
      </c>
      <c r="N505" s="7" t="str">
        <f>IF(ISNA(MATCH(492,Engine!$C$2:$C$1199,0)),"",INDEX('Compliance Database'!$N$2:$N$1199,MATCH(492,Engine!$C$2:$C$1199,0)))</f>
        <v/>
      </c>
      <c r="O505" s="7" t="str">
        <f>IF(ISNA(MATCH(492,Engine!$C$2:$C$1199,0)),"",INDEX('Compliance Database'!$O$2:$O$1199,MATCH(492,Engine!$C$2:$C$1199,0)))</f>
        <v/>
      </c>
      <c r="P505" s="6" t="str">
        <f>IF(ISNA(MATCH(492,Engine!$C$2:$C$1199,0)),"",HYPERLINK("#Acts!A"&amp;INDEX('Compliance Database'!$P$2:$P$1199,MATCH(492,Engine!$C$2:$C$1199,0)),"Go to Act"))</f>
        <v/>
      </c>
    </row>
    <row r="506" spans="1:16" ht="172.95" customHeight="1" x14ac:dyDescent="0.3">
      <c r="A506" s="6" t="str">
        <f>IF(ISNA(MATCH(493,Engine!$C$2:$C$1199,0)),"",INDEX('Compliance Database'!$A$2:$A$1199,MATCH(493,Engine!$C$2:$C$1199,0)))</f>
        <v/>
      </c>
      <c r="B506" s="6" t="str">
        <f>IF(ISNA(MATCH(493,Engine!$C$2:$C$1199,0)),"",INDEX('Compliance Database'!$B$2:$B$1199,MATCH(493,Engine!$C$2:$C$1199,0)))</f>
        <v/>
      </c>
      <c r="C506" s="6" t="str">
        <f>IF(ISNA(MATCH(493,Engine!$C$2:$C$1199,0)),"",INDEX('Compliance Database'!$C$2:$C$1199,MATCH(493,Engine!$C$2:$C$1199,0)))</f>
        <v/>
      </c>
      <c r="D506" s="7" t="str">
        <f>IF(ISNA(MATCH(493,Engine!$C$2:$C$1199,0)),"",INDEX('Compliance Database'!$D$2:$D$1199,MATCH(493,Engine!$C$2:$C$1199,0)))</f>
        <v/>
      </c>
      <c r="E506" s="6" t="str">
        <f>IF(ISNA(MATCH(493,Engine!$C$2:$C$1199,0)),"",INDEX('Compliance Database'!$E$2:$E$1199,MATCH(493,Engine!$C$2:$C$1199,0)))</f>
        <v/>
      </c>
      <c r="F506" s="6" t="str">
        <f>IF(ISNA(MATCH(493,Engine!$C$2:$C$1199,0)),"",INDEX('Compliance Database'!$F$2:$F$1199,MATCH(493,Engine!$C$2:$C$1199,0)))</f>
        <v/>
      </c>
      <c r="G506" s="6" t="str">
        <f>IF(ISNA(MATCH(493,Engine!$C$2:$C$1199,0)),"",INDEX('Compliance Database'!$G$2:$G$1199,MATCH(493,Engine!$C$2:$C$1199,0)))</f>
        <v/>
      </c>
      <c r="H506" s="7" t="str">
        <f>IF(ISNA(MATCH(493,Engine!$C$2:$C$1199,0)),"",INDEX('Compliance Database'!$H$2:$H$1199,MATCH(493,Engine!$C$2:$C$1199,0)))</f>
        <v/>
      </c>
      <c r="I506" s="7" t="str">
        <f>IF(ISNA(MATCH(493,Engine!$C$2:$C$1199,0)),"",INDEX('Compliance Database'!$I$2:$I$1199,MATCH(493,Engine!$C$2:$C$1199,0)))</f>
        <v/>
      </c>
      <c r="J506" s="6" t="str">
        <f>IF(ISNA(MATCH(493,Engine!$C$2:$C$1199,0)),"",INDEX('Compliance Database'!$J$2:$J$1199,MATCH(493,Engine!$C$2:$C$1199,0)))</f>
        <v/>
      </c>
      <c r="K506" s="7" t="str">
        <f>IF(ISNA(MATCH(493,Engine!$C$2:$C$1199,0)),"",INDEX('Compliance Database'!$K$2:$K$1199,MATCH(493,Engine!$C$2:$C$1199,0)))</f>
        <v/>
      </c>
      <c r="L506" s="7" t="str">
        <f>IF(ISNA(MATCH(493,Engine!$C$2:$C$1199,0)),"",INDEX('Compliance Database'!$L$2:$L$1199,MATCH(493,Engine!$C$2:$C$1199,0)))</f>
        <v/>
      </c>
      <c r="M506" s="7" t="str">
        <f>IF(ISNA(MATCH(493,Engine!$C$2:$C$1199,0)),"",INDEX('Compliance Database'!$M$2:$M$1199,MATCH(493,Engine!$C$2:$C$1199,0)))</f>
        <v/>
      </c>
      <c r="N506" s="7" t="str">
        <f>IF(ISNA(MATCH(493,Engine!$C$2:$C$1199,0)),"",INDEX('Compliance Database'!$N$2:$N$1199,MATCH(493,Engine!$C$2:$C$1199,0)))</f>
        <v/>
      </c>
      <c r="O506" s="7" t="str">
        <f>IF(ISNA(MATCH(493,Engine!$C$2:$C$1199,0)),"",INDEX('Compliance Database'!$O$2:$O$1199,MATCH(493,Engine!$C$2:$C$1199,0)))</f>
        <v/>
      </c>
      <c r="P506" s="6" t="str">
        <f>IF(ISNA(MATCH(493,Engine!$C$2:$C$1199,0)),"",HYPERLINK("#Acts!A"&amp;INDEX('Compliance Database'!$P$2:$P$1199,MATCH(493,Engine!$C$2:$C$1199,0)),"Go to Act"))</f>
        <v/>
      </c>
    </row>
    <row r="507" spans="1:16" ht="172.95" customHeight="1" x14ac:dyDescent="0.3">
      <c r="A507" s="6" t="str">
        <f>IF(ISNA(MATCH(494,Engine!$C$2:$C$1199,0)),"",INDEX('Compliance Database'!$A$2:$A$1199,MATCH(494,Engine!$C$2:$C$1199,0)))</f>
        <v/>
      </c>
      <c r="B507" s="6" t="str">
        <f>IF(ISNA(MATCH(494,Engine!$C$2:$C$1199,0)),"",INDEX('Compliance Database'!$B$2:$B$1199,MATCH(494,Engine!$C$2:$C$1199,0)))</f>
        <v/>
      </c>
      <c r="C507" s="6" t="str">
        <f>IF(ISNA(MATCH(494,Engine!$C$2:$C$1199,0)),"",INDEX('Compliance Database'!$C$2:$C$1199,MATCH(494,Engine!$C$2:$C$1199,0)))</f>
        <v/>
      </c>
      <c r="D507" s="7" t="str">
        <f>IF(ISNA(MATCH(494,Engine!$C$2:$C$1199,0)),"",INDEX('Compliance Database'!$D$2:$D$1199,MATCH(494,Engine!$C$2:$C$1199,0)))</f>
        <v/>
      </c>
      <c r="E507" s="6" t="str">
        <f>IF(ISNA(MATCH(494,Engine!$C$2:$C$1199,0)),"",INDEX('Compliance Database'!$E$2:$E$1199,MATCH(494,Engine!$C$2:$C$1199,0)))</f>
        <v/>
      </c>
      <c r="F507" s="6" t="str">
        <f>IF(ISNA(MATCH(494,Engine!$C$2:$C$1199,0)),"",INDEX('Compliance Database'!$F$2:$F$1199,MATCH(494,Engine!$C$2:$C$1199,0)))</f>
        <v/>
      </c>
      <c r="G507" s="6" t="str">
        <f>IF(ISNA(MATCH(494,Engine!$C$2:$C$1199,0)),"",INDEX('Compliance Database'!$G$2:$G$1199,MATCH(494,Engine!$C$2:$C$1199,0)))</f>
        <v/>
      </c>
      <c r="H507" s="7" t="str">
        <f>IF(ISNA(MATCH(494,Engine!$C$2:$C$1199,0)),"",INDEX('Compliance Database'!$H$2:$H$1199,MATCH(494,Engine!$C$2:$C$1199,0)))</f>
        <v/>
      </c>
      <c r="I507" s="7" t="str">
        <f>IF(ISNA(MATCH(494,Engine!$C$2:$C$1199,0)),"",INDEX('Compliance Database'!$I$2:$I$1199,MATCH(494,Engine!$C$2:$C$1199,0)))</f>
        <v/>
      </c>
      <c r="J507" s="6" t="str">
        <f>IF(ISNA(MATCH(494,Engine!$C$2:$C$1199,0)),"",INDEX('Compliance Database'!$J$2:$J$1199,MATCH(494,Engine!$C$2:$C$1199,0)))</f>
        <v/>
      </c>
      <c r="K507" s="7" t="str">
        <f>IF(ISNA(MATCH(494,Engine!$C$2:$C$1199,0)),"",INDEX('Compliance Database'!$K$2:$K$1199,MATCH(494,Engine!$C$2:$C$1199,0)))</f>
        <v/>
      </c>
      <c r="L507" s="7" t="str">
        <f>IF(ISNA(MATCH(494,Engine!$C$2:$C$1199,0)),"",INDEX('Compliance Database'!$L$2:$L$1199,MATCH(494,Engine!$C$2:$C$1199,0)))</f>
        <v/>
      </c>
      <c r="M507" s="7" t="str">
        <f>IF(ISNA(MATCH(494,Engine!$C$2:$C$1199,0)),"",INDEX('Compliance Database'!$M$2:$M$1199,MATCH(494,Engine!$C$2:$C$1199,0)))</f>
        <v/>
      </c>
      <c r="N507" s="7" t="str">
        <f>IF(ISNA(MATCH(494,Engine!$C$2:$C$1199,0)),"",INDEX('Compliance Database'!$N$2:$N$1199,MATCH(494,Engine!$C$2:$C$1199,0)))</f>
        <v/>
      </c>
      <c r="O507" s="7" t="str">
        <f>IF(ISNA(MATCH(494,Engine!$C$2:$C$1199,0)),"",INDEX('Compliance Database'!$O$2:$O$1199,MATCH(494,Engine!$C$2:$C$1199,0)))</f>
        <v/>
      </c>
      <c r="P507" s="6" t="str">
        <f>IF(ISNA(MATCH(494,Engine!$C$2:$C$1199,0)),"",HYPERLINK("#Acts!A"&amp;INDEX('Compliance Database'!$P$2:$P$1199,MATCH(494,Engine!$C$2:$C$1199,0)),"Go to Act"))</f>
        <v/>
      </c>
    </row>
    <row r="508" spans="1:16" ht="172.95" customHeight="1" x14ac:dyDescent="0.3">
      <c r="A508" s="6" t="str">
        <f>IF(ISNA(MATCH(495,Engine!$C$2:$C$1199,0)),"",INDEX('Compliance Database'!$A$2:$A$1199,MATCH(495,Engine!$C$2:$C$1199,0)))</f>
        <v/>
      </c>
      <c r="B508" s="6" t="str">
        <f>IF(ISNA(MATCH(495,Engine!$C$2:$C$1199,0)),"",INDEX('Compliance Database'!$B$2:$B$1199,MATCH(495,Engine!$C$2:$C$1199,0)))</f>
        <v/>
      </c>
      <c r="C508" s="6" t="str">
        <f>IF(ISNA(MATCH(495,Engine!$C$2:$C$1199,0)),"",INDEX('Compliance Database'!$C$2:$C$1199,MATCH(495,Engine!$C$2:$C$1199,0)))</f>
        <v/>
      </c>
      <c r="D508" s="7" t="str">
        <f>IF(ISNA(MATCH(495,Engine!$C$2:$C$1199,0)),"",INDEX('Compliance Database'!$D$2:$D$1199,MATCH(495,Engine!$C$2:$C$1199,0)))</f>
        <v/>
      </c>
      <c r="E508" s="6" t="str">
        <f>IF(ISNA(MATCH(495,Engine!$C$2:$C$1199,0)),"",INDEX('Compliance Database'!$E$2:$E$1199,MATCH(495,Engine!$C$2:$C$1199,0)))</f>
        <v/>
      </c>
      <c r="F508" s="6" t="str">
        <f>IF(ISNA(MATCH(495,Engine!$C$2:$C$1199,0)),"",INDEX('Compliance Database'!$F$2:$F$1199,MATCH(495,Engine!$C$2:$C$1199,0)))</f>
        <v/>
      </c>
      <c r="G508" s="6" t="str">
        <f>IF(ISNA(MATCH(495,Engine!$C$2:$C$1199,0)),"",INDEX('Compliance Database'!$G$2:$G$1199,MATCH(495,Engine!$C$2:$C$1199,0)))</f>
        <v/>
      </c>
      <c r="H508" s="7" t="str">
        <f>IF(ISNA(MATCH(495,Engine!$C$2:$C$1199,0)),"",INDEX('Compliance Database'!$H$2:$H$1199,MATCH(495,Engine!$C$2:$C$1199,0)))</f>
        <v/>
      </c>
      <c r="I508" s="7" t="str">
        <f>IF(ISNA(MATCH(495,Engine!$C$2:$C$1199,0)),"",INDEX('Compliance Database'!$I$2:$I$1199,MATCH(495,Engine!$C$2:$C$1199,0)))</f>
        <v/>
      </c>
      <c r="J508" s="6" t="str">
        <f>IF(ISNA(MATCH(495,Engine!$C$2:$C$1199,0)),"",INDEX('Compliance Database'!$J$2:$J$1199,MATCH(495,Engine!$C$2:$C$1199,0)))</f>
        <v/>
      </c>
      <c r="K508" s="7" t="str">
        <f>IF(ISNA(MATCH(495,Engine!$C$2:$C$1199,0)),"",INDEX('Compliance Database'!$K$2:$K$1199,MATCH(495,Engine!$C$2:$C$1199,0)))</f>
        <v/>
      </c>
      <c r="L508" s="7" t="str">
        <f>IF(ISNA(MATCH(495,Engine!$C$2:$C$1199,0)),"",INDEX('Compliance Database'!$L$2:$L$1199,MATCH(495,Engine!$C$2:$C$1199,0)))</f>
        <v/>
      </c>
      <c r="M508" s="7" t="str">
        <f>IF(ISNA(MATCH(495,Engine!$C$2:$C$1199,0)),"",INDEX('Compliance Database'!$M$2:$M$1199,MATCH(495,Engine!$C$2:$C$1199,0)))</f>
        <v/>
      </c>
      <c r="N508" s="7" t="str">
        <f>IF(ISNA(MATCH(495,Engine!$C$2:$C$1199,0)),"",INDEX('Compliance Database'!$N$2:$N$1199,MATCH(495,Engine!$C$2:$C$1199,0)))</f>
        <v/>
      </c>
      <c r="O508" s="7" t="str">
        <f>IF(ISNA(MATCH(495,Engine!$C$2:$C$1199,0)),"",INDEX('Compliance Database'!$O$2:$O$1199,MATCH(495,Engine!$C$2:$C$1199,0)))</f>
        <v/>
      </c>
      <c r="P508" s="6" t="str">
        <f>IF(ISNA(MATCH(495,Engine!$C$2:$C$1199,0)),"",HYPERLINK("#Acts!A"&amp;INDEX('Compliance Database'!$P$2:$P$1199,MATCH(495,Engine!$C$2:$C$1199,0)),"Go to Act"))</f>
        <v/>
      </c>
    </row>
    <row r="509" spans="1:16" ht="172.95" customHeight="1" x14ac:dyDescent="0.3">
      <c r="A509" s="6" t="str">
        <f>IF(ISNA(MATCH(496,Engine!$C$2:$C$1199,0)),"",INDEX('Compliance Database'!$A$2:$A$1199,MATCH(496,Engine!$C$2:$C$1199,0)))</f>
        <v/>
      </c>
      <c r="B509" s="6" t="str">
        <f>IF(ISNA(MATCH(496,Engine!$C$2:$C$1199,0)),"",INDEX('Compliance Database'!$B$2:$B$1199,MATCH(496,Engine!$C$2:$C$1199,0)))</f>
        <v/>
      </c>
      <c r="C509" s="6" t="str">
        <f>IF(ISNA(MATCH(496,Engine!$C$2:$C$1199,0)),"",INDEX('Compliance Database'!$C$2:$C$1199,MATCH(496,Engine!$C$2:$C$1199,0)))</f>
        <v/>
      </c>
      <c r="D509" s="7" t="str">
        <f>IF(ISNA(MATCH(496,Engine!$C$2:$C$1199,0)),"",INDEX('Compliance Database'!$D$2:$D$1199,MATCH(496,Engine!$C$2:$C$1199,0)))</f>
        <v/>
      </c>
      <c r="E509" s="6" t="str">
        <f>IF(ISNA(MATCH(496,Engine!$C$2:$C$1199,0)),"",INDEX('Compliance Database'!$E$2:$E$1199,MATCH(496,Engine!$C$2:$C$1199,0)))</f>
        <v/>
      </c>
      <c r="F509" s="6" t="str">
        <f>IF(ISNA(MATCH(496,Engine!$C$2:$C$1199,0)),"",INDEX('Compliance Database'!$F$2:$F$1199,MATCH(496,Engine!$C$2:$C$1199,0)))</f>
        <v/>
      </c>
      <c r="G509" s="6" t="str">
        <f>IF(ISNA(MATCH(496,Engine!$C$2:$C$1199,0)),"",INDEX('Compliance Database'!$G$2:$G$1199,MATCH(496,Engine!$C$2:$C$1199,0)))</f>
        <v/>
      </c>
      <c r="H509" s="7" t="str">
        <f>IF(ISNA(MATCH(496,Engine!$C$2:$C$1199,0)),"",INDEX('Compliance Database'!$H$2:$H$1199,MATCH(496,Engine!$C$2:$C$1199,0)))</f>
        <v/>
      </c>
      <c r="I509" s="7" t="str">
        <f>IF(ISNA(MATCH(496,Engine!$C$2:$C$1199,0)),"",INDEX('Compliance Database'!$I$2:$I$1199,MATCH(496,Engine!$C$2:$C$1199,0)))</f>
        <v/>
      </c>
      <c r="J509" s="6" t="str">
        <f>IF(ISNA(MATCH(496,Engine!$C$2:$C$1199,0)),"",INDEX('Compliance Database'!$J$2:$J$1199,MATCH(496,Engine!$C$2:$C$1199,0)))</f>
        <v/>
      </c>
      <c r="K509" s="7" t="str">
        <f>IF(ISNA(MATCH(496,Engine!$C$2:$C$1199,0)),"",INDEX('Compliance Database'!$K$2:$K$1199,MATCH(496,Engine!$C$2:$C$1199,0)))</f>
        <v/>
      </c>
      <c r="L509" s="7" t="str">
        <f>IF(ISNA(MATCH(496,Engine!$C$2:$C$1199,0)),"",INDEX('Compliance Database'!$L$2:$L$1199,MATCH(496,Engine!$C$2:$C$1199,0)))</f>
        <v/>
      </c>
      <c r="M509" s="7" t="str">
        <f>IF(ISNA(MATCH(496,Engine!$C$2:$C$1199,0)),"",INDEX('Compliance Database'!$M$2:$M$1199,MATCH(496,Engine!$C$2:$C$1199,0)))</f>
        <v/>
      </c>
      <c r="N509" s="7" t="str">
        <f>IF(ISNA(MATCH(496,Engine!$C$2:$C$1199,0)),"",INDEX('Compliance Database'!$N$2:$N$1199,MATCH(496,Engine!$C$2:$C$1199,0)))</f>
        <v/>
      </c>
      <c r="O509" s="7" t="str">
        <f>IF(ISNA(MATCH(496,Engine!$C$2:$C$1199,0)),"",INDEX('Compliance Database'!$O$2:$O$1199,MATCH(496,Engine!$C$2:$C$1199,0)))</f>
        <v/>
      </c>
      <c r="P509" s="6" t="str">
        <f>IF(ISNA(MATCH(496,Engine!$C$2:$C$1199,0)),"",HYPERLINK("#Acts!A"&amp;INDEX('Compliance Database'!$P$2:$P$1199,MATCH(496,Engine!$C$2:$C$1199,0)),"Go to Act"))</f>
        <v/>
      </c>
    </row>
    <row r="510" spans="1:16" ht="172.95" customHeight="1" x14ac:dyDescent="0.3">
      <c r="A510" s="6" t="str">
        <f>IF(ISNA(MATCH(497,Engine!$C$2:$C$1199,0)),"",INDEX('Compliance Database'!$A$2:$A$1199,MATCH(497,Engine!$C$2:$C$1199,0)))</f>
        <v/>
      </c>
      <c r="B510" s="6" t="str">
        <f>IF(ISNA(MATCH(497,Engine!$C$2:$C$1199,0)),"",INDEX('Compliance Database'!$B$2:$B$1199,MATCH(497,Engine!$C$2:$C$1199,0)))</f>
        <v/>
      </c>
      <c r="C510" s="6" t="str">
        <f>IF(ISNA(MATCH(497,Engine!$C$2:$C$1199,0)),"",INDEX('Compliance Database'!$C$2:$C$1199,MATCH(497,Engine!$C$2:$C$1199,0)))</f>
        <v/>
      </c>
      <c r="D510" s="7" t="str">
        <f>IF(ISNA(MATCH(497,Engine!$C$2:$C$1199,0)),"",INDEX('Compliance Database'!$D$2:$D$1199,MATCH(497,Engine!$C$2:$C$1199,0)))</f>
        <v/>
      </c>
      <c r="E510" s="6" t="str">
        <f>IF(ISNA(MATCH(497,Engine!$C$2:$C$1199,0)),"",INDEX('Compliance Database'!$E$2:$E$1199,MATCH(497,Engine!$C$2:$C$1199,0)))</f>
        <v/>
      </c>
      <c r="F510" s="6" t="str">
        <f>IF(ISNA(MATCH(497,Engine!$C$2:$C$1199,0)),"",INDEX('Compliance Database'!$F$2:$F$1199,MATCH(497,Engine!$C$2:$C$1199,0)))</f>
        <v/>
      </c>
      <c r="G510" s="6" t="str">
        <f>IF(ISNA(MATCH(497,Engine!$C$2:$C$1199,0)),"",INDEX('Compliance Database'!$G$2:$G$1199,MATCH(497,Engine!$C$2:$C$1199,0)))</f>
        <v/>
      </c>
      <c r="H510" s="7" t="str">
        <f>IF(ISNA(MATCH(497,Engine!$C$2:$C$1199,0)),"",INDEX('Compliance Database'!$H$2:$H$1199,MATCH(497,Engine!$C$2:$C$1199,0)))</f>
        <v/>
      </c>
      <c r="I510" s="7" t="str">
        <f>IF(ISNA(MATCH(497,Engine!$C$2:$C$1199,0)),"",INDEX('Compliance Database'!$I$2:$I$1199,MATCH(497,Engine!$C$2:$C$1199,0)))</f>
        <v/>
      </c>
      <c r="J510" s="6" t="str">
        <f>IF(ISNA(MATCH(497,Engine!$C$2:$C$1199,0)),"",INDEX('Compliance Database'!$J$2:$J$1199,MATCH(497,Engine!$C$2:$C$1199,0)))</f>
        <v/>
      </c>
      <c r="K510" s="7" t="str">
        <f>IF(ISNA(MATCH(497,Engine!$C$2:$C$1199,0)),"",INDEX('Compliance Database'!$K$2:$K$1199,MATCH(497,Engine!$C$2:$C$1199,0)))</f>
        <v/>
      </c>
      <c r="L510" s="7" t="str">
        <f>IF(ISNA(MATCH(497,Engine!$C$2:$C$1199,0)),"",INDEX('Compliance Database'!$L$2:$L$1199,MATCH(497,Engine!$C$2:$C$1199,0)))</f>
        <v/>
      </c>
      <c r="M510" s="7" t="str">
        <f>IF(ISNA(MATCH(497,Engine!$C$2:$C$1199,0)),"",INDEX('Compliance Database'!$M$2:$M$1199,MATCH(497,Engine!$C$2:$C$1199,0)))</f>
        <v/>
      </c>
      <c r="N510" s="7" t="str">
        <f>IF(ISNA(MATCH(497,Engine!$C$2:$C$1199,0)),"",INDEX('Compliance Database'!$N$2:$N$1199,MATCH(497,Engine!$C$2:$C$1199,0)))</f>
        <v/>
      </c>
      <c r="O510" s="7" t="str">
        <f>IF(ISNA(MATCH(497,Engine!$C$2:$C$1199,0)),"",INDEX('Compliance Database'!$O$2:$O$1199,MATCH(497,Engine!$C$2:$C$1199,0)))</f>
        <v/>
      </c>
      <c r="P510" s="6" t="str">
        <f>IF(ISNA(MATCH(497,Engine!$C$2:$C$1199,0)),"",HYPERLINK("#Acts!A"&amp;INDEX('Compliance Database'!$P$2:$P$1199,MATCH(497,Engine!$C$2:$C$1199,0)),"Go to Act"))</f>
        <v/>
      </c>
    </row>
    <row r="511" spans="1:16" ht="172.95" customHeight="1" x14ac:dyDescent="0.3">
      <c r="A511" s="6" t="str">
        <f>IF(ISNA(MATCH(498,Engine!$C$2:$C$1199,0)),"",INDEX('Compliance Database'!$A$2:$A$1199,MATCH(498,Engine!$C$2:$C$1199,0)))</f>
        <v/>
      </c>
      <c r="B511" s="6" t="str">
        <f>IF(ISNA(MATCH(498,Engine!$C$2:$C$1199,0)),"",INDEX('Compliance Database'!$B$2:$B$1199,MATCH(498,Engine!$C$2:$C$1199,0)))</f>
        <v/>
      </c>
      <c r="C511" s="6" t="str">
        <f>IF(ISNA(MATCH(498,Engine!$C$2:$C$1199,0)),"",INDEX('Compliance Database'!$C$2:$C$1199,MATCH(498,Engine!$C$2:$C$1199,0)))</f>
        <v/>
      </c>
      <c r="D511" s="7" t="str">
        <f>IF(ISNA(MATCH(498,Engine!$C$2:$C$1199,0)),"",INDEX('Compliance Database'!$D$2:$D$1199,MATCH(498,Engine!$C$2:$C$1199,0)))</f>
        <v/>
      </c>
      <c r="E511" s="6" t="str">
        <f>IF(ISNA(MATCH(498,Engine!$C$2:$C$1199,0)),"",INDEX('Compliance Database'!$E$2:$E$1199,MATCH(498,Engine!$C$2:$C$1199,0)))</f>
        <v/>
      </c>
      <c r="F511" s="6" t="str">
        <f>IF(ISNA(MATCH(498,Engine!$C$2:$C$1199,0)),"",INDEX('Compliance Database'!$F$2:$F$1199,MATCH(498,Engine!$C$2:$C$1199,0)))</f>
        <v/>
      </c>
      <c r="G511" s="6" t="str">
        <f>IF(ISNA(MATCH(498,Engine!$C$2:$C$1199,0)),"",INDEX('Compliance Database'!$G$2:$G$1199,MATCH(498,Engine!$C$2:$C$1199,0)))</f>
        <v/>
      </c>
      <c r="H511" s="7" t="str">
        <f>IF(ISNA(MATCH(498,Engine!$C$2:$C$1199,0)),"",INDEX('Compliance Database'!$H$2:$H$1199,MATCH(498,Engine!$C$2:$C$1199,0)))</f>
        <v/>
      </c>
      <c r="I511" s="7" t="str">
        <f>IF(ISNA(MATCH(498,Engine!$C$2:$C$1199,0)),"",INDEX('Compliance Database'!$I$2:$I$1199,MATCH(498,Engine!$C$2:$C$1199,0)))</f>
        <v/>
      </c>
      <c r="J511" s="6" t="str">
        <f>IF(ISNA(MATCH(498,Engine!$C$2:$C$1199,0)),"",INDEX('Compliance Database'!$J$2:$J$1199,MATCH(498,Engine!$C$2:$C$1199,0)))</f>
        <v/>
      </c>
      <c r="K511" s="7" t="str">
        <f>IF(ISNA(MATCH(498,Engine!$C$2:$C$1199,0)),"",INDEX('Compliance Database'!$K$2:$K$1199,MATCH(498,Engine!$C$2:$C$1199,0)))</f>
        <v/>
      </c>
      <c r="L511" s="7" t="str">
        <f>IF(ISNA(MATCH(498,Engine!$C$2:$C$1199,0)),"",INDEX('Compliance Database'!$L$2:$L$1199,MATCH(498,Engine!$C$2:$C$1199,0)))</f>
        <v/>
      </c>
      <c r="M511" s="7" t="str">
        <f>IF(ISNA(MATCH(498,Engine!$C$2:$C$1199,0)),"",INDEX('Compliance Database'!$M$2:$M$1199,MATCH(498,Engine!$C$2:$C$1199,0)))</f>
        <v/>
      </c>
      <c r="N511" s="7" t="str">
        <f>IF(ISNA(MATCH(498,Engine!$C$2:$C$1199,0)),"",INDEX('Compliance Database'!$N$2:$N$1199,MATCH(498,Engine!$C$2:$C$1199,0)))</f>
        <v/>
      </c>
      <c r="O511" s="7" t="str">
        <f>IF(ISNA(MATCH(498,Engine!$C$2:$C$1199,0)),"",INDEX('Compliance Database'!$O$2:$O$1199,MATCH(498,Engine!$C$2:$C$1199,0)))</f>
        <v/>
      </c>
      <c r="P511" s="6" t="str">
        <f>IF(ISNA(MATCH(498,Engine!$C$2:$C$1199,0)),"",HYPERLINK("#Acts!A"&amp;INDEX('Compliance Database'!$P$2:$P$1199,MATCH(498,Engine!$C$2:$C$1199,0)),"Go to Act"))</f>
        <v/>
      </c>
    </row>
    <row r="512" spans="1:16" ht="172.95" customHeight="1" x14ac:dyDescent="0.3">
      <c r="A512" s="6" t="str">
        <f>IF(ISNA(MATCH(499,Engine!$C$2:$C$1199,0)),"",INDEX('Compliance Database'!$A$2:$A$1199,MATCH(499,Engine!$C$2:$C$1199,0)))</f>
        <v/>
      </c>
      <c r="B512" s="6" t="str">
        <f>IF(ISNA(MATCH(499,Engine!$C$2:$C$1199,0)),"",INDEX('Compliance Database'!$B$2:$B$1199,MATCH(499,Engine!$C$2:$C$1199,0)))</f>
        <v/>
      </c>
      <c r="C512" s="6" t="str">
        <f>IF(ISNA(MATCH(499,Engine!$C$2:$C$1199,0)),"",INDEX('Compliance Database'!$C$2:$C$1199,MATCH(499,Engine!$C$2:$C$1199,0)))</f>
        <v/>
      </c>
      <c r="D512" s="7" t="str">
        <f>IF(ISNA(MATCH(499,Engine!$C$2:$C$1199,0)),"",INDEX('Compliance Database'!$D$2:$D$1199,MATCH(499,Engine!$C$2:$C$1199,0)))</f>
        <v/>
      </c>
      <c r="E512" s="6" t="str">
        <f>IF(ISNA(MATCH(499,Engine!$C$2:$C$1199,0)),"",INDEX('Compliance Database'!$E$2:$E$1199,MATCH(499,Engine!$C$2:$C$1199,0)))</f>
        <v/>
      </c>
      <c r="F512" s="6" t="str">
        <f>IF(ISNA(MATCH(499,Engine!$C$2:$C$1199,0)),"",INDEX('Compliance Database'!$F$2:$F$1199,MATCH(499,Engine!$C$2:$C$1199,0)))</f>
        <v/>
      </c>
      <c r="G512" s="6" t="str">
        <f>IF(ISNA(MATCH(499,Engine!$C$2:$C$1199,0)),"",INDEX('Compliance Database'!$G$2:$G$1199,MATCH(499,Engine!$C$2:$C$1199,0)))</f>
        <v/>
      </c>
      <c r="H512" s="7" t="str">
        <f>IF(ISNA(MATCH(499,Engine!$C$2:$C$1199,0)),"",INDEX('Compliance Database'!$H$2:$H$1199,MATCH(499,Engine!$C$2:$C$1199,0)))</f>
        <v/>
      </c>
      <c r="I512" s="7" t="str">
        <f>IF(ISNA(MATCH(499,Engine!$C$2:$C$1199,0)),"",INDEX('Compliance Database'!$I$2:$I$1199,MATCH(499,Engine!$C$2:$C$1199,0)))</f>
        <v/>
      </c>
      <c r="J512" s="6" t="str">
        <f>IF(ISNA(MATCH(499,Engine!$C$2:$C$1199,0)),"",INDEX('Compliance Database'!$J$2:$J$1199,MATCH(499,Engine!$C$2:$C$1199,0)))</f>
        <v/>
      </c>
      <c r="K512" s="7" t="str">
        <f>IF(ISNA(MATCH(499,Engine!$C$2:$C$1199,0)),"",INDEX('Compliance Database'!$K$2:$K$1199,MATCH(499,Engine!$C$2:$C$1199,0)))</f>
        <v/>
      </c>
      <c r="L512" s="7" t="str">
        <f>IF(ISNA(MATCH(499,Engine!$C$2:$C$1199,0)),"",INDEX('Compliance Database'!$L$2:$L$1199,MATCH(499,Engine!$C$2:$C$1199,0)))</f>
        <v/>
      </c>
      <c r="M512" s="7" t="str">
        <f>IF(ISNA(MATCH(499,Engine!$C$2:$C$1199,0)),"",INDEX('Compliance Database'!$M$2:$M$1199,MATCH(499,Engine!$C$2:$C$1199,0)))</f>
        <v/>
      </c>
      <c r="N512" s="7" t="str">
        <f>IF(ISNA(MATCH(499,Engine!$C$2:$C$1199,0)),"",INDEX('Compliance Database'!$N$2:$N$1199,MATCH(499,Engine!$C$2:$C$1199,0)))</f>
        <v/>
      </c>
      <c r="O512" s="7" t="str">
        <f>IF(ISNA(MATCH(499,Engine!$C$2:$C$1199,0)),"",INDEX('Compliance Database'!$O$2:$O$1199,MATCH(499,Engine!$C$2:$C$1199,0)))</f>
        <v/>
      </c>
      <c r="P512" s="6" t="str">
        <f>IF(ISNA(MATCH(499,Engine!$C$2:$C$1199,0)),"",HYPERLINK("#Acts!A"&amp;INDEX('Compliance Database'!$P$2:$P$1199,MATCH(499,Engine!$C$2:$C$1199,0)),"Go to Act"))</f>
        <v/>
      </c>
    </row>
    <row r="513" spans="1:16" ht="172.95" customHeight="1" x14ac:dyDescent="0.3">
      <c r="A513" s="6" t="str">
        <f>IF(ISNA(MATCH(500,Engine!$C$2:$C$1199,0)),"",INDEX('Compliance Database'!$A$2:$A$1199,MATCH(500,Engine!$C$2:$C$1199,0)))</f>
        <v/>
      </c>
      <c r="B513" s="6" t="str">
        <f>IF(ISNA(MATCH(500,Engine!$C$2:$C$1199,0)),"",INDEX('Compliance Database'!$B$2:$B$1199,MATCH(500,Engine!$C$2:$C$1199,0)))</f>
        <v/>
      </c>
      <c r="C513" s="6" t="str">
        <f>IF(ISNA(MATCH(500,Engine!$C$2:$C$1199,0)),"",INDEX('Compliance Database'!$C$2:$C$1199,MATCH(500,Engine!$C$2:$C$1199,0)))</f>
        <v/>
      </c>
      <c r="D513" s="7" t="str">
        <f>IF(ISNA(MATCH(500,Engine!$C$2:$C$1199,0)),"",INDEX('Compliance Database'!$D$2:$D$1199,MATCH(500,Engine!$C$2:$C$1199,0)))</f>
        <v/>
      </c>
      <c r="E513" s="6" t="str">
        <f>IF(ISNA(MATCH(500,Engine!$C$2:$C$1199,0)),"",INDEX('Compliance Database'!$E$2:$E$1199,MATCH(500,Engine!$C$2:$C$1199,0)))</f>
        <v/>
      </c>
      <c r="F513" s="6" t="str">
        <f>IF(ISNA(MATCH(500,Engine!$C$2:$C$1199,0)),"",INDEX('Compliance Database'!$F$2:$F$1199,MATCH(500,Engine!$C$2:$C$1199,0)))</f>
        <v/>
      </c>
      <c r="G513" s="6" t="str">
        <f>IF(ISNA(MATCH(500,Engine!$C$2:$C$1199,0)),"",INDEX('Compliance Database'!$G$2:$G$1199,MATCH(500,Engine!$C$2:$C$1199,0)))</f>
        <v/>
      </c>
      <c r="H513" s="7" t="str">
        <f>IF(ISNA(MATCH(500,Engine!$C$2:$C$1199,0)),"",INDEX('Compliance Database'!$H$2:$H$1199,MATCH(500,Engine!$C$2:$C$1199,0)))</f>
        <v/>
      </c>
      <c r="I513" s="7" t="str">
        <f>IF(ISNA(MATCH(500,Engine!$C$2:$C$1199,0)),"",INDEX('Compliance Database'!$I$2:$I$1199,MATCH(500,Engine!$C$2:$C$1199,0)))</f>
        <v/>
      </c>
      <c r="J513" s="6" t="str">
        <f>IF(ISNA(MATCH(500,Engine!$C$2:$C$1199,0)),"",INDEX('Compliance Database'!$J$2:$J$1199,MATCH(500,Engine!$C$2:$C$1199,0)))</f>
        <v/>
      </c>
      <c r="K513" s="7" t="str">
        <f>IF(ISNA(MATCH(500,Engine!$C$2:$C$1199,0)),"",INDEX('Compliance Database'!$K$2:$K$1199,MATCH(500,Engine!$C$2:$C$1199,0)))</f>
        <v/>
      </c>
      <c r="L513" s="7" t="str">
        <f>IF(ISNA(MATCH(500,Engine!$C$2:$C$1199,0)),"",INDEX('Compliance Database'!$L$2:$L$1199,MATCH(500,Engine!$C$2:$C$1199,0)))</f>
        <v/>
      </c>
      <c r="M513" s="7" t="str">
        <f>IF(ISNA(MATCH(500,Engine!$C$2:$C$1199,0)),"",INDEX('Compliance Database'!$M$2:$M$1199,MATCH(500,Engine!$C$2:$C$1199,0)))</f>
        <v/>
      </c>
      <c r="N513" s="7" t="str">
        <f>IF(ISNA(MATCH(500,Engine!$C$2:$C$1199,0)),"",INDEX('Compliance Database'!$N$2:$N$1199,MATCH(500,Engine!$C$2:$C$1199,0)))</f>
        <v/>
      </c>
      <c r="O513" s="7" t="str">
        <f>IF(ISNA(MATCH(500,Engine!$C$2:$C$1199,0)),"",INDEX('Compliance Database'!$O$2:$O$1199,MATCH(500,Engine!$C$2:$C$1199,0)))</f>
        <v/>
      </c>
      <c r="P513" s="6" t="str">
        <f>IF(ISNA(MATCH(500,Engine!$C$2:$C$1199,0)),"",HYPERLINK("#Acts!A"&amp;INDEX('Compliance Database'!$P$2:$P$1199,MATCH(500,Engine!$C$2:$C$1199,0)),"Go to Act"))</f>
        <v/>
      </c>
    </row>
    <row r="514" spans="1:16" ht="172.95" customHeight="1" x14ac:dyDescent="0.3">
      <c r="A514" s="6" t="str">
        <f>IF(ISNA(MATCH(501,Engine!$C$2:$C$1199,0)),"",INDEX('Compliance Database'!$A$2:$A$1199,MATCH(501,Engine!$C$2:$C$1199,0)))</f>
        <v/>
      </c>
      <c r="B514" s="6" t="str">
        <f>IF(ISNA(MATCH(501,Engine!$C$2:$C$1199,0)),"",INDEX('Compliance Database'!$B$2:$B$1199,MATCH(501,Engine!$C$2:$C$1199,0)))</f>
        <v/>
      </c>
      <c r="C514" s="6" t="str">
        <f>IF(ISNA(MATCH(501,Engine!$C$2:$C$1199,0)),"",INDEX('Compliance Database'!$C$2:$C$1199,MATCH(501,Engine!$C$2:$C$1199,0)))</f>
        <v/>
      </c>
      <c r="D514" s="7" t="str">
        <f>IF(ISNA(MATCH(501,Engine!$C$2:$C$1199,0)),"",INDEX('Compliance Database'!$D$2:$D$1199,MATCH(501,Engine!$C$2:$C$1199,0)))</f>
        <v/>
      </c>
      <c r="E514" s="6" t="str">
        <f>IF(ISNA(MATCH(501,Engine!$C$2:$C$1199,0)),"",INDEX('Compliance Database'!$E$2:$E$1199,MATCH(501,Engine!$C$2:$C$1199,0)))</f>
        <v/>
      </c>
      <c r="F514" s="6" t="str">
        <f>IF(ISNA(MATCH(501,Engine!$C$2:$C$1199,0)),"",INDEX('Compliance Database'!$F$2:$F$1199,MATCH(501,Engine!$C$2:$C$1199,0)))</f>
        <v/>
      </c>
      <c r="G514" s="6" t="str">
        <f>IF(ISNA(MATCH(501,Engine!$C$2:$C$1199,0)),"",INDEX('Compliance Database'!$G$2:$G$1199,MATCH(501,Engine!$C$2:$C$1199,0)))</f>
        <v/>
      </c>
      <c r="H514" s="7" t="str">
        <f>IF(ISNA(MATCH(501,Engine!$C$2:$C$1199,0)),"",INDEX('Compliance Database'!$H$2:$H$1199,MATCH(501,Engine!$C$2:$C$1199,0)))</f>
        <v/>
      </c>
      <c r="I514" s="7" t="str">
        <f>IF(ISNA(MATCH(501,Engine!$C$2:$C$1199,0)),"",INDEX('Compliance Database'!$I$2:$I$1199,MATCH(501,Engine!$C$2:$C$1199,0)))</f>
        <v/>
      </c>
      <c r="J514" s="6" t="str">
        <f>IF(ISNA(MATCH(501,Engine!$C$2:$C$1199,0)),"",INDEX('Compliance Database'!$J$2:$J$1199,MATCH(501,Engine!$C$2:$C$1199,0)))</f>
        <v/>
      </c>
      <c r="K514" s="7" t="str">
        <f>IF(ISNA(MATCH(501,Engine!$C$2:$C$1199,0)),"",INDEX('Compliance Database'!$K$2:$K$1199,MATCH(501,Engine!$C$2:$C$1199,0)))</f>
        <v/>
      </c>
      <c r="L514" s="7" t="str">
        <f>IF(ISNA(MATCH(501,Engine!$C$2:$C$1199,0)),"",INDEX('Compliance Database'!$L$2:$L$1199,MATCH(501,Engine!$C$2:$C$1199,0)))</f>
        <v/>
      </c>
      <c r="M514" s="7" t="str">
        <f>IF(ISNA(MATCH(501,Engine!$C$2:$C$1199,0)),"",INDEX('Compliance Database'!$M$2:$M$1199,MATCH(501,Engine!$C$2:$C$1199,0)))</f>
        <v/>
      </c>
      <c r="N514" s="7" t="str">
        <f>IF(ISNA(MATCH(501,Engine!$C$2:$C$1199,0)),"",INDEX('Compliance Database'!$N$2:$N$1199,MATCH(501,Engine!$C$2:$C$1199,0)))</f>
        <v/>
      </c>
      <c r="O514" s="7" t="str">
        <f>IF(ISNA(MATCH(501,Engine!$C$2:$C$1199,0)),"",INDEX('Compliance Database'!$O$2:$O$1199,MATCH(501,Engine!$C$2:$C$1199,0)))</f>
        <v/>
      </c>
      <c r="P514" s="6" t="str">
        <f>IF(ISNA(MATCH(501,Engine!$C$2:$C$1199,0)),"",HYPERLINK("#Acts!A"&amp;INDEX('Compliance Database'!$P$2:$P$1199,MATCH(501,Engine!$C$2:$C$1199,0)),"Go to Act"))</f>
        <v/>
      </c>
    </row>
    <row r="515" spans="1:16" ht="172.95" customHeight="1" x14ac:dyDescent="0.3">
      <c r="A515" s="6" t="str">
        <f>IF(ISNA(MATCH(502,Engine!$C$2:$C$1199,0)),"",INDEX('Compliance Database'!$A$2:$A$1199,MATCH(502,Engine!$C$2:$C$1199,0)))</f>
        <v/>
      </c>
      <c r="B515" s="6" t="str">
        <f>IF(ISNA(MATCH(502,Engine!$C$2:$C$1199,0)),"",INDEX('Compliance Database'!$B$2:$B$1199,MATCH(502,Engine!$C$2:$C$1199,0)))</f>
        <v/>
      </c>
      <c r="C515" s="6" t="str">
        <f>IF(ISNA(MATCH(502,Engine!$C$2:$C$1199,0)),"",INDEX('Compliance Database'!$C$2:$C$1199,MATCH(502,Engine!$C$2:$C$1199,0)))</f>
        <v/>
      </c>
      <c r="D515" s="7" t="str">
        <f>IF(ISNA(MATCH(502,Engine!$C$2:$C$1199,0)),"",INDEX('Compliance Database'!$D$2:$D$1199,MATCH(502,Engine!$C$2:$C$1199,0)))</f>
        <v/>
      </c>
      <c r="E515" s="6" t="str">
        <f>IF(ISNA(MATCH(502,Engine!$C$2:$C$1199,0)),"",INDEX('Compliance Database'!$E$2:$E$1199,MATCH(502,Engine!$C$2:$C$1199,0)))</f>
        <v/>
      </c>
      <c r="F515" s="6" t="str">
        <f>IF(ISNA(MATCH(502,Engine!$C$2:$C$1199,0)),"",INDEX('Compliance Database'!$F$2:$F$1199,MATCH(502,Engine!$C$2:$C$1199,0)))</f>
        <v/>
      </c>
      <c r="G515" s="6" t="str">
        <f>IF(ISNA(MATCH(502,Engine!$C$2:$C$1199,0)),"",INDEX('Compliance Database'!$G$2:$G$1199,MATCH(502,Engine!$C$2:$C$1199,0)))</f>
        <v/>
      </c>
      <c r="H515" s="7" t="str">
        <f>IF(ISNA(MATCH(502,Engine!$C$2:$C$1199,0)),"",INDEX('Compliance Database'!$H$2:$H$1199,MATCH(502,Engine!$C$2:$C$1199,0)))</f>
        <v/>
      </c>
      <c r="I515" s="7" t="str">
        <f>IF(ISNA(MATCH(502,Engine!$C$2:$C$1199,0)),"",INDEX('Compliance Database'!$I$2:$I$1199,MATCH(502,Engine!$C$2:$C$1199,0)))</f>
        <v/>
      </c>
      <c r="J515" s="6" t="str">
        <f>IF(ISNA(MATCH(502,Engine!$C$2:$C$1199,0)),"",INDEX('Compliance Database'!$J$2:$J$1199,MATCH(502,Engine!$C$2:$C$1199,0)))</f>
        <v/>
      </c>
      <c r="K515" s="7" t="str">
        <f>IF(ISNA(MATCH(502,Engine!$C$2:$C$1199,0)),"",INDEX('Compliance Database'!$K$2:$K$1199,MATCH(502,Engine!$C$2:$C$1199,0)))</f>
        <v/>
      </c>
      <c r="L515" s="7" t="str">
        <f>IF(ISNA(MATCH(502,Engine!$C$2:$C$1199,0)),"",INDEX('Compliance Database'!$L$2:$L$1199,MATCH(502,Engine!$C$2:$C$1199,0)))</f>
        <v/>
      </c>
      <c r="M515" s="7" t="str">
        <f>IF(ISNA(MATCH(502,Engine!$C$2:$C$1199,0)),"",INDEX('Compliance Database'!$M$2:$M$1199,MATCH(502,Engine!$C$2:$C$1199,0)))</f>
        <v/>
      </c>
      <c r="N515" s="7" t="str">
        <f>IF(ISNA(MATCH(502,Engine!$C$2:$C$1199,0)),"",INDEX('Compliance Database'!$N$2:$N$1199,MATCH(502,Engine!$C$2:$C$1199,0)))</f>
        <v/>
      </c>
      <c r="O515" s="7" t="str">
        <f>IF(ISNA(MATCH(502,Engine!$C$2:$C$1199,0)),"",INDEX('Compliance Database'!$O$2:$O$1199,MATCH(502,Engine!$C$2:$C$1199,0)))</f>
        <v/>
      </c>
      <c r="P515" s="6" t="str">
        <f>IF(ISNA(MATCH(502,Engine!$C$2:$C$1199,0)),"",HYPERLINK("#Acts!A"&amp;INDEX('Compliance Database'!$P$2:$P$1199,MATCH(502,Engine!$C$2:$C$1199,0)),"Go to Act"))</f>
        <v/>
      </c>
    </row>
    <row r="516" spans="1:16" ht="172.95" customHeight="1" x14ac:dyDescent="0.3">
      <c r="A516" s="6" t="str">
        <f>IF(ISNA(MATCH(503,Engine!$C$2:$C$1199,0)),"",INDEX('Compliance Database'!$A$2:$A$1199,MATCH(503,Engine!$C$2:$C$1199,0)))</f>
        <v/>
      </c>
      <c r="B516" s="6" t="str">
        <f>IF(ISNA(MATCH(503,Engine!$C$2:$C$1199,0)),"",INDEX('Compliance Database'!$B$2:$B$1199,MATCH(503,Engine!$C$2:$C$1199,0)))</f>
        <v/>
      </c>
      <c r="C516" s="6" t="str">
        <f>IF(ISNA(MATCH(503,Engine!$C$2:$C$1199,0)),"",INDEX('Compliance Database'!$C$2:$C$1199,MATCH(503,Engine!$C$2:$C$1199,0)))</f>
        <v/>
      </c>
      <c r="D516" s="7" t="str">
        <f>IF(ISNA(MATCH(503,Engine!$C$2:$C$1199,0)),"",INDEX('Compliance Database'!$D$2:$D$1199,MATCH(503,Engine!$C$2:$C$1199,0)))</f>
        <v/>
      </c>
      <c r="E516" s="6" t="str">
        <f>IF(ISNA(MATCH(503,Engine!$C$2:$C$1199,0)),"",INDEX('Compliance Database'!$E$2:$E$1199,MATCH(503,Engine!$C$2:$C$1199,0)))</f>
        <v/>
      </c>
      <c r="F516" s="6" t="str">
        <f>IF(ISNA(MATCH(503,Engine!$C$2:$C$1199,0)),"",INDEX('Compliance Database'!$F$2:$F$1199,MATCH(503,Engine!$C$2:$C$1199,0)))</f>
        <v/>
      </c>
      <c r="G516" s="6" t="str">
        <f>IF(ISNA(MATCH(503,Engine!$C$2:$C$1199,0)),"",INDEX('Compliance Database'!$G$2:$G$1199,MATCH(503,Engine!$C$2:$C$1199,0)))</f>
        <v/>
      </c>
      <c r="H516" s="7" t="str">
        <f>IF(ISNA(MATCH(503,Engine!$C$2:$C$1199,0)),"",INDEX('Compliance Database'!$H$2:$H$1199,MATCH(503,Engine!$C$2:$C$1199,0)))</f>
        <v/>
      </c>
      <c r="I516" s="7" t="str">
        <f>IF(ISNA(MATCH(503,Engine!$C$2:$C$1199,0)),"",INDEX('Compliance Database'!$I$2:$I$1199,MATCH(503,Engine!$C$2:$C$1199,0)))</f>
        <v/>
      </c>
      <c r="J516" s="6" t="str">
        <f>IF(ISNA(MATCH(503,Engine!$C$2:$C$1199,0)),"",INDEX('Compliance Database'!$J$2:$J$1199,MATCH(503,Engine!$C$2:$C$1199,0)))</f>
        <v/>
      </c>
      <c r="K516" s="7" t="str">
        <f>IF(ISNA(MATCH(503,Engine!$C$2:$C$1199,0)),"",INDEX('Compliance Database'!$K$2:$K$1199,MATCH(503,Engine!$C$2:$C$1199,0)))</f>
        <v/>
      </c>
      <c r="L516" s="7" t="str">
        <f>IF(ISNA(MATCH(503,Engine!$C$2:$C$1199,0)),"",INDEX('Compliance Database'!$L$2:$L$1199,MATCH(503,Engine!$C$2:$C$1199,0)))</f>
        <v/>
      </c>
      <c r="M516" s="7" t="str">
        <f>IF(ISNA(MATCH(503,Engine!$C$2:$C$1199,0)),"",INDEX('Compliance Database'!$M$2:$M$1199,MATCH(503,Engine!$C$2:$C$1199,0)))</f>
        <v/>
      </c>
      <c r="N516" s="7" t="str">
        <f>IF(ISNA(MATCH(503,Engine!$C$2:$C$1199,0)),"",INDEX('Compliance Database'!$N$2:$N$1199,MATCH(503,Engine!$C$2:$C$1199,0)))</f>
        <v/>
      </c>
      <c r="O516" s="7" t="str">
        <f>IF(ISNA(MATCH(503,Engine!$C$2:$C$1199,0)),"",INDEX('Compliance Database'!$O$2:$O$1199,MATCH(503,Engine!$C$2:$C$1199,0)))</f>
        <v/>
      </c>
      <c r="P516" s="6" t="str">
        <f>IF(ISNA(MATCH(503,Engine!$C$2:$C$1199,0)),"",HYPERLINK("#Acts!A"&amp;INDEX('Compliance Database'!$P$2:$P$1199,MATCH(503,Engine!$C$2:$C$1199,0)),"Go to Act"))</f>
        <v/>
      </c>
    </row>
    <row r="517" spans="1:16" ht="172.95" customHeight="1" x14ac:dyDescent="0.3">
      <c r="A517" s="6" t="str">
        <f>IF(ISNA(MATCH(504,Engine!$C$2:$C$1199,0)),"",INDEX('Compliance Database'!$A$2:$A$1199,MATCH(504,Engine!$C$2:$C$1199,0)))</f>
        <v/>
      </c>
      <c r="B517" s="6" t="str">
        <f>IF(ISNA(MATCH(504,Engine!$C$2:$C$1199,0)),"",INDEX('Compliance Database'!$B$2:$B$1199,MATCH(504,Engine!$C$2:$C$1199,0)))</f>
        <v/>
      </c>
      <c r="C517" s="6" t="str">
        <f>IF(ISNA(MATCH(504,Engine!$C$2:$C$1199,0)),"",INDEX('Compliance Database'!$C$2:$C$1199,MATCH(504,Engine!$C$2:$C$1199,0)))</f>
        <v/>
      </c>
      <c r="D517" s="7" t="str">
        <f>IF(ISNA(MATCH(504,Engine!$C$2:$C$1199,0)),"",INDEX('Compliance Database'!$D$2:$D$1199,MATCH(504,Engine!$C$2:$C$1199,0)))</f>
        <v/>
      </c>
      <c r="E517" s="6" t="str">
        <f>IF(ISNA(MATCH(504,Engine!$C$2:$C$1199,0)),"",INDEX('Compliance Database'!$E$2:$E$1199,MATCH(504,Engine!$C$2:$C$1199,0)))</f>
        <v/>
      </c>
      <c r="F517" s="6" t="str">
        <f>IF(ISNA(MATCH(504,Engine!$C$2:$C$1199,0)),"",INDEX('Compliance Database'!$F$2:$F$1199,MATCH(504,Engine!$C$2:$C$1199,0)))</f>
        <v/>
      </c>
      <c r="G517" s="6" t="str">
        <f>IF(ISNA(MATCH(504,Engine!$C$2:$C$1199,0)),"",INDEX('Compliance Database'!$G$2:$G$1199,MATCH(504,Engine!$C$2:$C$1199,0)))</f>
        <v/>
      </c>
      <c r="H517" s="7" t="str">
        <f>IF(ISNA(MATCH(504,Engine!$C$2:$C$1199,0)),"",INDEX('Compliance Database'!$H$2:$H$1199,MATCH(504,Engine!$C$2:$C$1199,0)))</f>
        <v/>
      </c>
      <c r="I517" s="7" t="str">
        <f>IF(ISNA(MATCH(504,Engine!$C$2:$C$1199,0)),"",INDEX('Compliance Database'!$I$2:$I$1199,MATCH(504,Engine!$C$2:$C$1199,0)))</f>
        <v/>
      </c>
      <c r="J517" s="6" t="str">
        <f>IF(ISNA(MATCH(504,Engine!$C$2:$C$1199,0)),"",INDEX('Compliance Database'!$J$2:$J$1199,MATCH(504,Engine!$C$2:$C$1199,0)))</f>
        <v/>
      </c>
      <c r="K517" s="7" t="str">
        <f>IF(ISNA(MATCH(504,Engine!$C$2:$C$1199,0)),"",INDEX('Compliance Database'!$K$2:$K$1199,MATCH(504,Engine!$C$2:$C$1199,0)))</f>
        <v/>
      </c>
      <c r="L517" s="7" t="str">
        <f>IF(ISNA(MATCH(504,Engine!$C$2:$C$1199,0)),"",INDEX('Compliance Database'!$L$2:$L$1199,MATCH(504,Engine!$C$2:$C$1199,0)))</f>
        <v/>
      </c>
      <c r="M517" s="7" t="str">
        <f>IF(ISNA(MATCH(504,Engine!$C$2:$C$1199,0)),"",INDEX('Compliance Database'!$M$2:$M$1199,MATCH(504,Engine!$C$2:$C$1199,0)))</f>
        <v/>
      </c>
      <c r="N517" s="7" t="str">
        <f>IF(ISNA(MATCH(504,Engine!$C$2:$C$1199,0)),"",INDEX('Compliance Database'!$N$2:$N$1199,MATCH(504,Engine!$C$2:$C$1199,0)))</f>
        <v/>
      </c>
      <c r="O517" s="7" t="str">
        <f>IF(ISNA(MATCH(504,Engine!$C$2:$C$1199,0)),"",INDEX('Compliance Database'!$O$2:$O$1199,MATCH(504,Engine!$C$2:$C$1199,0)))</f>
        <v/>
      </c>
      <c r="P517" s="6" t="str">
        <f>IF(ISNA(MATCH(504,Engine!$C$2:$C$1199,0)),"",HYPERLINK("#Acts!A"&amp;INDEX('Compliance Database'!$P$2:$P$1199,MATCH(504,Engine!$C$2:$C$1199,0)),"Go to Act"))</f>
        <v/>
      </c>
    </row>
    <row r="518" spans="1:16" ht="172.95" customHeight="1" x14ac:dyDescent="0.3">
      <c r="A518" s="6" t="str">
        <f>IF(ISNA(MATCH(505,Engine!$C$2:$C$1199,0)),"",INDEX('Compliance Database'!$A$2:$A$1199,MATCH(505,Engine!$C$2:$C$1199,0)))</f>
        <v/>
      </c>
      <c r="B518" s="6" t="str">
        <f>IF(ISNA(MATCH(505,Engine!$C$2:$C$1199,0)),"",INDEX('Compliance Database'!$B$2:$B$1199,MATCH(505,Engine!$C$2:$C$1199,0)))</f>
        <v/>
      </c>
      <c r="C518" s="6" t="str">
        <f>IF(ISNA(MATCH(505,Engine!$C$2:$C$1199,0)),"",INDEX('Compliance Database'!$C$2:$C$1199,MATCH(505,Engine!$C$2:$C$1199,0)))</f>
        <v/>
      </c>
      <c r="D518" s="7" t="str">
        <f>IF(ISNA(MATCH(505,Engine!$C$2:$C$1199,0)),"",INDEX('Compliance Database'!$D$2:$D$1199,MATCH(505,Engine!$C$2:$C$1199,0)))</f>
        <v/>
      </c>
      <c r="E518" s="6" t="str">
        <f>IF(ISNA(MATCH(505,Engine!$C$2:$C$1199,0)),"",INDEX('Compliance Database'!$E$2:$E$1199,MATCH(505,Engine!$C$2:$C$1199,0)))</f>
        <v/>
      </c>
      <c r="F518" s="6" t="str">
        <f>IF(ISNA(MATCH(505,Engine!$C$2:$C$1199,0)),"",INDEX('Compliance Database'!$F$2:$F$1199,MATCH(505,Engine!$C$2:$C$1199,0)))</f>
        <v/>
      </c>
      <c r="G518" s="6" t="str">
        <f>IF(ISNA(MATCH(505,Engine!$C$2:$C$1199,0)),"",INDEX('Compliance Database'!$G$2:$G$1199,MATCH(505,Engine!$C$2:$C$1199,0)))</f>
        <v/>
      </c>
      <c r="H518" s="7" t="str">
        <f>IF(ISNA(MATCH(505,Engine!$C$2:$C$1199,0)),"",INDEX('Compliance Database'!$H$2:$H$1199,MATCH(505,Engine!$C$2:$C$1199,0)))</f>
        <v/>
      </c>
      <c r="I518" s="7" t="str">
        <f>IF(ISNA(MATCH(505,Engine!$C$2:$C$1199,0)),"",INDEX('Compliance Database'!$I$2:$I$1199,MATCH(505,Engine!$C$2:$C$1199,0)))</f>
        <v/>
      </c>
      <c r="J518" s="6" t="str">
        <f>IF(ISNA(MATCH(505,Engine!$C$2:$C$1199,0)),"",INDEX('Compliance Database'!$J$2:$J$1199,MATCH(505,Engine!$C$2:$C$1199,0)))</f>
        <v/>
      </c>
      <c r="K518" s="7" t="str">
        <f>IF(ISNA(MATCH(505,Engine!$C$2:$C$1199,0)),"",INDEX('Compliance Database'!$K$2:$K$1199,MATCH(505,Engine!$C$2:$C$1199,0)))</f>
        <v/>
      </c>
      <c r="L518" s="7" t="str">
        <f>IF(ISNA(MATCH(505,Engine!$C$2:$C$1199,0)),"",INDEX('Compliance Database'!$L$2:$L$1199,MATCH(505,Engine!$C$2:$C$1199,0)))</f>
        <v/>
      </c>
      <c r="M518" s="7" t="str">
        <f>IF(ISNA(MATCH(505,Engine!$C$2:$C$1199,0)),"",INDEX('Compliance Database'!$M$2:$M$1199,MATCH(505,Engine!$C$2:$C$1199,0)))</f>
        <v/>
      </c>
      <c r="N518" s="7" t="str">
        <f>IF(ISNA(MATCH(505,Engine!$C$2:$C$1199,0)),"",INDEX('Compliance Database'!$N$2:$N$1199,MATCH(505,Engine!$C$2:$C$1199,0)))</f>
        <v/>
      </c>
      <c r="O518" s="7" t="str">
        <f>IF(ISNA(MATCH(505,Engine!$C$2:$C$1199,0)),"",INDEX('Compliance Database'!$O$2:$O$1199,MATCH(505,Engine!$C$2:$C$1199,0)))</f>
        <v/>
      </c>
      <c r="P518" s="6" t="str">
        <f>IF(ISNA(MATCH(505,Engine!$C$2:$C$1199,0)),"",HYPERLINK("#Acts!A"&amp;INDEX('Compliance Database'!$P$2:$P$1199,MATCH(505,Engine!$C$2:$C$1199,0)),"Go to Act"))</f>
        <v/>
      </c>
    </row>
    <row r="519" spans="1:16" ht="172.95" customHeight="1" x14ac:dyDescent="0.3">
      <c r="A519" s="6" t="str">
        <f>IF(ISNA(MATCH(506,Engine!$C$2:$C$1199,0)),"",INDEX('Compliance Database'!$A$2:$A$1199,MATCH(506,Engine!$C$2:$C$1199,0)))</f>
        <v/>
      </c>
      <c r="B519" s="6" t="str">
        <f>IF(ISNA(MATCH(506,Engine!$C$2:$C$1199,0)),"",INDEX('Compliance Database'!$B$2:$B$1199,MATCH(506,Engine!$C$2:$C$1199,0)))</f>
        <v/>
      </c>
      <c r="C519" s="6" t="str">
        <f>IF(ISNA(MATCH(506,Engine!$C$2:$C$1199,0)),"",INDEX('Compliance Database'!$C$2:$C$1199,MATCH(506,Engine!$C$2:$C$1199,0)))</f>
        <v/>
      </c>
      <c r="D519" s="7" t="str">
        <f>IF(ISNA(MATCH(506,Engine!$C$2:$C$1199,0)),"",INDEX('Compliance Database'!$D$2:$D$1199,MATCH(506,Engine!$C$2:$C$1199,0)))</f>
        <v/>
      </c>
      <c r="E519" s="6" t="str">
        <f>IF(ISNA(MATCH(506,Engine!$C$2:$C$1199,0)),"",INDEX('Compliance Database'!$E$2:$E$1199,MATCH(506,Engine!$C$2:$C$1199,0)))</f>
        <v/>
      </c>
      <c r="F519" s="6" t="str">
        <f>IF(ISNA(MATCH(506,Engine!$C$2:$C$1199,0)),"",INDEX('Compliance Database'!$F$2:$F$1199,MATCH(506,Engine!$C$2:$C$1199,0)))</f>
        <v/>
      </c>
      <c r="G519" s="6" t="str">
        <f>IF(ISNA(MATCH(506,Engine!$C$2:$C$1199,0)),"",INDEX('Compliance Database'!$G$2:$G$1199,MATCH(506,Engine!$C$2:$C$1199,0)))</f>
        <v/>
      </c>
      <c r="H519" s="7" t="str">
        <f>IF(ISNA(MATCH(506,Engine!$C$2:$C$1199,0)),"",INDEX('Compliance Database'!$H$2:$H$1199,MATCH(506,Engine!$C$2:$C$1199,0)))</f>
        <v/>
      </c>
      <c r="I519" s="7" t="str">
        <f>IF(ISNA(MATCH(506,Engine!$C$2:$C$1199,0)),"",INDEX('Compliance Database'!$I$2:$I$1199,MATCH(506,Engine!$C$2:$C$1199,0)))</f>
        <v/>
      </c>
      <c r="J519" s="6" t="str">
        <f>IF(ISNA(MATCH(506,Engine!$C$2:$C$1199,0)),"",INDEX('Compliance Database'!$J$2:$J$1199,MATCH(506,Engine!$C$2:$C$1199,0)))</f>
        <v/>
      </c>
      <c r="K519" s="7" t="str">
        <f>IF(ISNA(MATCH(506,Engine!$C$2:$C$1199,0)),"",INDEX('Compliance Database'!$K$2:$K$1199,MATCH(506,Engine!$C$2:$C$1199,0)))</f>
        <v/>
      </c>
      <c r="L519" s="7" t="str">
        <f>IF(ISNA(MATCH(506,Engine!$C$2:$C$1199,0)),"",INDEX('Compliance Database'!$L$2:$L$1199,MATCH(506,Engine!$C$2:$C$1199,0)))</f>
        <v/>
      </c>
      <c r="M519" s="7" t="str">
        <f>IF(ISNA(MATCH(506,Engine!$C$2:$C$1199,0)),"",INDEX('Compliance Database'!$M$2:$M$1199,MATCH(506,Engine!$C$2:$C$1199,0)))</f>
        <v/>
      </c>
      <c r="N519" s="7" t="str">
        <f>IF(ISNA(MATCH(506,Engine!$C$2:$C$1199,0)),"",INDEX('Compliance Database'!$N$2:$N$1199,MATCH(506,Engine!$C$2:$C$1199,0)))</f>
        <v/>
      </c>
      <c r="O519" s="7" t="str">
        <f>IF(ISNA(MATCH(506,Engine!$C$2:$C$1199,0)),"",INDEX('Compliance Database'!$O$2:$O$1199,MATCH(506,Engine!$C$2:$C$1199,0)))</f>
        <v/>
      </c>
      <c r="P519" s="6" t="str">
        <f>IF(ISNA(MATCH(506,Engine!$C$2:$C$1199,0)),"",HYPERLINK("#Acts!A"&amp;INDEX('Compliance Database'!$P$2:$P$1199,MATCH(506,Engine!$C$2:$C$1199,0)),"Go to Act"))</f>
        <v/>
      </c>
    </row>
    <row r="520" spans="1:16" ht="172.95" customHeight="1" x14ac:dyDescent="0.3">
      <c r="A520" s="6" t="str">
        <f>IF(ISNA(MATCH(507,Engine!$C$2:$C$1199,0)),"",INDEX('Compliance Database'!$A$2:$A$1199,MATCH(507,Engine!$C$2:$C$1199,0)))</f>
        <v/>
      </c>
      <c r="B520" s="6" t="str">
        <f>IF(ISNA(MATCH(507,Engine!$C$2:$C$1199,0)),"",INDEX('Compliance Database'!$B$2:$B$1199,MATCH(507,Engine!$C$2:$C$1199,0)))</f>
        <v/>
      </c>
      <c r="C520" s="6" t="str">
        <f>IF(ISNA(MATCH(507,Engine!$C$2:$C$1199,0)),"",INDEX('Compliance Database'!$C$2:$C$1199,MATCH(507,Engine!$C$2:$C$1199,0)))</f>
        <v/>
      </c>
      <c r="D520" s="7" t="str">
        <f>IF(ISNA(MATCH(507,Engine!$C$2:$C$1199,0)),"",INDEX('Compliance Database'!$D$2:$D$1199,MATCH(507,Engine!$C$2:$C$1199,0)))</f>
        <v/>
      </c>
      <c r="E520" s="6" t="str">
        <f>IF(ISNA(MATCH(507,Engine!$C$2:$C$1199,0)),"",INDEX('Compliance Database'!$E$2:$E$1199,MATCH(507,Engine!$C$2:$C$1199,0)))</f>
        <v/>
      </c>
      <c r="F520" s="6" t="str">
        <f>IF(ISNA(MATCH(507,Engine!$C$2:$C$1199,0)),"",INDEX('Compliance Database'!$F$2:$F$1199,MATCH(507,Engine!$C$2:$C$1199,0)))</f>
        <v/>
      </c>
      <c r="G520" s="6" t="str">
        <f>IF(ISNA(MATCH(507,Engine!$C$2:$C$1199,0)),"",INDEX('Compliance Database'!$G$2:$G$1199,MATCH(507,Engine!$C$2:$C$1199,0)))</f>
        <v/>
      </c>
      <c r="H520" s="7" t="str">
        <f>IF(ISNA(MATCH(507,Engine!$C$2:$C$1199,0)),"",INDEX('Compliance Database'!$H$2:$H$1199,MATCH(507,Engine!$C$2:$C$1199,0)))</f>
        <v/>
      </c>
      <c r="I520" s="7" t="str">
        <f>IF(ISNA(MATCH(507,Engine!$C$2:$C$1199,0)),"",INDEX('Compliance Database'!$I$2:$I$1199,MATCH(507,Engine!$C$2:$C$1199,0)))</f>
        <v/>
      </c>
      <c r="J520" s="6" t="str">
        <f>IF(ISNA(MATCH(507,Engine!$C$2:$C$1199,0)),"",INDEX('Compliance Database'!$J$2:$J$1199,MATCH(507,Engine!$C$2:$C$1199,0)))</f>
        <v/>
      </c>
      <c r="K520" s="7" t="str">
        <f>IF(ISNA(MATCH(507,Engine!$C$2:$C$1199,0)),"",INDEX('Compliance Database'!$K$2:$K$1199,MATCH(507,Engine!$C$2:$C$1199,0)))</f>
        <v/>
      </c>
      <c r="L520" s="7" t="str">
        <f>IF(ISNA(MATCH(507,Engine!$C$2:$C$1199,0)),"",INDEX('Compliance Database'!$L$2:$L$1199,MATCH(507,Engine!$C$2:$C$1199,0)))</f>
        <v/>
      </c>
      <c r="M520" s="7" t="str">
        <f>IF(ISNA(MATCH(507,Engine!$C$2:$C$1199,0)),"",INDEX('Compliance Database'!$M$2:$M$1199,MATCH(507,Engine!$C$2:$C$1199,0)))</f>
        <v/>
      </c>
      <c r="N520" s="7" t="str">
        <f>IF(ISNA(MATCH(507,Engine!$C$2:$C$1199,0)),"",INDEX('Compliance Database'!$N$2:$N$1199,MATCH(507,Engine!$C$2:$C$1199,0)))</f>
        <v/>
      </c>
      <c r="O520" s="7" t="str">
        <f>IF(ISNA(MATCH(507,Engine!$C$2:$C$1199,0)),"",INDEX('Compliance Database'!$O$2:$O$1199,MATCH(507,Engine!$C$2:$C$1199,0)))</f>
        <v/>
      </c>
      <c r="P520" s="6" t="str">
        <f>IF(ISNA(MATCH(507,Engine!$C$2:$C$1199,0)),"",HYPERLINK("#Acts!A"&amp;INDEX('Compliance Database'!$P$2:$P$1199,MATCH(507,Engine!$C$2:$C$1199,0)),"Go to Act"))</f>
        <v/>
      </c>
    </row>
    <row r="521" spans="1:16" ht="172.95" customHeight="1" x14ac:dyDescent="0.3">
      <c r="A521" s="6" t="str">
        <f>IF(ISNA(MATCH(508,Engine!$C$2:$C$1199,0)),"",INDEX('Compliance Database'!$A$2:$A$1199,MATCH(508,Engine!$C$2:$C$1199,0)))</f>
        <v/>
      </c>
      <c r="B521" s="6" t="str">
        <f>IF(ISNA(MATCH(508,Engine!$C$2:$C$1199,0)),"",INDEX('Compliance Database'!$B$2:$B$1199,MATCH(508,Engine!$C$2:$C$1199,0)))</f>
        <v/>
      </c>
      <c r="C521" s="6" t="str">
        <f>IF(ISNA(MATCH(508,Engine!$C$2:$C$1199,0)),"",INDEX('Compliance Database'!$C$2:$C$1199,MATCH(508,Engine!$C$2:$C$1199,0)))</f>
        <v/>
      </c>
      <c r="D521" s="7" t="str">
        <f>IF(ISNA(MATCH(508,Engine!$C$2:$C$1199,0)),"",INDEX('Compliance Database'!$D$2:$D$1199,MATCH(508,Engine!$C$2:$C$1199,0)))</f>
        <v/>
      </c>
      <c r="E521" s="6" t="str">
        <f>IF(ISNA(MATCH(508,Engine!$C$2:$C$1199,0)),"",INDEX('Compliance Database'!$E$2:$E$1199,MATCH(508,Engine!$C$2:$C$1199,0)))</f>
        <v/>
      </c>
      <c r="F521" s="6" t="str">
        <f>IF(ISNA(MATCH(508,Engine!$C$2:$C$1199,0)),"",INDEX('Compliance Database'!$F$2:$F$1199,MATCH(508,Engine!$C$2:$C$1199,0)))</f>
        <v/>
      </c>
      <c r="G521" s="6" t="str">
        <f>IF(ISNA(MATCH(508,Engine!$C$2:$C$1199,0)),"",INDEX('Compliance Database'!$G$2:$G$1199,MATCH(508,Engine!$C$2:$C$1199,0)))</f>
        <v/>
      </c>
      <c r="H521" s="7" t="str">
        <f>IF(ISNA(MATCH(508,Engine!$C$2:$C$1199,0)),"",INDEX('Compliance Database'!$H$2:$H$1199,MATCH(508,Engine!$C$2:$C$1199,0)))</f>
        <v/>
      </c>
      <c r="I521" s="7" t="str">
        <f>IF(ISNA(MATCH(508,Engine!$C$2:$C$1199,0)),"",INDEX('Compliance Database'!$I$2:$I$1199,MATCH(508,Engine!$C$2:$C$1199,0)))</f>
        <v/>
      </c>
      <c r="J521" s="6" t="str">
        <f>IF(ISNA(MATCH(508,Engine!$C$2:$C$1199,0)),"",INDEX('Compliance Database'!$J$2:$J$1199,MATCH(508,Engine!$C$2:$C$1199,0)))</f>
        <v/>
      </c>
      <c r="K521" s="7" t="str">
        <f>IF(ISNA(MATCH(508,Engine!$C$2:$C$1199,0)),"",INDEX('Compliance Database'!$K$2:$K$1199,MATCH(508,Engine!$C$2:$C$1199,0)))</f>
        <v/>
      </c>
      <c r="L521" s="7" t="str">
        <f>IF(ISNA(MATCH(508,Engine!$C$2:$C$1199,0)),"",INDEX('Compliance Database'!$L$2:$L$1199,MATCH(508,Engine!$C$2:$C$1199,0)))</f>
        <v/>
      </c>
      <c r="M521" s="7" t="str">
        <f>IF(ISNA(MATCH(508,Engine!$C$2:$C$1199,0)),"",INDEX('Compliance Database'!$M$2:$M$1199,MATCH(508,Engine!$C$2:$C$1199,0)))</f>
        <v/>
      </c>
      <c r="N521" s="7" t="str">
        <f>IF(ISNA(MATCH(508,Engine!$C$2:$C$1199,0)),"",INDEX('Compliance Database'!$N$2:$N$1199,MATCH(508,Engine!$C$2:$C$1199,0)))</f>
        <v/>
      </c>
      <c r="O521" s="7" t="str">
        <f>IF(ISNA(MATCH(508,Engine!$C$2:$C$1199,0)),"",INDEX('Compliance Database'!$O$2:$O$1199,MATCH(508,Engine!$C$2:$C$1199,0)))</f>
        <v/>
      </c>
      <c r="P521" s="6" t="str">
        <f>IF(ISNA(MATCH(508,Engine!$C$2:$C$1199,0)),"",HYPERLINK("#Acts!A"&amp;INDEX('Compliance Database'!$P$2:$P$1199,MATCH(508,Engine!$C$2:$C$1199,0)),"Go to Act"))</f>
        <v/>
      </c>
    </row>
    <row r="522" spans="1:16" ht="172.95" customHeight="1" x14ac:dyDescent="0.3">
      <c r="A522" s="6" t="str">
        <f>IF(ISNA(MATCH(509,Engine!$C$2:$C$1199,0)),"",INDEX('Compliance Database'!$A$2:$A$1199,MATCH(509,Engine!$C$2:$C$1199,0)))</f>
        <v/>
      </c>
      <c r="B522" s="6" t="str">
        <f>IF(ISNA(MATCH(509,Engine!$C$2:$C$1199,0)),"",INDEX('Compliance Database'!$B$2:$B$1199,MATCH(509,Engine!$C$2:$C$1199,0)))</f>
        <v/>
      </c>
      <c r="C522" s="6" t="str">
        <f>IF(ISNA(MATCH(509,Engine!$C$2:$C$1199,0)),"",INDEX('Compliance Database'!$C$2:$C$1199,MATCH(509,Engine!$C$2:$C$1199,0)))</f>
        <v/>
      </c>
      <c r="D522" s="7" t="str">
        <f>IF(ISNA(MATCH(509,Engine!$C$2:$C$1199,0)),"",INDEX('Compliance Database'!$D$2:$D$1199,MATCH(509,Engine!$C$2:$C$1199,0)))</f>
        <v/>
      </c>
      <c r="E522" s="6" t="str">
        <f>IF(ISNA(MATCH(509,Engine!$C$2:$C$1199,0)),"",INDEX('Compliance Database'!$E$2:$E$1199,MATCH(509,Engine!$C$2:$C$1199,0)))</f>
        <v/>
      </c>
      <c r="F522" s="6" t="str">
        <f>IF(ISNA(MATCH(509,Engine!$C$2:$C$1199,0)),"",INDEX('Compliance Database'!$F$2:$F$1199,MATCH(509,Engine!$C$2:$C$1199,0)))</f>
        <v/>
      </c>
      <c r="G522" s="6" t="str">
        <f>IF(ISNA(MATCH(509,Engine!$C$2:$C$1199,0)),"",INDEX('Compliance Database'!$G$2:$G$1199,MATCH(509,Engine!$C$2:$C$1199,0)))</f>
        <v/>
      </c>
      <c r="H522" s="7" t="str">
        <f>IF(ISNA(MATCH(509,Engine!$C$2:$C$1199,0)),"",INDEX('Compliance Database'!$H$2:$H$1199,MATCH(509,Engine!$C$2:$C$1199,0)))</f>
        <v/>
      </c>
      <c r="I522" s="7" t="str">
        <f>IF(ISNA(MATCH(509,Engine!$C$2:$C$1199,0)),"",INDEX('Compliance Database'!$I$2:$I$1199,MATCH(509,Engine!$C$2:$C$1199,0)))</f>
        <v/>
      </c>
      <c r="J522" s="6" t="str">
        <f>IF(ISNA(MATCH(509,Engine!$C$2:$C$1199,0)),"",INDEX('Compliance Database'!$J$2:$J$1199,MATCH(509,Engine!$C$2:$C$1199,0)))</f>
        <v/>
      </c>
      <c r="K522" s="7" t="str">
        <f>IF(ISNA(MATCH(509,Engine!$C$2:$C$1199,0)),"",INDEX('Compliance Database'!$K$2:$K$1199,MATCH(509,Engine!$C$2:$C$1199,0)))</f>
        <v/>
      </c>
      <c r="L522" s="7" t="str">
        <f>IF(ISNA(MATCH(509,Engine!$C$2:$C$1199,0)),"",INDEX('Compliance Database'!$L$2:$L$1199,MATCH(509,Engine!$C$2:$C$1199,0)))</f>
        <v/>
      </c>
      <c r="M522" s="7" t="str">
        <f>IF(ISNA(MATCH(509,Engine!$C$2:$C$1199,0)),"",INDEX('Compliance Database'!$M$2:$M$1199,MATCH(509,Engine!$C$2:$C$1199,0)))</f>
        <v/>
      </c>
      <c r="N522" s="7" t="str">
        <f>IF(ISNA(MATCH(509,Engine!$C$2:$C$1199,0)),"",INDEX('Compliance Database'!$N$2:$N$1199,MATCH(509,Engine!$C$2:$C$1199,0)))</f>
        <v/>
      </c>
      <c r="O522" s="7" t="str">
        <f>IF(ISNA(MATCH(509,Engine!$C$2:$C$1199,0)),"",INDEX('Compliance Database'!$O$2:$O$1199,MATCH(509,Engine!$C$2:$C$1199,0)))</f>
        <v/>
      </c>
      <c r="P522" s="6" t="str">
        <f>IF(ISNA(MATCH(509,Engine!$C$2:$C$1199,0)),"",HYPERLINK("#Acts!A"&amp;INDEX('Compliance Database'!$P$2:$P$1199,MATCH(509,Engine!$C$2:$C$1199,0)),"Go to Act"))</f>
        <v/>
      </c>
    </row>
    <row r="523" spans="1:16" ht="172.95" customHeight="1" x14ac:dyDescent="0.3">
      <c r="A523" s="6" t="str">
        <f>IF(ISNA(MATCH(510,Engine!$C$2:$C$1199,0)),"",INDEX('Compliance Database'!$A$2:$A$1199,MATCH(510,Engine!$C$2:$C$1199,0)))</f>
        <v/>
      </c>
      <c r="B523" s="6" t="str">
        <f>IF(ISNA(MATCH(510,Engine!$C$2:$C$1199,0)),"",INDEX('Compliance Database'!$B$2:$B$1199,MATCH(510,Engine!$C$2:$C$1199,0)))</f>
        <v/>
      </c>
      <c r="C523" s="6" t="str">
        <f>IF(ISNA(MATCH(510,Engine!$C$2:$C$1199,0)),"",INDEX('Compliance Database'!$C$2:$C$1199,MATCH(510,Engine!$C$2:$C$1199,0)))</f>
        <v/>
      </c>
      <c r="D523" s="7" t="str">
        <f>IF(ISNA(MATCH(510,Engine!$C$2:$C$1199,0)),"",INDEX('Compliance Database'!$D$2:$D$1199,MATCH(510,Engine!$C$2:$C$1199,0)))</f>
        <v/>
      </c>
      <c r="E523" s="6" t="str">
        <f>IF(ISNA(MATCH(510,Engine!$C$2:$C$1199,0)),"",INDEX('Compliance Database'!$E$2:$E$1199,MATCH(510,Engine!$C$2:$C$1199,0)))</f>
        <v/>
      </c>
      <c r="F523" s="6" t="str">
        <f>IF(ISNA(MATCH(510,Engine!$C$2:$C$1199,0)),"",INDEX('Compliance Database'!$F$2:$F$1199,MATCH(510,Engine!$C$2:$C$1199,0)))</f>
        <v/>
      </c>
      <c r="G523" s="6" t="str">
        <f>IF(ISNA(MATCH(510,Engine!$C$2:$C$1199,0)),"",INDEX('Compliance Database'!$G$2:$G$1199,MATCH(510,Engine!$C$2:$C$1199,0)))</f>
        <v/>
      </c>
      <c r="H523" s="7" t="str">
        <f>IF(ISNA(MATCH(510,Engine!$C$2:$C$1199,0)),"",INDEX('Compliance Database'!$H$2:$H$1199,MATCH(510,Engine!$C$2:$C$1199,0)))</f>
        <v/>
      </c>
      <c r="I523" s="7" t="str">
        <f>IF(ISNA(MATCH(510,Engine!$C$2:$C$1199,0)),"",INDEX('Compliance Database'!$I$2:$I$1199,MATCH(510,Engine!$C$2:$C$1199,0)))</f>
        <v/>
      </c>
      <c r="J523" s="6" t="str">
        <f>IF(ISNA(MATCH(510,Engine!$C$2:$C$1199,0)),"",INDEX('Compliance Database'!$J$2:$J$1199,MATCH(510,Engine!$C$2:$C$1199,0)))</f>
        <v/>
      </c>
      <c r="K523" s="7" t="str">
        <f>IF(ISNA(MATCH(510,Engine!$C$2:$C$1199,0)),"",INDEX('Compliance Database'!$K$2:$K$1199,MATCH(510,Engine!$C$2:$C$1199,0)))</f>
        <v/>
      </c>
      <c r="L523" s="7" t="str">
        <f>IF(ISNA(MATCH(510,Engine!$C$2:$C$1199,0)),"",INDEX('Compliance Database'!$L$2:$L$1199,MATCH(510,Engine!$C$2:$C$1199,0)))</f>
        <v/>
      </c>
      <c r="M523" s="7" t="str">
        <f>IF(ISNA(MATCH(510,Engine!$C$2:$C$1199,0)),"",INDEX('Compliance Database'!$M$2:$M$1199,MATCH(510,Engine!$C$2:$C$1199,0)))</f>
        <v/>
      </c>
      <c r="N523" s="7" t="str">
        <f>IF(ISNA(MATCH(510,Engine!$C$2:$C$1199,0)),"",INDEX('Compliance Database'!$N$2:$N$1199,MATCH(510,Engine!$C$2:$C$1199,0)))</f>
        <v/>
      </c>
      <c r="O523" s="7" t="str">
        <f>IF(ISNA(MATCH(510,Engine!$C$2:$C$1199,0)),"",INDEX('Compliance Database'!$O$2:$O$1199,MATCH(510,Engine!$C$2:$C$1199,0)))</f>
        <v/>
      </c>
      <c r="P523" s="6" t="str">
        <f>IF(ISNA(MATCH(510,Engine!$C$2:$C$1199,0)),"",HYPERLINK("#Acts!A"&amp;INDEX('Compliance Database'!$P$2:$P$1199,MATCH(510,Engine!$C$2:$C$1199,0)),"Go to Act"))</f>
        <v/>
      </c>
    </row>
    <row r="524" spans="1:16" ht="172.95" customHeight="1" x14ac:dyDescent="0.3">
      <c r="A524" s="6" t="str">
        <f>IF(ISNA(MATCH(511,Engine!$C$2:$C$1199,0)),"",INDEX('Compliance Database'!$A$2:$A$1199,MATCH(511,Engine!$C$2:$C$1199,0)))</f>
        <v/>
      </c>
      <c r="B524" s="6" t="str">
        <f>IF(ISNA(MATCH(511,Engine!$C$2:$C$1199,0)),"",INDEX('Compliance Database'!$B$2:$B$1199,MATCH(511,Engine!$C$2:$C$1199,0)))</f>
        <v/>
      </c>
      <c r="C524" s="6" t="str">
        <f>IF(ISNA(MATCH(511,Engine!$C$2:$C$1199,0)),"",INDEX('Compliance Database'!$C$2:$C$1199,MATCH(511,Engine!$C$2:$C$1199,0)))</f>
        <v/>
      </c>
      <c r="D524" s="7" t="str">
        <f>IF(ISNA(MATCH(511,Engine!$C$2:$C$1199,0)),"",INDEX('Compliance Database'!$D$2:$D$1199,MATCH(511,Engine!$C$2:$C$1199,0)))</f>
        <v/>
      </c>
      <c r="E524" s="6" t="str">
        <f>IF(ISNA(MATCH(511,Engine!$C$2:$C$1199,0)),"",INDEX('Compliance Database'!$E$2:$E$1199,MATCH(511,Engine!$C$2:$C$1199,0)))</f>
        <v/>
      </c>
      <c r="F524" s="6" t="str">
        <f>IF(ISNA(MATCH(511,Engine!$C$2:$C$1199,0)),"",INDEX('Compliance Database'!$F$2:$F$1199,MATCH(511,Engine!$C$2:$C$1199,0)))</f>
        <v/>
      </c>
      <c r="G524" s="6" t="str">
        <f>IF(ISNA(MATCH(511,Engine!$C$2:$C$1199,0)),"",INDEX('Compliance Database'!$G$2:$G$1199,MATCH(511,Engine!$C$2:$C$1199,0)))</f>
        <v/>
      </c>
      <c r="H524" s="7" t="str">
        <f>IF(ISNA(MATCH(511,Engine!$C$2:$C$1199,0)),"",INDEX('Compliance Database'!$H$2:$H$1199,MATCH(511,Engine!$C$2:$C$1199,0)))</f>
        <v/>
      </c>
      <c r="I524" s="7" t="str">
        <f>IF(ISNA(MATCH(511,Engine!$C$2:$C$1199,0)),"",INDEX('Compliance Database'!$I$2:$I$1199,MATCH(511,Engine!$C$2:$C$1199,0)))</f>
        <v/>
      </c>
      <c r="J524" s="6" t="str">
        <f>IF(ISNA(MATCH(511,Engine!$C$2:$C$1199,0)),"",INDEX('Compliance Database'!$J$2:$J$1199,MATCH(511,Engine!$C$2:$C$1199,0)))</f>
        <v/>
      </c>
      <c r="K524" s="7" t="str">
        <f>IF(ISNA(MATCH(511,Engine!$C$2:$C$1199,0)),"",INDEX('Compliance Database'!$K$2:$K$1199,MATCH(511,Engine!$C$2:$C$1199,0)))</f>
        <v/>
      </c>
      <c r="L524" s="7" t="str">
        <f>IF(ISNA(MATCH(511,Engine!$C$2:$C$1199,0)),"",INDEX('Compliance Database'!$L$2:$L$1199,MATCH(511,Engine!$C$2:$C$1199,0)))</f>
        <v/>
      </c>
      <c r="M524" s="7" t="str">
        <f>IF(ISNA(MATCH(511,Engine!$C$2:$C$1199,0)),"",INDEX('Compliance Database'!$M$2:$M$1199,MATCH(511,Engine!$C$2:$C$1199,0)))</f>
        <v/>
      </c>
      <c r="N524" s="7" t="str">
        <f>IF(ISNA(MATCH(511,Engine!$C$2:$C$1199,0)),"",INDEX('Compliance Database'!$N$2:$N$1199,MATCH(511,Engine!$C$2:$C$1199,0)))</f>
        <v/>
      </c>
      <c r="O524" s="7" t="str">
        <f>IF(ISNA(MATCH(511,Engine!$C$2:$C$1199,0)),"",INDEX('Compliance Database'!$O$2:$O$1199,MATCH(511,Engine!$C$2:$C$1199,0)))</f>
        <v/>
      </c>
      <c r="P524" s="6" t="str">
        <f>IF(ISNA(MATCH(511,Engine!$C$2:$C$1199,0)),"",HYPERLINK("#Acts!A"&amp;INDEX('Compliance Database'!$P$2:$P$1199,MATCH(511,Engine!$C$2:$C$1199,0)),"Go to Act"))</f>
        <v/>
      </c>
    </row>
    <row r="525" spans="1:16" ht="172.95" customHeight="1" x14ac:dyDescent="0.3">
      <c r="A525" s="6" t="str">
        <f>IF(ISNA(MATCH(512,Engine!$C$2:$C$1199,0)),"",INDEX('Compliance Database'!$A$2:$A$1199,MATCH(512,Engine!$C$2:$C$1199,0)))</f>
        <v/>
      </c>
      <c r="B525" s="6" t="str">
        <f>IF(ISNA(MATCH(512,Engine!$C$2:$C$1199,0)),"",INDEX('Compliance Database'!$B$2:$B$1199,MATCH(512,Engine!$C$2:$C$1199,0)))</f>
        <v/>
      </c>
      <c r="C525" s="6" t="str">
        <f>IF(ISNA(MATCH(512,Engine!$C$2:$C$1199,0)),"",INDEX('Compliance Database'!$C$2:$C$1199,MATCH(512,Engine!$C$2:$C$1199,0)))</f>
        <v/>
      </c>
      <c r="D525" s="7" t="str">
        <f>IF(ISNA(MATCH(512,Engine!$C$2:$C$1199,0)),"",INDEX('Compliance Database'!$D$2:$D$1199,MATCH(512,Engine!$C$2:$C$1199,0)))</f>
        <v/>
      </c>
      <c r="E525" s="6" t="str">
        <f>IF(ISNA(MATCH(512,Engine!$C$2:$C$1199,0)),"",INDEX('Compliance Database'!$E$2:$E$1199,MATCH(512,Engine!$C$2:$C$1199,0)))</f>
        <v/>
      </c>
      <c r="F525" s="6" t="str">
        <f>IF(ISNA(MATCH(512,Engine!$C$2:$C$1199,0)),"",INDEX('Compliance Database'!$F$2:$F$1199,MATCH(512,Engine!$C$2:$C$1199,0)))</f>
        <v/>
      </c>
      <c r="G525" s="6" t="str">
        <f>IF(ISNA(MATCH(512,Engine!$C$2:$C$1199,0)),"",INDEX('Compliance Database'!$G$2:$G$1199,MATCH(512,Engine!$C$2:$C$1199,0)))</f>
        <v/>
      </c>
      <c r="H525" s="7" t="str">
        <f>IF(ISNA(MATCH(512,Engine!$C$2:$C$1199,0)),"",INDEX('Compliance Database'!$H$2:$H$1199,MATCH(512,Engine!$C$2:$C$1199,0)))</f>
        <v/>
      </c>
      <c r="I525" s="7" t="str">
        <f>IF(ISNA(MATCH(512,Engine!$C$2:$C$1199,0)),"",INDEX('Compliance Database'!$I$2:$I$1199,MATCH(512,Engine!$C$2:$C$1199,0)))</f>
        <v/>
      </c>
      <c r="J525" s="6" t="str">
        <f>IF(ISNA(MATCH(512,Engine!$C$2:$C$1199,0)),"",INDEX('Compliance Database'!$J$2:$J$1199,MATCH(512,Engine!$C$2:$C$1199,0)))</f>
        <v/>
      </c>
      <c r="K525" s="7" t="str">
        <f>IF(ISNA(MATCH(512,Engine!$C$2:$C$1199,0)),"",INDEX('Compliance Database'!$K$2:$K$1199,MATCH(512,Engine!$C$2:$C$1199,0)))</f>
        <v/>
      </c>
      <c r="L525" s="7" t="str">
        <f>IF(ISNA(MATCH(512,Engine!$C$2:$C$1199,0)),"",INDEX('Compliance Database'!$L$2:$L$1199,MATCH(512,Engine!$C$2:$C$1199,0)))</f>
        <v/>
      </c>
      <c r="M525" s="7" t="str">
        <f>IF(ISNA(MATCH(512,Engine!$C$2:$C$1199,0)),"",INDEX('Compliance Database'!$M$2:$M$1199,MATCH(512,Engine!$C$2:$C$1199,0)))</f>
        <v/>
      </c>
      <c r="N525" s="7" t="str">
        <f>IF(ISNA(MATCH(512,Engine!$C$2:$C$1199,0)),"",INDEX('Compliance Database'!$N$2:$N$1199,MATCH(512,Engine!$C$2:$C$1199,0)))</f>
        <v/>
      </c>
      <c r="O525" s="7" t="str">
        <f>IF(ISNA(MATCH(512,Engine!$C$2:$C$1199,0)),"",INDEX('Compliance Database'!$O$2:$O$1199,MATCH(512,Engine!$C$2:$C$1199,0)))</f>
        <v/>
      </c>
      <c r="P525" s="6" t="str">
        <f>IF(ISNA(MATCH(512,Engine!$C$2:$C$1199,0)),"",HYPERLINK("#Acts!A"&amp;INDEX('Compliance Database'!$P$2:$P$1199,MATCH(512,Engine!$C$2:$C$1199,0)),"Go to Act"))</f>
        <v/>
      </c>
    </row>
    <row r="526" spans="1:16" ht="172.95" customHeight="1" x14ac:dyDescent="0.3">
      <c r="A526" s="6" t="str">
        <f>IF(ISNA(MATCH(513,Engine!$C$2:$C$1199,0)),"",INDEX('Compliance Database'!$A$2:$A$1199,MATCH(513,Engine!$C$2:$C$1199,0)))</f>
        <v/>
      </c>
      <c r="B526" s="6" t="str">
        <f>IF(ISNA(MATCH(513,Engine!$C$2:$C$1199,0)),"",INDEX('Compliance Database'!$B$2:$B$1199,MATCH(513,Engine!$C$2:$C$1199,0)))</f>
        <v/>
      </c>
      <c r="C526" s="6" t="str">
        <f>IF(ISNA(MATCH(513,Engine!$C$2:$C$1199,0)),"",INDEX('Compliance Database'!$C$2:$C$1199,MATCH(513,Engine!$C$2:$C$1199,0)))</f>
        <v/>
      </c>
      <c r="D526" s="7" t="str">
        <f>IF(ISNA(MATCH(513,Engine!$C$2:$C$1199,0)),"",INDEX('Compliance Database'!$D$2:$D$1199,MATCH(513,Engine!$C$2:$C$1199,0)))</f>
        <v/>
      </c>
      <c r="E526" s="6" t="str">
        <f>IF(ISNA(MATCH(513,Engine!$C$2:$C$1199,0)),"",INDEX('Compliance Database'!$E$2:$E$1199,MATCH(513,Engine!$C$2:$C$1199,0)))</f>
        <v/>
      </c>
      <c r="F526" s="6" t="str">
        <f>IF(ISNA(MATCH(513,Engine!$C$2:$C$1199,0)),"",INDEX('Compliance Database'!$F$2:$F$1199,MATCH(513,Engine!$C$2:$C$1199,0)))</f>
        <v/>
      </c>
      <c r="G526" s="6" t="str">
        <f>IF(ISNA(MATCH(513,Engine!$C$2:$C$1199,0)),"",INDEX('Compliance Database'!$G$2:$G$1199,MATCH(513,Engine!$C$2:$C$1199,0)))</f>
        <v/>
      </c>
      <c r="H526" s="7" t="str">
        <f>IF(ISNA(MATCH(513,Engine!$C$2:$C$1199,0)),"",INDEX('Compliance Database'!$H$2:$H$1199,MATCH(513,Engine!$C$2:$C$1199,0)))</f>
        <v/>
      </c>
      <c r="I526" s="7" t="str">
        <f>IF(ISNA(MATCH(513,Engine!$C$2:$C$1199,0)),"",INDEX('Compliance Database'!$I$2:$I$1199,MATCH(513,Engine!$C$2:$C$1199,0)))</f>
        <v/>
      </c>
      <c r="J526" s="6" t="str">
        <f>IF(ISNA(MATCH(513,Engine!$C$2:$C$1199,0)),"",INDEX('Compliance Database'!$J$2:$J$1199,MATCH(513,Engine!$C$2:$C$1199,0)))</f>
        <v/>
      </c>
      <c r="K526" s="7" t="str">
        <f>IF(ISNA(MATCH(513,Engine!$C$2:$C$1199,0)),"",INDEX('Compliance Database'!$K$2:$K$1199,MATCH(513,Engine!$C$2:$C$1199,0)))</f>
        <v/>
      </c>
      <c r="L526" s="7" t="str">
        <f>IF(ISNA(MATCH(513,Engine!$C$2:$C$1199,0)),"",INDEX('Compliance Database'!$L$2:$L$1199,MATCH(513,Engine!$C$2:$C$1199,0)))</f>
        <v/>
      </c>
      <c r="M526" s="7" t="str">
        <f>IF(ISNA(MATCH(513,Engine!$C$2:$C$1199,0)),"",INDEX('Compliance Database'!$M$2:$M$1199,MATCH(513,Engine!$C$2:$C$1199,0)))</f>
        <v/>
      </c>
      <c r="N526" s="7" t="str">
        <f>IF(ISNA(MATCH(513,Engine!$C$2:$C$1199,0)),"",INDEX('Compliance Database'!$N$2:$N$1199,MATCH(513,Engine!$C$2:$C$1199,0)))</f>
        <v/>
      </c>
      <c r="O526" s="7" t="str">
        <f>IF(ISNA(MATCH(513,Engine!$C$2:$C$1199,0)),"",INDEX('Compliance Database'!$O$2:$O$1199,MATCH(513,Engine!$C$2:$C$1199,0)))</f>
        <v/>
      </c>
      <c r="P526" s="6" t="str">
        <f>IF(ISNA(MATCH(513,Engine!$C$2:$C$1199,0)),"",HYPERLINK("#Acts!A"&amp;INDEX('Compliance Database'!$P$2:$P$1199,MATCH(513,Engine!$C$2:$C$1199,0)),"Go to Act"))</f>
        <v/>
      </c>
    </row>
    <row r="527" spans="1:16" ht="172.95" customHeight="1" x14ac:dyDescent="0.3">
      <c r="A527" s="6" t="str">
        <f>IF(ISNA(MATCH(514,Engine!$C$2:$C$1199,0)),"",INDEX('Compliance Database'!$A$2:$A$1199,MATCH(514,Engine!$C$2:$C$1199,0)))</f>
        <v/>
      </c>
      <c r="B527" s="6" t="str">
        <f>IF(ISNA(MATCH(514,Engine!$C$2:$C$1199,0)),"",INDEX('Compliance Database'!$B$2:$B$1199,MATCH(514,Engine!$C$2:$C$1199,0)))</f>
        <v/>
      </c>
      <c r="C527" s="6" t="str">
        <f>IF(ISNA(MATCH(514,Engine!$C$2:$C$1199,0)),"",INDEX('Compliance Database'!$C$2:$C$1199,MATCH(514,Engine!$C$2:$C$1199,0)))</f>
        <v/>
      </c>
      <c r="D527" s="7" t="str">
        <f>IF(ISNA(MATCH(514,Engine!$C$2:$C$1199,0)),"",INDEX('Compliance Database'!$D$2:$D$1199,MATCH(514,Engine!$C$2:$C$1199,0)))</f>
        <v/>
      </c>
      <c r="E527" s="6" t="str">
        <f>IF(ISNA(MATCH(514,Engine!$C$2:$C$1199,0)),"",INDEX('Compliance Database'!$E$2:$E$1199,MATCH(514,Engine!$C$2:$C$1199,0)))</f>
        <v/>
      </c>
      <c r="F527" s="6" t="str">
        <f>IF(ISNA(MATCH(514,Engine!$C$2:$C$1199,0)),"",INDEX('Compliance Database'!$F$2:$F$1199,MATCH(514,Engine!$C$2:$C$1199,0)))</f>
        <v/>
      </c>
      <c r="G527" s="6" t="str">
        <f>IF(ISNA(MATCH(514,Engine!$C$2:$C$1199,0)),"",INDEX('Compliance Database'!$G$2:$G$1199,MATCH(514,Engine!$C$2:$C$1199,0)))</f>
        <v/>
      </c>
      <c r="H527" s="7" t="str">
        <f>IF(ISNA(MATCH(514,Engine!$C$2:$C$1199,0)),"",INDEX('Compliance Database'!$H$2:$H$1199,MATCH(514,Engine!$C$2:$C$1199,0)))</f>
        <v/>
      </c>
      <c r="I527" s="7" t="str">
        <f>IF(ISNA(MATCH(514,Engine!$C$2:$C$1199,0)),"",INDEX('Compliance Database'!$I$2:$I$1199,MATCH(514,Engine!$C$2:$C$1199,0)))</f>
        <v/>
      </c>
      <c r="J527" s="6" t="str">
        <f>IF(ISNA(MATCH(514,Engine!$C$2:$C$1199,0)),"",INDEX('Compliance Database'!$J$2:$J$1199,MATCH(514,Engine!$C$2:$C$1199,0)))</f>
        <v/>
      </c>
      <c r="K527" s="7" t="str">
        <f>IF(ISNA(MATCH(514,Engine!$C$2:$C$1199,0)),"",INDEX('Compliance Database'!$K$2:$K$1199,MATCH(514,Engine!$C$2:$C$1199,0)))</f>
        <v/>
      </c>
      <c r="L527" s="7" t="str">
        <f>IF(ISNA(MATCH(514,Engine!$C$2:$C$1199,0)),"",INDEX('Compliance Database'!$L$2:$L$1199,MATCH(514,Engine!$C$2:$C$1199,0)))</f>
        <v/>
      </c>
      <c r="M527" s="7" t="str">
        <f>IF(ISNA(MATCH(514,Engine!$C$2:$C$1199,0)),"",INDEX('Compliance Database'!$M$2:$M$1199,MATCH(514,Engine!$C$2:$C$1199,0)))</f>
        <v/>
      </c>
      <c r="N527" s="7" t="str">
        <f>IF(ISNA(MATCH(514,Engine!$C$2:$C$1199,0)),"",INDEX('Compliance Database'!$N$2:$N$1199,MATCH(514,Engine!$C$2:$C$1199,0)))</f>
        <v/>
      </c>
      <c r="O527" s="7" t="str">
        <f>IF(ISNA(MATCH(514,Engine!$C$2:$C$1199,0)),"",INDEX('Compliance Database'!$O$2:$O$1199,MATCH(514,Engine!$C$2:$C$1199,0)))</f>
        <v/>
      </c>
      <c r="P527" s="6" t="str">
        <f>IF(ISNA(MATCH(514,Engine!$C$2:$C$1199,0)),"",HYPERLINK("#Acts!A"&amp;INDEX('Compliance Database'!$P$2:$P$1199,MATCH(514,Engine!$C$2:$C$1199,0)),"Go to Act"))</f>
        <v/>
      </c>
    </row>
    <row r="528" spans="1:16" ht="172.95" customHeight="1" x14ac:dyDescent="0.3">
      <c r="A528" s="6" t="str">
        <f>IF(ISNA(MATCH(515,Engine!$C$2:$C$1199,0)),"",INDEX('Compliance Database'!$A$2:$A$1199,MATCH(515,Engine!$C$2:$C$1199,0)))</f>
        <v/>
      </c>
      <c r="B528" s="6" t="str">
        <f>IF(ISNA(MATCH(515,Engine!$C$2:$C$1199,0)),"",INDEX('Compliance Database'!$B$2:$B$1199,MATCH(515,Engine!$C$2:$C$1199,0)))</f>
        <v/>
      </c>
      <c r="C528" s="6" t="str">
        <f>IF(ISNA(MATCH(515,Engine!$C$2:$C$1199,0)),"",INDEX('Compliance Database'!$C$2:$C$1199,MATCH(515,Engine!$C$2:$C$1199,0)))</f>
        <v/>
      </c>
      <c r="D528" s="7" t="str">
        <f>IF(ISNA(MATCH(515,Engine!$C$2:$C$1199,0)),"",INDEX('Compliance Database'!$D$2:$D$1199,MATCH(515,Engine!$C$2:$C$1199,0)))</f>
        <v/>
      </c>
      <c r="E528" s="6" t="str">
        <f>IF(ISNA(MATCH(515,Engine!$C$2:$C$1199,0)),"",INDEX('Compliance Database'!$E$2:$E$1199,MATCH(515,Engine!$C$2:$C$1199,0)))</f>
        <v/>
      </c>
      <c r="F528" s="6" t="str">
        <f>IF(ISNA(MATCH(515,Engine!$C$2:$C$1199,0)),"",INDEX('Compliance Database'!$F$2:$F$1199,MATCH(515,Engine!$C$2:$C$1199,0)))</f>
        <v/>
      </c>
      <c r="G528" s="6" t="str">
        <f>IF(ISNA(MATCH(515,Engine!$C$2:$C$1199,0)),"",INDEX('Compliance Database'!$G$2:$G$1199,MATCH(515,Engine!$C$2:$C$1199,0)))</f>
        <v/>
      </c>
      <c r="H528" s="7" t="str">
        <f>IF(ISNA(MATCH(515,Engine!$C$2:$C$1199,0)),"",INDEX('Compliance Database'!$H$2:$H$1199,MATCH(515,Engine!$C$2:$C$1199,0)))</f>
        <v/>
      </c>
      <c r="I528" s="7" t="str">
        <f>IF(ISNA(MATCH(515,Engine!$C$2:$C$1199,0)),"",INDEX('Compliance Database'!$I$2:$I$1199,MATCH(515,Engine!$C$2:$C$1199,0)))</f>
        <v/>
      </c>
      <c r="J528" s="6" t="str">
        <f>IF(ISNA(MATCH(515,Engine!$C$2:$C$1199,0)),"",INDEX('Compliance Database'!$J$2:$J$1199,MATCH(515,Engine!$C$2:$C$1199,0)))</f>
        <v/>
      </c>
      <c r="K528" s="7" t="str">
        <f>IF(ISNA(MATCH(515,Engine!$C$2:$C$1199,0)),"",INDEX('Compliance Database'!$K$2:$K$1199,MATCH(515,Engine!$C$2:$C$1199,0)))</f>
        <v/>
      </c>
      <c r="L528" s="7" t="str">
        <f>IF(ISNA(MATCH(515,Engine!$C$2:$C$1199,0)),"",INDEX('Compliance Database'!$L$2:$L$1199,MATCH(515,Engine!$C$2:$C$1199,0)))</f>
        <v/>
      </c>
      <c r="M528" s="7" t="str">
        <f>IF(ISNA(MATCH(515,Engine!$C$2:$C$1199,0)),"",INDEX('Compliance Database'!$M$2:$M$1199,MATCH(515,Engine!$C$2:$C$1199,0)))</f>
        <v/>
      </c>
      <c r="N528" s="7" t="str">
        <f>IF(ISNA(MATCH(515,Engine!$C$2:$C$1199,0)),"",INDEX('Compliance Database'!$N$2:$N$1199,MATCH(515,Engine!$C$2:$C$1199,0)))</f>
        <v/>
      </c>
      <c r="O528" s="7" t="str">
        <f>IF(ISNA(MATCH(515,Engine!$C$2:$C$1199,0)),"",INDEX('Compliance Database'!$O$2:$O$1199,MATCH(515,Engine!$C$2:$C$1199,0)))</f>
        <v/>
      </c>
      <c r="P528" s="6" t="str">
        <f>IF(ISNA(MATCH(515,Engine!$C$2:$C$1199,0)),"",HYPERLINK("#Acts!A"&amp;INDEX('Compliance Database'!$P$2:$P$1199,MATCH(515,Engine!$C$2:$C$1199,0)),"Go to Act"))</f>
        <v/>
      </c>
    </row>
    <row r="529" spans="1:16" ht="172.95" customHeight="1" x14ac:dyDescent="0.3">
      <c r="A529" s="6" t="str">
        <f>IF(ISNA(MATCH(516,Engine!$C$2:$C$1199,0)),"",INDEX('Compliance Database'!$A$2:$A$1199,MATCH(516,Engine!$C$2:$C$1199,0)))</f>
        <v/>
      </c>
      <c r="B529" s="6" t="str">
        <f>IF(ISNA(MATCH(516,Engine!$C$2:$C$1199,0)),"",INDEX('Compliance Database'!$B$2:$B$1199,MATCH(516,Engine!$C$2:$C$1199,0)))</f>
        <v/>
      </c>
      <c r="C529" s="6" t="str">
        <f>IF(ISNA(MATCH(516,Engine!$C$2:$C$1199,0)),"",INDEX('Compliance Database'!$C$2:$C$1199,MATCH(516,Engine!$C$2:$C$1199,0)))</f>
        <v/>
      </c>
      <c r="D529" s="7" t="str">
        <f>IF(ISNA(MATCH(516,Engine!$C$2:$C$1199,0)),"",INDEX('Compliance Database'!$D$2:$D$1199,MATCH(516,Engine!$C$2:$C$1199,0)))</f>
        <v/>
      </c>
      <c r="E529" s="6" t="str">
        <f>IF(ISNA(MATCH(516,Engine!$C$2:$C$1199,0)),"",INDEX('Compliance Database'!$E$2:$E$1199,MATCH(516,Engine!$C$2:$C$1199,0)))</f>
        <v/>
      </c>
      <c r="F529" s="6" t="str">
        <f>IF(ISNA(MATCH(516,Engine!$C$2:$C$1199,0)),"",INDEX('Compliance Database'!$F$2:$F$1199,MATCH(516,Engine!$C$2:$C$1199,0)))</f>
        <v/>
      </c>
      <c r="G529" s="6" t="str">
        <f>IF(ISNA(MATCH(516,Engine!$C$2:$C$1199,0)),"",INDEX('Compliance Database'!$G$2:$G$1199,MATCH(516,Engine!$C$2:$C$1199,0)))</f>
        <v/>
      </c>
      <c r="H529" s="7" t="str">
        <f>IF(ISNA(MATCH(516,Engine!$C$2:$C$1199,0)),"",INDEX('Compliance Database'!$H$2:$H$1199,MATCH(516,Engine!$C$2:$C$1199,0)))</f>
        <v/>
      </c>
      <c r="I529" s="7" t="str">
        <f>IF(ISNA(MATCH(516,Engine!$C$2:$C$1199,0)),"",INDEX('Compliance Database'!$I$2:$I$1199,MATCH(516,Engine!$C$2:$C$1199,0)))</f>
        <v/>
      </c>
      <c r="J529" s="6" t="str">
        <f>IF(ISNA(MATCH(516,Engine!$C$2:$C$1199,0)),"",INDEX('Compliance Database'!$J$2:$J$1199,MATCH(516,Engine!$C$2:$C$1199,0)))</f>
        <v/>
      </c>
      <c r="K529" s="7" t="str">
        <f>IF(ISNA(MATCH(516,Engine!$C$2:$C$1199,0)),"",INDEX('Compliance Database'!$K$2:$K$1199,MATCH(516,Engine!$C$2:$C$1199,0)))</f>
        <v/>
      </c>
      <c r="L529" s="7" t="str">
        <f>IF(ISNA(MATCH(516,Engine!$C$2:$C$1199,0)),"",INDEX('Compliance Database'!$L$2:$L$1199,MATCH(516,Engine!$C$2:$C$1199,0)))</f>
        <v/>
      </c>
      <c r="M529" s="7" t="str">
        <f>IF(ISNA(MATCH(516,Engine!$C$2:$C$1199,0)),"",INDEX('Compliance Database'!$M$2:$M$1199,MATCH(516,Engine!$C$2:$C$1199,0)))</f>
        <v/>
      </c>
      <c r="N529" s="7" t="str">
        <f>IF(ISNA(MATCH(516,Engine!$C$2:$C$1199,0)),"",INDEX('Compliance Database'!$N$2:$N$1199,MATCH(516,Engine!$C$2:$C$1199,0)))</f>
        <v/>
      </c>
      <c r="O529" s="7" t="str">
        <f>IF(ISNA(MATCH(516,Engine!$C$2:$C$1199,0)),"",INDEX('Compliance Database'!$O$2:$O$1199,MATCH(516,Engine!$C$2:$C$1199,0)))</f>
        <v/>
      </c>
      <c r="P529" s="6" t="str">
        <f>IF(ISNA(MATCH(516,Engine!$C$2:$C$1199,0)),"",HYPERLINK("#Acts!A"&amp;INDEX('Compliance Database'!$P$2:$P$1199,MATCH(516,Engine!$C$2:$C$1199,0)),"Go to Act"))</f>
        <v/>
      </c>
    </row>
    <row r="530" spans="1:16" ht="172.95" customHeight="1" x14ac:dyDescent="0.3">
      <c r="A530" s="6" t="str">
        <f>IF(ISNA(MATCH(517,Engine!$C$2:$C$1199,0)),"",INDEX('Compliance Database'!$A$2:$A$1199,MATCH(517,Engine!$C$2:$C$1199,0)))</f>
        <v/>
      </c>
      <c r="B530" s="6" t="str">
        <f>IF(ISNA(MATCH(517,Engine!$C$2:$C$1199,0)),"",INDEX('Compliance Database'!$B$2:$B$1199,MATCH(517,Engine!$C$2:$C$1199,0)))</f>
        <v/>
      </c>
      <c r="C530" s="6" t="str">
        <f>IF(ISNA(MATCH(517,Engine!$C$2:$C$1199,0)),"",INDEX('Compliance Database'!$C$2:$C$1199,MATCH(517,Engine!$C$2:$C$1199,0)))</f>
        <v/>
      </c>
      <c r="D530" s="7" t="str">
        <f>IF(ISNA(MATCH(517,Engine!$C$2:$C$1199,0)),"",INDEX('Compliance Database'!$D$2:$D$1199,MATCH(517,Engine!$C$2:$C$1199,0)))</f>
        <v/>
      </c>
      <c r="E530" s="6" t="str">
        <f>IF(ISNA(MATCH(517,Engine!$C$2:$C$1199,0)),"",INDEX('Compliance Database'!$E$2:$E$1199,MATCH(517,Engine!$C$2:$C$1199,0)))</f>
        <v/>
      </c>
      <c r="F530" s="6" t="str">
        <f>IF(ISNA(MATCH(517,Engine!$C$2:$C$1199,0)),"",INDEX('Compliance Database'!$F$2:$F$1199,MATCH(517,Engine!$C$2:$C$1199,0)))</f>
        <v/>
      </c>
      <c r="G530" s="6" t="str">
        <f>IF(ISNA(MATCH(517,Engine!$C$2:$C$1199,0)),"",INDEX('Compliance Database'!$G$2:$G$1199,MATCH(517,Engine!$C$2:$C$1199,0)))</f>
        <v/>
      </c>
      <c r="H530" s="7" t="str">
        <f>IF(ISNA(MATCH(517,Engine!$C$2:$C$1199,0)),"",INDEX('Compliance Database'!$H$2:$H$1199,MATCH(517,Engine!$C$2:$C$1199,0)))</f>
        <v/>
      </c>
      <c r="I530" s="7" t="str">
        <f>IF(ISNA(MATCH(517,Engine!$C$2:$C$1199,0)),"",INDEX('Compliance Database'!$I$2:$I$1199,MATCH(517,Engine!$C$2:$C$1199,0)))</f>
        <v/>
      </c>
      <c r="J530" s="6" t="str">
        <f>IF(ISNA(MATCH(517,Engine!$C$2:$C$1199,0)),"",INDEX('Compliance Database'!$J$2:$J$1199,MATCH(517,Engine!$C$2:$C$1199,0)))</f>
        <v/>
      </c>
      <c r="K530" s="7" t="str">
        <f>IF(ISNA(MATCH(517,Engine!$C$2:$C$1199,0)),"",INDEX('Compliance Database'!$K$2:$K$1199,MATCH(517,Engine!$C$2:$C$1199,0)))</f>
        <v/>
      </c>
      <c r="L530" s="7" t="str">
        <f>IF(ISNA(MATCH(517,Engine!$C$2:$C$1199,0)),"",INDEX('Compliance Database'!$L$2:$L$1199,MATCH(517,Engine!$C$2:$C$1199,0)))</f>
        <v/>
      </c>
      <c r="M530" s="7" t="str">
        <f>IF(ISNA(MATCH(517,Engine!$C$2:$C$1199,0)),"",INDEX('Compliance Database'!$M$2:$M$1199,MATCH(517,Engine!$C$2:$C$1199,0)))</f>
        <v/>
      </c>
      <c r="N530" s="7" t="str">
        <f>IF(ISNA(MATCH(517,Engine!$C$2:$C$1199,0)),"",INDEX('Compliance Database'!$N$2:$N$1199,MATCH(517,Engine!$C$2:$C$1199,0)))</f>
        <v/>
      </c>
      <c r="O530" s="7" t="str">
        <f>IF(ISNA(MATCH(517,Engine!$C$2:$C$1199,0)),"",INDEX('Compliance Database'!$O$2:$O$1199,MATCH(517,Engine!$C$2:$C$1199,0)))</f>
        <v/>
      </c>
      <c r="P530" s="6" t="str">
        <f>IF(ISNA(MATCH(517,Engine!$C$2:$C$1199,0)),"",HYPERLINK("#Acts!A"&amp;INDEX('Compliance Database'!$P$2:$P$1199,MATCH(517,Engine!$C$2:$C$1199,0)),"Go to Act"))</f>
        <v/>
      </c>
    </row>
    <row r="531" spans="1:16" ht="172.95" customHeight="1" x14ac:dyDescent="0.3">
      <c r="A531" s="6" t="str">
        <f>IF(ISNA(MATCH(518,Engine!$C$2:$C$1199,0)),"",INDEX('Compliance Database'!$A$2:$A$1199,MATCH(518,Engine!$C$2:$C$1199,0)))</f>
        <v/>
      </c>
      <c r="B531" s="6" t="str">
        <f>IF(ISNA(MATCH(518,Engine!$C$2:$C$1199,0)),"",INDEX('Compliance Database'!$B$2:$B$1199,MATCH(518,Engine!$C$2:$C$1199,0)))</f>
        <v/>
      </c>
      <c r="C531" s="6" t="str">
        <f>IF(ISNA(MATCH(518,Engine!$C$2:$C$1199,0)),"",INDEX('Compliance Database'!$C$2:$C$1199,MATCH(518,Engine!$C$2:$C$1199,0)))</f>
        <v/>
      </c>
      <c r="D531" s="7" t="str">
        <f>IF(ISNA(MATCH(518,Engine!$C$2:$C$1199,0)),"",INDEX('Compliance Database'!$D$2:$D$1199,MATCH(518,Engine!$C$2:$C$1199,0)))</f>
        <v/>
      </c>
      <c r="E531" s="6" t="str">
        <f>IF(ISNA(MATCH(518,Engine!$C$2:$C$1199,0)),"",INDEX('Compliance Database'!$E$2:$E$1199,MATCH(518,Engine!$C$2:$C$1199,0)))</f>
        <v/>
      </c>
      <c r="F531" s="6" t="str">
        <f>IF(ISNA(MATCH(518,Engine!$C$2:$C$1199,0)),"",INDEX('Compliance Database'!$F$2:$F$1199,MATCH(518,Engine!$C$2:$C$1199,0)))</f>
        <v/>
      </c>
      <c r="G531" s="6" t="str">
        <f>IF(ISNA(MATCH(518,Engine!$C$2:$C$1199,0)),"",INDEX('Compliance Database'!$G$2:$G$1199,MATCH(518,Engine!$C$2:$C$1199,0)))</f>
        <v/>
      </c>
      <c r="H531" s="7" t="str">
        <f>IF(ISNA(MATCH(518,Engine!$C$2:$C$1199,0)),"",INDEX('Compliance Database'!$H$2:$H$1199,MATCH(518,Engine!$C$2:$C$1199,0)))</f>
        <v/>
      </c>
      <c r="I531" s="7" t="str">
        <f>IF(ISNA(MATCH(518,Engine!$C$2:$C$1199,0)),"",INDEX('Compliance Database'!$I$2:$I$1199,MATCH(518,Engine!$C$2:$C$1199,0)))</f>
        <v/>
      </c>
      <c r="J531" s="6" t="str">
        <f>IF(ISNA(MATCH(518,Engine!$C$2:$C$1199,0)),"",INDEX('Compliance Database'!$J$2:$J$1199,MATCH(518,Engine!$C$2:$C$1199,0)))</f>
        <v/>
      </c>
      <c r="K531" s="7" t="str">
        <f>IF(ISNA(MATCH(518,Engine!$C$2:$C$1199,0)),"",INDEX('Compliance Database'!$K$2:$K$1199,MATCH(518,Engine!$C$2:$C$1199,0)))</f>
        <v/>
      </c>
      <c r="L531" s="7" t="str">
        <f>IF(ISNA(MATCH(518,Engine!$C$2:$C$1199,0)),"",INDEX('Compliance Database'!$L$2:$L$1199,MATCH(518,Engine!$C$2:$C$1199,0)))</f>
        <v/>
      </c>
      <c r="M531" s="7" t="str">
        <f>IF(ISNA(MATCH(518,Engine!$C$2:$C$1199,0)),"",INDEX('Compliance Database'!$M$2:$M$1199,MATCH(518,Engine!$C$2:$C$1199,0)))</f>
        <v/>
      </c>
      <c r="N531" s="7" t="str">
        <f>IF(ISNA(MATCH(518,Engine!$C$2:$C$1199,0)),"",INDEX('Compliance Database'!$N$2:$N$1199,MATCH(518,Engine!$C$2:$C$1199,0)))</f>
        <v/>
      </c>
      <c r="O531" s="7" t="str">
        <f>IF(ISNA(MATCH(518,Engine!$C$2:$C$1199,0)),"",INDEX('Compliance Database'!$O$2:$O$1199,MATCH(518,Engine!$C$2:$C$1199,0)))</f>
        <v/>
      </c>
      <c r="P531" s="6" t="str">
        <f>IF(ISNA(MATCH(518,Engine!$C$2:$C$1199,0)),"",HYPERLINK("#Acts!A"&amp;INDEX('Compliance Database'!$P$2:$P$1199,MATCH(518,Engine!$C$2:$C$1199,0)),"Go to Act"))</f>
        <v/>
      </c>
    </row>
    <row r="532" spans="1:16" ht="172.95" customHeight="1" x14ac:dyDescent="0.3">
      <c r="A532" s="6" t="str">
        <f>IF(ISNA(MATCH(519,Engine!$C$2:$C$1199,0)),"",INDEX('Compliance Database'!$A$2:$A$1199,MATCH(519,Engine!$C$2:$C$1199,0)))</f>
        <v/>
      </c>
      <c r="B532" s="6" t="str">
        <f>IF(ISNA(MATCH(519,Engine!$C$2:$C$1199,0)),"",INDEX('Compliance Database'!$B$2:$B$1199,MATCH(519,Engine!$C$2:$C$1199,0)))</f>
        <v/>
      </c>
      <c r="C532" s="6" t="str">
        <f>IF(ISNA(MATCH(519,Engine!$C$2:$C$1199,0)),"",INDEX('Compliance Database'!$C$2:$C$1199,MATCH(519,Engine!$C$2:$C$1199,0)))</f>
        <v/>
      </c>
      <c r="D532" s="7" t="str">
        <f>IF(ISNA(MATCH(519,Engine!$C$2:$C$1199,0)),"",INDEX('Compliance Database'!$D$2:$D$1199,MATCH(519,Engine!$C$2:$C$1199,0)))</f>
        <v/>
      </c>
      <c r="E532" s="6" t="str">
        <f>IF(ISNA(MATCH(519,Engine!$C$2:$C$1199,0)),"",INDEX('Compliance Database'!$E$2:$E$1199,MATCH(519,Engine!$C$2:$C$1199,0)))</f>
        <v/>
      </c>
      <c r="F532" s="6" t="str">
        <f>IF(ISNA(MATCH(519,Engine!$C$2:$C$1199,0)),"",INDEX('Compliance Database'!$F$2:$F$1199,MATCH(519,Engine!$C$2:$C$1199,0)))</f>
        <v/>
      </c>
      <c r="G532" s="6" t="str">
        <f>IF(ISNA(MATCH(519,Engine!$C$2:$C$1199,0)),"",INDEX('Compliance Database'!$G$2:$G$1199,MATCH(519,Engine!$C$2:$C$1199,0)))</f>
        <v/>
      </c>
      <c r="H532" s="7" t="str">
        <f>IF(ISNA(MATCH(519,Engine!$C$2:$C$1199,0)),"",INDEX('Compliance Database'!$H$2:$H$1199,MATCH(519,Engine!$C$2:$C$1199,0)))</f>
        <v/>
      </c>
      <c r="I532" s="7" t="str">
        <f>IF(ISNA(MATCH(519,Engine!$C$2:$C$1199,0)),"",INDEX('Compliance Database'!$I$2:$I$1199,MATCH(519,Engine!$C$2:$C$1199,0)))</f>
        <v/>
      </c>
      <c r="J532" s="6" t="str">
        <f>IF(ISNA(MATCH(519,Engine!$C$2:$C$1199,0)),"",INDEX('Compliance Database'!$J$2:$J$1199,MATCH(519,Engine!$C$2:$C$1199,0)))</f>
        <v/>
      </c>
      <c r="K532" s="7" t="str">
        <f>IF(ISNA(MATCH(519,Engine!$C$2:$C$1199,0)),"",INDEX('Compliance Database'!$K$2:$K$1199,MATCH(519,Engine!$C$2:$C$1199,0)))</f>
        <v/>
      </c>
      <c r="L532" s="7" t="str">
        <f>IF(ISNA(MATCH(519,Engine!$C$2:$C$1199,0)),"",INDEX('Compliance Database'!$L$2:$L$1199,MATCH(519,Engine!$C$2:$C$1199,0)))</f>
        <v/>
      </c>
      <c r="M532" s="7" t="str">
        <f>IF(ISNA(MATCH(519,Engine!$C$2:$C$1199,0)),"",INDEX('Compliance Database'!$M$2:$M$1199,MATCH(519,Engine!$C$2:$C$1199,0)))</f>
        <v/>
      </c>
      <c r="N532" s="7" t="str">
        <f>IF(ISNA(MATCH(519,Engine!$C$2:$C$1199,0)),"",INDEX('Compliance Database'!$N$2:$N$1199,MATCH(519,Engine!$C$2:$C$1199,0)))</f>
        <v/>
      </c>
      <c r="O532" s="7" t="str">
        <f>IF(ISNA(MATCH(519,Engine!$C$2:$C$1199,0)),"",INDEX('Compliance Database'!$O$2:$O$1199,MATCH(519,Engine!$C$2:$C$1199,0)))</f>
        <v/>
      </c>
      <c r="P532" s="6" t="str">
        <f>IF(ISNA(MATCH(519,Engine!$C$2:$C$1199,0)),"",HYPERLINK("#Acts!A"&amp;INDEX('Compliance Database'!$P$2:$P$1199,MATCH(519,Engine!$C$2:$C$1199,0)),"Go to Act"))</f>
        <v/>
      </c>
    </row>
    <row r="533" spans="1:16" ht="172.95" customHeight="1" x14ac:dyDescent="0.3">
      <c r="A533" s="6" t="str">
        <f>IF(ISNA(MATCH(520,Engine!$C$2:$C$1199,0)),"",INDEX('Compliance Database'!$A$2:$A$1199,MATCH(520,Engine!$C$2:$C$1199,0)))</f>
        <v/>
      </c>
      <c r="B533" s="6" t="str">
        <f>IF(ISNA(MATCH(520,Engine!$C$2:$C$1199,0)),"",INDEX('Compliance Database'!$B$2:$B$1199,MATCH(520,Engine!$C$2:$C$1199,0)))</f>
        <v/>
      </c>
      <c r="C533" s="6" t="str">
        <f>IF(ISNA(MATCH(520,Engine!$C$2:$C$1199,0)),"",INDEX('Compliance Database'!$C$2:$C$1199,MATCH(520,Engine!$C$2:$C$1199,0)))</f>
        <v/>
      </c>
      <c r="D533" s="7" t="str">
        <f>IF(ISNA(MATCH(520,Engine!$C$2:$C$1199,0)),"",INDEX('Compliance Database'!$D$2:$D$1199,MATCH(520,Engine!$C$2:$C$1199,0)))</f>
        <v/>
      </c>
      <c r="E533" s="6" t="str">
        <f>IF(ISNA(MATCH(520,Engine!$C$2:$C$1199,0)),"",INDEX('Compliance Database'!$E$2:$E$1199,MATCH(520,Engine!$C$2:$C$1199,0)))</f>
        <v/>
      </c>
      <c r="F533" s="6" t="str">
        <f>IF(ISNA(MATCH(520,Engine!$C$2:$C$1199,0)),"",INDEX('Compliance Database'!$F$2:$F$1199,MATCH(520,Engine!$C$2:$C$1199,0)))</f>
        <v/>
      </c>
      <c r="G533" s="6" t="str">
        <f>IF(ISNA(MATCH(520,Engine!$C$2:$C$1199,0)),"",INDEX('Compliance Database'!$G$2:$G$1199,MATCH(520,Engine!$C$2:$C$1199,0)))</f>
        <v/>
      </c>
      <c r="H533" s="7" t="str">
        <f>IF(ISNA(MATCH(520,Engine!$C$2:$C$1199,0)),"",INDEX('Compliance Database'!$H$2:$H$1199,MATCH(520,Engine!$C$2:$C$1199,0)))</f>
        <v/>
      </c>
      <c r="I533" s="7" t="str">
        <f>IF(ISNA(MATCH(520,Engine!$C$2:$C$1199,0)),"",INDEX('Compliance Database'!$I$2:$I$1199,MATCH(520,Engine!$C$2:$C$1199,0)))</f>
        <v/>
      </c>
      <c r="J533" s="6" t="str">
        <f>IF(ISNA(MATCH(520,Engine!$C$2:$C$1199,0)),"",INDEX('Compliance Database'!$J$2:$J$1199,MATCH(520,Engine!$C$2:$C$1199,0)))</f>
        <v/>
      </c>
      <c r="K533" s="7" t="str">
        <f>IF(ISNA(MATCH(520,Engine!$C$2:$C$1199,0)),"",INDEX('Compliance Database'!$K$2:$K$1199,MATCH(520,Engine!$C$2:$C$1199,0)))</f>
        <v/>
      </c>
      <c r="L533" s="7" t="str">
        <f>IF(ISNA(MATCH(520,Engine!$C$2:$C$1199,0)),"",INDEX('Compliance Database'!$L$2:$L$1199,MATCH(520,Engine!$C$2:$C$1199,0)))</f>
        <v/>
      </c>
      <c r="M533" s="7" t="str">
        <f>IF(ISNA(MATCH(520,Engine!$C$2:$C$1199,0)),"",INDEX('Compliance Database'!$M$2:$M$1199,MATCH(520,Engine!$C$2:$C$1199,0)))</f>
        <v/>
      </c>
      <c r="N533" s="7" t="str">
        <f>IF(ISNA(MATCH(520,Engine!$C$2:$C$1199,0)),"",INDEX('Compliance Database'!$N$2:$N$1199,MATCH(520,Engine!$C$2:$C$1199,0)))</f>
        <v/>
      </c>
      <c r="O533" s="7" t="str">
        <f>IF(ISNA(MATCH(520,Engine!$C$2:$C$1199,0)),"",INDEX('Compliance Database'!$O$2:$O$1199,MATCH(520,Engine!$C$2:$C$1199,0)))</f>
        <v/>
      </c>
      <c r="P533" s="6" t="str">
        <f>IF(ISNA(MATCH(520,Engine!$C$2:$C$1199,0)),"",HYPERLINK("#Acts!A"&amp;INDEX('Compliance Database'!$P$2:$P$1199,MATCH(520,Engine!$C$2:$C$1199,0)),"Go to Act"))</f>
        <v/>
      </c>
    </row>
    <row r="534" spans="1:16" ht="172.95" customHeight="1" x14ac:dyDescent="0.3">
      <c r="A534" s="6" t="str">
        <f>IF(ISNA(MATCH(521,Engine!$C$2:$C$1199,0)),"",INDEX('Compliance Database'!$A$2:$A$1199,MATCH(521,Engine!$C$2:$C$1199,0)))</f>
        <v/>
      </c>
      <c r="B534" s="6" t="str">
        <f>IF(ISNA(MATCH(521,Engine!$C$2:$C$1199,0)),"",INDEX('Compliance Database'!$B$2:$B$1199,MATCH(521,Engine!$C$2:$C$1199,0)))</f>
        <v/>
      </c>
      <c r="C534" s="6" t="str">
        <f>IF(ISNA(MATCH(521,Engine!$C$2:$C$1199,0)),"",INDEX('Compliance Database'!$C$2:$C$1199,MATCH(521,Engine!$C$2:$C$1199,0)))</f>
        <v/>
      </c>
      <c r="D534" s="7" t="str">
        <f>IF(ISNA(MATCH(521,Engine!$C$2:$C$1199,0)),"",INDEX('Compliance Database'!$D$2:$D$1199,MATCH(521,Engine!$C$2:$C$1199,0)))</f>
        <v/>
      </c>
      <c r="E534" s="6" t="str">
        <f>IF(ISNA(MATCH(521,Engine!$C$2:$C$1199,0)),"",INDEX('Compliance Database'!$E$2:$E$1199,MATCH(521,Engine!$C$2:$C$1199,0)))</f>
        <v/>
      </c>
      <c r="F534" s="6" t="str">
        <f>IF(ISNA(MATCH(521,Engine!$C$2:$C$1199,0)),"",INDEX('Compliance Database'!$F$2:$F$1199,MATCH(521,Engine!$C$2:$C$1199,0)))</f>
        <v/>
      </c>
      <c r="G534" s="6" t="str">
        <f>IF(ISNA(MATCH(521,Engine!$C$2:$C$1199,0)),"",INDEX('Compliance Database'!$G$2:$G$1199,MATCH(521,Engine!$C$2:$C$1199,0)))</f>
        <v/>
      </c>
      <c r="H534" s="7" t="str">
        <f>IF(ISNA(MATCH(521,Engine!$C$2:$C$1199,0)),"",INDEX('Compliance Database'!$H$2:$H$1199,MATCH(521,Engine!$C$2:$C$1199,0)))</f>
        <v/>
      </c>
      <c r="I534" s="7" t="str">
        <f>IF(ISNA(MATCH(521,Engine!$C$2:$C$1199,0)),"",INDEX('Compliance Database'!$I$2:$I$1199,MATCH(521,Engine!$C$2:$C$1199,0)))</f>
        <v/>
      </c>
      <c r="J534" s="6" t="str">
        <f>IF(ISNA(MATCH(521,Engine!$C$2:$C$1199,0)),"",INDEX('Compliance Database'!$J$2:$J$1199,MATCH(521,Engine!$C$2:$C$1199,0)))</f>
        <v/>
      </c>
      <c r="K534" s="7" t="str">
        <f>IF(ISNA(MATCH(521,Engine!$C$2:$C$1199,0)),"",INDEX('Compliance Database'!$K$2:$K$1199,MATCH(521,Engine!$C$2:$C$1199,0)))</f>
        <v/>
      </c>
      <c r="L534" s="7" t="str">
        <f>IF(ISNA(MATCH(521,Engine!$C$2:$C$1199,0)),"",INDEX('Compliance Database'!$L$2:$L$1199,MATCH(521,Engine!$C$2:$C$1199,0)))</f>
        <v/>
      </c>
      <c r="M534" s="7" t="str">
        <f>IF(ISNA(MATCH(521,Engine!$C$2:$C$1199,0)),"",INDEX('Compliance Database'!$M$2:$M$1199,MATCH(521,Engine!$C$2:$C$1199,0)))</f>
        <v/>
      </c>
      <c r="N534" s="7" t="str">
        <f>IF(ISNA(MATCH(521,Engine!$C$2:$C$1199,0)),"",INDEX('Compliance Database'!$N$2:$N$1199,MATCH(521,Engine!$C$2:$C$1199,0)))</f>
        <v/>
      </c>
      <c r="O534" s="7" t="str">
        <f>IF(ISNA(MATCH(521,Engine!$C$2:$C$1199,0)),"",INDEX('Compliance Database'!$O$2:$O$1199,MATCH(521,Engine!$C$2:$C$1199,0)))</f>
        <v/>
      </c>
      <c r="P534" s="6" t="str">
        <f>IF(ISNA(MATCH(521,Engine!$C$2:$C$1199,0)),"",HYPERLINK("#Acts!A"&amp;INDEX('Compliance Database'!$P$2:$P$1199,MATCH(521,Engine!$C$2:$C$1199,0)),"Go to Act"))</f>
        <v/>
      </c>
    </row>
    <row r="535" spans="1:16" ht="172.95" customHeight="1" x14ac:dyDescent="0.3">
      <c r="A535" s="6" t="str">
        <f>IF(ISNA(MATCH(522,Engine!$C$2:$C$1199,0)),"",INDEX('Compliance Database'!$A$2:$A$1199,MATCH(522,Engine!$C$2:$C$1199,0)))</f>
        <v/>
      </c>
      <c r="B535" s="6" t="str">
        <f>IF(ISNA(MATCH(522,Engine!$C$2:$C$1199,0)),"",INDEX('Compliance Database'!$B$2:$B$1199,MATCH(522,Engine!$C$2:$C$1199,0)))</f>
        <v/>
      </c>
      <c r="C535" s="6" t="str">
        <f>IF(ISNA(MATCH(522,Engine!$C$2:$C$1199,0)),"",INDEX('Compliance Database'!$C$2:$C$1199,MATCH(522,Engine!$C$2:$C$1199,0)))</f>
        <v/>
      </c>
      <c r="D535" s="7" t="str">
        <f>IF(ISNA(MATCH(522,Engine!$C$2:$C$1199,0)),"",INDEX('Compliance Database'!$D$2:$D$1199,MATCH(522,Engine!$C$2:$C$1199,0)))</f>
        <v/>
      </c>
      <c r="E535" s="6" t="str">
        <f>IF(ISNA(MATCH(522,Engine!$C$2:$C$1199,0)),"",INDEX('Compliance Database'!$E$2:$E$1199,MATCH(522,Engine!$C$2:$C$1199,0)))</f>
        <v/>
      </c>
      <c r="F535" s="6" t="str">
        <f>IF(ISNA(MATCH(522,Engine!$C$2:$C$1199,0)),"",INDEX('Compliance Database'!$F$2:$F$1199,MATCH(522,Engine!$C$2:$C$1199,0)))</f>
        <v/>
      </c>
      <c r="G535" s="6" t="str">
        <f>IF(ISNA(MATCH(522,Engine!$C$2:$C$1199,0)),"",INDEX('Compliance Database'!$G$2:$G$1199,MATCH(522,Engine!$C$2:$C$1199,0)))</f>
        <v/>
      </c>
      <c r="H535" s="7" t="str">
        <f>IF(ISNA(MATCH(522,Engine!$C$2:$C$1199,0)),"",INDEX('Compliance Database'!$H$2:$H$1199,MATCH(522,Engine!$C$2:$C$1199,0)))</f>
        <v/>
      </c>
      <c r="I535" s="7" t="str">
        <f>IF(ISNA(MATCH(522,Engine!$C$2:$C$1199,0)),"",INDEX('Compliance Database'!$I$2:$I$1199,MATCH(522,Engine!$C$2:$C$1199,0)))</f>
        <v/>
      </c>
      <c r="J535" s="6" t="str">
        <f>IF(ISNA(MATCH(522,Engine!$C$2:$C$1199,0)),"",INDEX('Compliance Database'!$J$2:$J$1199,MATCH(522,Engine!$C$2:$C$1199,0)))</f>
        <v/>
      </c>
      <c r="K535" s="7" t="str">
        <f>IF(ISNA(MATCH(522,Engine!$C$2:$C$1199,0)),"",INDEX('Compliance Database'!$K$2:$K$1199,MATCH(522,Engine!$C$2:$C$1199,0)))</f>
        <v/>
      </c>
      <c r="L535" s="7" t="str">
        <f>IF(ISNA(MATCH(522,Engine!$C$2:$C$1199,0)),"",INDEX('Compliance Database'!$L$2:$L$1199,MATCH(522,Engine!$C$2:$C$1199,0)))</f>
        <v/>
      </c>
      <c r="M535" s="7" t="str">
        <f>IF(ISNA(MATCH(522,Engine!$C$2:$C$1199,0)),"",INDEX('Compliance Database'!$M$2:$M$1199,MATCH(522,Engine!$C$2:$C$1199,0)))</f>
        <v/>
      </c>
      <c r="N535" s="7" t="str">
        <f>IF(ISNA(MATCH(522,Engine!$C$2:$C$1199,0)),"",INDEX('Compliance Database'!$N$2:$N$1199,MATCH(522,Engine!$C$2:$C$1199,0)))</f>
        <v/>
      </c>
      <c r="O535" s="7" t="str">
        <f>IF(ISNA(MATCH(522,Engine!$C$2:$C$1199,0)),"",INDEX('Compliance Database'!$O$2:$O$1199,MATCH(522,Engine!$C$2:$C$1199,0)))</f>
        <v/>
      </c>
      <c r="P535" s="6" t="str">
        <f>IF(ISNA(MATCH(522,Engine!$C$2:$C$1199,0)),"",HYPERLINK("#Acts!A"&amp;INDEX('Compliance Database'!$P$2:$P$1199,MATCH(522,Engine!$C$2:$C$1199,0)),"Go to Act"))</f>
        <v/>
      </c>
    </row>
    <row r="536" spans="1:16" ht="172.95" customHeight="1" x14ac:dyDescent="0.3">
      <c r="A536" s="6" t="str">
        <f>IF(ISNA(MATCH(523,Engine!$C$2:$C$1199,0)),"",INDEX('Compliance Database'!$A$2:$A$1199,MATCH(523,Engine!$C$2:$C$1199,0)))</f>
        <v/>
      </c>
      <c r="B536" s="6" t="str">
        <f>IF(ISNA(MATCH(523,Engine!$C$2:$C$1199,0)),"",INDEX('Compliance Database'!$B$2:$B$1199,MATCH(523,Engine!$C$2:$C$1199,0)))</f>
        <v/>
      </c>
      <c r="C536" s="6" t="str">
        <f>IF(ISNA(MATCH(523,Engine!$C$2:$C$1199,0)),"",INDEX('Compliance Database'!$C$2:$C$1199,MATCH(523,Engine!$C$2:$C$1199,0)))</f>
        <v/>
      </c>
      <c r="D536" s="7" t="str">
        <f>IF(ISNA(MATCH(523,Engine!$C$2:$C$1199,0)),"",INDEX('Compliance Database'!$D$2:$D$1199,MATCH(523,Engine!$C$2:$C$1199,0)))</f>
        <v/>
      </c>
      <c r="E536" s="6" t="str">
        <f>IF(ISNA(MATCH(523,Engine!$C$2:$C$1199,0)),"",INDEX('Compliance Database'!$E$2:$E$1199,MATCH(523,Engine!$C$2:$C$1199,0)))</f>
        <v/>
      </c>
      <c r="F536" s="6" t="str">
        <f>IF(ISNA(MATCH(523,Engine!$C$2:$C$1199,0)),"",INDEX('Compliance Database'!$F$2:$F$1199,MATCH(523,Engine!$C$2:$C$1199,0)))</f>
        <v/>
      </c>
      <c r="G536" s="6" t="str">
        <f>IF(ISNA(MATCH(523,Engine!$C$2:$C$1199,0)),"",INDEX('Compliance Database'!$G$2:$G$1199,MATCH(523,Engine!$C$2:$C$1199,0)))</f>
        <v/>
      </c>
      <c r="H536" s="7" t="str">
        <f>IF(ISNA(MATCH(523,Engine!$C$2:$C$1199,0)),"",INDEX('Compliance Database'!$H$2:$H$1199,MATCH(523,Engine!$C$2:$C$1199,0)))</f>
        <v/>
      </c>
      <c r="I536" s="7" t="str">
        <f>IF(ISNA(MATCH(523,Engine!$C$2:$C$1199,0)),"",INDEX('Compliance Database'!$I$2:$I$1199,MATCH(523,Engine!$C$2:$C$1199,0)))</f>
        <v/>
      </c>
      <c r="J536" s="6" t="str">
        <f>IF(ISNA(MATCH(523,Engine!$C$2:$C$1199,0)),"",INDEX('Compliance Database'!$J$2:$J$1199,MATCH(523,Engine!$C$2:$C$1199,0)))</f>
        <v/>
      </c>
      <c r="K536" s="7" t="str">
        <f>IF(ISNA(MATCH(523,Engine!$C$2:$C$1199,0)),"",INDEX('Compliance Database'!$K$2:$K$1199,MATCH(523,Engine!$C$2:$C$1199,0)))</f>
        <v/>
      </c>
      <c r="L536" s="7" t="str">
        <f>IF(ISNA(MATCH(523,Engine!$C$2:$C$1199,0)),"",INDEX('Compliance Database'!$L$2:$L$1199,MATCH(523,Engine!$C$2:$C$1199,0)))</f>
        <v/>
      </c>
      <c r="M536" s="7" t="str">
        <f>IF(ISNA(MATCH(523,Engine!$C$2:$C$1199,0)),"",INDEX('Compliance Database'!$M$2:$M$1199,MATCH(523,Engine!$C$2:$C$1199,0)))</f>
        <v/>
      </c>
      <c r="N536" s="7" t="str">
        <f>IF(ISNA(MATCH(523,Engine!$C$2:$C$1199,0)),"",INDEX('Compliance Database'!$N$2:$N$1199,MATCH(523,Engine!$C$2:$C$1199,0)))</f>
        <v/>
      </c>
      <c r="O536" s="7" t="str">
        <f>IF(ISNA(MATCH(523,Engine!$C$2:$C$1199,0)),"",INDEX('Compliance Database'!$O$2:$O$1199,MATCH(523,Engine!$C$2:$C$1199,0)))</f>
        <v/>
      </c>
      <c r="P536" s="6" t="str">
        <f>IF(ISNA(MATCH(523,Engine!$C$2:$C$1199,0)),"",HYPERLINK("#Acts!A"&amp;INDEX('Compliance Database'!$P$2:$P$1199,MATCH(523,Engine!$C$2:$C$1199,0)),"Go to Act"))</f>
        <v/>
      </c>
    </row>
    <row r="537" spans="1:16" ht="172.95" customHeight="1" x14ac:dyDescent="0.3">
      <c r="A537" s="6" t="str">
        <f>IF(ISNA(MATCH(524,Engine!$C$2:$C$1199,0)),"",INDEX('Compliance Database'!$A$2:$A$1199,MATCH(524,Engine!$C$2:$C$1199,0)))</f>
        <v/>
      </c>
      <c r="B537" s="6" t="str">
        <f>IF(ISNA(MATCH(524,Engine!$C$2:$C$1199,0)),"",INDEX('Compliance Database'!$B$2:$B$1199,MATCH(524,Engine!$C$2:$C$1199,0)))</f>
        <v/>
      </c>
      <c r="C537" s="6" t="str">
        <f>IF(ISNA(MATCH(524,Engine!$C$2:$C$1199,0)),"",INDEX('Compliance Database'!$C$2:$C$1199,MATCH(524,Engine!$C$2:$C$1199,0)))</f>
        <v/>
      </c>
      <c r="D537" s="7" t="str">
        <f>IF(ISNA(MATCH(524,Engine!$C$2:$C$1199,0)),"",INDEX('Compliance Database'!$D$2:$D$1199,MATCH(524,Engine!$C$2:$C$1199,0)))</f>
        <v/>
      </c>
      <c r="E537" s="6" t="str">
        <f>IF(ISNA(MATCH(524,Engine!$C$2:$C$1199,0)),"",INDEX('Compliance Database'!$E$2:$E$1199,MATCH(524,Engine!$C$2:$C$1199,0)))</f>
        <v/>
      </c>
      <c r="F537" s="6" t="str">
        <f>IF(ISNA(MATCH(524,Engine!$C$2:$C$1199,0)),"",INDEX('Compliance Database'!$F$2:$F$1199,MATCH(524,Engine!$C$2:$C$1199,0)))</f>
        <v/>
      </c>
      <c r="G537" s="6" t="str">
        <f>IF(ISNA(MATCH(524,Engine!$C$2:$C$1199,0)),"",INDEX('Compliance Database'!$G$2:$G$1199,MATCH(524,Engine!$C$2:$C$1199,0)))</f>
        <v/>
      </c>
      <c r="H537" s="7" t="str">
        <f>IF(ISNA(MATCH(524,Engine!$C$2:$C$1199,0)),"",INDEX('Compliance Database'!$H$2:$H$1199,MATCH(524,Engine!$C$2:$C$1199,0)))</f>
        <v/>
      </c>
      <c r="I537" s="7" t="str">
        <f>IF(ISNA(MATCH(524,Engine!$C$2:$C$1199,0)),"",INDEX('Compliance Database'!$I$2:$I$1199,MATCH(524,Engine!$C$2:$C$1199,0)))</f>
        <v/>
      </c>
      <c r="J537" s="6" t="str">
        <f>IF(ISNA(MATCH(524,Engine!$C$2:$C$1199,0)),"",INDEX('Compliance Database'!$J$2:$J$1199,MATCH(524,Engine!$C$2:$C$1199,0)))</f>
        <v/>
      </c>
      <c r="K537" s="7" t="str">
        <f>IF(ISNA(MATCH(524,Engine!$C$2:$C$1199,0)),"",INDEX('Compliance Database'!$K$2:$K$1199,MATCH(524,Engine!$C$2:$C$1199,0)))</f>
        <v/>
      </c>
      <c r="L537" s="7" t="str">
        <f>IF(ISNA(MATCH(524,Engine!$C$2:$C$1199,0)),"",INDEX('Compliance Database'!$L$2:$L$1199,MATCH(524,Engine!$C$2:$C$1199,0)))</f>
        <v/>
      </c>
      <c r="M537" s="7" t="str">
        <f>IF(ISNA(MATCH(524,Engine!$C$2:$C$1199,0)),"",INDEX('Compliance Database'!$M$2:$M$1199,MATCH(524,Engine!$C$2:$C$1199,0)))</f>
        <v/>
      </c>
      <c r="N537" s="7" t="str">
        <f>IF(ISNA(MATCH(524,Engine!$C$2:$C$1199,0)),"",INDEX('Compliance Database'!$N$2:$N$1199,MATCH(524,Engine!$C$2:$C$1199,0)))</f>
        <v/>
      </c>
      <c r="O537" s="7" t="str">
        <f>IF(ISNA(MATCH(524,Engine!$C$2:$C$1199,0)),"",INDEX('Compliance Database'!$O$2:$O$1199,MATCH(524,Engine!$C$2:$C$1199,0)))</f>
        <v/>
      </c>
      <c r="P537" s="6" t="str">
        <f>IF(ISNA(MATCH(524,Engine!$C$2:$C$1199,0)),"",HYPERLINK("#Acts!A"&amp;INDEX('Compliance Database'!$P$2:$P$1199,MATCH(524,Engine!$C$2:$C$1199,0)),"Go to Act"))</f>
        <v/>
      </c>
    </row>
    <row r="538" spans="1:16" ht="172.95" customHeight="1" x14ac:dyDescent="0.3">
      <c r="A538" s="6" t="str">
        <f>IF(ISNA(MATCH(525,Engine!$C$2:$C$1199,0)),"",INDEX('Compliance Database'!$A$2:$A$1199,MATCH(525,Engine!$C$2:$C$1199,0)))</f>
        <v/>
      </c>
      <c r="B538" s="6" t="str">
        <f>IF(ISNA(MATCH(525,Engine!$C$2:$C$1199,0)),"",INDEX('Compliance Database'!$B$2:$B$1199,MATCH(525,Engine!$C$2:$C$1199,0)))</f>
        <v/>
      </c>
      <c r="C538" s="6" t="str">
        <f>IF(ISNA(MATCH(525,Engine!$C$2:$C$1199,0)),"",INDEX('Compliance Database'!$C$2:$C$1199,MATCH(525,Engine!$C$2:$C$1199,0)))</f>
        <v/>
      </c>
      <c r="D538" s="7" t="str">
        <f>IF(ISNA(MATCH(525,Engine!$C$2:$C$1199,0)),"",INDEX('Compliance Database'!$D$2:$D$1199,MATCH(525,Engine!$C$2:$C$1199,0)))</f>
        <v/>
      </c>
      <c r="E538" s="6" t="str">
        <f>IF(ISNA(MATCH(525,Engine!$C$2:$C$1199,0)),"",INDEX('Compliance Database'!$E$2:$E$1199,MATCH(525,Engine!$C$2:$C$1199,0)))</f>
        <v/>
      </c>
      <c r="F538" s="6" t="str">
        <f>IF(ISNA(MATCH(525,Engine!$C$2:$C$1199,0)),"",INDEX('Compliance Database'!$F$2:$F$1199,MATCH(525,Engine!$C$2:$C$1199,0)))</f>
        <v/>
      </c>
      <c r="G538" s="6" t="str">
        <f>IF(ISNA(MATCH(525,Engine!$C$2:$C$1199,0)),"",INDEX('Compliance Database'!$G$2:$G$1199,MATCH(525,Engine!$C$2:$C$1199,0)))</f>
        <v/>
      </c>
      <c r="H538" s="7" t="str">
        <f>IF(ISNA(MATCH(525,Engine!$C$2:$C$1199,0)),"",INDEX('Compliance Database'!$H$2:$H$1199,MATCH(525,Engine!$C$2:$C$1199,0)))</f>
        <v/>
      </c>
      <c r="I538" s="7" t="str">
        <f>IF(ISNA(MATCH(525,Engine!$C$2:$C$1199,0)),"",INDEX('Compliance Database'!$I$2:$I$1199,MATCH(525,Engine!$C$2:$C$1199,0)))</f>
        <v/>
      </c>
      <c r="J538" s="6" t="str">
        <f>IF(ISNA(MATCH(525,Engine!$C$2:$C$1199,0)),"",INDEX('Compliance Database'!$J$2:$J$1199,MATCH(525,Engine!$C$2:$C$1199,0)))</f>
        <v/>
      </c>
      <c r="K538" s="7" t="str">
        <f>IF(ISNA(MATCH(525,Engine!$C$2:$C$1199,0)),"",INDEX('Compliance Database'!$K$2:$K$1199,MATCH(525,Engine!$C$2:$C$1199,0)))</f>
        <v/>
      </c>
      <c r="L538" s="7" t="str">
        <f>IF(ISNA(MATCH(525,Engine!$C$2:$C$1199,0)),"",INDEX('Compliance Database'!$L$2:$L$1199,MATCH(525,Engine!$C$2:$C$1199,0)))</f>
        <v/>
      </c>
      <c r="M538" s="7" t="str">
        <f>IF(ISNA(MATCH(525,Engine!$C$2:$C$1199,0)),"",INDEX('Compliance Database'!$M$2:$M$1199,MATCH(525,Engine!$C$2:$C$1199,0)))</f>
        <v/>
      </c>
      <c r="N538" s="7" t="str">
        <f>IF(ISNA(MATCH(525,Engine!$C$2:$C$1199,0)),"",INDEX('Compliance Database'!$N$2:$N$1199,MATCH(525,Engine!$C$2:$C$1199,0)))</f>
        <v/>
      </c>
      <c r="O538" s="7" t="str">
        <f>IF(ISNA(MATCH(525,Engine!$C$2:$C$1199,0)),"",INDEX('Compliance Database'!$O$2:$O$1199,MATCH(525,Engine!$C$2:$C$1199,0)))</f>
        <v/>
      </c>
      <c r="P538" s="6" t="str">
        <f>IF(ISNA(MATCH(525,Engine!$C$2:$C$1199,0)),"",HYPERLINK("#Acts!A"&amp;INDEX('Compliance Database'!$P$2:$P$1199,MATCH(525,Engine!$C$2:$C$1199,0)),"Go to Act"))</f>
        <v/>
      </c>
    </row>
    <row r="539" spans="1:16" ht="172.95" customHeight="1" x14ac:dyDescent="0.3">
      <c r="A539" s="6" t="str">
        <f>IF(ISNA(MATCH(526,Engine!$C$2:$C$1199,0)),"",INDEX('Compliance Database'!$A$2:$A$1199,MATCH(526,Engine!$C$2:$C$1199,0)))</f>
        <v/>
      </c>
      <c r="B539" s="6" t="str">
        <f>IF(ISNA(MATCH(526,Engine!$C$2:$C$1199,0)),"",INDEX('Compliance Database'!$B$2:$B$1199,MATCH(526,Engine!$C$2:$C$1199,0)))</f>
        <v/>
      </c>
      <c r="C539" s="6" t="str">
        <f>IF(ISNA(MATCH(526,Engine!$C$2:$C$1199,0)),"",INDEX('Compliance Database'!$C$2:$C$1199,MATCH(526,Engine!$C$2:$C$1199,0)))</f>
        <v/>
      </c>
      <c r="D539" s="7" t="str">
        <f>IF(ISNA(MATCH(526,Engine!$C$2:$C$1199,0)),"",INDEX('Compliance Database'!$D$2:$D$1199,MATCH(526,Engine!$C$2:$C$1199,0)))</f>
        <v/>
      </c>
      <c r="E539" s="6" t="str">
        <f>IF(ISNA(MATCH(526,Engine!$C$2:$C$1199,0)),"",INDEX('Compliance Database'!$E$2:$E$1199,MATCH(526,Engine!$C$2:$C$1199,0)))</f>
        <v/>
      </c>
      <c r="F539" s="6" t="str">
        <f>IF(ISNA(MATCH(526,Engine!$C$2:$C$1199,0)),"",INDEX('Compliance Database'!$F$2:$F$1199,MATCH(526,Engine!$C$2:$C$1199,0)))</f>
        <v/>
      </c>
      <c r="G539" s="6" t="str">
        <f>IF(ISNA(MATCH(526,Engine!$C$2:$C$1199,0)),"",INDEX('Compliance Database'!$G$2:$G$1199,MATCH(526,Engine!$C$2:$C$1199,0)))</f>
        <v/>
      </c>
      <c r="H539" s="7" t="str">
        <f>IF(ISNA(MATCH(526,Engine!$C$2:$C$1199,0)),"",INDEX('Compliance Database'!$H$2:$H$1199,MATCH(526,Engine!$C$2:$C$1199,0)))</f>
        <v/>
      </c>
      <c r="I539" s="7" t="str">
        <f>IF(ISNA(MATCH(526,Engine!$C$2:$C$1199,0)),"",INDEX('Compliance Database'!$I$2:$I$1199,MATCH(526,Engine!$C$2:$C$1199,0)))</f>
        <v/>
      </c>
      <c r="J539" s="6" t="str">
        <f>IF(ISNA(MATCH(526,Engine!$C$2:$C$1199,0)),"",INDEX('Compliance Database'!$J$2:$J$1199,MATCH(526,Engine!$C$2:$C$1199,0)))</f>
        <v/>
      </c>
      <c r="K539" s="7" t="str">
        <f>IF(ISNA(MATCH(526,Engine!$C$2:$C$1199,0)),"",INDEX('Compliance Database'!$K$2:$K$1199,MATCH(526,Engine!$C$2:$C$1199,0)))</f>
        <v/>
      </c>
      <c r="L539" s="7" t="str">
        <f>IF(ISNA(MATCH(526,Engine!$C$2:$C$1199,0)),"",INDEX('Compliance Database'!$L$2:$L$1199,MATCH(526,Engine!$C$2:$C$1199,0)))</f>
        <v/>
      </c>
      <c r="M539" s="7" t="str">
        <f>IF(ISNA(MATCH(526,Engine!$C$2:$C$1199,0)),"",INDEX('Compliance Database'!$M$2:$M$1199,MATCH(526,Engine!$C$2:$C$1199,0)))</f>
        <v/>
      </c>
      <c r="N539" s="7" t="str">
        <f>IF(ISNA(MATCH(526,Engine!$C$2:$C$1199,0)),"",INDEX('Compliance Database'!$N$2:$N$1199,MATCH(526,Engine!$C$2:$C$1199,0)))</f>
        <v/>
      </c>
      <c r="O539" s="7" t="str">
        <f>IF(ISNA(MATCH(526,Engine!$C$2:$C$1199,0)),"",INDEX('Compliance Database'!$O$2:$O$1199,MATCH(526,Engine!$C$2:$C$1199,0)))</f>
        <v/>
      </c>
      <c r="P539" s="6" t="str">
        <f>IF(ISNA(MATCH(526,Engine!$C$2:$C$1199,0)),"",HYPERLINK("#Acts!A"&amp;INDEX('Compliance Database'!$P$2:$P$1199,MATCH(526,Engine!$C$2:$C$1199,0)),"Go to Act"))</f>
        <v/>
      </c>
    </row>
    <row r="540" spans="1:16" ht="172.95" customHeight="1" x14ac:dyDescent="0.3">
      <c r="A540" s="6" t="str">
        <f>IF(ISNA(MATCH(527,Engine!$C$2:$C$1199,0)),"",INDEX('Compliance Database'!$A$2:$A$1199,MATCH(527,Engine!$C$2:$C$1199,0)))</f>
        <v/>
      </c>
      <c r="B540" s="6" t="str">
        <f>IF(ISNA(MATCH(527,Engine!$C$2:$C$1199,0)),"",INDEX('Compliance Database'!$B$2:$B$1199,MATCH(527,Engine!$C$2:$C$1199,0)))</f>
        <v/>
      </c>
      <c r="C540" s="6" t="str">
        <f>IF(ISNA(MATCH(527,Engine!$C$2:$C$1199,0)),"",INDEX('Compliance Database'!$C$2:$C$1199,MATCH(527,Engine!$C$2:$C$1199,0)))</f>
        <v/>
      </c>
      <c r="D540" s="7" t="str">
        <f>IF(ISNA(MATCH(527,Engine!$C$2:$C$1199,0)),"",INDEX('Compliance Database'!$D$2:$D$1199,MATCH(527,Engine!$C$2:$C$1199,0)))</f>
        <v/>
      </c>
      <c r="E540" s="6" t="str">
        <f>IF(ISNA(MATCH(527,Engine!$C$2:$C$1199,0)),"",INDEX('Compliance Database'!$E$2:$E$1199,MATCH(527,Engine!$C$2:$C$1199,0)))</f>
        <v/>
      </c>
      <c r="F540" s="6" t="str">
        <f>IF(ISNA(MATCH(527,Engine!$C$2:$C$1199,0)),"",INDEX('Compliance Database'!$F$2:$F$1199,MATCH(527,Engine!$C$2:$C$1199,0)))</f>
        <v/>
      </c>
      <c r="G540" s="6" t="str">
        <f>IF(ISNA(MATCH(527,Engine!$C$2:$C$1199,0)),"",INDEX('Compliance Database'!$G$2:$G$1199,MATCH(527,Engine!$C$2:$C$1199,0)))</f>
        <v/>
      </c>
      <c r="H540" s="7" t="str">
        <f>IF(ISNA(MATCH(527,Engine!$C$2:$C$1199,0)),"",INDEX('Compliance Database'!$H$2:$H$1199,MATCH(527,Engine!$C$2:$C$1199,0)))</f>
        <v/>
      </c>
      <c r="I540" s="7" t="str">
        <f>IF(ISNA(MATCH(527,Engine!$C$2:$C$1199,0)),"",INDEX('Compliance Database'!$I$2:$I$1199,MATCH(527,Engine!$C$2:$C$1199,0)))</f>
        <v/>
      </c>
      <c r="J540" s="6" t="str">
        <f>IF(ISNA(MATCH(527,Engine!$C$2:$C$1199,0)),"",INDEX('Compliance Database'!$J$2:$J$1199,MATCH(527,Engine!$C$2:$C$1199,0)))</f>
        <v/>
      </c>
      <c r="K540" s="7" t="str">
        <f>IF(ISNA(MATCH(527,Engine!$C$2:$C$1199,0)),"",INDEX('Compliance Database'!$K$2:$K$1199,MATCH(527,Engine!$C$2:$C$1199,0)))</f>
        <v/>
      </c>
      <c r="L540" s="7" t="str">
        <f>IF(ISNA(MATCH(527,Engine!$C$2:$C$1199,0)),"",INDEX('Compliance Database'!$L$2:$L$1199,MATCH(527,Engine!$C$2:$C$1199,0)))</f>
        <v/>
      </c>
      <c r="M540" s="7" t="str">
        <f>IF(ISNA(MATCH(527,Engine!$C$2:$C$1199,0)),"",INDEX('Compliance Database'!$M$2:$M$1199,MATCH(527,Engine!$C$2:$C$1199,0)))</f>
        <v/>
      </c>
      <c r="N540" s="7" t="str">
        <f>IF(ISNA(MATCH(527,Engine!$C$2:$C$1199,0)),"",INDEX('Compliance Database'!$N$2:$N$1199,MATCH(527,Engine!$C$2:$C$1199,0)))</f>
        <v/>
      </c>
      <c r="O540" s="7" t="str">
        <f>IF(ISNA(MATCH(527,Engine!$C$2:$C$1199,0)),"",INDEX('Compliance Database'!$O$2:$O$1199,MATCH(527,Engine!$C$2:$C$1199,0)))</f>
        <v/>
      </c>
      <c r="P540" s="6" t="str">
        <f>IF(ISNA(MATCH(527,Engine!$C$2:$C$1199,0)),"",HYPERLINK("#Acts!A"&amp;INDEX('Compliance Database'!$P$2:$P$1199,MATCH(527,Engine!$C$2:$C$1199,0)),"Go to Act"))</f>
        <v/>
      </c>
    </row>
    <row r="541" spans="1:16" ht="172.95" customHeight="1" x14ac:dyDescent="0.3">
      <c r="A541" s="6" t="str">
        <f>IF(ISNA(MATCH(528,Engine!$C$2:$C$1199,0)),"",INDEX('Compliance Database'!$A$2:$A$1199,MATCH(528,Engine!$C$2:$C$1199,0)))</f>
        <v/>
      </c>
      <c r="B541" s="6" t="str">
        <f>IF(ISNA(MATCH(528,Engine!$C$2:$C$1199,0)),"",INDEX('Compliance Database'!$B$2:$B$1199,MATCH(528,Engine!$C$2:$C$1199,0)))</f>
        <v/>
      </c>
      <c r="C541" s="6" t="str">
        <f>IF(ISNA(MATCH(528,Engine!$C$2:$C$1199,0)),"",INDEX('Compliance Database'!$C$2:$C$1199,MATCH(528,Engine!$C$2:$C$1199,0)))</f>
        <v/>
      </c>
      <c r="D541" s="7" t="str">
        <f>IF(ISNA(MATCH(528,Engine!$C$2:$C$1199,0)),"",INDEX('Compliance Database'!$D$2:$D$1199,MATCH(528,Engine!$C$2:$C$1199,0)))</f>
        <v/>
      </c>
      <c r="E541" s="6" t="str">
        <f>IF(ISNA(MATCH(528,Engine!$C$2:$C$1199,0)),"",INDEX('Compliance Database'!$E$2:$E$1199,MATCH(528,Engine!$C$2:$C$1199,0)))</f>
        <v/>
      </c>
      <c r="F541" s="6" t="str">
        <f>IF(ISNA(MATCH(528,Engine!$C$2:$C$1199,0)),"",INDEX('Compliance Database'!$F$2:$F$1199,MATCH(528,Engine!$C$2:$C$1199,0)))</f>
        <v/>
      </c>
      <c r="G541" s="6" t="str">
        <f>IF(ISNA(MATCH(528,Engine!$C$2:$C$1199,0)),"",INDEX('Compliance Database'!$G$2:$G$1199,MATCH(528,Engine!$C$2:$C$1199,0)))</f>
        <v/>
      </c>
      <c r="H541" s="7" t="str">
        <f>IF(ISNA(MATCH(528,Engine!$C$2:$C$1199,0)),"",INDEX('Compliance Database'!$H$2:$H$1199,MATCH(528,Engine!$C$2:$C$1199,0)))</f>
        <v/>
      </c>
      <c r="I541" s="7" t="str">
        <f>IF(ISNA(MATCH(528,Engine!$C$2:$C$1199,0)),"",INDEX('Compliance Database'!$I$2:$I$1199,MATCH(528,Engine!$C$2:$C$1199,0)))</f>
        <v/>
      </c>
      <c r="J541" s="6" t="str">
        <f>IF(ISNA(MATCH(528,Engine!$C$2:$C$1199,0)),"",INDEX('Compliance Database'!$J$2:$J$1199,MATCH(528,Engine!$C$2:$C$1199,0)))</f>
        <v/>
      </c>
      <c r="K541" s="7" t="str">
        <f>IF(ISNA(MATCH(528,Engine!$C$2:$C$1199,0)),"",INDEX('Compliance Database'!$K$2:$K$1199,MATCH(528,Engine!$C$2:$C$1199,0)))</f>
        <v/>
      </c>
      <c r="L541" s="7" t="str">
        <f>IF(ISNA(MATCH(528,Engine!$C$2:$C$1199,0)),"",INDEX('Compliance Database'!$L$2:$L$1199,MATCH(528,Engine!$C$2:$C$1199,0)))</f>
        <v/>
      </c>
      <c r="M541" s="7" t="str">
        <f>IF(ISNA(MATCH(528,Engine!$C$2:$C$1199,0)),"",INDEX('Compliance Database'!$M$2:$M$1199,MATCH(528,Engine!$C$2:$C$1199,0)))</f>
        <v/>
      </c>
      <c r="N541" s="7" t="str">
        <f>IF(ISNA(MATCH(528,Engine!$C$2:$C$1199,0)),"",INDEX('Compliance Database'!$N$2:$N$1199,MATCH(528,Engine!$C$2:$C$1199,0)))</f>
        <v/>
      </c>
      <c r="O541" s="7" t="str">
        <f>IF(ISNA(MATCH(528,Engine!$C$2:$C$1199,0)),"",INDEX('Compliance Database'!$O$2:$O$1199,MATCH(528,Engine!$C$2:$C$1199,0)))</f>
        <v/>
      </c>
      <c r="P541" s="6" t="str">
        <f>IF(ISNA(MATCH(528,Engine!$C$2:$C$1199,0)),"",HYPERLINK("#Acts!A"&amp;INDEX('Compliance Database'!$P$2:$P$1199,MATCH(528,Engine!$C$2:$C$1199,0)),"Go to Act"))</f>
        <v/>
      </c>
    </row>
    <row r="542" spans="1:16" ht="172.95" customHeight="1" x14ac:dyDescent="0.3">
      <c r="A542" s="6" t="str">
        <f>IF(ISNA(MATCH(529,Engine!$C$2:$C$1199,0)),"",INDEX('Compliance Database'!$A$2:$A$1199,MATCH(529,Engine!$C$2:$C$1199,0)))</f>
        <v/>
      </c>
      <c r="B542" s="6" t="str">
        <f>IF(ISNA(MATCH(529,Engine!$C$2:$C$1199,0)),"",INDEX('Compliance Database'!$B$2:$B$1199,MATCH(529,Engine!$C$2:$C$1199,0)))</f>
        <v/>
      </c>
      <c r="C542" s="6" t="str">
        <f>IF(ISNA(MATCH(529,Engine!$C$2:$C$1199,0)),"",INDEX('Compliance Database'!$C$2:$C$1199,MATCH(529,Engine!$C$2:$C$1199,0)))</f>
        <v/>
      </c>
      <c r="D542" s="7" t="str">
        <f>IF(ISNA(MATCH(529,Engine!$C$2:$C$1199,0)),"",INDEX('Compliance Database'!$D$2:$D$1199,MATCH(529,Engine!$C$2:$C$1199,0)))</f>
        <v/>
      </c>
      <c r="E542" s="6" t="str">
        <f>IF(ISNA(MATCH(529,Engine!$C$2:$C$1199,0)),"",INDEX('Compliance Database'!$E$2:$E$1199,MATCH(529,Engine!$C$2:$C$1199,0)))</f>
        <v/>
      </c>
      <c r="F542" s="6" t="str">
        <f>IF(ISNA(MATCH(529,Engine!$C$2:$C$1199,0)),"",INDEX('Compliance Database'!$F$2:$F$1199,MATCH(529,Engine!$C$2:$C$1199,0)))</f>
        <v/>
      </c>
      <c r="G542" s="6" t="str">
        <f>IF(ISNA(MATCH(529,Engine!$C$2:$C$1199,0)),"",INDEX('Compliance Database'!$G$2:$G$1199,MATCH(529,Engine!$C$2:$C$1199,0)))</f>
        <v/>
      </c>
      <c r="H542" s="7" t="str">
        <f>IF(ISNA(MATCH(529,Engine!$C$2:$C$1199,0)),"",INDEX('Compliance Database'!$H$2:$H$1199,MATCH(529,Engine!$C$2:$C$1199,0)))</f>
        <v/>
      </c>
      <c r="I542" s="7" t="str">
        <f>IF(ISNA(MATCH(529,Engine!$C$2:$C$1199,0)),"",INDEX('Compliance Database'!$I$2:$I$1199,MATCH(529,Engine!$C$2:$C$1199,0)))</f>
        <v/>
      </c>
      <c r="J542" s="6" t="str">
        <f>IF(ISNA(MATCH(529,Engine!$C$2:$C$1199,0)),"",INDEX('Compliance Database'!$J$2:$J$1199,MATCH(529,Engine!$C$2:$C$1199,0)))</f>
        <v/>
      </c>
      <c r="K542" s="7" t="str">
        <f>IF(ISNA(MATCH(529,Engine!$C$2:$C$1199,0)),"",INDEX('Compliance Database'!$K$2:$K$1199,MATCH(529,Engine!$C$2:$C$1199,0)))</f>
        <v/>
      </c>
      <c r="L542" s="7" t="str">
        <f>IF(ISNA(MATCH(529,Engine!$C$2:$C$1199,0)),"",INDEX('Compliance Database'!$L$2:$L$1199,MATCH(529,Engine!$C$2:$C$1199,0)))</f>
        <v/>
      </c>
      <c r="M542" s="7" t="str">
        <f>IF(ISNA(MATCH(529,Engine!$C$2:$C$1199,0)),"",INDEX('Compliance Database'!$M$2:$M$1199,MATCH(529,Engine!$C$2:$C$1199,0)))</f>
        <v/>
      </c>
      <c r="N542" s="7" t="str">
        <f>IF(ISNA(MATCH(529,Engine!$C$2:$C$1199,0)),"",INDEX('Compliance Database'!$N$2:$N$1199,MATCH(529,Engine!$C$2:$C$1199,0)))</f>
        <v/>
      </c>
      <c r="O542" s="7" t="str">
        <f>IF(ISNA(MATCH(529,Engine!$C$2:$C$1199,0)),"",INDEX('Compliance Database'!$O$2:$O$1199,MATCH(529,Engine!$C$2:$C$1199,0)))</f>
        <v/>
      </c>
      <c r="P542" s="6" t="str">
        <f>IF(ISNA(MATCH(529,Engine!$C$2:$C$1199,0)),"",HYPERLINK("#Acts!A"&amp;INDEX('Compliance Database'!$P$2:$P$1199,MATCH(529,Engine!$C$2:$C$1199,0)),"Go to Act"))</f>
        <v/>
      </c>
    </row>
    <row r="543" spans="1:16" ht="172.95" customHeight="1" x14ac:dyDescent="0.3">
      <c r="A543" s="6" t="str">
        <f>IF(ISNA(MATCH(530,Engine!$C$2:$C$1199,0)),"",INDEX('Compliance Database'!$A$2:$A$1199,MATCH(530,Engine!$C$2:$C$1199,0)))</f>
        <v/>
      </c>
      <c r="B543" s="6" t="str">
        <f>IF(ISNA(MATCH(530,Engine!$C$2:$C$1199,0)),"",INDEX('Compliance Database'!$B$2:$B$1199,MATCH(530,Engine!$C$2:$C$1199,0)))</f>
        <v/>
      </c>
      <c r="C543" s="6" t="str">
        <f>IF(ISNA(MATCH(530,Engine!$C$2:$C$1199,0)),"",INDEX('Compliance Database'!$C$2:$C$1199,MATCH(530,Engine!$C$2:$C$1199,0)))</f>
        <v/>
      </c>
      <c r="D543" s="7" t="str">
        <f>IF(ISNA(MATCH(530,Engine!$C$2:$C$1199,0)),"",INDEX('Compliance Database'!$D$2:$D$1199,MATCH(530,Engine!$C$2:$C$1199,0)))</f>
        <v/>
      </c>
      <c r="E543" s="6" t="str">
        <f>IF(ISNA(MATCH(530,Engine!$C$2:$C$1199,0)),"",INDEX('Compliance Database'!$E$2:$E$1199,MATCH(530,Engine!$C$2:$C$1199,0)))</f>
        <v/>
      </c>
      <c r="F543" s="6" t="str">
        <f>IF(ISNA(MATCH(530,Engine!$C$2:$C$1199,0)),"",INDEX('Compliance Database'!$F$2:$F$1199,MATCH(530,Engine!$C$2:$C$1199,0)))</f>
        <v/>
      </c>
      <c r="G543" s="6" t="str">
        <f>IF(ISNA(MATCH(530,Engine!$C$2:$C$1199,0)),"",INDEX('Compliance Database'!$G$2:$G$1199,MATCH(530,Engine!$C$2:$C$1199,0)))</f>
        <v/>
      </c>
      <c r="H543" s="7" t="str">
        <f>IF(ISNA(MATCH(530,Engine!$C$2:$C$1199,0)),"",INDEX('Compliance Database'!$H$2:$H$1199,MATCH(530,Engine!$C$2:$C$1199,0)))</f>
        <v/>
      </c>
      <c r="I543" s="7" t="str">
        <f>IF(ISNA(MATCH(530,Engine!$C$2:$C$1199,0)),"",INDEX('Compliance Database'!$I$2:$I$1199,MATCH(530,Engine!$C$2:$C$1199,0)))</f>
        <v/>
      </c>
      <c r="J543" s="6" t="str">
        <f>IF(ISNA(MATCH(530,Engine!$C$2:$C$1199,0)),"",INDEX('Compliance Database'!$J$2:$J$1199,MATCH(530,Engine!$C$2:$C$1199,0)))</f>
        <v/>
      </c>
      <c r="K543" s="7" t="str">
        <f>IF(ISNA(MATCH(530,Engine!$C$2:$C$1199,0)),"",INDEX('Compliance Database'!$K$2:$K$1199,MATCH(530,Engine!$C$2:$C$1199,0)))</f>
        <v/>
      </c>
      <c r="L543" s="7" t="str">
        <f>IF(ISNA(MATCH(530,Engine!$C$2:$C$1199,0)),"",INDEX('Compliance Database'!$L$2:$L$1199,MATCH(530,Engine!$C$2:$C$1199,0)))</f>
        <v/>
      </c>
      <c r="M543" s="7" t="str">
        <f>IF(ISNA(MATCH(530,Engine!$C$2:$C$1199,0)),"",INDEX('Compliance Database'!$M$2:$M$1199,MATCH(530,Engine!$C$2:$C$1199,0)))</f>
        <v/>
      </c>
      <c r="N543" s="7" t="str">
        <f>IF(ISNA(MATCH(530,Engine!$C$2:$C$1199,0)),"",INDEX('Compliance Database'!$N$2:$N$1199,MATCH(530,Engine!$C$2:$C$1199,0)))</f>
        <v/>
      </c>
      <c r="O543" s="7" t="str">
        <f>IF(ISNA(MATCH(530,Engine!$C$2:$C$1199,0)),"",INDEX('Compliance Database'!$O$2:$O$1199,MATCH(530,Engine!$C$2:$C$1199,0)))</f>
        <v/>
      </c>
      <c r="P543" s="6" t="str">
        <f>IF(ISNA(MATCH(530,Engine!$C$2:$C$1199,0)),"",HYPERLINK("#Acts!A"&amp;INDEX('Compliance Database'!$P$2:$P$1199,MATCH(530,Engine!$C$2:$C$1199,0)),"Go to Act"))</f>
        <v/>
      </c>
    </row>
    <row r="544" spans="1:16" ht="172.95" customHeight="1" x14ac:dyDescent="0.3">
      <c r="A544" s="6" t="str">
        <f>IF(ISNA(MATCH(531,Engine!$C$2:$C$1199,0)),"",INDEX('Compliance Database'!$A$2:$A$1199,MATCH(531,Engine!$C$2:$C$1199,0)))</f>
        <v/>
      </c>
      <c r="B544" s="6" t="str">
        <f>IF(ISNA(MATCH(531,Engine!$C$2:$C$1199,0)),"",INDEX('Compliance Database'!$B$2:$B$1199,MATCH(531,Engine!$C$2:$C$1199,0)))</f>
        <v/>
      </c>
      <c r="C544" s="6" t="str">
        <f>IF(ISNA(MATCH(531,Engine!$C$2:$C$1199,0)),"",INDEX('Compliance Database'!$C$2:$C$1199,MATCH(531,Engine!$C$2:$C$1199,0)))</f>
        <v/>
      </c>
      <c r="D544" s="7" t="str">
        <f>IF(ISNA(MATCH(531,Engine!$C$2:$C$1199,0)),"",INDEX('Compliance Database'!$D$2:$D$1199,MATCH(531,Engine!$C$2:$C$1199,0)))</f>
        <v/>
      </c>
      <c r="E544" s="6" t="str">
        <f>IF(ISNA(MATCH(531,Engine!$C$2:$C$1199,0)),"",INDEX('Compliance Database'!$E$2:$E$1199,MATCH(531,Engine!$C$2:$C$1199,0)))</f>
        <v/>
      </c>
      <c r="F544" s="6" t="str">
        <f>IF(ISNA(MATCH(531,Engine!$C$2:$C$1199,0)),"",INDEX('Compliance Database'!$F$2:$F$1199,MATCH(531,Engine!$C$2:$C$1199,0)))</f>
        <v/>
      </c>
      <c r="G544" s="6" t="str">
        <f>IF(ISNA(MATCH(531,Engine!$C$2:$C$1199,0)),"",INDEX('Compliance Database'!$G$2:$G$1199,MATCH(531,Engine!$C$2:$C$1199,0)))</f>
        <v/>
      </c>
      <c r="H544" s="7" t="str">
        <f>IF(ISNA(MATCH(531,Engine!$C$2:$C$1199,0)),"",INDEX('Compliance Database'!$H$2:$H$1199,MATCH(531,Engine!$C$2:$C$1199,0)))</f>
        <v/>
      </c>
      <c r="I544" s="7" t="str">
        <f>IF(ISNA(MATCH(531,Engine!$C$2:$C$1199,0)),"",INDEX('Compliance Database'!$I$2:$I$1199,MATCH(531,Engine!$C$2:$C$1199,0)))</f>
        <v/>
      </c>
      <c r="J544" s="6" t="str">
        <f>IF(ISNA(MATCH(531,Engine!$C$2:$C$1199,0)),"",INDEX('Compliance Database'!$J$2:$J$1199,MATCH(531,Engine!$C$2:$C$1199,0)))</f>
        <v/>
      </c>
      <c r="K544" s="7" t="str">
        <f>IF(ISNA(MATCH(531,Engine!$C$2:$C$1199,0)),"",INDEX('Compliance Database'!$K$2:$K$1199,MATCH(531,Engine!$C$2:$C$1199,0)))</f>
        <v/>
      </c>
      <c r="L544" s="7" t="str">
        <f>IF(ISNA(MATCH(531,Engine!$C$2:$C$1199,0)),"",INDEX('Compliance Database'!$L$2:$L$1199,MATCH(531,Engine!$C$2:$C$1199,0)))</f>
        <v/>
      </c>
      <c r="M544" s="7" t="str">
        <f>IF(ISNA(MATCH(531,Engine!$C$2:$C$1199,0)),"",INDEX('Compliance Database'!$M$2:$M$1199,MATCH(531,Engine!$C$2:$C$1199,0)))</f>
        <v/>
      </c>
      <c r="N544" s="7" t="str">
        <f>IF(ISNA(MATCH(531,Engine!$C$2:$C$1199,0)),"",INDEX('Compliance Database'!$N$2:$N$1199,MATCH(531,Engine!$C$2:$C$1199,0)))</f>
        <v/>
      </c>
      <c r="O544" s="7" t="str">
        <f>IF(ISNA(MATCH(531,Engine!$C$2:$C$1199,0)),"",INDEX('Compliance Database'!$O$2:$O$1199,MATCH(531,Engine!$C$2:$C$1199,0)))</f>
        <v/>
      </c>
      <c r="P544" s="6" t="str">
        <f>IF(ISNA(MATCH(531,Engine!$C$2:$C$1199,0)),"",HYPERLINK("#Acts!A"&amp;INDEX('Compliance Database'!$P$2:$P$1199,MATCH(531,Engine!$C$2:$C$1199,0)),"Go to Act"))</f>
        <v/>
      </c>
    </row>
    <row r="545" spans="1:16" ht="172.95" customHeight="1" x14ac:dyDescent="0.3">
      <c r="A545" s="6" t="str">
        <f>IF(ISNA(MATCH(532,Engine!$C$2:$C$1199,0)),"",INDEX('Compliance Database'!$A$2:$A$1199,MATCH(532,Engine!$C$2:$C$1199,0)))</f>
        <v/>
      </c>
      <c r="B545" s="6" t="str">
        <f>IF(ISNA(MATCH(532,Engine!$C$2:$C$1199,0)),"",INDEX('Compliance Database'!$B$2:$B$1199,MATCH(532,Engine!$C$2:$C$1199,0)))</f>
        <v/>
      </c>
      <c r="C545" s="6" t="str">
        <f>IF(ISNA(MATCH(532,Engine!$C$2:$C$1199,0)),"",INDEX('Compliance Database'!$C$2:$C$1199,MATCH(532,Engine!$C$2:$C$1199,0)))</f>
        <v/>
      </c>
      <c r="D545" s="7" t="str">
        <f>IF(ISNA(MATCH(532,Engine!$C$2:$C$1199,0)),"",INDEX('Compliance Database'!$D$2:$D$1199,MATCH(532,Engine!$C$2:$C$1199,0)))</f>
        <v/>
      </c>
      <c r="E545" s="6" t="str">
        <f>IF(ISNA(MATCH(532,Engine!$C$2:$C$1199,0)),"",INDEX('Compliance Database'!$E$2:$E$1199,MATCH(532,Engine!$C$2:$C$1199,0)))</f>
        <v/>
      </c>
      <c r="F545" s="6" t="str">
        <f>IF(ISNA(MATCH(532,Engine!$C$2:$C$1199,0)),"",INDEX('Compliance Database'!$F$2:$F$1199,MATCH(532,Engine!$C$2:$C$1199,0)))</f>
        <v/>
      </c>
      <c r="G545" s="6" t="str">
        <f>IF(ISNA(MATCH(532,Engine!$C$2:$C$1199,0)),"",INDEX('Compliance Database'!$G$2:$G$1199,MATCH(532,Engine!$C$2:$C$1199,0)))</f>
        <v/>
      </c>
      <c r="H545" s="7" t="str">
        <f>IF(ISNA(MATCH(532,Engine!$C$2:$C$1199,0)),"",INDEX('Compliance Database'!$H$2:$H$1199,MATCH(532,Engine!$C$2:$C$1199,0)))</f>
        <v/>
      </c>
      <c r="I545" s="7" t="str">
        <f>IF(ISNA(MATCH(532,Engine!$C$2:$C$1199,0)),"",INDEX('Compliance Database'!$I$2:$I$1199,MATCH(532,Engine!$C$2:$C$1199,0)))</f>
        <v/>
      </c>
      <c r="J545" s="6" t="str">
        <f>IF(ISNA(MATCH(532,Engine!$C$2:$C$1199,0)),"",INDEX('Compliance Database'!$J$2:$J$1199,MATCH(532,Engine!$C$2:$C$1199,0)))</f>
        <v/>
      </c>
      <c r="K545" s="7" t="str">
        <f>IF(ISNA(MATCH(532,Engine!$C$2:$C$1199,0)),"",INDEX('Compliance Database'!$K$2:$K$1199,MATCH(532,Engine!$C$2:$C$1199,0)))</f>
        <v/>
      </c>
      <c r="L545" s="7" t="str">
        <f>IF(ISNA(MATCH(532,Engine!$C$2:$C$1199,0)),"",INDEX('Compliance Database'!$L$2:$L$1199,MATCH(532,Engine!$C$2:$C$1199,0)))</f>
        <v/>
      </c>
      <c r="M545" s="7" t="str">
        <f>IF(ISNA(MATCH(532,Engine!$C$2:$C$1199,0)),"",INDEX('Compliance Database'!$M$2:$M$1199,MATCH(532,Engine!$C$2:$C$1199,0)))</f>
        <v/>
      </c>
      <c r="N545" s="7" t="str">
        <f>IF(ISNA(MATCH(532,Engine!$C$2:$C$1199,0)),"",INDEX('Compliance Database'!$N$2:$N$1199,MATCH(532,Engine!$C$2:$C$1199,0)))</f>
        <v/>
      </c>
      <c r="O545" s="7" t="str">
        <f>IF(ISNA(MATCH(532,Engine!$C$2:$C$1199,0)),"",INDEX('Compliance Database'!$O$2:$O$1199,MATCH(532,Engine!$C$2:$C$1199,0)))</f>
        <v/>
      </c>
      <c r="P545" s="6" t="str">
        <f>IF(ISNA(MATCH(532,Engine!$C$2:$C$1199,0)),"",HYPERLINK("#Acts!A"&amp;INDEX('Compliance Database'!$P$2:$P$1199,MATCH(532,Engine!$C$2:$C$1199,0)),"Go to Act"))</f>
        <v/>
      </c>
    </row>
    <row r="546" spans="1:16" ht="172.95" customHeight="1" x14ac:dyDescent="0.3">
      <c r="A546" s="6" t="str">
        <f>IF(ISNA(MATCH(533,Engine!$C$2:$C$1199,0)),"",INDEX('Compliance Database'!$A$2:$A$1199,MATCH(533,Engine!$C$2:$C$1199,0)))</f>
        <v/>
      </c>
      <c r="B546" s="6" t="str">
        <f>IF(ISNA(MATCH(533,Engine!$C$2:$C$1199,0)),"",INDEX('Compliance Database'!$B$2:$B$1199,MATCH(533,Engine!$C$2:$C$1199,0)))</f>
        <v/>
      </c>
      <c r="C546" s="6" t="str">
        <f>IF(ISNA(MATCH(533,Engine!$C$2:$C$1199,0)),"",INDEX('Compliance Database'!$C$2:$C$1199,MATCH(533,Engine!$C$2:$C$1199,0)))</f>
        <v/>
      </c>
      <c r="D546" s="7" t="str">
        <f>IF(ISNA(MATCH(533,Engine!$C$2:$C$1199,0)),"",INDEX('Compliance Database'!$D$2:$D$1199,MATCH(533,Engine!$C$2:$C$1199,0)))</f>
        <v/>
      </c>
      <c r="E546" s="6" t="str">
        <f>IF(ISNA(MATCH(533,Engine!$C$2:$C$1199,0)),"",INDEX('Compliance Database'!$E$2:$E$1199,MATCH(533,Engine!$C$2:$C$1199,0)))</f>
        <v/>
      </c>
      <c r="F546" s="6" t="str">
        <f>IF(ISNA(MATCH(533,Engine!$C$2:$C$1199,0)),"",INDEX('Compliance Database'!$F$2:$F$1199,MATCH(533,Engine!$C$2:$C$1199,0)))</f>
        <v/>
      </c>
      <c r="G546" s="6" t="str">
        <f>IF(ISNA(MATCH(533,Engine!$C$2:$C$1199,0)),"",INDEX('Compliance Database'!$G$2:$G$1199,MATCH(533,Engine!$C$2:$C$1199,0)))</f>
        <v/>
      </c>
      <c r="H546" s="7" t="str">
        <f>IF(ISNA(MATCH(533,Engine!$C$2:$C$1199,0)),"",INDEX('Compliance Database'!$H$2:$H$1199,MATCH(533,Engine!$C$2:$C$1199,0)))</f>
        <v/>
      </c>
      <c r="I546" s="7" t="str">
        <f>IF(ISNA(MATCH(533,Engine!$C$2:$C$1199,0)),"",INDEX('Compliance Database'!$I$2:$I$1199,MATCH(533,Engine!$C$2:$C$1199,0)))</f>
        <v/>
      </c>
      <c r="J546" s="6" t="str">
        <f>IF(ISNA(MATCH(533,Engine!$C$2:$C$1199,0)),"",INDEX('Compliance Database'!$J$2:$J$1199,MATCH(533,Engine!$C$2:$C$1199,0)))</f>
        <v/>
      </c>
      <c r="K546" s="7" t="str">
        <f>IF(ISNA(MATCH(533,Engine!$C$2:$C$1199,0)),"",INDEX('Compliance Database'!$K$2:$K$1199,MATCH(533,Engine!$C$2:$C$1199,0)))</f>
        <v/>
      </c>
      <c r="L546" s="7" t="str">
        <f>IF(ISNA(MATCH(533,Engine!$C$2:$C$1199,0)),"",INDEX('Compliance Database'!$L$2:$L$1199,MATCH(533,Engine!$C$2:$C$1199,0)))</f>
        <v/>
      </c>
      <c r="M546" s="7" t="str">
        <f>IF(ISNA(MATCH(533,Engine!$C$2:$C$1199,0)),"",INDEX('Compliance Database'!$M$2:$M$1199,MATCH(533,Engine!$C$2:$C$1199,0)))</f>
        <v/>
      </c>
      <c r="N546" s="7" t="str">
        <f>IF(ISNA(MATCH(533,Engine!$C$2:$C$1199,0)),"",INDEX('Compliance Database'!$N$2:$N$1199,MATCH(533,Engine!$C$2:$C$1199,0)))</f>
        <v/>
      </c>
      <c r="O546" s="7" t="str">
        <f>IF(ISNA(MATCH(533,Engine!$C$2:$C$1199,0)),"",INDEX('Compliance Database'!$O$2:$O$1199,MATCH(533,Engine!$C$2:$C$1199,0)))</f>
        <v/>
      </c>
      <c r="P546" s="6" t="str">
        <f>IF(ISNA(MATCH(533,Engine!$C$2:$C$1199,0)),"",HYPERLINK("#Acts!A"&amp;INDEX('Compliance Database'!$P$2:$P$1199,MATCH(533,Engine!$C$2:$C$1199,0)),"Go to Act"))</f>
        <v/>
      </c>
    </row>
    <row r="547" spans="1:16" ht="172.95" customHeight="1" x14ac:dyDescent="0.3">
      <c r="A547" s="6" t="str">
        <f>IF(ISNA(MATCH(534,Engine!$C$2:$C$1199,0)),"",INDEX('Compliance Database'!$A$2:$A$1199,MATCH(534,Engine!$C$2:$C$1199,0)))</f>
        <v/>
      </c>
      <c r="B547" s="6" t="str">
        <f>IF(ISNA(MATCH(534,Engine!$C$2:$C$1199,0)),"",INDEX('Compliance Database'!$B$2:$B$1199,MATCH(534,Engine!$C$2:$C$1199,0)))</f>
        <v/>
      </c>
      <c r="C547" s="6" t="str">
        <f>IF(ISNA(MATCH(534,Engine!$C$2:$C$1199,0)),"",INDEX('Compliance Database'!$C$2:$C$1199,MATCH(534,Engine!$C$2:$C$1199,0)))</f>
        <v/>
      </c>
      <c r="D547" s="7" t="str">
        <f>IF(ISNA(MATCH(534,Engine!$C$2:$C$1199,0)),"",INDEX('Compliance Database'!$D$2:$D$1199,MATCH(534,Engine!$C$2:$C$1199,0)))</f>
        <v/>
      </c>
      <c r="E547" s="6" t="str">
        <f>IF(ISNA(MATCH(534,Engine!$C$2:$C$1199,0)),"",INDEX('Compliance Database'!$E$2:$E$1199,MATCH(534,Engine!$C$2:$C$1199,0)))</f>
        <v/>
      </c>
      <c r="F547" s="6" t="str">
        <f>IF(ISNA(MATCH(534,Engine!$C$2:$C$1199,0)),"",INDEX('Compliance Database'!$F$2:$F$1199,MATCH(534,Engine!$C$2:$C$1199,0)))</f>
        <v/>
      </c>
      <c r="G547" s="6" t="str">
        <f>IF(ISNA(MATCH(534,Engine!$C$2:$C$1199,0)),"",INDEX('Compliance Database'!$G$2:$G$1199,MATCH(534,Engine!$C$2:$C$1199,0)))</f>
        <v/>
      </c>
      <c r="H547" s="7" t="str">
        <f>IF(ISNA(MATCH(534,Engine!$C$2:$C$1199,0)),"",INDEX('Compliance Database'!$H$2:$H$1199,MATCH(534,Engine!$C$2:$C$1199,0)))</f>
        <v/>
      </c>
      <c r="I547" s="7" t="str">
        <f>IF(ISNA(MATCH(534,Engine!$C$2:$C$1199,0)),"",INDEX('Compliance Database'!$I$2:$I$1199,MATCH(534,Engine!$C$2:$C$1199,0)))</f>
        <v/>
      </c>
      <c r="J547" s="6" t="str">
        <f>IF(ISNA(MATCH(534,Engine!$C$2:$C$1199,0)),"",INDEX('Compliance Database'!$J$2:$J$1199,MATCH(534,Engine!$C$2:$C$1199,0)))</f>
        <v/>
      </c>
      <c r="K547" s="7" t="str">
        <f>IF(ISNA(MATCH(534,Engine!$C$2:$C$1199,0)),"",INDEX('Compliance Database'!$K$2:$K$1199,MATCH(534,Engine!$C$2:$C$1199,0)))</f>
        <v/>
      </c>
      <c r="L547" s="7" t="str">
        <f>IF(ISNA(MATCH(534,Engine!$C$2:$C$1199,0)),"",INDEX('Compliance Database'!$L$2:$L$1199,MATCH(534,Engine!$C$2:$C$1199,0)))</f>
        <v/>
      </c>
      <c r="M547" s="7" t="str">
        <f>IF(ISNA(MATCH(534,Engine!$C$2:$C$1199,0)),"",INDEX('Compliance Database'!$M$2:$M$1199,MATCH(534,Engine!$C$2:$C$1199,0)))</f>
        <v/>
      </c>
      <c r="N547" s="7" t="str">
        <f>IF(ISNA(MATCH(534,Engine!$C$2:$C$1199,0)),"",INDEX('Compliance Database'!$N$2:$N$1199,MATCH(534,Engine!$C$2:$C$1199,0)))</f>
        <v/>
      </c>
      <c r="O547" s="7" t="str">
        <f>IF(ISNA(MATCH(534,Engine!$C$2:$C$1199,0)),"",INDEX('Compliance Database'!$O$2:$O$1199,MATCH(534,Engine!$C$2:$C$1199,0)))</f>
        <v/>
      </c>
      <c r="P547" s="6" t="str">
        <f>IF(ISNA(MATCH(534,Engine!$C$2:$C$1199,0)),"",HYPERLINK("#Acts!A"&amp;INDEX('Compliance Database'!$P$2:$P$1199,MATCH(534,Engine!$C$2:$C$1199,0)),"Go to Act"))</f>
        <v/>
      </c>
    </row>
    <row r="548" spans="1:16" ht="172.95" customHeight="1" x14ac:dyDescent="0.3">
      <c r="A548" s="6" t="str">
        <f>IF(ISNA(MATCH(535,Engine!$C$2:$C$1199,0)),"",INDEX('Compliance Database'!$A$2:$A$1199,MATCH(535,Engine!$C$2:$C$1199,0)))</f>
        <v/>
      </c>
      <c r="B548" s="6" t="str">
        <f>IF(ISNA(MATCH(535,Engine!$C$2:$C$1199,0)),"",INDEX('Compliance Database'!$B$2:$B$1199,MATCH(535,Engine!$C$2:$C$1199,0)))</f>
        <v/>
      </c>
      <c r="C548" s="6" t="str">
        <f>IF(ISNA(MATCH(535,Engine!$C$2:$C$1199,0)),"",INDEX('Compliance Database'!$C$2:$C$1199,MATCH(535,Engine!$C$2:$C$1199,0)))</f>
        <v/>
      </c>
      <c r="D548" s="7" t="str">
        <f>IF(ISNA(MATCH(535,Engine!$C$2:$C$1199,0)),"",INDEX('Compliance Database'!$D$2:$D$1199,MATCH(535,Engine!$C$2:$C$1199,0)))</f>
        <v/>
      </c>
      <c r="E548" s="6" t="str">
        <f>IF(ISNA(MATCH(535,Engine!$C$2:$C$1199,0)),"",INDEX('Compliance Database'!$E$2:$E$1199,MATCH(535,Engine!$C$2:$C$1199,0)))</f>
        <v/>
      </c>
      <c r="F548" s="6" t="str">
        <f>IF(ISNA(MATCH(535,Engine!$C$2:$C$1199,0)),"",INDEX('Compliance Database'!$F$2:$F$1199,MATCH(535,Engine!$C$2:$C$1199,0)))</f>
        <v/>
      </c>
      <c r="G548" s="6" t="str">
        <f>IF(ISNA(MATCH(535,Engine!$C$2:$C$1199,0)),"",INDEX('Compliance Database'!$G$2:$G$1199,MATCH(535,Engine!$C$2:$C$1199,0)))</f>
        <v/>
      </c>
      <c r="H548" s="7" t="str">
        <f>IF(ISNA(MATCH(535,Engine!$C$2:$C$1199,0)),"",INDEX('Compliance Database'!$H$2:$H$1199,MATCH(535,Engine!$C$2:$C$1199,0)))</f>
        <v/>
      </c>
      <c r="I548" s="7" t="str">
        <f>IF(ISNA(MATCH(535,Engine!$C$2:$C$1199,0)),"",INDEX('Compliance Database'!$I$2:$I$1199,MATCH(535,Engine!$C$2:$C$1199,0)))</f>
        <v/>
      </c>
      <c r="J548" s="6" t="str">
        <f>IF(ISNA(MATCH(535,Engine!$C$2:$C$1199,0)),"",INDEX('Compliance Database'!$J$2:$J$1199,MATCH(535,Engine!$C$2:$C$1199,0)))</f>
        <v/>
      </c>
      <c r="K548" s="7" t="str">
        <f>IF(ISNA(MATCH(535,Engine!$C$2:$C$1199,0)),"",INDEX('Compliance Database'!$K$2:$K$1199,MATCH(535,Engine!$C$2:$C$1199,0)))</f>
        <v/>
      </c>
      <c r="L548" s="7" t="str">
        <f>IF(ISNA(MATCH(535,Engine!$C$2:$C$1199,0)),"",INDEX('Compliance Database'!$L$2:$L$1199,MATCH(535,Engine!$C$2:$C$1199,0)))</f>
        <v/>
      </c>
      <c r="M548" s="7" t="str">
        <f>IF(ISNA(MATCH(535,Engine!$C$2:$C$1199,0)),"",INDEX('Compliance Database'!$M$2:$M$1199,MATCH(535,Engine!$C$2:$C$1199,0)))</f>
        <v/>
      </c>
      <c r="N548" s="7" t="str">
        <f>IF(ISNA(MATCH(535,Engine!$C$2:$C$1199,0)),"",INDEX('Compliance Database'!$N$2:$N$1199,MATCH(535,Engine!$C$2:$C$1199,0)))</f>
        <v/>
      </c>
      <c r="O548" s="7" t="str">
        <f>IF(ISNA(MATCH(535,Engine!$C$2:$C$1199,0)),"",INDEX('Compliance Database'!$O$2:$O$1199,MATCH(535,Engine!$C$2:$C$1199,0)))</f>
        <v/>
      </c>
      <c r="P548" s="6" t="str">
        <f>IF(ISNA(MATCH(535,Engine!$C$2:$C$1199,0)),"",HYPERLINK("#Acts!A"&amp;INDEX('Compliance Database'!$P$2:$P$1199,MATCH(535,Engine!$C$2:$C$1199,0)),"Go to Act"))</f>
        <v/>
      </c>
    </row>
    <row r="549" spans="1:16" ht="172.95" customHeight="1" x14ac:dyDescent="0.3">
      <c r="A549" s="6" t="str">
        <f>IF(ISNA(MATCH(536,Engine!$C$2:$C$1199,0)),"",INDEX('Compliance Database'!$A$2:$A$1199,MATCH(536,Engine!$C$2:$C$1199,0)))</f>
        <v/>
      </c>
      <c r="B549" s="6" t="str">
        <f>IF(ISNA(MATCH(536,Engine!$C$2:$C$1199,0)),"",INDEX('Compliance Database'!$B$2:$B$1199,MATCH(536,Engine!$C$2:$C$1199,0)))</f>
        <v/>
      </c>
      <c r="C549" s="6" t="str">
        <f>IF(ISNA(MATCH(536,Engine!$C$2:$C$1199,0)),"",INDEX('Compliance Database'!$C$2:$C$1199,MATCH(536,Engine!$C$2:$C$1199,0)))</f>
        <v/>
      </c>
      <c r="D549" s="7" t="str">
        <f>IF(ISNA(MATCH(536,Engine!$C$2:$C$1199,0)),"",INDEX('Compliance Database'!$D$2:$D$1199,MATCH(536,Engine!$C$2:$C$1199,0)))</f>
        <v/>
      </c>
      <c r="E549" s="6" t="str">
        <f>IF(ISNA(MATCH(536,Engine!$C$2:$C$1199,0)),"",INDEX('Compliance Database'!$E$2:$E$1199,MATCH(536,Engine!$C$2:$C$1199,0)))</f>
        <v/>
      </c>
      <c r="F549" s="6" t="str">
        <f>IF(ISNA(MATCH(536,Engine!$C$2:$C$1199,0)),"",INDEX('Compliance Database'!$F$2:$F$1199,MATCH(536,Engine!$C$2:$C$1199,0)))</f>
        <v/>
      </c>
      <c r="G549" s="6" t="str">
        <f>IF(ISNA(MATCH(536,Engine!$C$2:$C$1199,0)),"",INDEX('Compliance Database'!$G$2:$G$1199,MATCH(536,Engine!$C$2:$C$1199,0)))</f>
        <v/>
      </c>
      <c r="H549" s="7" t="str">
        <f>IF(ISNA(MATCH(536,Engine!$C$2:$C$1199,0)),"",INDEX('Compliance Database'!$H$2:$H$1199,MATCH(536,Engine!$C$2:$C$1199,0)))</f>
        <v/>
      </c>
      <c r="I549" s="7" t="str">
        <f>IF(ISNA(MATCH(536,Engine!$C$2:$C$1199,0)),"",INDEX('Compliance Database'!$I$2:$I$1199,MATCH(536,Engine!$C$2:$C$1199,0)))</f>
        <v/>
      </c>
      <c r="J549" s="6" t="str">
        <f>IF(ISNA(MATCH(536,Engine!$C$2:$C$1199,0)),"",INDEX('Compliance Database'!$J$2:$J$1199,MATCH(536,Engine!$C$2:$C$1199,0)))</f>
        <v/>
      </c>
      <c r="K549" s="7" t="str">
        <f>IF(ISNA(MATCH(536,Engine!$C$2:$C$1199,0)),"",INDEX('Compliance Database'!$K$2:$K$1199,MATCH(536,Engine!$C$2:$C$1199,0)))</f>
        <v/>
      </c>
      <c r="L549" s="7" t="str">
        <f>IF(ISNA(MATCH(536,Engine!$C$2:$C$1199,0)),"",INDEX('Compliance Database'!$L$2:$L$1199,MATCH(536,Engine!$C$2:$C$1199,0)))</f>
        <v/>
      </c>
      <c r="M549" s="7" t="str">
        <f>IF(ISNA(MATCH(536,Engine!$C$2:$C$1199,0)),"",INDEX('Compliance Database'!$M$2:$M$1199,MATCH(536,Engine!$C$2:$C$1199,0)))</f>
        <v/>
      </c>
      <c r="N549" s="7" t="str">
        <f>IF(ISNA(MATCH(536,Engine!$C$2:$C$1199,0)),"",INDEX('Compliance Database'!$N$2:$N$1199,MATCH(536,Engine!$C$2:$C$1199,0)))</f>
        <v/>
      </c>
      <c r="O549" s="7" t="str">
        <f>IF(ISNA(MATCH(536,Engine!$C$2:$C$1199,0)),"",INDEX('Compliance Database'!$O$2:$O$1199,MATCH(536,Engine!$C$2:$C$1199,0)))</f>
        <v/>
      </c>
      <c r="P549" s="6" t="str">
        <f>IF(ISNA(MATCH(536,Engine!$C$2:$C$1199,0)),"",HYPERLINK("#Acts!A"&amp;INDEX('Compliance Database'!$P$2:$P$1199,MATCH(536,Engine!$C$2:$C$1199,0)),"Go to Act"))</f>
        <v/>
      </c>
    </row>
    <row r="550" spans="1:16" ht="172.95" customHeight="1" x14ac:dyDescent="0.3">
      <c r="A550" s="6" t="str">
        <f>IF(ISNA(MATCH(537,Engine!$C$2:$C$1199,0)),"",INDEX('Compliance Database'!$A$2:$A$1199,MATCH(537,Engine!$C$2:$C$1199,0)))</f>
        <v/>
      </c>
      <c r="B550" s="6" t="str">
        <f>IF(ISNA(MATCH(537,Engine!$C$2:$C$1199,0)),"",INDEX('Compliance Database'!$B$2:$B$1199,MATCH(537,Engine!$C$2:$C$1199,0)))</f>
        <v/>
      </c>
      <c r="C550" s="6" t="str">
        <f>IF(ISNA(MATCH(537,Engine!$C$2:$C$1199,0)),"",INDEX('Compliance Database'!$C$2:$C$1199,MATCH(537,Engine!$C$2:$C$1199,0)))</f>
        <v/>
      </c>
      <c r="D550" s="7" t="str">
        <f>IF(ISNA(MATCH(537,Engine!$C$2:$C$1199,0)),"",INDEX('Compliance Database'!$D$2:$D$1199,MATCH(537,Engine!$C$2:$C$1199,0)))</f>
        <v/>
      </c>
      <c r="E550" s="6" t="str">
        <f>IF(ISNA(MATCH(537,Engine!$C$2:$C$1199,0)),"",INDEX('Compliance Database'!$E$2:$E$1199,MATCH(537,Engine!$C$2:$C$1199,0)))</f>
        <v/>
      </c>
      <c r="F550" s="6" t="str">
        <f>IF(ISNA(MATCH(537,Engine!$C$2:$C$1199,0)),"",INDEX('Compliance Database'!$F$2:$F$1199,MATCH(537,Engine!$C$2:$C$1199,0)))</f>
        <v/>
      </c>
      <c r="G550" s="6" t="str">
        <f>IF(ISNA(MATCH(537,Engine!$C$2:$C$1199,0)),"",INDEX('Compliance Database'!$G$2:$G$1199,MATCH(537,Engine!$C$2:$C$1199,0)))</f>
        <v/>
      </c>
      <c r="H550" s="7" t="str">
        <f>IF(ISNA(MATCH(537,Engine!$C$2:$C$1199,0)),"",INDEX('Compliance Database'!$H$2:$H$1199,MATCH(537,Engine!$C$2:$C$1199,0)))</f>
        <v/>
      </c>
      <c r="I550" s="7" t="str">
        <f>IF(ISNA(MATCH(537,Engine!$C$2:$C$1199,0)),"",INDEX('Compliance Database'!$I$2:$I$1199,MATCH(537,Engine!$C$2:$C$1199,0)))</f>
        <v/>
      </c>
      <c r="J550" s="6" t="str">
        <f>IF(ISNA(MATCH(537,Engine!$C$2:$C$1199,0)),"",INDEX('Compliance Database'!$J$2:$J$1199,MATCH(537,Engine!$C$2:$C$1199,0)))</f>
        <v/>
      </c>
      <c r="K550" s="7" t="str">
        <f>IF(ISNA(MATCH(537,Engine!$C$2:$C$1199,0)),"",INDEX('Compliance Database'!$K$2:$K$1199,MATCH(537,Engine!$C$2:$C$1199,0)))</f>
        <v/>
      </c>
      <c r="L550" s="7" t="str">
        <f>IF(ISNA(MATCH(537,Engine!$C$2:$C$1199,0)),"",INDEX('Compliance Database'!$L$2:$L$1199,MATCH(537,Engine!$C$2:$C$1199,0)))</f>
        <v/>
      </c>
      <c r="M550" s="7" t="str">
        <f>IF(ISNA(MATCH(537,Engine!$C$2:$C$1199,0)),"",INDEX('Compliance Database'!$M$2:$M$1199,MATCH(537,Engine!$C$2:$C$1199,0)))</f>
        <v/>
      </c>
      <c r="N550" s="7" t="str">
        <f>IF(ISNA(MATCH(537,Engine!$C$2:$C$1199,0)),"",INDEX('Compliance Database'!$N$2:$N$1199,MATCH(537,Engine!$C$2:$C$1199,0)))</f>
        <v/>
      </c>
      <c r="O550" s="7" t="str">
        <f>IF(ISNA(MATCH(537,Engine!$C$2:$C$1199,0)),"",INDEX('Compliance Database'!$O$2:$O$1199,MATCH(537,Engine!$C$2:$C$1199,0)))</f>
        <v/>
      </c>
      <c r="P550" s="6" t="str">
        <f>IF(ISNA(MATCH(537,Engine!$C$2:$C$1199,0)),"",HYPERLINK("#Acts!A"&amp;INDEX('Compliance Database'!$P$2:$P$1199,MATCH(537,Engine!$C$2:$C$1199,0)),"Go to Act"))</f>
        <v/>
      </c>
    </row>
    <row r="551" spans="1:16" ht="172.95" customHeight="1" x14ac:dyDescent="0.3">
      <c r="A551" s="6" t="str">
        <f>IF(ISNA(MATCH(538,Engine!$C$2:$C$1199,0)),"",INDEX('Compliance Database'!$A$2:$A$1199,MATCH(538,Engine!$C$2:$C$1199,0)))</f>
        <v/>
      </c>
      <c r="B551" s="6" t="str">
        <f>IF(ISNA(MATCH(538,Engine!$C$2:$C$1199,0)),"",INDEX('Compliance Database'!$B$2:$B$1199,MATCH(538,Engine!$C$2:$C$1199,0)))</f>
        <v/>
      </c>
      <c r="C551" s="6" t="str">
        <f>IF(ISNA(MATCH(538,Engine!$C$2:$C$1199,0)),"",INDEX('Compliance Database'!$C$2:$C$1199,MATCH(538,Engine!$C$2:$C$1199,0)))</f>
        <v/>
      </c>
      <c r="D551" s="7" t="str">
        <f>IF(ISNA(MATCH(538,Engine!$C$2:$C$1199,0)),"",INDEX('Compliance Database'!$D$2:$D$1199,MATCH(538,Engine!$C$2:$C$1199,0)))</f>
        <v/>
      </c>
      <c r="E551" s="6" t="str">
        <f>IF(ISNA(MATCH(538,Engine!$C$2:$C$1199,0)),"",INDEX('Compliance Database'!$E$2:$E$1199,MATCH(538,Engine!$C$2:$C$1199,0)))</f>
        <v/>
      </c>
      <c r="F551" s="6" t="str">
        <f>IF(ISNA(MATCH(538,Engine!$C$2:$C$1199,0)),"",INDEX('Compliance Database'!$F$2:$F$1199,MATCH(538,Engine!$C$2:$C$1199,0)))</f>
        <v/>
      </c>
      <c r="G551" s="6" t="str">
        <f>IF(ISNA(MATCH(538,Engine!$C$2:$C$1199,0)),"",INDEX('Compliance Database'!$G$2:$G$1199,MATCH(538,Engine!$C$2:$C$1199,0)))</f>
        <v/>
      </c>
      <c r="H551" s="7" t="str">
        <f>IF(ISNA(MATCH(538,Engine!$C$2:$C$1199,0)),"",INDEX('Compliance Database'!$H$2:$H$1199,MATCH(538,Engine!$C$2:$C$1199,0)))</f>
        <v/>
      </c>
      <c r="I551" s="7" t="str">
        <f>IF(ISNA(MATCH(538,Engine!$C$2:$C$1199,0)),"",INDEX('Compliance Database'!$I$2:$I$1199,MATCH(538,Engine!$C$2:$C$1199,0)))</f>
        <v/>
      </c>
      <c r="J551" s="6" t="str">
        <f>IF(ISNA(MATCH(538,Engine!$C$2:$C$1199,0)),"",INDEX('Compliance Database'!$J$2:$J$1199,MATCH(538,Engine!$C$2:$C$1199,0)))</f>
        <v/>
      </c>
      <c r="K551" s="7" t="str">
        <f>IF(ISNA(MATCH(538,Engine!$C$2:$C$1199,0)),"",INDEX('Compliance Database'!$K$2:$K$1199,MATCH(538,Engine!$C$2:$C$1199,0)))</f>
        <v/>
      </c>
      <c r="L551" s="7" t="str">
        <f>IF(ISNA(MATCH(538,Engine!$C$2:$C$1199,0)),"",INDEX('Compliance Database'!$L$2:$L$1199,MATCH(538,Engine!$C$2:$C$1199,0)))</f>
        <v/>
      </c>
      <c r="M551" s="7" t="str">
        <f>IF(ISNA(MATCH(538,Engine!$C$2:$C$1199,0)),"",INDEX('Compliance Database'!$M$2:$M$1199,MATCH(538,Engine!$C$2:$C$1199,0)))</f>
        <v/>
      </c>
      <c r="N551" s="7" t="str">
        <f>IF(ISNA(MATCH(538,Engine!$C$2:$C$1199,0)),"",INDEX('Compliance Database'!$N$2:$N$1199,MATCH(538,Engine!$C$2:$C$1199,0)))</f>
        <v/>
      </c>
      <c r="O551" s="7" t="str">
        <f>IF(ISNA(MATCH(538,Engine!$C$2:$C$1199,0)),"",INDEX('Compliance Database'!$O$2:$O$1199,MATCH(538,Engine!$C$2:$C$1199,0)))</f>
        <v/>
      </c>
      <c r="P551" s="6" t="str">
        <f>IF(ISNA(MATCH(538,Engine!$C$2:$C$1199,0)),"",HYPERLINK("#Acts!A"&amp;INDEX('Compliance Database'!$P$2:$P$1199,MATCH(538,Engine!$C$2:$C$1199,0)),"Go to Act"))</f>
        <v/>
      </c>
    </row>
    <row r="552" spans="1:16" ht="172.95" customHeight="1" x14ac:dyDescent="0.3">
      <c r="A552" s="6" t="str">
        <f>IF(ISNA(MATCH(539,Engine!$C$2:$C$1199,0)),"",INDEX('Compliance Database'!$A$2:$A$1199,MATCH(539,Engine!$C$2:$C$1199,0)))</f>
        <v/>
      </c>
      <c r="B552" s="6" t="str">
        <f>IF(ISNA(MATCH(539,Engine!$C$2:$C$1199,0)),"",INDEX('Compliance Database'!$B$2:$B$1199,MATCH(539,Engine!$C$2:$C$1199,0)))</f>
        <v/>
      </c>
      <c r="C552" s="6" t="str">
        <f>IF(ISNA(MATCH(539,Engine!$C$2:$C$1199,0)),"",INDEX('Compliance Database'!$C$2:$C$1199,MATCH(539,Engine!$C$2:$C$1199,0)))</f>
        <v/>
      </c>
      <c r="D552" s="7" t="str">
        <f>IF(ISNA(MATCH(539,Engine!$C$2:$C$1199,0)),"",INDEX('Compliance Database'!$D$2:$D$1199,MATCH(539,Engine!$C$2:$C$1199,0)))</f>
        <v/>
      </c>
      <c r="E552" s="6" t="str">
        <f>IF(ISNA(MATCH(539,Engine!$C$2:$C$1199,0)),"",INDEX('Compliance Database'!$E$2:$E$1199,MATCH(539,Engine!$C$2:$C$1199,0)))</f>
        <v/>
      </c>
      <c r="F552" s="6" t="str">
        <f>IF(ISNA(MATCH(539,Engine!$C$2:$C$1199,0)),"",INDEX('Compliance Database'!$F$2:$F$1199,MATCH(539,Engine!$C$2:$C$1199,0)))</f>
        <v/>
      </c>
      <c r="G552" s="6" t="str">
        <f>IF(ISNA(MATCH(539,Engine!$C$2:$C$1199,0)),"",INDEX('Compliance Database'!$G$2:$G$1199,MATCH(539,Engine!$C$2:$C$1199,0)))</f>
        <v/>
      </c>
      <c r="H552" s="7" t="str">
        <f>IF(ISNA(MATCH(539,Engine!$C$2:$C$1199,0)),"",INDEX('Compliance Database'!$H$2:$H$1199,MATCH(539,Engine!$C$2:$C$1199,0)))</f>
        <v/>
      </c>
      <c r="I552" s="7" t="str">
        <f>IF(ISNA(MATCH(539,Engine!$C$2:$C$1199,0)),"",INDEX('Compliance Database'!$I$2:$I$1199,MATCH(539,Engine!$C$2:$C$1199,0)))</f>
        <v/>
      </c>
      <c r="J552" s="6" t="str">
        <f>IF(ISNA(MATCH(539,Engine!$C$2:$C$1199,0)),"",INDEX('Compliance Database'!$J$2:$J$1199,MATCH(539,Engine!$C$2:$C$1199,0)))</f>
        <v/>
      </c>
      <c r="K552" s="7" t="str">
        <f>IF(ISNA(MATCH(539,Engine!$C$2:$C$1199,0)),"",INDEX('Compliance Database'!$K$2:$K$1199,MATCH(539,Engine!$C$2:$C$1199,0)))</f>
        <v/>
      </c>
      <c r="L552" s="7" t="str">
        <f>IF(ISNA(MATCH(539,Engine!$C$2:$C$1199,0)),"",INDEX('Compliance Database'!$L$2:$L$1199,MATCH(539,Engine!$C$2:$C$1199,0)))</f>
        <v/>
      </c>
      <c r="M552" s="7" t="str">
        <f>IF(ISNA(MATCH(539,Engine!$C$2:$C$1199,0)),"",INDEX('Compliance Database'!$M$2:$M$1199,MATCH(539,Engine!$C$2:$C$1199,0)))</f>
        <v/>
      </c>
      <c r="N552" s="7" t="str">
        <f>IF(ISNA(MATCH(539,Engine!$C$2:$C$1199,0)),"",INDEX('Compliance Database'!$N$2:$N$1199,MATCH(539,Engine!$C$2:$C$1199,0)))</f>
        <v/>
      </c>
      <c r="O552" s="7" t="str">
        <f>IF(ISNA(MATCH(539,Engine!$C$2:$C$1199,0)),"",INDEX('Compliance Database'!$O$2:$O$1199,MATCH(539,Engine!$C$2:$C$1199,0)))</f>
        <v/>
      </c>
      <c r="P552" s="6" t="str">
        <f>IF(ISNA(MATCH(539,Engine!$C$2:$C$1199,0)),"",HYPERLINK("#Acts!A"&amp;INDEX('Compliance Database'!$P$2:$P$1199,MATCH(539,Engine!$C$2:$C$1199,0)),"Go to Act"))</f>
        <v/>
      </c>
    </row>
    <row r="553" spans="1:16" ht="172.95" customHeight="1" x14ac:dyDescent="0.3">
      <c r="A553" s="6" t="str">
        <f>IF(ISNA(MATCH(540,Engine!$C$2:$C$1199,0)),"",INDEX('Compliance Database'!$A$2:$A$1199,MATCH(540,Engine!$C$2:$C$1199,0)))</f>
        <v/>
      </c>
      <c r="B553" s="6" t="str">
        <f>IF(ISNA(MATCH(540,Engine!$C$2:$C$1199,0)),"",INDEX('Compliance Database'!$B$2:$B$1199,MATCH(540,Engine!$C$2:$C$1199,0)))</f>
        <v/>
      </c>
      <c r="C553" s="6" t="str">
        <f>IF(ISNA(MATCH(540,Engine!$C$2:$C$1199,0)),"",INDEX('Compliance Database'!$C$2:$C$1199,MATCH(540,Engine!$C$2:$C$1199,0)))</f>
        <v/>
      </c>
      <c r="D553" s="7" t="str">
        <f>IF(ISNA(MATCH(540,Engine!$C$2:$C$1199,0)),"",INDEX('Compliance Database'!$D$2:$D$1199,MATCH(540,Engine!$C$2:$C$1199,0)))</f>
        <v/>
      </c>
      <c r="E553" s="6" t="str">
        <f>IF(ISNA(MATCH(540,Engine!$C$2:$C$1199,0)),"",INDEX('Compliance Database'!$E$2:$E$1199,MATCH(540,Engine!$C$2:$C$1199,0)))</f>
        <v/>
      </c>
      <c r="F553" s="6" t="str">
        <f>IF(ISNA(MATCH(540,Engine!$C$2:$C$1199,0)),"",INDEX('Compliance Database'!$F$2:$F$1199,MATCH(540,Engine!$C$2:$C$1199,0)))</f>
        <v/>
      </c>
      <c r="G553" s="6" t="str">
        <f>IF(ISNA(MATCH(540,Engine!$C$2:$C$1199,0)),"",INDEX('Compliance Database'!$G$2:$G$1199,MATCH(540,Engine!$C$2:$C$1199,0)))</f>
        <v/>
      </c>
      <c r="H553" s="7" t="str">
        <f>IF(ISNA(MATCH(540,Engine!$C$2:$C$1199,0)),"",INDEX('Compliance Database'!$H$2:$H$1199,MATCH(540,Engine!$C$2:$C$1199,0)))</f>
        <v/>
      </c>
      <c r="I553" s="7" t="str">
        <f>IF(ISNA(MATCH(540,Engine!$C$2:$C$1199,0)),"",INDEX('Compliance Database'!$I$2:$I$1199,MATCH(540,Engine!$C$2:$C$1199,0)))</f>
        <v/>
      </c>
      <c r="J553" s="6" t="str">
        <f>IF(ISNA(MATCH(540,Engine!$C$2:$C$1199,0)),"",INDEX('Compliance Database'!$J$2:$J$1199,MATCH(540,Engine!$C$2:$C$1199,0)))</f>
        <v/>
      </c>
      <c r="K553" s="7" t="str">
        <f>IF(ISNA(MATCH(540,Engine!$C$2:$C$1199,0)),"",INDEX('Compliance Database'!$K$2:$K$1199,MATCH(540,Engine!$C$2:$C$1199,0)))</f>
        <v/>
      </c>
      <c r="L553" s="7" t="str">
        <f>IF(ISNA(MATCH(540,Engine!$C$2:$C$1199,0)),"",INDEX('Compliance Database'!$L$2:$L$1199,MATCH(540,Engine!$C$2:$C$1199,0)))</f>
        <v/>
      </c>
      <c r="M553" s="7" t="str">
        <f>IF(ISNA(MATCH(540,Engine!$C$2:$C$1199,0)),"",INDEX('Compliance Database'!$M$2:$M$1199,MATCH(540,Engine!$C$2:$C$1199,0)))</f>
        <v/>
      </c>
      <c r="N553" s="7" t="str">
        <f>IF(ISNA(MATCH(540,Engine!$C$2:$C$1199,0)),"",INDEX('Compliance Database'!$N$2:$N$1199,MATCH(540,Engine!$C$2:$C$1199,0)))</f>
        <v/>
      </c>
      <c r="O553" s="7" t="str">
        <f>IF(ISNA(MATCH(540,Engine!$C$2:$C$1199,0)),"",INDEX('Compliance Database'!$O$2:$O$1199,MATCH(540,Engine!$C$2:$C$1199,0)))</f>
        <v/>
      </c>
      <c r="P553" s="6" t="str">
        <f>IF(ISNA(MATCH(540,Engine!$C$2:$C$1199,0)),"",HYPERLINK("#Acts!A"&amp;INDEX('Compliance Database'!$P$2:$P$1199,MATCH(540,Engine!$C$2:$C$1199,0)),"Go to Act"))</f>
        <v/>
      </c>
    </row>
    <row r="554" spans="1:16" ht="172.95" customHeight="1" x14ac:dyDescent="0.3">
      <c r="A554" s="6" t="str">
        <f>IF(ISNA(MATCH(541,Engine!$C$2:$C$1199,0)),"",INDEX('Compliance Database'!$A$2:$A$1199,MATCH(541,Engine!$C$2:$C$1199,0)))</f>
        <v/>
      </c>
      <c r="B554" s="6" t="str">
        <f>IF(ISNA(MATCH(541,Engine!$C$2:$C$1199,0)),"",INDEX('Compliance Database'!$B$2:$B$1199,MATCH(541,Engine!$C$2:$C$1199,0)))</f>
        <v/>
      </c>
      <c r="C554" s="6" t="str">
        <f>IF(ISNA(MATCH(541,Engine!$C$2:$C$1199,0)),"",INDEX('Compliance Database'!$C$2:$C$1199,MATCH(541,Engine!$C$2:$C$1199,0)))</f>
        <v/>
      </c>
      <c r="D554" s="7" t="str">
        <f>IF(ISNA(MATCH(541,Engine!$C$2:$C$1199,0)),"",INDEX('Compliance Database'!$D$2:$D$1199,MATCH(541,Engine!$C$2:$C$1199,0)))</f>
        <v/>
      </c>
      <c r="E554" s="6" t="str">
        <f>IF(ISNA(MATCH(541,Engine!$C$2:$C$1199,0)),"",INDEX('Compliance Database'!$E$2:$E$1199,MATCH(541,Engine!$C$2:$C$1199,0)))</f>
        <v/>
      </c>
      <c r="F554" s="6" t="str">
        <f>IF(ISNA(MATCH(541,Engine!$C$2:$C$1199,0)),"",INDEX('Compliance Database'!$F$2:$F$1199,MATCH(541,Engine!$C$2:$C$1199,0)))</f>
        <v/>
      </c>
      <c r="G554" s="6" t="str">
        <f>IF(ISNA(MATCH(541,Engine!$C$2:$C$1199,0)),"",INDEX('Compliance Database'!$G$2:$G$1199,MATCH(541,Engine!$C$2:$C$1199,0)))</f>
        <v/>
      </c>
      <c r="H554" s="7" t="str">
        <f>IF(ISNA(MATCH(541,Engine!$C$2:$C$1199,0)),"",INDEX('Compliance Database'!$H$2:$H$1199,MATCH(541,Engine!$C$2:$C$1199,0)))</f>
        <v/>
      </c>
      <c r="I554" s="7" t="str">
        <f>IF(ISNA(MATCH(541,Engine!$C$2:$C$1199,0)),"",INDEX('Compliance Database'!$I$2:$I$1199,MATCH(541,Engine!$C$2:$C$1199,0)))</f>
        <v/>
      </c>
      <c r="J554" s="6" t="str">
        <f>IF(ISNA(MATCH(541,Engine!$C$2:$C$1199,0)),"",INDEX('Compliance Database'!$J$2:$J$1199,MATCH(541,Engine!$C$2:$C$1199,0)))</f>
        <v/>
      </c>
      <c r="K554" s="7" t="str">
        <f>IF(ISNA(MATCH(541,Engine!$C$2:$C$1199,0)),"",INDEX('Compliance Database'!$K$2:$K$1199,MATCH(541,Engine!$C$2:$C$1199,0)))</f>
        <v/>
      </c>
      <c r="L554" s="7" t="str">
        <f>IF(ISNA(MATCH(541,Engine!$C$2:$C$1199,0)),"",INDEX('Compliance Database'!$L$2:$L$1199,MATCH(541,Engine!$C$2:$C$1199,0)))</f>
        <v/>
      </c>
      <c r="M554" s="7" t="str">
        <f>IF(ISNA(MATCH(541,Engine!$C$2:$C$1199,0)),"",INDEX('Compliance Database'!$M$2:$M$1199,MATCH(541,Engine!$C$2:$C$1199,0)))</f>
        <v/>
      </c>
      <c r="N554" s="7" t="str">
        <f>IF(ISNA(MATCH(541,Engine!$C$2:$C$1199,0)),"",INDEX('Compliance Database'!$N$2:$N$1199,MATCH(541,Engine!$C$2:$C$1199,0)))</f>
        <v/>
      </c>
      <c r="O554" s="7" t="str">
        <f>IF(ISNA(MATCH(541,Engine!$C$2:$C$1199,0)),"",INDEX('Compliance Database'!$O$2:$O$1199,MATCH(541,Engine!$C$2:$C$1199,0)))</f>
        <v/>
      </c>
      <c r="P554" s="6" t="str">
        <f>IF(ISNA(MATCH(541,Engine!$C$2:$C$1199,0)),"",HYPERLINK("#Acts!A"&amp;INDEX('Compliance Database'!$P$2:$P$1199,MATCH(541,Engine!$C$2:$C$1199,0)),"Go to Act"))</f>
        <v/>
      </c>
    </row>
    <row r="555" spans="1:16" ht="172.95" customHeight="1" x14ac:dyDescent="0.3">
      <c r="A555" s="6" t="str">
        <f>IF(ISNA(MATCH(542,Engine!$C$2:$C$1199,0)),"",INDEX('Compliance Database'!$A$2:$A$1199,MATCH(542,Engine!$C$2:$C$1199,0)))</f>
        <v/>
      </c>
      <c r="B555" s="6" t="str">
        <f>IF(ISNA(MATCH(542,Engine!$C$2:$C$1199,0)),"",INDEX('Compliance Database'!$B$2:$B$1199,MATCH(542,Engine!$C$2:$C$1199,0)))</f>
        <v/>
      </c>
      <c r="C555" s="6" t="str">
        <f>IF(ISNA(MATCH(542,Engine!$C$2:$C$1199,0)),"",INDEX('Compliance Database'!$C$2:$C$1199,MATCH(542,Engine!$C$2:$C$1199,0)))</f>
        <v/>
      </c>
      <c r="D555" s="7" t="str">
        <f>IF(ISNA(MATCH(542,Engine!$C$2:$C$1199,0)),"",INDEX('Compliance Database'!$D$2:$D$1199,MATCH(542,Engine!$C$2:$C$1199,0)))</f>
        <v/>
      </c>
      <c r="E555" s="6" t="str">
        <f>IF(ISNA(MATCH(542,Engine!$C$2:$C$1199,0)),"",INDEX('Compliance Database'!$E$2:$E$1199,MATCH(542,Engine!$C$2:$C$1199,0)))</f>
        <v/>
      </c>
      <c r="F555" s="6" t="str">
        <f>IF(ISNA(MATCH(542,Engine!$C$2:$C$1199,0)),"",INDEX('Compliance Database'!$F$2:$F$1199,MATCH(542,Engine!$C$2:$C$1199,0)))</f>
        <v/>
      </c>
      <c r="G555" s="6" t="str">
        <f>IF(ISNA(MATCH(542,Engine!$C$2:$C$1199,0)),"",INDEX('Compliance Database'!$G$2:$G$1199,MATCH(542,Engine!$C$2:$C$1199,0)))</f>
        <v/>
      </c>
      <c r="H555" s="7" t="str">
        <f>IF(ISNA(MATCH(542,Engine!$C$2:$C$1199,0)),"",INDEX('Compliance Database'!$H$2:$H$1199,MATCH(542,Engine!$C$2:$C$1199,0)))</f>
        <v/>
      </c>
      <c r="I555" s="7" t="str">
        <f>IF(ISNA(MATCH(542,Engine!$C$2:$C$1199,0)),"",INDEX('Compliance Database'!$I$2:$I$1199,MATCH(542,Engine!$C$2:$C$1199,0)))</f>
        <v/>
      </c>
      <c r="J555" s="6" t="str">
        <f>IF(ISNA(MATCH(542,Engine!$C$2:$C$1199,0)),"",INDEX('Compliance Database'!$J$2:$J$1199,MATCH(542,Engine!$C$2:$C$1199,0)))</f>
        <v/>
      </c>
      <c r="K555" s="7" t="str">
        <f>IF(ISNA(MATCH(542,Engine!$C$2:$C$1199,0)),"",INDEX('Compliance Database'!$K$2:$K$1199,MATCH(542,Engine!$C$2:$C$1199,0)))</f>
        <v/>
      </c>
      <c r="L555" s="7" t="str">
        <f>IF(ISNA(MATCH(542,Engine!$C$2:$C$1199,0)),"",INDEX('Compliance Database'!$L$2:$L$1199,MATCH(542,Engine!$C$2:$C$1199,0)))</f>
        <v/>
      </c>
      <c r="M555" s="7" t="str">
        <f>IF(ISNA(MATCH(542,Engine!$C$2:$C$1199,0)),"",INDEX('Compliance Database'!$M$2:$M$1199,MATCH(542,Engine!$C$2:$C$1199,0)))</f>
        <v/>
      </c>
      <c r="N555" s="7" t="str">
        <f>IF(ISNA(MATCH(542,Engine!$C$2:$C$1199,0)),"",INDEX('Compliance Database'!$N$2:$N$1199,MATCH(542,Engine!$C$2:$C$1199,0)))</f>
        <v/>
      </c>
      <c r="O555" s="7" t="str">
        <f>IF(ISNA(MATCH(542,Engine!$C$2:$C$1199,0)),"",INDEX('Compliance Database'!$O$2:$O$1199,MATCH(542,Engine!$C$2:$C$1199,0)))</f>
        <v/>
      </c>
      <c r="P555" s="6" t="str">
        <f>IF(ISNA(MATCH(542,Engine!$C$2:$C$1199,0)),"",HYPERLINK("#Acts!A"&amp;INDEX('Compliance Database'!$P$2:$P$1199,MATCH(542,Engine!$C$2:$C$1199,0)),"Go to Act"))</f>
        <v/>
      </c>
    </row>
    <row r="556" spans="1:16" ht="172.95" customHeight="1" x14ac:dyDescent="0.3">
      <c r="A556" s="6" t="str">
        <f>IF(ISNA(MATCH(543,Engine!$C$2:$C$1199,0)),"",INDEX('Compliance Database'!$A$2:$A$1199,MATCH(543,Engine!$C$2:$C$1199,0)))</f>
        <v/>
      </c>
      <c r="B556" s="6" t="str">
        <f>IF(ISNA(MATCH(543,Engine!$C$2:$C$1199,0)),"",INDEX('Compliance Database'!$B$2:$B$1199,MATCH(543,Engine!$C$2:$C$1199,0)))</f>
        <v/>
      </c>
      <c r="C556" s="6" t="str">
        <f>IF(ISNA(MATCH(543,Engine!$C$2:$C$1199,0)),"",INDEX('Compliance Database'!$C$2:$C$1199,MATCH(543,Engine!$C$2:$C$1199,0)))</f>
        <v/>
      </c>
      <c r="D556" s="7" t="str">
        <f>IF(ISNA(MATCH(543,Engine!$C$2:$C$1199,0)),"",INDEX('Compliance Database'!$D$2:$D$1199,MATCH(543,Engine!$C$2:$C$1199,0)))</f>
        <v/>
      </c>
      <c r="E556" s="6" t="str">
        <f>IF(ISNA(MATCH(543,Engine!$C$2:$C$1199,0)),"",INDEX('Compliance Database'!$E$2:$E$1199,MATCH(543,Engine!$C$2:$C$1199,0)))</f>
        <v/>
      </c>
      <c r="F556" s="6" t="str">
        <f>IF(ISNA(MATCH(543,Engine!$C$2:$C$1199,0)),"",INDEX('Compliance Database'!$F$2:$F$1199,MATCH(543,Engine!$C$2:$C$1199,0)))</f>
        <v/>
      </c>
      <c r="G556" s="6" t="str">
        <f>IF(ISNA(MATCH(543,Engine!$C$2:$C$1199,0)),"",INDEX('Compliance Database'!$G$2:$G$1199,MATCH(543,Engine!$C$2:$C$1199,0)))</f>
        <v/>
      </c>
      <c r="H556" s="7" t="str">
        <f>IF(ISNA(MATCH(543,Engine!$C$2:$C$1199,0)),"",INDEX('Compliance Database'!$H$2:$H$1199,MATCH(543,Engine!$C$2:$C$1199,0)))</f>
        <v/>
      </c>
      <c r="I556" s="7" t="str">
        <f>IF(ISNA(MATCH(543,Engine!$C$2:$C$1199,0)),"",INDEX('Compliance Database'!$I$2:$I$1199,MATCH(543,Engine!$C$2:$C$1199,0)))</f>
        <v/>
      </c>
      <c r="J556" s="6" t="str">
        <f>IF(ISNA(MATCH(543,Engine!$C$2:$C$1199,0)),"",INDEX('Compliance Database'!$J$2:$J$1199,MATCH(543,Engine!$C$2:$C$1199,0)))</f>
        <v/>
      </c>
      <c r="K556" s="7" t="str">
        <f>IF(ISNA(MATCH(543,Engine!$C$2:$C$1199,0)),"",INDEX('Compliance Database'!$K$2:$K$1199,MATCH(543,Engine!$C$2:$C$1199,0)))</f>
        <v/>
      </c>
      <c r="L556" s="7" t="str">
        <f>IF(ISNA(MATCH(543,Engine!$C$2:$C$1199,0)),"",INDEX('Compliance Database'!$L$2:$L$1199,MATCH(543,Engine!$C$2:$C$1199,0)))</f>
        <v/>
      </c>
      <c r="M556" s="7" t="str">
        <f>IF(ISNA(MATCH(543,Engine!$C$2:$C$1199,0)),"",INDEX('Compliance Database'!$M$2:$M$1199,MATCH(543,Engine!$C$2:$C$1199,0)))</f>
        <v/>
      </c>
      <c r="N556" s="7" t="str">
        <f>IF(ISNA(MATCH(543,Engine!$C$2:$C$1199,0)),"",INDEX('Compliance Database'!$N$2:$N$1199,MATCH(543,Engine!$C$2:$C$1199,0)))</f>
        <v/>
      </c>
      <c r="O556" s="7" t="str">
        <f>IF(ISNA(MATCH(543,Engine!$C$2:$C$1199,0)),"",INDEX('Compliance Database'!$O$2:$O$1199,MATCH(543,Engine!$C$2:$C$1199,0)))</f>
        <v/>
      </c>
      <c r="P556" s="6" t="str">
        <f>IF(ISNA(MATCH(543,Engine!$C$2:$C$1199,0)),"",HYPERLINK("#Acts!A"&amp;INDEX('Compliance Database'!$P$2:$P$1199,MATCH(543,Engine!$C$2:$C$1199,0)),"Go to Act"))</f>
        <v/>
      </c>
    </row>
    <row r="557" spans="1:16" ht="172.95" customHeight="1" x14ac:dyDescent="0.3">
      <c r="A557" s="6" t="str">
        <f>IF(ISNA(MATCH(544,Engine!$C$2:$C$1199,0)),"",INDEX('Compliance Database'!$A$2:$A$1199,MATCH(544,Engine!$C$2:$C$1199,0)))</f>
        <v/>
      </c>
      <c r="B557" s="6" t="str">
        <f>IF(ISNA(MATCH(544,Engine!$C$2:$C$1199,0)),"",INDEX('Compliance Database'!$B$2:$B$1199,MATCH(544,Engine!$C$2:$C$1199,0)))</f>
        <v/>
      </c>
      <c r="C557" s="6" t="str">
        <f>IF(ISNA(MATCH(544,Engine!$C$2:$C$1199,0)),"",INDEX('Compliance Database'!$C$2:$C$1199,MATCH(544,Engine!$C$2:$C$1199,0)))</f>
        <v/>
      </c>
      <c r="D557" s="7" t="str">
        <f>IF(ISNA(MATCH(544,Engine!$C$2:$C$1199,0)),"",INDEX('Compliance Database'!$D$2:$D$1199,MATCH(544,Engine!$C$2:$C$1199,0)))</f>
        <v/>
      </c>
      <c r="E557" s="6" t="str">
        <f>IF(ISNA(MATCH(544,Engine!$C$2:$C$1199,0)),"",INDEX('Compliance Database'!$E$2:$E$1199,MATCH(544,Engine!$C$2:$C$1199,0)))</f>
        <v/>
      </c>
      <c r="F557" s="6" t="str">
        <f>IF(ISNA(MATCH(544,Engine!$C$2:$C$1199,0)),"",INDEX('Compliance Database'!$F$2:$F$1199,MATCH(544,Engine!$C$2:$C$1199,0)))</f>
        <v/>
      </c>
      <c r="G557" s="6" t="str">
        <f>IF(ISNA(MATCH(544,Engine!$C$2:$C$1199,0)),"",INDEX('Compliance Database'!$G$2:$G$1199,MATCH(544,Engine!$C$2:$C$1199,0)))</f>
        <v/>
      </c>
      <c r="H557" s="7" t="str">
        <f>IF(ISNA(MATCH(544,Engine!$C$2:$C$1199,0)),"",INDEX('Compliance Database'!$H$2:$H$1199,MATCH(544,Engine!$C$2:$C$1199,0)))</f>
        <v/>
      </c>
      <c r="I557" s="7" t="str">
        <f>IF(ISNA(MATCH(544,Engine!$C$2:$C$1199,0)),"",INDEX('Compliance Database'!$I$2:$I$1199,MATCH(544,Engine!$C$2:$C$1199,0)))</f>
        <v/>
      </c>
      <c r="J557" s="6" t="str">
        <f>IF(ISNA(MATCH(544,Engine!$C$2:$C$1199,0)),"",INDEX('Compliance Database'!$J$2:$J$1199,MATCH(544,Engine!$C$2:$C$1199,0)))</f>
        <v/>
      </c>
      <c r="K557" s="7" t="str">
        <f>IF(ISNA(MATCH(544,Engine!$C$2:$C$1199,0)),"",INDEX('Compliance Database'!$K$2:$K$1199,MATCH(544,Engine!$C$2:$C$1199,0)))</f>
        <v/>
      </c>
      <c r="L557" s="7" t="str">
        <f>IF(ISNA(MATCH(544,Engine!$C$2:$C$1199,0)),"",INDEX('Compliance Database'!$L$2:$L$1199,MATCH(544,Engine!$C$2:$C$1199,0)))</f>
        <v/>
      </c>
      <c r="M557" s="7" t="str">
        <f>IF(ISNA(MATCH(544,Engine!$C$2:$C$1199,0)),"",INDEX('Compliance Database'!$M$2:$M$1199,MATCH(544,Engine!$C$2:$C$1199,0)))</f>
        <v/>
      </c>
      <c r="N557" s="7" t="str">
        <f>IF(ISNA(MATCH(544,Engine!$C$2:$C$1199,0)),"",INDEX('Compliance Database'!$N$2:$N$1199,MATCH(544,Engine!$C$2:$C$1199,0)))</f>
        <v/>
      </c>
      <c r="O557" s="7" t="str">
        <f>IF(ISNA(MATCH(544,Engine!$C$2:$C$1199,0)),"",INDEX('Compliance Database'!$O$2:$O$1199,MATCH(544,Engine!$C$2:$C$1199,0)))</f>
        <v/>
      </c>
      <c r="P557" s="6" t="str">
        <f>IF(ISNA(MATCH(544,Engine!$C$2:$C$1199,0)),"",HYPERLINK("#Acts!A"&amp;INDEX('Compliance Database'!$P$2:$P$1199,MATCH(544,Engine!$C$2:$C$1199,0)),"Go to Act"))</f>
        <v/>
      </c>
    </row>
    <row r="558" spans="1:16" ht="172.95" customHeight="1" x14ac:dyDescent="0.3">
      <c r="A558" s="6" t="str">
        <f>IF(ISNA(MATCH(545,Engine!$C$2:$C$1199,0)),"",INDEX('Compliance Database'!$A$2:$A$1199,MATCH(545,Engine!$C$2:$C$1199,0)))</f>
        <v/>
      </c>
      <c r="B558" s="6" t="str">
        <f>IF(ISNA(MATCH(545,Engine!$C$2:$C$1199,0)),"",INDEX('Compliance Database'!$B$2:$B$1199,MATCH(545,Engine!$C$2:$C$1199,0)))</f>
        <v/>
      </c>
      <c r="C558" s="6" t="str">
        <f>IF(ISNA(MATCH(545,Engine!$C$2:$C$1199,0)),"",INDEX('Compliance Database'!$C$2:$C$1199,MATCH(545,Engine!$C$2:$C$1199,0)))</f>
        <v/>
      </c>
      <c r="D558" s="7" t="str">
        <f>IF(ISNA(MATCH(545,Engine!$C$2:$C$1199,0)),"",INDEX('Compliance Database'!$D$2:$D$1199,MATCH(545,Engine!$C$2:$C$1199,0)))</f>
        <v/>
      </c>
      <c r="E558" s="6" t="str">
        <f>IF(ISNA(MATCH(545,Engine!$C$2:$C$1199,0)),"",INDEX('Compliance Database'!$E$2:$E$1199,MATCH(545,Engine!$C$2:$C$1199,0)))</f>
        <v/>
      </c>
      <c r="F558" s="6" t="str">
        <f>IF(ISNA(MATCH(545,Engine!$C$2:$C$1199,0)),"",INDEX('Compliance Database'!$F$2:$F$1199,MATCH(545,Engine!$C$2:$C$1199,0)))</f>
        <v/>
      </c>
      <c r="G558" s="6" t="str">
        <f>IF(ISNA(MATCH(545,Engine!$C$2:$C$1199,0)),"",INDEX('Compliance Database'!$G$2:$G$1199,MATCH(545,Engine!$C$2:$C$1199,0)))</f>
        <v/>
      </c>
      <c r="H558" s="7" t="str">
        <f>IF(ISNA(MATCH(545,Engine!$C$2:$C$1199,0)),"",INDEX('Compliance Database'!$H$2:$H$1199,MATCH(545,Engine!$C$2:$C$1199,0)))</f>
        <v/>
      </c>
      <c r="I558" s="7" t="str">
        <f>IF(ISNA(MATCH(545,Engine!$C$2:$C$1199,0)),"",INDEX('Compliance Database'!$I$2:$I$1199,MATCH(545,Engine!$C$2:$C$1199,0)))</f>
        <v/>
      </c>
      <c r="J558" s="6" t="str">
        <f>IF(ISNA(MATCH(545,Engine!$C$2:$C$1199,0)),"",INDEX('Compliance Database'!$J$2:$J$1199,MATCH(545,Engine!$C$2:$C$1199,0)))</f>
        <v/>
      </c>
      <c r="K558" s="7" t="str">
        <f>IF(ISNA(MATCH(545,Engine!$C$2:$C$1199,0)),"",INDEX('Compliance Database'!$K$2:$K$1199,MATCH(545,Engine!$C$2:$C$1199,0)))</f>
        <v/>
      </c>
      <c r="L558" s="7" t="str">
        <f>IF(ISNA(MATCH(545,Engine!$C$2:$C$1199,0)),"",INDEX('Compliance Database'!$L$2:$L$1199,MATCH(545,Engine!$C$2:$C$1199,0)))</f>
        <v/>
      </c>
      <c r="M558" s="7" t="str">
        <f>IF(ISNA(MATCH(545,Engine!$C$2:$C$1199,0)),"",INDEX('Compliance Database'!$M$2:$M$1199,MATCH(545,Engine!$C$2:$C$1199,0)))</f>
        <v/>
      </c>
      <c r="N558" s="7" t="str">
        <f>IF(ISNA(MATCH(545,Engine!$C$2:$C$1199,0)),"",INDEX('Compliance Database'!$N$2:$N$1199,MATCH(545,Engine!$C$2:$C$1199,0)))</f>
        <v/>
      </c>
      <c r="O558" s="7" t="str">
        <f>IF(ISNA(MATCH(545,Engine!$C$2:$C$1199,0)),"",INDEX('Compliance Database'!$O$2:$O$1199,MATCH(545,Engine!$C$2:$C$1199,0)))</f>
        <v/>
      </c>
      <c r="P558" s="6" t="str">
        <f>IF(ISNA(MATCH(545,Engine!$C$2:$C$1199,0)),"",HYPERLINK("#Acts!A"&amp;INDEX('Compliance Database'!$P$2:$P$1199,MATCH(545,Engine!$C$2:$C$1199,0)),"Go to Act"))</f>
        <v/>
      </c>
    </row>
    <row r="559" spans="1:16" ht="172.95" customHeight="1" x14ac:dyDescent="0.3">
      <c r="A559" s="6" t="str">
        <f>IF(ISNA(MATCH(546,Engine!$C$2:$C$1199,0)),"",INDEX('Compliance Database'!$A$2:$A$1199,MATCH(546,Engine!$C$2:$C$1199,0)))</f>
        <v/>
      </c>
      <c r="B559" s="6" t="str">
        <f>IF(ISNA(MATCH(546,Engine!$C$2:$C$1199,0)),"",INDEX('Compliance Database'!$B$2:$B$1199,MATCH(546,Engine!$C$2:$C$1199,0)))</f>
        <v/>
      </c>
      <c r="C559" s="6" t="str">
        <f>IF(ISNA(MATCH(546,Engine!$C$2:$C$1199,0)),"",INDEX('Compliance Database'!$C$2:$C$1199,MATCH(546,Engine!$C$2:$C$1199,0)))</f>
        <v/>
      </c>
      <c r="D559" s="7" t="str">
        <f>IF(ISNA(MATCH(546,Engine!$C$2:$C$1199,0)),"",INDEX('Compliance Database'!$D$2:$D$1199,MATCH(546,Engine!$C$2:$C$1199,0)))</f>
        <v/>
      </c>
      <c r="E559" s="6" t="str">
        <f>IF(ISNA(MATCH(546,Engine!$C$2:$C$1199,0)),"",INDEX('Compliance Database'!$E$2:$E$1199,MATCH(546,Engine!$C$2:$C$1199,0)))</f>
        <v/>
      </c>
      <c r="F559" s="6" t="str">
        <f>IF(ISNA(MATCH(546,Engine!$C$2:$C$1199,0)),"",INDEX('Compliance Database'!$F$2:$F$1199,MATCH(546,Engine!$C$2:$C$1199,0)))</f>
        <v/>
      </c>
      <c r="G559" s="6" t="str">
        <f>IF(ISNA(MATCH(546,Engine!$C$2:$C$1199,0)),"",INDEX('Compliance Database'!$G$2:$G$1199,MATCH(546,Engine!$C$2:$C$1199,0)))</f>
        <v/>
      </c>
      <c r="H559" s="7" t="str">
        <f>IF(ISNA(MATCH(546,Engine!$C$2:$C$1199,0)),"",INDEX('Compliance Database'!$H$2:$H$1199,MATCH(546,Engine!$C$2:$C$1199,0)))</f>
        <v/>
      </c>
      <c r="I559" s="7" t="str">
        <f>IF(ISNA(MATCH(546,Engine!$C$2:$C$1199,0)),"",INDEX('Compliance Database'!$I$2:$I$1199,MATCH(546,Engine!$C$2:$C$1199,0)))</f>
        <v/>
      </c>
      <c r="J559" s="6" t="str">
        <f>IF(ISNA(MATCH(546,Engine!$C$2:$C$1199,0)),"",INDEX('Compliance Database'!$J$2:$J$1199,MATCH(546,Engine!$C$2:$C$1199,0)))</f>
        <v/>
      </c>
      <c r="K559" s="7" t="str">
        <f>IF(ISNA(MATCH(546,Engine!$C$2:$C$1199,0)),"",INDEX('Compliance Database'!$K$2:$K$1199,MATCH(546,Engine!$C$2:$C$1199,0)))</f>
        <v/>
      </c>
      <c r="L559" s="7" t="str">
        <f>IF(ISNA(MATCH(546,Engine!$C$2:$C$1199,0)),"",INDEX('Compliance Database'!$L$2:$L$1199,MATCH(546,Engine!$C$2:$C$1199,0)))</f>
        <v/>
      </c>
      <c r="M559" s="7" t="str">
        <f>IF(ISNA(MATCH(546,Engine!$C$2:$C$1199,0)),"",INDEX('Compliance Database'!$M$2:$M$1199,MATCH(546,Engine!$C$2:$C$1199,0)))</f>
        <v/>
      </c>
      <c r="N559" s="7" t="str">
        <f>IF(ISNA(MATCH(546,Engine!$C$2:$C$1199,0)),"",INDEX('Compliance Database'!$N$2:$N$1199,MATCH(546,Engine!$C$2:$C$1199,0)))</f>
        <v/>
      </c>
      <c r="O559" s="7" t="str">
        <f>IF(ISNA(MATCH(546,Engine!$C$2:$C$1199,0)),"",INDEX('Compliance Database'!$O$2:$O$1199,MATCH(546,Engine!$C$2:$C$1199,0)))</f>
        <v/>
      </c>
      <c r="P559" s="6" t="str">
        <f>IF(ISNA(MATCH(546,Engine!$C$2:$C$1199,0)),"",HYPERLINK("#Acts!A"&amp;INDEX('Compliance Database'!$P$2:$P$1199,MATCH(546,Engine!$C$2:$C$1199,0)),"Go to Act"))</f>
        <v/>
      </c>
    </row>
    <row r="560" spans="1:16" ht="172.95" customHeight="1" x14ac:dyDescent="0.3">
      <c r="A560" s="6" t="str">
        <f>IF(ISNA(MATCH(547,Engine!$C$2:$C$1199,0)),"",INDEX('Compliance Database'!$A$2:$A$1199,MATCH(547,Engine!$C$2:$C$1199,0)))</f>
        <v/>
      </c>
      <c r="B560" s="6" t="str">
        <f>IF(ISNA(MATCH(547,Engine!$C$2:$C$1199,0)),"",INDEX('Compliance Database'!$B$2:$B$1199,MATCH(547,Engine!$C$2:$C$1199,0)))</f>
        <v/>
      </c>
      <c r="C560" s="6" t="str">
        <f>IF(ISNA(MATCH(547,Engine!$C$2:$C$1199,0)),"",INDEX('Compliance Database'!$C$2:$C$1199,MATCH(547,Engine!$C$2:$C$1199,0)))</f>
        <v/>
      </c>
      <c r="D560" s="7" t="str">
        <f>IF(ISNA(MATCH(547,Engine!$C$2:$C$1199,0)),"",INDEX('Compliance Database'!$D$2:$D$1199,MATCH(547,Engine!$C$2:$C$1199,0)))</f>
        <v/>
      </c>
      <c r="E560" s="6" t="str">
        <f>IF(ISNA(MATCH(547,Engine!$C$2:$C$1199,0)),"",INDEX('Compliance Database'!$E$2:$E$1199,MATCH(547,Engine!$C$2:$C$1199,0)))</f>
        <v/>
      </c>
      <c r="F560" s="6" t="str">
        <f>IF(ISNA(MATCH(547,Engine!$C$2:$C$1199,0)),"",INDEX('Compliance Database'!$F$2:$F$1199,MATCH(547,Engine!$C$2:$C$1199,0)))</f>
        <v/>
      </c>
      <c r="G560" s="6" t="str">
        <f>IF(ISNA(MATCH(547,Engine!$C$2:$C$1199,0)),"",INDEX('Compliance Database'!$G$2:$G$1199,MATCH(547,Engine!$C$2:$C$1199,0)))</f>
        <v/>
      </c>
      <c r="H560" s="7" t="str">
        <f>IF(ISNA(MATCH(547,Engine!$C$2:$C$1199,0)),"",INDEX('Compliance Database'!$H$2:$H$1199,MATCH(547,Engine!$C$2:$C$1199,0)))</f>
        <v/>
      </c>
      <c r="I560" s="7" t="str">
        <f>IF(ISNA(MATCH(547,Engine!$C$2:$C$1199,0)),"",INDEX('Compliance Database'!$I$2:$I$1199,MATCH(547,Engine!$C$2:$C$1199,0)))</f>
        <v/>
      </c>
      <c r="J560" s="6" t="str">
        <f>IF(ISNA(MATCH(547,Engine!$C$2:$C$1199,0)),"",INDEX('Compliance Database'!$J$2:$J$1199,MATCH(547,Engine!$C$2:$C$1199,0)))</f>
        <v/>
      </c>
      <c r="K560" s="7" t="str">
        <f>IF(ISNA(MATCH(547,Engine!$C$2:$C$1199,0)),"",INDEX('Compliance Database'!$K$2:$K$1199,MATCH(547,Engine!$C$2:$C$1199,0)))</f>
        <v/>
      </c>
      <c r="L560" s="7" t="str">
        <f>IF(ISNA(MATCH(547,Engine!$C$2:$C$1199,0)),"",INDEX('Compliance Database'!$L$2:$L$1199,MATCH(547,Engine!$C$2:$C$1199,0)))</f>
        <v/>
      </c>
      <c r="M560" s="7" t="str">
        <f>IF(ISNA(MATCH(547,Engine!$C$2:$C$1199,0)),"",INDEX('Compliance Database'!$M$2:$M$1199,MATCH(547,Engine!$C$2:$C$1199,0)))</f>
        <v/>
      </c>
      <c r="N560" s="7" t="str">
        <f>IF(ISNA(MATCH(547,Engine!$C$2:$C$1199,0)),"",INDEX('Compliance Database'!$N$2:$N$1199,MATCH(547,Engine!$C$2:$C$1199,0)))</f>
        <v/>
      </c>
      <c r="O560" s="7" t="str">
        <f>IF(ISNA(MATCH(547,Engine!$C$2:$C$1199,0)),"",INDEX('Compliance Database'!$O$2:$O$1199,MATCH(547,Engine!$C$2:$C$1199,0)))</f>
        <v/>
      </c>
      <c r="P560" s="6" t="str">
        <f>IF(ISNA(MATCH(547,Engine!$C$2:$C$1199,0)),"",HYPERLINK("#Acts!A"&amp;INDEX('Compliance Database'!$P$2:$P$1199,MATCH(547,Engine!$C$2:$C$1199,0)),"Go to Act"))</f>
        <v/>
      </c>
    </row>
    <row r="561" spans="1:16" ht="172.95" customHeight="1" x14ac:dyDescent="0.3">
      <c r="A561" s="6" t="str">
        <f>IF(ISNA(MATCH(548,Engine!$C$2:$C$1199,0)),"",INDEX('Compliance Database'!$A$2:$A$1199,MATCH(548,Engine!$C$2:$C$1199,0)))</f>
        <v/>
      </c>
      <c r="B561" s="6" t="str">
        <f>IF(ISNA(MATCH(548,Engine!$C$2:$C$1199,0)),"",INDEX('Compliance Database'!$B$2:$B$1199,MATCH(548,Engine!$C$2:$C$1199,0)))</f>
        <v/>
      </c>
      <c r="C561" s="6" t="str">
        <f>IF(ISNA(MATCH(548,Engine!$C$2:$C$1199,0)),"",INDEX('Compliance Database'!$C$2:$C$1199,MATCH(548,Engine!$C$2:$C$1199,0)))</f>
        <v/>
      </c>
      <c r="D561" s="7" t="str">
        <f>IF(ISNA(MATCH(548,Engine!$C$2:$C$1199,0)),"",INDEX('Compliance Database'!$D$2:$D$1199,MATCH(548,Engine!$C$2:$C$1199,0)))</f>
        <v/>
      </c>
      <c r="E561" s="6" t="str">
        <f>IF(ISNA(MATCH(548,Engine!$C$2:$C$1199,0)),"",INDEX('Compliance Database'!$E$2:$E$1199,MATCH(548,Engine!$C$2:$C$1199,0)))</f>
        <v/>
      </c>
      <c r="F561" s="6" t="str">
        <f>IF(ISNA(MATCH(548,Engine!$C$2:$C$1199,0)),"",INDEX('Compliance Database'!$F$2:$F$1199,MATCH(548,Engine!$C$2:$C$1199,0)))</f>
        <v/>
      </c>
      <c r="G561" s="6" t="str">
        <f>IF(ISNA(MATCH(548,Engine!$C$2:$C$1199,0)),"",INDEX('Compliance Database'!$G$2:$G$1199,MATCH(548,Engine!$C$2:$C$1199,0)))</f>
        <v/>
      </c>
      <c r="H561" s="7" t="str">
        <f>IF(ISNA(MATCH(548,Engine!$C$2:$C$1199,0)),"",INDEX('Compliance Database'!$H$2:$H$1199,MATCH(548,Engine!$C$2:$C$1199,0)))</f>
        <v/>
      </c>
      <c r="I561" s="7" t="str">
        <f>IF(ISNA(MATCH(548,Engine!$C$2:$C$1199,0)),"",INDEX('Compliance Database'!$I$2:$I$1199,MATCH(548,Engine!$C$2:$C$1199,0)))</f>
        <v/>
      </c>
      <c r="J561" s="6" t="str">
        <f>IF(ISNA(MATCH(548,Engine!$C$2:$C$1199,0)),"",INDEX('Compliance Database'!$J$2:$J$1199,MATCH(548,Engine!$C$2:$C$1199,0)))</f>
        <v/>
      </c>
      <c r="K561" s="7" t="str">
        <f>IF(ISNA(MATCH(548,Engine!$C$2:$C$1199,0)),"",INDEX('Compliance Database'!$K$2:$K$1199,MATCH(548,Engine!$C$2:$C$1199,0)))</f>
        <v/>
      </c>
      <c r="L561" s="7" t="str">
        <f>IF(ISNA(MATCH(548,Engine!$C$2:$C$1199,0)),"",INDEX('Compliance Database'!$L$2:$L$1199,MATCH(548,Engine!$C$2:$C$1199,0)))</f>
        <v/>
      </c>
      <c r="M561" s="7" t="str">
        <f>IF(ISNA(MATCH(548,Engine!$C$2:$C$1199,0)),"",INDEX('Compliance Database'!$M$2:$M$1199,MATCH(548,Engine!$C$2:$C$1199,0)))</f>
        <v/>
      </c>
      <c r="N561" s="7" t="str">
        <f>IF(ISNA(MATCH(548,Engine!$C$2:$C$1199,0)),"",INDEX('Compliance Database'!$N$2:$N$1199,MATCH(548,Engine!$C$2:$C$1199,0)))</f>
        <v/>
      </c>
      <c r="O561" s="7" t="str">
        <f>IF(ISNA(MATCH(548,Engine!$C$2:$C$1199,0)),"",INDEX('Compliance Database'!$O$2:$O$1199,MATCH(548,Engine!$C$2:$C$1199,0)))</f>
        <v/>
      </c>
      <c r="P561" s="6" t="str">
        <f>IF(ISNA(MATCH(548,Engine!$C$2:$C$1199,0)),"",HYPERLINK("#Acts!A"&amp;INDEX('Compliance Database'!$P$2:$P$1199,MATCH(548,Engine!$C$2:$C$1199,0)),"Go to Act"))</f>
        <v/>
      </c>
    </row>
    <row r="562" spans="1:16" ht="172.95" customHeight="1" x14ac:dyDescent="0.3">
      <c r="A562" s="6" t="str">
        <f>IF(ISNA(MATCH(549,Engine!$C$2:$C$1199,0)),"",INDEX('Compliance Database'!$A$2:$A$1199,MATCH(549,Engine!$C$2:$C$1199,0)))</f>
        <v/>
      </c>
      <c r="B562" s="6" t="str">
        <f>IF(ISNA(MATCH(549,Engine!$C$2:$C$1199,0)),"",INDEX('Compliance Database'!$B$2:$B$1199,MATCH(549,Engine!$C$2:$C$1199,0)))</f>
        <v/>
      </c>
      <c r="C562" s="6" t="str">
        <f>IF(ISNA(MATCH(549,Engine!$C$2:$C$1199,0)),"",INDEX('Compliance Database'!$C$2:$C$1199,MATCH(549,Engine!$C$2:$C$1199,0)))</f>
        <v/>
      </c>
      <c r="D562" s="7" t="str">
        <f>IF(ISNA(MATCH(549,Engine!$C$2:$C$1199,0)),"",INDEX('Compliance Database'!$D$2:$D$1199,MATCH(549,Engine!$C$2:$C$1199,0)))</f>
        <v/>
      </c>
      <c r="E562" s="6" t="str">
        <f>IF(ISNA(MATCH(549,Engine!$C$2:$C$1199,0)),"",INDEX('Compliance Database'!$E$2:$E$1199,MATCH(549,Engine!$C$2:$C$1199,0)))</f>
        <v/>
      </c>
      <c r="F562" s="6" t="str">
        <f>IF(ISNA(MATCH(549,Engine!$C$2:$C$1199,0)),"",INDEX('Compliance Database'!$F$2:$F$1199,MATCH(549,Engine!$C$2:$C$1199,0)))</f>
        <v/>
      </c>
      <c r="G562" s="6" t="str">
        <f>IF(ISNA(MATCH(549,Engine!$C$2:$C$1199,0)),"",INDEX('Compliance Database'!$G$2:$G$1199,MATCH(549,Engine!$C$2:$C$1199,0)))</f>
        <v/>
      </c>
      <c r="H562" s="7" t="str">
        <f>IF(ISNA(MATCH(549,Engine!$C$2:$C$1199,0)),"",INDEX('Compliance Database'!$H$2:$H$1199,MATCH(549,Engine!$C$2:$C$1199,0)))</f>
        <v/>
      </c>
      <c r="I562" s="7" t="str">
        <f>IF(ISNA(MATCH(549,Engine!$C$2:$C$1199,0)),"",INDEX('Compliance Database'!$I$2:$I$1199,MATCH(549,Engine!$C$2:$C$1199,0)))</f>
        <v/>
      </c>
      <c r="J562" s="6" t="str">
        <f>IF(ISNA(MATCH(549,Engine!$C$2:$C$1199,0)),"",INDEX('Compliance Database'!$J$2:$J$1199,MATCH(549,Engine!$C$2:$C$1199,0)))</f>
        <v/>
      </c>
      <c r="K562" s="7" t="str">
        <f>IF(ISNA(MATCH(549,Engine!$C$2:$C$1199,0)),"",INDEX('Compliance Database'!$K$2:$K$1199,MATCH(549,Engine!$C$2:$C$1199,0)))</f>
        <v/>
      </c>
      <c r="L562" s="7" t="str">
        <f>IF(ISNA(MATCH(549,Engine!$C$2:$C$1199,0)),"",INDEX('Compliance Database'!$L$2:$L$1199,MATCH(549,Engine!$C$2:$C$1199,0)))</f>
        <v/>
      </c>
      <c r="M562" s="7" t="str">
        <f>IF(ISNA(MATCH(549,Engine!$C$2:$C$1199,0)),"",INDEX('Compliance Database'!$M$2:$M$1199,MATCH(549,Engine!$C$2:$C$1199,0)))</f>
        <v/>
      </c>
      <c r="N562" s="7" t="str">
        <f>IF(ISNA(MATCH(549,Engine!$C$2:$C$1199,0)),"",INDEX('Compliance Database'!$N$2:$N$1199,MATCH(549,Engine!$C$2:$C$1199,0)))</f>
        <v/>
      </c>
      <c r="O562" s="7" t="str">
        <f>IF(ISNA(MATCH(549,Engine!$C$2:$C$1199,0)),"",INDEX('Compliance Database'!$O$2:$O$1199,MATCH(549,Engine!$C$2:$C$1199,0)))</f>
        <v/>
      </c>
      <c r="P562" s="6" t="str">
        <f>IF(ISNA(MATCH(549,Engine!$C$2:$C$1199,0)),"",HYPERLINK("#Acts!A"&amp;INDEX('Compliance Database'!$P$2:$P$1199,MATCH(549,Engine!$C$2:$C$1199,0)),"Go to Act"))</f>
        <v/>
      </c>
    </row>
    <row r="563" spans="1:16" ht="172.95" customHeight="1" x14ac:dyDescent="0.3">
      <c r="A563" s="6" t="str">
        <f>IF(ISNA(MATCH(550,Engine!$C$2:$C$1199,0)),"",INDEX('Compliance Database'!$A$2:$A$1199,MATCH(550,Engine!$C$2:$C$1199,0)))</f>
        <v/>
      </c>
      <c r="B563" s="6" t="str">
        <f>IF(ISNA(MATCH(550,Engine!$C$2:$C$1199,0)),"",INDEX('Compliance Database'!$B$2:$B$1199,MATCH(550,Engine!$C$2:$C$1199,0)))</f>
        <v/>
      </c>
      <c r="C563" s="6" t="str">
        <f>IF(ISNA(MATCH(550,Engine!$C$2:$C$1199,0)),"",INDEX('Compliance Database'!$C$2:$C$1199,MATCH(550,Engine!$C$2:$C$1199,0)))</f>
        <v/>
      </c>
      <c r="D563" s="7" t="str">
        <f>IF(ISNA(MATCH(550,Engine!$C$2:$C$1199,0)),"",INDEX('Compliance Database'!$D$2:$D$1199,MATCH(550,Engine!$C$2:$C$1199,0)))</f>
        <v/>
      </c>
      <c r="E563" s="6" t="str">
        <f>IF(ISNA(MATCH(550,Engine!$C$2:$C$1199,0)),"",INDEX('Compliance Database'!$E$2:$E$1199,MATCH(550,Engine!$C$2:$C$1199,0)))</f>
        <v/>
      </c>
      <c r="F563" s="6" t="str">
        <f>IF(ISNA(MATCH(550,Engine!$C$2:$C$1199,0)),"",INDEX('Compliance Database'!$F$2:$F$1199,MATCH(550,Engine!$C$2:$C$1199,0)))</f>
        <v/>
      </c>
      <c r="G563" s="6" t="str">
        <f>IF(ISNA(MATCH(550,Engine!$C$2:$C$1199,0)),"",INDEX('Compliance Database'!$G$2:$G$1199,MATCH(550,Engine!$C$2:$C$1199,0)))</f>
        <v/>
      </c>
      <c r="H563" s="7" t="str">
        <f>IF(ISNA(MATCH(550,Engine!$C$2:$C$1199,0)),"",INDEX('Compliance Database'!$H$2:$H$1199,MATCH(550,Engine!$C$2:$C$1199,0)))</f>
        <v/>
      </c>
      <c r="I563" s="7" t="str">
        <f>IF(ISNA(MATCH(550,Engine!$C$2:$C$1199,0)),"",INDEX('Compliance Database'!$I$2:$I$1199,MATCH(550,Engine!$C$2:$C$1199,0)))</f>
        <v/>
      </c>
      <c r="J563" s="6" t="str">
        <f>IF(ISNA(MATCH(550,Engine!$C$2:$C$1199,0)),"",INDEX('Compliance Database'!$J$2:$J$1199,MATCH(550,Engine!$C$2:$C$1199,0)))</f>
        <v/>
      </c>
      <c r="K563" s="7" t="str">
        <f>IF(ISNA(MATCH(550,Engine!$C$2:$C$1199,0)),"",INDEX('Compliance Database'!$K$2:$K$1199,MATCH(550,Engine!$C$2:$C$1199,0)))</f>
        <v/>
      </c>
      <c r="L563" s="7" t="str">
        <f>IF(ISNA(MATCH(550,Engine!$C$2:$C$1199,0)),"",INDEX('Compliance Database'!$L$2:$L$1199,MATCH(550,Engine!$C$2:$C$1199,0)))</f>
        <v/>
      </c>
      <c r="M563" s="7" t="str">
        <f>IF(ISNA(MATCH(550,Engine!$C$2:$C$1199,0)),"",INDEX('Compliance Database'!$M$2:$M$1199,MATCH(550,Engine!$C$2:$C$1199,0)))</f>
        <v/>
      </c>
      <c r="N563" s="7" t="str">
        <f>IF(ISNA(MATCH(550,Engine!$C$2:$C$1199,0)),"",INDEX('Compliance Database'!$N$2:$N$1199,MATCH(550,Engine!$C$2:$C$1199,0)))</f>
        <v/>
      </c>
      <c r="O563" s="7" t="str">
        <f>IF(ISNA(MATCH(550,Engine!$C$2:$C$1199,0)),"",INDEX('Compliance Database'!$O$2:$O$1199,MATCH(550,Engine!$C$2:$C$1199,0)))</f>
        <v/>
      </c>
      <c r="P563" s="6" t="str">
        <f>IF(ISNA(MATCH(550,Engine!$C$2:$C$1199,0)),"",HYPERLINK("#Acts!A"&amp;INDEX('Compliance Database'!$P$2:$P$1199,MATCH(550,Engine!$C$2:$C$1199,0)),"Go to Act"))</f>
        <v/>
      </c>
    </row>
    <row r="564" spans="1:16" ht="172.95" customHeight="1" x14ac:dyDescent="0.3">
      <c r="A564" s="6" t="str">
        <f>IF(ISNA(MATCH(551,Engine!$C$2:$C$1199,0)),"",INDEX('Compliance Database'!$A$2:$A$1199,MATCH(551,Engine!$C$2:$C$1199,0)))</f>
        <v/>
      </c>
      <c r="B564" s="6" t="str">
        <f>IF(ISNA(MATCH(551,Engine!$C$2:$C$1199,0)),"",INDEX('Compliance Database'!$B$2:$B$1199,MATCH(551,Engine!$C$2:$C$1199,0)))</f>
        <v/>
      </c>
      <c r="C564" s="6" t="str">
        <f>IF(ISNA(MATCH(551,Engine!$C$2:$C$1199,0)),"",INDEX('Compliance Database'!$C$2:$C$1199,MATCH(551,Engine!$C$2:$C$1199,0)))</f>
        <v/>
      </c>
      <c r="D564" s="7" t="str">
        <f>IF(ISNA(MATCH(551,Engine!$C$2:$C$1199,0)),"",INDEX('Compliance Database'!$D$2:$D$1199,MATCH(551,Engine!$C$2:$C$1199,0)))</f>
        <v/>
      </c>
      <c r="E564" s="6" t="str">
        <f>IF(ISNA(MATCH(551,Engine!$C$2:$C$1199,0)),"",INDEX('Compliance Database'!$E$2:$E$1199,MATCH(551,Engine!$C$2:$C$1199,0)))</f>
        <v/>
      </c>
      <c r="F564" s="6" t="str">
        <f>IF(ISNA(MATCH(551,Engine!$C$2:$C$1199,0)),"",INDEX('Compliance Database'!$F$2:$F$1199,MATCH(551,Engine!$C$2:$C$1199,0)))</f>
        <v/>
      </c>
      <c r="G564" s="6" t="str">
        <f>IF(ISNA(MATCH(551,Engine!$C$2:$C$1199,0)),"",INDEX('Compliance Database'!$G$2:$G$1199,MATCH(551,Engine!$C$2:$C$1199,0)))</f>
        <v/>
      </c>
      <c r="H564" s="7" t="str">
        <f>IF(ISNA(MATCH(551,Engine!$C$2:$C$1199,0)),"",INDEX('Compliance Database'!$H$2:$H$1199,MATCH(551,Engine!$C$2:$C$1199,0)))</f>
        <v/>
      </c>
      <c r="I564" s="7" t="str">
        <f>IF(ISNA(MATCH(551,Engine!$C$2:$C$1199,0)),"",INDEX('Compliance Database'!$I$2:$I$1199,MATCH(551,Engine!$C$2:$C$1199,0)))</f>
        <v/>
      </c>
      <c r="J564" s="6" t="str">
        <f>IF(ISNA(MATCH(551,Engine!$C$2:$C$1199,0)),"",INDEX('Compliance Database'!$J$2:$J$1199,MATCH(551,Engine!$C$2:$C$1199,0)))</f>
        <v/>
      </c>
      <c r="K564" s="7" t="str">
        <f>IF(ISNA(MATCH(551,Engine!$C$2:$C$1199,0)),"",INDEX('Compliance Database'!$K$2:$K$1199,MATCH(551,Engine!$C$2:$C$1199,0)))</f>
        <v/>
      </c>
      <c r="L564" s="7" t="str">
        <f>IF(ISNA(MATCH(551,Engine!$C$2:$C$1199,0)),"",INDEX('Compliance Database'!$L$2:$L$1199,MATCH(551,Engine!$C$2:$C$1199,0)))</f>
        <v/>
      </c>
      <c r="M564" s="7" t="str">
        <f>IF(ISNA(MATCH(551,Engine!$C$2:$C$1199,0)),"",INDEX('Compliance Database'!$M$2:$M$1199,MATCH(551,Engine!$C$2:$C$1199,0)))</f>
        <v/>
      </c>
      <c r="N564" s="7" t="str">
        <f>IF(ISNA(MATCH(551,Engine!$C$2:$C$1199,0)),"",INDEX('Compliance Database'!$N$2:$N$1199,MATCH(551,Engine!$C$2:$C$1199,0)))</f>
        <v/>
      </c>
      <c r="O564" s="7" t="str">
        <f>IF(ISNA(MATCH(551,Engine!$C$2:$C$1199,0)),"",INDEX('Compliance Database'!$O$2:$O$1199,MATCH(551,Engine!$C$2:$C$1199,0)))</f>
        <v/>
      </c>
      <c r="P564" s="6" t="str">
        <f>IF(ISNA(MATCH(551,Engine!$C$2:$C$1199,0)),"",HYPERLINK("#Acts!A"&amp;INDEX('Compliance Database'!$P$2:$P$1199,MATCH(551,Engine!$C$2:$C$1199,0)),"Go to Act"))</f>
        <v/>
      </c>
    </row>
    <row r="565" spans="1:16" ht="172.95" customHeight="1" x14ac:dyDescent="0.3">
      <c r="A565" s="6" t="str">
        <f>IF(ISNA(MATCH(552,Engine!$C$2:$C$1199,0)),"",INDEX('Compliance Database'!$A$2:$A$1199,MATCH(552,Engine!$C$2:$C$1199,0)))</f>
        <v/>
      </c>
      <c r="B565" s="6" t="str">
        <f>IF(ISNA(MATCH(552,Engine!$C$2:$C$1199,0)),"",INDEX('Compliance Database'!$B$2:$B$1199,MATCH(552,Engine!$C$2:$C$1199,0)))</f>
        <v/>
      </c>
      <c r="C565" s="6" t="str">
        <f>IF(ISNA(MATCH(552,Engine!$C$2:$C$1199,0)),"",INDEX('Compliance Database'!$C$2:$C$1199,MATCH(552,Engine!$C$2:$C$1199,0)))</f>
        <v/>
      </c>
      <c r="D565" s="7" t="str">
        <f>IF(ISNA(MATCH(552,Engine!$C$2:$C$1199,0)),"",INDEX('Compliance Database'!$D$2:$D$1199,MATCH(552,Engine!$C$2:$C$1199,0)))</f>
        <v/>
      </c>
      <c r="E565" s="6" t="str">
        <f>IF(ISNA(MATCH(552,Engine!$C$2:$C$1199,0)),"",INDEX('Compliance Database'!$E$2:$E$1199,MATCH(552,Engine!$C$2:$C$1199,0)))</f>
        <v/>
      </c>
      <c r="F565" s="6" t="str">
        <f>IF(ISNA(MATCH(552,Engine!$C$2:$C$1199,0)),"",INDEX('Compliance Database'!$F$2:$F$1199,MATCH(552,Engine!$C$2:$C$1199,0)))</f>
        <v/>
      </c>
      <c r="G565" s="6" t="str">
        <f>IF(ISNA(MATCH(552,Engine!$C$2:$C$1199,0)),"",INDEX('Compliance Database'!$G$2:$G$1199,MATCH(552,Engine!$C$2:$C$1199,0)))</f>
        <v/>
      </c>
      <c r="H565" s="7" t="str">
        <f>IF(ISNA(MATCH(552,Engine!$C$2:$C$1199,0)),"",INDEX('Compliance Database'!$H$2:$H$1199,MATCH(552,Engine!$C$2:$C$1199,0)))</f>
        <v/>
      </c>
      <c r="I565" s="7" t="str">
        <f>IF(ISNA(MATCH(552,Engine!$C$2:$C$1199,0)),"",INDEX('Compliance Database'!$I$2:$I$1199,MATCH(552,Engine!$C$2:$C$1199,0)))</f>
        <v/>
      </c>
      <c r="J565" s="6" t="str">
        <f>IF(ISNA(MATCH(552,Engine!$C$2:$C$1199,0)),"",INDEX('Compliance Database'!$J$2:$J$1199,MATCH(552,Engine!$C$2:$C$1199,0)))</f>
        <v/>
      </c>
      <c r="K565" s="7" t="str">
        <f>IF(ISNA(MATCH(552,Engine!$C$2:$C$1199,0)),"",INDEX('Compliance Database'!$K$2:$K$1199,MATCH(552,Engine!$C$2:$C$1199,0)))</f>
        <v/>
      </c>
      <c r="L565" s="7" t="str">
        <f>IF(ISNA(MATCH(552,Engine!$C$2:$C$1199,0)),"",INDEX('Compliance Database'!$L$2:$L$1199,MATCH(552,Engine!$C$2:$C$1199,0)))</f>
        <v/>
      </c>
      <c r="M565" s="7" t="str">
        <f>IF(ISNA(MATCH(552,Engine!$C$2:$C$1199,0)),"",INDEX('Compliance Database'!$M$2:$M$1199,MATCH(552,Engine!$C$2:$C$1199,0)))</f>
        <v/>
      </c>
      <c r="N565" s="7" t="str">
        <f>IF(ISNA(MATCH(552,Engine!$C$2:$C$1199,0)),"",INDEX('Compliance Database'!$N$2:$N$1199,MATCH(552,Engine!$C$2:$C$1199,0)))</f>
        <v/>
      </c>
      <c r="O565" s="7" t="str">
        <f>IF(ISNA(MATCH(552,Engine!$C$2:$C$1199,0)),"",INDEX('Compliance Database'!$O$2:$O$1199,MATCH(552,Engine!$C$2:$C$1199,0)))</f>
        <v/>
      </c>
      <c r="P565" s="6" t="str">
        <f>IF(ISNA(MATCH(552,Engine!$C$2:$C$1199,0)),"",HYPERLINK("#Acts!A"&amp;INDEX('Compliance Database'!$P$2:$P$1199,MATCH(552,Engine!$C$2:$C$1199,0)),"Go to Act"))</f>
        <v/>
      </c>
    </row>
    <row r="566" spans="1:16" ht="172.95" customHeight="1" x14ac:dyDescent="0.3">
      <c r="A566" s="6" t="str">
        <f>IF(ISNA(MATCH(553,Engine!$C$2:$C$1199,0)),"",INDEX('Compliance Database'!$A$2:$A$1199,MATCH(553,Engine!$C$2:$C$1199,0)))</f>
        <v/>
      </c>
      <c r="B566" s="6" t="str">
        <f>IF(ISNA(MATCH(553,Engine!$C$2:$C$1199,0)),"",INDEX('Compliance Database'!$B$2:$B$1199,MATCH(553,Engine!$C$2:$C$1199,0)))</f>
        <v/>
      </c>
      <c r="C566" s="6" t="str">
        <f>IF(ISNA(MATCH(553,Engine!$C$2:$C$1199,0)),"",INDEX('Compliance Database'!$C$2:$C$1199,MATCH(553,Engine!$C$2:$C$1199,0)))</f>
        <v/>
      </c>
      <c r="D566" s="7" t="str">
        <f>IF(ISNA(MATCH(553,Engine!$C$2:$C$1199,0)),"",INDEX('Compliance Database'!$D$2:$D$1199,MATCH(553,Engine!$C$2:$C$1199,0)))</f>
        <v/>
      </c>
      <c r="E566" s="6" t="str">
        <f>IF(ISNA(MATCH(553,Engine!$C$2:$C$1199,0)),"",INDEX('Compliance Database'!$E$2:$E$1199,MATCH(553,Engine!$C$2:$C$1199,0)))</f>
        <v/>
      </c>
      <c r="F566" s="6" t="str">
        <f>IF(ISNA(MATCH(553,Engine!$C$2:$C$1199,0)),"",INDEX('Compliance Database'!$F$2:$F$1199,MATCH(553,Engine!$C$2:$C$1199,0)))</f>
        <v/>
      </c>
      <c r="G566" s="6" t="str">
        <f>IF(ISNA(MATCH(553,Engine!$C$2:$C$1199,0)),"",INDEX('Compliance Database'!$G$2:$G$1199,MATCH(553,Engine!$C$2:$C$1199,0)))</f>
        <v/>
      </c>
      <c r="H566" s="7" t="str">
        <f>IF(ISNA(MATCH(553,Engine!$C$2:$C$1199,0)),"",INDEX('Compliance Database'!$H$2:$H$1199,MATCH(553,Engine!$C$2:$C$1199,0)))</f>
        <v/>
      </c>
      <c r="I566" s="7" t="str">
        <f>IF(ISNA(MATCH(553,Engine!$C$2:$C$1199,0)),"",INDEX('Compliance Database'!$I$2:$I$1199,MATCH(553,Engine!$C$2:$C$1199,0)))</f>
        <v/>
      </c>
      <c r="J566" s="6" t="str">
        <f>IF(ISNA(MATCH(553,Engine!$C$2:$C$1199,0)),"",INDEX('Compliance Database'!$J$2:$J$1199,MATCH(553,Engine!$C$2:$C$1199,0)))</f>
        <v/>
      </c>
      <c r="K566" s="7" t="str">
        <f>IF(ISNA(MATCH(553,Engine!$C$2:$C$1199,0)),"",INDEX('Compliance Database'!$K$2:$K$1199,MATCH(553,Engine!$C$2:$C$1199,0)))</f>
        <v/>
      </c>
      <c r="L566" s="7" t="str">
        <f>IF(ISNA(MATCH(553,Engine!$C$2:$C$1199,0)),"",INDEX('Compliance Database'!$L$2:$L$1199,MATCH(553,Engine!$C$2:$C$1199,0)))</f>
        <v/>
      </c>
      <c r="M566" s="7" t="str">
        <f>IF(ISNA(MATCH(553,Engine!$C$2:$C$1199,0)),"",INDEX('Compliance Database'!$M$2:$M$1199,MATCH(553,Engine!$C$2:$C$1199,0)))</f>
        <v/>
      </c>
      <c r="N566" s="7" t="str">
        <f>IF(ISNA(MATCH(553,Engine!$C$2:$C$1199,0)),"",INDEX('Compliance Database'!$N$2:$N$1199,MATCH(553,Engine!$C$2:$C$1199,0)))</f>
        <v/>
      </c>
      <c r="O566" s="7" t="str">
        <f>IF(ISNA(MATCH(553,Engine!$C$2:$C$1199,0)),"",INDEX('Compliance Database'!$O$2:$O$1199,MATCH(553,Engine!$C$2:$C$1199,0)))</f>
        <v/>
      </c>
      <c r="P566" s="6" t="str">
        <f>IF(ISNA(MATCH(553,Engine!$C$2:$C$1199,0)),"",HYPERLINK("#Acts!A"&amp;INDEX('Compliance Database'!$P$2:$P$1199,MATCH(553,Engine!$C$2:$C$1199,0)),"Go to Act"))</f>
        <v/>
      </c>
    </row>
    <row r="567" spans="1:16" ht="172.95" customHeight="1" x14ac:dyDescent="0.3">
      <c r="A567" s="6" t="str">
        <f>IF(ISNA(MATCH(554,Engine!$C$2:$C$1199,0)),"",INDEX('Compliance Database'!$A$2:$A$1199,MATCH(554,Engine!$C$2:$C$1199,0)))</f>
        <v/>
      </c>
      <c r="B567" s="6" t="str">
        <f>IF(ISNA(MATCH(554,Engine!$C$2:$C$1199,0)),"",INDEX('Compliance Database'!$B$2:$B$1199,MATCH(554,Engine!$C$2:$C$1199,0)))</f>
        <v/>
      </c>
      <c r="C567" s="6" t="str">
        <f>IF(ISNA(MATCH(554,Engine!$C$2:$C$1199,0)),"",INDEX('Compliance Database'!$C$2:$C$1199,MATCH(554,Engine!$C$2:$C$1199,0)))</f>
        <v/>
      </c>
      <c r="D567" s="7" t="str">
        <f>IF(ISNA(MATCH(554,Engine!$C$2:$C$1199,0)),"",INDEX('Compliance Database'!$D$2:$D$1199,MATCH(554,Engine!$C$2:$C$1199,0)))</f>
        <v/>
      </c>
      <c r="E567" s="6" t="str">
        <f>IF(ISNA(MATCH(554,Engine!$C$2:$C$1199,0)),"",INDEX('Compliance Database'!$E$2:$E$1199,MATCH(554,Engine!$C$2:$C$1199,0)))</f>
        <v/>
      </c>
      <c r="F567" s="6" t="str">
        <f>IF(ISNA(MATCH(554,Engine!$C$2:$C$1199,0)),"",INDEX('Compliance Database'!$F$2:$F$1199,MATCH(554,Engine!$C$2:$C$1199,0)))</f>
        <v/>
      </c>
      <c r="G567" s="6" t="str">
        <f>IF(ISNA(MATCH(554,Engine!$C$2:$C$1199,0)),"",INDEX('Compliance Database'!$G$2:$G$1199,MATCH(554,Engine!$C$2:$C$1199,0)))</f>
        <v/>
      </c>
      <c r="H567" s="7" t="str">
        <f>IF(ISNA(MATCH(554,Engine!$C$2:$C$1199,0)),"",INDEX('Compliance Database'!$H$2:$H$1199,MATCH(554,Engine!$C$2:$C$1199,0)))</f>
        <v/>
      </c>
      <c r="I567" s="7" t="str">
        <f>IF(ISNA(MATCH(554,Engine!$C$2:$C$1199,0)),"",INDEX('Compliance Database'!$I$2:$I$1199,MATCH(554,Engine!$C$2:$C$1199,0)))</f>
        <v/>
      </c>
      <c r="J567" s="6" t="str">
        <f>IF(ISNA(MATCH(554,Engine!$C$2:$C$1199,0)),"",INDEX('Compliance Database'!$J$2:$J$1199,MATCH(554,Engine!$C$2:$C$1199,0)))</f>
        <v/>
      </c>
      <c r="K567" s="7" t="str">
        <f>IF(ISNA(MATCH(554,Engine!$C$2:$C$1199,0)),"",INDEX('Compliance Database'!$K$2:$K$1199,MATCH(554,Engine!$C$2:$C$1199,0)))</f>
        <v/>
      </c>
      <c r="L567" s="7" t="str">
        <f>IF(ISNA(MATCH(554,Engine!$C$2:$C$1199,0)),"",INDEX('Compliance Database'!$L$2:$L$1199,MATCH(554,Engine!$C$2:$C$1199,0)))</f>
        <v/>
      </c>
      <c r="M567" s="7" t="str">
        <f>IF(ISNA(MATCH(554,Engine!$C$2:$C$1199,0)),"",INDEX('Compliance Database'!$M$2:$M$1199,MATCH(554,Engine!$C$2:$C$1199,0)))</f>
        <v/>
      </c>
      <c r="N567" s="7" t="str">
        <f>IF(ISNA(MATCH(554,Engine!$C$2:$C$1199,0)),"",INDEX('Compliance Database'!$N$2:$N$1199,MATCH(554,Engine!$C$2:$C$1199,0)))</f>
        <v/>
      </c>
      <c r="O567" s="7" t="str">
        <f>IF(ISNA(MATCH(554,Engine!$C$2:$C$1199,0)),"",INDEX('Compliance Database'!$O$2:$O$1199,MATCH(554,Engine!$C$2:$C$1199,0)))</f>
        <v/>
      </c>
      <c r="P567" s="6" t="str">
        <f>IF(ISNA(MATCH(554,Engine!$C$2:$C$1199,0)),"",HYPERLINK("#Acts!A"&amp;INDEX('Compliance Database'!$P$2:$P$1199,MATCH(554,Engine!$C$2:$C$1199,0)),"Go to Act"))</f>
        <v/>
      </c>
    </row>
    <row r="568" spans="1:16" ht="172.95" customHeight="1" x14ac:dyDescent="0.3">
      <c r="A568" s="6" t="str">
        <f>IF(ISNA(MATCH(555,Engine!$C$2:$C$1199,0)),"",INDEX('Compliance Database'!$A$2:$A$1199,MATCH(555,Engine!$C$2:$C$1199,0)))</f>
        <v/>
      </c>
      <c r="B568" s="6" t="str">
        <f>IF(ISNA(MATCH(555,Engine!$C$2:$C$1199,0)),"",INDEX('Compliance Database'!$B$2:$B$1199,MATCH(555,Engine!$C$2:$C$1199,0)))</f>
        <v/>
      </c>
      <c r="C568" s="6" t="str">
        <f>IF(ISNA(MATCH(555,Engine!$C$2:$C$1199,0)),"",INDEX('Compliance Database'!$C$2:$C$1199,MATCH(555,Engine!$C$2:$C$1199,0)))</f>
        <v/>
      </c>
      <c r="D568" s="7" t="str">
        <f>IF(ISNA(MATCH(555,Engine!$C$2:$C$1199,0)),"",INDEX('Compliance Database'!$D$2:$D$1199,MATCH(555,Engine!$C$2:$C$1199,0)))</f>
        <v/>
      </c>
      <c r="E568" s="6" t="str">
        <f>IF(ISNA(MATCH(555,Engine!$C$2:$C$1199,0)),"",INDEX('Compliance Database'!$E$2:$E$1199,MATCH(555,Engine!$C$2:$C$1199,0)))</f>
        <v/>
      </c>
      <c r="F568" s="6" t="str">
        <f>IF(ISNA(MATCH(555,Engine!$C$2:$C$1199,0)),"",INDEX('Compliance Database'!$F$2:$F$1199,MATCH(555,Engine!$C$2:$C$1199,0)))</f>
        <v/>
      </c>
      <c r="G568" s="6" t="str">
        <f>IF(ISNA(MATCH(555,Engine!$C$2:$C$1199,0)),"",INDEX('Compliance Database'!$G$2:$G$1199,MATCH(555,Engine!$C$2:$C$1199,0)))</f>
        <v/>
      </c>
      <c r="H568" s="7" t="str">
        <f>IF(ISNA(MATCH(555,Engine!$C$2:$C$1199,0)),"",INDEX('Compliance Database'!$H$2:$H$1199,MATCH(555,Engine!$C$2:$C$1199,0)))</f>
        <v/>
      </c>
      <c r="I568" s="7" t="str">
        <f>IF(ISNA(MATCH(555,Engine!$C$2:$C$1199,0)),"",INDEX('Compliance Database'!$I$2:$I$1199,MATCH(555,Engine!$C$2:$C$1199,0)))</f>
        <v/>
      </c>
      <c r="J568" s="6" t="str">
        <f>IF(ISNA(MATCH(555,Engine!$C$2:$C$1199,0)),"",INDEX('Compliance Database'!$J$2:$J$1199,MATCH(555,Engine!$C$2:$C$1199,0)))</f>
        <v/>
      </c>
      <c r="K568" s="7" t="str">
        <f>IF(ISNA(MATCH(555,Engine!$C$2:$C$1199,0)),"",INDEX('Compliance Database'!$K$2:$K$1199,MATCH(555,Engine!$C$2:$C$1199,0)))</f>
        <v/>
      </c>
      <c r="L568" s="7" t="str">
        <f>IF(ISNA(MATCH(555,Engine!$C$2:$C$1199,0)),"",INDEX('Compliance Database'!$L$2:$L$1199,MATCH(555,Engine!$C$2:$C$1199,0)))</f>
        <v/>
      </c>
      <c r="M568" s="7" t="str">
        <f>IF(ISNA(MATCH(555,Engine!$C$2:$C$1199,0)),"",INDEX('Compliance Database'!$M$2:$M$1199,MATCH(555,Engine!$C$2:$C$1199,0)))</f>
        <v/>
      </c>
      <c r="N568" s="7" t="str">
        <f>IF(ISNA(MATCH(555,Engine!$C$2:$C$1199,0)),"",INDEX('Compliance Database'!$N$2:$N$1199,MATCH(555,Engine!$C$2:$C$1199,0)))</f>
        <v/>
      </c>
      <c r="O568" s="7" t="str">
        <f>IF(ISNA(MATCH(555,Engine!$C$2:$C$1199,0)),"",INDEX('Compliance Database'!$O$2:$O$1199,MATCH(555,Engine!$C$2:$C$1199,0)))</f>
        <v/>
      </c>
      <c r="P568" s="6" t="str">
        <f>IF(ISNA(MATCH(555,Engine!$C$2:$C$1199,0)),"",HYPERLINK("#Acts!A"&amp;INDEX('Compliance Database'!$P$2:$P$1199,MATCH(555,Engine!$C$2:$C$1199,0)),"Go to Act"))</f>
        <v/>
      </c>
    </row>
    <row r="569" spans="1:16" ht="172.95" customHeight="1" x14ac:dyDescent="0.3">
      <c r="A569" s="6" t="str">
        <f>IF(ISNA(MATCH(556,Engine!$C$2:$C$1199,0)),"",INDEX('Compliance Database'!$A$2:$A$1199,MATCH(556,Engine!$C$2:$C$1199,0)))</f>
        <v/>
      </c>
      <c r="B569" s="6" t="str">
        <f>IF(ISNA(MATCH(556,Engine!$C$2:$C$1199,0)),"",INDEX('Compliance Database'!$B$2:$B$1199,MATCH(556,Engine!$C$2:$C$1199,0)))</f>
        <v/>
      </c>
      <c r="C569" s="6" t="str">
        <f>IF(ISNA(MATCH(556,Engine!$C$2:$C$1199,0)),"",INDEX('Compliance Database'!$C$2:$C$1199,MATCH(556,Engine!$C$2:$C$1199,0)))</f>
        <v/>
      </c>
      <c r="D569" s="7" t="str">
        <f>IF(ISNA(MATCH(556,Engine!$C$2:$C$1199,0)),"",INDEX('Compliance Database'!$D$2:$D$1199,MATCH(556,Engine!$C$2:$C$1199,0)))</f>
        <v/>
      </c>
      <c r="E569" s="6" t="str">
        <f>IF(ISNA(MATCH(556,Engine!$C$2:$C$1199,0)),"",INDEX('Compliance Database'!$E$2:$E$1199,MATCH(556,Engine!$C$2:$C$1199,0)))</f>
        <v/>
      </c>
      <c r="F569" s="6" t="str">
        <f>IF(ISNA(MATCH(556,Engine!$C$2:$C$1199,0)),"",INDEX('Compliance Database'!$F$2:$F$1199,MATCH(556,Engine!$C$2:$C$1199,0)))</f>
        <v/>
      </c>
      <c r="G569" s="6" t="str">
        <f>IF(ISNA(MATCH(556,Engine!$C$2:$C$1199,0)),"",INDEX('Compliance Database'!$G$2:$G$1199,MATCH(556,Engine!$C$2:$C$1199,0)))</f>
        <v/>
      </c>
      <c r="H569" s="7" t="str">
        <f>IF(ISNA(MATCH(556,Engine!$C$2:$C$1199,0)),"",INDEX('Compliance Database'!$H$2:$H$1199,MATCH(556,Engine!$C$2:$C$1199,0)))</f>
        <v/>
      </c>
      <c r="I569" s="7" t="str">
        <f>IF(ISNA(MATCH(556,Engine!$C$2:$C$1199,0)),"",INDEX('Compliance Database'!$I$2:$I$1199,MATCH(556,Engine!$C$2:$C$1199,0)))</f>
        <v/>
      </c>
      <c r="J569" s="6" t="str">
        <f>IF(ISNA(MATCH(556,Engine!$C$2:$C$1199,0)),"",INDEX('Compliance Database'!$J$2:$J$1199,MATCH(556,Engine!$C$2:$C$1199,0)))</f>
        <v/>
      </c>
      <c r="K569" s="7" t="str">
        <f>IF(ISNA(MATCH(556,Engine!$C$2:$C$1199,0)),"",INDEX('Compliance Database'!$K$2:$K$1199,MATCH(556,Engine!$C$2:$C$1199,0)))</f>
        <v/>
      </c>
      <c r="L569" s="7" t="str">
        <f>IF(ISNA(MATCH(556,Engine!$C$2:$C$1199,0)),"",INDEX('Compliance Database'!$L$2:$L$1199,MATCH(556,Engine!$C$2:$C$1199,0)))</f>
        <v/>
      </c>
      <c r="M569" s="7" t="str">
        <f>IF(ISNA(MATCH(556,Engine!$C$2:$C$1199,0)),"",INDEX('Compliance Database'!$M$2:$M$1199,MATCH(556,Engine!$C$2:$C$1199,0)))</f>
        <v/>
      </c>
      <c r="N569" s="7" t="str">
        <f>IF(ISNA(MATCH(556,Engine!$C$2:$C$1199,0)),"",INDEX('Compliance Database'!$N$2:$N$1199,MATCH(556,Engine!$C$2:$C$1199,0)))</f>
        <v/>
      </c>
      <c r="O569" s="7" t="str">
        <f>IF(ISNA(MATCH(556,Engine!$C$2:$C$1199,0)),"",INDEX('Compliance Database'!$O$2:$O$1199,MATCH(556,Engine!$C$2:$C$1199,0)))</f>
        <v/>
      </c>
      <c r="P569" s="6" t="str">
        <f>IF(ISNA(MATCH(556,Engine!$C$2:$C$1199,0)),"",HYPERLINK("#Acts!A"&amp;INDEX('Compliance Database'!$P$2:$P$1199,MATCH(556,Engine!$C$2:$C$1199,0)),"Go to Act"))</f>
        <v/>
      </c>
    </row>
    <row r="570" spans="1:16" ht="172.95" customHeight="1" x14ac:dyDescent="0.3">
      <c r="A570" s="6" t="str">
        <f>IF(ISNA(MATCH(557,Engine!$C$2:$C$1199,0)),"",INDEX('Compliance Database'!$A$2:$A$1199,MATCH(557,Engine!$C$2:$C$1199,0)))</f>
        <v/>
      </c>
      <c r="B570" s="6" t="str">
        <f>IF(ISNA(MATCH(557,Engine!$C$2:$C$1199,0)),"",INDEX('Compliance Database'!$B$2:$B$1199,MATCH(557,Engine!$C$2:$C$1199,0)))</f>
        <v/>
      </c>
      <c r="C570" s="6" t="str">
        <f>IF(ISNA(MATCH(557,Engine!$C$2:$C$1199,0)),"",INDEX('Compliance Database'!$C$2:$C$1199,MATCH(557,Engine!$C$2:$C$1199,0)))</f>
        <v/>
      </c>
      <c r="D570" s="7" t="str">
        <f>IF(ISNA(MATCH(557,Engine!$C$2:$C$1199,0)),"",INDEX('Compliance Database'!$D$2:$D$1199,MATCH(557,Engine!$C$2:$C$1199,0)))</f>
        <v/>
      </c>
      <c r="E570" s="6" t="str">
        <f>IF(ISNA(MATCH(557,Engine!$C$2:$C$1199,0)),"",INDEX('Compliance Database'!$E$2:$E$1199,MATCH(557,Engine!$C$2:$C$1199,0)))</f>
        <v/>
      </c>
      <c r="F570" s="6" t="str">
        <f>IF(ISNA(MATCH(557,Engine!$C$2:$C$1199,0)),"",INDEX('Compliance Database'!$F$2:$F$1199,MATCH(557,Engine!$C$2:$C$1199,0)))</f>
        <v/>
      </c>
      <c r="G570" s="6" t="str">
        <f>IF(ISNA(MATCH(557,Engine!$C$2:$C$1199,0)),"",INDEX('Compliance Database'!$G$2:$G$1199,MATCH(557,Engine!$C$2:$C$1199,0)))</f>
        <v/>
      </c>
      <c r="H570" s="7" t="str">
        <f>IF(ISNA(MATCH(557,Engine!$C$2:$C$1199,0)),"",INDEX('Compliance Database'!$H$2:$H$1199,MATCH(557,Engine!$C$2:$C$1199,0)))</f>
        <v/>
      </c>
      <c r="I570" s="7" t="str">
        <f>IF(ISNA(MATCH(557,Engine!$C$2:$C$1199,0)),"",INDEX('Compliance Database'!$I$2:$I$1199,MATCH(557,Engine!$C$2:$C$1199,0)))</f>
        <v/>
      </c>
      <c r="J570" s="6" t="str">
        <f>IF(ISNA(MATCH(557,Engine!$C$2:$C$1199,0)),"",INDEX('Compliance Database'!$J$2:$J$1199,MATCH(557,Engine!$C$2:$C$1199,0)))</f>
        <v/>
      </c>
      <c r="K570" s="7" t="str">
        <f>IF(ISNA(MATCH(557,Engine!$C$2:$C$1199,0)),"",INDEX('Compliance Database'!$K$2:$K$1199,MATCH(557,Engine!$C$2:$C$1199,0)))</f>
        <v/>
      </c>
      <c r="L570" s="7" t="str">
        <f>IF(ISNA(MATCH(557,Engine!$C$2:$C$1199,0)),"",INDEX('Compliance Database'!$L$2:$L$1199,MATCH(557,Engine!$C$2:$C$1199,0)))</f>
        <v/>
      </c>
      <c r="M570" s="7" t="str">
        <f>IF(ISNA(MATCH(557,Engine!$C$2:$C$1199,0)),"",INDEX('Compliance Database'!$M$2:$M$1199,MATCH(557,Engine!$C$2:$C$1199,0)))</f>
        <v/>
      </c>
      <c r="N570" s="7" t="str">
        <f>IF(ISNA(MATCH(557,Engine!$C$2:$C$1199,0)),"",INDEX('Compliance Database'!$N$2:$N$1199,MATCH(557,Engine!$C$2:$C$1199,0)))</f>
        <v/>
      </c>
      <c r="O570" s="7" t="str">
        <f>IF(ISNA(MATCH(557,Engine!$C$2:$C$1199,0)),"",INDEX('Compliance Database'!$O$2:$O$1199,MATCH(557,Engine!$C$2:$C$1199,0)))</f>
        <v/>
      </c>
      <c r="P570" s="6" t="str">
        <f>IF(ISNA(MATCH(557,Engine!$C$2:$C$1199,0)),"",HYPERLINK("#Acts!A"&amp;INDEX('Compliance Database'!$P$2:$P$1199,MATCH(557,Engine!$C$2:$C$1199,0)),"Go to Act"))</f>
        <v/>
      </c>
    </row>
    <row r="571" spans="1:16" ht="172.95" customHeight="1" x14ac:dyDescent="0.3">
      <c r="A571" s="6" t="str">
        <f>IF(ISNA(MATCH(558,Engine!$C$2:$C$1199,0)),"",INDEX('Compliance Database'!$A$2:$A$1199,MATCH(558,Engine!$C$2:$C$1199,0)))</f>
        <v/>
      </c>
      <c r="B571" s="6" t="str">
        <f>IF(ISNA(MATCH(558,Engine!$C$2:$C$1199,0)),"",INDEX('Compliance Database'!$B$2:$B$1199,MATCH(558,Engine!$C$2:$C$1199,0)))</f>
        <v/>
      </c>
      <c r="C571" s="6" t="str">
        <f>IF(ISNA(MATCH(558,Engine!$C$2:$C$1199,0)),"",INDEX('Compliance Database'!$C$2:$C$1199,MATCH(558,Engine!$C$2:$C$1199,0)))</f>
        <v/>
      </c>
      <c r="D571" s="7" t="str">
        <f>IF(ISNA(MATCH(558,Engine!$C$2:$C$1199,0)),"",INDEX('Compliance Database'!$D$2:$D$1199,MATCH(558,Engine!$C$2:$C$1199,0)))</f>
        <v/>
      </c>
      <c r="E571" s="6" t="str">
        <f>IF(ISNA(MATCH(558,Engine!$C$2:$C$1199,0)),"",INDEX('Compliance Database'!$E$2:$E$1199,MATCH(558,Engine!$C$2:$C$1199,0)))</f>
        <v/>
      </c>
      <c r="F571" s="6" t="str">
        <f>IF(ISNA(MATCH(558,Engine!$C$2:$C$1199,0)),"",INDEX('Compliance Database'!$F$2:$F$1199,MATCH(558,Engine!$C$2:$C$1199,0)))</f>
        <v/>
      </c>
      <c r="G571" s="6" t="str">
        <f>IF(ISNA(MATCH(558,Engine!$C$2:$C$1199,0)),"",INDEX('Compliance Database'!$G$2:$G$1199,MATCH(558,Engine!$C$2:$C$1199,0)))</f>
        <v/>
      </c>
      <c r="H571" s="7" t="str">
        <f>IF(ISNA(MATCH(558,Engine!$C$2:$C$1199,0)),"",INDEX('Compliance Database'!$H$2:$H$1199,MATCH(558,Engine!$C$2:$C$1199,0)))</f>
        <v/>
      </c>
      <c r="I571" s="7" t="str">
        <f>IF(ISNA(MATCH(558,Engine!$C$2:$C$1199,0)),"",INDEX('Compliance Database'!$I$2:$I$1199,MATCH(558,Engine!$C$2:$C$1199,0)))</f>
        <v/>
      </c>
      <c r="J571" s="6" t="str">
        <f>IF(ISNA(MATCH(558,Engine!$C$2:$C$1199,0)),"",INDEX('Compliance Database'!$J$2:$J$1199,MATCH(558,Engine!$C$2:$C$1199,0)))</f>
        <v/>
      </c>
      <c r="K571" s="7" t="str">
        <f>IF(ISNA(MATCH(558,Engine!$C$2:$C$1199,0)),"",INDEX('Compliance Database'!$K$2:$K$1199,MATCH(558,Engine!$C$2:$C$1199,0)))</f>
        <v/>
      </c>
      <c r="L571" s="7" t="str">
        <f>IF(ISNA(MATCH(558,Engine!$C$2:$C$1199,0)),"",INDEX('Compliance Database'!$L$2:$L$1199,MATCH(558,Engine!$C$2:$C$1199,0)))</f>
        <v/>
      </c>
      <c r="M571" s="7" t="str">
        <f>IF(ISNA(MATCH(558,Engine!$C$2:$C$1199,0)),"",INDEX('Compliance Database'!$M$2:$M$1199,MATCH(558,Engine!$C$2:$C$1199,0)))</f>
        <v/>
      </c>
      <c r="N571" s="7" t="str">
        <f>IF(ISNA(MATCH(558,Engine!$C$2:$C$1199,0)),"",INDEX('Compliance Database'!$N$2:$N$1199,MATCH(558,Engine!$C$2:$C$1199,0)))</f>
        <v/>
      </c>
      <c r="O571" s="7" t="str">
        <f>IF(ISNA(MATCH(558,Engine!$C$2:$C$1199,0)),"",INDEX('Compliance Database'!$O$2:$O$1199,MATCH(558,Engine!$C$2:$C$1199,0)))</f>
        <v/>
      </c>
      <c r="P571" s="6" t="str">
        <f>IF(ISNA(MATCH(558,Engine!$C$2:$C$1199,0)),"",HYPERLINK("#Acts!A"&amp;INDEX('Compliance Database'!$P$2:$P$1199,MATCH(558,Engine!$C$2:$C$1199,0)),"Go to Act"))</f>
        <v/>
      </c>
    </row>
    <row r="572" spans="1:16" ht="172.95" customHeight="1" x14ac:dyDescent="0.3">
      <c r="A572" s="6" t="str">
        <f>IF(ISNA(MATCH(559,Engine!$C$2:$C$1199,0)),"",INDEX('Compliance Database'!$A$2:$A$1199,MATCH(559,Engine!$C$2:$C$1199,0)))</f>
        <v/>
      </c>
      <c r="B572" s="6" t="str">
        <f>IF(ISNA(MATCH(559,Engine!$C$2:$C$1199,0)),"",INDEX('Compliance Database'!$B$2:$B$1199,MATCH(559,Engine!$C$2:$C$1199,0)))</f>
        <v/>
      </c>
      <c r="C572" s="6" t="str">
        <f>IF(ISNA(MATCH(559,Engine!$C$2:$C$1199,0)),"",INDEX('Compliance Database'!$C$2:$C$1199,MATCH(559,Engine!$C$2:$C$1199,0)))</f>
        <v/>
      </c>
      <c r="D572" s="7" t="str">
        <f>IF(ISNA(MATCH(559,Engine!$C$2:$C$1199,0)),"",INDEX('Compliance Database'!$D$2:$D$1199,MATCH(559,Engine!$C$2:$C$1199,0)))</f>
        <v/>
      </c>
      <c r="E572" s="6" t="str">
        <f>IF(ISNA(MATCH(559,Engine!$C$2:$C$1199,0)),"",INDEX('Compliance Database'!$E$2:$E$1199,MATCH(559,Engine!$C$2:$C$1199,0)))</f>
        <v/>
      </c>
      <c r="F572" s="6" t="str">
        <f>IF(ISNA(MATCH(559,Engine!$C$2:$C$1199,0)),"",INDEX('Compliance Database'!$F$2:$F$1199,MATCH(559,Engine!$C$2:$C$1199,0)))</f>
        <v/>
      </c>
      <c r="G572" s="6" t="str">
        <f>IF(ISNA(MATCH(559,Engine!$C$2:$C$1199,0)),"",INDEX('Compliance Database'!$G$2:$G$1199,MATCH(559,Engine!$C$2:$C$1199,0)))</f>
        <v/>
      </c>
      <c r="H572" s="7" t="str">
        <f>IF(ISNA(MATCH(559,Engine!$C$2:$C$1199,0)),"",INDEX('Compliance Database'!$H$2:$H$1199,MATCH(559,Engine!$C$2:$C$1199,0)))</f>
        <v/>
      </c>
      <c r="I572" s="7" t="str">
        <f>IF(ISNA(MATCH(559,Engine!$C$2:$C$1199,0)),"",INDEX('Compliance Database'!$I$2:$I$1199,MATCH(559,Engine!$C$2:$C$1199,0)))</f>
        <v/>
      </c>
      <c r="J572" s="6" t="str">
        <f>IF(ISNA(MATCH(559,Engine!$C$2:$C$1199,0)),"",INDEX('Compliance Database'!$J$2:$J$1199,MATCH(559,Engine!$C$2:$C$1199,0)))</f>
        <v/>
      </c>
      <c r="K572" s="7" t="str">
        <f>IF(ISNA(MATCH(559,Engine!$C$2:$C$1199,0)),"",INDEX('Compliance Database'!$K$2:$K$1199,MATCH(559,Engine!$C$2:$C$1199,0)))</f>
        <v/>
      </c>
      <c r="L572" s="7" t="str">
        <f>IF(ISNA(MATCH(559,Engine!$C$2:$C$1199,0)),"",INDEX('Compliance Database'!$L$2:$L$1199,MATCH(559,Engine!$C$2:$C$1199,0)))</f>
        <v/>
      </c>
      <c r="M572" s="7" t="str">
        <f>IF(ISNA(MATCH(559,Engine!$C$2:$C$1199,0)),"",INDEX('Compliance Database'!$M$2:$M$1199,MATCH(559,Engine!$C$2:$C$1199,0)))</f>
        <v/>
      </c>
      <c r="N572" s="7" t="str">
        <f>IF(ISNA(MATCH(559,Engine!$C$2:$C$1199,0)),"",INDEX('Compliance Database'!$N$2:$N$1199,MATCH(559,Engine!$C$2:$C$1199,0)))</f>
        <v/>
      </c>
      <c r="O572" s="7" t="str">
        <f>IF(ISNA(MATCH(559,Engine!$C$2:$C$1199,0)),"",INDEX('Compliance Database'!$O$2:$O$1199,MATCH(559,Engine!$C$2:$C$1199,0)))</f>
        <v/>
      </c>
      <c r="P572" s="6" t="str">
        <f>IF(ISNA(MATCH(559,Engine!$C$2:$C$1199,0)),"",HYPERLINK("#Acts!A"&amp;INDEX('Compliance Database'!$P$2:$P$1199,MATCH(559,Engine!$C$2:$C$1199,0)),"Go to Act"))</f>
        <v/>
      </c>
    </row>
    <row r="573" spans="1:16" ht="172.95" customHeight="1" x14ac:dyDescent="0.3">
      <c r="A573" s="6" t="str">
        <f>IF(ISNA(MATCH(560,Engine!$C$2:$C$1199,0)),"",INDEX('Compliance Database'!$A$2:$A$1199,MATCH(560,Engine!$C$2:$C$1199,0)))</f>
        <v/>
      </c>
      <c r="B573" s="6" t="str">
        <f>IF(ISNA(MATCH(560,Engine!$C$2:$C$1199,0)),"",INDEX('Compliance Database'!$B$2:$B$1199,MATCH(560,Engine!$C$2:$C$1199,0)))</f>
        <v/>
      </c>
      <c r="C573" s="6" t="str">
        <f>IF(ISNA(MATCH(560,Engine!$C$2:$C$1199,0)),"",INDEX('Compliance Database'!$C$2:$C$1199,MATCH(560,Engine!$C$2:$C$1199,0)))</f>
        <v/>
      </c>
      <c r="D573" s="7" t="str">
        <f>IF(ISNA(MATCH(560,Engine!$C$2:$C$1199,0)),"",INDEX('Compliance Database'!$D$2:$D$1199,MATCH(560,Engine!$C$2:$C$1199,0)))</f>
        <v/>
      </c>
      <c r="E573" s="6" t="str">
        <f>IF(ISNA(MATCH(560,Engine!$C$2:$C$1199,0)),"",INDEX('Compliance Database'!$E$2:$E$1199,MATCH(560,Engine!$C$2:$C$1199,0)))</f>
        <v/>
      </c>
      <c r="F573" s="6" t="str">
        <f>IF(ISNA(MATCH(560,Engine!$C$2:$C$1199,0)),"",INDEX('Compliance Database'!$F$2:$F$1199,MATCH(560,Engine!$C$2:$C$1199,0)))</f>
        <v/>
      </c>
      <c r="G573" s="6" t="str">
        <f>IF(ISNA(MATCH(560,Engine!$C$2:$C$1199,0)),"",INDEX('Compliance Database'!$G$2:$G$1199,MATCH(560,Engine!$C$2:$C$1199,0)))</f>
        <v/>
      </c>
      <c r="H573" s="7" t="str">
        <f>IF(ISNA(MATCH(560,Engine!$C$2:$C$1199,0)),"",INDEX('Compliance Database'!$H$2:$H$1199,MATCH(560,Engine!$C$2:$C$1199,0)))</f>
        <v/>
      </c>
      <c r="I573" s="7" t="str">
        <f>IF(ISNA(MATCH(560,Engine!$C$2:$C$1199,0)),"",INDEX('Compliance Database'!$I$2:$I$1199,MATCH(560,Engine!$C$2:$C$1199,0)))</f>
        <v/>
      </c>
      <c r="J573" s="6" t="str">
        <f>IF(ISNA(MATCH(560,Engine!$C$2:$C$1199,0)),"",INDEX('Compliance Database'!$J$2:$J$1199,MATCH(560,Engine!$C$2:$C$1199,0)))</f>
        <v/>
      </c>
      <c r="K573" s="7" t="str">
        <f>IF(ISNA(MATCH(560,Engine!$C$2:$C$1199,0)),"",INDEX('Compliance Database'!$K$2:$K$1199,MATCH(560,Engine!$C$2:$C$1199,0)))</f>
        <v/>
      </c>
      <c r="L573" s="7" t="str">
        <f>IF(ISNA(MATCH(560,Engine!$C$2:$C$1199,0)),"",INDEX('Compliance Database'!$L$2:$L$1199,MATCH(560,Engine!$C$2:$C$1199,0)))</f>
        <v/>
      </c>
      <c r="M573" s="7" t="str">
        <f>IF(ISNA(MATCH(560,Engine!$C$2:$C$1199,0)),"",INDEX('Compliance Database'!$M$2:$M$1199,MATCH(560,Engine!$C$2:$C$1199,0)))</f>
        <v/>
      </c>
      <c r="N573" s="7" t="str">
        <f>IF(ISNA(MATCH(560,Engine!$C$2:$C$1199,0)),"",INDEX('Compliance Database'!$N$2:$N$1199,MATCH(560,Engine!$C$2:$C$1199,0)))</f>
        <v/>
      </c>
      <c r="O573" s="7" t="str">
        <f>IF(ISNA(MATCH(560,Engine!$C$2:$C$1199,0)),"",INDEX('Compliance Database'!$O$2:$O$1199,MATCH(560,Engine!$C$2:$C$1199,0)))</f>
        <v/>
      </c>
      <c r="P573" s="6" t="str">
        <f>IF(ISNA(MATCH(560,Engine!$C$2:$C$1199,0)),"",HYPERLINK("#Acts!A"&amp;INDEX('Compliance Database'!$P$2:$P$1199,MATCH(560,Engine!$C$2:$C$1199,0)),"Go to Act"))</f>
        <v/>
      </c>
    </row>
    <row r="574" spans="1:16" ht="172.95" customHeight="1" x14ac:dyDescent="0.3">
      <c r="A574" s="6" t="str">
        <f>IF(ISNA(MATCH(561,Engine!$C$2:$C$1199,0)),"",INDEX('Compliance Database'!$A$2:$A$1199,MATCH(561,Engine!$C$2:$C$1199,0)))</f>
        <v/>
      </c>
      <c r="B574" s="6" t="str">
        <f>IF(ISNA(MATCH(561,Engine!$C$2:$C$1199,0)),"",INDEX('Compliance Database'!$B$2:$B$1199,MATCH(561,Engine!$C$2:$C$1199,0)))</f>
        <v/>
      </c>
      <c r="C574" s="6" t="str">
        <f>IF(ISNA(MATCH(561,Engine!$C$2:$C$1199,0)),"",INDEX('Compliance Database'!$C$2:$C$1199,MATCH(561,Engine!$C$2:$C$1199,0)))</f>
        <v/>
      </c>
      <c r="D574" s="7" t="str">
        <f>IF(ISNA(MATCH(561,Engine!$C$2:$C$1199,0)),"",INDEX('Compliance Database'!$D$2:$D$1199,MATCH(561,Engine!$C$2:$C$1199,0)))</f>
        <v/>
      </c>
      <c r="E574" s="6" t="str">
        <f>IF(ISNA(MATCH(561,Engine!$C$2:$C$1199,0)),"",INDEX('Compliance Database'!$E$2:$E$1199,MATCH(561,Engine!$C$2:$C$1199,0)))</f>
        <v/>
      </c>
      <c r="F574" s="6" t="str">
        <f>IF(ISNA(MATCH(561,Engine!$C$2:$C$1199,0)),"",INDEX('Compliance Database'!$F$2:$F$1199,MATCH(561,Engine!$C$2:$C$1199,0)))</f>
        <v/>
      </c>
      <c r="G574" s="6" t="str">
        <f>IF(ISNA(MATCH(561,Engine!$C$2:$C$1199,0)),"",INDEX('Compliance Database'!$G$2:$G$1199,MATCH(561,Engine!$C$2:$C$1199,0)))</f>
        <v/>
      </c>
      <c r="H574" s="7" t="str">
        <f>IF(ISNA(MATCH(561,Engine!$C$2:$C$1199,0)),"",INDEX('Compliance Database'!$H$2:$H$1199,MATCH(561,Engine!$C$2:$C$1199,0)))</f>
        <v/>
      </c>
      <c r="I574" s="7" t="str">
        <f>IF(ISNA(MATCH(561,Engine!$C$2:$C$1199,0)),"",INDEX('Compliance Database'!$I$2:$I$1199,MATCH(561,Engine!$C$2:$C$1199,0)))</f>
        <v/>
      </c>
      <c r="J574" s="6" t="str">
        <f>IF(ISNA(MATCH(561,Engine!$C$2:$C$1199,0)),"",INDEX('Compliance Database'!$J$2:$J$1199,MATCH(561,Engine!$C$2:$C$1199,0)))</f>
        <v/>
      </c>
      <c r="K574" s="7" t="str">
        <f>IF(ISNA(MATCH(561,Engine!$C$2:$C$1199,0)),"",INDEX('Compliance Database'!$K$2:$K$1199,MATCH(561,Engine!$C$2:$C$1199,0)))</f>
        <v/>
      </c>
      <c r="L574" s="7" t="str">
        <f>IF(ISNA(MATCH(561,Engine!$C$2:$C$1199,0)),"",INDEX('Compliance Database'!$L$2:$L$1199,MATCH(561,Engine!$C$2:$C$1199,0)))</f>
        <v/>
      </c>
      <c r="M574" s="7" t="str">
        <f>IF(ISNA(MATCH(561,Engine!$C$2:$C$1199,0)),"",INDEX('Compliance Database'!$M$2:$M$1199,MATCH(561,Engine!$C$2:$C$1199,0)))</f>
        <v/>
      </c>
      <c r="N574" s="7" t="str">
        <f>IF(ISNA(MATCH(561,Engine!$C$2:$C$1199,0)),"",INDEX('Compliance Database'!$N$2:$N$1199,MATCH(561,Engine!$C$2:$C$1199,0)))</f>
        <v/>
      </c>
      <c r="O574" s="7" t="str">
        <f>IF(ISNA(MATCH(561,Engine!$C$2:$C$1199,0)),"",INDEX('Compliance Database'!$O$2:$O$1199,MATCH(561,Engine!$C$2:$C$1199,0)))</f>
        <v/>
      </c>
      <c r="P574" s="6" t="str">
        <f>IF(ISNA(MATCH(561,Engine!$C$2:$C$1199,0)),"",HYPERLINK("#Acts!A"&amp;INDEX('Compliance Database'!$P$2:$P$1199,MATCH(561,Engine!$C$2:$C$1199,0)),"Go to Act"))</f>
        <v/>
      </c>
    </row>
    <row r="575" spans="1:16" ht="172.95" customHeight="1" x14ac:dyDescent="0.3">
      <c r="A575" s="6" t="str">
        <f>IF(ISNA(MATCH(562,Engine!$C$2:$C$1199,0)),"",INDEX('Compliance Database'!$A$2:$A$1199,MATCH(562,Engine!$C$2:$C$1199,0)))</f>
        <v/>
      </c>
      <c r="B575" s="6" t="str">
        <f>IF(ISNA(MATCH(562,Engine!$C$2:$C$1199,0)),"",INDEX('Compliance Database'!$B$2:$B$1199,MATCH(562,Engine!$C$2:$C$1199,0)))</f>
        <v/>
      </c>
      <c r="C575" s="6" t="str">
        <f>IF(ISNA(MATCH(562,Engine!$C$2:$C$1199,0)),"",INDEX('Compliance Database'!$C$2:$C$1199,MATCH(562,Engine!$C$2:$C$1199,0)))</f>
        <v/>
      </c>
      <c r="D575" s="7" t="str">
        <f>IF(ISNA(MATCH(562,Engine!$C$2:$C$1199,0)),"",INDEX('Compliance Database'!$D$2:$D$1199,MATCH(562,Engine!$C$2:$C$1199,0)))</f>
        <v/>
      </c>
      <c r="E575" s="6" t="str">
        <f>IF(ISNA(MATCH(562,Engine!$C$2:$C$1199,0)),"",INDEX('Compliance Database'!$E$2:$E$1199,MATCH(562,Engine!$C$2:$C$1199,0)))</f>
        <v/>
      </c>
      <c r="F575" s="6" t="str">
        <f>IF(ISNA(MATCH(562,Engine!$C$2:$C$1199,0)),"",INDEX('Compliance Database'!$F$2:$F$1199,MATCH(562,Engine!$C$2:$C$1199,0)))</f>
        <v/>
      </c>
      <c r="G575" s="6" t="str">
        <f>IF(ISNA(MATCH(562,Engine!$C$2:$C$1199,0)),"",INDEX('Compliance Database'!$G$2:$G$1199,MATCH(562,Engine!$C$2:$C$1199,0)))</f>
        <v/>
      </c>
      <c r="H575" s="7" t="str">
        <f>IF(ISNA(MATCH(562,Engine!$C$2:$C$1199,0)),"",INDEX('Compliance Database'!$H$2:$H$1199,MATCH(562,Engine!$C$2:$C$1199,0)))</f>
        <v/>
      </c>
      <c r="I575" s="7" t="str">
        <f>IF(ISNA(MATCH(562,Engine!$C$2:$C$1199,0)),"",INDEX('Compliance Database'!$I$2:$I$1199,MATCH(562,Engine!$C$2:$C$1199,0)))</f>
        <v/>
      </c>
      <c r="J575" s="6" t="str">
        <f>IF(ISNA(MATCH(562,Engine!$C$2:$C$1199,0)),"",INDEX('Compliance Database'!$J$2:$J$1199,MATCH(562,Engine!$C$2:$C$1199,0)))</f>
        <v/>
      </c>
      <c r="K575" s="7" t="str">
        <f>IF(ISNA(MATCH(562,Engine!$C$2:$C$1199,0)),"",INDEX('Compliance Database'!$K$2:$K$1199,MATCH(562,Engine!$C$2:$C$1199,0)))</f>
        <v/>
      </c>
      <c r="L575" s="7" t="str">
        <f>IF(ISNA(MATCH(562,Engine!$C$2:$C$1199,0)),"",INDEX('Compliance Database'!$L$2:$L$1199,MATCH(562,Engine!$C$2:$C$1199,0)))</f>
        <v/>
      </c>
      <c r="M575" s="7" t="str">
        <f>IF(ISNA(MATCH(562,Engine!$C$2:$C$1199,0)),"",INDEX('Compliance Database'!$M$2:$M$1199,MATCH(562,Engine!$C$2:$C$1199,0)))</f>
        <v/>
      </c>
      <c r="N575" s="7" t="str">
        <f>IF(ISNA(MATCH(562,Engine!$C$2:$C$1199,0)),"",INDEX('Compliance Database'!$N$2:$N$1199,MATCH(562,Engine!$C$2:$C$1199,0)))</f>
        <v/>
      </c>
      <c r="O575" s="7" t="str">
        <f>IF(ISNA(MATCH(562,Engine!$C$2:$C$1199,0)),"",INDEX('Compliance Database'!$O$2:$O$1199,MATCH(562,Engine!$C$2:$C$1199,0)))</f>
        <v/>
      </c>
      <c r="P575" s="6" t="str">
        <f>IF(ISNA(MATCH(562,Engine!$C$2:$C$1199,0)),"",HYPERLINK("#Acts!A"&amp;INDEX('Compliance Database'!$P$2:$P$1199,MATCH(562,Engine!$C$2:$C$1199,0)),"Go to Act"))</f>
        <v/>
      </c>
    </row>
    <row r="576" spans="1:16" ht="172.95" customHeight="1" x14ac:dyDescent="0.3">
      <c r="A576" s="6" t="str">
        <f>IF(ISNA(MATCH(563,Engine!$C$2:$C$1199,0)),"",INDEX('Compliance Database'!$A$2:$A$1199,MATCH(563,Engine!$C$2:$C$1199,0)))</f>
        <v/>
      </c>
      <c r="B576" s="6" t="str">
        <f>IF(ISNA(MATCH(563,Engine!$C$2:$C$1199,0)),"",INDEX('Compliance Database'!$B$2:$B$1199,MATCH(563,Engine!$C$2:$C$1199,0)))</f>
        <v/>
      </c>
      <c r="C576" s="6" t="str">
        <f>IF(ISNA(MATCH(563,Engine!$C$2:$C$1199,0)),"",INDEX('Compliance Database'!$C$2:$C$1199,MATCH(563,Engine!$C$2:$C$1199,0)))</f>
        <v/>
      </c>
      <c r="D576" s="7" t="str">
        <f>IF(ISNA(MATCH(563,Engine!$C$2:$C$1199,0)),"",INDEX('Compliance Database'!$D$2:$D$1199,MATCH(563,Engine!$C$2:$C$1199,0)))</f>
        <v/>
      </c>
      <c r="E576" s="6" t="str">
        <f>IF(ISNA(MATCH(563,Engine!$C$2:$C$1199,0)),"",INDEX('Compliance Database'!$E$2:$E$1199,MATCH(563,Engine!$C$2:$C$1199,0)))</f>
        <v/>
      </c>
      <c r="F576" s="6" t="str">
        <f>IF(ISNA(MATCH(563,Engine!$C$2:$C$1199,0)),"",INDEX('Compliance Database'!$F$2:$F$1199,MATCH(563,Engine!$C$2:$C$1199,0)))</f>
        <v/>
      </c>
      <c r="G576" s="6" t="str">
        <f>IF(ISNA(MATCH(563,Engine!$C$2:$C$1199,0)),"",INDEX('Compliance Database'!$G$2:$G$1199,MATCH(563,Engine!$C$2:$C$1199,0)))</f>
        <v/>
      </c>
      <c r="H576" s="7" t="str">
        <f>IF(ISNA(MATCH(563,Engine!$C$2:$C$1199,0)),"",INDEX('Compliance Database'!$H$2:$H$1199,MATCH(563,Engine!$C$2:$C$1199,0)))</f>
        <v/>
      </c>
      <c r="I576" s="7" t="str">
        <f>IF(ISNA(MATCH(563,Engine!$C$2:$C$1199,0)),"",INDEX('Compliance Database'!$I$2:$I$1199,MATCH(563,Engine!$C$2:$C$1199,0)))</f>
        <v/>
      </c>
      <c r="J576" s="6" t="str">
        <f>IF(ISNA(MATCH(563,Engine!$C$2:$C$1199,0)),"",INDEX('Compliance Database'!$J$2:$J$1199,MATCH(563,Engine!$C$2:$C$1199,0)))</f>
        <v/>
      </c>
      <c r="K576" s="7" t="str">
        <f>IF(ISNA(MATCH(563,Engine!$C$2:$C$1199,0)),"",INDEX('Compliance Database'!$K$2:$K$1199,MATCH(563,Engine!$C$2:$C$1199,0)))</f>
        <v/>
      </c>
      <c r="L576" s="7" t="str">
        <f>IF(ISNA(MATCH(563,Engine!$C$2:$C$1199,0)),"",INDEX('Compliance Database'!$L$2:$L$1199,MATCH(563,Engine!$C$2:$C$1199,0)))</f>
        <v/>
      </c>
      <c r="M576" s="7" t="str">
        <f>IF(ISNA(MATCH(563,Engine!$C$2:$C$1199,0)),"",INDEX('Compliance Database'!$M$2:$M$1199,MATCH(563,Engine!$C$2:$C$1199,0)))</f>
        <v/>
      </c>
      <c r="N576" s="7" t="str">
        <f>IF(ISNA(MATCH(563,Engine!$C$2:$C$1199,0)),"",INDEX('Compliance Database'!$N$2:$N$1199,MATCH(563,Engine!$C$2:$C$1199,0)))</f>
        <v/>
      </c>
      <c r="O576" s="7" t="str">
        <f>IF(ISNA(MATCH(563,Engine!$C$2:$C$1199,0)),"",INDEX('Compliance Database'!$O$2:$O$1199,MATCH(563,Engine!$C$2:$C$1199,0)))</f>
        <v/>
      </c>
      <c r="P576" s="6" t="str">
        <f>IF(ISNA(MATCH(563,Engine!$C$2:$C$1199,0)),"",HYPERLINK("#Acts!A"&amp;INDEX('Compliance Database'!$P$2:$P$1199,MATCH(563,Engine!$C$2:$C$1199,0)),"Go to Act"))</f>
        <v/>
      </c>
    </row>
    <row r="577" spans="1:16" ht="172.95" customHeight="1" x14ac:dyDescent="0.3">
      <c r="A577" s="6" t="str">
        <f>IF(ISNA(MATCH(564,Engine!$C$2:$C$1199,0)),"",INDEX('Compliance Database'!$A$2:$A$1199,MATCH(564,Engine!$C$2:$C$1199,0)))</f>
        <v/>
      </c>
      <c r="B577" s="6" t="str">
        <f>IF(ISNA(MATCH(564,Engine!$C$2:$C$1199,0)),"",INDEX('Compliance Database'!$B$2:$B$1199,MATCH(564,Engine!$C$2:$C$1199,0)))</f>
        <v/>
      </c>
      <c r="C577" s="6" t="str">
        <f>IF(ISNA(MATCH(564,Engine!$C$2:$C$1199,0)),"",INDEX('Compliance Database'!$C$2:$C$1199,MATCH(564,Engine!$C$2:$C$1199,0)))</f>
        <v/>
      </c>
      <c r="D577" s="7" t="str">
        <f>IF(ISNA(MATCH(564,Engine!$C$2:$C$1199,0)),"",INDEX('Compliance Database'!$D$2:$D$1199,MATCH(564,Engine!$C$2:$C$1199,0)))</f>
        <v/>
      </c>
      <c r="E577" s="6" t="str">
        <f>IF(ISNA(MATCH(564,Engine!$C$2:$C$1199,0)),"",INDEX('Compliance Database'!$E$2:$E$1199,MATCH(564,Engine!$C$2:$C$1199,0)))</f>
        <v/>
      </c>
      <c r="F577" s="6" t="str">
        <f>IF(ISNA(MATCH(564,Engine!$C$2:$C$1199,0)),"",INDEX('Compliance Database'!$F$2:$F$1199,MATCH(564,Engine!$C$2:$C$1199,0)))</f>
        <v/>
      </c>
      <c r="G577" s="6" t="str">
        <f>IF(ISNA(MATCH(564,Engine!$C$2:$C$1199,0)),"",INDEX('Compliance Database'!$G$2:$G$1199,MATCH(564,Engine!$C$2:$C$1199,0)))</f>
        <v/>
      </c>
      <c r="H577" s="7" t="str">
        <f>IF(ISNA(MATCH(564,Engine!$C$2:$C$1199,0)),"",INDEX('Compliance Database'!$H$2:$H$1199,MATCH(564,Engine!$C$2:$C$1199,0)))</f>
        <v/>
      </c>
      <c r="I577" s="7" t="str">
        <f>IF(ISNA(MATCH(564,Engine!$C$2:$C$1199,0)),"",INDEX('Compliance Database'!$I$2:$I$1199,MATCH(564,Engine!$C$2:$C$1199,0)))</f>
        <v/>
      </c>
      <c r="J577" s="6" t="str">
        <f>IF(ISNA(MATCH(564,Engine!$C$2:$C$1199,0)),"",INDEX('Compliance Database'!$J$2:$J$1199,MATCH(564,Engine!$C$2:$C$1199,0)))</f>
        <v/>
      </c>
      <c r="K577" s="7" t="str">
        <f>IF(ISNA(MATCH(564,Engine!$C$2:$C$1199,0)),"",INDEX('Compliance Database'!$K$2:$K$1199,MATCH(564,Engine!$C$2:$C$1199,0)))</f>
        <v/>
      </c>
      <c r="L577" s="7" t="str">
        <f>IF(ISNA(MATCH(564,Engine!$C$2:$C$1199,0)),"",INDEX('Compliance Database'!$L$2:$L$1199,MATCH(564,Engine!$C$2:$C$1199,0)))</f>
        <v/>
      </c>
      <c r="M577" s="7" t="str">
        <f>IF(ISNA(MATCH(564,Engine!$C$2:$C$1199,0)),"",INDEX('Compliance Database'!$M$2:$M$1199,MATCH(564,Engine!$C$2:$C$1199,0)))</f>
        <v/>
      </c>
      <c r="N577" s="7" t="str">
        <f>IF(ISNA(MATCH(564,Engine!$C$2:$C$1199,0)),"",INDEX('Compliance Database'!$N$2:$N$1199,MATCH(564,Engine!$C$2:$C$1199,0)))</f>
        <v/>
      </c>
      <c r="O577" s="7" t="str">
        <f>IF(ISNA(MATCH(564,Engine!$C$2:$C$1199,0)),"",INDEX('Compliance Database'!$O$2:$O$1199,MATCH(564,Engine!$C$2:$C$1199,0)))</f>
        <v/>
      </c>
      <c r="P577" s="6" t="str">
        <f>IF(ISNA(MATCH(564,Engine!$C$2:$C$1199,0)),"",HYPERLINK("#Acts!A"&amp;INDEX('Compliance Database'!$P$2:$P$1199,MATCH(564,Engine!$C$2:$C$1199,0)),"Go to Act"))</f>
        <v/>
      </c>
    </row>
    <row r="578" spans="1:16" ht="172.95" customHeight="1" x14ac:dyDescent="0.3">
      <c r="A578" s="6" t="str">
        <f>IF(ISNA(MATCH(565,Engine!$C$2:$C$1199,0)),"",INDEX('Compliance Database'!$A$2:$A$1199,MATCH(565,Engine!$C$2:$C$1199,0)))</f>
        <v/>
      </c>
      <c r="B578" s="6" t="str">
        <f>IF(ISNA(MATCH(565,Engine!$C$2:$C$1199,0)),"",INDEX('Compliance Database'!$B$2:$B$1199,MATCH(565,Engine!$C$2:$C$1199,0)))</f>
        <v/>
      </c>
      <c r="C578" s="6" t="str">
        <f>IF(ISNA(MATCH(565,Engine!$C$2:$C$1199,0)),"",INDEX('Compliance Database'!$C$2:$C$1199,MATCH(565,Engine!$C$2:$C$1199,0)))</f>
        <v/>
      </c>
      <c r="D578" s="7" t="str">
        <f>IF(ISNA(MATCH(565,Engine!$C$2:$C$1199,0)),"",INDEX('Compliance Database'!$D$2:$D$1199,MATCH(565,Engine!$C$2:$C$1199,0)))</f>
        <v/>
      </c>
      <c r="E578" s="6" t="str">
        <f>IF(ISNA(MATCH(565,Engine!$C$2:$C$1199,0)),"",INDEX('Compliance Database'!$E$2:$E$1199,MATCH(565,Engine!$C$2:$C$1199,0)))</f>
        <v/>
      </c>
      <c r="F578" s="6" t="str">
        <f>IF(ISNA(MATCH(565,Engine!$C$2:$C$1199,0)),"",INDEX('Compliance Database'!$F$2:$F$1199,MATCH(565,Engine!$C$2:$C$1199,0)))</f>
        <v/>
      </c>
      <c r="G578" s="6" t="str">
        <f>IF(ISNA(MATCH(565,Engine!$C$2:$C$1199,0)),"",INDEX('Compliance Database'!$G$2:$G$1199,MATCH(565,Engine!$C$2:$C$1199,0)))</f>
        <v/>
      </c>
      <c r="H578" s="7" t="str">
        <f>IF(ISNA(MATCH(565,Engine!$C$2:$C$1199,0)),"",INDEX('Compliance Database'!$H$2:$H$1199,MATCH(565,Engine!$C$2:$C$1199,0)))</f>
        <v/>
      </c>
      <c r="I578" s="7" t="str">
        <f>IF(ISNA(MATCH(565,Engine!$C$2:$C$1199,0)),"",INDEX('Compliance Database'!$I$2:$I$1199,MATCH(565,Engine!$C$2:$C$1199,0)))</f>
        <v/>
      </c>
      <c r="J578" s="6" t="str">
        <f>IF(ISNA(MATCH(565,Engine!$C$2:$C$1199,0)),"",INDEX('Compliance Database'!$J$2:$J$1199,MATCH(565,Engine!$C$2:$C$1199,0)))</f>
        <v/>
      </c>
      <c r="K578" s="7" t="str">
        <f>IF(ISNA(MATCH(565,Engine!$C$2:$C$1199,0)),"",INDEX('Compliance Database'!$K$2:$K$1199,MATCH(565,Engine!$C$2:$C$1199,0)))</f>
        <v/>
      </c>
      <c r="L578" s="7" t="str">
        <f>IF(ISNA(MATCH(565,Engine!$C$2:$C$1199,0)),"",INDEX('Compliance Database'!$L$2:$L$1199,MATCH(565,Engine!$C$2:$C$1199,0)))</f>
        <v/>
      </c>
      <c r="M578" s="7" t="str">
        <f>IF(ISNA(MATCH(565,Engine!$C$2:$C$1199,0)),"",INDEX('Compliance Database'!$M$2:$M$1199,MATCH(565,Engine!$C$2:$C$1199,0)))</f>
        <v/>
      </c>
      <c r="N578" s="7" t="str">
        <f>IF(ISNA(MATCH(565,Engine!$C$2:$C$1199,0)),"",INDEX('Compliance Database'!$N$2:$N$1199,MATCH(565,Engine!$C$2:$C$1199,0)))</f>
        <v/>
      </c>
      <c r="O578" s="7" t="str">
        <f>IF(ISNA(MATCH(565,Engine!$C$2:$C$1199,0)),"",INDEX('Compliance Database'!$O$2:$O$1199,MATCH(565,Engine!$C$2:$C$1199,0)))</f>
        <v/>
      </c>
      <c r="P578" s="6" t="str">
        <f>IF(ISNA(MATCH(565,Engine!$C$2:$C$1199,0)),"",HYPERLINK("#Acts!A"&amp;INDEX('Compliance Database'!$P$2:$P$1199,MATCH(565,Engine!$C$2:$C$1199,0)),"Go to Act"))</f>
        <v/>
      </c>
    </row>
    <row r="579" spans="1:16" ht="172.95" customHeight="1" x14ac:dyDescent="0.3">
      <c r="A579" s="6" t="str">
        <f>IF(ISNA(MATCH(566,Engine!$C$2:$C$1199,0)),"",INDEX('Compliance Database'!$A$2:$A$1199,MATCH(566,Engine!$C$2:$C$1199,0)))</f>
        <v/>
      </c>
      <c r="B579" s="6" t="str">
        <f>IF(ISNA(MATCH(566,Engine!$C$2:$C$1199,0)),"",INDEX('Compliance Database'!$B$2:$B$1199,MATCH(566,Engine!$C$2:$C$1199,0)))</f>
        <v/>
      </c>
      <c r="C579" s="6" t="str">
        <f>IF(ISNA(MATCH(566,Engine!$C$2:$C$1199,0)),"",INDEX('Compliance Database'!$C$2:$C$1199,MATCH(566,Engine!$C$2:$C$1199,0)))</f>
        <v/>
      </c>
      <c r="D579" s="7" t="str">
        <f>IF(ISNA(MATCH(566,Engine!$C$2:$C$1199,0)),"",INDEX('Compliance Database'!$D$2:$D$1199,MATCH(566,Engine!$C$2:$C$1199,0)))</f>
        <v/>
      </c>
      <c r="E579" s="6" t="str">
        <f>IF(ISNA(MATCH(566,Engine!$C$2:$C$1199,0)),"",INDEX('Compliance Database'!$E$2:$E$1199,MATCH(566,Engine!$C$2:$C$1199,0)))</f>
        <v/>
      </c>
      <c r="F579" s="6" t="str">
        <f>IF(ISNA(MATCH(566,Engine!$C$2:$C$1199,0)),"",INDEX('Compliance Database'!$F$2:$F$1199,MATCH(566,Engine!$C$2:$C$1199,0)))</f>
        <v/>
      </c>
      <c r="G579" s="6" t="str">
        <f>IF(ISNA(MATCH(566,Engine!$C$2:$C$1199,0)),"",INDEX('Compliance Database'!$G$2:$G$1199,MATCH(566,Engine!$C$2:$C$1199,0)))</f>
        <v/>
      </c>
      <c r="H579" s="7" t="str">
        <f>IF(ISNA(MATCH(566,Engine!$C$2:$C$1199,0)),"",INDEX('Compliance Database'!$H$2:$H$1199,MATCH(566,Engine!$C$2:$C$1199,0)))</f>
        <v/>
      </c>
      <c r="I579" s="7" t="str">
        <f>IF(ISNA(MATCH(566,Engine!$C$2:$C$1199,0)),"",INDEX('Compliance Database'!$I$2:$I$1199,MATCH(566,Engine!$C$2:$C$1199,0)))</f>
        <v/>
      </c>
      <c r="J579" s="6" t="str">
        <f>IF(ISNA(MATCH(566,Engine!$C$2:$C$1199,0)),"",INDEX('Compliance Database'!$J$2:$J$1199,MATCH(566,Engine!$C$2:$C$1199,0)))</f>
        <v/>
      </c>
      <c r="K579" s="7" t="str">
        <f>IF(ISNA(MATCH(566,Engine!$C$2:$C$1199,0)),"",INDEX('Compliance Database'!$K$2:$K$1199,MATCH(566,Engine!$C$2:$C$1199,0)))</f>
        <v/>
      </c>
      <c r="L579" s="7" t="str">
        <f>IF(ISNA(MATCH(566,Engine!$C$2:$C$1199,0)),"",INDEX('Compliance Database'!$L$2:$L$1199,MATCH(566,Engine!$C$2:$C$1199,0)))</f>
        <v/>
      </c>
      <c r="M579" s="7" t="str">
        <f>IF(ISNA(MATCH(566,Engine!$C$2:$C$1199,0)),"",INDEX('Compliance Database'!$M$2:$M$1199,MATCH(566,Engine!$C$2:$C$1199,0)))</f>
        <v/>
      </c>
      <c r="N579" s="7" t="str">
        <f>IF(ISNA(MATCH(566,Engine!$C$2:$C$1199,0)),"",INDEX('Compliance Database'!$N$2:$N$1199,MATCH(566,Engine!$C$2:$C$1199,0)))</f>
        <v/>
      </c>
      <c r="O579" s="7" t="str">
        <f>IF(ISNA(MATCH(566,Engine!$C$2:$C$1199,0)),"",INDEX('Compliance Database'!$O$2:$O$1199,MATCH(566,Engine!$C$2:$C$1199,0)))</f>
        <v/>
      </c>
      <c r="P579" s="6" t="str">
        <f>IF(ISNA(MATCH(566,Engine!$C$2:$C$1199,0)),"",HYPERLINK("#Acts!A"&amp;INDEX('Compliance Database'!$P$2:$P$1199,MATCH(566,Engine!$C$2:$C$1199,0)),"Go to Act"))</f>
        <v/>
      </c>
    </row>
    <row r="580" spans="1:16" ht="172.95" customHeight="1" x14ac:dyDescent="0.3">
      <c r="A580" s="6" t="str">
        <f>IF(ISNA(MATCH(567,Engine!$C$2:$C$1199,0)),"",INDEX('Compliance Database'!$A$2:$A$1199,MATCH(567,Engine!$C$2:$C$1199,0)))</f>
        <v/>
      </c>
      <c r="B580" s="6" t="str">
        <f>IF(ISNA(MATCH(567,Engine!$C$2:$C$1199,0)),"",INDEX('Compliance Database'!$B$2:$B$1199,MATCH(567,Engine!$C$2:$C$1199,0)))</f>
        <v/>
      </c>
      <c r="C580" s="6" t="str">
        <f>IF(ISNA(MATCH(567,Engine!$C$2:$C$1199,0)),"",INDEX('Compliance Database'!$C$2:$C$1199,MATCH(567,Engine!$C$2:$C$1199,0)))</f>
        <v/>
      </c>
      <c r="D580" s="7" t="str">
        <f>IF(ISNA(MATCH(567,Engine!$C$2:$C$1199,0)),"",INDEX('Compliance Database'!$D$2:$D$1199,MATCH(567,Engine!$C$2:$C$1199,0)))</f>
        <v/>
      </c>
      <c r="E580" s="6" t="str">
        <f>IF(ISNA(MATCH(567,Engine!$C$2:$C$1199,0)),"",INDEX('Compliance Database'!$E$2:$E$1199,MATCH(567,Engine!$C$2:$C$1199,0)))</f>
        <v/>
      </c>
      <c r="F580" s="6" t="str">
        <f>IF(ISNA(MATCH(567,Engine!$C$2:$C$1199,0)),"",INDEX('Compliance Database'!$F$2:$F$1199,MATCH(567,Engine!$C$2:$C$1199,0)))</f>
        <v/>
      </c>
      <c r="G580" s="6" t="str">
        <f>IF(ISNA(MATCH(567,Engine!$C$2:$C$1199,0)),"",INDEX('Compliance Database'!$G$2:$G$1199,MATCH(567,Engine!$C$2:$C$1199,0)))</f>
        <v/>
      </c>
      <c r="H580" s="7" t="str">
        <f>IF(ISNA(MATCH(567,Engine!$C$2:$C$1199,0)),"",INDEX('Compliance Database'!$H$2:$H$1199,MATCH(567,Engine!$C$2:$C$1199,0)))</f>
        <v/>
      </c>
      <c r="I580" s="7" t="str">
        <f>IF(ISNA(MATCH(567,Engine!$C$2:$C$1199,0)),"",INDEX('Compliance Database'!$I$2:$I$1199,MATCH(567,Engine!$C$2:$C$1199,0)))</f>
        <v/>
      </c>
      <c r="J580" s="6" t="str">
        <f>IF(ISNA(MATCH(567,Engine!$C$2:$C$1199,0)),"",INDEX('Compliance Database'!$J$2:$J$1199,MATCH(567,Engine!$C$2:$C$1199,0)))</f>
        <v/>
      </c>
      <c r="K580" s="7" t="str">
        <f>IF(ISNA(MATCH(567,Engine!$C$2:$C$1199,0)),"",INDEX('Compliance Database'!$K$2:$K$1199,MATCH(567,Engine!$C$2:$C$1199,0)))</f>
        <v/>
      </c>
      <c r="L580" s="7" t="str">
        <f>IF(ISNA(MATCH(567,Engine!$C$2:$C$1199,0)),"",INDEX('Compliance Database'!$L$2:$L$1199,MATCH(567,Engine!$C$2:$C$1199,0)))</f>
        <v/>
      </c>
      <c r="M580" s="7" t="str">
        <f>IF(ISNA(MATCH(567,Engine!$C$2:$C$1199,0)),"",INDEX('Compliance Database'!$M$2:$M$1199,MATCH(567,Engine!$C$2:$C$1199,0)))</f>
        <v/>
      </c>
      <c r="N580" s="7" t="str">
        <f>IF(ISNA(MATCH(567,Engine!$C$2:$C$1199,0)),"",INDEX('Compliance Database'!$N$2:$N$1199,MATCH(567,Engine!$C$2:$C$1199,0)))</f>
        <v/>
      </c>
      <c r="O580" s="7" t="str">
        <f>IF(ISNA(MATCH(567,Engine!$C$2:$C$1199,0)),"",INDEX('Compliance Database'!$O$2:$O$1199,MATCH(567,Engine!$C$2:$C$1199,0)))</f>
        <v/>
      </c>
      <c r="P580" s="6" t="str">
        <f>IF(ISNA(MATCH(567,Engine!$C$2:$C$1199,0)),"",HYPERLINK("#Acts!A"&amp;INDEX('Compliance Database'!$P$2:$P$1199,MATCH(567,Engine!$C$2:$C$1199,0)),"Go to Act"))</f>
        <v/>
      </c>
    </row>
    <row r="581" spans="1:16" ht="172.95" customHeight="1" x14ac:dyDescent="0.3">
      <c r="A581" s="6" t="str">
        <f>IF(ISNA(MATCH(568,Engine!$C$2:$C$1199,0)),"",INDEX('Compliance Database'!$A$2:$A$1199,MATCH(568,Engine!$C$2:$C$1199,0)))</f>
        <v/>
      </c>
      <c r="B581" s="6" t="str">
        <f>IF(ISNA(MATCH(568,Engine!$C$2:$C$1199,0)),"",INDEX('Compliance Database'!$B$2:$B$1199,MATCH(568,Engine!$C$2:$C$1199,0)))</f>
        <v/>
      </c>
      <c r="C581" s="6" t="str">
        <f>IF(ISNA(MATCH(568,Engine!$C$2:$C$1199,0)),"",INDEX('Compliance Database'!$C$2:$C$1199,MATCH(568,Engine!$C$2:$C$1199,0)))</f>
        <v/>
      </c>
      <c r="D581" s="7" t="str">
        <f>IF(ISNA(MATCH(568,Engine!$C$2:$C$1199,0)),"",INDEX('Compliance Database'!$D$2:$D$1199,MATCH(568,Engine!$C$2:$C$1199,0)))</f>
        <v/>
      </c>
      <c r="E581" s="6" t="str">
        <f>IF(ISNA(MATCH(568,Engine!$C$2:$C$1199,0)),"",INDEX('Compliance Database'!$E$2:$E$1199,MATCH(568,Engine!$C$2:$C$1199,0)))</f>
        <v/>
      </c>
      <c r="F581" s="6" t="str">
        <f>IF(ISNA(MATCH(568,Engine!$C$2:$C$1199,0)),"",INDEX('Compliance Database'!$F$2:$F$1199,MATCH(568,Engine!$C$2:$C$1199,0)))</f>
        <v/>
      </c>
      <c r="G581" s="6" t="str">
        <f>IF(ISNA(MATCH(568,Engine!$C$2:$C$1199,0)),"",INDEX('Compliance Database'!$G$2:$G$1199,MATCH(568,Engine!$C$2:$C$1199,0)))</f>
        <v/>
      </c>
      <c r="H581" s="7" t="str">
        <f>IF(ISNA(MATCH(568,Engine!$C$2:$C$1199,0)),"",INDEX('Compliance Database'!$H$2:$H$1199,MATCH(568,Engine!$C$2:$C$1199,0)))</f>
        <v/>
      </c>
      <c r="I581" s="7" t="str">
        <f>IF(ISNA(MATCH(568,Engine!$C$2:$C$1199,0)),"",INDEX('Compliance Database'!$I$2:$I$1199,MATCH(568,Engine!$C$2:$C$1199,0)))</f>
        <v/>
      </c>
      <c r="J581" s="6" t="str">
        <f>IF(ISNA(MATCH(568,Engine!$C$2:$C$1199,0)),"",INDEX('Compliance Database'!$J$2:$J$1199,MATCH(568,Engine!$C$2:$C$1199,0)))</f>
        <v/>
      </c>
      <c r="K581" s="7" t="str">
        <f>IF(ISNA(MATCH(568,Engine!$C$2:$C$1199,0)),"",INDEX('Compliance Database'!$K$2:$K$1199,MATCH(568,Engine!$C$2:$C$1199,0)))</f>
        <v/>
      </c>
      <c r="L581" s="7" t="str">
        <f>IF(ISNA(MATCH(568,Engine!$C$2:$C$1199,0)),"",INDEX('Compliance Database'!$L$2:$L$1199,MATCH(568,Engine!$C$2:$C$1199,0)))</f>
        <v/>
      </c>
      <c r="M581" s="7" t="str">
        <f>IF(ISNA(MATCH(568,Engine!$C$2:$C$1199,0)),"",INDEX('Compliance Database'!$M$2:$M$1199,MATCH(568,Engine!$C$2:$C$1199,0)))</f>
        <v/>
      </c>
      <c r="N581" s="7" t="str">
        <f>IF(ISNA(MATCH(568,Engine!$C$2:$C$1199,0)),"",INDEX('Compliance Database'!$N$2:$N$1199,MATCH(568,Engine!$C$2:$C$1199,0)))</f>
        <v/>
      </c>
      <c r="O581" s="7" t="str">
        <f>IF(ISNA(MATCH(568,Engine!$C$2:$C$1199,0)),"",INDEX('Compliance Database'!$O$2:$O$1199,MATCH(568,Engine!$C$2:$C$1199,0)))</f>
        <v/>
      </c>
      <c r="P581" s="6" t="str">
        <f>IF(ISNA(MATCH(568,Engine!$C$2:$C$1199,0)),"",HYPERLINK("#Acts!A"&amp;INDEX('Compliance Database'!$P$2:$P$1199,MATCH(568,Engine!$C$2:$C$1199,0)),"Go to Act"))</f>
        <v/>
      </c>
    </row>
    <row r="582" spans="1:16" ht="172.95" customHeight="1" x14ac:dyDescent="0.3">
      <c r="A582" s="6" t="str">
        <f>IF(ISNA(MATCH(569,Engine!$C$2:$C$1199,0)),"",INDEX('Compliance Database'!$A$2:$A$1199,MATCH(569,Engine!$C$2:$C$1199,0)))</f>
        <v/>
      </c>
      <c r="B582" s="6" t="str">
        <f>IF(ISNA(MATCH(569,Engine!$C$2:$C$1199,0)),"",INDEX('Compliance Database'!$B$2:$B$1199,MATCH(569,Engine!$C$2:$C$1199,0)))</f>
        <v/>
      </c>
      <c r="C582" s="6" t="str">
        <f>IF(ISNA(MATCH(569,Engine!$C$2:$C$1199,0)),"",INDEX('Compliance Database'!$C$2:$C$1199,MATCH(569,Engine!$C$2:$C$1199,0)))</f>
        <v/>
      </c>
      <c r="D582" s="7" t="str">
        <f>IF(ISNA(MATCH(569,Engine!$C$2:$C$1199,0)),"",INDEX('Compliance Database'!$D$2:$D$1199,MATCH(569,Engine!$C$2:$C$1199,0)))</f>
        <v/>
      </c>
      <c r="E582" s="6" t="str">
        <f>IF(ISNA(MATCH(569,Engine!$C$2:$C$1199,0)),"",INDEX('Compliance Database'!$E$2:$E$1199,MATCH(569,Engine!$C$2:$C$1199,0)))</f>
        <v/>
      </c>
      <c r="F582" s="6" t="str">
        <f>IF(ISNA(MATCH(569,Engine!$C$2:$C$1199,0)),"",INDEX('Compliance Database'!$F$2:$F$1199,MATCH(569,Engine!$C$2:$C$1199,0)))</f>
        <v/>
      </c>
      <c r="G582" s="6" t="str">
        <f>IF(ISNA(MATCH(569,Engine!$C$2:$C$1199,0)),"",INDEX('Compliance Database'!$G$2:$G$1199,MATCH(569,Engine!$C$2:$C$1199,0)))</f>
        <v/>
      </c>
      <c r="H582" s="7" t="str">
        <f>IF(ISNA(MATCH(569,Engine!$C$2:$C$1199,0)),"",INDEX('Compliance Database'!$H$2:$H$1199,MATCH(569,Engine!$C$2:$C$1199,0)))</f>
        <v/>
      </c>
      <c r="I582" s="7" t="str">
        <f>IF(ISNA(MATCH(569,Engine!$C$2:$C$1199,0)),"",INDEX('Compliance Database'!$I$2:$I$1199,MATCH(569,Engine!$C$2:$C$1199,0)))</f>
        <v/>
      </c>
      <c r="J582" s="6" t="str">
        <f>IF(ISNA(MATCH(569,Engine!$C$2:$C$1199,0)),"",INDEX('Compliance Database'!$J$2:$J$1199,MATCH(569,Engine!$C$2:$C$1199,0)))</f>
        <v/>
      </c>
      <c r="K582" s="7" t="str">
        <f>IF(ISNA(MATCH(569,Engine!$C$2:$C$1199,0)),"",INDEX('Compliance Database'!$K$2:$K$1199,MATCH(569,Engine!$C$2:$C$1199,0)))</f>
        <v/>
      </c>
      <c r="L582" s="7" t="str">
        <f>IF(ISNA(MATCH(569,Engine!$C$2:$C$1199,0)),"",INDEX('Compliance Database'!$L$2:$L$1199,MATCH(569,Engine!$C$2:$C$1199,0)))</f>
        <v/>
      </c>
      <c r="M582" s="7" t="str">
        <f>IF(ISNA(MATCH(569,Engine!$C$2:$C$1199,0)),"",INDEX('Compliance Database'!$M$2:$M$1199,MATCH(569,Engine!$C$2:$C$1199,0)))</f>
        <v/>
      </c>
      <c r="N582" s="7" t="str">
        <f>IF(ISNA(MATCH(569,Engine!$C$2:$C$1199,0)),"",INDEX('Compliance Database'!$N$2:$N$1199,MATCH(569,Engine!$C$2:$C$1199,0)))</f>
        <v/>
      </c>
      <c r="O582" s="7" t="str">
        <f>IF(ISNA(MATCH(569,Engine!$C$2:$C$1199,0)),"",INDEX('Compliance Database'!$O$2:$O$1199,MATCH(569,Engine!$C$2:$C$1199,0)))</f>
        <v/>
      </c>
      <c r="P582" s="6" t="str">
        <f>IF(ISNA(MATCH(569,Engine!$C$2:$C$1199,0)),"",HYPERLINK("#Acts!A"&amp;INDEX('Compliance Database'!$P$2:$P$1199,MATCH(569,Engine!$C$2:$C$1199,0)),"Go to Act"))</f>
        <v/>
      </c>
    </row>
    <row r="583" spans="1:16" ht="172.95" customHeight="1" x14ac:dyDescent="0.3">
      <c r="A583" s="6" t="str">
        <f>IF(ISNA(MATCH(570,Engine!$C$2:$C$1199,0)),"",INDEX('Compliance Database'!$A$2:$A$1199,MATCH(570,Engine!$C$2:$C$1199,0)))</f>
        <v/>
      </c>
      <c r="B583" s="6" t="str">
        <f>IF(ISNA(MATCH(570,Engine!$C$2:$C$1199,0)),"",INDEX('Compliance Database'!$B$2:$B$1199,MATCH(570,Engine!$C$2:$C$1199,0)))</f>
        <v/>
      </c>
      <c r="C583" s="6" t="str">
        <f>IF(ISNA(MATCH(570,Engine!$C$2:$C$1199,0)),"",INDEX('Compliance Database'!$C$2:$C$1199,MATCH(570,Engine!$C$2:$C$1199,0)))</f>
        <v/>
      </c>
      <c r="D583" s="7" t="str">
        <f>IF(ISNA(MATCH(570,Engine!$C$2:$C$1199,0)),"",INDEX('Compliance Database'!$D$2:$D$1199,MATCH(570,Engine!$C$2:$C$1199,0)))</f>
        <v/>
      </c>
      <c r="E583" s="6" t="str">
        <f>IF(ISNA(MATCH(570,Engine!$C$2:$C$1199,0)),"",INDEX('Compliance Database'!$E$2:$E$1199,MATCH(570,Engine!$C$2:$C$1199,0)))</f>
        <v/>
      </c>
      <c r="F583" s="6" t="str">
        <f>IF(ISNA(MATCH(570,Engine!$C$2:$C$1199,0)),"",INDEX('Compliance Database'!$F$2:$F$1199,MATCH(570,Engine!$C$2:$C$1199,0)))</f>
        <v/>
      </c>
      <c r="G583" s="6" t="str">
        <f>IF(ISNA(MATCH(570,Engine!$C$2:$C$1199,0)),"",INDEX('Compliance Database'!$G$2:$G$1199,MATCH(570,Engine!$C$2:$C$1199,0)))</f>
        <v/>
      </c>
      <c r="H583" s="7" t="str">
        <f>IF(ISNA(MATCH(570,Engine!$C$2:$C$1199,0)),"",INDEX('Compliance Database'!$H$2:$H$1199,MATCH(570,Engine!$C$2:$C$1199,0)))</f>
        <v/>
      </c>
      <c r="I583" s="7" t="str">
        <f>IF(ISNA(MATCH(570,Engine!$C$2:$C$1199,0)),"",INDEX('Compliance Database'!$I$2:$I$1199,MATCH(570,Engine!$C$2:$C$1199,0)))</f>
        <v/>
      </c>
      <c r="J583" s="6" t="str">
        <f>IF(ISNA(MATCH(570,Engine!$C$2:$C$1199,0)),"",INDEX('Compliance Database'!$J$2:$J$1199,MATCH(570,Engine!$C$2:$C$1199,0)))</f>
        <v/>
      </c>
      <c r="K583" s="7" t="str">
        <f>IF(ISNA(MATCH(570,Engine!$C$2:$C$1199,0)),"",INDEX('Compliance Database'!$K$2:$K$1199,MATCH(570,Engine!$C$2:$C$1199,0)))</f>
        <v/>
      </c>
      <c r="L583" s="7" t="str">
        <f>IF(ISNA(MATCH(570,Engine!$C$2:$C$1199,0)),"",INDEX('Compliance Database'!$L$2:$L$1199,MATCH(570,Engine!$C$2:$C$1199,0)))</f>
        <v/>
      </c>
      <c r="M583" s="7" t="str">
        <f>IF(ISNA(MATCH(570,Engine!$C$2:$C$1199,0)),"",INDEX('Compliance Database'!$M$2:$M$1199,MATCH(570,Engine!$C$2:$C$1199,0)))</f>
        <v/>
      </c>
      <c r="N583" s="7" t="str">
        <f>IF(ISNA(MATCH(570,Engine!$C$2:$C$1199,0)),"",INDEX('Compliance Database'!$N$2:$N$1199,MATCH(570,Engine!$C$2:$C$1199,0)))</f>
        <v/>
      </c>
      <c r="O583" s="7" t="str">
        <f>IF(ISNA(MATCH(570,Engine!$C$2:$C$1199,0)),"",INDEX('Compliance Database'!$O$2:$O$1199,MATCH(570,Engine!$C$2:$C$1199,0)))</f>
        <v/>
      </c>
      <c r="P583" s="6" t="str">
        <f>IF(ISNA(MATCH(570,Engine!$C$2:$C$1199,0)),"",HYPERLINK("#Acts!A"&amp;INDEX('Compliance Database'!$P$2:$P$1199,MATCH(570,Engine!$C$2:$C$1199,0)),"Go to Act"))</f>
        <v/>
      </c>
    </row>
    <row r="584" spans="1:16" ht="172.95" customHeight="1" x14ac:dyDescent="0.3">
      <c r="A584" s="6" t="str">
        <f>IF(ISNA(MATCH(571,Engine!$C$2:$C$1199,0)),"",INDEX('Compliance Database'!$A$2:$A$1199,MATCH(571,Engine!$C$2:$C$1199,0)))</f>
        <v/>
      </c>
      <c r="B584" s="6" t="str">
        <f>IF(ISNA(MATCH(571,Engine!$C$2:$C$1199,0)),"",INDEX('Compliance Database'!$B$2:$B$1199,MATCH(571,Engine!$C$2:$C$1199,0)))</f>
        <v/>
      </c>
      <c r="C584" s="6" t="str">
        <f>IF(ISNA(MATCH(571,Engine!$C$2:$C$1199,0)),"",INDEX('Compliance Database'!$C$2:$C$1199,MATCH(571,Engine!$C$2:$C$1199,0)))</f>
        <v/>
      </c>
      <c r="D584" s="7" t="str">
        <f>IF(ISNA(MATCH(571,Engine!$C$2:$C$1199,0)),"",INDEX('Compliance Database'!$D$2:$D$1199,MATCH(571,Engine!$C$2:$C$1199,0)))</f>
        <v/>
      </c>
      <c r="E584" s="6" t="str">
        <f>IF(ISNA(MATCH(571,Engine!$C$2:$C$1199,0)),"",INDEX('Compliance Database'!$E$2:$E$1199,MATCH(571,Engine!$C$2:$C$1199,0)))</f>
        <v/>
      </c>
      <c r="F584" s="6" t="str">
        <f>IF(ISNA(MATCH(571,Engine!$C$2:$C$1199,0)),"",INDEX('Compliance Database'!$F$2:$F$1199,MATCH(571,Engine!$C$2:$C$1199,0)))</f>
        <v/>
      </c>
      <c r="G584" s="6" t="str">
        <f>IF(ISNA(MATCH(571,Engine!$C$2:$C$1199,0)),"",INDEX('Compliance Database'!$G$2:$G$1199,MATCH(571,Engine!$C$2:$C$1199,0)))</f>
        <v/>
      </c>
      <c r="H584" s="7" t="str">
        <f>IF(ISNA(MATCH(571,Engine!$C$2:$C$1199,0)),"",INDEX('Compliance Database'!$H$2:$H$1199,MATCH(571,Engine!$C$2:$C$1199,0)))</f>
        <v/>
      </c>
      <c r="I584" s="7" t="str">
        <f>IF(ISNA(MATCH(571,Engine!$C$2:$C$1199,0)),"",INDEX('Compliance Database'!$I$2:$I$1199,MATCH(571,Engine!$C$2:$C$1199,0)))</f>
        <v/>
      </c>
      <c r="J584" s="6" t="str">
        <f>IF(ISNA(MATCH(571,Engine!$C$2:$C$1199,0)),"",INDEX('Compliance Database'!$J$2:$J$1199,MATCH(571,Engine!$C$2:$C$1199,0)))</f>
        <v/>
      </c>
      <c r="K584" s="7" t="str">
        <f>IF(ISNA(MATCH(571,Engine!$C$2:$C$1199,0)),"",INDEX('Compliance Database'!$K$2:$K$1199,MATCH(571,Engine!$C$2:$C$1199,0)))</f>
        <v/>
      </c>
      <c r="L584" s="7" t="str">
        <f>IF(ISNA(MATCH(571,Engine!$C$2:$C$1199,0)),"",INDEX('Compliance Database'!$L$2:$L$1199,MATCH(571,Engine!$C$2:$C$1199,0)))</f>
        <v/>
      </c>
      <c r="M584" s="7" t="str">
        <f>IF(ISNA(MATCH(571,Engine!$C$2:$C$1199,0)),"",INDEX('Compliance Database'!$M$2:$M$1199,MATCH(571,Engine!$C$2:$C$1199,0)))</f>
        <v/>
      </c>
      <c r="N584" s="7" t="str">
        <f>IF(ISNA(MATCH(571,Engine!$C$2:$C$1199,0)),"",INDEX('Compliance Database'!$N$2:$N$1199,MATCH(571,Engine!$C$2:$C$1199,0)))</f>
        <v/>
      </c>
      <c r="O584" s="7" t="str">
        <f>IF(ISNA(MATCH(571,Engine!$C$2:$C$1199,0)),"",INDEX('Compliance Database'!$O$2:$O$1199,MATCH(571,Engine!$C$2:$C$1199,0)))</f>
        <v/>
      </c>
      <c r="P584" s="6" t="str">
        <f>IF(ISNA(MATCH(571,Engine!$C$2:$C$1199,0)),"",HYPERLINK("#Acts!A"&amp;INDEX('Compliance Database'!$P$2:$P$1199,MATCH(571,Engine!$C$2:$C$1199,0)),"Go to Act"))</f>
        <v/>
      </c>
    </row>
    <row r="585" spans="1:16" ht="172.95" customHeight="1" x14ac:dyDescent="0.3">
      <c r="A585" s="6" t="str">
        <f>IF(ISNA(MATCH(572,Engine!$C$2:$C$1199,0)),"",INDEX('Compliance Database'!$A$2:$A$1199,MATCH(572,Engine!$C$2:$C$1199,0)))</f>
        <v/>
      </c>
      <c r="B585" s="6" t="str">
        <f>IF(ISNA(MATCH(572,Engine!$C$2:$C$1199,0)),"",INDEX('Compliance Database'!$B$2:$B$1199,MATCH(572,Engine!$C$2:$C$1199,0)))</f>
        <v/>
      </c>
      <c r="C585" s="6" t="str">
        <f>IF(ISNA(MATCH(572,Engine!$C$2:$C$1199,0)),"",INDEX('Compliance Database'!$C$2:$C$1199,MATCH(572,Engine!$C$2:$C$1199,0)))</f>
        <v/>
      </c>
      <c r="D585" s="7" t="str">
        <f>IF(ISNA(MATCH(572,Engine!$C$2:$C$1199,0)),"",INDEX('Compliance Database'!$D$2:$D$1199,MATCH(572,Engine!$C$2:$C$1199,0)))</f>
        <v/>
      </c>
      <c r="E585" s="6" t="str">
        <f>IF(ISNA(MATCH(572,Engine!$C$2:$C$1199,0)),"",INDEX('Compliance Database'!$E$2:$E$1199,MATCH(572,Engine!$C$2:$C$1199,0)))</f>
        <v/>
      </c>
      <c r="F585" s="6" t="str">
        <f>IF(ISNA(MATCH(572,Engine!$C$2:$C$1199,0)),"",INDEX('Compliance Database'!$F$2:$F$1199,MATCH(572,Engine!$C$2:$C$1199,0)))</f>
        <v/>
      </c>
      <c r="G585" s="6" t="str">
        <f>IF(ISNA(MATCH(572,Engine!$C$2:$C$1199,0)),"",INDEX('Compliance Database'!$G$2:$G$1199,MATCH(572,Engine!$C$2:$C$1199,0)))</f>
        <v/>
      </c>
      <c r="H585" s="7" t="str">
        <f>IF(ISNA(MATCH(572,Engine!$C$2:$C$1199,0)),"",INDEX('Compliance Database'!$H$2:$H$1199,MATCH(572,Engine!$C$2:$C$1199,0)))</f>
        <v/>
      </c>
      <c r="I585" s="7" t="str">
        <f>IF(ISNA(MATCH(572,Engine!$C$2:$C$1199,0)),"",INDEX('Compliance Database'!$I$2:$I$1199,MATCH(572,Engine!$C$2:$C$1199,0)))</f>
        <v/>
      </c>
      <c r="J585" s="6" t="str">
        <f>IF(ISNA(MATCH(572,Engine!$C$2:$C$1199,0)),"",INDEX('Compliance Database'!$J$2:$J$1199,MATCH(572,Engine!$C$2:$C$1199,0)))</f>
        <v/>
      </c>
      <c r="K585" s="7" t="str">
        <f>IF(ISNA(MATCH(572,Engine!$C$2:$C$1199,0)),"",INDEX('Compliance Database'!$K$2:$K$1199,MATCH(572,Engine!$C$2:$C$1199,0)))</f>
        <v/>
      </c>
      <c r="L585" s="7" t="str">
        <f>IF(ISNA(MATCH(572,Engine!$C$2:$C$1199,0)),"",INDEX('Compliance Database'!$L$2:$L$1199,MATCH(572,Engine!$C$2:$C$1199,0)))</f>
        <v/>
      </c>
      <c r="M585" s="7" t="str">
        <f>IF(ISNA(MATCH(572,Engine!$C$2:$C$1199,0)),"",INDEX('Compliance Database'!$M$2:$M$1199,MATCH(572,Engine!$C$2:$C$1199,0)))</f>
        <v/>
      </c>
      <c r="N585" s="7" t="str">
        <f>IF(ISNA(MATCH(572,Engine!$C$2:$C$1199,0)),"",INDEX('Compliance Database'!$N$2:$N$1199,MATCH(572,Engine!$C$2:$C$1199,0)))</f>
        <v/>
      </c>
      <c r="O585" s="7" t="str">
        <f>IF(ISNA(MATCH(572,Engine!$C$2:$C$1199,0)),"",INDEX('Compliance Database'!$O$2:$O$1199,MATCH(572,Engine!$C$2:$C$1199,0)))</f>
        <v/>
      </c>
      <c r="P585" s="6" t="str">
        <f>IF(ISNA(MATCH(572,Engine!$C$2:$C$1199,0)),"",HYPERLINK("#Acts!A"&amp;INDEX('Compliance Database'!$P$2:$P$1199,MATCH(572,Engine!$C$2:$C$1199,0)),"Go to Act"))</f>
        <v/>
      </c>
    </row>
    <row r="586" spans="1:16" ht="172.95" customHeight="1" x14ac:dyDescent="0.3">
      <c r="A586" s="6" t="str">
        <f>IF(ISNA(MATCH(573,Engine!$C$2:$C$1199,0)),"",INDEX('Compliance Database'!$A$2:$A$1199,MATCH(573,Engine!$C$2:$C$1199,0)))</f>
        <v/>
      </c>
      <c r="B586" s="6" t="str">
        <f>IF(ISNA(MATCH(573,Engine!$C$2:$C$1199,0)),"",INDEX('Compliance Database'!$B$2:$B$1199,MATCH(573,Engine!$C$2:$C$1199,0)))</f>
        <v/>
      </c>
      <c r="C586" s="6" t="str">
        <f>IF(ISNA(MATCH(573,Engine!$C$2:$C$1199,0)),"",INDEX('Compliance Database'!$C$2:$C$1199,MATCH(573,Engine!$C$2:$C$1199,0)))</f>
        <v/>
      </c>
      <c r="D586" s="7" t="str">
        <f>IF(ISNA(MATCH(573,Engine!$C$2:$C$1199,0)),"",INDEX('Compliance Database'!$D$2:$D$1199,MATCH(573,Engine!$C$2:$C$1199,0)))</f>
        <v/>
      </c>
      <c r="E586" s="6" t="str">
        <f>IF(ISNA(MATCH(573,Engine!$C$2:$C$1199,0)),"",INDEX('Compliance Database'!$E$2:$E$1199,MATCH(573,Engine!$C$2:$C$1199,0)))</f>
        <v/>
      </c>
      <c r="F586" s="6" t="str">
        <f>IF(ISNA(MATCH(573,Engine!$C$2:$C$1199,0)),"",INDEX('Compliance Database'!$F$2:$F$1199,MATCH(573,Engine!$C$2:$C$1199,0)))</f>
        <v/>
      </c>
      <c r="G586" s="6" t="str">
        <f>IF(ISNA(MATCH(573,Engine!$C$2:$C$1199,0)),"",INDEX('Compliance Database'!$G$2:$G$1199,MATCH(573,Engine!$C$2:$C$1199,0)))</f>
        <v/>
      </c>
      <c r="H586" s="7" t="str">
        <f>IF(ISNA(MATCH(573,Engine!$C$2:$C$1199,0)),"",INDEX('Compliance Database'!$H$2:$H$1199,MATCH(573,Engine!$C$2:$C$1199,0)))</f>
        <v/>
      </c>
      <c r="I586" s="7" t="str">
        <f>IF(ISNA(MATCH(573,Engine!$C$2:$C$1199,0)),"",INDEX('Compliance Database'!$I$2:$I$1199,MATCH(573,Engine!$C$2:$C$1199,0)))</f>
        <v/>
      </c>
      <c r="J586" s="6" t="str">
        <f>IF(ISNA(MATCH(573,Engine!$C$2:$C$1199,0)),"",INDEX('Compliance Database'!$J$2:$J$1199,MATCH(573,Engine!$C$2:$C$1199,0)))</f>
        <v/>
      </c>
      <c r="K586" s="7" t="str">
        <f>IF(ISNA(MATCH(573,Engine!$C$2:$C$1199,0)),"",INDEX('Compliance Database'!$K$2:$K$1199,MATCH(573,Engine!$C$2:$C$1199,0)))</f>
        <v/>
      </c>
      <c r="L586" s="7" t="str">
        <f>IF(ISNA(MATCH(573,Engine!$C$2:$C$1199,0)),"",INDEX('Compliance Database'!$L$2:$L$1199,MATCH(573,Engine!$C$2:$C$1199,0)))</f>
        <v/>
      </c>
      <c r="M586" s="7" t="str">
        <f>IF(ISNA(MATCH(573,Engine!$C$2:$C$1199,0)),"",INDEX('Compliance Database'!$M$2:$M$1199,MATCH(573,Engine!$C$2:$C$1199,0)))</f>
        <v/>
      </c>
      <c r="N586" s="7" t="str">
        <f>IF(ISNA(MATCH(573,Engine!$C$2:$C$1199,0)),"",INDEX('Compliance Database'!$N$2:$N$1199,MATCH(573,Engine!$C$2:$C$1199,0)))</f>
        <v/>
      </c>
      <c r="O586" s="7" t="str">
        <f>IF(ISNA(MATCH(573,Engine!$C$2:$C$1199,0)),"",INDEX('Compliance Database'!$O$2:$O$1199,MATCH(573,Engine!$C$2:$C$1199,0)))</f>
        <v/>
      </c>
      <c r="P586" s="6" t="str">
        <f>IF(ISNA(MATCH(573,Engine!$C$2:$C$1199,0)),"",HYPERLINK("#Acts!A"&amp;INDEX('Compliance Database'!$P$2:$P$1199,MATCH(573,Engine!$C$2:$C$1199,0)),"Go to Act"))</f>
        <v/>
      </c>
    </row>
    <row r="587" spans="1:16" ht="172.95" customHeight="1" x14ac:dyDescent="0.3">
      <c r="A587" s="6" t="str">
        <f>IF(ISNA(MATCH(574,Engine!$C$2:$C$1199,0)),"",INDEX('Compliance Database'!$A$2:$A$1199,MATCH(574,Engine!$C$2:$C$1199,0)))</f>
        <v/>
      </c>
      <c r="B587" s="6" t="str">
        <f>IF(ISNA(MATCH(574,Engine!$C$2:$C$1199,0)),"",INDEX('Compliance Database'!$B$2:$B$1199,MATCH(574,Engine!$C$2:$C$1199,0)))</f>
        <v/>
      </c>
      <c r="C587" s="6" t="str">
        <f>IF(ISNA(MATCH(574,Engine!$C$2:$C$1199,0)),"",INDEX('Compliance Database'!$C$2:$C$1199,MATCH(574,Engine!$C$2:$C$1199,0)))</f>
        <v/>
      </c>
      <c r="D587" s="7" t="str">
        <f>IF(ISNA(MATCH(574,Engine!$C$2:$C$1199,0)),"",INDEX('Compliance Database'!$D$2:$D$1199,MATCH(574,Engine!$C$2:$C$1199,0)))</f>
        <v/>
      </c>
      <c r="E587" s="6" t="str">
        <f>IF(ISNA(MATCH(574,Engine!$C$2:$C$1199,0)),"",INDEX('Compliance Database'!$E$2:$E$1199,MATCH(574,Engine!$C$2:$C$1199,0)))</f>
        <v/>
      </c>
      <c r="F587" s="6" t="str">
        <f>IF(ISNA(MATCH(574,Engine!$C$2:$C$1199,0)),"",INDEX('Compliance Database'!$F$2:$F$1199,MATCH(574,Engine!$C$2:$C$1199,0)))</f>
        <v/>
      </c>
      <c r="G587" s="6" t="str">
        <f>IF(ISNA(MATCH(574,Engine!$C$2:$C$1199,0)),"",INDEX('Compliance Database'!$G$2:$G$1199,MATCH(574,Engine!$C$2:$C$1199,0)))</f>
        <v/>
      </c>
      <c r="H587" s="7" t="str">
        <f>IF(ISNA(MATCH(574,Engine!$C$2:$C$1199,0)),"",INDEX('Compliance Database'!$H$2:$H$1199,MATCH(574,Engine!$C$2:$C$1199,0)))</f>
        <v/>
      </c>
      <c r="I587" s="7" t="str">
        <f>IF(ISNA(MATCH(574,Engine!$C$2:$C$1199,0)),"",INDEX('Compliance Database'!$I$2:$I$1199,MATCH(574,Engine!$C$2:$C$1199,0)))</f>
        <v/>
      </c>
      <c r="J587" s="6" t="str">
        <f>IF(ISNA(MATCH(574,Engine!$C$2:$C$1199,0)),"",INDEX('Compliance Database'!$J$2:$J$1199,MATCH(574,Engine!$C$2:$C$1199,0)))</f>
        <v/>
      </c>
      <c r="K587" s="7" t="str">
        <f>IF(ISNA(MATCH(574,Engine!$C$2:$C$1199,0)),"",INDEX('Compliance Database'!$K$2:$K$1199,MATCH(574,Engine!$C$2:$C$1199,0)))</f>
        <v/>
      </c>
      <c r="L587" s="7" t="str">
        <f>IF(ISNA(MATCH(574,Engine!$C$2:$C$1199,0)),"",INDEX('Compliance Database'!$L$2:$L$1199,MATCH(574,Engine!$C$2:$C$1199,0)))</f>
        <v/>
      </c>
      <c r="M587" s="7" t="str">
        <f>IF(ISNA(MATCH(574,Engine!$C$2:$C$1199,0)),"",INDEX('Compliance Database'!$M$2:$M$1199,MATCH(574,Engine!$C$2:$C$1199,0)))</f>
        <v/>
      </c>
      <c r="N587" s="7" t="str">
        <f>IF(ISNA(MATCH(574,Engine!$C$2:$C$1199,0)),"",INDEX('Compliance Database'!$N$2:$N$1199,MATCH(574,Engine!$C$2:$C$1199,0)))</f>
        <v/>
      </c>
      <c r="O587" s="7" t="str">
        <f>IF(ISNA(MATCH(574,Engine!$C$2:$C$1199,0)),"",INDEX('Compliance Database'!$O$2:$O$1199,MATCH(574,Engine!$C$2:$C$1199,0)))</f>
        <v/>
      </c>
      <c r="P587" s="6" t="str">
        <f>IF(ISNA(MATCH(574,Engine!$C$2:$C$1199,0)),"",HYPERLINK("#Acts!A"&amp;INDEX('Compliance Database'!$P$2:$P$1199,MATCH(574,Engine!$C$2:$C$1199,0)),"Go to Act"))</f>
        <v/>
      </c>
    </row>
    <row r="588" spans="1:16" ht="172.95" customHeight="1" x14ac:dyDescent="0.3">
      <c r="A588" s="6" t="str">
        <f>IF(ISNA(MATCH(575,Engine!$C$2:$C$1199,0)),"",INDEX('Compliance Database'!$A$2:$A$1199,MATCH(575,Engine!$C$2:$C$1199,0)))</f>
        <v/>
      </c>
      <c r="B588" s="6" t="str">
        <f>IF(ISNA(MATCH(575,Engine!$C$2:$C$1199,0)),"",INDEX('Compliance Database'!$B$2:$B$1199,MATCH(575,Engine!$C$2:$C$1199,0)))</f>
        <v/>
      </c>
      <c r="C588" s="6" t="str">
        <f>IF(ISNA(MATCH(575,Engine!$C$2:$C$1199,0)),"",INDEX('Compliance Database'!$C$2:$C$1199,MATCH(575,Engine!$C$2:$C$1199,0)))</f>
        <v/>
      </c>
      <c r="D588" s="7" t="str">
        <f>IF(ISNA(MATCH(575,Engine!$C$2:$C$1199,0)),"",INDEX('Compliance Database'!$D$2:$D$1199,MATCH(575,Engine!$C$2:$C$1199,0)))</f>
        <v/>
      </c>
      <c r="E588" s="6" t="str">
        <f>IF(ISNA(MATCH(575,Engine!$C$2:$C$1199,0)),"",INDEX('Compliance Database'!$E$2:$E$1199,MATCH(575,Engine!$C$2:$C$1199,0)))</f>
        <v/>
      </c>
      <c r="F588" s="6" t="str">
        <f>IF(ISNA(MATCH(575,Engine!$C$2:$C$1199,0)),"",INDEX('Compliance Database'!$F$2:$F$1199,MATCH(575,Engine!$C$2:$C$1199,0)))</f>
        <v/>
      </c>
      <c r="G588" s="6" t="str">
        <f>IF(ISNA(MATCH(575,Engine!$C$2:$C$1199,0)),"",INDEX('Compliance Database'!$G$2:$G$1199,MATCH(575,Engine!$C$2:$C$1199,0)))</f>
        <v/>
      </c>
      <c r="H588" s="7" t="str">
        <f>IF(ISNA(MATCH(575,Engine!$C$2:$C$1199,0)),"",INDEX('Compliance Database'!$H$2:$H$1199,MATCH(575,Engine!$C$2:$C$1199,0)))</f>
        <v/>
      </c>
      <c r="I588" s="7" t="str">
        <f>IF(ISNA(MATCH(575,Engine!$C$2:$C$1199,0)),"",INDEX('Compliance Database'!$I$2:$I$1199,MATCH(575,Engine!$C$2:$C$1199,0)))</f>
        <v/>
      </c>
      <c r="J588" s="6" t="str">
        <f>IF(ISNA(MATCH(575,Engine!$C$2:$C$1199,0)),"",INDEX('Compliance Database'!$J$2:$J$1199,MATCH(575,Engine!$C$2:$C$1199,0)))</f>
        <v/>
      </c>
      <c r="K588" s="7" t="str">
        <f>IF(ISNA(MATCH(575,Engine!$C$2:$C$1199,0)),"",INDEX('Compliance Database'!$K$2:$K$1199,MATCH(575,Engine!$C$2:$C$1199,0)))</f>
        <v/>
      </c>
      <c r="L588" s="7" t="str">
        <f>IF(ISNA(MATCH(575,Engine!$C$2:$C$1199,0)),"",INDEX('Compliance Database'!$L$2:$L$1199,MATCH(575,Engine!$C$2:$C$1199,0)))</f>
        <v/>
      </c>
      <c r="M588" s="7" t="str">
        <f>IF(ISNA(MATCH(575,Engine!$C$2:$C$1199,0)),"",INDEX('Compliance Database'!$M$2:$M$1199,MATCH(575,Engine!$C$2:$C$1199,0)))</f>
        <v/>
      </c>
      <c r="N588" s="7" t="str">
        <f>IF(ISNA(MATCH(575,Engine!$C$2:$C$1199,0)),"",INDEX('Compliance Database'!$N$2:$N$1199,MATCH(575,Engine!$C$2:$C$1199,0)))</f>
        <v/>
      </c>
      <c r="O588" s="7" t="str">
        <f>IF(ISNA(MATCH(575,Engine!$C$2:$C$1199,0)),"",INDEX('Compliance Database'!$O$2:$O$1199,MATCH(575,Engine!$C$2:$C$1199,0)))</f>
        <v/>
      </c>
      <c r="P588" s="6" t="str">
        <f>IF(ISNA(MATCH(575,Engine!$C$2:$C$1199,0)),"",HYPERLINK("#Acts!A"&amp;INDEX('Compliance Database'!$P$2:$P$1199,MATCH(575,Engine!$C$2:$C$1199,0)),"Go to Act"))</f>
        <v/>
      </c>
    </row>
    <row r="589" spans="1:16" ht="172.95" customHeight="1" x14ac:dyDescent="0.3">
      <c r="A589" s="6" t="str">
        <f>IF(ISNA(MATCH(576,Engine!$C$2:$C$1199,0)),"",INDEX('Compliance Database'!$A$2:$A$1199,MATCH(576,Engine!$C$2:$C$1199,0)))</f>
        <v/>
      </c>
      <c r="B589" s="6" t="str">
        <f>IF(ISNA(MATCH(576,Engine!$C$2:$C$1199,0)),"",INDEX('Compliance Database'!$B$2:$B$1199,MATCH(576,Engine!$C$2:$C$1199,0)))</f>
        <v/>
      </c>
      <c r="C589" s="6" t="str">
        <f>IF(ISNA(MATCH(576,Engine!$C$2:$C$1199,0)),"",INDEX('Compliance Database'!$C$2:$C$1199,MATCH(576,Engine!$C$2:$C$1199,0)))</f>
        <v/>
      </c>
      <c r="D589" s="7" t="str">
        <f>IF(ISNA(MATCH(576,Engine!$C$2:$C$1199,0)),"",INDEX('Compliance Database'!$D$2:$D$1199,MATCH(576,Engine!$C$2:$C$1199,0)))</f>
        <v/>
      </c>
      <c r="E589" s="6" t="str">
        <f>IF(ISNA(MATCH(576,Engine!$C$2:$C$1199,0)),"",INDEX('Compliance Database'!$E$2:$E$1199,MATCH(576,Engine!$C$2:$C$1199,0)))</f>
        <v/>
      </c>
      <c r="F589" s="6" t="str">
        <f>IF(ISNA(MATCH(576,Engine!$C$2:$C$1199,0)),"",INDEX('Compliance Database'!$F$2:$F$1199,MATCH(576,Engine!$C$2:$C$1199,0)))</f>
        <v/>
      </c>
      <c r="G589" s="6" t="str">
        <f>IF(ISNA(MATCH(576,Engine!$C$2:$C$1199,0)),"",INDEX('Compliance Database'!$G$2:$G$1199,MATCH(576,Engine!$C$2:$C$1199,0)))</f>
        <v/>
      </c>
      <c r="H589" s="7" t="str">
        <f>IF(ISNA(MATCH(576,Engine!$C$2:$C$1199,0)),"",INDEX('Compliance Database'!$H$2:$H$1199,MATCH(576,Engine!$C$2:$C$1199,0)))</f>
        <v/>
      </c>
      <c r="I589" s="7" t="str">
        <f>IF(ISNA(MATCH(576,Engine!$C$2:$C$1199,0)),"",INDEX('Compliance Database'!$I$2:$I$1199,MATCH(576,Engine!$C$2:$C$1199,0)))</f>
        <v/>
      </c>
      <c r="J589" s="6" t="str">
        <f>IF(ISNA(MATCH(576,Engine!$C$2:$C$1199,0)),"",INDEX('Compliance Database'!$J$2:$J$1199,MATCH(576,Engine!$C$2:$C$1199,0)))</f>
        <v/>
      </c>
      <c r="K589" s="7" t="str">
        <f>IF(ISNA(MATCH(576,Engine!$C$2:$C$1199,0)),"",INDEX('Compliance Database'!$K$2:$K$1199,MATCH(576,Engine!$C$2:$C$1199,0)))</f>
        <v/>
      </c>
      <c r="L589" s="7" t="str">
        <f>IF(ISNA(MATCH(576,Engine!$C$2:$C$1199,0)),"",INDEX('Compliance Database'!$L$2:$L$1199,MATCH(576,Engine!$C$2:$C$1199,0)))</f>
        <v/>
      </c>
      <c r="M589" s="7" t="str">
        <f>IF(ISNA(MATCH(576,Engine!$C$2:$C$1199,0)),"",INDEX('Compliance Database'!$M$2:$M$1199,MATCH(576,Engine!$C$2:$C$1199,0)))</f>
        <v/>
      </c>
      <c r="N589" s="7" t="str">
        <f>IF(ISNA(MATCH(576,Engine!$C$2:$C$1199,0)),"",INDEX('Compliance Database'!$N$2:$N$1199,MATCH(576,Engine!$C$2:$C$1199,0)))</f>
        <v/>
      </c>
      <c r="O589" s="7" t="str">
        <f>IF(ISNA(MATCH(576,Engine!$C$2:$C$1199,0)),"",INDEX('Compliance Database'!$O$2:$O$1199,MATCH(576,Engine!$C$2:$C$1199,0)))</f>
        <v/>
      </c>
      <c r="P589" s="6" t="str">
        <f>IF(ISNA(MATCH(576,Engine!$C$2:$C$1199,0)),"",HYPERLINK("#Acts!A"&amp;INDEX('Compliance Database'!$P$2:$P$1199,MATCH(576,Engine!$C$2:$C$1199,0)),"Go to Act"))</f>
        <v/>
      </c>
    </row>
    <row r="590" spans="1:16" ht="172.95" customHeight="1" x14ac:dyDescent="0.3">
      <c r="A590" s="6" t="str">
        <f>IF(ISNA(MATCH(577,Engine!$C$2:$C$1199,0)),"",INDEX('Compliance Database'!$A$2:$A$1199,MATCH(577,Engine!$C$2:$C$1199,0)))</f>
        <v/>
      </c>
      <c r="B590" s="6" t="str">
        <f>IF(ISNA(MATCH(577,Engine!$C$2:$C$1199,0)),"",INDEX('Compliance Database'!$B$2:$B$1199,MATCH(577,Engine!$C$2:$C$1199,0)))</f>
        <v/>
      </c>
      <c r="C590" s="6" t="str">
        <f>IF(ISNA(MATCH(577,Engine!$C$2:$C$1199,0)),"",INDEX('Compliance Database'!$C$2:$C$1199,MATCH(577,Engine!$C$2:$C$1199,0)))</f>
        <v/>
      </c>
      <c r="D590" s="7" t="str">
        <f>IF(ISNA(MATCH(577,Engine!$C$2:$C$1199,0)),"",INDEX('Compliance Database'!$D$2:$D$1199,MATCH(577,Engine!$C$2:$C$1199,0)))</f>
        <v/>
      </c>
      <c r="E590" s="6" t="str">
        <f>IF(ISNA(MATCH(577,Engine!$C$2:$C$1199,0)),"",INDEX('Compliance Database'!$E$2:$E$1199,MATCH(577,Engine!$C$2:$C$1199,0)))</f>
        <v/>
      </c>
      <c r="F590" s="6" t="str">
        <f>IF(ISNA(MATCH(577,Engine!$C$2:$C$1199,0)),"",INDEX('Compliance Database'!$F$2:$F$1199,MATCH(577,Engine!$C$2:$C$1199,0)))</f>
        <v/>
      </c>
      <c r="G590" s="6" t="str">
        <f>IF(ISNA(MATCH(577,Engine!$C$2:$C$1199,0)),"",INDEX('Compliance Database'!$G$2:$G$1199,MATCH(577,Engine!$C$2:$C$1199,0)))</f>
        <v/>
      </c>
      <c r="H590" s="7" t="str">
        <f>IF(ISNA(MATCH(577,Engine!$C$2:$C$1199,0)),"",INDEX('Compliance Database'!$H$2:$H$1199,MATCH(577,Engine!$C$2:$C$1199,0)))</f>
        <v/>
      </c>
      <c r="I590" s="7" t="str">
        <f>IF(ISNA(MATCH(577,Engine!$C$2:$C$1199,0)),"",INDEX('Compliance Database'!$I$2:$I$1199,MATCH(577,Engine!$C$2:$C$1199,0)))</f>
        <v/>
      </c>
      <c r="J590" s="6" t="str">
        <f>IF(ISNA(MATCH(577,Engine!$C$2:$C$1199,0)),"",INDEX('Compliance Database'!$J$2:$J$1199,MATCH(577,Engine!$C$2:$C$1199,0)))</f>
        <v/>
      </c>
      <c r="K590" s="7" t="str">
        <f>IF(ISNA(MATCH(577,Engine!$C$2:$C$1199,0)),"",INDEX('Compliance Database'!$K$2:$K$1199,MATCH(577,Engine!$C$2:$C$1199,0)))</f>
        <v/>
      </c>
      <c r="L590" s="7" t="str">
        <f>IF(ISNA(MATCH(577,Engine!$C$2:$C$1199,0)),"",INDEX('Compliance Database'!$L$2:$L$1199,MATCH(577,Engine!$C$2:$C$1199,0)))</f>
        <v/>
      </c>
      <c r="M590" s="7" t="str">
        <f>IF(ISNA(MATCH(577,Engine!$C$2:$C$1199,0)),"",INDEX('Compliance Database'!$M$2:$M$1199,MATCH(577,Engine!$C$2:$C$1199,0)))</f>
        <v/>
      </c>
      <c r="N590" s="7" t="str">
        <f>IF(ISNA(MATCH(577,Engine!$C$2:$C$1199,0)),"",INDEX('Compliance Database'!$N$2:$N$1199,MATCH(577,Engine!$C$2:$C$1199,0)))</f>
        <v/>
      </c>
      <c r="O590" s="7" t="str">
        <f>IF(ISNA(MATCH(577,Engine!$C$2:$C$1199,0)),"",INDEX('Compliance Database'!$O$2:$O$1199,MATCH(577,Engine!$C$2:$C$1199,0)))</f>
        <v/>
      </c>
      <c r="P590" s="6" t="str">
        <f>IF(ISNA(MATCH(577,Engine!$C$2:$C$1199,0)),"",HYPERLINK("#Acts!A"&amp;INDEX('Compliance Database'!$P$2:$P$1199,MATCH(577,Engine!$C$2:$C$1199,0)),"Go to Act"))</f>
        <v/>
      </c>
    </row>
    <row r="591" spans="1:16" ht="172.95" customHeight="1" x14ac:dyDescent="0.3">
      <c r="A591" s="6" t="str">
        <f>IF(ISNA(MATCH(578,Engine!$C$2:$C$1199,0)),"",INDEX('Compliance Database'!$A$2:$A$1199,MATCH(578,Engine!$C$2:$C$1199,0)))</f>
        <v/>
      </c>
      <c r="B591" s="6" t="str">
        <f>IF(ISNA(MATCH(578,Engine!$C$2:$C$1199,0)),"",INDEX('Compliance Database'!$B$2:$B$1199,MATCH(578,Engine!$C$2:$C$1199,0)))</f>
        <v/>
      </c>
      <c r="C591" s="6" t="str">
        <f>IF(ISNA(MATCH(578,Engine!$C$2:$C$1199,0)),"",INDEX('Compliance Database'!$C$2:$C$1199,MATCH(578,Engine!$C$2:$C$1199,0)))</f>
        <v/>
      </c>
      <c r="D591" s="7" t="str">
        <f>IF(ISNA(MATCH(578,Engine!$C$2:$C$1199,0)),"",INDEX('Compliance Database'!$D$2:$D$1199,MATCH(578,Engine!$C$2:$C$1199,0)))</f>
        <v/>
      </c>
      <c r="E591" s="6" t="str">
        <f>IF(ISNA(MATCH(578,Engine!$C$2:$C$1199,0)),"",INDEX('Compliance Database'!$E$2:$E$1199,MATCH(578,Engine!$C$2:$C$1199,0)))</f>
        <v/>
      </c>
      <c r="F591" s="6" t="str">
        <f>IF(ISNA(MATCH(578,Engine!$C$2:$C$1199,0)),"",INDEX('Compliance Database'!$F$2:$F$1199,MATCH(578,Engine!$C$2:$C$1199,0)))</f>
        <v/>
      </c>
      <c r="G591" s="6" t="str">
        <f>IF(ISNA(MATCH(578,Engine!$C$2:$C$1199,0)),"",INDEX('Compliance Database'!$G$2:$G$1199,MATCH(578,Engine!$C$2:$C$1199,0)))</f>
        <v/>
      </c>
      <c r="H591" s="7" t="str">
        <f>IF(ISNA(MATCH(578,Engine!$C$2:$C$1199,0)),"",INDEX('Compliance Database'!$H$2:$H$1199,MATCH(578,Engine!$C$2:$C$1199,0)))</f>
        <v/>
      </c>
      <c r="I591" s="7" t="str">
        <f>IF(ISNA(MATCH(578,Engine!$C$2:$C$1199,0)),"",INDEX('Compliance Database'!$I$2:$I$1199,MATCH(578,Engine!$C$2:$C$1199,0)))</f>
        <v/>
      </c>
      <c r="J591" s="6" t="str">
        <f>IF(ISNA(MATCH(578,Engine!$C$2:$C$1199,0)),"",INDEX('Compliance Database'!$J$2:$J$1199,MATCH(578,Engine!$C$2:$C$1199,0)))</f>
        <v/>
      </c>
      <c r="K591" s="7" t="str">
        <f>IF(ISNA(MATCH(578,Engine!$C$2:$C$1199,0)),"",INDEX('Compliance Database'!$K$2:$K$1199,MATCH(578,Engine!$C$2:$C$1199,0)))</f>
        <v/>
      </c>
      <c r="L591" s="7" t="str">
        <f>IF(ISNA(MATCH(578,Engine!$C$2:$C$1199,0)),"",INDEX('Compliance Database'!$L$2:$L$1199,MATCH(578,Engine!$C$2:$C$1199,0)))</f>
        <v/>
      </c>
      <c r="M591" s="7" t="str">
        <f>IF(ISNA(MATCH(578,Engine!$C$2:$C$1199,0)),"",INDEX('Compliance Database'!$M$2:$M$1199,MATCH(578,Engine!$C$2:$C$1199,0)))</f>
        <v/>
      </c>
      <c r="N591" s="7" t="str">
        <f>IF(ISNA(MATCH(578,Engine!$C$2:$C$1199,0)),"",INDEX('Compliance Database'!$N$2:$N$1199,MATCH(578,Engine!$C$2:$C$1199,0)))</f>
        <v/>
      </c>
      <c r="O591" s="7" t="str">
        <f>IF(ISNA(MATCH(578,Engine!$C$2:$C$1199,0)),"",INDEX('Compliance Database'!$O$2:$O$1199,MATCH(578,Engine!$C$2:$C$1199,0)))</f>
        <v/>
      </c>
      <c r="P591" s="6" t="str">
        <f>IF(ISNA(MATCH(578,Engine!$C$2:$C$1199,0)),"",HYPERLINK("#Acts!A"&amp;INDEX('Compliance Database'!$P$2:$P$1199,MATCH(578,Engine!$C$2:$C$1199,0)),"Go to Act"))</f>
        <v/>
      </c>
    </row>
    <row r="592" spans="1:16" ht="172.95" customHeight="1" x14ac:dyDescent="0.3">
      <c r="A592" s="6" t="str">
        <f>IF(ISNA(MATCH(579,Engine!$C$2:$C$1199,0)),"",INDEX('Compliance Database'!$A$2:$A$1199,MATCH(579,Engine!$C$2:$C$1199,0)))</f>
        <v/>
      </c>
      <c r="B592" s="6" t="str">
        <f>IF(ISNA(MATCH(579,Engine!$C$2:$C$1199,0)),"",INDEX('Compliance Database'!$B$2:$B$1199,MATCH(579,Engine!$C$2:$C$1199,0)))</f>
        <v/>
      </c>
      <c r="C592" s="6" t="str">
        <f>IF(ISNA(MATCH(579,Engine!$C$2:$C$1199,0)),"",INDEX('Compliance Database'!$C$2:$C$1199,MATCH(579,Engine!$C$2:$C$1199,0)))</f>
        <v/>
      </c>
      <c r="D592" s="7" t="str">
        <f>IF(ISNA(MATCH(579,Engine!$C$2:$C$1199,0)),"",INDEX('Compliance Database'!$D$2:$D$1199,MATCH(579,Engine!$C$2:$C$1199,0)))</f>
        <v/>
      </c>
      <c r="E592" s="6" t="str">
        <f>IF(ISNA(MATCH(579,Engine!$C$2:$C$1199,0)),"",INDEX('Compliance Database'!$E$2:$E$1199,MATCH(579,Engine!$C$2:$C$1199,0)))</f>
        <v/>
      </c>
      <c r="F592" s="6" t="str">
        <f>IF(ISNA(MATCH(579,Engine!$C$2:$C$1199,0)),"",INDEX('Compliance Database'!$F$2:$F$1199,MATCH(579,Engine!$C$2:$C$1199,0)))</f>
        <v/>
      </c>
      <c r="G592" s="6" t="str">
        <f>IF(ISNA(MATCH(579,Engine!$C$2:$C$1199,0)),"",INDEX('Compliance Database'!$G$2:$G$1199,MATCH(579,Engine!$C$2:$C$1199,0)))</f>
        <v/>
      </c>
      <c r="H592" s="7" t="str">
        <f>IF(ISNA(MATCH(579,Engine!$C$2:$C$1199,0)),"",INDEX('Compliance Database'!$H$2:$H$1199,MATCH(579,Engine!$C$2:$C$1199,0)))</f>
        <v/>
      </c>
      <c r="I592" s="7" t="str">
        <f>IF(ISNA(MATCH(579,Engine!$C$2:$C$1199,0)),"",INDEX('Compliance Database'!$I$2:$I$1199,MATCH(579,Engine!$C$2:$C$1199,0)))</f>
        <v/>
      </c>
      <c r="J592" s="6" t="str">
        <f>IF(ISNA(MATCH(579,Engine!$C$2:$C$1199,0)),"",INDEX('Compliance Database'!$J$2:$J$1199,MATCH(579,Engine!$C$2:$C$1199,0)))</f>
        <v/>
      </c>
      <c r="K592" s="7" t="str">
        <f>IF(ISNA(MATCH(579,Engine!$C$2:$C$1199,0)),"",INDEX('Compliance Database'!$K$2:$K$1199,MATCH(579,Engine!$C$2:$C$1199,0)))</f>
        <v/>
      </c>
      <c r="L592" s="7" t="str">
        <f>IF(ISNA(MATCH(579,Engine!$C$2:$C$1199,0)),"",INDEX('Compliance Database'!$L$2:$L$1199,MATCH(579,Engine!$C$2:$C$1199,0)))</f>
        <v/>
      </c>
      <c r="M592" s="7" t="str">
        <f>IF(ISNA(MATCH(579,Engine!$C$2:$C$1199,0)),"",INDEX('Compliance Database'!$M$2:$M$1199,MATCH(579,Engine!$C$2:$C$1199,0)))</f>
        <v/>
      </c>
      <c r="N592" s="7" t="str">
        <f>IF(ISNA(MATCH(579,Engine!$C$2:$C$1199,0)),"",INDEX('Compliance Database'!$N$2:$N$1199,MATCH(579,Engine!$C$2:$C$1199,0)))</f>
        <v/>
      </c>
      <c r="O592" s="7" t="str">
        <f>IF(ISNA(MATCH(579,Engine!$C$2:$C$1199,0)),"",INDEX('Compliance Database'!$O$2:$O$1199,MATCH(579,Engine!$C$2:$C$1199,0)))</f>
        <v/>
      </c>
      <c r="P592" s="6" t="str">
        <f>IF(ISNA(MATCH(579,Engine!$C$2:$C$1199,0)),"",HYPERLINK("#Acts!A"&amp;INDEX('Compliance Database'!$P$2:$P$1199,MATCH(579,Engine!$C$2:$C$1199,0)),"Go to Act"))</f>
        <v/>
      </c>
    </row>
    <row r="593" spans="1:16" ht="172.95" customHeight="1" x14ac:dyDescent="0.3">
      <c r="A593" s="6" t="str">
        <f>IF(ISNA(MATCH(580,Engine!$C$2:$C$1199,0)),"",INDEX('Compliance Database'!$A$2:$A$1199,MATCH(580,Engine!$C$2:$C$1199,0)))</f>
        <v/>
      </c>
      <c r="B593" s="6" t="str">
        <f>IF(ISNA(MATCH(580,Engine!$C$2:$C$1199,0)),"",INDEX('Compliance Database'!$B$2:$B$1199,MATCH(580,Engine!$C$2:$C$1199,0)))</f>
        <v/>
      </c>
      <c r="C593" s="6" t="str">
        <f>IF(ISNA(MATCH(580,Engine!$C$2:$C$1199,0)),"",INDEX('Compliance Database'!$C$2:$C$1199,MATCH(580,Engine!$C$2:$C$1199,0)))</f>
        <v/>
      </c>
      <c r="D593" s="7" t="str">
        <f>IF(ISNA(MATCH(580,Engine!$C$2:$C$1199,0)),"",INDEX('Compliance Database'!$D$2:$D$1199,MATCH(580,Engine!$C$2:$C$1199,0)))</f>
        <v/>
      </c>
      <c r="E593" s="6" t="str">
        <f>IF(ISNA(MATCH(580,Engine!$C$2:$C$1199,0)),"",INDEX('Compliance Database'!$E$2:$E$1199,MATCH(580,Engine!$C$2:$C$1199,0)))</f>
        <v/>
      </c>
      <c r="F593" s="6" t="str">
        <f>IF(ISNA(MATCH(580,Engine!$C$2:$C$1199,0)),"",INDEX('Compliance Database'!$F$2:$F$1199,MATCH(580,Engine!$C$2:$C$1199,0)))</f>
        <v/>
      </c>
      <c r="G593" s="6" t="str">
        <f>IF(ISNA(MATCH(580,Engine!$C$2:$C$1199,0)),"",INDEX('Compliance Database'!$G$2:$G$1199,MATCH(580,Engine!$C$2:$C$1199,0)))</f>
        <v/>
      </c>
      <c r="H593" s="7" t="str">
        <f>IF(ISNA(MATCH(580,Engine!$C$2:$C$1199,0)),"",INDEX('Compliance Database'!$H$2:$H$1199,MATCH(580,Engine!$C$2:$C$1199,0)))</f>
        <v/>
      </c>
      <c r="I593" s="7" t="str">
        <f>IF(ISNA(MATCH(580,Engine!$C$2:$C$1199,0)),"",INDEX('Compliance Database'!$I$2:$I$1199,MATCH(580,Engine!$C$2:$C$1199,0)))</f>
        <v/>
      </c>
      <c r="J593" s="6" t="str">
        <f>IF(ISNA(MATCH(580,Engine!$C$2:$C$1199,0)),"",INDEX('Compliance Database'!$J$2:$J$1199,MATCH(580,Engine!$C$2:$C$1199,0)))</f>
        <v/>
      </c>
      <c r="K593" s="7" t="str">
        <f>IF(ISNA(MATCH(580,Engine!$C$2:$C$1199,0)),"",INDEX('Compliance Database'!$K$2:$K$1199,MATCH(580,Engine!$C$2:$C$1199,0)))</f>
        <v/>
      </c>
      <c r="L593" s="7" t="str">
        <f>IF(ISNA(MATCH(580,Engine!$C$2:$C$1199,0)),"",INDEX('Compliance Database'!$L$2:$L$1199,MATCH(580,Engine!$C$2:$C$1199,0)))</f>
        <v/>
      </c>
      <c r="M593" s="7" t="str">
        <f>IF(ISNA(MATCH(580,Engine!$C$2:$C$1199,0)),"",INDEX('Compliance Database'!$M$2:$M$1199,MATCH(580,Engine!$C$2:$C$1199,0)))</f>
        <v/>
      </c>
      <c r="N593" s="7" t="str">
        <f>IF(ISNA(MATCH(580,Engine!$C$2:$C$1199,0)),"",INDEX('Compliance Database'!$N$2:$N$1199,MATCH(580,Engine!$C$2:$C$1199,0)))</f>
        <v/>
      </c>
      <c r="O593" s="7" t="str">
        <f>IF(ISNA(MATCH(580,Engine!$C$2:$C$1199,0)),"",INDEX('Compliance Database'!$O$2:$O$1199,MATCH(580,Engine!$C$2:$C$1199,0)))</f>
        <v/>
      </c>
      <c r="P593" s="6" t="str">
        <f>IF(ISNA(MATCH(580,Engine!$C$2:$C$1199,0)),"",HYPERLINK("#Acts!A"&amp;INDEX('Compliance Database'!$P$2:$P$1199,MATCH(580,Engine!$C$2:$C$1199,0)),"Go to Act"))</f>
        <v/>
      </c>
    </row>
    <row r="594" spans="1:16" ht="172.95" customHeight="1" x14ac:dyDescent="0.3">
      <c r="A594" s="6" t="str">
        <f>IF(ISNA(MATCH(581,Engine!$C$2:$C$1199,0)),"",INDEX('Compliance Database'!$A$2:$A$1199,MATCH(581,Engine!$C$2:$C$1199,0)))</f>
        <v/>
      </c>
      <c r="B594" s="6" t="str">
        <f>IF(ISNA(MATCH(581,Engine!$C$2:$C$1199,0)),"",INDEX('Compliance Database'!$B$2:$B$1199,MATCH(581,Engine!$C$2:$C$1199,0)))</f>
        <v/>
      </c>
      <c r="C594" s="6" t="str">
        <f>IF(ISNA(MATCH(581,Engine!$C$2:$C$1199,0)),"",INDEX('Compliance Database'!$C$2:$C$1199,MATCH(581,Engine!$C$2:$C$1199,0)))</f>
        <v/>
      </c>
      <c r="D594" s="7" t="str">
        <f>IF(ISNA(MATCH(581,Engine!$C$2:$C$1199,0)),"",INDEX('Compliance Database'!$D$2:$D$1199,MATCH(581,Engine!$C$2:$C$1199,0)))</f>
        <v/>
      </c>
      <c r="E594" s="6" t="str">
        <f>IF(ISNA(MATCH(581,Engine!$C$2:$C$1199,0)),"",INDEX('Compliance Database'!$E$2:$E$1199,MATCH(581,Engine!$C$2:$C$1199,0)))</f>
        <v/>
      </c>
      <c r="F594" s="6" t="str">
        <f>IF(ISNA(MATCH(581,Engine!$C$2:$C$1199,0)),"",INDEX('Compliance Database'!$F$2:$F$1199,MATCH(581,Engine!$C$2:$C$1199,0)))</f>
        <v/>
      </c>
      <c r="G594" s="6" t="str">
        <f>IF(ISNA(MATCH(581,Engine!$C$2:$C$1199,0)),"",INDEX('Compliance Database'!$G$2:$G$1199,MATCH(581,Engine!$C$2:$C$1199,0)))</f>
        <v/>
      </c>
      <c r="H594" s="7" t="str">
        <f>IF(ISNA(MATCH(581,Engine!$C$2:$C$1199,0)),"",INDEX('Compliance Database'!$H$2:$H$1199,MATCH(581,Engine!$C$2:$C$1199,0)))</f>
        <v/>
      </c>
      <c r="I594" s="7" t="str">
        <f>IF(ISNA(MATCH(581,Engine!$C$2:$C$1199,0)),"",INDEX('Compliance Database'!$I$2:$I$1199,MATCH(581,Engine!$C$2:$C$1199,0)))</f>
        <v/>
      </c>
      <c r="J594" s="6" t="str">
        <f>IF(ISNA(MATCH(581,Engine!$C$2:$C$1199,0)),"",INDEX('Compliance Database'!$J$2:$J$1199,MATCH(581,Engine!$C$2:$C$1199,0)))</f>
        <v/>
      </c>
      <c r="K594" s="7" t="str">
        <f>IF(ISNA(MATCH(581,Engine!$C$2:$C$1199,0)),"",INDEX('Compliance Database'!$K$2:$K$1199,MATCH(581,Engine!$C$2:$C$1199,0)))</f>
        <v/>
      </c>
      <c r="L594" s="7" t="str">
        <f>IF(ISNA(MATCH(581,Engine!$C$2:$C$1199,0)),"",INDEX('Compliance Database'!$L$2:$L$1199,MATCH(581,Engine!$C$2:$C$1199,0)))</f>
        <v/>
      </c>
      <c r="M594" s="7" t="str">
        <f>IF(ISNA(MATCH(581,Engine!$C$2:$C$1199,0)),"",INDEX('Compliance Database'!$M$2:$M$1199,MATCH(581,Engine!$C$2:$C$1199,0)))</f>
        <v/>
      </c>
      <c r="N594" s="7" t="str">
        <f>IF(ISNA(MATCH(581,Engine!$C$2:$C$1199,0)),"",INDEX('Compliance Database'!$N$2:$N$1199,MATCH(581,Engine!$C$2:$C$1199,0)))</f>
        <v/>
      </c>
      <c r="O594" s="7" t="str">
        <f>IF(ISNA(MATCH(581,Engine!$C$2:$C$1199,0)),"",INDEX('Compliance Database'!$O$2:$O$1199,MATCH(581,Engine!$C$2:$C$1199,0)))</f>
        <v/>
      </c>
      <c r="P594" s="6" t="str">
        <f>IF(ISNA(MATCH(581,Engine!$C$2:$C$1199,0)),"",HYPERLINK("#Acts!A"&amp;INDEX('Compliance Database'!$P$2:$P$1199,MATCH(581,Engine!$C$2:$C$1199,0)),"Go to Act"))</f>
        <v/>
      </c>
    </row>
    <row r="595" spans="1:16" ht="172.95" customHeight="1" x14ac:dyDescent="0.3">
      <c r="A595" s="6" t="str">
        <f>IF(ISNA(MATCH(582,Engine!$C$2:$C$1199,0)),"",INDEX('Compliance Database'!$A$2:$A$1199,MATCH(582,Engine!$C$2:$C$1199,0)))</f>
        <v/>
      </c>
      <c r="B595" s="6" t="str">
        <f>IF(ISNA(MATCH(582,Engine!$C$2:$C$1199,0)),"",INDEX('Compliance Database'!$B$2:$B$1199,MATCH(582,Engine!$C$2:$C$1199,0)))</f>
        <v/>
      </c>
      <c r="C595" s="6" t="str">
        <f>IF(ISNA(MATCH(582,Engine!$C$2:$C$1199,0)),"",INDEX('Compliance Database'!$C$2:$C$1199,MATCH(582,Engine!$C$2:$C$1199,0)))</f>
        <v/>
      </c>
      <c r="D595" s="7" t="str">
        <f>IF(ISNA(MATCH(582,Engine!$C$2:$C$1199,0)),"",INDEX('Compliance Database'!$D$2:$D$1199,MATCH(582,Engine!$C$2:$C$1199,0)))</f>
        <v/>
      </c>
      <c r="E595" s="6" t="str">
        <f>IF(ISNA(MATCH(582,Engine!$C$2:$C$1199,0)),"",INDEX('Compliance Database'!$E$2:$E$1199,MATCH(582,Engine!$C$2:$C$1199,0)))</f>
        <v/>
      </c>
      <c r="F595" s="6" t="str">
        <f>IF(ISNA(MATCH(582,Engine!$C$2:$C$1199,0)),"",INDEX('Compliance Database'!$F$2:$F$1199,MATCH(582,Engine!$C$2:$C$1199,0)))</f>
        <v/>
      </c>
      <c r="G595" s="6" t="str">
        <f>IF(ISNA(MATCH(582,Engine!$C$2:$C$1199,0)),"",INDEX('Compliance Database'!$G$2:$G$1199,MATCH(582,Engine!$C$2:$C$1199,0)))</f>
        <v/>
      </c>
      <c r="H595" s="7" t="str">
        <f>IF(ISNA(MATCH(582,Engine!$C$2:$C$1199,0)),"",INDEX('Compliance Database'!$H$2:$H$1199,MATCH(582,Engine!$C$2:$C$1199,0)))</f>
        <v/>
      </c>
      <c r="I595" s="7" t="str">
        <f>IF(ISNA(MATCH(582,Engine!$C$2:$C$1199,0)),"",INDEX('Compliance Database'!$I$2:$I$1199,MATCH(582,Engine!$C$2:$C$1199,0)))</f>
        <v/>
      </c>
      <c r="J595" s="6" t="str">
        <f>IF(ISNA(MATCH(582,Engine!$C$2:$C$1199,0)),"",INDEX('Compliance Database'!$J$2:$J$1199,MATCH(582,Engine!$C$2:$C$1199,0)))</f>
        <v/>
      </c>
      <c r="K595" s="7" t="str">
        <f>IF(ISNA(MATCH(582,Engine!$C$2:$C$1199,0)),"",INDEX('Compliance Database'!$K$2:$K$1199,MATCH(582,Engine!$C$2:$C$1199,0)))</f>
        <v/>
      </c>
      <c r="L595" s="7" t="str">
        <f>IF(ISNA(MATCH(582,Engine!$C$2:$C$1199,0)),"",INDEX('Compliance Database'!$L$2:$L$1199,MATCH(582,Engine!$C$2:$C$1199,0)))</f>
        <v/>
      </c>
      <c r="M595" s="7" t="str">
        <f>IF(ISNA(MATCH(582,Engine!$C$2:$C$1199,0)),"",INDEX('Compliance Database'!$M$2:$M$1199,MATCH(582,Engine!$C$2:$C$1199,0)))</f>
        <v/>
      </c>
      <c r="N595" s="7" t="str">
        <f>IF(ISNA(MATCH(582,Engine!$C$2:$C$1199,0)),"",INDEX('Compliance Database'!$N$2:$N$1199,MATCH(582,Engine!$C$2:$C$1199,0)))</f>
        <v/>
      </c>
      <c r="O595" s="7" t="str">
        <f>IF(ISNA(MATCH(582,Engine!$C$2:$C$1199,0)),"",INDEX('Compliance Database'!$O$2:$O$1199,MATCH(582,Engine!$C$2:$C$1199,0)))</f>
        <v/>
      </c>
      <c r="P595" s="6" t="str">
        <f>IF(ISNA(MATCH(582,Engine!$C$2:$C$1199,0)),"",HYPERLINK("#Acts!A"&amp;INDEX('Compliance Database'!$P$2:$P$1199,MATCH(582,Engine!$C$2:$C$1199,0)),"Go to Act"))</f>
        <v/>
      </c>
    </row>
    <row r="596" spans="1:16" ht="172.95" customHeight="1" x14ac:dyDescent="0.3">
      <c r="A596" s="6" t="str">
        <f>IF(ISNA(MATCH(583,Engine!$C$2:$C$1199,0)),"",INDEX('Compliance Database'!$A$2:$A$1199,MATCH(583,Engine!$C$2:$C$1199,0)))</f>
        <v/>
      </c>
      <c r="B596" s="6" t="str">
        <f>IF(ISNA(MATCH(583,Engine!$C$2:$C$1199,0)),"",INDEX('Compliance Database'!$B$2:$B$1199,MATCH(583,Engine!$C$2:$C$1199,0)))</f>
        <v/>
      </c>
      <c r="C596" s="6" t="str">
        <f>IF(ISNA(MATCH(583,Engine!$C$2:$C$1199,0)),"",INDEX('Compliance Database'!$C$2:$C$1199,MATCH(583,Engine!$C$2:$C$1199,0)))</f>
        <v/>
      </c>
      <c r="D596" s="7" t="str">
        <f>IF(ISNA(MATCH(583,Engine!$C$2:$C$1199,0)),"",INDEX('Compliance Database'!$D$2:$D$1199,MATCH(583,Engine!$C$2:$C$1199,0)))</f>
        <v/>
      </c>
      <c r="E596" s="6" t="str">
        <f>IF(ISNA(MATCH(583,Engine!$C$2:$C$1199,0)),"",INDEX('Compliance Database'!$E$2:$E$1199,MATCH(583,Engine!$C$2:$C$1199,0)))</f>
        <v/>
      </c>
      <c r="F596" s="6" t="str">
        <f>IF(ISNA(MATCH(583,Engine!$C$2:$C$1199,0)),"",INDEX('Compliance Database'!$F$2:$F$1199,MATCH(583,Engine!$C$2:$C$1199,0)))</f>
        <v/>
      </c>
      <c r="G596" s="6" t="str">
        <f>IF(ISNA(MATCH(583,Engine!$C$2:$C$1199,0)),"",INDEX('Compliance Database'!$G$2:$G$1199,MATCH(583,Engine!$C$2:$C$1199,0)))</f>
        <v/>
      </c>
      <c r="H596" s="7" t="str">
        <f>IF(ISNA(MATCH(583,Engine!$C$2:$C$1199,0)),"",INDEX('Compliance Database'!$H$2:$H$1199,MATCH(583,Engine!$C$2:$C$1199,0)))</f>
        <v/>
      </c>
      <c r="I596" s="7" t="str">
        <f>IF(ISNA(MATCH(583,Engine!$C$2:$C$1199,0)),"",INDEX('Compliance Database'!$I$2:$I$1199,MATCH(583,Engine!$C$2:$C$1199,0)))</f>
        <v/>
      </c>
      <c r="J596" s="6" t="str">
        <f>IF(ISNA(MATCH(583,Engine!$C$2:$C$1199,0)),"",INDEX('Compliance Database'!$J$2:$J$1199,MATCH(583,Engine!$C$2:$C$1199,0)))</f>
        <v/>
      </c>
      <c r="K596" s="7" t="str">
        <f>IF(ISNA(MATCH(583,Engine!$C$2:$C$1199,0)),"",INDEX('Compliance Database'!$K$2:$K$1199,MATCH(583,Engine!$C$2:$C$1199,0)))</f>
        <v/>
      </c>
      <c r="L596" s="7" t="str">
        <f>IF(ISNA(MATCH(583,Engine!$C$2:$C$1199,0)),"",INDEX('Compliance Database'!$L$2:$L$1199,MATCH(583,Engine!$C$2:$C$1199,0)))</f>
        <v/>
      </c>
      <c r="M596" s="7" t="str">
        <f>IF(ISNA(MATCH(583,Engine!$C$2:$C$1199,0)),"",INDEX('Compliance Database'!$M$2:$M$1199,MATCH(583,Engine!$C$2:$C$1199,0)))</f>
        <v/>
      </c>
      <c r="N596" s="7" t="str">
        <f>IF(ISNA(MATCH(583,Engine!$C$2:$C$1199,0)),"",INDEX('Compliance Database'!$N$2:$N$1199,MATCH(583,Engine!$C$2:$C$1199,0)))</f>
        <v/>
      </c>
      <c r="O596" s="7" t="str">
        <f>IF(ISNA(MATCH(583,Engine!$C$2:$C$1199,0)),"",INDEX('Compliance Database'!$O$2:$O$1199,MATCH(583,Engine!$C$2:$C$1199,0)))</f>
        <v/>
      </c>
      <c r="P596" s="6" t="str">
        <f>IF(ISNA(MATCH(583,Engine!$C$2:$C$1199,0)),"",HYPERLINK("#Acts!A"&amp;INDEX('Compliance Database'!$P$2:$P$1199,MATCH(583,Engine!$C$2:$C$1199,0)),"Go to Act"))</f>
        <v/>
      </c>
    </row>
    <row r="597" spans="1:16" ht="172.95" customHeight="1" x14ac:dyDescent="0.3">
      <c r="A597" s="6" t="str">
        <f>IF(ISNA(MATCH(584,Engine!$C$2:$C$1199,0)),"",INDEX('Compliance Database'!$A$2:$A$1199,MATCH(584,Engine!$C$2:$C$1199,0)))</f>
        <v/>
      </c>
      <c r="B597" s="6" t="str">
        <f>IF(ISNA(MATCH(584,Engine!$C$2:$C$1199,0)),"",INDEX('Compliance Database'!$B$2:$B$1199,MATCH(584,Engine!$C$2:$C$1199,0)))</f>
        <v/>
      </c>
      <c r="C597" s="6" t="str">
        <f>IF(ISNA(MATCH(584,Engine!$C$2:$C$1199,0)),"",INDEX('Compliance Database'!$C$2:$C$1199,MATCH(584,Engine!$C$2:$C$1199,0)))</f>
        <v/>
      </c>
      <c r="D597" s="7" t="str">
        <f>IF(ISNA(MATCH(584,Engine!$C$2:$C$1199,0)),"",INDEX('Compliance Database'!$D$2:$D$1199,MATCH(584,Engine!$C$2:$C$1199,0)))</f>
        <v/>
      </c>
      <c r="E597" s="6" t="str">
        <f>IF(ISNA(MATCH(584,Engine!$C$2:$C$1199,0)),"",INDEX('Compliance Database'!$E$2:$E$1199,MATCH(584,Engine!$C$2:$C$1199,0)))</f>
        <v/>
      </c>
      <c r="F597" s="6" t="str">
        <f>IF(ISNA(MATCH(584,Engine!$C$2:$C$1199,0)),"",INDEX('Compliance Database'!$F$2:$F$1199,MATCH(584,Engine!$C$2:$C$1199,0)))</f>
        <v/>
      </c>
      <c r="G597" s="6" t="str">
        <f>IF(ISNA(MATCH(584,Engine!$C$2:$C$1199,0)),"",INDEX('Compliance Database'!$G$2:$G$1199,MATCH(584,Engine!$C$2:$C$1199,0)))</f>
        <v/>
      </c>
      <c r="H597" s="7" t="str">
        <f>IF(ISNA(MATCH(584,Engine!$C$2:$C$1199,0)),"",INDEX('Compliance Database'!$H$2:$H$1199,MATCH(584,Engine!$C$2:$C$1199,0)))</f>
        <v/>
      </c>
      <c r="I597" s="7" t="str">
        <f>IF(ISNA(MATCH(584,Engine!$C$2:$C$1199,0)),"",INDEX('Compliance Database'!$I$2:$I$1199,MATCH(584,Engine!$C$2:$C$1199,0)))</f>
        <v/>
      </c>
      <c r="J597" s="6" t="str">
        <f>IF(ISNA(MATCH(584,Engine!$C$2:$C$1199,0)),"",INDEX('Compliance Database'!$J$2:$J$1199,MATCH(584,Engine!$C$2:$C$1199,0)))</f>
        <v/>
      </c>
      <c r="K597" s="7" t="str">
        <f>IF(ISNA(MATCH(584,Engine!$C$2:$C$1199,0)),"",INDEX('Compliance Database'!$K$2:$K$1199,MATCH(584,Engine!$C$2:$C$1199,0)))</f>
        <v/>
      </c>
      <c r="L597" s="7" t="str">
        <f>IF(ISNA(MATCH(584,Engine!$C$2:$C$1199,0)),"",INDEX('Compliance Database'!$L$2:$L$1199,MATCH(584,Engine!$C$2:$C$1199,0)))</f>
        <v/>
      </c>
      <c r="M597" s="7" t="str">
        <f>IF(ISNA(MATCH(584,Engine!$C$2:$C$1199,0)),"",INDEX('Compliance Database'!$M$2:$M$1199,MATCH(584,Engine!$C$2:$C$1199,0)))</f>
        <v/>
      </c>
      <c r="N597" s="7" t="str">
        <f>IF(ISNA(MATCH(584,Engine!$C$2:$C$1199,0)),"",INDEX('Compliance Database'!$N$2:$N$1199,MATCH(584,Engine!$C$2:$C$1199,0)))</f>
        <v/>
      </c>
      <c r="O597" s="7" t="str">
        <f>IF(ISNA(MATCH(584,Engine!$C$2:$C$1199,0)),"",INDEX('Compliance Database'!$O$2:$O$1199,MATCH(584,Engine!$C$2:$C$1199,0)))</f>
        <v/>
      </c>
      <c r="P597" s="6" t="str">
        <f>IF(ISNA(MATCH(584,Engine!$C$2:$C$1199,0)),"",HYPERLINK("#Acts!A"&amp;INDEX('Compliance Database'!$P$2:$P$1199,MATCH(584,Engine!$C$2:$C$1199,0)),"Go to Act"))</f>
        <v/>
      </c>
    </row>
    <row r="598" spans="1:16" ht="172.95" customHeight="1" x14ac:dyDescent="0.3">
      <c r="A598" s="6" t="str">
        <f>IF(ISNA(MATCH(585,Engine!$C$2:$C$1199,0)),"",INDEX('Compliance Database'!$A$2:$A$1199,MATCH(585,Engine!$C$2:$C$1199,0)))</f>
        <v/>
      </c>
      <c r="B598" s="6" t="str">
        <f>IF(ISNA(MATCH(585,Engine!$C$2:$C$1199,0)),"",INDEX('Compliance Database'!$B$2:$B$1199,MATCH(585,Engine!$C$2:$C$1199,0)))</f>
        <v/>
      </c>
      <c r="C598" s="6" t="str">
        <f>IF(ISNA(MATCH(585,Engine!$C$2:$C$1199,0)),"",INDEX('Compliance Database'!$C$2:$C$1199,MATCH(585,Engine!$C$2:$C$1199,0)))</f>
        <v/>
      </c>
      <c r="D598" s="7" t="str">
        <f>IF(ISNA(MATCH(585,Engine!$C$2:$C$1199,0)),"",INDEX('Compliance Database'!$D$2:$D$1199,MATCH(585,Engine!$C$2:$C$1199,0)))</f>
        <v/>
      </c>
      <c r="E598" s="6" t="str">
        <f>IF(ISNA(MATCH(585,Engine!$C$2:$C$1199,0)),"",INDEX('Compliance Database'!$E$2:$E$1199,MATCH(585,Engine!$C$2:$C$1199,0)))</f>
        <v/>
      </c>
      <c r="F598" s="6" t="str">
        <f>IF(ISNA(MATCH(585,Engine!$C$2:$C$1199,0)),"",INDEX('Compliance Database'!$F$2:$F$1199,MATCH(585,Engine!$C$2:$C$1199,0)))</f>
        <v/>
      </c>
      <c r="G598" s="6" t="str">
        <f>IF(ISNA(MATCH(585,Engine!$C$2:$C$1199,0)),"",INDEX('Compliance Database'!$G$2:$G$1199,MATCH(585,Engine!$C$2:$C$1199,0)))</f>
        <v/>
      </c>
      <c r="H598" s="7" t="str">
        <f>IF(ISNA(MATCH(585,Engine!$C$2:$C$1199,0)),"",INDEX('Compliance Database'!$H$2:$H$1199,MATCH(585,Engine!$C$2:$C$1199,0)))</f>
        <v/>
      </c>
      <c r="I598" s="7" t="str">
        <f>IF(ISNA(MATCH(585,Engine!$C$2:$C$1199,0)),"",INDEX('Compliance Database'!$I$2:$I$1199,MATCH(585,Engine!$C$2:$C$1199,0)))</f>
        <v/>
      </c>
      <c r="J598" s="6" t="str">
        <f>IF(ISNA(MATCH(585,Engine!$C$2:$C$1199,0)),"",INDEX('Compliance Database'!$J$2:$J$1199,MATCH(585,Engine!$C$2:$C$1199,0)))</f>
        <v/>
      </c>
      <c r="K598" s="7" t="str">
        <f>IF(ISNA(MATCH(585,Engine!$C$2:$C$1199,0)),"",INDEX('Compliance Database'!$K$2:$K$1199,MATCH(585,Engine!$C$2:$C$1199,0)))</f>
        <v/>
      </c>
      <c r="L598" s="7" t="str">
        <f>IF(ISNA(MATCH(585,Engine!$C$2:$C$1199,0)),"",INDEX('Compliance Database'!$L$2:$L$1199,MATCH(585,Engine!$C$2:$C$1199,0)))</f>
        <v/>
      </c>
      <c r="M598" s="7" t="str">
        <f>IF(ISNA(MATCH(585,Engine!$C$2:$C$1199,0)),"",INDEX('Compliance Database'!$M$2:$M$1199,MATCH(585,Engine!$C$2:$C$1199,0)))</f>
        <v/>
      </c>
      <c r="N598" s="7" t="str">
        <f>IF(ISNA(MATCH(585,Engine!$C$2:$C$1199,0)),"",INDEX('Compliance Database'!$N$2:$N$1199,MATCH(585,Engine!$C$2:$C$1199,0)))</f>
        <v/>
      </c>
      <c r="O598" s="7" t="str">
        <f>IF(ISNA(MATCH(585,Engine!$C$2:$C$1199,0)),"",INDEX('Compliance Database'!$O$2:$O$1199,MATCH(585,Engine!$C$2:$C$1199,0)))</f>
        <v/>
      </c>
      <c r="P598" s="6" t="str">
        <f>IF(ISNA(MATCH(585,Engine!$C$2:$C$1199,0)),"",HYPERLINK("#Acts!A"&amp;INDEX('Compliance Database'!$P$2:$P$1199,MATCH(585,Engine!$C$2:$C$1199,0)),"Go to Act"))</f>
        <v/>
      </c>
    </row>
    <row r="599" spans="1:16" ht="172.95" customHeight="1" x14ac:dyDescent="0.3">
      <c r="A599" s="6" t="str">
        <f>IF(ISNA(MATCH(586,Engine!$C$2:$C$1199,0)),"",INDEX('Compliance Database'!$A$2:$A$1199,MATCH(586,Engine!$C$2:$C$1199,0)))</f>
        <v/>
      </c>
      <c r="B599" s="6" t="str">
        <f>IF(ISNA(MATCH(586,Engine!$C$2:$C$1199,0)),"",INDEX('Compliance Database'!$B$2:$B$1199,MATCH(586,Engine!$C$2:$C$1199,0)))</f>
        <v/>
      </c>
      <c r="C599" s="6" t="str">
        <f>IF(ISNA(MATCH(586,Engine!$C$2:$C$1199,0)),"",INDEX('Compliance Database'!$C$2:$C$1199,MATCH(586,Engine!$C$2:$C$1199,0)))</f>
        <v/>
      </c>
      <c r="D599" s="7" t="str">
        <f>IF(ISNA(MATCH(586,Engine!$C$2:$C$1199,0)),"",INDEX('Compliance Database'!$D$2:$D$1199,MATCH(586,Engine!$C$2:$C$1199,0)))</f>
        <v/>
      </c>
      <c r="E599" s="6" t="str">
        <f>IF(ISNA(MATCH(586,Engine!$C$2:$C$1199,0)),"",INDEX('Compliance Database'!$E$2:$E$1199,MATCH(586,Engine!$C$2:$C$1199,0)))</f>
        <v/>
      </c>
      <c r="F599" s="6" t="str">
        <f>IF(ISNA(MATCH(586,Engine!$C$2:$C$1199,0)),"",INDEX('Compliance Database'!$F$2:$F$1199,MATCH(586,Engine!$C$2:$C$1199,0)))</f>
        <v/>
      </c>
      <c r="G599" s="6" t="str">
        <f>IF(ISNA(MATCH(586,Engine!$C$2:$C$1199,0)),"",INDEX('Compliance Database'!$G$2:$G$1199,MATCH(586,Engine!$C$2:$C$1199,0)))</f>
        <v/>
      </c>
      <c r="H599" s="7" t="str">
        <f>IF(ISNA(MATCH(586,Engine!$C$2:$C$1199,0)),"",INDEX('Compliance Database'!$H$2:$H$1199,MATCH(586,Engine!$C$2:$C$1199,0)))</f>
        <v/>
      </c>
      <c r="I599" s="7" t="str">
        <f>IF(ISNA(MATCH(586,Engine!$C$2:$C$1199,0)),"",INDEX('Compliance Database'!$I$2:$I$1199,MATCH(586,Engine!$C$2:$C$1199,0)))</f>
        <v/>
      </c>
      <c r="J599" s="6" t="str">
        <f>IF(ISNA(MATCH(586,Engine!$C$2:$C$1199,0)),"",INDEX('Compliance Database'!$J$2:$J$1199,MATCH(586,Engine!$C$2:$C$1199,0)))</f>
        <v/>
      </c>
      <c r="K599" s="7" t="str">
        <f>IF(ISNA(MATCH(586,Engine!$C$2:$C$1199,0)),"",INDEX('Compliance Database'!$K$2:$K$1199,MATCH(586,Engine!$C$2:$C$1199,0)))</f>
        <v/>
      </c>
      <c r="L599" s="7" t="str">
        <f>IF(ISNA(MATCH(586,Engine!$C$2:$C$1199,0)),"",INDEX('Compliance Database'!$L$2:$L$1199,MATCH(586,Engine!$C$2:$C$1199,0)))</f>
        <v/>
      </c>
      <c r="M599" s="7" t="str">
        <f>IF(ISNA(MATCH(586,Engine!$C$2:$C$1199,0)),"",INDEX('Compliance Database'!$M$2:$M$1199,MATCH(586,Engine!$C$2:$C$1199,0)))</f>
        <v/>
      </c>
      <c r="N599" s="7" t="str">
        <f>IF(ISNA(MATCH(586,Engine!$C$2:$C$1199,0)),"",INDEX('Compliance Database'!$N$2:$N$1199,MATCH(586,Engine!$C$2:$C$1199,0)))</f>
        <v/>
      </c>
      <c r="O599" s="7" t="str">
        <f>IF(ISNA(MATCH(586,Engine!$C$2:$C$1199,0)),"",INDEX('Compliance Database'!$O$2:$O$1199,MATCH(586,Engine!$C$2:$C$1199,0)))</f>
        <v/>
      </c>
      <c r="P599" s="6" t="str">
        <f>IF(ISNA(MATCH(586,Engine!$C$2:$C$1199,0)),"",HYPERLINK("#Acts!A"&amp;INDEX('Compliance Database'!$P$2:$P$1199,MATCH(586,Engine!$C$2:$C$1199,0)),"Go to Act"))</f>
        <v/>
      </c>
    </row>
    <row r="600" spans="1:16" ht="172.95" customHeight="1" x14ac:dyDescent="0.3">
      <c r="A600" s="6" t="str">
        <f>IF(ISNA(MATCH(587,Engine!$C$2:$C$1199,0)),"",INDEX('Compliance Database'!$A$2:$A$1199,MATCH(587,Engine!$C$2:$C$1199,0)))</f>
        <v/>
      </c>
      <c r="B600" s="6" t="str">
        <f>IF(ISNA(MATCH(587,Engine!$C$2:$C$1199,0)),"",INDEX('Compliance Database'!$B$2:$B$1199,MATCH(587,Engine!$C$2:$C$1199,0)))</f>
        <v/>
      </c>
      <c r="C600" s="6" t="str">
        <f>IF(ISNA(MATCH(587,Engine!$C$2:$C$1199,0)),"",INDEX('Compliance Database'!$C$2:$C$1199,MATCH(587,Engine!$C$2:$C$1199,0)))</f>
        <v/>
      </c>
      <c r="D600" s="7" t="str">
        <f>IF(ISNA(MATCH(587,Engine!$C$2:$C$1199,0)),"",INDEX('Compliance Database'!$D$2:$D$1199,MATCH(587,Engine!$C$2:$C$1199,0)))</f>
        <v/>
      </c>
      <c r="E600" s="6" t="str">
        <f>IF(ISNA(MATCH(587,Engine!$C$2:$C$1199,0)),"",INDEX('Compliance Database'!$E$2:$E$1199,MATCH(587,Engine!$C$2:$C$1199,0)))</f>
        <v/>
      </c>
      <c r="F600" s="6" t="str">
        <f>IF(ISNA(MATCH(587,Engine!$C$2:$C$1199,0)),"",INDEX('Compliance Database'!$F$2:$F$1199,MATCH(587,Engine!$C$2:$C$1199,0)))</f>
        <v/>
      </c>
      <c r="G600" s="6" t="str">
        <f>IF(ISNA(MATCH(587,Engine!$C$2:$C$1199,0)),"",INDEX('Compliance Database'!$G$2:$G$1199,MATCH(587,Engine!$C$2:$C$1199,0)))</f>
        <v/>
      </c>
      <c r="H600" s="7" t="str">
        <f>IF(ISNA(MATCH(587,Engine!$C$2:$C$1199,0)),"",INDEX('Compliance Database'!$H$2:$H$1199,MATCH(587,Engine!$C$2:$C$1199,0)))</f>
        <v/>
      </c>
      <c r="I600" s="7" t="str">
        <f>IF(ISNA(MATCH(587,Engine!$C$2:$C$1199,0)),"",INDEX('Compliance Database'!$I$2:$I$1199,MATCH(587,Engine!$C$2:$C$1199,0)))</f>
        <v/>
      </c>
      <c r="J600" s="6" t="str">
        <f>IF(ISNA(MATCH(587,Engine!$C$2:$C$1199,0)),"",INDEX('Compliance Database'!$J$2:$J$1199,MATCH(587,Engine!$C$2:$C$1199,0)))</f>
        <v/>
      </c>
      <c r="K600" s="7" t="str">
        <f>IF(ISNA(MATCH(587,Engine!$C$2:$C$1199,0)),"",INDEX('Compliance Database'!$K$2:$K$1199,MATCH(587,Engine!$C$2:$C$1199,0)))</f>
        <v/>
      </c>
      <c r="L600" s="7" t="str">
        <f>IF(ISNA(MATCH(587,Engine!$C$2:$C$1199,0)),"",INDEX('Compliance Database'!$L$2:$L$1199,MATCH(587,Engine!$C$2:$C$1199,0)))</f>
        <v/>
      </c>
      <c r="M600" s="7" t="str">
        <f>IF(ISNA(MATCH(587,Engine!$C$2:$C$1199,0)),"",INDEX('Compliance Database'!$M$2:$M$1199,MATCH(587,Engine!$C$2:$C$1199,0)))</f>
        <v/>
      </c>
      <c r="N600" s="7" t="str">
        <f>IF(ISNA(MATCH(587,Engine!$C$2:$C$1199,0)),"",INDEX('Compliance Database'!$N$2:$N$1199,MATCH(587,Engine!$C$2:$C$1199,0)))</f>
        <v/>
      </c>
      <c r="O600" s="7" t="str">
        <f>IF(ISNA(MATCH(587,Engine!$C$2:$C$1199,0)),"",INDEX('Compliance Database'!$O$2:$O$1199,MATCH(587,Engine!$C$2:$C$1199,0)))</f>
        <v/>
      </c>
      <c r="P600" s="6" t="str">
        <f>IF(ISNA(MATCH(587,Engine!$C$2:$C$1199,0)),"",HYPERLINK("#Acts!A"&amp;INDEX('Compliance Database'!$P$2:$P$1199,MATCH(587,Engine!$C$2:$C$1199,0)),"Go to Act"))</f>
        <v/>
      </c>
    </row>
    <row r="601" spans="1:16" ht="172.95" customHeight="1" x14ac:dyDescent="0.3">
      <c r="A601" s="6" t="str">
        <f>IF(ISNA(MATCH(588,Engine!$C$2:$C$1199,0)),"",INDEX('Compliance Database'!$A$2:$A$1199,MATCH(588,Engine!$C$2:$C$1199,0)))</f>
        <v/>
      </c>
      <c r="B601" s="6" t="str">
        <f>IF(ISNA(MATCH(588,Engine!$C$2:$C$1199,0)),"",INDEX('Compliance Database'!$B$2:$B$1199,MATCH(588,Engine!$C$2:$C$1199,0)))</f>
        <v/>
      </c>
      <c r="C601" s="6" t="str">
        <f>IF(ISNA(MATCH(588,Engine!$C$2:$C$1199,0)),"",INDEX('Compliance Database'!$C$2:$C$1199,MATCH(588,Engine!$C$2:$C$1199,0)))</f>
        <v/>
      </c>
      <c r="D601" s="7" t="str">
        <f>IF(ISNA(MATCH(588,Engine!$C$2:$C$1199,0)),"",INDEX('Compliance Database'!$D$2:$D$1199,MATCH(588,Engine!$C$2:$C$1199,0)))</f>
        <v/>
      </c>
      <c r="E601" s="6" t="str">
        <f>IF(ISNA(MATCH(588,Engine!$C$2:$C$1199,0)),"",INDEX('Compliance Database'!$E$2:$E$1199,MATCH(588,Engine!$C$2:$C$1199,0)))</f>
        <v/>
      </c>
      <c r="F601" s="6" t="str">
        <f>IF(ISNA(MATCH(588,Engine!$C$2:$C$1199,0)),"",INDEX('Compliance Database'!$F$2:$F$1199,MATCH(588,Engine!$C$2:$C$1199,0)))</f>
        <v/>
      </c>
      <c r="G601" s="6" t="str">
        <f>IF(ISNA(MATCH(588,Engine!$C$2:$C$1199,0)),"",INDEX('Compliance Database'!$G$2:$G$1199,MATCH(588,Engine!$C$2:$C$1199,0)))</f>
        <v/>
      </c>
      <c r="H601" s="7" t="str">
        <f>IF(ISNA(MATCH(588,Engine!$C$2:$C$1199,0)),"",INDEX('Compliance Database'!$H$2:$H$1199,MATCH(588,Engine!$C$2:$C$1199,0)))</f>
        <v/>
      </c>
      <c r="I601" s="7" t="str">
        <f>IF(ISNA(MATCH(588,Engine!$C$2:$C$1199,0)),"",INDEX('Compliance Database'!$I$2:$I$1199,MATCH(588,Engine!$C$2:$C$1199,0)))</f>
        <v/>
      </c>
      <c r="J601" s="6" t="str">
        <f>IF(ISNA(MATCH(588,Engine!$C$2:$C$1199,0)),"",INDEX('Compliance Database'!$J$2:$J$1199,MATCH(588,Engine!$C$2:$C$1199,0)))</f>
        <v/>
      </c>
      <c r="K601" s="7" t="str">
        <f>IF(ISNA(MATCH(588,Engine!$C$2:$C$1199,0)),"",INDEX('Compliance Database'!$K$2:$K$1199,MATCH(588,Engine!$C$2:$C$1199,0)))</f>
        <v/>
      </c>
      <c r="L601" s="7" t="str">
        <f>IF(ISNA(MATCH(588,Engine!$C$2:$C$1199,0)),"",INDEX('Compliance Database'!$L$2:$L$1199,MATCH(588,Engine!$C$2:$C$1199,0)))</f>
        <v/>
      </c>
      <c r="M601" s="7" t="str">
        <f>IF(ISNA(MATCH(588,Engine!$C$2:$C$1199,0)),"",INDEX('Compliance Database'!$M$2:$M$1199,MATCH(588,Engine!$C$2:$C$1199,0)))</f>
        <v/>
      </c>
      <c r="N601" s="7" t="str">
        <f>IF(ISNA(MATCH(588,Engine!$C$2:$C$1199,0)),"",INDEX('Compliance Database'!$N$2:$N$1199,MATCH(588,Engine!$C$2:$C$1199,0)))</f>
        <v/>
      </c>
      <c r="O601" s="7" t="str">
        <f>IF(ISNA(MATCH(588,Engine!$C$2:$C$1199,0)),"",INDEX('Compliance Database'!$O$2:$O$1199,MATCH(588,Engine!$C$2:$C$1199,0)))</f>
        <v/>
      </c>
      <c r="P601" s="6" t="str">
        <f>IF(ISNA(MATCH(588,Engine!$C$2:$C$1199,0)),"",HYPERLINK("#Acts!A"&amp;INDEX('Compliance Database'!$P$2:$P$1199,MATCH(588,Engine!$C$2:$C$1199,0)),"Go to Act"))</f>
        <v/>
      </c>
    </row>
    <row r="602" spans="1:16" ht="172.95" customHeight="1" x14ac:dyDescent="0.3">
      <c r="A602" s="6" t="str">
        <f>IF(ISNA(MATCH(589,Engine!$C$2:$C$1199,0)),"",INDEX('Compliance Database'!$A$2:$A$1199,MATCH(589,Engine!$C$2:$C$1199,0)))</f>
        <v/>
      </c>
      <c r="B602" s="6" t="str">
        <f>IF(ISNA(MATCH(589,Engine!$C$2:$C$1199,0)),"",INDEX('Compliance Database'!$B$2:$B$1199,MATCH(589,Engine!$C$2:$C$1199,0)))</f>
        <v/>
      </c>
      <c r="C602" s="6" t="str">
        <f>IF(ISNA(MATCH(589,Engine!$C$2:$C$1199,0)),"",INDEX('Compliance Database'!$C$2:$C$1199,MATCH(589,Engine!$C$2:$C$1199,0)))</f>
        <v/>
      </c>
      <c r="D602" s="7" t="str">
        <f>IF(ISNA(MATCH(589,Engine!$C$2:$C$1199,0)),"",INDEX('Compliance Database'!$D$2:$D$1199,MATCH(589,Engine!$C$2:$C$1199,0)))</f>
        <v/>
      </c>
      <c r="E602" s="6" t="str">
        <f>IF(ISNA(MATCH(589,Engine!$C$2:$C$1199,0)),"",INDEX('Compliance Database'!$E$2:$E$1199,MATCH(589,Engine!$C$2:$C$1199,0)))</f>
        <v/>
      </c>
      <c r="F602" s="6" t="str">
        <f>IF(ISNA(MATCH(589,Engine!$C$2:$C$1199,0)),"",INDEX('Compliance Database'!$F$2:$F$1199,MATCH(589,Engine!$C$2:$C$1199,0)))</f>
        <v/>
      </c>
      <c r="G602" s="6" t="str">
        <f>IF(ISNA(MATCH(589,Engine!$C$2:$C$1199,0)),"",INDEX('Compliance Database'!$G$2:$G$1199,MATCH(589,Engine!$C$2:$C$1199,0)))</f>
        <v/>
      </c>
      <c r="H602" s="7" t="str">
        <f>IF(ISNA(MATCH(589,Engine!$C$2:$C$1199,0)),"",INDEX('Compliance Database'!$H$2:$H$1199,MATCH(589,Engine!$C$2:$C$1199,0)))</f>
        <v/>
      </c>
      <c r="I602" s="7" t="str">
        <f>IF(ISNA(MATCH(589,Engine!$C$2:$C$1199,0)),"",INDEX('Compliance Database'!$I$2:$I$1199,MATCH(589,Engine!$C$2:$C$1199,0)))</f>
        <v/>
      </c>
      <c r="J602" s="6" t="str">
        <f>IF(ISNA(MATCH(589,Engine!$C$2:$C$1199,0)),"",INDEX('Compliance Database'!$J$2:$J$1199,MATCH(589,Engine!$C$2:$C$1199,0)))</f>
        <v/>
      </c>
      <c r="K602" s="7" t="str">
        <f>IF(ISNA(MATCH(589,Engine!$C$2:$C$1199,0)),"",INDEX('Compliance Database'!$K$2:$K$1199,MATCH(589,Engine!$C$2:$C$1199,0)))</f>
        <v/>
      </c>
      <c r="L602" s="7" t="str">
        <f>IF(ISNA(MATCH(589,Engine!$C$2:$C$1199,0)),"",INDEX('Compliance Database'!$L$2:$L$1199,MATCH(589,Engine!$C$2:$C$1199,0)))</f>
        <v/>
      </c>
      <c r="M602" s="7" t="str">
        <f>IF(ISNA(MATCH(589,Engine!$C$2:$C$1199,0)),"",INDEX('Compliance Database'!$M$2:$M$1199,MATCH(589,Engine!$C$2:$C$1199,0)))</f>
        <v/>
      </c>
      <c r="N602" s="7" t="str">
        <f>IF(ISNA(MATCH(589,Engine!$C$2:$C$1199,0)),"",INDEX('Compliance Database'!$N$2:$N$1199,MATCH(589,Engine!$C$2:$C$1199,0)))</f>
        <v/>
      </c>
      <c r="O602" s="7" t="str">
        <f>IF(ISNA(MATCH(589,Engine!$C$2:$C$1199,0)),"",INDEX('Compliance Database'!$O$2:$O$1199,MATCH(589,Engine!$C$2:$C$1199,0)))</f>
        <v/>
      </c>
      <c r="P602" s="6" t="str">
        <f>IF(ISNA(MATCH(589,Engine!$C$2:$C$1199,0)),"",HYPERLINK("#Acts!A"&amp;INDEX('Compliance Database'!$P$2:$P$1199,MATCH(589,Engine!$C$2:$C$1199,0)),"Go to Act"))</f>
        <v/>
      </c>
    </row>
    <row r="603" spans="1:16" ht="172.95" customHeight="1" x14ac:dyDescent="0.3">
      <c r="A603" s="6" t="str">
        <f>IF(ISNA(MATCH(590,Engine!$C$2:$C$1199,0)),"",INDEX('Compliance Database'!$A$2:$A$1199,MATCH(590,Engine!$C$2:$C$1199,0)))</f>
        <v/>
      </c>
      <c r="B603" s="6" t="str">
        <f>IF(ISNA(MATCH(590,Engine!$C$2:$C$1199,0)),"",INDEX('Compliance Database'!$B$2:$B$1199,MATCH(590,Engine!$C$2:$C$1199,0)))</f>
        <v/>
      </c>
      <c r="C603" s="6" t="str">
        <f>IF(ISNA(MATCH(590,Engine!$C$2:$C$1199,0)),"",INDEX('Compliance Database'!$C$2:$C$1199,MATCH(590,Engine!$C$2:$C$1199,0)))</f>
        <v/>
      </c>
      <c r="D603" s="7" t="str">
        <f>IF(ISNA(MATCH(590,Engine!$C$2:$C$1199,0)),"",INDEX('Compliance Database'!$D$2:$D$1199,MATCH(590,Engine!$C$2:$C$1199,0)))</f>
        <v/>
      </c>
      <c r="E603" s="6" t="str">
        <f>IF(ISNA(MATCH(590,Engine!$C$2:$C$1199,0)),"",INDEX('Compliance Database'!$E$2:$E$1199,MATCH(590,Engine!$C$2:$C$1199,0)))</f>
        <v/>
      </c>
      <c r="F603" s="6" t="str">
        <f>IF(ISNA(MATCH(590,Engine!$C$2:$C$1199,0)),"",INDEX('Compliance Database'!$F$2:$F$1199,MATCH(590,Engine!$C$2:$C$1199,0)))</f>
        <v/>
      </c>
      <c r="G603" s="6" t="str">
        <f>IF(ISNA(MATCH(590,Engine!$C$2:$C$1199,0)),"",INDEX('Compliance Database'!$G$2:$G$1199,MATCH(590,Engine!$C$2:$C$1199,0)))</f>
        <v/>
      </c>
      <c r="H603" s="7" t="str">
        <f>IF(ISNA(MATCH(590,Engine!$C$2:$C$1199,0)),"",INDEX('Compliance Database'!$H$2:$H$1199,MATCH(590,Engine!$C$2:$C$1199,0)))</f>
        <v/>
      </c>
      <c r="I603" s="7" t="str">
        <f>IF(ISNA(MATCH(590,Engine!$C$2:$C$1199,0)),"",INDEX('Compliance Database'!$I$2:$I$1199,MATCH(590,Engine!$C$2:$C$1199,0)))</f>
        <v/>
      </c>
      <c r="J603" s="6" t="str">
        <f>IF(ISNA(MATCH(590,Engine!$C$2:$C$1199,0)),"",INDEX('Compliance Database'!$J$2:$J$1199,MATCH(590,Engine!$C$2:$C$1199,0)))</f>
        <v/>
      </c>
      <c r="K603" s="7" t="str">
        <f>IF(ISNA(MATCH(590,Engine!$C$2:$C$1199,0)),"",INDEX('Compliance Database'!$K$2:$K$1199,MATCH(590,Engine!$C$2:$C$1199,0)))</f>
        <v/>
      </c>
      <c r="L603" s="7" t="str">
        <f>IF(ISNA(MATCH(590,Engine!$C$2:$C$1199,0)),"",INDEX('Compliance Database'!$L$2:$L$1199,MATCH(590,Engine!$C$2:$C$1199,0)))</f>
        <v/>
      </c>
      <c r="M603" s="7" t="str">
        <f>IF(ISNA(MATCH(590,Engine!$C$2:$C$1199,0)),"",INDEX('Compliance Database'!$M$2:$M$1199,MATCH(590,Engine!$C$2:$C$1199,0)))</f>
        <v/>
      </c>
      <c r="N603" s="7" t="str">
        <f>IF(ISNA(MATCH(590,Engine!$C$2:$C$1199,0)),"",INDEX('Compliance Database'!$N$2:$N$1199,MATCH(590,Engine!$C$2:$C$1199,0)))</f>
        <v/>
      </c>
      <c r="O603" s="7" t="str">
        <f>IF(ISNA(MATCH(590,Engine!$C$2:$C$1199,0)),"",INDEX('Compliance Database'!$O$2:$O$1199,MATCH(590,Engine!$C$2:$C$1199,0)))</f>
        <v/>
      </c>
      <c r="P603" s="6" t="str">
        <f>IF(ISNA(MATCH(590,Engine!$C$2:$C$1199,0)),"",HYPERLINK("#Acts!A"&amp;INDEX('Compliance Database'!$P$2:$P$1199,MATCH(590,Engine!$C$2:$C$1199,0)),"Go to Act"))</f>
        <v/>
      </c>
    </row>
    <row r="604" spans="1:16" ht="172.95" customHeight="1" x14ac:dyDescent="0.3">
      <c r="A604" s="6" t="str">
        <f>IF(ISNA(MATCH(591,Engine!$C$2:$C$1199,0)),"",INDEX('Compliance Database'!$A$2:$A$1199,MATCH(591,Engine!$C$2:$C$1199,0)))</f>
        <v/>
      </c>
      <c r="B604" s="6" t="str">
        <f>IF(ISNA(MATCH(591,Engine!$C$2:$C$1199,0)),"",INDEX('Compliance Database'!$B$2:$B$1199,MATCH(591,Engine!$C$2:$C$1199,0)))</f>
        <v/>
      </c>
      <c r="C604" s="6" t="str">
        <f>IF(ISNA(MATCH(591,Engine!$C$2:$C$1199,0)),"",INDEX('Compliance Database'!$C$2:$C$1199,MATCH(591,Engine!$C$2:$C$1199,0)))</f>
        <v/>
      </c>
      <c r="D604" s="7" t="str">
        <f>IF(ISNA(MATCH(591,Engine!$C$2:$C$1199,0)),"",INDEX('Compliance Database'!$D$2:$D$1199,MATCH(591,Engine!$C$2:$C$1199,0)))</f>
        <v/>
      </c>
      <c r="E604" s="6" t="str">
        <f>IF(ISNA(MATCH(591,Engine!$C$2:$C$1199,0)),"",INDEX('Compliance Database'!$E$2:$E$1199,MATCH(591,Engine!$C$2:$C$1199,0)))</f>
        <v/>
      </c>
      <c r="F604" s="6" t="str">
        <f>IF(ISNA(MATCH(591,Engine!$C$2:$C$1199,0)),"",INDEX('Compliance Database'!$F$2:$F$1199,MATCH(591,Engine!$C$2:$C$1199,0)))</f>
        <v/>
      </c>
      <c r="G604" s="6" t="str">
        <f>IF(ISNA(MATCH(591,Engine!$C$2:$C$1199,0)),"",INDEX('Compliance Database'!$G$2:$G$1199,MATCH(591,Engine!$C$2:$C$1199,0)))</f>
        <v/>
      </c>
      <c r="H604" s="7" t="str">
        <f>IF(ISNA(MATCH(591,Engine!$C$2:$C$1199,0)),"",INDEX('Compliance Database'!$H$2:$H$1199,MATCH(591,Engine!$C$2:$C$1199,0)))</f>
        <v/>
      </c>
      <c r="I604" s="7" t="str">
        <f>IF(ISNA(MATCH(591,Engine!$C$2:$C$1199,0)),"",INDEX('Compliance Database'!$I$2:$I$1199,MATCH(591,Engine!$C$2:$C$1199,0)))</f>
        <v/>
      </c>
      <c r="J604" s="6" t="str">
        <f>IF(ISNA(MATCH(591,Engine!$C$2:$C$1199,0)),"",INDEX('Compliance Database'!$J$2:$J$1199,MATCH(591,Engine!$C$2:$C$1199,0)))</f>
        <v/>
      </c>
      <c r="K604" s="7" t="str">
        <f>IF(ISNA(MATCH(591,Engine!$C$2:$C$1199,0)),"",INDEX('Compliance Database'!$K$2:$K$1199,MATCH(591,Engine!$C$2:$C$1199,0)))</f>
        <v/>
      </c>
      <c r="L604" s="7" t="str">
        <f>IF(ISNA(MATCH(591,Engine!$C$2:$C$1199,0)),"",INDEX('Compliance Database'!$L$2:$L$1199,MATCH(591,Engine!$C$2:$C$1199,0)))</f>
        <v/>
      </c>
      <c r="M604" s="7" t="str">
        <f>IF(ISNA(MATCH(591,Engine!$C$2:$C$1199,0)),"",INDEX('Compliance Database'!$M$2:$M$1199,MATCH(591,Engine!$C$2:$C$1199,0)))</f>
        <v/>
      </c>
      <c r="N604" s="7" t="str">
        <f>IF(ISNA(MATCH(591,Engine!$C$2:$C$1199,0)),"",INDEX('Compliance Database'!$N$2:$N$1199,MATCH(591,Engine!$C$2:$C$1199,0)))</f>
        <v/>
      </c>
      <c r="O604" s="7" t="str">
        <f>IF(ISNA(MATCH(591,Engine!$C$2:$C$1199,0)),"",INDEX('Compliance Database'!$O$2:$O$1199,MATCH(591,Engine!$C$2:$C$1199,0)))</f>
        <v/>
      </c>
      <c r="P604" s="6" t="str">
        <f>IF(ISNA(MATCH(591,Engine!$C$2:$C$1199,0)),"",HYPERLINK("#Acts!A"&amp;INDEX('Compliance Database'!$P$2:$P$1199,MATCH(591,Engine!$C$2:$C$1199,0)),"Go to Act"))</f>
        <v/>
      </c>
    </row>
    <row r="605" spans="1:16" ht="172.95" customHeight="1" x14ac:dyDescent="0.3">
      <c r="A605" s="6" t="str">
        <f>IF(ISNA(MATCH(592,Engine!$C$2:$C$1199,0)),"",INDEX('Compliance Database'!$A$2:$A$1199,MATCH(592,Engine!$C$2:$C$1199,0)))</f>
        <v/>
      </c>
      <c r="B605" s="6" t="str">
        <f>IF(ISNA(MATCH(592,Engine!$C$2:$C$1199,0)),"",INDEX('Compliance Database'!$B$2:$B$1199,MATCH(592,Engine!$C$2:$C$1199,0)))</f>
        <v/>
      </c>
      <c r="C605" s="6" t="str">
        <f>IF(ISNA(MATCH(592,Engine!$C$2:$C$1199,0)),"",INDEX('Compliance Database'!$C$2:$C$1199,MATCH(592,Engine!$C$2:$C$1199,0)))</f>
        <v/>
      </c>
      <c r="D605" s="7" t="str">
        <f>IF(ISNA(MATCH(592,Engine!$C$2:$C$1199,0)),"",INDEX('Compliance Database'!$D$2:$D$1199,MATCH(592,Engine!$C$2:$C$1199,0)))</f>
        <v/>
      </c>
      <c r="E605" s="6" t="str">
        <f>IF(ISNA(MATCH(592,Engine!$C$2:$C$1199,0)),"",INDEX('Compliance Database'!$E$2:$E$1199,MATCH(592,Engine!$C$2:$C$1199,0)))</f>
        <v/>
      </c>
      <c r="F605" s="6" t="str">
        <f>IF(ISNA(MATCH(592,Engine!$C$2:$C$1199,0)),"",INDEX('Compliance Database'!$F$2:$F$1199,MATCH(592,Engine!$C$2:$C$1199,0)))</f>
        <v/>
      </c>
      <c r="G605" s="6" t="str">
        <f>IF(ISNA(MATCH(592,Engine!$C$2:$C$1199,0)),"",INDEX('Compliance Database'!$G$2:$G$1199,MATCH(592,Engine!$C$2:$C$1199,0)))</f>
        <v/>
      </c>
      <c r="H605" s="7" t="str">
        <f>IF(ISNA(MATCH(592,Engine!$C$2:$C$1199,0)),"",INDEX('Compliance Database'!$H$2:$H$1199,MATCH(592,Engine!$C$2:$C$1199,0)))</f>
        <v/>
      </c>
      <c r="I605" s="7" t="str">
        <f>IF(ISNA(MATCH(592,Engine!$C$2:$C$1199,0)),"",INDEX('Compliance Database'!$I$2:$I$1199,MATCH(592,Engine!$C$2:$C$1199,0)))</f>
        <v/>
      </c>
      <c r="J605" s="6" t="str">
        <f>IF(ISNA(MATCH(592,Engine!$C$2:$C$1199,0)),"",INDEX('Compliance Database'!$J$2:$J$1199,MATCH(592,Engine!$C$2:$C$1199,0)))</f>
        <v/>
      </c>
      <c r="K605" s="7" t="str">
        <f>IF(ISNA(MATCH(592,Engine!$C$2:$C$1199,0)),"",INDEX('Compliance Database'!$K$2:$K$1199,MATCH(592,Engine!$C$2:$C$1199,0)))</f>
        <v/>
      </c>
      <c r="L605" s="7" t="str">
        <f>IF(ISNA(MATCH(592,Engine!$C$2:$C$1199,0)),"",INDEX('Compliance Database'!$L$2:$L$1199,MATCH(592,Engine!$C$2:$C$1199,0)))</f>
        <v/>
      </c>
      <c r="M605" s="7" t="str">
        <f>IF(ISNA(MATCH(592,Engine!$C$2:$C$1199,0)),"",INDEX('Compliance Database'!$M$2:$M$1199,MATCH(592,Engine!$C$2:$C$1199,0)))</f>
        <v/>
      </c>
      <c r="N605" s="7" t="str">
        <f>IF(ISNA(MATCH(592,Engine!$C$2:$C$1199,0)),"",INDEX('Compliance Database'!$N$2:$N$1199,MATCH(592,Engine!$C$2:$C$1199,0)))</f>
        <v/>
      </c>
      <c r="O605" s="7" t="str">
        <f>IF(ISNA(MATCH(592,Engine!$C$2:$C$1199,0)),"",INDEX('Compliance Database'!$O$2:$O$1199,MATCH(592,Engine!$C$2:$C$1199,0)))</f>
        <v/>
      </c>
      <c r="P605" s="6" t="str">
        <f>IF(ISNA(MATCH(592,Engine!$C$2:$C$1199,0)),"",HYPERLINK("#Acts!A"&amp;INDEX('Compliance Database'!$P$2:$P$1199,MATCH(592,Engine!$C$2:$C$1199,0)),"Go to Act"))</f>
        <v/>
      </c>
    </row>
    <row r="606" spans="1:16" ht="172.95" customHeight="1" x14ac:dyDescent="0.3">
      <c r="A606" s="6" t="str">
        <f>IF(ISNA(MATCH(593,Engine!$C$2:$C$1199,0)),"",INDEX('Compliance Database'!$A$2:$A$1199,MATCH(593,Engine!$C$2:$C$1199,0)))</f>
        <v/>
      </c>
      <c r="B606" s="6" t="str">
        <f>IF(ISNA(MATCH(593,Engine!$C$2:$C$1199,0)),"",INDEX('Compliance Database'!$B$2:$B$1199,MATCH(593,Engine!$C$2:$C$1199,0)))</f>
        <v/>
      </c>
      <c r="C606" s="6" t="str">
        <f>IF(ISNA(MATCH(593,Engine!$C$2:$C$1199,0)),"",INDEX('Compliance Database'!$C$2:$C$1199,MATCH(593,Engine!$C$2:$C$1199,0)))</f>
        <v/>
      </c>
      <c r="D606" s="7" t="str">
        <f>IF(ISNA(MATCH(593,Engine!$C$2:$C$1199,0)),"",INDEX('Compliance Database'!$D$2:$D$1199,MATCH(593,Engine!$C$2:$C$1199,0)))</f>
        <v/>
      </c>
      <c r="E606" s="6" t="str">
        <f>IF(ISNA(MATCH(593,Engine!$C$2:$C$1199,0)),"",INDEX('Compliance Database'!$E$2:$E$1199,MATCH(593,Engine!$C$2:$C$1199,0)))</f>
        <v/>
      </c>
      <c r="F606" s="6" t="str">
        <f>IF(ISNA(MATCH(593,Engine!$C$2:$C$1199,0)),"",INDEX('Compliance Database'!$F$2:$F$1199,MATCH(593,Engine!$C$2:$C$1199,0)))</f>
        <v/>
      </c>
      <c r="G606" s="6" t="str">
        <f>IF(ISNA(MATCH(593,Engine!$C$2:$C$1199,0)),"",INDEX('Compliance Database'!$G$2:$G$1199,MATCH(593,Engine!$C$2:$C$1199,0)))</f>
        <v/>
      </c>
      <c r="H606" s="7" t="str">
        <f>IF(ISNA(MATCH(593,Engine!$C$2:$C$1199,0)),"",INDEX('Compliance Database'!$H$2:$H$1199,MATCH(593,Engine!$C$2:$C$1199,0)))</f>
        <v/>
      </c>
      <c r="I606" s="7" t="str">
        <f>IF(ISNA(MATCH(593,Engine!$C$2:$C$1199,0)),"",INDEX('Compliance Database'!$I$2:$I$1199,MATCH(593,Engine!$C$2:$C$1199,0)))</f>
        <v/>
      </c>
      <c r="J606" s="6" t="str">
        <f>IF(ISNA(MATCH(593,Engine!$C$2:$C$1199,0)),"",INDEX('Compliance Database'!$J$2:$J$1199,MATCH(593,Engine!$C$2:$C$1199,0)))</f>
        <v/>
      </c>
      <c r="K606" s="7" t="str">
        <f>IF(ISNA(MATCH(593,Engine!$C$2:$C$1199,0)),"",INDEX('Compliance Database'!$K$2:$K$1199,MATCH(593,Engine!$C$2:$C$1199,0)))</f>
        <v/>
      </c>
      <c r="L606" s="7" t="str">
        <f>IF(ISNA(MATCH(593,Engine!$C$2:$C$1199,0)),"",INDEX('Compliance Database'!$L$2:$L$1199,MATCH(593,Engine!$C$2:$C$1199,0)))</f>
        <v/>
      </c>
      <c r="M606" s="7" t="str">
        <f>IF(ISNA(MATCH(593,Engine!$C$2:$C$1199,0)),"",INDEX('Compliance Database'!$M$2:$M$1199,MATCH(593,Engine!$C$2:$C$1199,0)))</f>
        <v/>
      </c>
      <c r="N606" s="7" t="str">
        <f>IF(ISNA(MATCH(593,Engine!$C$2:$C$1199,0)),"",INDEX('Compliance Database'!$N$2:$N$1199,MATCH(593,Engine!$C$2:$C$1199,0)))</f>
        <v/>
      </c>
      <c r="O606" s="7" t="str">
        <f>IF(ISNA(MATCH(593,Engine!$C$2:$C$1199,0)),"",INDEX('Compliance Database'!$O$2:$O$1199,MATCH(593,Engine!$C$2:$C$1199,0)))</f>
        <v/>
      </c>
      <c r="P606" s="6" t="str">
        <f>IF(ISNA(MATCH(593,Engine!$C$2:$C$1199,0)),"",HYPERLINK("#Acts!A"&amp;INDEX('Compliance Database'!$P$2:$P$1199,MATCH(593,Engine!$C$2:$C$1199,0)),"Go to Act"))</f>
        <v/>
      </c>
    </row>
    <row r="607" spans="1:16" ht="172.95" customHeight="1" x14ac:dyDescent="0.3">
      <c r="A607" s="6" t="str">
        <f>IF(ISNA(MATCH(594,Engine!$C$2:$C$1199,0)),"",INDEX('Compliance Database'!$A$2:$A$1199,MATCH(594,Engine!$C$2:$C$1199,0)))</f>
        <v/>
      </c>
      <c r="B607" s="6" t="str">
        <f>IF(ISNA(MATCH(594,Engine!$C$2:$C$1199,0)),"",INDEX('Compliance Database'!$B$2:$B$1199,MATCH(594,Engine!$C$2:$C$1199,0)))</f>
        <v/>
      </c>
      <c r="C607" s="6" t="str">
        <f>IF(ISNA(MATCH(594,Engine!$C$2:$C$1199,0)),"",INDEX('Compliance Database'!$C$2:$C$1199,MATCH(594,Engine!$C$2:$C$1199,0)))</f>
        <v/>
      </c>
      <c r="D607" s="7" t="str">
        <f>IF(ISNA(MATCH(594,Engine!$C$2:$C$1199,0)),"",INDEX('Compliance Database'!$D$2:$D$1199,MATCH(594,Engine!$C$2:$C$1199,0)))</f>
        <v/>
      </c>
      <c r="E607" s="6" t="str">
        <f>IF(ISNA(MATCH(594,Engine!$C$2:$C$1199,0)),"",INDEX('Compliance Database'!$E$2:$E$1199,MATCH(594,Engine!$C$2:$C$1199,0)))</f>
        <v/>
      </c>
      <c r="F607" s="6" t="str">
        <f>IF(ISNA(MATCH(594,Engine!$C$2:$C$1199,0)),"",INDEX('Compliance Database'!$F$2:$F$1199,MATCH(594,Engine!$C$2:$C$1199,0)))</f>
        <v/>
      </c>
      <c r="G607" s="6" t="str">
        <f>IF(ISNA(MATCH(594,Engine!$C$2:$C$1199,0)),"",INDEX('Compliance Database'!$G$2:$G$1199,MATCH(594,Engine!$C$2:$C$1199,0)))</f>
        <v/>
      </c>
      <c r="H607" s="7" t="str">
        <f>IF(ISNA(MATCH(594,Engine!$C$2:$C$1199,0)),"",INDEX('Compliance Database'!$H$2:$H$1199,MATCH(594,Engine!$C$2:$C$1199,0)))</f>
        <v/>
      </c>
      <c r="I607" s="7" t="str">
        <f>IF(ISNA(MATCH(594,Engine!$C$2:$C$1199,0)),"",INDEX('Compliance Database'!$I$2:$I$1199,MATCH(594,Engine!$C$2:$C$1199,0)))</f>
        <v/>
      </c>
      <c r="J607" s="6" t="str">
        <f>IF(ISNA(MATCH(594,Engine!$C$2:$C$1199,0)),"",INDEX('Compliance Database'!$J$2:$J$1199,MATCH(594,Engine!$C$2:$C$1199,0)))</f>
        <v/>
      </c>
      <c r="K607" s="7" t="str">
        <f>IF(ISNA(MATCH(594,Engine!$C$2:$C$1199,0)),"",INDEX('Compliance Database'!$K$2:$K$1199,MATCH(594,Engine!$C$2:$C$1199,0)))</f>
        <v/>
      </c>
      <c r="L607" s="7" t="str">
        <f>IF(ISNA(MATCH(594,Engine!$C$2:$C$1199,0)),"",INDEX('Compliance Database'!$L$2:$L$1199,MATCH(594,Engine!$C$2:$C$1199,0)))</f>
        <v/>
      </c>
      <c r="M607" s="7" t="str">
        <f>IF(ISNA(MATCH(594,Engine!$C$2:$C$1199,0)),"",INDEX('Compliance Database'!$M$2:$M$1199,MATCH(594,Engine!$C$2:$C$1199,0)))</f>
        <v/>
      </c>
      <c r="N607" s="7" t="str">
        <f>IF(ISNA(MATCH(594,Engine!$C$2:$C$1199,0)),"",INDEX('Compliance Database'!$N$2:$N$1199,MATCH(594,Engine!$C$2:$C$1199,0)))</f>
        <v/>
      </c>
      <c r="O607" s="7" t="str">
        <f>IF(ISNA(MATCH(594,Engine!$C$2:$C$1199,0)),"",INDEX('Compliance Database'!$O$2:$O$1199,MATCH(594,Engine!$C$2:$C$1199,0)))</f>
        <v/>
      </c>
      <c r="P607" s="6" t="str">
        <f>IF(ISNA(MATCH(594,Engine!$C$2:$C$1199,0)),"",HYPERLINK("#Acts!A"&amp;INDEX('Compliance Database'!$P$2:$P$1199,MATCH(594,Engine!$C$2:$C$1199,0)),"Go to Act"))</f>
        <v/>
      </c>
    </row>
    <row r="608" spans="1:16" ht="172.95" customHeight="1" x14ac:dyDescent="0.3">
      <c r="A608" s="6" t="str">
        <f>IF(ISNA(MATCH(595,Engine!$C$2:$C$1199,0)),"",INDEX('Compliance Database'!$A$2:$A$1199,MATCH(595,Engine!$C$2:$C$1199,0)))</f>
        <v/>
      </c>
      <c r="B608" s="6" t="str">
        <f>IF(ISNA(MATCH(595,Engine!$C$2:$C$1199,0)),"",INDEX('Compliance Database'!$B$2:$B$1199,MATCH(595,Engine!$C$2:$C$1199,0)))</f>
        <v/>
      </c>
      <c r="C608" s="6" t="str">
        <f>IF(ISNA(MATCH(595,Engine!$C$2:$C$1199,0)),"",INDEX('Compliance Database'!$C$2:$C$1199,MATCH(595,Engine!$C$2:$C$1199,0)))</f>
        <v/>
      </c>
      <c r="D608" s="7" t="str">
        <f>IF(ISNA(MATCH(595,Engine!$C$2:$C$1199,0)),"",INDEX('Compliance Database'!$D$2:$D$1199,MATCH(595,Engine!$C$2:$C$1199,0)))</f>
        <v/>
      </c>
      <c r="E608" s="6" t="str">
        <f>IF(ISNA(MATCH(595,Engine!$C$2:$C$1199,0)),"",INDEX('Compliance Database'!$E$2:$E$1199,MATCH(595,Engine!$C$2:$C$1199,0)))</f>
        <v/>
      </c>
      <c r="F608" s="6" t="str">
        <f>IF(ISNA(MATCH(595,Engine!$C$2:$C$1199,0)),"",INDEX('Compliance Database'!$F$2:$F$1199,MATCH(595,Engine!$C$2:$C$1199,0)))</f>
        <v/>
      </c>
      <c r="G608" s="6" t="str">
        <f>IF(ISNA(MATCH(595,Engine!$C$2:$C$1199,0)),"",INDEX('Compliance Database'!$G$2:$G$1199,MATCH(595,Engine!$C$2:$C$1199,0)))</f>
        <v/>
      </c>
      <c r="H608" s="7" t="str">
        <f>IF(ISNA(MATCH(595,Engine!$C$2:$C$1199,0)),"",INDEX('Compliance Database'!$H$2:$H$1199,MATCH(595,Engine!$C$2:$C$1199,0)))</f>
        <v/>
      </c>
      <c r="I608" s="7" t="str">
        <f>IF(ISNA(MATCH(595,Engine!$C$2:$C$1199,0)),"",INDEX('Compliance Database'!$I$2:$I$1199,MATCH(595,Engine!$C$2:$C$1199,0)))</f>
        <v/>
      </c>
      <c r="J608" s="6" t="str">
        <f>IF(ISNA(MATCH(595,Engine!$C$2:$C$1199,0)),"",INDEX('Compliance Database'!$J$2:$J$1199,MATCH(595,Engine!$C$2:$C$1199,0)))</f>
        <v/>
      </c>
      <c r="K608" s="7" t="str">
        <f>IF(ISNA(MATCH(595,Engine!$C$2:$C$1199,0)),"",INDEX('Compliance Database'!$K$2:$K$1199,MATCH(595,Engine!$C$2:$C$1199,0)))</f>
        <v/>
      </c>
      <c r="L608" s="7" t="str">
        <f>IF(ISNA(MATCH(595,Engine!$C$2:$C$1199,0)),"",INDEX('Compliance Database'!$L$2:$L$1199,MATCH(595,Engine!$C$2:$C$1199,0)))</f>
        <v/>
      </c>
      <c r="M608" s="7" t="str">
        <f>IF(ISNA(MATCH(595,Engine!$C$2:$C$1199,0)),"",INDEX('Compliance Database'!$M$2:$M$1199,MATCH(595,Engine!$C$2:$C$1199,0)))</f>
        <v/>
      </c>
      <c r="N608" s="7" t="str">
        <f>IF(ISNA(MATCH(595,Engine!$C$2:$C$1199,0)),"",INDEX('Compliance Database'!$N$2:$N$1199,MATCH(595,Engine!$C$2:$C$1199,0)))</f>
        <v/>
      </c>
      <c r="O608" s="7" t="str">
        <f>IF(ISNA(MATCH(595,Engine!$C$2:$C$1199,0)),"",INDEX('Compliance Database'!$O$2:$O$1199,MATCH(595,Engine!$C$2:$C$1199,0)))</f>
        <v/>
      </c>
      <c r="P608" s="6" t="str">
        <f>IF(ISNA(MATCH(595,Engine!$C$2:$C$1199,0)),"",HYPERLINK("#Acts!A"&amp;INDEX('Compliance Database'!$P$2:$P$1199,MATCH(595,Engine!$C$2:$C$1199,0)),"Go to Act"))</f>
        <v/>
      </c>
    </row>
    <row r="609" spans="1:16" ht="172.95" customHeight="1" x14ac:dyDescent="0.3">
      <c r="A609" s="6" t="str">
        <f>IF(ISNA(MATCH(596,Engine!$C$2:$C$1199,0)),"",INDEX('Compliance Database'!$A$2:$A$1199,MATCH(596,Engine!$C$2:$C$1199,0)))</f>
        <v/>
      </c>
      <c r="B609" s="6" t="str">
        <f>IF(ISNA(MATCH(596,Engine!$C$2:$C$1199,0)),"",INDEX('Compliance Database'!$B$2:$B$1199,MATCH(596,Engine!$C$2:$C$1199,0)))</f>
        <v/>
      </c>
      <c r="C609" s="6" t="str">
        <f>IF(ISNA(MATCH(596,Engine!$C$2:$C$1199,0)),"",INDEX('Compliance Database'!$C$2:$C$1199,MATCH(596,Engine!$C$2:$C$1199,0)))</f>
        <v/>
      </c>
      <c r="D609" s="7" t="str">
        <f>IF(ISNA(MATCH(596,Engine!$C$2:$C$1199,0)),"",INDEX('Compliance Database'!$D$2:$D$1199,MATCH(596,Engine!$C$2:$C$1199,0)))</f>
        <v/>
      </c>
      <c r="E609" s="6" t="str">
        <f>IF(ISNA(MATCH(596,Engine!$C$2:$C$1199,0)),"",INDEX('Compliance Database'!$E$2:$E$1199,MATCH(596,Engine!$C$2:$C$1199,0)))</f>
        <v/>
      </c>
      <c r="F609" s="6" t="str">
        <f>IF(ISNA(MATCH(596,Engine!$C$2:$C$1199,0)),"",INDEX('Compliance Database'!$F$2:$F$1199,MATCH(596,Engine!$C$2:$C$1199,0)))</f>
        <v/>
      </c>
      <c r="G609" s="6" t="str">
        <f>IF(ISNA(MATCH(596,Engine!$C$2:$C$1199,0)),"",INDEX('Compliance Database'!$G$2:$G$1199,MATCH(596,Engine!$C$2:$C$1199,0)))</f>
        <v/>
      </c>
      <c r="H609" s="7" t="str">
        <f>IF(ISNA(MATCH(596,Engine!$C$2:$C$1199,0)),"",INDEX('Compliance Database'!$H$2:$H$1199,MATCH(596,Engine!$C$2:$C$1199,0)))</f>
        <v/>
      </c>
      <c r="I609" s="7" t="str">
        <f>IF(ISNA(MATCH(596,Engine!$C$2:$C$1199,0)),"",INDEX('Compliance Database'!$I$2:$I$1199,MATCH(596,Engine!$C$2:$C$1199,0)))</f>
        <v/>
      </c>
      <c r="J609" s="6" t="str">
        <f>IF(ISNA(MATCH(596,Engine!$C$2:$C$1199,0)),"",INDEX('Compliance Database'!$J$2:$J$1199,MATCH(596,Engine!$C$2:$C$1199,0)))</f>
        <v/>
      </c>
      <c r="K609" s="7" t="str">
        <f>IF(ISNA(MATCH(596,Engine!$C$2:$C$1199,0)),"",INDEX('Compliance Database'!$K$2:$K$1199,MATCH(596,Engine!$C$2:$C$1199,0)))</f>
        <v/>
      </c>
      <c r="L609" s="7" t="str">
        <f>IF(ISNA(MATCH(596,Engine!$C$2:$C$1199,0)),"",INDEX('Compliance Database'!$L$2:$L$1199,MATCH(596,Engine!$C$2:$C$1199,0)))</f>
        <v/>
      </c>
      <c r="M609" s="7" t="str">
        <f>IF(ISNA(MATCH(596,Engine!$C$2:$C$1199,0)),"",INDEX('Compliance Database'!$M$2:$M$1199,MATCH(596,Engine!$C$2:$C$1199,0)))</f>
        <v/>
      </c>
      <c r="N609" s="7" t="str">
        <f>IF(ISNA(MATCH(596,Engine!$C$2:$C$1199,0)),"",INDEX('Compliance Database'!$N$2:$N$1199,MATCH(596,Engine!$C$2:$C$1199,0)))</f>
        <v/>
      </c>
      <c r="O609" s="7" t="str">
        <f>IF(ISNA(MATCH(596,Engine!$C$2:$C$1199,0)),"",INDEX('Compliance Database'!$O$2:$O$1199,MATCH(596,Engine!$C$2:$C$1199,0)))</f>
        <v/>
      </c>
      <c r="P609" s="6" t="str">
        <f>IF(ISNA(MATCH(596,Engine!$C$2:$C$1199,0)),"",HYPERLINK("#Acts!A"&amp;INDEX('Compliance Database'!$P$2:$P$1199,MATCH(596,Engine!$C$2:$C$1199,0)),"Go to Act"))</f>
        <v/>
      </c>
    </row>
    <row r="610" spans="1:16" ht="172.95" customHeight="1" x14ac:dyDescent="0.3">
      <c r="A610" s="6" t="str">
        <f>IF(ISNA(MATCH(597,Engine!$C$2:$C$1199,0)),"",INDEX('Compliance Database'!$A$2:$A$1199,MATCH(597,Engine!$C$2:$C$1199,0)))</f>
        <v/>
      </c>
      <c r="B610" s="6" t="str">
        <f>IF(ISNA(MATCH(597,Engine!$C$2:$C$1199,0)),"",INDEX('Compliance Database'!$B$2:$B$1199,MATCH(597,Engine!$C$2:$C$1199,0)))</f>
        <v/>
      </c>
      <c r="C610" s="6" t="str">
        <f>IF(ISNA(MATCH(597,Engine!$C$2:$C$1199,0)),"",INDEX('Compliance Database'!$C$2:$C$1199,MATCH(597,Engine!$C$2:$C$1199,0)))</f>
        <v/>
      </c>
      <c r="D610" s="7" t="str">
        <f>IF(ISNA(MATCH(597,Engine!$C$2:$C$1199,0)),"",INDEX('Compliance Database'!$D$2:$D$1199,MATCH(597,Engine!$C$2:$C$1199,0)))</f>
        <v/>
      </c>
      <c r="E610" s="6" t="str">
        <f>IF(ISNA(MATCH(597,Engine!$C$2:$C$1199,0)),"",INDEX('Compliance Database'!$E$2:$E$1199,MATCH(597,Engine!$C$2:$C$1199,0)))</f>
        <v/>
      </c>
      <c r="F610" s="6" t="str">
        <f>IF(ISNA(MATCH(597,Engine!$C$2:$C$1199,0)),"",INDEX('Compliance Database'!$F$2:$F$1199,MATCH(597,Engine!$C$2:$C$1199,0)))</f>
        <v/>
      </c>
      <c r="G610" s="6" t="str">
        <f>IF(ISNA(MATCH(597,Engine!$C$2:$C$1199,0)),"",INDEX('Compliance Database'!$G$2:$G$1199,MATCH(597,Engine!$C$2:$C$1199,0)))</f>
        <v/>
      </c>
      <c r="H610" s="7" t="str">
        <f>IF(ISNA(MATCH(597,Engine!$C$2:$C$1199,0)),"",INDEX('Compliance Database'!$H$2:$H$1199,MATCH(597,Engine!$C$2:$C$1199,0)))</f>
        <v/>
      </c>
      <c r="I610" s="7" t="str">
        <f>IF(ISNA(MATCH(597,Engine!$C$2:$C$1199,0)),"",INDEX('Compliance Database'!$I$2:$I$1199,MATCH(597,Engine!$C$2:$C$1199,0)))</f>
        <v/>
      </c>
      <c r="J610" s="6" t="str">
        <f>IF(ISNA(MATCH(597,Engine!$C$2:$C$1199,0)),"",INDEX('Compliance Database'!$J$2:$J$1199,MATCH(597,Engine!$C$2:$C$1199,0)))</f>
        <v/>
      </c>
      <c r="K610" s="7" t="str">
        <f>IF(ISNA(MATCH(597,Engine!$C$2:$C$1199,0)),"",INDEX('Compliance Database'!$K$2:$K$1199,MATCH(597,Engine!$C$2:$C$1199,0)))</f>
        <v/>
      </c>
      <c r="L610" s="7" t="str">
        <f>IF(ISNA(MATCH(597,Engine!$C$2:$C$1199,0)),"",INDEX('Compliance Database'!$L$2:$L$1199,MATCH(597,Engine!$C$2:$C$1199,0)))</f>
        <v/>
      </c>
      <c r="M610" s="7" t="str">
        <f>IF(ISNA(MATCH(597,Engine!$C$2:$C$1199,0)),"",INDEX('Compliance Database'!$M$2:$M$1199,MATCH(597,Engine!$C$2:$C$1199,0)))</f>
        <v/>
      </c>
      <c r="N610" s="7" t="str">
        <f>IF(ISNA(MATCH(597,Engine!$C$2:$C$1199,0)),"",INDEX('Compliance Database'!$N$2:$N$1199,MATCH(597,Engine!$C$2:$C$1199,0)))</f>
        <v/>
      </c>
      <c r="O610" s="7" t="str">
        <f>IF(ISNA(MATCH(597,Engine!$C$2:$C$1199,0)),"",INDEX('Compliance Database'!$O$2:$O$1199,MATCH(597,Engine!$C$2:$C$1199,0)))</f>
        <v/>
      </c>
      <c r="P610" s="6" t="str">
        <f>IF(ISNA(MATCH(597,Engine!$C$2:$C$1199,0)),"",HYPERLINK("#Acts!A"&amp;INDEX('Compliance Database'!$P$2:$P$1199,MATCH(597,Engine!$C$2:$C$1199,0)),"Go to Act"))</f>
        <v/>
      </c>
    </row>
    <row r="611" spans="1:16" ht="172.95" customHeight="1" x14ac:dyDescent="0.3">
      <c r="A611" s="6" t="str">
        <f>IF(ISNA(MATCH(598,Engine!$C$2:$C$1199,0)),"",INDEX('Compliance Database'!$A$2:$A$1199,MATCH(598,Engine!$C$2:$C$1199,0)))</f>
        <v/>
      </c>
      <c r="B611" s="6" t="str">
        <f>IF(ISNA(MATCH(598,Engine!$C$2:$C$1199,0)),"",INDEX('Compliance Database'!$B$2:$B$1199,MATCH(598,Engine!$C$2:$C$1199,0)))</f>
        <v/>
      </c>
      <c r="C611" s="6" t="str">
        <f>IF(ISNA(MATCH(598,Engine!$C$2:$C$1199,0)),"",INDEX('Compliance Database'!$C$2:$C$1199,MATCH(598,Engine!$C$2:$C$1199,0)))</f>
        <v/>
      </c>
      <c r="D611" s="7" t="str">
        <f>IF(ISNA(MATCH(598,Engine!$C$2:$C$1199,0)),"",INDEX('Compliance Database'!$D$2:$D$1199,MATCH(598,Engine!$C$2:$C$1199,0)))</f>
        <v/>
      </c>
      <c r="E611" s="6" t="str">
        <f>IF(ISNA(MATCH(598,Engine!$C$2:$C$1199,0)),"",INDEX('Compliance Database'!$E$2:$E$1199,MATCH(598,Engine!$C$2:$C$1199,0)))</f>
        <v/>
      </c>
      <c r="F611" s="6" t="str">
        <f>IF(ISNA(MATCH(598,Engine!$C$2:$C$1199,0)),"",INDEX('Compliance Database'!$F$2:$F$1199,MATCH(598,Engine!$C$2:$C$1199,0)))</f>
        <v/>
      </c>
      <c r="G611" s="6" t="str">
        <f>IF(ISNA(MATCH(598,Engine!$C$2:$C$1199,0)),"",INDEX('Compliance Database'!$G$2:$G$1199,MATCH(598,Engine!$C$2:$C$1199,0)))</f>
        <v/>
      </c>
      <c r="H611" s="7" t="str">
        <f>IF(ISNA(MATCH(598,Engine!$C$2:$C$1199,0)),"",INDEX('Compliance Database'!$H$2:$H$1199,MATCH(598,Engine!$C$2:$C$1199,0)))</f>
        <v/>
      </c>
      <c r="I611" s="7" t="str">
        <f>IF(ISNA(MATCH(598,Engine!$C$2:$C$1199,0)),"",INDEX('Compliance Database'!$I$2:$I$1199,MATCH(598,Engine!$C$2:$C$1199,0)))</f>
        <v/>
      </c>
      <c r="J611" s="6" t="str">
        <f>IF(ISNA(MATCH(598,Engine!$C$2:$C$1199,0)),"",INDEX('Compliance Database'!$J$2:$J$1199,MATCH(598,Engine!$C$2:$C$1199,0)))</f>
        <v/>
      </c>
      <c r="K611" s="7" t="str">
        <f>IF(ISNA(MATCH(598,Engine!$C$2:$C$1199,0)),"",INDEX('Compliance Database'!$K$2:$K$1199,MATCH(598,Engine!$C$2:$C$1199,0)))</f>
        <v/>
      </c>
      <c r="L611" s="7" t="str">
        <f>IF(ISNA(MATCH(598,Engine!$C$2:$C$1199,0)),"",INDEX('Compliance Database'!$L$2:$L$1199,MATCH(598,Engine!$C$2:$C$1199,0)))</f>
        <v/>
      </c>
      <c r="M611" s="7" t="str">
        <f>IF(ISNA(MATCH(598,Engine!$C$2:$C$1199,0)),"",INDEX('Compliance Database'!$M$2:$M$1199,MATCH(598,Engine!$C$2:$C$1199,0)))</f>
        <v/>
      </c>
      <c r="N611" s="7" t="str">
        <f>IF(ISNA(MATCH(598,Engine!$C$2:$C$1199,0)),"",INDEX('Compliance Database'!$N$2:$N$1199,MATCH(598,Engine!$C$2:$C$1199,0)))</f>
        <v/>
      </c>
      <c r="O611" s="7" t="str">
        <f>IF(ISNA(MATCH(598,Engine!$C$2:$C$1199,0)),"",INDEX('Compliance Database'!$O$2:$O$1199,MATCH(598,Engine!$C$2:$C$1199,0)))</f>
        <v/>
      </c>
      <c r="P611" s="6" t="str">
        <f>IF(ISNA(MATCH(598,Engine!$C$2:$C$1199,0)),"",HYPERLINK("#Acts!A"&amp;INDEX('Compliance Database'!$P$2:$P$1199,MATCH(598,Engine!$C$2:$C$1199,0)),"Go to Act"))</f>
        <v/>
      </c>
    </row>
    <row r="612" spans="1:16" ht="172.95" customHeight="1" x14ac:dyDescent="0.3">
      <c r="A612" s="6" t="str">
        <f>IF(ISNA(MATCH(599,Engine!$C$2:$C$1199,0)),"",INDEX('Compliance Database'!$A$2:$A$1199,MATCH(599,Engine!$C$2:$C$1199,0)))</f>
        <v/>
      </c>
      <c r="B612" s="6" t="str">
        <f>IF(ISNA(MATCH(599,Engine!$C$2:$C$1199,0)),"",INDEX('Compliance Database'!$B$2:$B$1199,MATCH(599,Engine!$C$2:$C$1199,0)))</f>
        <v/>
      </c>
      <c r="C612" s="6" t="str">
        <f>IF(ISNA(MATCH(599,Engine!$C$2:$C$1199,0)),"",INDEX('Compliance Database'!$C$2:$C$1199,MATCH(599,Engine!$C$2:$C$1199,0)))</f>
        <v/>
      </c>
      <c r="D612" s="7" t="str">
        <f>IF(ISNA(MATCH(599,Engine!$C$2:$C$1199,0)),"",INDEX('Compliance Database'!$D$2:$D$1199,MATCH(599,Engine!$C$2:$C$1199,0)))</f>
        <v/>
      </c>
      <c r="E612" s="6" t="str">
        <f>IF(ISNA(MATCH(599,Engine!$C$2:$C$1199,0)),"",INDEX('Compliance Database'!$E$2:$E$1199,MATCH(599,Engine!$C$2:$C$1199,0)))</f>
        <v/>
      </c>
      <c r="F612" s="6" t="str">
        <f>IF(ISNA(MATCH(599,Engine!$C$2:$C$1199,0)),"",INDEX('Compliance Database'!$F$2:$F$1199,MATCH(599,Engine!$C$2:$C$1199,0)))</f>
        <v/>
      </c>
      <c r="G612" s="6" t="str">
        <f>IF(ISNA(MATCH(599,Engine!$C$2:$C$1199,0)),"",INDEX('Compliance Database'!$G$2:$G$1199,MATCH(599,Engine!$C$2:$C$1199,0)))</f>
        <v/>
      </c>
      <c r="H612" s="7" t="str">
        <f>IF(ISNA(MATCH(599,Engine!$C$2:$C$1199,0)),"",INDEX('Compliance Database'!$H$2:$H$1199,MATCH(599,Engine!$C$2:$C$1199,0)))</f>
        <v/>
      </c>
      <c r="I612" s="7" t="str">
        <f>IF(ISNA(MATCH(599,Engine!$C$2:$C$1199,0)),"",INDEX('Compliance Database'!$I$2:$I$1199,MATCH(599,Engine!$C$2:$C$1199,0)))</f>
        <v/>
      </c>
      <c r="J612" s="6" t="str">
        <f>IF(ISNA(MATCH(599,Engine!$C$2:$C$1199,0)),"",INDEX('Compliance Database'!$J$2:$J$1199,MATCH(599,Engine!$C$2:$C$1199,0)))</f>
        <v/>
      </c>
      <c r="K612" s="7" t="str">
        <f>IF(ISNA(MATCH(599,Engine!$C$2:$C$1199,0)),"",INDEX('Compliance Database'!$K$2:$K$1199,MATCH(599,Engine!$C$2:$C$1199,0)))</f>
        <v/>
      </c>
      <c r="L612" s="7" t="str">
        <f>IF(ISNA(MATCH(599,Engine!$C$2:$C$1199,0)),"",INDEX('Compliance Database'!$L$2:$L$1199,MATCH(599,Engine!$C$2:$C$1199,0)))</f>
        <v/>
      </c>
      <c r="M612" s="7" t="str">
        <f>IF(ISNA(MATCH(599,Engine!$C$2:$C$1199,0)),"",INDEX('Compliance Database'!$M$2:$M$1199,MATCH(599,Engine!$C$2:$C$1199,0)))</f>
        <v/>
      </c>
      <c r="N612" s="7" t="str">
        <f>IF(ISNA(MATCH(599,Engine!$C$2:$C$1199,0)),"",INDEX('Compliance Database'!$N$2:$N$1199,MATCH(599,Engine!$C$2:$C$1199,0)))</f>
        <v/>
      </c>
      <c r="O612" s="7" t="str">
        <f>IF(ISNA(MATCH(599,Engine!$C$2:$C$1199,0)),"",INDEX('Compliance Database'!$O$2:$O$1199,MATCH(599,Engine!$C$2:$C$1199,0)))</f>
        <v/>
      </c>
      <c r="P612" s="6" t="str">
        <f>IF(ISNA(MATCH(599,Engine!$C$2:$C$1199,0)),"",HYPERLINK("#Acts!A"&amp;INDEX('Compliance Database'!$P$2:$P$1199,MATCH(599,Engine!$C$2:$C$1199,0)),"Go to Act"))</f>
        <v/>
      </c>
    </row>
    <row r="613" spans="1:16" ht="172.95" customHeight="1" x14ac:dyDescent="0.3">
      <c r="A613" s="6" t="str">
        <f>IF(ISNA(MATCH(600,Engine!$C$2:$C$1199,0)),"",INDEX('Compliance Database'!$A$2:$A$1199,MATCH(600,Engine!$C$2:$C$1199,0)))</f>
        <v/>
      </c>
      <c r="B613" s="6" t="str">
        <f>IF(ISNA(MATCH(600,Engine!$C$2:$C$1199,0)),"",INDEX('Compliance Database'!$B$2:$B$1199,MATCH(600,Engine!$C$2:$C$1199,0)))</f>
        <v/>
      </c>
      <c r="C613" s="6" t="str">
        <f>IF(ISNA(MATCH(600,Engine!$C$2:$C$1199,0)),"",INDEX('Compliance Database'!$C$2:$C$1199,MATCH(600,Engine!$C$2:$C$1199,0)))</f>
        <v/>
      </c>
      <c r="D613" s="7" t="str">
        <f>IF(ISNA(MATCH(600,Engine!$C$2:$C$1199,0)),"",INDEX('Compliance Database'!$D$2:$D$1199,MATCH(600,Engine!$C$2:$C$1199,0)))</f>
        <v/>
      </c>
      <c r="E613" s="6" t="str">
        <f>IF(ISNA(MATCH(600,Engine!$C$2:$C$1199,0)),"",INDEX('Compliance Database'!$E$2:$E$1199,MATCH(600,Engine!$C$2:$C$1199,0)))</f>
        <v/>
      </c>
      <c r="F613" s="6" t="str">
        <f>IF(ISNA(MATCH(600,Engine!$C$2:$C$1199,0)),"",INDEX('Compliance Database'!$F$2:$F$1199,MATCH(600,Engine!$C$2:$C$1199,0)))</f>
        <v/>
      </c>
      <c r="G613" s="6" t="str">
        <f>IF(ISNA(MATCH(600,Engine!$C$2:$C$1199,0)),"",INDEX('Compliance Database'!$G$2:$G$1199,MATCH(600,Engine!$C$2:$C$1199,0)))</f>
        <v/>
      </c>
      <c r="H613" s="7" t="str">
        <f>IF(ISNA(MATCH(600,Engine!$C$2:$C$1199,0)),"",INDEX('Compliance Database'!$H$2:$H$1199,MATCH(600,Engine!$C$2:$C$1199,0)))</f>
        <v/>
      </c>
      <c r="I613" s="7" t="str">
        <f>IF(ISNA(MATCH(600,Engine!$C$2:$C$1199,0)),"",INDEX('Compliance Database'!$I$2:$I$1199,MATCH(600,Engine!$C$2:$C$1199,0)))</f>
        <v/>
      </c>
      <c r="J613" s="6" t="str">
        <f>IF(ISNA(MATCH(600,Engine!$C$2:$C$1199,0)),"",INDEX('Compliance Database'!$J$2:$J$1199,MATCH(600,Engine!$C$2:$C$1199,0)))</f>
        <v/>
      </c>
      <c r="K613" s="7" t="str">
        <f>IF(ISNA(MATCH(600,Engine!$C$2:$C$1199,0)),"",INDEX('Compliance Database'!$K$2:$K$1199,MATCH(600,Engine!$C$2:$C$1199,0)))</f>
        <v/>
      </c>
      <c r="L613" s="7" t="str">
        <f>IF(ISNA(MATCH(600,Engine!$C$2:$C$1199,0)),"",INDEX('Compliance Database'!$L$2:$L$1199,MATCH(600,Engine!$C$2:$C$1199,0)))</f>
        <v/>
      </c>
      <c r="M613" s="7" t="str">
        <f>IF(ISNA(MATCH(600,Engine!$C$2:$C$1199,0)),"",INDEX('Compliance Database'!$M$2:$M$1199,MATCH(600,Engine!$C$2:$C$1199,0)))</f>
        <v/>
      </c>
      <c r="N613" s="7" t="str">
        <f>IF(ISNA(MATCH(600,Engine!$C$2:$C$1199,0)),"",INDEX('Compliance Database'!$N$2:$N$1199,MATCH(600,Engine!$C$2:$C$1199,0)))</f>
        <v/>
      </c>
      <c r="O613" s="7" t="str">
        <f>IF(ISNA(MATCH(600,Engine!$C$2:$C$1199,0)),"",INDEX('Compliance Database'!$O$2:$O$1199,MATCH(600,Engine!$C$2:$C$1199,0)))</f>
        <v/>
      </c>
      <c r="P613" s="6" t="str">
        <f>IF(ISNA(MATCH(600,Engine!$C$2:$C$1199,0)),"",HYPERLINK("#Acts!A"&amp;INDEX('Compliance Database'!$P$2:$P$1199,MATCH(600,Engine!$C$2:$C$1199,0)),"Go to Act"))</f>
        <v/>
      </c>
    </row>
    <row r="614" spans="1:16" ht="172.95" customHeight="1" x14ac:dyDescent="0.3">
      <c r="A614" s="6" t="str">
        <f>IF(ISNA(MATCH(601,Engine!$C$2:$C$1199,0)),"",INDEX('Compliance Database'!$A$2:$A$1199,MATCH(601,Engine!$C$2:$C$1199,0)))</f>
        <v/>
      </c>
      <c r="B614" s="6" t="str">
        <f>IF(ISNA(MATCH(601,Engine!$C$2:$C$1199,0)),"",INDEX('Compliance Database'!$B$2:$B$1199,MATCH(601,Engine!$C$2:$C$1199,0)))</f>
        <v/>
      </c>
      <c r="C614" s="6" t="str">
        <f>IF(ISNA(MATCH(601,Engine!$C$2:$C$1199,0)),"",INDEX('Compliance Database'!$C$2:$C$1199,MATCH(601,Engine!$C$2:$C$1199,0)))</f>
        <v/>
      </c>
      <c r="D614" s="7" t="str">
        <f>IF(ISNA(MATCH(601,Engine!$C$2:$C$1199,0)),"",INDEX('Compliance Database'!$D$2:$D$1199,MATCH(601,Engine!$C$2:$C$1199,0)))</f>
        <v/>
      </c>
      <c r="E614" s="6" t="str">
        <f>IF(ISNA(MATCH(601,Engine!$C$2:$C$1199,0)),"",INDEX('Compliance Database'!$E$2:$E$1199,MATCH(601,Engine!$C$2:$C$1199,0)))</f>
        <v/>
      </c>
      <c r="F614" s="6" t="str">
        <f>IF(ISNA(MATCH(601,Engine!$C$2:$C$1199,0)),"",INDEX('Compliance Database'!$F$2:$F$1199,MATCH(601,Engine!$C$2:$C$1199,0)))</f>
        <v/>
      </c>
      <c r="G614" s="6" t="str">
        <f>IF(ISNA(MATCH(601,Engine!$C$2:$C$1199,0)),"",INDEX('Compliance Database'!$G$2:$G$1199,MATCH(601,Engine!$C$2:$C$1199,0)))</f>
        <v/>
      </c>
      <c r="H614" s="7" t="str">
        <f>IF(ISNA(MATCH(601,Engine!$C$2:$C$1199,0)),"",INDEX('Compliance Database'!$H$2:$H$1199,MATCH(601,Engine!$C$2:$C$1199,0)))</f>
        <v/>
      </c>
      <c r="I614" s="7" t="str">
        <f>IF(ISNA(MATCH(601,Engine!$C$2:$C$1199,0)),"",INDEX('Compliance Database'!$I$2:$I$1199,MATCH(601,Engine!$C$2:$C$1199,0)))</f>
        <v/>
      </c>
      <c r="J614" s="6" t="str">
        <f>IF(ISNA(MATCH(601,Engine!$C$2:$C$1199,0)),"",INDEX('Compliance Database'!$J$2:$J$1199,MATCH(601,Engine!$C$2:$C$1199,0)))</f>
        <v/>
      </c>
      <c r="K614" s="7" t="str">
        <f>IF(ISNA(MATCH(601,Engine!$C$2:$C$1199,0)),"",INDEX('Compliance Database'!$K$2:$K$1199,MATCH(601,Engine!$C$2:$C$1199,0)))</f>
        <v/>
      </c>
      <c r="L614" s="7" t="str">
        <f>IF(ISNA(MATCH(601,Engine!$C$2:$C$1199,0)),"",INDEX('Compliance Database'!$L$2:$L$1199,MATCH(601,Engine!$C$2:$C$1199,0)))</f>
        <v/>
      </c>
      <c r="M614" s="7" t="str">
        <f>IF(ISNA(MATCH(601,Engine!$C$2:$C$1199,0)),"",INDEX('Compliance Database'!$M$2:$M$1199,MATCH(601,Engine!$C$2:$C$1199,0)))</f>
        <v/>
      </c>
      <c r="N614" s="7" t="str">
        <f>IF(ISNA(MATCH(601,Engine!$C$2:$C$1199,0)),"",INDEX('Compliance Database'!$N$2:$N$1199,MATCH(601,Engine!$C$2:$C$1199,0)))</f>
        <v/>
      </c>
      <c r="O614" s="7" t="str">
        <f>IF(ISNA(MATCH(601,Engine!$C$2:$C$1199,0)),"",INDEX('Compliance Database'!$O$2:$O$1199,MATCH(601,Engine!$C$2:$C$1199,0)))</f>
        <v/>
      </c>
      <c r="P614" s="6" t="str">
        <f>IF(ISNA(MATCH(601,Engine!$C$2:$C$1199,0)),"",HYPERLINK("#Acts!A"&amp;INDEX('Compliance Database'!$P$2:$P$1199,MATCH(601,Engine!$C$2:$C$1199,0)),"Go to Act"))</f>
        <v/>
      </c>
    </row>
    <row r="615" spans="1:16" ht="172.95" customHeight="1" x14ac:dyDescent="0.3">
      <c r="A615" s="6" t="str">
        <f>IF(ISNA(MATCH(602,Engine!$C$2:$C$1199,0)),"",INDEX('Compliance Database'!$A$2:$A$1199,MATCH(602,Engine!$C$2:$C$1199,0)))</f>
        <v/>
      </c>
      <c r="B615" s="6" t="str">
        <f>IF(ISNA(MATCH(602,Engine!$C$2:$C$1199,0)),"",INDEX('Compliance Database'!$B$2:$B$1199,MATCH(602,Engine!$C$2:$C$1199,0)))</f>
        <v/>
      </c>
      <c r="C615" s="6" t="str">
        <f>IF(ISNA(MATCH(602,Engine!$C$2:$C$1199,0)),"",INDEX('Compliance Database'!$C$2:$C$1199,MATCH(602,Engine!$C$2:$C$1199,0)))</f>
        <v/>
      </c>
      <c r="D615" s="7" t="str">
        <f>IF(ISNA(MATCH(602,Engine!$C$2:$C$1199,0)),"",INDEX('Compliance Database'!$D$2:$D$1199,MATCH(602,Engine!$C$2:$C$1199,0)))</f>
        <v/>
      </c>
      <c r="E615" s="6" t="str">
        <f>IF(ISNA(MATCH(602,Engine!$C$2:$C$1199,0)),"",INDEX('Compliance Database'!$E$2:$E$1199,MATCH(602,Engine!$C$2:$C$1199,0)))</f>
        <v/>
      </c>
      <c r="F615" s="6" t="str">
        <f>IF(ISNA(MATCH(602,Engine!$C$2:$C$1199,0)),"",INDEX('Compliance Database'!$F$2:$F$1199,MATCH(602,Engine!$C$2:$C$1199,0)))</f>
        <v/>
      </c>
      <c r="G615" s="6" t="str">
        <f>IF(ISNA(MATCH(602,Engine!$C$2:$C$1199,0)),"",INDEX('Compliance Database'!$G$2:$G$1199,MATCH(602,Engine!$C$2:$C$1199,0)))</f>
        <v/>
      </c>
      <c r="H615" s="7" t="str">
        <f>IF(ISNA(MATCH(602,Engine!$C$2:$C$1199,0)),"",INDEX('Compliance Database'!$H$2:$H$1199,MATCH(602,Engine!$C$2:$C$1199,0)))</f>
        <v/>
      </c>
      <c r="I615" s="7" t="str">
        <f>IF(ISNA(MATCH(602,Engine!$C$2:$C$1199,0)),"",INDEX('Compliance Database'!$I$2:$I$1199,MATCH(602,Engine!$C$2:$C$1199,0)))</f>
        <v/>
      </c>
      <c r="J615" s="6" t="str">
        <f>IF(ISNA(MATCH(602,Engine!$C$2:$C$1199,0)),"",INDEX('Compliance Database'!$J$2:$J$1199,MATCH(602,Engine!$C$2:$C$1199,0)))</f>
        <v/>
      </c>
      <c r="K615" s="7" t="str">
        <f>IF(ISNA(MATCH(602,Engine!$C$2:$C$1199,0)),"",INDEX('Compliance Database'!$K$2:$K$1199,MATCH(602,Engine!$C$2:$C$1199,0)))</f>
        <v/>
      </c>
      <c r="L615" s="7" t="str">
        <f>IF(ISNA(MATCH(602,Engine!$C$2:$C$1199,0)),"",INDEX('Compliance Database'!$L$2:$L$1199,MATCH(602,Engine!$C$2:$C$1199,0)))</f>
        <v/>
      </c>
      <c r="M615" s="7" t="str">
        <f>IF(ISNA(MATCH(602,Engine!$C$2:$C$1199,0)),"",INDEX('Compliance Database'!$M$2:$M$1199,MATCH(602,Engine!$C$2:$C$1199,0)))</f>
        <v/>
      </c>
      <c r="N615" s="7" t="str">
        <f>IF(ISNA(MATCH(602,Engine!$C$2:$C$1199,0)),"",INDEX('Compliance Database'!$N$2:$N$1199,MATCH(602,Engine!$C$2:$C$1199,0)))</f>
        <v/>
      </c>
      <c r="O615" s="7" t="str">
        <f>IF(ISNA(MATCH(602,Engine!$C$2:$C$1199,0)),"",INDEX('Compliance Database'!$O$2:$O$1199,MATCH(602,Engine!$C$2:$C$1199,0)))</f>
        <v/>
      </c>
      <c r="P615" s="6" t="str">
        <f>IF(ISNA(MATCH(602,Engine!$C$2:$C$1199,0)),"",HYPERLINK("#Acts!A"&amp;INDEX('Compliance Database'!$P$2:$P$1199,MATCH(602,Engine!$C$2:$C$1199,0)),"Go to Act"))</f>
        <v/>
      </c>
    </row>
    <row r="616" spans="1:16" ht="172.95" customHeight="1" x14ac:dyDescent="0.3">
      <c r="A616" s="6" t="str">
        <f>IF(ISNA(MATCH(603,Engine!$C$2:$C$1199,0)),"",INDEX('Compliance Database'!$A$2:$A$1199,MATCH(603,Engine!$C$2:$C$1199,0)))</f>
        <v/>
      </c>
      <c r="B616" s="6" t="str">
        <f>IF(ISNA(MATCH(603,Engine!$C$2:$C$1199,0)),"",INDEX('Compliance Database'!$B$2:$B$1199,MATCH(603,Engine!$C$2:$C$1199,0)))</f>
        <v/>
      </c>
      <c r="C616" s="6" t="str">
        <f>IF(ISNA(MATCH(603,Engine!$C$2:$C$1199,0)),"",INDEX('Compliance Database'!$C$2:$C$1199,MATCH(603,Engine!$C$2:$C$1199,0)))</f>
        <v/>
      </c>
      <c r="D616" s="7" t="str">
        <f>IF(ISNA(MATCH(603,Engine!$C$2:$C$1199,0)),"",INDEX('Compliance Database'!$D$2:$D$1199,MATCH(603,Engine!$C$2:$C$1199,0)))</f>
        <v/>
      </c>
      <c r="E616" s="6" t="str">
        <f>IF(ISNA(MATCH(603,Engine!$C$2:$C$1199,0)),"",INDEX('Compliance Database'!$E$2:$E$1199,MATCH(603,Engine!$C$2:$C$1199,0)))</f>
        <v/>
      </c>
      <c r="F616" s="6" t="str">
        <f>IF(ISNA(MATCH(603,Engine!$C$2:$C$1199,0)),"",INDEX('Compliance Database'!$F$2:$F$1199,MATCH(603,Engine!$C$2:$C$1199,0)))</f>
        <v/>
      </c>
      <c r="G616" s="6" t="str">
        <f>IF(ISNA(MATCH(603,Engine!$C$2:$C$1199,0)),"",INDEX('Compliance Database'!$G$2:$G$1199,MATCH(603,Engine!$C$2:$C$1199,0)))</f>
        <v/>
      </c>
      <c r="H616" s="7" t="str">
        <f>IF(ISNA(MATCH(603,Engine!$C$2:$C$1199,0)),"",INDEX('Compliance Database'!$H$2:$H$1199,MATCH(603,Engine!$C$2:$C$1199,0)))</f>
        <v/>
      </c>
      <c r="I616" s="7" t="str">
        <f>IF(ISNA(MATCH(603,Engine!$C$2:$C$1199,0)),"",INDEX('Compliance Database'!$I$2:$I$1199,MATCH(603,Engine!$C$2:$C$1199,0)))</f>
        <v/>
      </c>
      <c r="J616" s="6" t="str">
        <f>IF(ISNA(MATCH(603,Engine!$C$2:$C$1199,0)),"",INDEX('Compliance Database'!$J$2:$J$1199,MATCH(603,Engine!$C$2:$C$1199,0)))</f>
        <v/>
      </c>
      <c r="K616" s="7" t="str">
        <f>IF(ISNA(MATCH(603,Engine!$C$2:$C$1199,0)),"",INDEX('Compliance Database'!$K$2:$K$1199,MATCH(603,Engine!$C$2:$C$1199,0)))</f>
        <v/>
      </c>
      <c r="L616" s="7" t="str">
        <f>IF(ISNA(MATCH(603,Engine!$C$2:$C$1199,0)),"",INDEX('Compliance Database'!$L$2:$L$1199,MATCH(603,Engine!$C$2:$C$1199,0)))</f>
        <v/>
      </c>
      <c r="M616" s="7" t="str">
        <f>IF(ISNA(MATCH(603,Engine!$C$2:$C$1199,0)),"",INDEX('Compliance Database'!$M$2:$M$1199,MATCH(603,Engine!$C$2:$C$1199,0)))</f>
        <v/>
      </c>
      <c r="N616" s="7" t="str">
        <f>IF(ISNA(MATCH(603,Engine!$C$2:$C$1199,0)),"",INDEX('Compliance Database'!$N$2:$N$1199,MATCH(603,Engine!$C$2:$C$1199,0)))</f>
        <v/>
      </c>
      <c r="O616" s="7" t="str">
        <f>IF(ISNA(MATCH(603,Engine!$C$2:$C$1199,0)),"",INDEX('Compliance Database'!$O$2:$O$1199,MATCH(603,Engine!$C$2:$C$1199,0)))</f>
        <v/>
      </c>
      <c r="P616" s="6" t="str">
        <f>IF(ISNA(MATCH(603,Engine!$C$2:$C$1199,0)),"",HYPERLINK("#Acts!A"&amp;INDEX('Compliance Database'!$P$2:$P$1199,MATCH(603,Engine!$C$2:$C$1199,0)),"Go to Act"))</f>
        <v/>
      </c>
    </row>
    <row r="617" spans="1:16" ht="172.95" customHeight="1" x14ac:dyDescent="0.3">
      <c r="A617" s="6" t="str">
        <f>IF(ISNA(MATCH(604,Engine!$C$2:$C$1199,0)),"",INDEX('Compliance Database'!$A$2:$A$1199,MATCH(604,Engine!$C$2:$C$1199,0)))</f>
        <v/>
      </c>
      <c r="B617" s="6" t="str">
        <f>IF(ISNA(MATCH(604,Engine!$C$2:$C$1199,0)),"",INDEX('Compliance Database'!$B$2:$B$1199,MATCH(604,Engine!$C$2:$C$1199,0)))</f>
        <v/>
      </c>
      <c r="C617" s="6" t="str">
        <f>IF(ISNA(MATCH(604,Engine!$C$2:$C$1199,0)),"",INDEX('Compliance Database'!$C$2:$C$1199,MATCH(604,Engine!$C$2:$C$1199,0)))</f>
        <v/>
      </c>
      <c r="D617" s="7" t="str">
        <f>IF(ISNA(MATCH(604,Engine!$C$2:$C$1199,0)),"",INDEX('Compliance Database'!$D$2:$D$1199,MATCH(604,Engine!$C$2:$C$1199,0)))</f>
        <v/>
      </c>
      <c r="E617" s="6" t="str">
        <f>IF(ISNA(MATCH(604,Engine!$C$2:$C$1199,0)),"",INDEX('Compliance Database'!$E$2:$E$1199,MATCH(604,Engine!$C$2:$C$1199,0)))</f>
        <v/>
      </c>
      <c r="F617" s="6" t="str">
        <f>IF(ISNA(MATCH(604,Engine!$C$2:$C$1199,0)),"",INDEX('Compliance Database'!$F$2:$F$1199,MATCH(604,Engine!$C$2:$C$1199,0)))</f>
        <v/>
      </c>
      <c r="G617" s="6" t="str">
        <f>IF(ISNA(MATCH(604,Engine!$C$2:$C$1199,0)),"",INDEX('Compliance Database'!$G$2:$G$1199,MATCH(604,Engine!$C$2:$C$1199,0)))</f>
        <v/>
      </c>
      <c r="H617" s="7" t="str">
        <f>IF(ISNA(MATCH(604,Engine!$C$2:$C$1199,0)),"",INDEX('Compliance Database'!$H$2:$H$1199,MATCH(604,Engine!$C$2:$C$1199,0)))</f>
        <v/>
      </c>
      <c r="I617" s="7" t="str">
        <f>IF(ISNA(MATCH(604,Engine!$C$2:$C$1199,0)),"",INDEX('Compliance Database'!$I$2:$I$1199,MATCH(604,Engine!$C$2:$C$1199,0)))</f>
        <v/>
      </c>
      <c r="J617" s="6" t="str">
        <f>IF(ISNA(MATCH(604,Engine!$C$2:$C$1199,0)),"",INDEX('Compliance Database'!$J$2:$J$1199,MATCH(604,Engine!$C$2:$C$1199,0)))</f>
        <v/>
      </c>
      <c r="K617" s="7" t="str">
        <f>IF(ISNA(MATCH(604,Engine!$C$2:$C$1199,0)),"",INDEX('Compliance Database'!$K$2:$K$1199,MATCH(604,Engine!$C$2:$C$1199,0)))</f>
        <v/>
      </c>
      <c r="L617" s="7" t="str">
        <f>IF(ISNA(MATCH(604,Engine!$C$2:$C$1199,0)),"",INDEX('Compliance Database'!$L$2:$L$1199,MATCH(604,Engine!$C$2:$C$1199,0)))</f>
        <v/>
      </c>
      <c r="M617" s="7" t="str">
        <f>IF(ISNA(MATCH(604,Engine!$C$2:$C$1199,0)),"",INDEX('Compliance Database'!$M$2:$M$1199,MATCH(604,Engine!$C$2:$C$1199,0)))</f>
        <v/>
      </c>
      <c r="N617" s="7" t="str">
        <f>IF(ISNA(MATCH(604,Engine!$C$2:$C$1199,0)),"",INDEX('Compliance Database'!$N$2:$N$1199,MATCH(604,Engine!$C$2:$C$1199,0)))</f>
        <v/>
      </c>
      <c r="O617" s="7" t="str">
        <f>IF(ISNA(MATCH(604,Engine!$C$2:$C$1199,0)),"",INDEX('Compliance Database'!$O$2:$O$1199,MATCH(604,Engine!$C$2:$C$1199,0)))</f>
        <v/>
      </c>
      <c r="P617" s="6" t="str">
        <f>IF(ISNA(MATCH(604,Engine!$C$2:$C$1199,0)),"",HYPERLINK("#Acts!A"&amp;INDEX('Compliance Database'!$P$2:$P$1199,MATCH(604,Engine!$C$2:$C$1199,0)),"Go to Act"))</f>
        <v/>
      </c>
    </row>
    <row r="618" spans="1:16" ht="172.95" customHeight="1" x14ac:dyDescent="0.3">
      <c r="A618" s="6" t="str">
        <f>IF(ISNA(MATCH(605,Engine!$C$2:$C$1199,0)),"",INDEX('Compliance Database'!$A$2:$A$1199,MATCH(605,Engine!$C$2:$C$1199,0)))</f>
        <v/>
      </c>
      <c r="B618" s="6" t="str">
        <f>IF(ISNA(MATCH(605,Engine!$C$2:$C$1199,0)),"",INDEX('Compliance Database'!$B$2:$B$1199,MATCH(605,Engine!$C$2:$C$1199,0)))</f>
        <v/>
      </c>
      <c r="C618" s="6" t="str">
        <f>IF(ISNA(MATCH(605,Engine!$C$2:$C$1199,0)),"",INDEX('Compliance Database'!$C$2:$C$1199,MATCH(605,Engine!$C$2:$C$1199,0)))</f>
        <v/>
      </c>
      <c r="D618" s="7" t="str">
        <f>IF(ISNA(MATCH(605,Engine!$C$2:$C$1199,0)),"",INDEX('Compliance Database'!$D$2:$D$1199,MATCH(605,Engine!$C$2:$C$1199,0)))</f>
        <v/>
      </c>
      <c r="E618" s="6" t="str">
        <f>IF(ISNA(MATCH(605,Engine!$C$2:$C$1199,0)),"",INDEX('Compliance Database'!$E$2:$E$1199,MATCH(605,Engine!$C$2:$C$1199,0)))</f>
        <v/>
      </c>
      <c r="F618" s="6" t="str">
        <f>IF(ISNA(MATCH(605,Engine!$C$2:$C$1199,0)),"",INDEX('Compliance Database'!$F$2:$F$1199,MATCH(605,Engine!$C$2:$C$1199,0)))</f>
        <v/>
      </c>
      <c r="G618" s="6" t="str">
        <f>IF(ISNA(MATCH(605,Engine!$C$2:$C$1199,0)),"",INDEX('Compliance Database'!$G$2:$G$1199,MATCH(605,Engine!$C$2:$C$1199,0)))</f>
        <v/>
      </c>
      <c r="H618" s="7" t="str">
        <f>IF(ISNA(MATCH(605,Engine!$C$2:$C$1199,0)),"",INDEX('Compliance Database'!$H$2:$H$1199,MATCH(605,Engine!$C$2:$C$1199,0)))</f>
        <v/>
      </c>
      <c r="I618" s="7" t="str">
        <f>IF(ISNA(MATCH(605,Engine!$C$2:$C$1199,0)),"",INDEX('Compliance Database'!$I$2:$I$1199,MATCH(605,Engine!$C$2:$C$1199,0)))</f>
        <v/>
      </c>
      <c r="J618" s="6" t="str">
        <f>IF(ISNA(MATCH(605,Engine!$C$2:$C$1199,0)),"",INDEX('Compliance Database'!$J$2:$J$1199,MATCH(605,Engine!$C$2:$C$1199,0)))</f>
        <v/>
      </c>
      <c r="K618" s="7" t="str">
        <f>IF(ISNA(MATCH(605,Engine!$C$2:$C$1199,0)),"",INDEX('Compliance Database'!$K$2:$K$1199,MATCH(605,Engine!$C$2:$C$1199,0)))</f>
        <v/>
      </c>
      <c r="L618" s="7" t="str">
        <f>IF(ISNA(MATCH(605,Engine!$C$2:$C$1199,0)),"",INDEX('Compliance Database'!$L$2:$L$1199,MATCH(605,Engine!$C$2:$C$1199,0)))</f>
        <v/>
      </c>
      <c r="M618" s="7" t="str">
        <f>IF(ISNA(MATCH(605,Engine!$C$2:$C$1199,0)),"",INDEX('Compliance Database'!$M$2:$M$1199,MATCH(605,Engine!$C$2:$C$1199,0)))</f>
        <v/>
      </c>
      <c r="N618" s="7" t="str">
        <f>IF(ISNA(MATCH(605,Engine!$C$2:$C$1199,0)),"",INDEX('Compliance Database'!$N$2:$N$1199,MATCH(605,Engine!$C$2:$C$1199,0)))</f>
        <v/>
      </c>
      <c r="O618" s="7" t="str">
        <f>IF(ISNA(MATCH(605,Engine!$C$2:$C$1199,0)),"",INDEX('Compliance Database'!$O$2:$O$1199,MATCH(605,Engine!$C$2:$C$1199,0)))</f>
        <v/>
      </c>
      <c r="P618" s="6" t="str">
        <f>IF(ISNA(MATCH(605,Engine!$C$2:$C$1199,0)),"",HYPERLINK("#Acts!A"&amp;INDEX('Compliance Database'!$P$2:$P$1199,MATCH(605,Engine!$C$2:$C$1199,0)),"Go to Act"))</f>
        <v/>
      </c>
    </row>
    <row r="619" spans="1:16" ht="172.95" customHeight="1" x14ac:dyDescent="0.3">
      <c r="A619" s="6" t="str">
        <f>IF(ISNA(MATCH(606,Engine!$C$2:$C$1199,0)),"",INDEX('Compliance Database'!$A$2:$A$1199,MATCH(606,Engine!$C$2:$C$1199,0)))</f>
        <v/>
      </c>
      <c r="B619" s="6" t="str">
        <f>IF(ISNA(MATCH(606,Engine!$C$2:$C$1199,0)),"",INDEX('Compliance Database'!$B$2:$B$1199,MATCH(606,Engine!$C$2:$C$1199,0)))</f>
        <v/>
      </c>
      <c r="C619" s="6" t="str">
        <f>IF(ISNA(MATCH(606,Engine!$C$2:$C$1199,0)),"",INDEX('Compliance Database'!$C$2:$C$1199,MATCH(606,Engine!$C$2:$C$1199,0)))</f>
        <v/>
      </c>
      <c r="D619" s="7" t="str">
        <f>IF(ISNA(MATCH(606,Engine!$C$2:$C$1199,0)),"",INDEX('Compliance Database'!$D$2:$D$1199,MATCH(606,Engine!$C$2:$C$1199,0)))</f>
        <v/>
      </c>
      <c r="E619" s="6" t="str">
        <f>IF(ISNA(MATCH(606,Engine!$C$2:$C$1199,0)),"",INDEX('Compliance Database'!$E$2:$E$1199,MATCH(606,Engine!$C$2:$C$1199,0)))</f>
        <v/>
      </c>
      <c r="F619" s="6" t="str">
        <f>IF(ISNA(MATCH(606,Engine!$C$2:$C$1199,0)),"",INDEX('Compliance Database'!$F$2:$F$1199,MATCH(606,Engine!$C$2:$C$1199,0)))</f>
        <v/>
      </c>
      <c r="G619" s="6" t="str">
        <f>IF(ISNA(MATCH(606,Engine!$C$2:$C$1199,0)),"",INDEX('Compliance Database'!$G$2:$G$1199,MATCH(606,Engine!$C$2:$C$1199,0)))</f>
        <v/>
      </c>
      <c r="H619" s="7" t="str">
        <f>IF(ISNA(MATCH(606,Engine!$C$2:$C$1199,0)),"",INDEX('Compliance Database'!$H$2:$H$1199,MATCH(606,Engine!$C$2:$C$1199,0)))</f>
        <v/>
      </c>
      <c r="I619" s="7" t="str">
        <f>IF(ISNA(MATCH(606,Engine!$C$2:$C$1199,0)),"",INDEX('Compliance Database'!$I$2:$I$1199,MATCH(606,Engine!$C$2:$C$1199,0)))</f>
        <v/>
      </c>
      <c r="J619" s="6" t="str">
        <f>IF(ISNA(MATCH(606,Engine!$C$2:$C$1199,0)),"",INDEX('Compliance Database'!$J$2:$J$1199,MATCH(606,Engine!$C$2:$C$1199,0)))</f>
        <v/>
      </c>
      <c r="K619" s="7" t="str">
        <f>IF(ISNA(MATCH(606,Engine!$C$2:$C$1199,0)),"",INDEX('Compliance Database'!$K$2:$K$1199,MATCH(606,Engine!$C$2:$C$1199,0)))</f>
        <v/>
      </c>
      <c r="L619" s="7" t="str">
        <f>IF(ISNA(MATCH(606,Engine!$C$2:$C$1199,0)),"",INDEX('Compliance Database'!$L$2:$L$1199,MATCH(606,Engine!$C$2:$C$1199,0)))</f>
        <v/>
      </c>
      <c r="M619" s="7" t="str">
        <f>IF(ISNA(MATCH(606,Engine!$C$2:$C$1199,0)),"",INDEX('Compliance Database'!$M$2:$M$1199,MATCH(606,Engine!$C$2:$C$1199,0)))</f>
        <v/>
      </c>
      <c r="N619" s="7" t="str">
        <f>IF(ISNA(MATCH(606,Engine!$C$2:$C$1199,0)),"",INDEX('Compliance Database'!$N$2:$N$1199,MATCH(606,Engine!$C$2:$C$1199,0)))</f>
        <v/>
      </c>
      <c r="O619" s="7" t="str">
        <f>IF(ISNA(MATCH(606,Engine!$C$2:$C$1199,0)),"",INDEX('Compliance Database'!$O$2:$O$1199,MATCH(606,Engine!$C$2:$C$1199,0)))</f>
        <v/>
      </c>
      <c r="P619" s="6" t="str">
        <f>IF(ISNA(MATCH(606,Engine!$C$2:$C$1199,0)),"",HYPERLINK("#Acts!A"&amp;INDEX('Compliance Database'!$P$2:$P$1199,MATCH(606,Engine!$C$2:$C$1199,0)),"Go to Act"))</f>
        <v/>
      </c>
    </row>
    <row r="620" spans="1:16" ht="172.95" customHeight="1" x14ac:dyDescent="0.3">
      <c r="A620" s="6" t="str">
        <f>IF(ISNA(MATCH(607,Engine!$C$2:$C$1199,0)),"",INDEX('Compliance Database'!$A$2:$A$1199,MATCH(607,Engine!$C$2:$C$1199,0)))</f>
        <v/>
      </c>
      <c r="B620" s="6" t="str">
        <f>IF(ISNA(MATCH(607,Engine!$C$2:$C$1199,0)),"",INDEX('Compliance Database'!$B$2:$B$1199,MATCH(607,Engine!$C$2:$C$1199,0)))</f>
        <v/>
      </c>
      <c r="C620" s="6" t="str">
        <f>IF(ISNA(MATCH(607,Engine!$C$2:$C$1199,0)),"",INDEX('Compliance Database'!$C$2:$C$1199,MATCH(607,Engine!$C$2:$C$1199,0)))</f>
        <v/>
      </c>
      <c r="D620" s="7" t="str">
        <f>IF(ISNA(MATCH(607,Engine!$C$2:$C$1199,0)),"",INDEX('Compliance Database'!$D$2:$D$1199,MATCH(607,Engine!$C$2:$C$1199,0)))</f>
        <v/>
      </c>
      <c r="E620" s="6" t="str">
        <f>IF(ISNA(MATCH(607,Engine!$C$2:$C$1199,0)),"",INDEX('Compliance Database'!$E$2:$E$1199,MATCH(607,Engine!$C$2:$C$1199,0)))</f>
        <v/>
      </c>
      <c r="F620" s="6" t="str">
        <f>IF(ISNA(MATCH(607,Engine!$C$2:$C$1199,0)),"",INDEX('Compliance Database'!$F$2:$F$1199,MATCH(607,Engine!$C$2:$C$1199,0)))</f>
        <v/>
      </c>
      <c r="G620" s="6" t="str">
        <f>IF(ISNA(MATCH(607,Engine!$C$2:$C$1199,0)),"",INDEX('Compliance Database'!$G$2:$G$1199,MATCH(607,Engine!$C$2:$C$1199,0)))</f>
        <v/>
      </c>
      <c r="H620" s="7" t="str">
        <f>IF(ISNA(MATCH(607,Engine!$C$2:$C$1199,0)),"",INDEX('Compliance Database'!$H$2:$H$1199,MATCH(607,Engine!$C$2:$C$1199,0)))</f>
        <v/>
      </c>
      <c r="I620" s="7" t="str">
        <f>IF(ISNA(MATCH(607,Engine!$C$2:$C$1199,0)),"",INDEX('Compliance Database'!$I$2:$I$1199,MATCH(607,Engine!$C$2:$C$1199,0)))</f>
        <v/>
      </c>
      <c r="J620" s="6" t="str">
        <f>IF(ISNA(MATCH(607,Engine!$C$2:$C$1199,0)),"",INDEX('Compliance Database'!$J$2:$J$1199,MATCH(607,Engine!$C$2:$C$1199,0)))</f>
        <v/>
      </c>
      <c r="K620" s="7" t="str">
        <f>IF(ISNA(MATCH(607,Engine!$C$2:$C$1199,0)),"",INDEX('Compliance Database'!$K$2:$K$1199,MATCH(607,Engine!$C$2:$C$1199,0)))</f>
        <v/>
      </c>
      <c r="L620" s="7" t="str">
        <f>IF(ISNA(MATCH(607,Engine!$C$2:$C$1199,0)),"",INDEX('Compliance Database'!$L$2:$L$1199,MATCH(607,Engine!$C$2:$C$1199,0)))</f>
        <v/>
      </c>
      <c r="M620" s="7" t="str">
        <f>IF(ISNA(MATCH(607,Engine!$C$2:$C$1199,0)),"",INDEX('Compliance Database'!$M$2:$M$1199,MATCH(607,Engine!$C$2:$C$1199,0)))</f>
        <v/>
      </c>
      <c r="N620" s="7" t="str">
        <f>IF(ISNA(MATCH(607,Engine!$C$2:$C$1199,0)),"",INDEX('Compliance Database'!$N$2:$N$1199,MATCH(607,Engine!$C$2:$C$1199,0)))</f>
        <v/>
      </c>
      <c r="O620" s="7" t="str">
        <f>IF(ISNA(MATCH(607,Engine!$C$2:$C$1199,0)),"",INDEX('Compliance Database'!$O$2:$O$1199,MATCH(607,Engine!$C$2:$C$1199,0)))</f>
        <v/>
      </c>
      <c r="P620" s="6" t="str">
        <f>IF(ISNA(MATCH(607,Engine!$C$2:$C$1199,0)),"",HYPERLINK("#Acts!A"&amp;INDEX('Compliance Database'!$P$2:$P$1199,MATCH(607,Engine!$C$2:$C$1199,0)),"Go to Act"))</f>
        <v/>
      </c>
    </row>
    <row r="621" spans="1:16" ht="172.95" customHeight="1" x14ac:dyDescent="0.3">
      <c r="A621" s="6" t="str">
        <f>IF(ISNA(MATCH(608,Engine!$C$2:$C$1199,0)),"",INDEX('Compliance Database'!$A$2:$A$1199,MATCH(608,Engine!$C$2:$C$1199,0)))</f>
        <v/>
      </c>
      <c r="B621" s="6" t="str">
        <f>IF(ISNA(MATCH(608,Engine!$C$2:$C$1199,0)),"",INDEX('Compliance Database'!$B$2:$B$1199,MATCH(608,Engine!$C$2:$C$1199,0)))</f>
        <v/>
      </c>
      <c r="C621" s="6" t="str">
        <f>IF(ISNA(MATCH(608,Engine!$C$2:$C$1199,0)),"",INDEX('Compliance Database'!$C$2:$C$1199,MATCH(608,Engine!$C$2:$C$1199,0)))</f>
        <v/>
      </c>
      <c r="D621" s="7" t="str">
        <f>IF(ISNA(MATCH(608,Engine!$C$2:$C$1199,0)),"",INDEX('Compliance Database'!$D$2:$D$1199,MATCH(608,Engine!$C$2:$C$1199,0)))</f>
        <v/>
      </c>
      <c r="E621" s="6" t="str">
        <f>IF(ISNA(MATCH(608,Engine!$C$2:$C$1199,0)),"",INDEX('Compliance Database'!$E$2:$E$1199,MATCH(608,Engine!$C$2:$C$1199,0)))</f>
        <v/>
      </c>
      <c r="F621" s="6" t="str">
        <f>IF(ISNA(MATCH(608,Engine!$C$2:$C$1199,0)),"",INDEX('Compliance Database'!$F$2:$F$1199,MATCH(608,Engine!$C$2:$C$1199,0)))</f>
        <v/>
      </c>
      <c r="G621" s="6" t="str">
        <f>IF(ISNA(MATCH(608,Engine!$C$2:$C$1199,0)),"",INDEX('Compliance Database'!$G$2:$G$1199,MATCH(608,Engine!$C$2:$C$1199,0)))</f>
        <v/>
      </c>
      <c r="H621" s="7" t="str">
        <f>IF(ISNA(MATCH(608,Engine!$C$2:$C$1199,0)),"",INDEX('Compliance Database'!$H$2:$H$1199,MATCH(608,Engine!$C$2:$C$1199,0)))</f>
        <v/>
      </c>
      <c r="I621" s="7" t="str">
        <f>IF(ISNA(MATCH(608,Engine!$C$2:$C$1199,0)),"",INDEX('Compliance Database'!$I$2:$I$1199,MATCH(608,Engine!$C$2:$C$1199,0)))</f>
        <v/>
      </c>
      <c r="J621" s="6" t="str">
        <f>IF(ISNA(MATCH(608,Engine!$C$2:$C$1199,0)),"",INDEX('Compliance Database'!$J$2:$J$1199,MATCH(608,Engine!$C$2:$C$1199,0)))</f>
        <v/>
      </c>
      <c r="K621" s="7" t="str">
        <f>IF(ISNA(MATCH(608,Engine!$C$2:$C$1199,0)),"",INDEX('Compliance Database'!$K$2:$K$1199,MATCH(608,Engine!$C$2:$C$1199,0)))</f>
        <v/>
      </c>
      <c r="L621" s="7" t="str">
        <f>IF(ISNA(MATCH(608,Engine!$C$2:$C$1199,0)),"",INDEX('Compliance Database'!$L$2:$L$1199,MATCH(608,Engine!$C$2:$C$1199,0)))</f>
        <v/>
      </c>
      <c r="M621" s="7" t="str">
        <f>IF(ISNA(MATCH(608,Engine!$C$2:$C$1199,0)),"",INDEX('Compliance Database'!$M$2:$M$1199,MATCH(608,Engine!$C$2:$C$1199,0)))</f>
        <v/>
      </c>
      <c r="N621" s="7" t="str">
        <f>IF(ISNA(MATCH(608,Engine!$C$2:$C$1199,0)),"",INDEX('Compliance Database'!$N$2:$N$1199,MATCH(608,Engine!$C$2:$C$1199,0)))</f>
        <v/>
      </c>
      <c r="O621" s="7" t="str">
        <f>IF(ISNA(MATCH(608,Engine!$C$2:$C$1199,0)),"",INDEX('Compliance Database'!$O$2:$O$1199,MATCH(608,Engine!$C$2:$C$1199,0)))</f>
        <v/>
      </c>
      <c r="P621" s="6" t="str">
        <f>IF(ISNA(MATCH(608,Engine!$C$2:$C$1199,0)),"",HYPERLINK("#Acts!A"&amp;INDEX('Compliance Database'!$P$2:$P$1199,MATCH(608,Engine!$C$2:$C$1199,0)),"Go to Act"))</f>
        <v/>
      </c>
    </row>
    <row r="622" spans="1:16" ht="172.95" customHeight="1" x14ac:dyDescent="0.3">
      <c r="A622" s="6" t="str">
        <f>IF(ISNA(MATCH(609,Engine!$C$2:$C$1199,0)),"",INDEX('Compliance Database'!$A$2:$A$1199,MATCH(609,Engine!$C$2:$C$1199,0)))</f>
        <v/>
      </c>
      <c r="B622" s="6" t="str">
        <f>IF(ISNA(MATCH(609,Engine!$C$2:$C$1199,0)),"",INDEX('Compliance Database'!$B$2:$B$1199,MATCH(609,Engine!$C$2:$C$1199,0)))</f>
        <v/>
      </c>
      <c r="C622" s="6" t="str">
        <f>IF(ISNA(MATCH(609,Engine!$C$2:$C$1199,0)),"",INDEX('Compliance Database'!$C$2:$C$1199,MATCH(609,Engine!$C$2:$C$1199,0)))</f>
        <v/>
      </c>
      <c r="D622" s="7" t="str">
        <f>IF(ISNA(MATCH(609,Engine!$C$2:$C$1199,0)),"",INDEX('Compliance Database'!$D$2:$D$1199,MATCH(609,Engine!$C$2:$C$1199,0)))</f>
        <v/>
      </c>
      <c r="E622" s="6" t="str">
        <f>IF(ISNA(MATCH(609,Engine!$C$2:$C$1199,0)),"",INDEX('Compliance Database'!$E$2:$E$1199,MATCH(609,Engine!$C$2:$C$1199,0)))</f>
        <v/>
      </c>
      <c r="F622" s="6" t="str">
        <f>IF(ISNA(MATCH(609,Engine!$C$2:$C$1199,0)),"",INDEX('Compliance Database'!$F$2:$F$1199,MATCH(609,Engine!$C$2:$C$1199,0)))</f>
        <v/>
      </c>
      <c r="G622" s="6" t="str">
        <f>IF(ISNA(MATCH(609,Engine!$C$2:$C$1199,0)),"",INDEX('Compliance Database'!$G$2:$G$1199,MATCH(609,Engine!$C$2:$C$1199,0)))</f>
        <v/>
      </c>
      <c r="H622" s="7" t="str">
        <f>IF(ISNA(MATCH(609,Engine!$C$2:$C$1199,0)),"",INDEX('Compliance Database'!$H$2:$H$1199,MATCH(609,Engine!$C$2:$C$1199,0)))</f>
        <v/>
      </c>
      <c r="I622" s="7" t="str">
        <f>IF(ISNA(MATCH(609,Engine!$C$2:$C$1199,0)),"",INDEX('Compliance Database'!$I$2:$I$1199,MATCH(609,Engine!$C$2:$C$1199,0)))</f>
        <v/>
      </c>
      <c r="J622" s="6" t="str">
        <f>IF(ISNA(MATCH(609,Engine!$C$2:$C$1199,0)),"",INDEX('Compliance Database'!$J$2:$J$1199,MATCH(609,Engine!$C$2:$C$1199,0)))</f>
        <v/>
      </c>
      <c r="K622" s="7" t="str">
        <f>IF(ISNA(MATCH(609,Engine!$C$2:$C$1199,0)),"",INDEX('Compliance Database'!$K$2:$K$1199,MATCH(609,Engine!$C$2:$C$1199,0)))</f>
        <v/>
      </c>
      <c r="L622" s="7" t="str">
        <f>IF(ISNA(MATCH(609,Engine!$C$2:$C$1199,0)),"",INDEX('Compliance Database'!$L$2:$L$1199,MATCH(609,Engine!$C$2:$C$1199,0)))</f>
        <v/>
      </c>
      <c r="M622" s="7" t="str">
        <f>IF(ISNA(MATCH(609,Engine!$C$2:$C$1199,0)),"",INDEX('Compliance Database'!$M$2:$M$1199,MATCH(609,Engine!$C$2:$C$1199,0)))</f>
        <v/>
      </c>
      <c r="N622" s="7" t="str">
        <f>IF(ISNA(MATCH(609,Engine!$C$2:$C$1199,0)),"",INDEX('Compliance Database'!$N$2:$N$1199,MATCH(609,Engine!$C$2:$C$1199,0)))</f>
        <v/>
      </c>
      <c r="O622" s="7" t="str">
        <f>IF(ISNA(MATCH(609,Engine!$C$2:$C$1199,0)),"",INDEX('Compliance Database'!$O$2:$O$1199,MATCH(609,Engine!$C$2:$C$1199,0)))</f>
        <v/>
      </c>
      <c r="P622" s="6" t="str">
        <f>IF(ISNA(MATCH(609,Engine!$C$2:$C$1199,0)),"",HYPERLINK("#Acts!A"&amp;INDEX('Compliance Database'!$P$2:$P$1199,MATCH(609,Engine!$C$2:$C$1199,0)),"Go to Act"))</f>
        <v/>
      </c>
    </row>
    <row r="623" spans="1:16" ht="172.95" customHeight="1" x14ac:dyDescent="0.3">
      <c r="A623" s="6" t="str">
        <f>IF(ISNA(MATCH(610,Engine!$C$2:$C$1199,0)),"",INDEX('Compliance Database'!$A$2:$A$1199,MATCH(610,Engine!$C$2:$C$1199,0)))</f>
        <v/>
      </c>
      <c r="B623" s="6" t="str">
        <f>IF(ISNA(MATCH(610,Engine!$C$2:$C$1199,0)),"",INDEX('Compliance Database'!$B$2:$B$1199,MATCH(610,Engine!$C$2:$C$1199,0)))</f>
        <v/>
      </c>
      <c r="C623" s="6" t="str">
        <f>IF(ISNA(MATCH(610,Engine!$C$2:$C$1199,0)),"",INDEX('Compliance Database'!$C$2:$C$1199,MATCH(610,Engine!$C$2:$C$1199,0)))</f>
        <v/>
      </c>
      <c r="D623" s="7" t="str">
        <f>IF(ISNA(MATCH(610,Engine!$C$2:$C$1199,0)),"",INDEX('Compliance Database'!$D$2:$D$1199,MATCH(610,Engine!$C$2:$C$1199,0)))</f>
        <v/>
      </c>
      <c r="E623" s="6" t="str">
        <f>IF(ISNA(MATCH(610,Engine!$C$2:$C$1199,0)),"",INDEX('Compliance Database'!$E$2:$E$1199,MATCH(610,Engine!$C$2:$C$1199,0)))</f>
        <v/>
      </c>
      <c r="F623" s="6" t="str">
        <f>IF(ISNA(MATCH(610,Engine!$C$2:$C$1199,0)),"",INDEX('Compliance Database'!$F$2:$F$1199,MATCH(610,Engine!$C$2:$C$1199,0)))</f>
        <v/>
      </c>
      <c r="G623" s="6" t="str">
        <f>IF(ISNA(MATCH(610,Engine!$C$2:$C$1199,0)),"",INDEX('Compliance Database'!$G$2:$G$1199,MATCH(610,Engine!$C$2:$C$1199,0)))</f>
        <v/>
      </c>
      <c r="H623" s="7" t="str">
        <f>IF(ISNA(MATCH(610,Engine!$C$2:$C$1199,0)),"",INDEX('Compliance Database'!$H$2:$H$1199,MATCH(610,Engine!$C$2:$C$1199,0)))</f>
        <v/>
      </c>
      <c r="I623" s="7" t="str">
        <f>IF(ISNA(MATCH(610,Engine!$C$2:$C$1199,0)),"",INDEX('Compliance Database'!$I$2:$I$1199,MATCH(610,Engine!$C$2:$C$1199,0)))</f>
        <v/>
      </c>
      <c r="J623" s="6" t="str">
        <f>IF(ISNA(MATCH(610,Engine!$C$2:$C$1199,0)),"",INDEX('Compliance Database'!$J$2:$J$1199,MATCH(610,Engine!$C$2:$C$1199,0)))</f>
        <v/>
      </c>
      <c r="K623" s="7" t="str">
        <f>IF(ISNA(MATCH(610,Engine!$C$2:$C$1199,0)),"",INDEX('Compliance Database'!$K$2:$K$1199,MATCH(610,Engine!$C$2:$C$1199,0)))</f>
        <v/>
      </c>
      <c r="L623" s="7" t="str">
        <f>IF(ISNA(MATCH(610,Engine!$C$2:$C$1199,0)),"",INDEX('Compliance Database'!$L$2:$L$1199,MATCH(610,Engine!$C$2:$C$1199,0)))</f>
        <v/>
      </c>
      <c r="M623" s="7" t="str">
        <f>IF(ISNA(MATCH(610,Engine!$C$2:$C$1199,0)),"",INDEX('Compliance Database'!$M$2:$M$1199,MATCH(610,Engine!$C$2:$C$1199,0)))</f>
        <v/>
      </c>
      <c r="N623" s="7" t="str">
        <f>IF(ISNA(MATCH(610,Engine!$C$2:$C$1199,0)),"",INDEX('Compliance Database'!$N$2:$N$1199,MATCH(610,Engine!$C$2:$C$1199,0)))</f>
        <v/>
      </c>
      <c r="O623" s="7" t="str">
        <f>IF(ISNA(MATCH(610,Engine!$C$2:$C$1199,0)),"",INDEX('Compliance Database'!$O$2:$O$1199,MATCH(610,Engine!$C$2:$C$1199,0)))</f>
        <v/>
      </c>
      <c r="P623" s="6" t="str">
        <f>IF(ISNA(MATCH(610,Engine!$C$2:$C$1199,0)),"",HYPERLINK("#Acts!A"&amp;INDEX('Compliance Database'!$P$2:$P$1199,MATCH(610,Engine!$C$2:$C$1199,0)),"Go to Act"))</f>
        <v/>
      </c>
    </row>
    <row r="624" spans="1:16" ht="172.95" customHeight="1" x14ac:dyDescent="0.3">
      <c r="A624" s="6" t="str">
        <f>IF(ISNA(MATCH(611,Engine!$C$2:$C$1199,0)),"",INDEX('Compliance Database'!$A$2:$A$1199,MATCH(611,Engine!$C$2:$C$1199,0)))</f>
        <v/>
      </c>
      <c r="B624" s="6" t="str">
        <f>IF(ISNA(MATCH(611,Engine!$C$2:$C$1199,0)),"",INDEX('Compliance Database'!$B$2:$B$1199,MATCH(611,Engine!$C$2:$C$1199,0)))</f>
        <v/>
      </c>
      <c r="C624" s="6" t="str">
        <f>IF(ISNA(MATCH(611,Engine!$C$2:$C$1199,0)),"",INDEX('Compliance Database'!$C$2:$C$1199,MATCH(611,Engine!$C$2:$C$1199,0)))</f>
        <v/>
      </c>
      <c r="D624" s="7" t="str">
        <f>IF(ISNA(MATCH(611,Engine!$C$2:$C$1199,0)),"",INDEX('Compliance Database'!$D$2:$D$1199,MATCH(611,Engine!$C$2:$C$1199,0)))</f>
        <v/>
      </c>
      <c r="E624" s="6" t="str">
        <f>IF(ISNA(MATCH(611,Engine!$C$2:$C$1199,0)),"",INDEX('Compliance Database'!$E$2:$E$1199,MATCH(611,Engine!$C$2:$C$1199,0)))</f>
        <v/>
      </c>
      <c r="F624" s="6" t="str">
        <f>IF(ISNA(MATCH(611,Engine!$C$2:$C$1199,0)),"",INDEX('Compliance Database'!$F$2:$F$1199,MATCH(611,Engine!$C$2:$C$1199,0)))</f>
        <v/>
      </c>
      <c r="G624" s="6" t="str">
        <f>IF(ISNA(MATCH(611,Engine!$C$2:$C$1199,0)),"",INDEX('Compliance Database'!$G$2:$G$1199,MATCH(611,Engine!$C$2:$C$1199,0)))</f>
        <v/>
      </c>
      <c r="H624" s="7" t="str">
        <f>IF(ISNA(MATCH(611,Engine!$C$2:$C$1199,0)),"",INDEX('Compliance Database'!$H$2:$H$1199,MATCH(611,Engine!$C$2:$C$1199,0)))</f>
        <v/>
      </c>
      <c r="I624" s="7" t="str">
        <f>IF(ISNA(MATCH(611,Engine!$C$2:$C$1199,0)),"",INDEX('Compliance Database'!$I$2:$I$1199,MATCH(611,Engine!$C$2:$C$1199,0)))</f>
        <v/>
      </c>
      <c r="J624" s="6" t="str">
        <f>IF(ISNA(MATCH(611,Engine!$C$2:$C$1199,0)),"",INDEX('Compliance Database'!$J$2:$J$1199,MATCH(611,Engine!$C$2:$C$1199,0)))</f>
        <v/>
      </c>
      <c r="K624" s="7" t="str">
        <f>IF(ISNA(MATCH(611,Engine!$C$2:$C$1199,0)),"",INDEX('Compliance Database'!$K$2:$K$1199,MATCH(611,Engine!$C$2:$C$1199,0)))</f>
        <v/>
      </c>
      <c r="L624" s="7" t="str">
        <f>IF(ISNA(MATCH(611,Engine!$C$2:$C$1199,0)),"",INDEX('Compliance Database'!$L$2:$L$1199,MATCH(611,Engine!$C$2:$C$1199,0)))</f>
        <v/>
      </c>
      <c r="M624" s="7" t="str">
        <f>IF(ISNA(MATCH(611,Engine!$C$2:$C$1199,0)),"",INDEX('Compliance Database'!$M$2:$M$1199,MATCH(611,Engine!$C$2:$C$1199,0)))</f>
        <v/>
      </c>
      <c r="N624" s="7" t="str">
        <f>IF(ISNA(MATCH(611,Engine!$C$2:$C$1199,0)),"",INDEX('Compliance Database'!$N$2:$N$1199,MATCH(611,Engine!$C$2:$C$1199,0)))</f>
        <v/>
      </c>
      <c r="O624" s="7" t="str">
        <f>IF(ISNA(MATCH(611,Engine!$C$2:$C$1199,0)),"",INDEX('Compliance Database'!$O$2:$O$1199,MATCH(611,Engine!$C$2:$C$1199,0)))</f>
        <v/>
      </c>
      <c r="P624" s="6" t="str">
        <f>IF(ISNA(MATCH(611,Engine!$C$2:$C$1199,0)),"",HYPERLINK("#Acts!A"&amp;INDEX('Compliance Database'!$P$2:$P$1199,MATCH(611,Engine!$C$2:$C$1199,0)),"Go to Act"))</f>
        <v/>
      </c>
    </row>
    <row r="625" spans="1:16" ht="172.95" customHeight="1" x14ac:dyDescent="0.3">
      <c r="A625" s="6" t="str">
        <f>IF(ISNA(MATCH(612,Engine!$C$2:$C$1199,0)),"",INDEX('Compliance Database'!$A$2:$A$1199,MATCH(612,Engine!$C$2:$C$1199,0)))</f>
        <v/>
      </c>
      <c r="B625" s="6" t="str">
        <f>IF(ISNA(MATCH(612,Engine!$C$2:$C$1199,0)),"",INDEX('Compliance Database'!$B$2:$B$1199,MATCH(612,Engine!$C$2:$C$1199,0)))</f>
        <v/>
      </c>
      <c r="C625" s="6" t="str">
        <f>IF(ISNA(MATCH(612,Engine!$C$2:$C$1199,0)),"",INDEX('Compliance Database'!$C$2:$C$1199,MATCH(612,Engine!$C$2:$C$1199,0)))</f>
        <v/>
      </c>
      <c r="D625" s="7" t="str">
        <f>IF(ISNA(MATCH(612,Engine!$C$2:$C$1199,0)),"",INDEX('Compliance Database'!$D$2:$D$1199,MATCH(612,Engine!$C$2:$C$1199,0)))</f>
        <v/>
      </c>
      <c r="E625" s="6" t="str">
        <f>IF(ISNA(MATCH(612,Engine!$C$2:$C$1199,0)),"",INDEX('Compliance Database'!$E$2:$E$1199,MATCH(612,Engine!$C$2:$C$1199,0)))</f>
        <v/>
      </c>
      <c r="F625" s="6" t="str">
        <f>IF(ISNA(MATCH(612,Engine!$C$2:$C$1199,0)),"",INDEX('Compliance Database'!$F$2:$F$1199,MATCH(612,Engine!$C$2:$C$1199,0)))</f>
        <v/>
      </c>
      <c r="G625" s="6" t="str">
        <f>IF(ISNA(MATCH(612,Engine!$C$2:$C$1199,0)),"",INDEX('Compliance Database'!$G$2:$G$1199,MATCH(612,Engine!$C$2:$C$1199,0)))</f>
        <v/>
      </c>
      <c r="H625" s="7" t="str">
        <f>IF(ISNA(MATCH(612,Engine!$C$2:$C$1199,0)),"",INDEX('Compliance Database'!$H$2:$H$1199,MATCH(612,Engine!$C$2:$C$1199,0)))</f>
        <v/>
      </c>
      <c r="I625" s="7" t="str">
        <f>IF(ISNA(MATCH(612,Engine!$C$2:$C$1199,0)),"",INDEX('Compliance Database'!$I$2:$I$1199,MATCH(612,Engine!$C$2:$C$1199,0)))</f>
        <v/>
      </c>
      <c r="J625" s="6" t="str">
        <f>IF(ISNA(MATCH(612,Engine!$C$2:$C$1199,0)),"",INDEX('Compliance Database'!$J$2:$J$1199,MATCH(612,Engine!$C$2:$C$1199,0)))</f>
        <v/>
      </c>
      <c r="K625" s="7" t="str">
        <f>IF(ISNA(MATCH(612,Engine!$C$2:$C$1199,0)),"",INDEX('Compliance Database'!$K$2:$K$1199,MATCH(612,Engine!$C$2:$C$1199,0)))</f>
        <v/>
      </c>
      <c r="L625" s="7" t="str">
        <f>IF(ISNA(MATCH(612,Engine!$C$2:$C$1199,0)),"",INDEX('Compliance Database'!$L$2:$L$1199,MATCH(612,Engine!$C$2:$C$1199,0)))</f>
        <v/>
      </c>
      <c r="M625" s="7" t="str">
        <f>IF(ISNA(MATCH(612,Engine!$C$2:$C$1199,0)),"",INDEX('Compliance Database'!$M$2:$M$1199,MATCH(612,Engine!$C$2:$C$1199,0)))</f>
        <v/>
      </c>
      <c r="N625" s="7" t="str">
        <f>IF(ISNA(MATCH(612,Engine!$C$2:$C$1199,0)),"",INDEX('Compliance Database'!$N$2:$N$1199,MATCH(612,Engine!$C$2:$C$1199,0)))</f>
        <v/>
      </c>
      <c r="O625" s="7" t="str">
        <f>IF(ISNA(MATCH(612,Engine!$C$2:$C$1199,0)),"",INDEX('Compliance Database'!$O$2:$O$1199,MATCH(612,Engine!$C$2:$C$1199,0)))</f>
        <v/>
      </c>
      <c r="P625" s="6" t="str">
        <f>IF(ISNA(MATCH(612,Engine!$C$2:$C$1199,0)),"",HYPERLINK("#Acts!A"&amp;INDEX('Compliance Database'!$P$2:$P$1199,MATCH(612,Engine!$C$2:$C$1199,0)),"Go to Act"))</f>
        <v/>
      </c>
    </row>
    <row r="626" spans="1:16" ht="172.95" customHeight="1" x14ac:dyDescent="0.3">
      <c r="A626" s="6" t="str">
        <f>IF(ISNA(MATCH(613,Engine!$C$2:$C$1199,0)),"",INDEX('Compliance Database'!$A$2:$A$1199,MATCH(613,Engine!$C$2:$C$1199,0)))</f>
        <v/>
      </c>
      <c r="B626" s="6" t="str">
        <f>IF(ISNA(MATCH(613,Engine!$C$2:$C$1199,0)),"",INDEX('Compliance Database'!$B$2:$B$1199,MATCH(613,Engine!$C$2:$C$1199,0)))</f>
        <v/>
      </c>
      <c r="C626" s="6" t="str">
        <f>IF(ISNA(MATCH(613,Engine!$C$2:$C$1199,0)),"",INDEX('Compliance Database'!$C$2:$C$1199,MATCH(613,Engine!$C$2:$C$1199,0)))</f>
        <v/>
      </c>
      <c r="D626" s="7" t="str">
        <f>IF(ISNA(MATCH(613,Engine!$C$2:$C$1199,0)),"",INDEX('Compliance Database'!$D$2:$D$1199,MATCH(613,Engine!$C$2:$C$1199,0)))</f>
        <v/>
      </c>
      <c r="E626" s="6" t="str">
        <f>IF(ISNA(MATCH(613,Engine!$C$2:$C$1199,0)),"",INDEX('Compliance Database'!$E$2:$E$1199,MATCH(613,Engine!$C$2:$C$1199,0)))</f>
        <v/>
      </c>
      <c r="F626" s="6" t="str">
        <f>IF(ISNA(MATCH(613,Engine!$C$2:$C$1199,0)),"",INDEX('Compliance Database'!$F$2:$F$1199,MATCH(613,Engine!$C$2:$C$1199,0)))</f>
        <v/>
      </c>
      <c r="G626" s="6" t="str">
        <f>IF(ISNA(MATCH(613,Engine!$C$2:$C$1199,0)),"",INDEX('Compliance Database'!$G$2:$G$1199,MATCH(613,Engine!$C$2:$C$1199,0)))</f>
        <v/>
      </c>
      <c r="H626" s="7" t="str">
        <f>IF(ISNA(MATCH(613,Engine!$C$2:$C$1199,0)),"",INDEX('Compliance Database'!$H$2:$H$1199,MATCH(613,Engine!$C$2:$C$1199,0)))</f>
        <v/>
      </c>
      <c r="I626" s="7" t="str">
        <f>IF(ISNA(MATCH(613,Engine!$C$2:$C$1199,0)),"",INDEX('Compliance Database'!$I$2:$I$1199,MATCH(613,Engine!$C$2:$C$1199,0)))</f>
        <v/>
      </c>
      <c r="J626" s="6" t="str">
        <f>IF(ISNA(MATCH(613,Engine!$C$2:$C$1199,0)),"",INDEX('Compliance Database'!$J$2:$J$1199,MATCH(613,Engine!$C$2:$C$1199,0)))</f>
        <v/>
      </c>
      <c r="K626" s="7" t="str">
        <f>IF(ISNA(MATCH(613,Engine!$C$2:$C$1199,0)),"",INDEX('Compliance Database'!$K$2:$K$1199,MATCH(613,Engine!$C$2:$C$1199,0)))</f>
        <v/>
      </c>
      <c r="L626" s="7" t="str">
        <f>IF(ISNA(MATCH(613,Engine!$C$2:$C$1199,0)),"",INDEX('Compliance Database'!$L$2:$L$1199,MATCH(613,Engine!$C$2:$C$1199,0)))</f>
        <v/>
      </c>
      <c r="M626" s="7" t="str">
        <f>IF(ISNA(MATCH(613,Engine!$C$2:$C$1199,0)),"",INDEX('Compliance Database'!$M$2:$M$1199,MATCH(613,Engine!$C$2:$C$1199,0)))</f>
        <v/>
      </c>
      <c r="N626" s="7" t="str">
        <f>IF(ISNA(MATCH(613,Engine!$C$2:$C$1199,0)),"",INDEX('Compliance Database'!$N$2:$N$1199,MATCH(613,Engine!$C$2:$C$1199,0)))</f>
        <v/>
      </c>
      <c r="O626" s="7" t="str">
        <f>IF(ISNA(MATCH(613,Engine!$C$2:$C$1199,0)),"",INDEX('Compliance Database'!$O$2:$O$1199,MATCH(613,Engine!$C$2:$C$1199,0)))</f>
        <v/>
      </c>
      <c r="P626" s="6" t="str">
        <f>IF(ISNA(MATCH(613,Engine!$C$2:$C$1199,0)),"",HYPERLINK("#Acts!A"&amp;INDEX('Compliance Database'!$P$2:$P$1199,MATCH(613,Engine!$C$2:$C$1199,0)),"Go to Act"))</f>
        <v/>
      </c>
    </row>
    <row r="627" spans="1:16" ht="172.95" customHeight="1" x14ac:dyDescent="0.3">
      <c r="A627" s="6" t="str">
        <f>IF(ISNA(MATCH(614,Engine!$C$2:$C$1199,0)),"",INDEX('Compliance Database'!$A$2:$A$1199,MATCH(614,Engine!$C$2:$C$1199,0)))</f>
        <v/>
      </c>
      <c r="B627" s="6" t="str">
        <f>IF(ISNA(MATCH(614,Engine!$C$2:$C$1199,0)),"",INDEX('Compliance Database'!$B$2:$B$1199,MATCH(614,Engine!$C$2:$C$1199,0)))</f>
        <v/>
      </c>
      <c r="C627" s="6" t="str">
        <f>IF(ISNA(MATCH(614,Engine!$C$2:$C$1199,0)),"",INDEX('Compliance Database'!$C$2:$C$1199,MATCH(614,Engine!$C$2:$C$1199,0)))</f>
        <v/>
      </c>
      <c r="D627" s="7" t="str">
        <f>IF(ISNA(MATCH(614,Engine!$C$2:$C$1199,0)),"",INDEX('Compliance Database'!$D$2:$D$1199,MATCH(614,Engine!$C$2:$C$1199,0)))</f>
        <v/>
      </c>
      <c r="E627" s="6" t="str">
        <f>IF(ISNA(MATCH(614,Engine!$C$2:$C$1199,0)),"",INDEX('Compliance Database'!$E$2:$E$1199,MATCH(614,Engine!$C$2:$C$1199,0)))</f>
        <v/>
      </c>
      <c r="F627" s="6" t="str">
        <f>IF(ISNA(MATCH(614,Engine!$C$2:$C$1199,0)),"",INDEX('Compliance Database'!$F$2:$F$1199,MATCH(614,Engine!$C$2:$C$1199,0)))</f>
        <v/>
      </c>
      <c r="G627" s="6" t="str">
        <f>IF(ISNA(MATCH(614,Engine!$C$2:$C$1199,0)),"",INDEX('Compliance Database'!$G$2:$G$1199,MATCH(614,Engine!$C$2:$C$1199,0)))</f>
        <v/>
      </c>
      <c r="H627" s="7" t="str">
        <f>IF(ISNA(MATCH(614,Engine!$C$2:$C$1199,0)),"",INDEX('Compliance Database'!$H$2:$H$1199,MATCH(614,Engine!$C$2:$C$1199,0)))</f>
        <v/>
      </c>
      <c r="I627" s="7" t="str">
        <f>IF(ISNA(MATCH(614,Engine!$C$2:$C$1199,0)),"",INDEX('Compliance Database'!$I$2:$I$1199,MATCH(614,Engine!$C$2:$C$1199,0)))</f>
        <v/>
      </c>
      <c r="J627" s="6" t="str">
        <f>IF(ISNA(MATCH(614,Engine!$C$2:$C$1199,0)),"",INDEX('Compliance Database'!$J$2:$J$1199,MATCH(614,Engine!$C$2:$C$1199,0)))</f>
        <v/>
      </c>
      <c r="K627" s="7" t="str">
        <f>IF(ISNA(MATCH(614,Engine!$C$2:$C$1199,0)),"",INDEX('Compliance Database'!$K$2:$K$1199,MATCH(614,Engine!$C$2:$C$1199,0)))</f>
        <v/>
      </c>
      <c r="L627" s="7" t="str">
        <f>IF(ISNA(MATCH(614,Engine!$C$2:$C$1199,0)),"",INDEX('Compliance Database'!$L$2:$L$1199,MATCH(614,Engine!$C$2:$C$1199,0)))</f>
        <v/>
      </c>
      <c r="M627" s="7" t="str">
        <f>IF(ISNA(MATCH(614,Engine!$C$2:$C$1199,0)),"",INDEX('Compliance Database'!$M$2:$M$1199,MATCH(614,Engine!$C$2:$C$1199,0)))</f>
        <v/>
      </c>
      <c r="N627" s="7" t="str">
        <f>IF(ISNA(MATCH(614,Engine!$C$2:$C$1199,0)),"",INDEX('Compliance Database'!$N$2:$N$1199,MATCH(614,Engine!$C$2:$C$1199,0)))</f>
        <v/>
      </c>
      <c r="O627" s="7" t="str">
        <f>IF(ISNA(MATCH(614,Engine!$C$2:$C$1199,0)),"",INDEX('Compliance Database'!$O$2:$O$1199,MATCH(614,Engine!$C$2:$C$1199,0)))</f>
        <v/>
      </c>
      <c r="P627" s="6" t="str">
        <f>IF(ISNA(MATCH(614,Engine!$C$2:$C$1199,0)),"",HYPERLINK("#Acts!A"&amp;INDEX('Compliance Database'!$P$2:$P$1199,MATCH(614,Engine!$C$2:$C$1199,0)),"Go to Act"))</f>
        <v/>
      </c>
    </row>
    <row r="628" spans="1:16" ht="172.95" customHeight="1" x14ac:dyDescent="0.3">
      <c r="A628" s="6" t="str">
        <f>IF(ISNA(MATCH(615,Engine!$C$2:$C$1199,0)),"",INDEX('Compliance Database'!$A$2:$A$1199,MATCH(615,Engine!$C$2:$C$1199,0)))</f>
        <v/>
      </c>
      <c r="B628" s="6" t="str">
        <f>IF(ISNA(MATCH(615,Engine!$C$2:$C$1199,0)),"",INDEX('Compliance Database'!$B$2:$B$1199,MATCH(615,Engine!$C$2:$C$1199,0)))</f>
        <v/>
      </c>
      <c r="C628" s="6" t="str">
        <f>IF(ISNA(MATCH(615,Engine!$C$2:$C$1199,0)),"",INDEX('Compliance Database'!$C$2:$C$1199,MATCH(615,Engine!$C$2:$C$1199,0)))</f>
        <v/>
      </c>
      <c r="D628" s="7" t="str">
        <f>IF(ISNA(MATCH(615,Engine!$C$2:$C$1199,0)),"",INDEX('Compliance Database'!$D$2:$D$1199,MATCH(615,Engine!$C$2:$C$1199,0)))</f>
        <v/>
      </c>
      <c r="E628" s="6" t="str">
        <f>IF(ISNA(MATCH(615,Engine!$C$2:$C$1199,0)),"",INDEX('Compliance Database'!$E$2:$E$1199,MATCH(615,Engine!$C$2:$C$1199,0)))</f>
        <v/>
      </c>
      <c r="F628" s="6" t="str">
        <f>IF(ISNA(MATCH(615,Engine!$C$2:$C$1199,0)),"",INDEX('Compliance Database'!$F$2:$F$1199,MATCH(615,Engine!$C$2:$C$1199,0)))</f>
        <v/>
      </c>
      <c r="G628" s="6" t="str">
        <f>IF(ISNA(MATCH(615,Engine!$C$2:$C$1199,0)),"",INDEX('Compliance Database'!$G$2:$G$1199,MATCH(615,Engine!$C$2:$C$1199,0)))</f>
        <v/>
      </c>
      <c r="H628" s="7" t="str">
        <f>IF(ISNA(MATCH(615,Engine!$C$2:$C$1199,0)),"",INDEX('Compliance Database'!$H$2:$H$1199,MATCH(615,Engine!$C$2:$C$1199,0)))</f>
        <v/>
      </c>
      <c r="I628" s="7" t="str">
        <f>IF(ISNA(MATCH(615,Engine!$C$2:$C$1199,0)),"",INDEX('Compliance Database'!$I$2:$I$1199,MATCH(615,Engine!$C$2:$C$1199,0)))</f>
        <v/>
      </c>
      <c r="J628" s="6" t="str">
        <f>IF(ISNA(MATCH(615,Engine!$C$2:$C$1199,0)),"",INDEX('Compliance Database'!$J$2:$J$1199,MATCH(615,Engine!$C$2:$C$1199,0)))</f>
        <v/>
      </c>
      <c r="K628" s="7" t="str">
        <f>IF(ISNA(MATCH(615,Engine!$C$2:$C$1199,0)),"",INDEX('Compliance Database'!$K$2:$K$1199,MATCH(615,Engine!$C$2:$C$1199,0)))</f>
        <v/>
      </c>
      <c r="L628" s="7" t="str">
        <f>IF(ISNA(MATCH(615,Engine!$C$2:$C$1199,0)),"",INDEX('Compliance Database'!$L$2:$L$1199,MATCH(615,Engine!$C$2:$C$1199,0)))</f>
        <v/>
      </c>
      <c r="M628" s="7" t="str">
        <f>IF(ISNA(MATCH(615,Engine!$C$2:$C$1199,0)),"",INDEX('Compliance Database'!$M$2:$M$1199,MATCH(615,Engine!$C$2:$C$1199,0)))</f>
        <v/>
      </c>
      <c r="N628" s="7" t="str">
        <f>IF(ISNA(MATCH(615,Engine!$C$2:$C$1199,0)),"",INDEX('Compliance Database'!$N$2:$N$1199,MATCH(615,Engine!$C$2:$C$1199,0)))</f>
        <v/>
      </c>
      <c r="O628" s="7" t="str">
        <f>IF(ISNA(MATCH(615,Engine!$C$2:$C$1199,0)),"",INDEX('Compliance Database'!$O$2:$O$1199,MATCH(615,Engine!$C$2:$C$1199,0)))</f>
        <v/>
      </c>
      <c r="P628" s="6" t="str">
        <f>IF(ISNA(MATCH(615,Engine!$C$2:$C$1199,0)),"",HYPERLINK("#Acts!A"&amp;INDEX('Compliance Database'!$P$2:$P$1199,MATCH(615,Engine!$C$2:$C$1199,0)),"Go to Act"))</f>
        <v/>
      </c>
    </row>
    <row r="629" spans="1:16" ht="172.95" customHeight="1" x14ac:dyDescent="0.3">
      <c r="A629" s="6" t="str">
        <f>IF(ISNA(MATCH(616,Engine!$C$2:$C$1199,0)),"",INDEX('Compliance Database'!$A$2:$A$1199,MATCH(616,Engine!$C$2:$C$1199,0)))</f>
        <v/>
      </c>
      <c r="B629" s="6" t="str">
        <f>IF(ISNA(MATCH(616,Engine!$C$2:$C$1199,0)),"",INDEX('Compliance Database'!$B$2:$B$1199,MATCH(616,Engine!$C$2:$C$1199,0)))</f>
        <v/>
      </c>
      <c r="C629" s="6" t="str">
        <f>IF(ISNA(MATCH(616,Engine!$C$2:$C$1199,0)),"",INDEX('Compliance Database'!$C$2:$C$1199,MATCH(616,Engine!$C$2:$C$1199,0)))</f>
        <v/>
      </c>
      <c r="D629" s="7" t="str">
        <f>IF(ISNA(MATCH(616,Engine!$C$2:$C$1199,0)),"",INDEX('Compliance Database'!$D$2:$D$1199,MATCH(616,Engine!$C$2:$C$1199,0)))</f>
        <v/>
      </c>
      <c r="E629" s="6" t="str">
        <f>IF(ISNA(MATCH(616,Engine!$C$2:$C$1199,0)),"",INDEX('Compliance Database'!$E$2:$E$1199,MATCH(616,Engine!$C$2:$C$1199,0)))</f>
        <v/>
      </c>
      <c r="F629" s="6" t="str">
        <f>IF(ISNA(MATCH(616,Engine!$C$2:$C$1199,0)),"",INDEX('Compliance Database'!$F$2:$F$1199,MATCH(616,Engine!$C$2:$C$1199,0)))</f>
        <v/>
      </c>
      <c r="G629" s="6" t="str">
        <f>IF(ISNA(MATCH(616,Engine!$C$2:$C$1199,0)),"",INDEX('Compliance Database'!$G$2:$G$1199,MATCH(616,Engine!$C$2:$C$1199,0)))</f>
        <v/>
      </c>
      <c r="H629" s="7" t="str">
        <f>IF(ISNA(MATCH(616,Engine!$C$2:$C$1199,0)),"",INDEX('Compliance Database'!$H$2:$H$1199,MATCH(616,Engine!$C$2:$C$1199,0)))</f>
        <v/>
      </c>
      <c r="I629" s="7" t="str">
        <f>IF(ISNA(MATCH(616,Engine!$C$2:$C$1199,0)),"",INDEX('Compliance Database'!$I$2:$I$1199,MATCH(616,Engine!$C$2:$C$1199,0)))</f>
        <v/>
      </c>
      <c r="J629" s="6" t="str">
        <f>IF(ISNA(MATCH(616,Engine!$C$2:$C$1199,0)),"",INDEX('Compliance Database'!$J$2:$J$1199,MATCH(616,Engine!$C$2:$C$1199,0)))</f>
        <v/>
      </c>
      <c r="K629" s="7" t="str">
        <f>IF(ISNA(MATCH(616,Engine!$C$2:$C$1199,0)),"",INDEX('Compliance Database'!$K$2:$K$1199,MATCH(616,Engine!$C$2:$C$1199,0)))</f>
        <v/>
      </c>
      <c r="L629" s="7" t="str">
        <f>IF(ISNA(MATCH(616,Engine!$C$2:$C$1199,0)),"",INDEX('Compliance Database'!$L$2:$L$1199,MATCH(616,Engine!$C$2:$C$1199,0)))</f>
        <v/>
      </c>
      <c r="M629" s="7" t="str">
        <f>IF(ISNA(MATCH(616,Engine!$C$2:$C$1199,0)),"",INDEX('Compliance Database'!$M$2:$M$1199,MATCH(616,Engine!$C$2:$C$1199,0)))</f>
        <v/>
      </c>
      <c r="N629" s="7" t="str">
        <f>IF(ISNA(MATCH(616,Engine!$C$2:$C$1199,0)),"",INDEX('Compliance Database'!$N$2:$N$1199,MATCH(616,Engine!$C$2:$C$1199,0)))</f>
        <v/>
      </c>
      <c r="O629" s="7" t="str">
        <f>IF(ISNA(MATCH(616,Engine!$C$2:$C$1199,0)),"",INDEX('Compliance Database'!$O$2:$O$1199,MATCH(616,Engine!$C$2:$C$1199,0)))</f>
        <v/>
      </c>
      <c r="P629" s="6" t="str">
        <f>IF(ISNA(MATCH(616,Engine!$C$2:$C$1199,0)),"",HYPERLINK("#Acts!A"&amp;INDEX('Compliance Database'!$P$2:$P$1199,MATCH(616,Engine!$C$2:$C$1199,0)),"Go to Act"))</f>
        <v/>
      </c>
    </row>
    <row r="630" spans="1:16" ht="172.95" customHeight="1" x14ac:dyDescent="0.3">
      <c r="A630" s="6" t="str">
        <f>IF(ISNA(MATCH(617,Engine!$C$2:$C$1199,0)),"",INDEX('Compliance Database'!$A$2:$A$1199,MATCH(617,Engine!$C$2:$C$1199,0)))</f>
        <v/>
      </c>
      <c r="B630" s="6" t="str">
        <f>IF(ISNA(MATCH(617,Engine!$C$2:$C$1199,0)),"",INDEX('Compliance Database'!$B$2:$B$1199,MATCH(617,Engine!$C$2:$C$1199,0)))</f>
        <v/>
      </c>
      <c r="C630" s="6" t="str">
        <f>IF(ISNA(MATCH(617,Engine!$C$2:$C$1199,0)),"",INDEX('Compliance Database'!$C$2:$C$1199,MATCH(617,Engine!$C$2:$C$1199,0)))</f>
        <v/>
      </c>
      <c r="D630" s="7" t="str">
        <f>IF(ISNA(MATCH(617,Engine!$C$2:$C$1199,0)),"",INDEX('Compliance Database'!$D$2:$D$1199,MATCH(617,Engine!$C$2:$C$1199,0)))</f>
        <v/>
      </c>
      <c r="E630" s="6" t="str">
        <f>IF(ISNA(MATCH(617,Engine!$C$2:$C$1199,0)),"",INDEX('Compliance Database'!$E$2:$E$1199,MATCH(617,Engine!$C$2:$C$1199,0)))</f>
        <v/>
      </c>
      <c r="F630" s="6" t="str">
        <f>IF(ISNA(MATCH(617,Engine!$C$2:$C$1199,0)),"",INDEX('Compliance Database'!$F$2:$F$1199,MATCH(617,Engine!$C$2:$C$1199,0)))</f>
        <v/>
      </c>
      <c r="G630" s="6" t="str">
        <f>IF(ISNA(MATCH(617,Engine!$C$2:$C$1199,0)),"",INDEX('Compliance Database'!$G$2:$G$1199,MATCH(617,Engine!$C$2:$C$1199,0)))</f>
        <v/>
      </c>
      <c r="H630" s="7" t="str">
        <f>IF(ISNA(MATCH(617,Engine!$C$2:$C$1199,0)),"",INDEX('Compliance Database'!$H$2:$H$1199,MATCH(617,Engine!$C$2:$C$1199,0)))</f>
        <v/>
      </c>
      <c r="I630" s="7" t="str">
        <f>IF(ISNA(MATCH(617,Engine!$C$2:$C$1199,0)),"",INDEX('Compliance Database'!$I$2:$I$1199,MATCH(617,Engine!$C$2:$C$1199,0)))</f>
        <v/>
      </c>
      <c r="J630" s="6" t="str">
        <f>IF(ISNA(MATCH(617,Engine!$C$2:$C$1199,0)),"",INDEX('Compliance Database'!$J$2:$J$1199,MATCH(617,Engine!$C$2:$C$1199,0)))</f>
        <v/>
      </c>
      <c r="K630" s="7" t="str">
        <f>IF(ISNA(MATCH(617,Engine!$C$2:$C$1199,0)),"",INDEX('Compliance Database'!$K$2:$K$1199,MATCH(617,Engine!$C$2:$C$1199,0)))</f>
        <v/>
      </c>
      <c r="L630" s="7" t="str">
        <f>IF(ISNA(MATCH(617,Engine!$C$2:$C$1199,0)),"",INDEX('Compliance Database'!$L$2:$L$1199,MATCH(617,Engine!$C$2:$C$1199,0)))</f>
        <v/>
      </c>
      <c r="M630" s="7" t="str">
        <f>IF(ISNA(MATCH(617,Engine!$C$2:$C$1199,0)),"",INDEX('Compliance Database'!$M$2:$M$1199,MATCH(617,Engine!$C$2:$C$1199,0)))</f>
        <v/>
      </c>
      <c r="N630" s="7" t="str">
        <f>IF(ISNA(MATCH(617,Engine!$C$2:$C$1199,0)),"",INDEX('Compliance Database'!$N$2:$N$1199,MATCH(617,Engine!$C$2:$C$1199,0)))</f>
        <v/>
      </c>
      <c r="O630" s="7" t="str">
        <f>IF(ISNA(MATCH(617,Engine!$C$2:$C$1199,0)),"",INDEX('Compliance Database'!$O$2:$O$1199,MATCH(617,Engine!$C$2:$C$1199,0)))</f>
        <v/>
      </c>
      <c r="P630" s="6" t="str">
        <f>IF(ISNA(MATCH(617,Engine!$C$2:$C$1199,0)),"",HYPERLINK("#Acts!A"&amp;INDEX('Compliance Database'!$P$2:$P$1199,MATCH(617,Engine!$C$2:$C$1199,0)),"Go to Act"))</f>
        <v/>
      </c>
    </row>
    <row r="631" spans="1:16" ht="172.95" customHeight="1" x14ac:dyDescent="0.3">
      <c r="A631" s="6" t="str">
        <f>IF(ISNA(MATCH(618,Engine!$C$2:$C$1199,0)),"",INDEX('Compliance Database'!$A$2:$A$1199,MATCH(618,Engine!$C$2:$C$1199,0)))</f>
        <v/>
      </c>
      <c r="B631" s="6" t="str">
        <f>IF(ISNA(MATCH(618,Engine!$C$2:$C$1199,0)),"",INDEX('Compliance Database'!$B$2:$B$1199,MATCH(618,Engine!$C$2:$C$1199,0)))</f>
        <v/>
      </c>
      <c r="C631" s="6" t="str">
        <f>IF(ISNA(MATCH(618,Engine!$C$2:$C$1199,0)),"",INDEX('Compliance Database'!$C$2:$C$1199,MATCH(618,Engine!$C$2:$C$1199,0)))</f>
        <v/>
      </c>
      <c r="D631" s="7" t="str">
        <f>IF(ISNA(MATCH(618,Engine!$C$2:$C$1199,0)),"",INDEX('Compliance Database'!$D$2:$D$1199,MATCH(618,Engine!$C$2:$C$1199,0)))</f>
        <v/>
      </c>
      <c r="E631" s="6" t="str">
        <f>IF(ISNA(MATCH(618,Engine!$C$2:$C$1199,0)),"",INDEX('Compliance Database'!$E$2:$E$1199,MATCH(618,Engine!$C$2:$C$1199,0)))</f>
        <v/>
      </c>
      <c r="F631" s="6" t="str">
        <f>IF(ISNA(MATCH(618,Engine!$C$2:$C$1199,0)),"",INDEX('Compliance Database'!$F$2:$F$1199,MATCH(618,Engine!$C$2:$C$1199,0)))</f>
        <v/>
      </c>
      <c r="G631" s="6" t="str">
        <f>IF(ISNA(MATCH(618,Engine!$C$2:$C$1199,0)),"",INDEX('Compliance Database'!$G$2:$G$1199,MATCH(618,Engine!$C$2:$C$1199,0)))</f>
        <v/>
      </c>
      <c r="H631" s="7" t="str">
        <f>IF(ISNA(MATCH(618,Engine!$C$2:$C$1199,0)),"",INDEX('Compliance Database'!$H$2:$H$1199,MATCH(618,Engine!$C$2:$C$1199,0)))</f>
        <v/>
      </c>
      <c r="I631" s="7" t="str">
        <f>IF(ISNA(MATCH(618,Engine!$C$2:$C$1199,0)),"",INDEX('Compliance Database'!$I$2:$I$1199,MATCH(618,Engine!$C$2:$C$1199,0)))</f>
        <v/>
      </c>
      <c r="J631" s="6" t="str">
        <f>IF(ISNA(MATCH(618,Engine!$C$2:$C$1199,0)),"",INDEX('Compliance Database'!$J$2:$J$1199,MATCH(618,Engine!$C$2:$C$1199,0)))</f>
        <v/>
      </c>
      <c r="K631" s="7" t="str">
        <f>IF(ISNA(MATCH(618,Engine!$C$2:$C$1199,0)),"",INDEX('Compliance Database'!$K$2:$K$1199,MATCH(618,Engine!$C$2:$C$1199,0)))</f>
        <v/>
      </c>
      <c r="L631" s="7" t="str">
        <f>IF(ISNA(MATCH(618,Engine!$C$2:$C$1199,0)),"",INDEX('Compliance Database'!$L$2:$L$1199,MATCH(618,Engine!$C$2:$C$1199,0)))</f>
        <v/>
      </c>
      <c r="M631" s="7" t="str">
        <f>IF(ISNA(MATCH(618,Engine!$C$2:$C$1199,0)),"",INDEX('Compliance Database'!$M$2:$M$1199,MATCH(618,Engine!$C$2:$C$1199,0)))</f>
        <v/>
      </c>
      <c r="N631" s="7" t="str">
        <f>IF(ISNA(MATCH(618,Engine!$C$2:$C$1199,0)),"",INDEX('Compliance Database'!$N$2:$N$1199,MATCH(618,Engine!$C$2:$C$1199,0)))</f>
        <v/>
      </c>
      <c r="O631" s="7" t="str">
        <f>IF(ISNA(MATCH(618,Engine!$C$2:$C$1199,0)),"",INDEX('Compliance Database'!$O$2:$O$1199,MATCH(618,Engine!$C$2:$C$1199,0)))</f>
        <v/>
      </c>
      <c r="P631" s="6" t="str">
        <f>IF(ISNA(MATCH(618,Engine!$C$2:$C$1199,0)),"",HYPERLINK("#Acts!A"&amp;INDEX('Compliance Database'!$P$2:$P$1199,MATCH(618,Engine!$C$2:$C$1199,0)),"Go to Act"))</f>
        <v/>
      </c>
    </row>
    <row r="632" spans="1:16" ht="172.95" customHeight="1" x14ac:dyDescent="0.3">
      <c r="A632" s="6" t="str">
        <f>IF(ISNA(MATCH(619,Engine!$C$2:$C$1199,0)),"",INDEX('Compliance Database'!$A$2:$A$1199,MATCH(619,Engine!$C$2:$C$1199,0)))</f>
        <v/>
      </c>
      <c r="B632" s="6" t="str">
        <f>IF(ISNA(MATCH(619,Engine!$C$2:$C$1199,0)),"",INDEX('Compliance Database'!$B$2:$B$1199,MATCH(619,Engine!$C$2:$C$1199,0)))</f>
        <v/>
      </c>
      <c r="C632" s="6" t="str">
        <f>IF(ISNA(MATCH(619,Engine!$C$2:$C$1199,0)),"",INDEX('Compliance Database'!$C$2:$C$1199,MATCH(619,Engine!$C$2:$C$1199,0)))</f>
        <v/>
      </c>
      <c r="D632" s="7" t="str">
        <f>IF(ISNA(MATCH(619,Engine!$C$2:$C$1199,0)),"",INDEX('Compliance Database'!$D$2:$D$1199,MATCH(619,Engine!$C$2:$C$1199,0)))</f>
        <v/>
      </c>
      <c r="E632" s="6" t="str">
        <f>IF(ISNA(MATCH(619,Engine!$C$2:$C$1199,0)),"",INDEX('Compliance Database'!$E$2:$E$1199,MATCH(619,Engine!$C$2:$C$1199,0)))</f>
        <v/>
      </c>
      <c r="F632" s="6" t="str">
        <f>IF(ISNA(MATCH(619,Engine!$C$2:$C$1199,0)),"",INDEX('Compliance Database'!$F$2:$F$1199,MATCH(619,Engine!$C$2:$C$1199,0)))</f>
        <v/>
      </c>
      <c r="G632" s="6" t="str">
        <f>IF(ISNA(MATCH(619,Engine!$C$2:$C$1199,0)),"",INDEX('Compliance Database'!$G$2:$G$1199,MATCH(619,Engine!$C$2:$C$1199,0)))</f>
        <v/>
      </c>
      <c r="H632" s="7" t="str">
        <f>IF(ISNA(MATCH(619,Engine!$C$2:$C$1199,0)),"",INDEX('Compliance Database'!$H$2:$H$1199,MATCH(619,Engine!$C$2:$C$1199,0)))</f>
        <v/>
      </c>
      <c r="I632" s="7" t="str">
        <f>IF(ISNA(MATCH(619,Engine!$C$2:$C$1199,0)),"",INDEX('Compliance Database'!$I$2:$I$1199,MATCH(619,Engine!$C$2:$C$1199,0)))</f>
        <v/>
      </c>
      <c r="J632" s="6" t="str">
        <f>IF(ISNA(MATCH(619,Engine!$C$2:$C$1199,0)),"",INDEX('Compliance Database'!$J$2:$J$1199,MATCH(619,Engine!$C$2:$C$1199,0)))</f>
        <v/>
      </c>
      <c r="K632" s="7" t="str">
        <f>IF(ISNA(MATCH(619,Engine!$C$2:$C$1199,0)),"",INDEX('Compliance Database'!$K$2:$K$1199,MATCH(619,Engine!$C$2:$C$1199,0)))</f>
        <v/>
      </c>
      <c r="L632" s="7" t="str">
        <f>IF(ISNA(MATCH(619,Engine!$C$2:$C$1199,0)),"",INDEX('Compliance Database'!$L$2:$L$1199,MATCH(619,Engine!$C$2:$C$1199,0)))</f>
        <v/>
      </c>
      <c r="M632" s="7" t="str">
        <f>IF(ISNA(MATCH(619,Engine!$C$2:$C$1199,0)),"",INDEX('Compliance Database'!$M$2:$M$1199,MATCH(619,Engine!$C$2:$C$1199,0)))</f>
        <v/>
      </c>
      <c r="N632" s="7" t="str">
        <f>IF(ISNA(MATCH(619,Engine!$C$2:$C$1199,0)),"",INDEX('Compliance Database'!$N$2:$N$1199,MATCH(619,Engine!$C$2:$C$1199,0)))</f>
        <v/>
      </c>
      <c r="O632" s="7" t="str">
        <f>IF(ISNA(MATCH(619,Engine!$C$2:$C$1199,0)),"",INDEX('Compliance Database'!$O$2:$O$1199,MATCH(619,Engine!$C$2:$C$1199,0)))</f>
        <v/>
      </c>
      <c r="P632" s="6" t="str">
        <f>IF(ISNA(MATCH(619,Engine!$C$2:$C$1199,0)),"",HYPERLINK("#Acts!A"&amp;INDEX('Compliance Database'!$P$2:$P$1199,MATCH(619,Engine!$C$2:$C$1199,0)),"Go to Act"))</f>
        <v/>
      </c>
    </row>
    <row r="633" spans="1:16" ht="172.95" customHeight="1" x14ac:dyDescent="0.3">
      <c r="A633" s="6" t="str">
        <f>IF(ISNA(MATCH(620,Engine!$C$2:$C$1199,0)),"",INDEX('Compliance Database'!$A$2:$A$1199,MATCH(620,Engine!$C$2:$C$1199,0)))</f>
        <v/>
      </c>
      <c r="B633" s="6" t="str">
        <f>IF(ISNA(MATCH(620,Engine!$C$2:$C$1199,0)),"",INDEX('Compliance Database'!$B$2:$B$1199,MATCH(620,Engine!$C$2:$C$1199,0)))</f>
        <v/>
      </c>
      <c r="C633" s="6" t="str">
        <f>IF(ISNA(MATCH(620,Engine!$C$2:$C$1199,0)),"",INDEX('Compliance Database'!$C$2:$C$1199,MATCH(620,Engine!$C$2:$C$1199,0)))</f>
        <v/>
      </c>
      <c r="D633" s="7" t="str">
        <f>IF(ISNA(MATCH(620,Engine!$C$2:$C$1199,0)),"",INDEX('Compliance Database'!$D$2:$D$1199,MATCH(620,Engine!$C$2:$C$1199,0)))</f>
        <v/>
      </c>
      <c r="E633" s="6" t="str">
        <f>IF(ISNA(MATCH(620,Engine!$C$2:$C$1199,0)),"",INDEX('Compliance Database'!$E$2:$E$1199,MATCH(620,Engine!$C$2:$C$1199,0)))</f>
        <v/>
      </c>
      <c r="F633" s="6" t="str">
        <f>IF(ISNA(MATCH(620,Engine!$C$2:$C$1199,0)),"",INDEX('Compliance Database'!$F$2:$F$1199,MATCH(620,Engine!$C$2:$C$1199,0)))</f>
        <v/>
      </c>
      <c r="G633" s="6" t="str">
        <f>IF(ISNA(MATCH(620,Engine!$C$2:$C$1199,0)),"",INDEX('Compliance Database'!$G$2:$G$1199,MATCH(620,Engine!$C$2:$C$1199,0)))</f>
        <v/>
      </c>
      <c r="H633" s="7" t="str">
        <f>IF(ISNA(MATCH(620,Engine!$C$2:$C$1199,0)),"",INDEX('Compliance Database'!$H$2:$H$1199,MATCH(620,Engine!$C$2:$C$1199,0)))</f>
        <v/>
      </c>
      <c r="I633" s="7" t="str">
        <f>IF(ISNA(MATCH(620,Engine!$C$2:$C$1199,0)),"",INDEX('Compliance Database'!$I$2:$I$1199,MATCH(620,Engine!$C$2:$C$1199,0)))</f>
        <v/>
      </c>
      <c r="J633" s="6" t="str">
        <f>IF(ISNA(MATCH(620,Engine!$C$2:$C$1199,0)),"",INDEX('Compliance Database'!$J$2:$J$1199,MATCH(620,Engine!$C$2:$C$1199,0)))</f>
        <v/>
      </c>
      <c r="K633" s="7" t="str">
        <f>IF(ISNA(MATCH(620,Engine!$C$2:$C$1199,0)),"",INDEX('Compliance Database'!$K$2:$K$1199,MATCH(620,Engine!$C$2:$C$1199,0)))</f>
        <v/>
      </c>
      <c r="L633" s="7" t="str">
        <f>IF(ISNA(MATCH(620,Engine!$C$2:$C$1199,0)),"",INDEX('Compliance Database'!$L$2:$L$1199,MATCH(620,Engine!$C$2:$C$1199,0)))</f>
        <v/>
      </c>
      <c r="M633" s="7" t="str">
        <f>IF(ISNA(MATCH(620,Engine!$C$2:$C$1199,0)),"",INDEX('Compliance Database'!$M$2:$M$1199,MATCH(620,Engine!$C$2:$C$1199,0)))</f>
        <v/>
      </c>
      <c r="N633" s="7" t="str">
        <f>IF(ISNA(MATCH(620,Engine!$C$2:$C$1199,0)),"",INDEX('Compliance Database'!$N$2:$N$1199,MATCH(620,Engine!$C$2:$C$1199,0)))</f>
        <v/>
      </c>
      <c r="O633" s="7" t="str">
        <f>IF(ISNA(MATCH(620,Engine!$C$2:$C$1199,0)),"",INDEX('Compliance Database'!$O$2:$O$1199,MATCH(620,Engine!$C$2:$C$1199,0)))</f>
        <v/>
      </c>
      <c r="P633" s="6" t="str">
        <f>IF(ISNA(MATCH(620,Engine!$C$2:$C$1199,0)),"",HYPERLINK("#Acts!A"&amp;INDEX('Compliance Database'!$P$2:$P$1199,MATCH(620,Engine!$C$2:$C$1199,0)),"Go to Act"))</f>
        <v/>
      </c>
    </row>
    <row r="634" spans="1:16" ht="172.95" customHeight="1" x14ac:dyDescent="0.3">
      <c r="A634" s="6" t="str">
        <f>IF(ISNA(MATCH(621,Engine!$C$2:$C$1199,0)),"",INDEX('Compliance Database'!$A$2:$A$1199,MATCH(621,Engine!$C$2:$C$1199,0)))</f>
        <v/>
      </c>
      <c r="B634" s="6" t="str">
        <f>IF(ISNA(MATCH(621,Engine!$C$2:$C$1199,0)),"",INDEX('Compliance Database'!$B$2:$B$1199,MATCH(621,Engine!$C$2:$C$1199,0)))</f>
        <v/>
      </c>
      <c r="C634" s="6" t="str">
        <f>IF(ISNA(MATCH(621,Engine!$C$2:$C$1199,0)),"",INDEX('Compliance Database'!$C$2:$C$1199,MATCH(621,Engine!$C$2:$C$1199,0)))</f>
        <v/>
      </c>
      <c r="D634" s="7" t="str">
        <f>IF(ISNA(MATCH(621,Engine!$C$2:$C$1199,0)),"",INDEX('Compliance Database'!$D$2:$D$1199,MATCH(621,Engine!$C$2:$C$1199,0)))</f>
        <v/>
      </c>
      <c r="E634" s="6" t="str">
        <f>IF(ISNA(MATCH(621,Engine!$C$2:$C$1199,0)),"",INDEX('Compliance Database'!$E$2:$E$1199,MATCH(621,Engine!$C$2:$C$1199,0)))</f>
        <v/>
      </c>
      <c r="F634" s="6" t="str">
        <f>IF(ISNA(MATCH(621,Engine!$C$2:$C$1199,0)),"",INDEX('Compliance Database'!$F$2:$F$1199,MATCH(621,Engine!$C$2:$C$1199,0)))</f>
        <v/>
      </c>
      <c r="G634" s="6" t="str">
        <f>IF(ISNA(MATCH(621,Engine!$C$2:$C$1199,0)),"",INDEX('Compliance Database'!$G$2:$G$1199,MATCH(621,Engine!$C$2:$C$1199,0)))</f>
        <v/>
      </c>
      <c r="H634" s="7" t="str">
        <f>IF(ISNA(MATCH(621,Engine!$C$2:$C$1199,0)),"",INDEX('Compliance Database'!$H$2:$H$1199,MATCH(621,Engine!$C$2:$C$1199,0)))</f>
        <v/>
      </c>
      <c r="I634" s="7" t="str">
        <f>IF(ISNA(MATCH(621,Engine!$C$2:$C$1199,0)),"",INDEX('Compliance Database'!$I$2:$I$1199,MATCH(621,Engine!$C$2:$C$1199,0)))</f>
        <v/>
      </c>
      <c r="J634" s="6" t="str">
        <f>IF(ISNA(MATCH(621,Engine!$C$2:$C$1199,0)),"",INDEX('Compliance Database'!$J$2:$J$1199,MATCH(621,Engine!$C$2:$C$1199,0)))</f>
        <v/>
      </c>
      <c r="K634" s="7" t="str">
        <f>IF(ISNA(MATCH(621,Engine!$C$2:$C$1199,0)),"",INDEX('Compliance Database'!$K$2:$K$1199,MATCH(621,Engine!$C$2:$C$1199,0)))</f>
        <v/>
      </c>
      <c r="L634" s="7" t="str">
        <f>IF(ISNA(MATCH(621,Engine!$C$2:$C$1199,0)),"",INDEX('Compliance Database'!$L$2:$L$1199,MATCH(621,Engine!$C$2:$C$1199,0)))</f>
        <v/>
      </c>
      <c r="M634" s="7" t="str">
        <f>IF(ISNA(MATCH(621,Engine!$C$2:$C$1199,0)),"",INDEX('Compliance Database'!$M$2:$M$1199,MATCH(621,Engine!$C$2:$C$1199,0)))</f>
        <v/>
      </c>
      <c r="N634" s="7" t="str">
        <f>IF(ISNA(MATCH(621,Engine!$C$2:$C$1199,0)),"",INDEX('Compliance Database'!$N$2:$N$1199,MATCH(621,Engine!$C$2:$C$1199,0)))</f>
        <v/>
      </c>
      <c r="O634" s="7" t="str">
        <f>IF(ISNA(MATCH(621,Engine!$C$2:$C$1199,0)),"",INDEX('Compliance Database'!$O$2:$O$1199,MATCH(621,Engine!$C$2:$C$1199,0)))</f>
        <v/>
      </c>
      <c r="P634" s="6" t="str">
        <f>IF(ISNA(MATCH(621,Engine!$C$2:$C$1199,0)),"",HYPERLINK("#Acts!A"&amp;INDEX('Compliance Database'!$P$2:$P$1199,MATCH(621,Engine!$C$2:$C$1199,0)),"Go to Act"))</f>
        <v/>
      </c>
    </row>
    <row r="635" spans="1:16" ht="172.95" customHeight="1" x14ac:dyDescent="0.3">
      <c r="A635" s="6" t="str">
        <f>IF(ISNA(MATCH(622,Engine!$C$2:$C$1199,0)),"",INDEX('Compliance Database'!$A$2:$A$1199,MATCH(622,Engine!$C$2:$C$1199,0)))</f>
        <v/>
      </c>
      <c r="B635" s="6" t="str">
        <f>IF(ISNA(MATCH(622,Engine!$C$2:$C$1199,0)),"",INDEX('Compliance Database'!$B$2:$B$1199,MATCH(622,Engine!$C$2:$C$1199,0)))</f>
        <v/>
      </c>
      <c r="C635" s="6" t="str">
        <f>IF(ISNA(MATCH(622,Engine!$C$2:$C$1199,0)),"",INDEX('Compliance Database'!$C$2:$C$1199,MATCH(622,Engine!$C$2:$C$1199,0)))</f>
        <v/>
      </c>
      <c r="D635" s="7" t="str">
        <f>IF(ISNA(MATCH(622,Engine!$C$2:$C$1199,0)),"",INDEX('Compliance Database'!$D$2:$D$1199,MATCH(622,Engine!$C$2:$C$1199,0)))</f>
        <v/>
      </c>
      <c r="E635" s="6" t="str">
        <f>IF(ISNA(MATCH(622,Engine!$C$2:$C$1199,0)),"",INDEX('Compliance Database'!$E$2:$E$1199,MATCH(622,Engine!$C$2:$C$1199,0)))</f>
        <v/>
      </c>
      <c r="F635" s="6" t="str">
        <f>IF(ISNA(MATCH(622,Engine!$C$2:$C$1199,0)),"",INDEX('Compliance Database'!$F$2:$F$1199,MATCH(622,Engine!$C$2:$C$1199,0)))</f>
        <v/>
      </c>
      <c r="G635" s="6" t="str">
        <f>IF(ISNA(MATCH(622,Engine!$C$2:$C$1199,0)),"",INDEX('Compliance Database'!$G$2:$G$1199,MATCH(622,Engine!$C$2:$C$1199,0)))</f>
        <v/>
      </c>
      <c r="H635" s="7" t="str">
        <f>IF(ISNA(MATCH(622,Engine!$C$2:$C$1199,0)),"",INDEX('Compliance Database'!$H$2:$H$1199,MATCH(622,Engine!$C$2:$C$1199,0)))</f>
        <v/>
      </c>
      <c r="I635" s="7" t="str">
        <f>IF(ISNA(MATCH(622,Engine!$C$2:$C$1199,0)),"",INDEX('Compliance Database'!$I$2:$I$1199,MATCH(622,Engine!$C$2:$C$1199,0)))</f>
        <v/>
      </c>
      <c r="J635" s="6" t="str">
        <f>IF(ISNA(MATCH(622,Engine!$C$2:$C$1199,0)),"",INDEX('Compliance Database'!$J$2:$J$1199,MATCH(622,Engine!$C$2:$C$1199,0)))</f>
        <v/>
      </c>
      <c r="K635" s="7" t="str">
        <f>IF(ISNA(MATCH(622,Engine!$C$2:$C$1199,0)),"",INDEX('Compliance Database'!$K$2:$K$1199,MATCH(622,Engine!$C$2:$C$1199,0)))</f>
        <v/>
      </c>
      <c r="L635" s="7" t="str">
        <f>IF(ISNA(MATCH(622,Engine!$C$2:$C$1199,0)),"",INDEX('Compliance Database'!$L$2:$L$1199,MATCH(622,Engine!$C$2:$C$1199,0)))</f>
        <v/>
      </c>
      <c r="M635" s="7" t="str">
        <f>IF(ISNA(MATCH(622,Engine!$C$2:$C$1199,0)),"",INDEX('Compliance Database'!$M$2:$M$1199,MATCH(622,Engine!$C$2:$C$1199,0)))</f>
        <v/>
      </c>
      <c r="N635" s="7" t="str">
        <f>IF(ISNA(MATCH(622,Engine!$C$2:$C$1199,0)),"",INDEX('Compliance Database'!$N$2:$N$1199,MATCH(622,Engine!$C$2:$C$1199,0)))</f>
        <v/>
      </c>
      <c r="O635" s="7" t="str">
        <f>IF(ISNA(MATCH(622,Engine!$C$2:$C$1199,0)),"",INDEX('Compliance Database'!$O$2:$O$1199,MATCH(622,Engine!$C$2:$C$1199,0)))</f>
        <v/>
      </c>
      <c r="P635" s="6" t="str">
        <f>IF(ISNA(MATCH(622,Engine!$C$2:$C$1199,0)),"",HYPERLINK("#Acts!A"&amp;INDEX('Compliance Database'!$P$2:$P$1199,MATCH(622,Engine!$C$2:$C$1199,0)),"Go to Act"))</f>
        <v/>
      </c>
    </row>
    <row r="636" spans="1:16" ht="172.95" customHeight="1" x14ac:dyDescent="0.3">
      <c r="A636" s="6" t="str">
        <f>IF(ISNA(MATCH(623,Engine!$C$2:$C$1199,0)),"",INDEX('Compliance Database'!$A$2:$A$1199,MATCH(623,Engine!$C$2:$C$1199,0)))</f>
        <v/>
      </c>
      <c r="B636" s="6" t="str">
        <f>IF(ISNA(MATCH(623,Engine!$C$2:$C$1199,0)),"",INDEX('Compliance Database'!$B$2:$B$1199,MATCH(623,Engine!$C$2:$C$1199,0)))</f>
        <v/>
      </c>
      <c r="C636" s="6" t="str">
        <f>IF(ISNA(MATCH(623,Engine!$C$2:$C$1199,0)),"",INDEX('Compliance Database'!$C$2:$C$1199,MATCH(623,Engine!$C$2:$C$1199,0)))</f>
        <v/>
      </c>
      <c r="D636" s="7" t="str">
        <f>IF(ISNA(MATCH(623,Engine!$C$2:$C$1199,0)),"",INDEX('Compliance Database'!$D$2:$D$1199,MATCH(623,Engine!$C$2:$C$1199,0)))</f>
        <v/>
      </c>
      <c r="E636" s="6" t="str">
        <f>IF(ISNA(MATCH(623,Engine!$C$2:$C$1199,0)),"",INDEX('Compliance Database'!$E$2:$E$1199,MATCH(623,Engine!$C$2:$C$1199,0)))</f>
        <v/>
      </c>
      <c r="F636" s="6" t="str">
        <f>IF(ISNA(MATCH(623,Engine!$C$2:$C$1199,0)),"",INDEX('Compliance Database'!$F$2:$F$1199,MATCH(623,Engine!$C$2:$C$1199,0)))</f>
        <v/>
      </c>
      <c r="G636" s="6" t="str">
        <f>IF(ISNA(MATCH(623,Engine!$C$2:$C$1199,0)),"",INDEX('Compliance Database'!$G$2:$G$1199,MATCH(623,Engine!$C$2:$C$1199,0)))</f>
        <v/>
      </c>
      <c r="H636" s="7" t="str">
        <f>IF(ISNA(MATCH(623,Engine!$C$2:$C$1199,0)),"",INDEX('Compliance Database'!$H$2:$H$1199,MATCH(623,Engine!$C$2:$C$1199,0)))</f>
        <v/>
      </c>
      <c r="I636" s="7" t="str">
        <f>IF(ISNA(MATCH(623,Engine!$C$2:$C$1199,0)),"",INDEX('Compliance Database'!$I$2:$I$1199,MATCH(623,Engine!$C$2:$C$1199,0)))</f>
        <v/>
      </c>
      <c r="J636" s="6" t="str">
        <f>IF(ISNA(MATCH(623,Engine!$C$2:$C$1199,0)),"",INDEX('Compliance Database'!$J$2:$J$1199,MATCH(623,Engine!$C$2:$C$1199,0)))</f>
        <v/>
      </c>
      <c r="K636" s="7" t="str">
        <f>IF(ISNA(MATCH(623,Engine!$C$2:$C$1199,0)),"",INDEX('Compliance Database'!$K$2:$K$1199,MATCH(623,Engine!$C$2:$C$1199,0)))</f>
        <v/>
      </c>
      <c r="L636" s="7" t="str">
        <f>IF(ISNA(MATCH(623,Engine!$C$2:$C$1199,0)),"",INDEX('Compliance Database'!$L$2:$L$1199,MATCH(623,Engine!$C$2:$C$1199,0)))</f>
        <v/>
      </c>
      <c r="M636" s="7" t="str">
        <f>IF(ISNA(MATCH(623,Engine!$C$2:$C$1199,0)),"",INDEX('Compliance Database'!$M$2:$M$1199,MATCH(623,Engine!$C$2:$C$1199,0)))</f>
        <v/>
      </c>
      <c r="N636" s="7" t="str">
        <f>IF(ISNA(MATCH(623,Engine!$C$2:$C$1199,0)),"",INDEX('Compliance Database'!$N$2:$N$1199,MATCH(623,Engine!$C$2:$C$1199,0)))</f>
        <v/>
      </c>
      <c r="O636" s="7" t="str">
        <f>IF(ISNA(MATCH(623,Engine!$C$2:$C$1199,0)),"",INDEX('Compliance Database'!$O$2:$O$1199,MATCH(623,Engine!$C$2:$C$1199,0)))</f>
        <v/>
      </c>
      <c r="P636" s="6" t="str">
        <f>IF(ISNA(MATCH(623,Engine!$C$2:$C$1199,0)),"",HYPERLINK("#Acts!A"&amp;INDEX('Compliance Database'!$P$2:$P$1199,MATCH(623,Engine!$C$2:$C$1199,0)),"Go to Act"))</f>
        <v/>
      </c>
    </row>
    <row r="637" spans="1:16" ht="172.95" customHeight="1" x14ac:dyDescent="0.3">
      <c r="A637" s="6" t="str">
        <f>IF(ISNA(MATCH(624,Engine!$C$2:$C$1199,0)),"",INDEX('Compliance Database'!$A$2:$A$1199,MATCH(624,Engine!$C$2:$C$1199,0)))</f>
        <v/>
      </c>
      <c r="B637" s="6" t="str">
        <f>IF(ISNA(MATCH(624,Engine!$C$2:$C$1199,0)),"",INDEX('Compliance Database'!$B$2:$B$1199,MATCH(624,Engine!$C$2:$C$1199,0)))</f>
        <v/>
      </c>
      <c r="C637" s="6" t="str">
        <f>IF(ISNA(MATCH(624,Engine!$C$2:$C$1199,0)),"",INDEX('Compliance Database'!$C$2:$C$1199,MATCH(624,Engine!$C$2:$C$1199,0)))</f>
        <v/>
      </c>
      <c r="D637" s="7" t="str">
        <f>IF(ISNA(MATCH(624,Engine!$C$2:$C$1199,0)),"",INDEX('Compliance Database'!$D$2:$D$1199,MATCH(624,Engine!$C$2:$C$1199,0)))</f>
        <v/>
      </c>
      <c r="E637" s="6" t="str">
        <f>IF(ISNA(MATCH(624,Engine!$C$2:$C$1199,0)),"",INDEX('Compliance Database'!$E$2:$E$1199,MATCH(624,Engine!$C$2:$C$1199,0)))</f>
        <v/>
      </c>
      <c r="F637" s="6" t="str">
        <f>IF(ISNA(MATCH(624,Engine!$C$2:$C$1199,0)),"",INDEX('Compliance Database'!$F$2:$F$1199,MATCH(624,Engine!$C$2:$C$1199,0)))</f>
        <v/>
      </c>
      <c r="G637" s="6" t="str">
        <f>IF(ISNA(MATCH(624,Engine!$C$2:$C$1199,0)),"",INDEX('Compliance Database'!$G$2:$G$1199,MATCH(624,Engine!$C$2:$C$1199,0)))</f>
        <v/>
      </c>
      <c r="H637" s="7" t="str">
        <f>IF(ISNA(MATCH(624,Engine!$C$2:$C$1199,0)),"",INDEX('Compliance Database'!$H$2:$H$1199,MATCH(624,Engine!$C$2:$C$1199,0)))</f>
        <v/>
      </c>
      <c r="I637" s="7" t="str">
        <f>IF(ISNA(MATCH(624,Engine!$C$2:$C$1199,0)),"",INDEX('Compliance Database'!$I$2:$I$1199,MATCH(624,Engine!$C$2:$C$1199,0)))</f>
        <v/>
      </c>
      <c r="J637" s="6" t="str">
        <f>IF(ISNA(MATCH(624,Engine!$C$2:$C$1199,0)),"",INDEX('Compliance Database'!$J$2:$J$1199,MATCH(624,Engine!$C$2:$C$1199,0)))</f>
        <v/>
      </c>
      <c r="K637" s="7" t="str">
        <f>IF(ISNA(MATCH(624,Engine!$C$2:$C$1199,0)),"",INDEX('Compliance Database'!$K$2:$K$1199,MATCH(624,Engine!$C$2:$C$1199,0)))</f>
        <v/>
      </c>
      <c r="L637" s="7" t="str">
        <f>IF(ISNA(MATCH(624,Engine!$C$2:$C$1199,0)),"",INDEX('Compliance Database'!$L$2:$L$1199,MATCH(624,Engine!$C$2:$C$1199,0)))</f>
        <v/>
      </c>
      <c r="M637" s="7" t="str">
        <f>IF(ISNA(MATCH(624,Engine!$C$2:$C$1199,0)),"",INDEX('Compliance Database'!$M$2:$M$1199,MATCH(624,Engine!$C$2:$C$1199,0)))</f>
        <v/>
      </c>
      <c r="N637" s="7" t="str">
        <f>IF(ISNA(MATCH(624,Engine!$C$2:$C$1199,0)),"",INDEX('Compliance Database'!$N$2:$N$1199,MATCH(624,Engine!$C$2:$C$1199,0)))</f>
        <v/>
      </c>
      <c r="O637" s="7" t="str">
        <f>IF(ISNA(MATCH(624,Engine!$C$2:$C$1199,0)),"",INDEX('Compliance Database'!$O$2:$O$1199,MATCH(624,Engine!$C$2:$C$1199,0)))</f>
        <v/>
      </c>
      <c r="P637" s="6" t="str">
        <f>IF(ISNA(MATCH(624,Engine!$C$2:$C$1199,0)),"",HYPERLINK("#Acts!A"&amp;INDEX('Compliance Database'!$P$2:$P$1199,MATCH(624,Engine!$C$2:$C$1199,0)),"Go to Act"))</f>
        <v/>
      </c>
    </row>
    <row r="638" spans="1:16" ht="172.95" customHeight="1" x14ac:dyDescent="0.3">
      <c r="A638" s="6" t="str">
        <f>IF(ISNA(MATCH(625,Engine!$C$2:$C$1199,0)),"",INDEX('Compliance Database'!$A$2:$A$1199,MATCH(625,Engine!$C$2:$C$1199,0)))</f>
        <v/>
      </c>
      <c r="B638" s="6" t="str">
        <f>IF(ISNA(MATCH(625,Engine!$C$2:$C$1199,0)),"",INDEX('Compliance Database'!$B$2:$B$1199,MATCH(625,Engine!$C$2:$C$1199,0)))</f>
        <v/>
      </c>
      <c r="C638" s="6" t="str">
        <f>IF(ISNA(MATCH(625,Engine!$C$2:$C$1199,0)),"",INDEX('Compliance Database'!$C$2:$C$1199,MATCH(625,Engine!$C$2:$C$1199,0)))</f>
        <v/>
      </c>
      <c r="D638" s="7" t="str">
        <f>IF(ISNA(MATCH(625,Engine!$C$2:$C$1199,0)),"",INDEX('Compliance Database'!$D$2:$D$1199,MATCH(625,Engine!$C$2:$C$1199,0)))</f>
        <v/>
      </c>
      <c r="E638" s="6" t="str">
        <f>IF(ISNA(MATCH(625,Engine!$C$2:$C$1199,0)),"",INDEX('Compliance Database'!$E$2:$E$1199,MATCH(625,Engine!$C$2:$C$1199,0)))</f>
        <v/>
      </c>
      <c r="F638" s="6" t="str">
        <f>IF(ISNA(MATCH(625,Engine!$C$2:$C$1199,0)),"",INDEX('Compliance Database'!$F$2:$F$1199,MATCH(625,Engine!$C$2:$C$1199,0)))</f>
        <v/>
      </c>
      <c r="G638" s="6" t="str">
        <f>IF(ISNA(MATCH(625,Engine!$C$2:$C$1199,0)),"",INDEX('Compliance Database'!$G$2:$G$1199,MATCH(625,Engine!$C$2:$C$1199,0)))</f>
        <v/>
      </c>
      <c r="H638" s="7" t="str">
        <f>IF(ISNA(MATCH(625,Engine!$C$2:$C$1199,0)),"",INDEX('Compliance Database'!$H$2:$H$1199,MATCH(625,Engine!$C$2:$C$1199,0)))</f>
        <v/>
      </c>
      <c r="I638" s="7" t="str">
        <f>IF(ISNA(MATCH(625,Engine!$C$2:$C$1199,0)),"",INDEX('Compliance Database'!$I$2:$I$1199,MATCH(625,Engine!$C$2:$C$1199,0)))</f>
        <v/>
      </c>
      <c r="J638" s="6" t="str">
        <f>IF(ISNA(MATCH(625,Engine!$C$2:$C$1199,0)),"",INDEX('Compliance Database'!$J$2:$J$1199,MATCH(625,Engine!$C$2:$C$1199,0)))</f>
        <v/>
      </c>
      <c r="K638" s="7" t="str">
        <f>IF(ISNA(MATCH(625,Engine!$C$2:$C$1199,0)),"",INDEX('Compliance Database'!$K$2:$K$1199,MATCH(625,Engine!$C$2:$C$1199,0)))</f>
        <v/>
      </c>
      <c r="L638" s="7" t="str">
        <f>IF(ISNA(MATCH(625,Engine!$C$2:$C$1199,0)),"",INDEX('Compliance Database'!$L$2:$L$1199,MATCH(625,Engine!$C$2:$C$1199,0)))</f>
        <v/>
      </c>
      <c r="M638" s="7" t="str">
        <f>IF(ISNA(MATCH(625,Engine!$C$2:$C$1199,0)),"",INDEX('Compliance Database'!$M$2:$M$1199,MATCH(625,Engine!$C$2:$C$1199,0)))</f>
        <v/>
      </c>
      <c r="N638" s="7" t="str">
        <f>IF(ISNA(MATCH(625,Engine!$C$2:$C$1199,0)),"",INDEX('Compliance Database'!$N$2:$N$1199,MATCH(625,Engine!$C$2:$C$1199,0)))</f>
        <v/>
      </c>
      <c r="O638" s="7" t="str">
        <f>IF(ISNA(MATCH(625,Engine!$C$2:$C$1199,0)),"",INDEX('Compliance Database'!$O$2:$O$1199,MATCH(625,Engine!$C$2:$C$1199,0)))</f>
        <v/>
      </c>
      <c r="P638" s="6" t="str">
        <f>IF(ISNA(MATCH(625,Engine!$C$2:$C$1199,0)),"",HYPERLINK("#Acts!A"&amp;INDEX('Compliance Database'!$P$2:$P$1199,MATCH(625,Engine!$C$2:$C$1199,0)),"Go to Act"))</f>
        <v/>
      </c>
    </row>
    <row r="639" spans="1:16" ht="172.95" customHeight="1" x14ac:dyDescent="0.3">
      <c r="A639" s="6" t="str">
        <f>IF(ISNA(MATCH(626,Engine!$C$2:$C$1199,0)),"",INDEX('Compliance Database'!$A$2:$A$1199,MATCH(626,Engine!$C$2:$C$1199,0)))</f>
        <v/>
      </c>
      <c r="B639" s="6" t="str">
        <f>IF(ISNA(MATCH(626,Engine!$C$2:$C$1199,0)),"",INDEX('Compliance Database'!$B$2:$B$1199,MATCH(626,Engine!$C$2:$C$1199,0)))</f>
        <v/>
      </c>
      <c r="C639" s="6" t="str">
        <f>IF(ISNA(MATCH(626,Engine!$C$2:$C$1199,0)),"",INDEX('Compliance Database'!$C$2:$C$1199,MATCH(626,Engine!$C$2:$C$1199,0)))</f>
        <v/>
      </c>
      <c r="D639" s="7" t="str">
        <f>IF(ISNA(MATCH(626,Engine!$C$2:$C$1199,0)),"",INDEX('Compliance Database'!$D$2:$D$1199,MATCH(626,Engine!$C$2:$C$1199,0)))</f>
        <v/>
      </c>
      <c r="E639" s="6" t="str">
        <f>IF(ISNA(MATCH(626,Engine!$C$2:$C$1199,0)),"",INDEX('Compliance Database'!$E$2:$E$1199,MATCH(626,Engine!$C$2:$C$1199,0)))</f>
        <v/>
      </c>
      <c r="F639" s="6" t="str">
        <f>IF(ISNA(MATCH(626,Engine!$C$2:$C$1199,0)),"",INDEX('Compliance Database'!$F$2:$F$1199,MATCH(626,Engine!$C$2:$C$1199,0)))</f>
        <v/>
      </c>
      <c r="G639" s="6" t="str">
        <f>IF(ISNA(MATCH(626,Engine!$C$2:$C$1199,0)),"",INDEX('Compliance Database'!$G$2:$G$1199,MATCH(626,Engine!$C$2:$C$1199,0)))</f>
        <v/>
      </c>
      <c r="H639" s="7" t="str">
        <f>IF(ISNA(MATCH(626,Engine!$C$2:$C$1199,0)),"",INDEX('Compliance Database'!$H$2:$H$1199,MATCH(626,Engine!$C$2:$C$1199,0)))</f>
        <v/>
      </c>
      <c r="I639" s="7" t="str">
        <f>IF(ISNA(MATCH(626,Engine!$C$2:$C$1199,0)),"",INDEX('Compliance Database'!$I$2:$I$1199,MATCH(626,Engine!$C$2:$C$1199,0)))</f>
        <v/>
      </c>
      <c r="J639" s="6" t="str">
        <f>IF(ISNA(MATCH(626,Engine!$C$2:$C$1199,0)),"",INDEX('Compliance Database'!$J$2:$J$1199,MATCH(626,Engine!$C$2:$C$1199,0)))</f>
        <v/>
      </c>
      <c r="K639" s="7" t="str">
        <f>IF(ISNA(MATCH(626,Engine!$C$2:$C$1199,0)),"",INDEX('Compliance Database'!$K$2:$K$1199,MATCH(626,Engine!$C$2:$C$1199,0)))</f>
        <v/>
      </c>
      <c r="L639" s="7" t="str">
        <f>IF(ISNA(MATCH(626,Engine!$C$2:$C$1199,0)),"",INDEX('Compliance Database'!$L$2:$L$1199,MATCH(626,Engine!$C$2:$C$1199,0)))</f>
        <v/>
      </c>
      <c r="M639" s="7" t="str">
        <f>IF(ISNA(MATCH(626,Engine!$C$2:$C$1199,0)),"",INDEX('Compliance Database'!$M$2:$M$1199,MATCH(626,Engine!$C$2:$C$1199,0)))</f>
        <v/>
      </c>
      <c r="N639" s="7" t="str">
        <f>IF(ISNA(MATCH(626,Engine!$C$2:$C$1199,0)),"",INDEX('Compliance Database'!$N$2:$N$1199,MATCH(626,Engine!$C$2:$C$1199,0)))</f>
        <v/>
      </c>
      <c r="O639" s="7" t="str">
        <f>IF(ISNA(MATCH(626,Engine!$C$2:$C$1199,0)),"",INDEX('Compliance Database'!$O$2:$O$1199,MATCH(626,Engine!$C$2:$C$1199,0)))</f>
        <v/>
      </c>
      <c r="P639" s="6" t="str">
        <f>IF(ISNA(MATCH(626,Engine!$C$2:$C$1199,0)),"",HYPERLINK("#Acts!A"&amp;INDEX('Compliance Database'!$P$2:$P$1199,MATCH(626,Engine!$C$2:$C$1199,0)),"Go to Act"))</f>
        <v/>
      </c>
    </row>
    <row r="640" spans="1:16" ht="172.95" customHeight="1" x14ac:dyDescent="0.3">
      <c r="A640" s="6" t="str">
        <f>IF(ISNA(MATCH(627,Engine!$C$2:$C$1199,0)),"",INDEX('Compliance Database'!$A$2:$A$1199,MATCH(627,Engine!$C$2:$C$1199,0)))</f>
        <v/>
      </c>
      <c r="B640" s="6" t="str">
        <f>IF(ISNA(MATCH(627,Engine!$C$2:$C$1199,0)),"",INDEX('Compliance Database'!$B$2:$B$1199,MATCH(627,Engine!$C$2:$C$1199,0)))</f>
        <v/>
      </c>
      <c r="C640" s="6" t="str">
        <f>IF(ISNA(MATCH(627,Engine!$C$2:$C$1199,0)),"",INDEX('Compliance Database'!$C$2:$C$1199,MATCH(627,Engine!$C$2:$C$1199,0)))</f>
        <v/>
      </c>
      <c r="D640" s="7" t="str">
        <f>IF(ISNA(MATCH(627,Engine!$C$2:$C$1199,0)),"",INDEX('Compliance Database'!$D$2:$D$1199,MATCH(627,Engine!$C$2:$C$1199,0)))</f>
        <v/>
      </c>
      <c r="E640" s="6" t="str">
        <f>IF(ISNA(MATCH(627,Engine!$C$2:$C$1199,0)),"",INDEX('Compliance Database'!$E$2:$E$1199,MATCH(627,Engine!$C$2:$C$1199,0)))</f>
        <v/>
      </c>
      <c r="F640" s="6" t="str">
        <f>IF(ISNA(MATCH(627,Engine!$C$2:$C$1199,0)),"",INDEX('Compliance Database'!$F$2:$F$1199,MATCH(627,Engine!$C$2:$C$1199,0)))</f>
        <v/>
      </c>
      <c r="G640" s="6" t="str">
        <f>IF(ISNA(MATCH(627,Engine!$C$2:$C$1199,0)),"",INDEX('Compliance Database'!$G$2:$G$1199,MATCH(627,Engine!$C$2:$C$1199,0)))</f>
        <v/>
      </c>
      <c r="H640" s="7" t="str">
        <f>IF(ISNA(MATCH(627,Engine!$C$2:$C$1199,0)),"",INDEX('Compliance Database'!$H$2:$H$1199,MATCH(627,Engine!$C$2:$C$1199,0)))</f>
        <v/>
      </c>
      <c r="I640" s="7" t="str">
        <f>IF(ISNA(MATCH(627,Engine!$C$2:$C$1199,0)),"",INDEX('Compliance Database'!$I$2:$I$1199,MATCH(627,Engine!$C$2:$C$1199,0)))</f>
        <v/>
      </c>
      <c r="J640" s="6" t="str">
        <f>IF(ISNA(MATCH(627,Engine!$C$2:$C$1199,0)),"",INDEX('Compliance Database'!$J$2:$J$1199,MATCH(627,Engine!$C$2:$C$1199,0)))</f>
        <v/>
      </c>
      <c r="K640" s="7" t="str">
        <f>IF(ISNA(MATCH(627,Engine!$C$2:$C$1199,0)),"",INDEX('Compliance Database'!$K$2:$K$1199,MATCH(627,Engine!$C$2:$C$1199,0)))</f>
        <v/>
      </c>
      <c r="L640" s="7" t="str">
        <f>IF(ISNA(MATCH(627,Engine!$C$2:$C$1199,0)),"",INDEX('Compliance Database'!$L$2:$L$1199,MATCH(627,Engine!$C$2:$C$1199,0)))</f>
        <v/>
      </c>
      <c r="M640" s="7" t="str">
        <f>IF(ISNA(MATCH(627,Engine!$C$2:$C$1199,0)),"",INDEX('Compliance Database'!$M$2:$M$1199,MATCH(627,Engine!$C$2:$C$1199,0)))</f>
        <v/>
      </c>
      <c r="N640" s="7" t="str">
        <f>IF(ISNA(MATCH(627,Engine!$C$2:$C$1199,0)),"",INDEX('Compliance Database'!$N$2:$N$1199,MATCH(627,Engine!$C$2:$C$1199,0)))</f>
        <v/>
      </c>
      <c r="O640" s="7" t="str">
        <f>IF(ISNA(MATCH(627,Engine!$C$2:$C$1199,0)),"",INDEX('Compliance Database'!$O$2:$O$1199,MATCH(627,Engine!$C$2:$C$1199,0)))</f>
        <v/>
      </c>
      <c r="P640" s="6" t="str">
        <f>IF(ISNA(MATCH(627,Engine!$C$2:$C$1199,0)),"",HYPERLINK("#Acts!A"&amp;INDEX('Compliance Database'!$P$2:$P$1199,MATCH(627,Engine!$C$2:$C$1199,0)),"Go to Act"))</f>
        <v/>
      </c>
    </row>
    <row r="641" spans="1:16" ht="172.95" customHeight="1" x14ac:dyDescent="0.3">
      <c r="A641" s="6" t="str">
        <f>IF(ISNA(MATCH(628,Engine!$C$2:$C$1199,0)),"",INDEX('Compliance Database'!$A$2:$A$1199,MATCH(628,Engine!$C$2:$C$1199,0)))</f>
        <v/>
      </c>
      <c r="B641" s="6" t="str">
        <f>IF(ISNA(MATCH(628,Engine!$C$2:$C$1199,0)),"",INDEX('Compliance Database'!$B$2:$B$1199,MATCH(628,Engine!$C$2:$C$1199,0)))</f>
        <v/>
      </c>
      <c r="C641" s="6" t="str">
        <f>IF(ISNA(MATCH(628,Engine!$C$2:$C$1199,0)),"",INDEX('Compliance Database'!$C$2:$C$1199,MATCH(628,Engine!$C$2:$C$1199,0)))</f>
        <v/>
      </c>
      <c r="D641" s="7" t="str">
        <f>IF(ISNA(MATCH(628,Engine!$C$2:$C$1199,0)),"",INDEX('Compliance Database'!$D$2:$D$1199,MATCH(628,Engine!$C$2:$C$1199,0)))</f>
        <v/>
      </c>
      <c r="E641" s="6" t="str">
        <f>IF(ISNA(MATCH(628,Engine!$C$2:$C$1199,0)),"",INDEX('Compliance Database'!$E$2:$E$1199,MATCH(628,Engine!$C$2:$C$1199,0)))</f>
        <v/>
      </c>
      <c r="F641" s="6" t="str">
        <f>IF(ISNA(MATCH(628,Engine!$C$2:$C$1199,0)),"",INDEX('Compliance Database'!$F$2:$F$1199,MATCH(628,Engine!$C$2:$C$1199,0)))</f>
        <v/>
      </c>
      <c r="G641" s="6" t="str">
        <f>IF(ISNA(MATCH(628,Engine!$C$2:$C$1199,0)),"",INDEX('Compliance Database'!$G$2:$G$1199,MATCH(628,Engine!$C$2:$C$1199,0)))</f>
        <v/>
      </c>
      <c r="H641" s="7" t="str">
        <f>IF(ISNA(MATCH(628,Engine!$C$2:$C$1199,0)),"",INDEX('Compliance Database'!$H$2:$H$1199,MATCH(628,Engine!$C$2:$C$1199,0)))</f>
        <v/>
      </c>
      <c r="I641" s="7" t="str">
        <f>IF(ISNA(MATCH(628,Engine!$C$2:$C$1199,0)),"",INDEX('Compliance Database'!$I$2:$I$1199,MATCH(628,Engine!$C$2:$C$1199,0)))</f>
        <v/>
      </c>
      <c r="J641" s="6" t="str">
        <f>IF(ISNA(MATCH(628,Engine!$C$2:$C$1199,0)),"",INDEX('Compliance Database'!$J$2:$J$1199,MATCH(628,Engine!$C$2:$C$1199,0)))</f>
        <v/>
      </c>
      <c r="K641" s="7" t="str">
        <f>IF(ISNA(MATCH(628,Engine!$C$2:$C$1199,0)),"",INDEX('Compliance Database'!$K$2:$K$1199,MATCH(628,Engine!$C$2:$C$1199,0)))</f>
        <v/>
      </c>
      <c r="L641" s="7" t="str">
        <f>IF(ISNA(MATCH(628,Engine!$C$2:$C$1199,0)),"",INDEX('Compliance Database'!$L$2:$L$1199,MATCH(628,Engine!$C$2:$C$1199,0)))</f>
        <v/>
      </c>
      <c r="M641" s="7" t="str">
        <f>IF(ISNA(MATCH(628,Engine!$C$2:$C$1199,0)),"",INDEX('Compliance Database'!$M$2:$M$1199,MATCH(628,Engine!$C$2:$C$1199,0)))</f>
        <v/>
      </c>
      <c r="N641" s="7" t="str">
        <f>IF(ISNA(MATCH(628,Engine!$C$2:$C$1199,0)),"",INDEX('Compliance Database'!$N$2:$N$1199,MATCH(628,Engine!$C$2:$C$1199,0)))</f>
        <v/>
      </c>
      <c r="O641" s="7" t="str">
        <f>IF(ISNA(MATCH(628,Engine!$C$2:$C$1199,0)),"",INDEX('Compliance Database'!$O$2:$O$1199,MATCH(628,Engine!$C$2:$C$1199,0)))</f>
        <v/>
      </c>
      <c r="P641" s="6" t="str">
        <f>IF(ISNA(MATCH(628,Engine!$C$2:$C$1199,0)),"",HYPERLINK("#Acts!A"&amp;INDEX('Compliance Database'!$P$2:$P$1199,MATCH(628,Engine!$C$2:$C$1199,0)),"Go to Act"))</f>
        <v/>
      </c>
    </row>
    <row r="642" spans="1:16" ht="172.95" customHeight="1" x14ac:dyDescent="0.3">
      <c r="A642" s="6" t="str">
        <f>IF(ISNA(MATCH(629,Engine!$C$2:$C$1199,0)),"",INDEX('Compliance Database'!$A$2:$A$1199,MATCH(629,Engine!$C$2:$C$1199,0)))</f>
        <v/>
      </c>
      <c r="B642" s="6" t="str">
        <f>IF(ISNA(MATCH(629,Engine!$C$2:$C$1199,0)),"",INDEX('Compliance Database'!$B$2:$B$1199,MATCH(629,Engine!$C$2:$C$1199,0)))</f>
        <v/>
      </c>
      <c r="C642" s="6" t="str">
        <f>IF(ISNA(MATCH(629,Engine!$C$2:$C$1199,0)),"",INDEX('Compliance Database'!$C$2:$C$1199,MATCH(629,Engine!$C$2:$C$1199,0)))</f>
        <v/>
      </c>
      <c r="D642" s="7" t="str">
        <f>IF(ISNA(MATCH(629,Engine!$C$2:$C$1199,0)),"",INDEX('Compliance Database'!$D$2:$D$1199,MATCH(629,Engine!$C$2:$C$1199,0)))</f>
        <v/>
      </c>
      <c r="E642" s="6" t="str">
        <f>IF(ISNA(MATCH(629,Engine!$C$2:$C$1199,0)),"",INDEX('Compliance Database'!$E$2:$E$1199,MATCH(629,Engine!$C$2:$C$1199,0)))</f>
        <v/>
      </c>
      <c r="F642" s="6" t="str">
        <f>IF(ISNA(MATCH(629,Engine!$C$2:$C$1199,0)),"",INDEX('Compliance Database'!$F$2:$F$1199,MATCH(629,Engine!$C$2:$C$1199,0)))</f>
        <v/>
      </c>
      <c r="G642" s="6" t="str">
        <f>IF(ISNA(MATCH(629,Engine!$C$2:$C$1199,0)),"",INDEX('Compliance Database'!$G$2:$G$1199,MATCH(629,Engine!$C$2:$C$1199,0)))</f>
        <v/>
      </c>
      <c r="H642" s="7" t="str">
        <f>IF(ISNA(MATCH(629,Engine!$C$2:$C$1199,0)),"",INDEX('Compliance Database'!$H$2:$H$1199,MATCH(629,Engine!$C$2:$C$1199,0)))</f>
        <v/>
      </c>
      <c r="I642" s="7" t="str">
        <f>IF(ISNA(MATCH(629,Engine!$C$2:$C$1199,0)),"",INDEX('Compliance Database'!$I$2:$I$1199,MATCH(629,Engine!$C$2:$C$1199,0)))</f>
        <v/>
      </c>
      <c r="J642" s="6" t="str">
        <f>IF(ISNA(MATCH(629,Engine!$C$2:$C$1199,0)),"",INDEX('Compliance Database'!$J$2:$J$1199,MATCH(629,Engine!$C$2:$C$1199,0)))</f>
        <v/>
      </c>
      <c r="K642" s="7" t="str">
        <f>IF(ISNA(MATCH(629,Engine!$C$2:$C$1199,0)),"",INDEX('Compliance Database'!$K$2:$K$1199,MATCH(629,Engine!$C$2:$C$1199,0)))</f>
        <v/>
      </c>
      <c r="L642" s="7" t="str">
        <f>IF(ISNA(MATCH(629,Engine!$C$2:$C$1199,0)),"",INDEX('Compliance Database'!$L$2:$L$1199,MATCH(629,Engine!$C$2:$C$1199,0)))</f>
        <v/>
      </c>
      <c r="M642" s="7" t="str">
        <f>IF(ISNA(MATCH(629,Engine!$C$2:$C$1199,0)),"",INDEX('Compliance Database'!$M$2:$M$1199,MATCH(629,Engine!$C$2:$C$1199,0)))</f>
        <v/>
      </c>
      <c r="N642" s="7" t="str">
        <f>IF(ISNA(MATCH(629,Engine!$C$2:$C$1199,0)),"",INDEX('Compliance Database'!$N$2:$N$1199,MATCH(629,Engine!$C$2:$C$1199,0)))</f>
        <v/>
      </c>
      <c r="O642" s="7" t="str">
        <f>IF(ISNA(MATCH(629,Engine!$C$2:$C$1199,0)),"",INDEX('Compliance Database'!$O$2:$O$1199,MATCH(629,Engine!$C$2:$C$1199,0)))</f>
        <v/>
      </c>
      <c r="P642" s="6" t="str">
        <f>IF(ISNA(MATCH(629,Engine!$C$2:$C$1199,0)),"",HYPERLINK("#Acts!A"&amp;INDEX('Compliance Database'!$P$2:$P$1199,MATCH(629,Engine!$C$2:$C$1199,0)),"Go to Act"))</f>
        <v/>
      </c>
    </row>
    <row r="643" spans="1:16" ht="172.95" customHeight="1" x14ac:dyDescent="0.3">
      <c r="A643" s="6" t="str">
        <f>IF(ISNA(MATCH(630,Engine!$C$2:$C$1199,0)),"",INDEX('Compliance Database'!$A$2:$A$1199,MATCH(630,Engine!$C$2:$C$1199,0)))</f>
        <v/>
      </c>
      <c r="B643" s="6" t="str">
        <f>IF(ISNA(MATCH(630,Engine!$C$2:$C$1199,0)),"",INDEX('Compliance Database'!$B$2:$B$1199,MATCH(630,Engine!$C$2:$C$1199,0)))</f>
        <v/>
      </c>
      <c r="C643" s="6" t="str">
        <f>IF(ISNA(MATCH(630,Engine!$C$2:$C$1199,0)),"",INDEX('Compliance Database'!$C$2:$C$1199,MATCH(630,Engine!$C$2:$C$1199,0)))</f>
        <v/>
      </c>
      <c r="D643" s="7" t="str">
        <f>IF(ISNA(MATCH(630,Engine!$C$2:$C$1199,0)),"",INDEX('Compliance Database'!$D$2:$D$1199,MATCH(630,Engine!$C$2:$C$1199,0)))</f>
        <v/>
      </c>
      <c r="E643" s="6" t="str">
        <f>IF(ISNA(MATCH(630,Engine!$C$2:$C$1199,0)),"",INDEX('Compliance Database'!$E$2:$E$1199,MATCH(630,Engine!$C$2:$C$1199,0)))</f>
        <v/>
      </c>
      <c r="F643" s="6" t="str">
        <f>IF(ISNA(MATCH(630,Engine!$C$2:$C$1199,0)),"",INDEX('Compliance Database'!$F$2:$F$1199,MATCH(630,Engine!$C$2:$C$1199,0)))</f>
        <v/>
      </c>
      <c r="G643" s="6" t="str">
        <f>IF(ISNA(MATCH(630,Engine!$C$2:$C$1199,0)),"",INDEX('Compliance Database'!$G$2:$G$1199,MATCH(630,Engine!$C$2:$C$1199,0)))</f>
        <v/>
      </c>
      <c r="H643" s="7" t="str">
        <f>IF(ISNA(MATCH(630,Engine!$C$2:$C$1199,0)),"",INDEX('Compliance Database'!$H$2:$H$1199,MATCH(630,Engine!$C$2:$C$1199,0)))</f>
        <v/>
      </c>
      <c r="I643" s="7" t="str">
        <f>IF(ISNA(MATCH(630,Engine!$C$2:$C$1199,0)),"",INDEX('Compliance Database'!$I$2:$I$1199,MATCH(630,Engine!$C$2:$C$1199,0)))</f>
        <v/>
      </c>
      <c r="J643" s="6" t="str">
        <f>IF(ISNA(MATCH(630,Engine!$C$2:$C$1199,0)),"",INDEX('Compliance Database'!$J$2:$J$1199,MATCH(630,Engine!$C$2:$C$1199,0)))</f>
        <v/>
      </c>
      <c r="K643" s="7" t="str">
        <f>IF(ISNA(MATCH(630,Engine!$C$2:$C$1199,0)),"",INDEX('Compliance Database'!$K$2:$K$1199,MATCH(630,Engine!$C$2:$C$1199,0)))</f>
        <v/>
      </c>
      <c r="L643" s="7" t="str">
        <f>IF(ISNA(MATCH(630,Engine!$C$2:$C$1199,0)),"",INDEX('Compliance Database'!$L$2:$L$1199,MATCH(630,Engine!$C$2:$C$1199,0)))</f>
        <v/>
      </c>
      <c r="M643" s="7" t="str">
        <f>IF(ISNA(MATCH(630,Engine!$C$2:$C$1199,0)),"",INDEX('Compliance Database'!$M$2:$M$1199,MATCH(630,Engine!$C$2:$C$1199,0)))</f>
        <v/>
      </c>
      <c r="N643" s="7" t="str">
        <f>IF(ISNA(MATCH(630,Engine!$C$2:$C$1199,0)),"",INDEX('Compliance Database'!$N$2:$N$1199,MATCH(630,Engine!$C$2:$C$1199,0)))</f>
        <v/>
      </c>
      <c r="O643" s="7" t="str">
        <f>IF(ISNA(MATCH(630,Engine!$C$2:$C$1199,0)),"",INDEX('Compliance Database'!$O$2:$O$1199,MATCH(630,Engine!$C$2:$C$1199,0)))</f>
        <v/>
      </c>
      <c r="P643" s="6" t="str">
        <f>IF(ISNA(MATCH(630,Engine!$C$2:$C$1199,0)),"",HYPERLINK("#Acts!A"&amp;INDEX('Compliance Database'!$P$2:$P$1199,MATCH(630,Engine!$C$2:$C$1199,0)),"Go to Act"))</f>
        <v/>
      </c>
    </row>
    <row r="644" spans="1:16" ht="172.95" customHeight="1" x14ac:dyDescent="0.3">
      <c r="A644" s="6" t="str">
        <f>IF(ISNA(MATCH(631,Engine!$C$2:$C$1199,0)),"",INDEX('Compliance Database'!$A$2:$A$1199,MATCH(631,Engine!$C$2:$C$1199,0)))</f>
        <v/>
      </c>
      <c r="B644" s="6" t="str">
        <f>IF(ISNA(MATCH(631,Engine!$C$2:$C$1199,0)),"",INDEX('Compliance Database'!$B$2:$B$1199,MATCH(631,Engine!$C$2:$C$1199,0)))</f>
        <v/>
      </c>
      <c r="C644" s="6" t="str">
        <f>IF(ISNA(MATCH(631,Engine!$C$2:$C$1199,0)),"",INDEX('Compliance Database'!$C$2:$C$1199,MATCH(631,Engine!$C$2:$C$1199,0)))</f>
        <v/>
      </c>
      <c r="D644" s="7" t="str">
        <f>IF(ISNA(MATCH(631,Engine!$C$2:$C$1199,0)),"",INDEX('Compliance Database'!$D$2:$D$1199,MATCH(631,Engine!$C$2:$C$1199,0)))</f>
        <v/>
      </c>
      <c r="E644" s="6" t="str">
        <f>IF(ISNA(MATCH(631,Engine!$C$2:$C$1199,0)),"",INDEX('Compliance Database'!$E$2:$E$1199,MATCH(631,Engine!$C$2:$C$1199,0)))</f>
        <v/>
      </c>
      <c r="F644" s="6" t="str">
        <f>IF(ISNA(MATCH(631,Engine!$C$2:$C$1199,0)),"",INDEX('Compliance Database'!$F$2:$F$1199,MATCH(631,Engine!$C$2:$C$1199,0)))</f>
        <v/>
      </c>
      <c r="G644" s="6" t="str">
        <f>IF(ISNA(MATCH(631,Engine!$C$2:$C$1199,0)),"",INDEX('Compliance Database'!$G$2:$G$1199,MATCH(631,Engine!$C$2:$C$1199,0)))</f>
        <v/>
      </c>
      <c r="H644" s="7" t="str">
        <f>IF(ISNA(MATCH(631,Engine!$C$2:$C$1199,0)),"",INDEX('Compliance Database'!$H$2:$H$1199,MATCH(631,Engine!$C$2:$C$1199,0)))</f>
        <v/>
      </c>
      <c r="I644" s="7" t="str">
        <f>IF(ISNA(MATCH(631,Engine!$C$2:$C$1199,0)),"",INDEX('Compliance Database'!$I$2:$I$1199,MATCH(631,Engine!$C$2:$C$1199,0)))</f>
        <v/>
      </c>
      <c r="J644" s="6" t="str">
        <f>IF(ISNA(MATCH(631,Engine!$C$2:$C$1199,0)),"",INDEX('Compliance Database'!$J$2:$J$1199,MATCH(631,Engine!$C$2:$C$1199,0)))</f>
        <v/>
      </c>
      <c r="K644" s="7" t="str">
        <f>IF(ISNA(MATCH(631,Engine!$C$2:$C$1199,0)),"",INDEX('Compliance Database'!$K$2:$K$1199,MATCH(631,Engine!$C$2:$C$1199,0)))</f>
        <v/>
      </c>
      <c r="L644" s="7" t="str">
        <f>IF(ISNA(MATCH(631,Engine!$C$2:$C$1199,0)),"",INDEX('Compliance Database'!$L$2:$L$1199,MATCH(631,Engine!$C$2:$C$1199,0)))</f>
        <v/>
      </c>
      <c r="M644" s="7" t="str">
        <f>IF(ISNA(MATCH(631,Engine!$C$2:$C$1199,0)),"",INDEX('Compliance Database'!$M$2:$M$1199,MATCH(631,Engine!$C$2:$C$1199,0)))</f>
        <v/>
      </c>
      <c r="N644" s="7" t="str">
        <f>IF(ISNA(MATCH(631,Engine!$C$2:$C$1199,0)),"",INDEX('Compliance Database'!$N$2:$N$1199,MATCH(631,Engine!$C$2:$C$1199,0)))</f>
        <v/>
      </c>
      <c r="O644" s="7" t="str">
        <f>IF(ISNA(MATCH(631,Engine!$C$2:$C$1199,0)),"",INDEX('Compliance Database'!$O$2:$O$1199,MATCH(631,Engine!$C$2:$C$1199,0)))</f>
        <v/>
      </c>
      <c r="P644" s="6" t="str">
        <f>IF(ISNA(MATCH(631,Engine!$C$2:$C$1199,0)),"",HYPERLINK("#Acts!A"&amp;INDEX('Compliance Database'!$P$2:$P$1199,MATCH(631,Engine!$C$2:$C$1199,0)),"Go to Act"))</f>
        <v/>
      </c>
    </row>
    <row r="645" spans="1:16" ht="172.95" customHeight="1" x14ac:dyDescent="0.3">
      <c r="A645" s="6" t="str">
        <f>IF(ISNA(MATCH(632,Engine!$C$2:$C$1199,0)),"",INDEX('Compliance Database'!$A$2:$A$1199,MATCH(632,Engine!$C$2:$C$1199,0)))</f>
        <v/>
      </c>
      <c r="B645" s="6" t="str">
        <f>IF(ISNA(MATCH(632,Engine!$C$2:$C$1199,0)),"",INDEX('Compliance Database'!$B$2:$B$1199,MATCH(632,Engine!$C$2:$C$1199,0)))</f>
        <v/>
      </c>
      <c r="C645" s="6" t="str">
        <f>IF(ISNA(MATCH(632,Engine!$C$2:$C$1199,0)),"",INDEX('Compliance Database'!$C$2:$C$1199,MATCH(632,Engine!$C$2:$C$1199,0)))</f>
        <v/>
      </c>
      <c r="D645" s="7" t="str">
        <f>IF(ISNA(MATCH(632,Engine!$C$2:$C$1199,0)),"",INDEX('Compliance Database'!$D$2:$D$1199,MATCH(632,Engine!$C$2:$C$1199,0)))</f>
        <v/>
      </c>
      <c r="E645" s="6" t="str">
        <f>IF(ISNA(MATCH(632,Engine!$C$2:$C$1199,0)),"",INDEX('Compliance Database'!$E$2:$E$1199,MATCH(632,Engine!$C$2:$C$1199,0)))</f>
        <v/>
      </c>
      <c r="F645" s="6" t="str">
        <f>IF(ISNA(MATCH(632,Engine!$C$2:$C$1199,0)),"",INDEX('Compliance Database'!$F$2:$F$1199,MATCH(632,Engine!$C$2:$C$1199,0)))</f>
        <v/>
      </c>
      <c r="G645" s="6" t="str">
        <f>IF(ISNA(MATCH(632,Engine!$C$2:$C$1199,0)),"",INDEX('Compliance Database'!$G$2:$G$1199,MATCH(632,Engine!$C$2:$C$1199,0)))</f>
        <v/>
      </c>
      <c r="H645" s="7" t="str">
        <f>IF(ISNA(MATCH(632,Engine!$C$2:$C$1199,0)),"",INDEX('Compliance Database'!$H$2:$H$1199,MATCH(632,Engine!$C$2:$C$1199,0)))</f>
        <v/>
      </c>
      <c r="I645" s="7" t="str">
        <f>IF(ISNA(MATCH(632,Engine!$C$2:$C$1199,0)),"",INDEX('Compliance Database'!$I$2:$I$1199,MATCH(632,Engine!$C$2:$C$1199,0)))</f>
        <v/>
      </c>
      <c r="J645" s="6" t="str">
        <f>IF(ISNA(MATCH(632,Engine!$C$2:$C$1199,0)),"",INDEX('Compliance Database'!$J$2:$J$1199,MATCH(632,Engine!$C$2:$C$1199,0)))</f>
        <v/>
      </c>
      <c r="K645" s="7" t="str">
        <f>IF(ISNA(MATCH(632,Engine!$C$2:$C$1199,0)),"",INDEX('Compliance Database'!$K$2:$K$1199,MATCH(632,Engine!$C$2:$C$1199,0)))</f>
        <v/>
      </c>
      <c r="L645" s="7" t="str">
        <f>IF(ISNA(MATCH(632,Engine!$C$2:$C$1199,0)),"",INDEX('Compliance Database'!$L$2:$L$1199,MATCH(632,Engine!$C$2:$C$1199,0)))</f>
        <v/>
      </c>
      <c r="M645" s="7" t="str">
        <f>IF(ISNA(MATCH(632,Engine!$C$2:$C$1199,0)),"",INDEX('Compliance Database'!$M$2:$M$1199,MATCH(632,Engine!$C$2:$C$1199,0)))</f>
        <v/>
      </c>
      <c r="N645" s="7" t="str">
        <f>IF(ISNA(MATCH(632,Engine!$C$2:$C$1199,0)),"",INDEX('Compliance Database'!$N$2:$N$1199,MATCH(632,Engine!$C$2:$C$1199,0)))</f>
        <v/>
      </c>
      <c r="O645" s="7" t="str">
        <f>IF(ISNA(MATCH(632,Engine!$C$2:$C$1199,0)),"",INDEX('Compliance Database'!$O$2:$O$1199,MATCH(632,Engine!$C$2:$C$1199,0)))</f>
        <v/>
      </c>
      <c r="P645" s="6" t="str">
        <f>IF(ISNA(MATCH(632,Engine!$C$2:$C$1199,0)),"",HYPERLINK("#Acts!A"&amp;INDEX('Compliance Database'!$P$2:$P$1199,MATCH(632,Engine!$C$2:$C$1199,0)),"Go to Act"))</f>
        <v/>
      </c>
    </row>
    <row r="646" spans="1:16" ht="172.95" customHeight="1" x14ac:dyDescent="0.3">
      <c r="A646" s="6" t="str">
        <f>IF(ISNA(MATCH(633,Engine!$C$2:$C$1199,0)),"",INDEX('Compliance Database'!$A$2:$A$1199,MATCH(633,Engine!$C$2:$C$1199,0)))</f>
        <v/>
      </c>
      <c r="B646" s="6" t="str">
        <f>IF(ISNA(MATCH(633,Engine!$C$2:$C$1199,0)),"",INDEX('Compliance Database'!$B$2:$B$1199,MATCH(633,Engine!$C$2:$C$1199,0)))</f>
        <v/>
      </c>
      <c r="C646" s="6" t="str">
        <f>IF(ISNA(MATCH(633,Engine!$C$2:$C$1199,0)),"",INDEX('Compliance Database'!$C$2:$C$1199,MATCH(633,Engine!$C$2:$C$1199,0)))</f>
        <v/>
      </c>
      <c r="D646" s="7" t="str">
        <f>IF(ISNA(MATCH(633,Engine!$C$2:$C$1199,0)),"",INDEX('Compliance Database'!$D$2:$D$1199,MATCH(633,Engine!$C$2:$C$1199,0)))</f>
        <v/>
      </c>
      <c r="E646" s="6" t="str">
        <f>IF(ISNA(MATCH(633,Engine!$C$2:$C$1199,0)),"",INDEX('Compliance Database'!$E$2:$E$1199,MATCH(633,Engine!$C$2:$C$1199,0)))</f>
        <v/>
      </c>
      <c r="F646" s="6" t="str">
        <f>IF(ISNA(MATCH(633,Engine!$C$2:$C$1199,0)),"",INDEX('Compliance Database'!$F$2:$F$1199,MATCH(633,Engine!$C$2:$C$1199,0)))</f>
        <v/>
      </c>
      <c r="G646" s="6" t="str">
        <f>IF(ISNA(MATCH(633,Engine!$C$2:$C$1199,0)),"",INDEX('Compliance Database'!$G$2:$G$1199,MATCH(633,Engine!$C$2:$C$1199,0)))</f>
        <v/>
      </c>
      <c r="H646" s="7" t="str">
        <f>IF(ISNA(MATCH(633,Engine!$C$2:$C$1199,0)),"",INDEX('Compliance Database'!$H$2:$H$1199,MATCH(633,Engine!$C$2:$C$1199,0)))</f>
        <v/>
      </c>
      <c r="I646" s="7" t="str">
        <f>IF(ISNA(MATCH(633,Engine!$C$2:$C$1199,0)),"",INDEX('Compliance Database'!$I$2:$I$1199,MATCH(633,Engine!$C$2:$C$1199,0)))</f>
        <v/>
      </c>
      <c r="J646" s="6" t="str">
        <f>IF(ISNA(MATCH(633,Engine!$C$2:$C$1199,0)),"",INDEX('Compliance Database'!$J$2:$J$1199,MATCH(633,Engine!$C$2:$C$1199,0)))</f>
        <v/>
      </c>
      <c r="K646" s="7" t="str">
        <f>IF(ISNA(MATCH(633,Engine!$C$2:$C$1199,0)),"",INDEX('Compliance Database'!$K$2:$K$1199,MATCH(633,Engine!$C$2:$C$1199,0)))</f>
        <v/>
      </c>
      <c r="L646" s="7" t="str">
        <f>IF(ISNA(MATCH(633,Engine!$C$2:$C$1199,0)),"",INDEX('Compliance Database'!$L$2:$L$1199,MATCH(633,Engine!$C$2:$C$1199,0)))</f>
        <v/>
      </c>
      <c r="M646" s="7" t="str">
        <f>IF(ISNA(MATCH(633,Engine!$C$2:$C$1199,0)),"",INDEX('Compliance Database'!$M$2:$M$1199,MATCH(633,Engine!$C$2:$C$1199,0)))</f>
        <v/>
      </c>
      <c r="N646" s="7" t="str">
        <f>IF(ISNA(MATCH(633,Engine!$C$2:$C$1199,0)),"",INDEX('Compliance Database'!$N$2:$N$1199,MATCH(633,Engine!$C$2:$C$1199,0)))</f>
        <v/>
      </c>
      <c r="O646" s="7" t="str">
        <f>IF(ISNA(MATCH(633,Engine!$C$2:$C$1199,0)),"",INDEX('Compliance Database'!$O$2:$O$1199,MATCH(633,Engine!$C$2:$C$1199,0)))</f>
        <v/>
      </c>
      <c r="P646" s="6" t="str">
        <f>IF(ISNA(MATCH(633,Engine!$C$2:$C$1199,0)),"",HYPERLINK("#Acts!A"&amp;INDEX('Compliance Database'!$P$2:$P$1199,MATCH(633,Engine!$C$2:$C$1199,0)),"Go to Act"))</f>
        <v/>
      </c>
    </row>
    <row r="647" spans="1:16" ht="172.95" customHeight="1" x14ac:dyDescent="0.3">
      <c r="A647" s="6" t="str">
        <f>IF(ISNA(MATCH(634,Engine!$C$2:$C$1199,0)),"",INDEX('Compliance Database'!$A$2:$A$1199,MATCH(634,Engine!$C$2:$C$1199,0)))</f>
        <v/>
      </c>
      <c r="B647" s="6" t="str">
        <f>IF(ISNA(MATCH(634,Engine!$C$2:$C$1199,0)),"",INDEX('Compliance Database'!$B$2:$B$1199,MATCH(634,Engine!$C$2:$C$1199,0)))</f>
        <v/>
      </c>
      <c r="C647" s="6" t="str">
        <f>IF(ISNA(MATCH(634,Engine!$C$2:$C$1199,0)),"",INDEX('Compliance Database'!$C$2:$C$1199,MATCH(634,Engine!$C$2:$C$1199,0)))</f>
        <v/>
      </c>
      <c r="D647" s="7" t="str">
        <f>IF(ISNA(MATCH(634,Engine!$C$2:$C$1199,0)),"",INDEX('Compliance Database'!$D$2:$D$1199,MATCH(634,Engine!$C$2:$C$1199,0)))</f>
        <v/>
      </c>
      <c r="E647" s="6" t="str">
        <f>IF(ISNA(MATCH(634,Engine!$C$2:$C$1199,0)),"",INDEX('Compliance Database'!$E$2:$E$1199,MATCH(634,Engine!$C$2:$C$1199,0)))</f>
        <v/>
      </c>
      <c r="F647" s="6" t="str">
        <f>IF(ISNA(MATCH(634,Engine!$C$2:$C$1199,0)),"",INDEX('Compliance Database'!$F$2:$F$1199,MATCH(634,Engine!$C$2:$C$1199,0)))</f>
        <v/>
      </c>
      <c r="G647" s="6" t="str">
        <f>IF(ISNA(MATCH(634,Engine!$C$2:$C$1199,0)),"",INDEX('Compliance Database'!$G$2:$G$1199,MATCH(634,Engine!$C$2:$C$1199,0)))</f>
        <v/>
      </c>
      <c r="H647" s="7" t="str">
        <f>IF(ISNA(MATCH(634,Engine!$C$2:$C$1199,0)),"",INDEX('Compliance Database'!$H$2:$H$1199,MATCH(634,Engine!$C$2:$C$1199,0)))</f>
        <v/>
      </c>
      <c r="I647" s="7" t="str">
        <f>IF(ISNA(MATCH(634,Engine!$C$2:$C$1199,0)),"",INDEX('Compliance Database'!$I$2:$I$1199,MATCH(634,Engine!$C$2:$C$1199,0)))</f>
        <v/>
      </c>
      <c r="J647" s="6" t="str">
        <f>IF(ISNA(MATCH(634,Engine!$C$2:$C$1199,0)),"",INDEX('Compliance Database'!$J$2:$J$1199,MATCH(634,Engine!$C$2:$C$1199,0)))</f>
        <v/>
      </c>
      <c r="K647" s="7" t="str">
        <f>IF(ISNA(MATCH(634,Engine!$C$2:$C$1199,0)),"",INDEX('Compliance Database'!$K$2:$K$1199,MATCH(634,Engine!$C$2:$C$1199,0)))</f>
        <v/>
      </c>
      <c r="L647" s="7" t="str">
        <f>IF(ISNA(MATCH(634,Engine!$C$2:$C$1199,0)),"",INDEX('Compliance Database'!$L$2:$L$1199,MATCH(634,Engine!$C$2:$C$1199,0)))</f>
        <v/>
      </c>
      <c r="M647" s="7" t="str">
        <f>IF(ISNA(MATCH(634,Engine!$C$2:$C$1199,0)),"",INDEX('Compliance Database'!$M$2:$M$1199,MATCH(634,Engine!$C$2:$C$1199,0)))</f>
        <v/>
      </c>
      <c r="N647" s="7" t="str">
        <f>IF(ISNA(MATCH(634,Engine!$C$2:$C$1199,0)),"",INDEX('Compliance Database'!$N$2:$N$1199,MATCH(634,Engine!$C$2:$C$1199,0)))</f>
        <v/>
      </c>
      <c r="O647" s="7" t="str">
        <f>IF(ISNA(MATCH(634,Engine!$C$2:$C$1199,0)),"",INDEX('Compliance Database'!$O$2:$O$1199,MATCH(634,Engine!$C$2:$C$1199,0)))</f>
        <v/>
      </c>
      <c r="P647" s="6" t="str">
        <f>IF(ISNA(MATCH(634,Engine!$C$2:$C$1199,0)),"",HYPERLINK("#Acts!A"&amp;INDEX('Compliance Database'!$P$2:$P$1199,MATCH(634,Engine!$C$2:$C$1199,0)),"Go to Act"))</f>
        <v/>
      </c>
    </row>
    <row r="648" spans="1:16" ht="172.95" customHeight="1" x14ac:dyDescent="0.3">
      <c r="A648" s="6" t="str">
        <f>IF(ISNA(MATCH(635,Engine!$C$2:$C$1199,0)),"",INDEX('Compliance Database'!$A$2:$A$1199,MATCH(635,Engine!$C$2:$C$1199,0)))</f>
        <v/>
      </c>
      <c r="B648" s="6" t="str">
        <f>IF(ISNA(MATCH(635,Engine!$C$2:$C$1199,0)),"",INDEX('Compliance Database'!$B$2:$B$1199,MATCH(635,Engine!$C$2:$C$1199,0)))</f>
        <v/>
      </c>
      <c r="C648" s="6" t="str">
        <f>IF(ISNA(MATCH(635,Engine!$C$2:$C$1199,0)),"",INDEX('Compliance Database'!$C$2:$C$1199,MATCH(635,Engine!$C$2:$C$1199,0)))</f>
        <v/>
      </c>
      <c r="D648" s="7" t="str">
        <f>IF(ISNA(MATCH(635,Engine!$C$2:$C$1199,0)),"",INDEX('Compliance Database'!$D$2:$D$1199,MATCH(635,Engine!$C$2:$C$1199,0)))</f>
        <v/>
      </c>
      <c r="E648" s="6" t="str">
        <f>IF(ISNA(MATCH(635,Engine!$C$2:$C$1199,0)),"",INDEX('Compliance Database'!$E$2:$E$1199,MATCH(635,Engine!$C$2:$C$1199,0)))</f>
        <v/>
      </c>
      <c r="F648" s="6" t="str">
        <f>IF(ISNA(MATCH(635,Engine!$C$2:$C$1199,0)),"",INDEX('Compliance Database'!$F$2:$F$1199,MATCH(635,Engine!$C$2:$C$1199,0)))</f>
        <v/>
      </c>
      <c r="G648" s="6" t="str">
        <f>IF(ISNA(MATCH(635,Engine!$C$2:$C$1199,0)),"",INDEX('Compliance Database'!$G$2:$G$1199,MATCH(635,Engine!$C$2:$C$1199,0)))</f>
        <v/>
      </c>
      <c r="H648" s="7" t="str">
        <f>IF(ISNA(MATCH(635,Engine!$C$2:$C$1199,0)),"",INDEX('Compliance Database'!$H$2:$H$1199,MATCH(635,Engine!$C$2:$C$1199,0)))</f>
        <v/>
      </c>
      <c r="I648" s="7" t="str">
        <f>IF(ISNA(MATCH(635,Engine!$C$2:$C$1199,0)),"",INDEX('Compliance Database'!$I$2:$I$1199,MATCH(635,Engine!$C$2:$C$1199,0)))</f>
        <v/>
      </c>
      <c r="J648" s="6" t="str">
        <f>IF(ISNA(MATCH(635,Engine!$C$2:$C$1199,0)),"",INDEX('Compliance Database'!$J$2:$J$1199,MATCH(635,Engine!$C$2:$C$1199,0)))</f>
        <v/>
      </c>
      <c r="K648" s="7" t="str">
        <f>IF(ISNA(MATCH(635,Engine!$C$2:$C$1199,0)),"",INDEX('Compliance Database'!$K$2:$K$1199,MATCH(635,Engine!$C$2:$C$1199,0)))</f>
        <v/>
      </c>
      <c r="L648" s="7" t="str">
        <f>IF(ISNA(MATCH(635,Engine!$C$2:$C$1199,0)),"",INDEX('Compliance Database'!$L$2:$L$1199,MATCH(635,Engine!$C$2:$C$1199,0)))</f>
        <v/>
      </c>
      <c r="M648" s="7" t="str">
        <f>IF(ISNA(MATCH(635,Engine!$C$2:$C$1199,0)),"",INDEX('Compliance Database'!$M$2:$M$1199,MATCH(635,Engine!$C$2:$C$1199,0)))</f>
        <v/>
      </c>
      <c r="N648" s="7" t="str">
        <f>IF(ISNA(MATCH(635,Engine!$C$2:$C$1199,0)),"",INDEX('Compliance Database'!$N$2:$N$1199,MATCH(635,Engine!$C$2:$C$1199,0)))</f>
        <v/>
      </c>
      <c r="O648" s="7" t="str">
        <f>IF(ISNA(MATCH(635,Engine!$C$2:$C$1199,0)),"",INDEX('Compliance Database'!$O$2:$O$1199,MATCH(635,Engine!$C$2:$C$1199,0)))</f>
        <v/>
      </c>
      <c r="P648" s="6" t="str">
        <f>IF(ISNA(MATCH(635,Engine!$C$2:$C$1199,0)),"",HYPERLINK("#Acts!A"&amp;INDEX('Compliance Database'!$P$2:$P$1199,MATCH(635,Engine!$C$2:$C$1199,0)),"Go to Act"))</f>
        <v/>
      </c>
    </row>
    <row r="649" spans="1:16" ht="172.95" customHeight="1" x14ac:dyDescent="0.3">
      <c r="A649" s="6" t="str">
        <f>IF(ISNA(MATCH(636,Engine!$C$2:$C$1199,0)),"",INDEX('Compliance Database'!$A$2:$A$1199,MATCH(636,Engine!$C$2:$C$1199,0)))</f>
        <v/>
      </c>
      <c r="B649" s="6" t="str">
        <f>IF(ISNA(MATCH(636,Engine!$C$2:$C$1199,0)),"",INDEX('Compliance Database'!$B$2:$B$1199,MATCH(636,Engine!$C$2:$C$1199,0)))</f>
        <v/>
      </c>
      <c r="C649" s="6" t="str">
        <f>IF(ISNA(MATCH(636,Engine!$C$2:$C$1199,0)),"",INDEX('Compliance Database'!$C$2:$C$1199,MATCH(636,Engine!$C$2:$C$1199,0)))</f>
        <v/>
      </c>
      <c r="D649" s="7" t="str">
        <f>IF(ISNA(MATCH(636,Engine!$C$2:$C$1199,0)),"",INDEX('Compliance Database'!$D$2:$D$1199,MATCH(636,Engine!$C$2:$C$1199,0)))</f>
        <v/>
      </c>
      <c r="E649" s="6" t="str">
        <f>IF(ISNA(MATCH(636,Engine!$C$2:$C$1199,0)),"",INDEX('Compliance Database'!$E$2:$E$1199,MATCH(636,Engine!$C$2:$C$1199,0)))</f>
        <v/>
      </c>
      <c r="F649" s="6" t="str">
        <f>IF(ISNA(MATCH(636,Engine!$C$2:$C$1199,0)),"",INDEX('Compliance Database'!$F$2:$F$1199,MATCH(636,Engine!$C$2:$C$1199,0)))</f>
        <v/>
      </c>
      <c r="G649" s="6" t="str">
        <f>IF(ISNA(MATCH(636,Engine!$C$2:$C$1199,0)),"",INDEX('Compliance Database'!$G$2:$G$1199,MATCH(636,Engine!$C$2:$C$1199,0)))</f>
        <v/>
      </c>
      <c r="H649" s="7" t="str">
        <f>IF(ISNA(MATCH(636,Engine!$C$2:$C$1199,0)),"",INDEX('Compliance Database'!$H$2:$H$1199,MATCH(636,Engine!$C$2:$C$1199,0)))</f>
        <v/>
      </c>
      <c r="I649" s="7" t="str">
        <f>IF(ISNA(MATCH(636,Engine!$C$2:$C$1199,0)),"",INDEX('Compliance Database'!$I$2:$I$1199,MATCH(636,Engine!$C$2:$C$1199,0)))</f>
        <v/>
      </c>
      <c r="J649" s="6" t="str">
        <f>IF(ISNA(MATCH(636,Engine!$C$2:$C$1199,0)),"",INDEX('Compliance Database'!$J$2:$J$1199,MATCH(636,Engine!$C$2:$C$1199,0)))</f>
        <v/>
      </c>
      <c r="K649" s="7" t="str">
        <f>IF(ISNA(MATCH(636,Engine!$C$2:$C$1199,0)),"",INDEX('Compliance Database'!$K$2:$K$1199,MATCH(636,Engine!$C$2:$C$1199,0)))</f>
        <v/>
      </c>
      <c r="L649" s="7" t="str">
        <f>IF(ISNA(MATCH(636,Engine!$C$2:$C$1199,0)),"",INDEX('Compliance Database'!$L$2:$L$1199,MATCH(636,Engine!$C$2:$C$1199,0)))</f>
        <v/>
      </c>
      <c r="M649" s="7" t="str">
        <f>IF(ISNA(MATCH(636,Engine!$C$2:$C$1199,0)),"",INDEX('Compliance Database'!$M$2:$M$1199,MATCH(636,Engine!$C$2:$C$1199,0)))</f>
        <v/>
      </c>
      <c r="N649" s="7" t="str">
        <f>IF(ISNA(MATCH(636,Engine!$C$2:$C$1199,0)),"",INDEX('Compliance Database'!$N$2:$N$1199,MATCH(636,Engine!$C$2:$C$1199,0)))</f>
        <v/>
      </c>
      <c r="O649" s="7" t="str">
        <f>IF(ISNA(MATCH(636,Engine!$C$2:$C$1199,0)),"",INDEX('Compliance Database'!$O$2:$O$1199,MATCH(636,Engine!$C$2:$C$1199,0)))</f>
        <v/>
      </c>
      <c r="P649" s="6" t="str">
        <f>IF(ISNA(MATCH(636,Engine!$C$2:$C$1199,0)),"",HYPERLINK("#Acts!A"&amp;INDEX('Compliance Database'!$P$2:$P$1199,MATCH(636,Engine!$C$2:$C$1199,0)),"Go to Act"))</f>
        <v/>
      </c>
    </row>
    <row r="650" spans="1:16" ht="172.95" customHeight="1" x14ac:dyDescent="0.3">
      <c r="A650" s="6" t="str">
        <f>IF(ISNA(MATCH(637,Engine!$C$2:$C$1199,0)),"",INDEX('Compliance Database'!$A$2:$A$1199,MATCH(637,Engine!$C$2:$C$1199,0)))</f>
        <v/>
      </c>
      <c r="B650" s="6" t="str">
        <f>IF(ISNA(MATCH(637,Engine!$C$2:$C$1199,0)),"",INDEX('Compliance Database'!$B$2:$B$1199,MATCH(637,Engine!$C$2:$C$1199,0)))</f>
        <v/>
      </c>
      <c r="C650" s="6" t="str">
        <f>IF(ISNA(MATCH(637,Engine!$C$2:$C$1199,0)),"",INDEX('Compliance Database'!$C$2:$C$1199,MATCH(637,Engine!$C$2:$C$1199,0)))</f>
        <v/>
      </c>
      <c r="D650" s="7" t="str">
        <f>IF(ISNA(MATCH(637,Engine!$C$2:$C$1199,0)),"",INDEX('Compliance Database'!$D$2:$D$1199,MATCH(637,Engine!$C$2:$C$1199,0)))</f>
        <v/>
      </c>
      <c r="E650" s="6" t="str">
        <f>IF(ISNA(MATCH(637,Engine!$C$2:$C$1199,0)),"",INDEX('Compliance Database'!$E$2:$E$1199,MATCH(637,Engine!$C$2:$C$1199,0)))</f>
        <v/>
      </c>
      <c r="F650" s="6" t="str">
        <f>IF(ISNA(MATCH(637,Engine!$C$2:$C$1199,0)),"",INDEX('Compliance Database'!$F$2:$F$1199,MATCH(637,Engine!$C$2:$C$1199,0)))</f>
        <v/>
      </c>
      <c r="G650" s="6" t="str">
        <f>IF(ISNA(MATCH(637,Engine!$C$2:$C$1199,0)),"",INDEX('Compliance Database'!$G$2:$G$1199,MATCH(637,Engine!$C$2:$C$1199,0)))</f>
        <v/>
      </c>
      <c r="H650" s="7" t="str">
        <f>IF(ISNA(MATCH(637,Engine!$C$2:$C$1199,0)),"",INDEX('Compliance Database'!$H$2:$H$1199,MATCH(637,Engine!$C$2:$C$1199,0)))</f>
        <v/>
      </c>
      <c r="I650" s="7" t="str">
        <f>IF(ISNA(MATCH(637,Engine!$C$2:$C$1199,0)),"",INDEX('Compliance Database'!$I$2:$I$1199,MATCH(637,Engine!$C$2:$C$1199,0)))</f>
        <v/>
      </c>
      <c r="J650" s="6" t="str">
        <f>IF(ISNA(MATCH(637,Engine!$C$2:$C$1199,0)),"",INDEX('Compliance Database'!$J$2:$J$1199,MATCH(637,Engine!$C$2:$C$1199,0)))</f>
        <v/>
      </c>
      <c r="K650" s="7" t="str">
        <f>IF(ISNA(MATCH(637,Engine!$C$2:$C$1199,0)),"",INDEX('Compliance Database'!$K$2:$K$1199,MATCH(637,Engine!$C$2:$C$1199,0)))</f>
        <v/>
      </c>
      <c r="L650" s="7" t="str">
        <f>IF(ISNA(MATCH(637,Engine!$C$2:$C$1199,0)),"",INDEX('Compliance Database'!$L$2:$L$1199,MATCH(637,Engine!$C$2:$C$1199,0)))</f>
        <v/>
      </c>
      <c r="M650" s="7" t="str">
        <f>IF(ISNA(MATCH(637,Engine!$C$2:$C$1199,0)),"",INDEX('Compliance Database'!$M$2:$M$1199,MATCH(637,Engine!$C$2:$C$1199,0)))</f>
        <v/>
      </c>
      <c r="N650" s="7" t="str">
        <f>IF(ISNA(MATCH(637,Engine!$C$2:$C$1199,0)),"",INDEX('Compliance Database'!$N$2:$N$1199,MATCH(637,Engine!$C$2:$C$1199,0)))</f>
        <v/>
      </c>
      <c r="O650" s="7" t="str">
        <f>IF(ISNA(MATCH(637,Engine!$C$2:$C$1199,0)),"",INDEX('Compliance Database'!$O$2:$O$1199,MATCH(637,Engine!$C$2:$C$1199,0)))</f>
        <v/>
      </c>
      <c r="P650" s="6" t="str">
        <f>IF(ISNA(MATCH(637,Engine!$C$2:$C$1199,0)),"",HYPERLINK("#Acts!A"&amp;INDEX('Compliance Database'!$P$2:$P$1199,MATCH(637,Engine!$C$2:$C$1199,0)),"Go to Act"))</f>
        <v/>
      </c>
    </row>
    <row r="651" spans="1:16" ht="172.95" customHeight="1" x14ac:dyDescent="0.3">
      <c r="A651" s="6" t="str">
        <f>IF(ISNA(MATCH(638,Engine!$C$2:$C$1199,0)),"",INDEX('Compliance Database'!$A$2:$A$1199,MATCH(638,Engine!$C$2:$C$1199,0)))</f>
        <v/>
      </c>
      <c r="B651" s="6" t="str">
        <f>IF(ISNA(MATCH(638,Engine!$C$2:$C$1199,0)),"",INDEX('Compliance Database'!$B$2:$B$1199,MATCH(638,Engine!$C$2:$C$1199,0)))</f>
        <v/>
      </c>
      <c r="C651" s="6" t="str">
        <f>IF(ISNA(MATCH(638,Engine!$C$2:$C$1199,0)),"",INDEX('Compliance Database'!$C$2:$C$1199,MATCH(638,Engine!$C$2:$C$1199,0)))</f>
        <v/>
      </c>
      <c r="D651" s="7" t="str">
        <f>IF(ISNA(MATCH(638,Engine!$C$2:$C$1199,0)),"",INDEX('Compliance Database'!$D$2:$D$1199,MATCH(638,Engine!$C$2:$C$1199,0)))</f>
        <v/>
      </c>
      <c r="E651" s="6" t="str">
        <f>IF(ISNA(MATCH(638,Engine!$C$2:$C$1199,0)),"",INDEX('Compliance Database'!$E$2:$E$1199,MATCH(638,Engine!$C$2:$C$1199,0)))</f>
        <v/>
      </c>
      <c r="F651" s="6" t="str">
        <f>IF(ISNA(MATCH(638,Engine!$C$2:$C$1199,0)),"",INDEX('Compliance Database'!$F$2:$F$1199,MATCH(638,Engine!$C$2:$C$1199,0)))</f>
        <v/>
      </c>
      <c r="G651" s="6" t="str">
        <f>IF(ISNA(MATCH(638,Engine!$C$2:$C$1199,0)),"",INDEX('Compliance Database'!$G$2:$G$1199,MATCH(638,Engine!$C$2:$C$1199,0)))</f>
        <v/>
      </c>
      <c r="H651" s="7" t="str">
        <f>IF(ISNA(MATCH(638,Engine!$C$2:$C$1199,0)),"",INDEX('Compliance Database'!$H$2:$H$1199,MATCH(638,Engine!$C$2:$C$1199,0)))</f>
        <v/>
      </c>
      <c r="I651" s="7" t="str">
        <f>IF(ISNA(MATCH(638,Engine!$C$2:$C$1199,0)),"",INDEX('Compliance Database'!$I$2:$I$1199,MATCH(638,Engine!$C$2:$C$1199,0)))</f>
        <v/>
      </c>
      <c r="J651" s="6" t="str">
        <f>IF(ISNA(MATCH(638,Engine!$C$2:$C$1199,0)),"",INDEX('Compliance Database'!$J$2:$J$1199,MATCH(638,Engine!$C$2:$C$1199,0)))</f>
        <v/>
      </c>
      <c r="K651" s="7" t="str">
        <f>IF(ISNA(MATCH(638,Engine!$C$2:$C$1199,0)),"",INDEX('Compliance Database'!$K$2:$K$1199,MATCH(638,Engine!$C$2:$C$1199,0)))</f>
        <v/>
      </c>
      <c r="L651" s="7" t="str">
        <f>IF(ISNA(MATCH(638,Engine!$C$2:$C$1199,0)),"",INDEX('Compliance Database'!$L$2:$L$1199,MATCH(638,Engine!$C$2:$C$1199,0)))</f>
        <v/>
      </c>
      <c r="M651" s="7" t="str">
        <f>IF(ISNA(MATCH(638,Engine!$C$2:$C$1199,0)),"",INDEX('Compliance Database'!$M$2:$M$1199,MATCH(638,Engine!$C$2:$C$1199,0)))</f>
        <v/>
      </c>
      <c r="N651" s="7" t="str">
        <f>IF(ISNA(MATCH(638,Engine!$C$2:$C$1199,0)),"",INDEX('Compliance Database'!$N$2:$N$1199,MATCH(638,Engine!$C$2:$C$1199,0)))</f>
        <v/>
      </c>
      <c r="O651" s="7" t="str">
        <f>IF(ISNA(MATCH(638,Engine!$C$2:$C$1199,0)),"",INDEX('Compliance Database'!$O$2:$O$1199,MATCH(638,Engine!$C$2:$C$1199,0)))</f>
        <v/>
      </c>
      <c r="P651" s="6" t="str">
        <f>IF(ISNA(MATCH(638,Engine!$C$2:$C$1199,0)),"",HYPERLINK("#Acts!A"&amp;INDEX('Compliance Database'!$P$2:$P$1199,MATCH(638,Engine!$C$2:$C$1199,0)),"Go to Act"))</f>
        <v/>
      </c>
    </row>
    <row r="652" spans="1:16" ht="172.95" customHeight="1" x14ac:dyDescent="0.3">
      <c r="A652" s="6" t="str">
        <f>IF(ISNA(MATCH(639,Engine!$C$2:$C$1199,0)),"",INDEX('Compliance Database'!$A$2:$A$1199,MATCH(639,Engine!$C$2:$C$1199,0)))</f>
        <v/>
      </c>
      <c r="B652" s="6" t="str">
        <f>IF(ISNA(MATCH(639,Engine!$C$2:$C$1199,0)),"",INDEX('Compliance Database'!$B$2:$B$1199,MATCH(639,Engine!$C$2:$C$1199,0)))</f>
        <v/>
      </c>
      <c r="C652" s="6" t="str">
        <f>IF(ISNA(MATCH(639,Engine!$C$2:$C$1199,0)),"",INDEX('Compliance Database'!$C$2:$C$1199,MATCH(639,Engine!$C$2:$C$1199,0)))</f>
        <v/>
      </c>
      <c r="D652" s="7" t="str">
        <f>IF(ISNA(MATCH(639,Engine!$C$2:$C$1199,0)),"",INDEX('Compliance Database'!$D$2:$D$1199,MATCH(639,Engine!$C$2:$C$1199,0)))</f>
        <v/>
      </c>
      <c r="E652" s="6" t="str">
        <f>IF(ISNA(MATCH(639,Engine!$C$2:$C$1199,0)),"",INDEX('Compliance Database'!$E$2:$E$1199,MATCH(639,Engine!$C$2:$C$1199,0)))</f>
        <v/>
      </c>
      <c r="F652" s="6" t="str">
        <f>IF(ISNA(MATCH(639,Engine!$C$2:$C$1199,0)),"",INDEX('Compliance Database'!$F$2:$F$1199,MATCH(639,Engine!$C$2:$C$1199,0)))</f>
        <v/>
      </c>
      <c r="G652" s="6" t="str">
        <f>IF(ISNA(MATCH(639,Engine!$C$2:$C$1199,0)),"",INDEX('Compliance Database'!$G$2:$G$1199,MATCH(639,Engine!$C$2:$C$1199,0)))</f>
        <v/>
      </c>
      <c r="H652" s="7" t="str">
        <f>IF(ISNA(MATCH(639,Engine!$C$2:$C$1199,0)),"",INDEX('Compliance Database'!$H$2:$H$1199,MATCH(639,Engine!$C$2:$C$1199,0)))</f>
        <v/>
      </c>
      <c r="I652" s="7" t="str">
        <f>IF(ISNA(MATCH(639,Engine!$C$2:$C$1199,0)),"",INDEX('Compliance Database'!$I$2:$I$1199,MATCH(639,Engine!$C$2:$C$1199,0)))</f>
        <v/>
      </c>
      <c r="J652" s="6" t="str">
        <f>IF(ISNA(MATCH(639,Engine!$C$2:$C$1199,0)),"",INDEX('Compliance Database'!$J$2:$J$1199,MATCH(639,Engine!$C$2:$C$1199,0)))</f>
        <v/>
      </c>
      <c r="K652" s="7" t="str">
        <f>IF(ISNA(MATCH(639,Engine!$C$2:$C$1199,0)),"",INDEX('Compliance Database'!$K$2:$K$1199,MATCH(639,Engine!$C$2:$C$1199,0)))</f>
        <v/>
      </c>
      <c r="L652" s="7" t="str">
        <f>IF(ISNA(MATCH(639,Engine!$C$2:$C$1199,0)),"",INDEX('Compliance Database'!$L$2:$L$1199,MATCH(639,Engine!$C$2:$C$1199,0)))</f>
        <v/>
      </c>
      <c r="M652" s="7" t="str">
        <f>IF(ISNA(MATCH(639,Engine!$C$2:$C$1199,0)),"",INDEX('Compliance Database'!$M$2:$M$1199,MATCH(639,Engine!$C$2:$C$1199,0)))</f>
        <v/>
      </c>
      <c r="N652" s="7" t="str">
        <f>IF(ISNA(MATCH(639,Engine!$C$2:$C$1199,0)),"",INDEX('Compliance Database'!$N$2:$N$1199,MATCH(639,Engine!$C$2:$C$1199,0)))</f>
        <v/>
      </c>
      <c r="O652" s="7" t="str">
        <f>IF(ISNA(MATCH(639,Engine!$C$2:$C$1199,0)),"",INDEX('Compliance Database'!$O$2:$O$1199,MATCH(639,Engine!$C$2:$C$1199,0)))</f>
        <v/>
      </c>
      <c r="P652" s="6" t="str">
        <f>IF(ISNA(MATCH(639,Engine!$C$2:$C$1199,0)),"",HYPERLINK("#Acts!A"&amp;INDEX('Compliance Database'!$P$2:$P$1199,MATCH(639,Engine!$C$2:$C$1199,0)),"Go to Act"))</f>
        <v/>
      </c>
    </row>
    <row r="653" spans="1:16" ht="172.95" customHeight="1" x14ac:dyDescent="0.3">
      <c r="A653" s="6" t="str">
        <f>IF(ISNA(MATCH(640,Engine!$C$2:$C$1199,0)),"",INDEX('Compliance Database'!$A$2:$A$1199,MATCH(640,Engine!$C$2:$C$1199,0)))</f>
        <v/>
      </c>
      <c r="B653" s="6" t="str">
        <f>IF(ISNA(MATCH(640,Engine!$C$2:$C$1199,0)),"",INDEX('Compliance Database'!$B$2:$B$1199,MATCH(640,Engine!$C$2:$C$1199,0)))</f>
        <v/>
      </c>
      <c r="C653" s="6" t="str">
        <f>IF(ISNA(MATCH(640,Engine!$C$2:$C$1199,0)),"",INDEX('Compliance Database'!$C$2:$C$1199,MATCH(640,Engine!$C$2:$C$1199,0)))</f>
        <v/>
      </c>
      <c r="D653" s="7" t="str">
        <f>IF(ISNA(MATCH(640,Engine!$C$2:$C$1199,0)),"",INDEX('Compliance Database'!$D$2:$D$1199,MATCH(640,Engine!$C$2:$C$1199,0)))</f>
        <v/>
      </c>
      <c r="E653" s="6" t="str">
        <f>IF(ISNA(MATCH(640,Engine!$C$2:$C$1199,0)),"",INDEX('Compliance Database'!$E$2:$E$1199,MATCH(640,Engine!$C$2:$C$1199,0)))</f>
        <v/>
      </c>
      <c r="F653" s="6" t="str">
        <f>IF(ISNA(MATCH(640,Engine!$C$2:$C$1199,0)),"",INDEX('Compliance Database'!$F$2:$F$1199,MATCH(640,Engine!$C$2:$C$1199,0)))</f>
        <v/>
      </c>
      <c r="G653" s="6" t="str">
        <f>IF(ISNA(MATCH(640,Engine!$C$2:$C$1199,0)),"",INDEX('Compliance Database'!$G$2:$G$1199,MATCH(640,Engine!$C$2:$C$1199,0)))</f>
        <v/>
      </c>
      <c r="H653" s="7" t="str">
        <f>IF(ISNA(MATCH(640,Engine!$C$2:$C$1199,0)),"",INDEX('Compliance Database'!$H$2:$H$1199,MATCH(640,Engine!$C$2:$C$1199,0)))</f>
        <v/>
      </c>
      <c r="I653" s="7" t="str">
        <f>IF(ISNA(MATCH(640,Engine!$C$2:$C$1199,0)),"",INDEX('Compliance Database'!$I$2:$I$1199,MATCH(640,Engine!$C$2:$C$1199,0)))</f>
        <v/>
      </c>
      <c r="J653" s="6" t="str">
        <f>IF(ISNA(MATCH(640,Engine!$C$2:$C$1199,0)),"",INDEX('Compliance Database'!$J$2:$J$1199,MATCH(640,Engine!$C$2:$C$1199,0)))</f>
        <v/>
      </c>
      <c r="K653" s="7" t="str">
        <f>IF(ISNA(MATCH(640,Engine!$C$2:$C$1199,0)),"",INDEX('Compliance Database'!$K$2:$K$1199,MATCH(640,Engine!$C$2:$C$1199,0)))</f>
        <v/>
      </c>
      <c r="L653" s="7" t="str">
        <f>IF(ISNA(MATCH(640,Engine!$C$2:$C$1199,0)),"",INDEX('Compliance Database'!$L$2:$L$1199,MATCH(640,Engine!$C$2:$C$1199,0)))</f>
        <v/>
      </c>
      <c r="M653" s="7" t="str">
        <f>IF(ISNA(MATCH(640,Engine!$C$2:$C$1199,0)),"",INDEX('Compliance Database'!$M$2:$M$1199,MATCH(640,Engine!$C$2:$C$1199,0)))</f>
        <v/>
      </c>
      <c r="N653" s="7" t="str">
        <f>IF(ISNA(MATCH(640,Engine!$C$2:$C$1199,0)),"",INDEX('Compliance Database'!$N$2:$N$1199,MATCH(640,Engine!$C$2:$C$1199,0)))</f>
        <v/>
      </c>
      <c r="O653" s="7" t="str">
        <f>IF(ISNA(MATCH(640,Engine!$C$2:$C$1199,0)),"",INDEX('Compliance Database'!$O$2:$O$1199,MATCH(640,Engine!$C$2:$C$1199,0)))</f>
        <v/>
      </c>
      <c r="P653" s="6" t="str">
        <f>IF(ISNA(MATCH(640,Engine!$C$2:$C$1199,0)),"",HYPERLINK("#Acts!A"&amp;INDEX('Compliance Database'!$P$2:$P$1199,MATCH(640,Engine!$C$2:$C$1199,0)),"Go to Act"))</f>
        <v/>
      </c>
    </row>
    <row r="654" spans="1:16" ht="172.95" customHeight="1" x14ac:dyDescent="0.3">
      <c r="A654" s="6" t="str">
        <f>IF(ISNA(MATCH(641,Engine!$C$2:$C$1199,0)),"",INDEX('Compliance Database'!$A$2:$A$1199,MATCH(641,Engine!$C$2:$C$1199,0)))</f>
        <v/>
      </c>
      <c r="B654" s="6" t="str">
        <f>IF(ISNA(MATCH(641,Engine!$C$2:$C$1199,0)),"",INDEX('Compliance Database'!$B$2:$B$1199,MATCH(641,Engine!$C$2:$C$1199,0)))</f>
        <v/>
      </c>
      <c r="C654" s="6" t="str">
        <f>IF(ISNA(MATCH(641,Engine!$C$2:$C$1199,0)),"",INDEX('Compliance Database'!$C$2:$C$1199,MATCH(641,Engine!$C$2:$C$1199,0)))</f>
        <v/>
      </c>
      <c r="D654" s="7" t="str">
        <f>IF(ISNA(MATCH(641,Engine!$C$2:$C$1199,0)),"",INDEX('Compliance Database'!$D$2:$D$1199,MATCH(641,Engine!$C$2:$C$1199,0)))</f>
        <v/>
      </c>
      <c r="E654" s="6" t="str">
        <f>IF(ISNA(MATCH(641,Engine!$C$2:$C$1199,0)),"",INDEX('Compliance Database'!$E$2:$E$1199,MATCH(641,Engine!$C$2:$C$1199,0)))</f>
        <v/>
      </c>
      <c r="F654" s="6" t="str">
        <f>IF(ISNA(MATCH(641,Engine!$C$2:$C$1199,0)),"",INDEX('Compliance Database'!$F$2:$F$1199,MATCH(641,Engine!$C$2:$C$1199,0)))</f>
        <v/>
      </c>
      <c r="G654" s="6" t="str">
        <f>IF(ISNA(MATCH(641,Engine!$C$2:$C$1199,0)),"",INDEX('Compliance Database'!$G$2:$G$1199,MATCH(641,Engine!$C$2:$C$1199,0)))</f>
        <v/>
      </c>
      <c r="H654" s="7" t="str">
        <f>IF(ISNA(MATCH(641,Engine!$C$2:$C$1199,0)),"",INDEX('Compliance Database'!$H$2:$H$1199,MATCH(641,Engine!$C$2:$C$1199,0)))</f>
        <v/>
      </c>
      <c r="I654" s="7" t="str">
        <f>IF(ISNA(MATCH(641,Engine!$C$2:$C$1199,0)),"",INDEX('Compliance Database'!$I$2:$I$1199,MATCH(641,Engine!$C$2:$C$1199,0)))</f>
        <v/>
      </c>
      <c r="J654" s="6" t="str">
        <f>IF(ISNA(MATCH(641,Engine!$C$2:$C$1199,0)),"",INDEX('Compliance Database'!$J$2:$J$1199,MATCH(641,Engine!$C$2:$C$1199,0)))</f>
        <v/>
      </c>
      <c r="K654" s="7" t="str">
        <f>IF(ISNA(MATCH(641,Engine!$C$2:$C$1199,0)),"",INDEX('Compliance Database'!$K$2:$K$1199,MATCH(641,Engine!$C$2:$C$1199,0)))</f>
        <v/>
      </c>
      <c r="L654" s="7" t="str">
        <f>IF(ISNA(MATCH(641,Engine!$C$2:$C$1199,0)),"",INDEX('Compliance Database'!$L$2:$L$1199,MATCH(641,Engine!$C$2:$C$1199,0)))</f>
        <v/>
      </c>
      <c r="M654" s="7" t="str">
        <f>IF(ISNA(MATCH(641,Engine!$C$2:$C$1199,0)),"",INDEX('Compliance Database'!$M$2:$M$1199,MATCH(641,Engine!$C$2:$C$1199,0)))</f>
        <v/>
      </c>
      <c r="N654" s="7" t="str">
        <f>IF(ISNA(MATCH(641,Engine!$C$2:$C$1199,0)),"",INDEX('Compliance Database'!$N$2:$N$1199,MATCH(641,Engine!$C$2:$C$1199,0)))</f>
        <v/>
      </c>
      <c r="O654" s="7" t="str">
        <f>IF(ISNA(MATCH(641,Engine!$C$2:$C$1199,0)),"",INDEX('Compliance Database'!$O$2:$O$1199,MATCH(641,Engine!$C$2:$C$1199,0)))</f>
        <v/>
      </c>
      <c r="P654" s="6" t="str">
        <f>IF(ISNA(MATCH(641,Engine!$C$2:$C$1199,0)),"",HYPERLINK("#Acts!A"&amp;INDEX('Compliance Database'!$P$2:$P$1199,MATCH(641,Engine!$C$2:$C$1199,0)),"Go to Act"))</f>
        <v/>
      </c>
    </row>
    <row r="655" spans="1:16" ht="172.95" customHeight="1" x14ac:dyDescent="0.3">
      <c r="A655" s="6" t="str">
        <f>IF(ISNA(MATCH(642,Engine!$C$2:$C$1199,0)),"",INDEX('Compliance Database'!$A$2:$A$1199,MATCH(642,Engine!$C$2:$C$1199,0)))</f>
        <v/>
      </c>
      <c r="B655" s="6" t="str">
        <f>IF(ISNA(MATCH(642,Engine!$C$2:$C$1199,0)),"",INDEX('Compliance Database'!$B$2:$B$1199,MATCH(642,Engine!$C$2:$C$1199,0)))</f>
        <v/>
      </c>
      <c r="C655" s="6" t="str">
        <f>IF(ISNA(MATCH(642,Engine!$C$2:$C$1199,0)),"",INDEX('Compliance Database'!$C$2:$C$1199,MATCH(642,Engine!$C$2:$C$1199,0)))</f>
        <v/>
      </c>
      <c r="D655" s="7" t="str">
        <f>IF(ISNA(MATCH(642,Engine!$C$2:$C$1199,0)),"",INDEX('Compliance Database'!$D$2:$D$1199,MATCH(642,Engine!$C$2:$C$1199,0)))</f>
        <v/>
      </c>
      <c r="E655" s="6" t="str">
        <f>IF(ISNA(MATCH(642,Engine!$C$2:$C$1199,0)),"",INDEX('Compliance Database'!$E$2:$E$1199,MATCH(642,Engine!$C$2:$C$1199,0)))</f>
        <v/>
      </c>
      <c r="F655" s="6" t="str">
        <f>IF(ISNA(MATCH(642,Engine!$C$2:$C$1199,0)),"",INDEX('Compliance Database'!$F$2:$F$1199,MATCH(642,Engine!$C$2:$C$1199,0)))</f>
        <v/>
      </c>
      <c r="G655" s="6" t="str">
        <f>IF(ISNA(MATCH(642,Engine!$C$2:$C$1199,0)),"",INDEX('Compliance Database'!$G$2:$G$1199,MATCH(642,Engine!$C$2:$C$1199,0)))</f>
        <v/>
      </c>
      <c r="H655" s="7" t="str">
        <f>IF(ISNA(MATCH(642,Engine!$C$2:$C$1199,0)),"",INDEX('Compliance Database'!$H$2:$H$1199,MATCH(642,Engine!$C$2:$C$1199,0)))</f>
        <v/>
      </c>
      <c r="I655" s="7" t="str">
        <f>IF(ISNA(MATCH(642,Engine!$C$2:$C$1199,0)),"",INDEX('Compliance Database'!$I$2:$I$1199,MATCH(642,Engine!$C$2:$C$1199,0)))</f>
        <v/>
      </c>
      <c r="J655" s="6" t="str">
        <f>IF(ISNA(MATCH(642,Engine!$C$2:$C$1199,0)),"",INDEX('Compliance Database'!$J$2:$J$1199,MATCH(642,Engine!$C$2:$C$1199,0)))</f>
        <v/>
      </c>
      <c r="K655" s="7" t="str">
        <f>IF(ISNA(MATCH(642,Engine!$C$2:$C$1199,0)),"",INDEX('Compliance Database'!$K$2:$K$1199,MATCH(642,Engine!$C$2:$C$1199,0)))</f>
        <v/>
      </c>
      <c r="L655" s="7" t="str">
        <f>IF(ISNA(MATCH(642,Engine!$C$2:$C$1199,0)),"",INDEX('Compliance Database'!$L$2:$L$1199,MATCH(642,Engine!$C$2:$C$1199,0)))</f>
        <v/>
      </c>
      <c r="M655" s="7" t="str">
        <f>IF(ISNA(MATCH(642,Engine!$C$2:$C$1199,0)),"",INDEX('Compliance Database'!$M$2:$M$1199,MATCH(642,Engine!$C$2:$C$1199,0)))</f>
        <v/>
      </c>
      <c r="N655" s="7" t="str">
        <f>IF(ISNA(MATCH(642,Engine!$C$2:$C$1199,0)),"",INDEX('Compliance Database'!$N$2:$N$1199,MATCH(642,Engine!$C$2:$C$1199,0)))</f>
        <v/>
      </c>
      <c r="O655" s="7" t="str">
        <f>IF(ISNA(MATCH(642,Engine!$C$2:$C$1199,0)),"",INDEX('Compliance Database'!$O$2:$O$1199,MATCH(642,Engine!$C$2:$C$1199,0)))</f>
        <v/>
      </c>
      <c r="P655" s="6" t="str">
        <f>IF(ISNA(MATCH(642,Engine!$C$2:$C$1199,0)),"",HYPERLINK("#Acts!A"&amp;INDEX('Compliance Database'!$P$2:$P$1199,MATCH(642,Engine!$C$2:$C$1199,0)),"Go to Act"))</f>
        <v/>
      </c>
    </row>
    <row r="656" spans="1:16" ht="172.95" customHeight="1" x14ac:dyDescent="0.3">
      <c r="A656" s="6" t="str">
        <f>IF(ISNA(MATCH(643,Engine!$C$2:$C$1199,0)),"",INDEX('Compliance Database'!$A$2:$A$1199,MATCH(643,Engine!$C$2:$C$1199,0)))</f>
        <v/>
      </c>
      <c r="B656" s="6" t="str">
        <f>IF(ISNA(MATCH(643,Engine!$C$2:$C$1199,0)),"",INDEX('Compliance Database'!$B$2:$B$1199,MATCH(643,Engine!$C$2:$C$1199,0)))</f>
        <v/>
      </c>
      <c r="C656" s="6" t="str">
        <f>IF(ISNA(MATCH(643,Engine!$C$2:$C$1199,0)),"",INDEX('Compliance Database'!$C$2:$C$1199,MATCH(643,Engine!$C$2:$C$1199,0)))</f>
        <v/>
      </c>
      <c r="D656" s="7" t="str">
        <f>IF(ISNA(MATCH(643,Engine!$C$2:$C$1199,0)),"",INDEX('Compliance Database'!$D$2:$D$1199,MATCH(643,Engine!$C$2:$C$1199,0)))</f>
        <v/>
      </c>
      <c r="E656" s="6" t="str">
        <f>IF(ISNA(MATCH(643,Engine!$C$2:$C$1199,0)),"",INDEX('Compliance Database'!$E$2:$E$1199,MATCH(643,Engine!$C$2:$C$1199,0)))</f>
        <v/>
      </c>
      <c r="F656" s="6" t="str">
        <f>IF(ISNA(MATCH(643,Engine!$C$2:$C$1199,0)),"",INDEX('Compliance Database'!$F$2:$F$1199,MATCH(643,Engine!$C$2:$C$1199,0)))</f>
        <v/>
      </c>
      <c r="G656" s="6" t="str">
        <f>IF(ISNA(MATCH(643,Engine!$C$2:$C$1199,0)),"",INDEX('Compliance Database'!$G$2:$G$1199,MATCH(643,Engine!$C$2:$C$1199,0)))</f>
        <v/>
      </c>
      <c r="H656" s="7" t="str">
        <f>IF(ISNA(MATCH(643,Engine!$C$2:$C$1199,0)),"",INDEX('Compliance Database'!$H$2:$H$1199,MATCH(643,Engine!$C$2:$C$1199,0)))</f>
        <v/>
      </c>
      <c r="I656" s="7" t="str">
        <f>IF(ISNA(MATCH(643,Engine!$C$2:$C$1199,0)),"",INDEX('Compliance Database'!$I$2:$I$1199,MATCH(643,Engine!$C$2:$C$1199,0)))</f>
        <v/>
      </c>
      <c r="J656" s="6" t="str">
        <f>IF(ISNA(MATCH(643,Engine!$C$2:$C$1199,0)),"",INDEX('Compliance Database'!$J$2:$J$1199,MATCH(643,Engine!$C$2:$C$1199,0)))</f>
        <v/>
      </c>
      <c r="K656" s="7" t="str">
        <f>IF(ISNA(MATCH(643,Engine!$C$2:$C$1199,0)),"",INDEX('Compliance Database'!$K$2:$K$1199,MATCH(643,Engine!$C$2:$C$1199,0)))</f>
        <v/>
      </c>
      <c r="L656" s="7" t="str">
        <f>IF(ISNA(MATCH(643,Engine!$C$2:$C$1199,0)),"",INDEX('Compliance Database'!$L$2:$L$1199,MATCH(643,Engine!$C$2:$C$1199,0)))</f>
        <v/>
      </c>
      <c r="M656" s="7" t="str">
        <f>IF(ISNA(MATCH(643,Engine!$C$2:$C$1199,0)),"",INDEX('Compliance Database'!$M$2:$M$1199,MATCH(643,Engine!$C$2:$C$1199,0)))</f>
        <v/>
      </c>
      <c r="N656" s="7" t="str">
        <f>IF(ISNA(MATCH(643,Engine!$C$2:$C$1199,0)),"",INDEX('Compliance Database'!$N$2:$N$1199,MATCH(643,Engine!$C$2:$C$1199,0)))</f>
        <v/>
      </c>
      <c r="O656" s="7" t="str">
        <f>IF(ISNA(MATCH(643,Engine!$C$2:$C$1199,0)),"",INDEX('Compliance Database'!$O$2:$O$1199,MATCH(643,Engine!$C$2:$C$1199,0)))</f>
        <v/>
      </c>
      <c r="P656" s="6" t="str">
        <f>IF(ISNA(MATCH(643,Engine!$C$2:$C$1199,0)),"",HYPERLINK("#Acts!A"&amp;INDEX('Compliance Database'!$P$2:$P$1199,MATCH(643,Engine!$C$2:$C$1199,0)),"Go to Act"))</f>
        <v/>
      </c>
    </row>
    <row r="657" spans="1:16" ht="172.95" customHeight="1" x14ac:dyDescent="0.3">
      <c r="A657" s="6" t="str">
        <f>IF(ISNA(MATCH(644,Engine!$C$2:$C$1199,0)),"",INDEX('Compliance Database'!$A$2:$A$1199,MATCH(644,Engine!$C$2:$C$1199,0)))</f>
        <v/>
      </c>
      <c r="B657" s="6" t="str">
        <f>IF(ISNA(MATCH(644,Engine!$C$2:$C$1199,0)),"",INDEX('Compliance Database'!$B$2:$B$1199,MATCH(644,Engine!$C$2:$C$1199,0)))</f>
        <v/>
      </c>
      <c r="C657" s="6" t="str">
        <f>IF(ISNA(MATCH(644,Engine!$C$2:$C$1199,0)),"",INDEX('Compliance Database'!$C$2:$C$1199,MATCH(644,Engine!$C$2:$C$1199,0)))</f>
        <v/>
      </c>
      <c r="D657" s="7" t="str">
        <f>IF(ISNA(MATCH(644,Engine!$C$2:$C$1199,0)),"",INDEX('Compliance Database'!$D$2:$D$1199,MATCH(644,Engine!$C$2:$C$1199,0)))</f>
        <v/>
      </c>
      <c r="E657" s="6" t="str">
        <f>IF(ISNA(MATCH(644,Engine!$C$2:$C$1199,0)),"",INDEX('Compliance Database'!$E$2:$E$1199,MATCH(644,Engine!$C$2:$C$1199,0)))</f>
        <v/>
      </c>
      <c r="F657" s="6" t="str">
        <f>IF(ISNA(MATCH(644,Engine!$C$2:$C$1199,0)),"",INDEX('Compliance Database'!$F$2:$F$1199,MATCH(644,Engine!$C$2:$C$1199,0)))</f>
        <v/>
      </c>
      <c r="G657" s="6" t="str">
        <f>IF(ISNA(MATCH(644,Engine!$C$2:$C$1199,0)),"",INDEX('Compliance Database'!$G$2:$G$1199,MATCH(644,Engine!$C$2:$C$1199,0)))</f>
        <v/>
      </c>
      <c r="H657" s="7" t="str">
        <f>IF(ISNA(MATCH(644,Engine!$C$2:$C$1199,0)),"",INDEX('Compliance Database'!$H$2:$H$1199,MATCH(644,Engine!$C$2:$C$1199,0)))</f>
        <v/>
      </c>
      <c r="I657" s="7" t="str">
        <f>IF(ISNA(MATCH(644,Engine!$C$2:$C$1199,0)),"",INDEX('Compliance Database'!$I$2:$I$1199,MATCH(644,Engine!$C$2:$C$1199,0)))</f>
        <v/>
      </c>
      <c r="J657" s="6" t="str">
        <f>IF(ISNA(MATCH(644,Engine!$C$2:$C$1199,0)),"",INDEX('Compliance Database'!$J$2:$J$1199,MATCH(644,Engine!$C$2:$C$1199,0)))</f>
        <v/>
      </c>
      <c r="K657" s="7" t="str">
        <f>IF(ISNA(MATCH(644,Engine!$C$2:$C$1199,0)),"",INDEX('Compliance Database'!$K$2:$K$1199,MATCH(644,Engine!$C$2:$C$1199,0)))</f>
        <v/>
      </c>
      <c r="L657" s="7" t="str">
        <f>IF(ISNA(MATCH(644,Engine!$C$2:$C$1199,0)),"",INDEX('Compliance Database'!$L$2:$L$1199,MATCH(644,Engine!$C$2:$C$1199,0)))</f>
        <v/>
      </c>
      <c r="M657" s="7" t="str">
        <f>IF(ISNA(MATCH(644,Engine!$C$2:$C$1199,0)),"",INDEX('Compliance Database'!$M$2:$M$1199,MATCH(644,Engine!$C$2:$C$1199,0)))</f>
        <v/>
      </c>
      <c r="N657" s="7" t="str">
        <f>IF(ISNA(MATCH(644,Engine!$C$2:$C$1199,0)),"",INDEX('Compliance Database'!$N$2:$N$1199,MATCH(644,Engine!$C$2:$C$1199,0)))</f>
        <v/>
      </c>
      <c r="O657" s="7" t="str">
        <f>IF(ISNA(MATCH(644,Engine!$C$2:$C$1199,0)),"",INDEX('Compliance Database'!$O$2:$O$1199,MATCH(644,Engine!$C$2:$C$1199,0)))</f>
        <v/>
      </c>
      <c r="P657" s="6" t="str">
        <f>IF(ISNA(MATCH(644,Engine!$C$2:$C$1199,0)),"",HYPERLINK("#Acts!A"&amp;INDEX('Compliance Database'!$P$2:$P$1199,MATCH(644,Engine!$C$2:$C$1199,0)),"Go to Act"))</f>
        <v/>
      </c>
    </row>
    <row r="658" spans="1:16" ht="172.95" customHeight="1" x14ac:dyDescent="0.3">
      <c r="A658" s="6" t="str">
        <f>IF(ISNA(MATCH(645,Engine!$C$2:$C$1199,0)),"",INDEX('Compliance Database'!$A$2:$A$1199,MATCH(645,Engine!$C$2:$C$1199,0)))</f>
        <v/>
      </c>
      <c r="B658" s="6" t="str">
        <f>IF(ISNA(MATCH(645,Engine!$C$2:$C$1199,0)),"",INDEX('Compliance Database'!$B$2:$B$1199,MATCH(645,Engine!$C$2:$C$1199,0)))</f>
        <v/>
      </c>
      <c r="C658" s="6" t="str">
        <f>IF(ISNA(MATCH(645,Engine!$C$2:$C$1199,0)),"",INDEX('Compliance Database'!$C$2:$C$1199,MATCH(645,Engine!$C$2:$C$1199,0)))</f>
        <v/>
      </c>
      <c r="D658" s="7" t="str">
        <f>IF(ISNA(MATCH(645,Engine!$C$2:$C$1199,0)),"",INDEX('Compliance Database'!$D$2:$D$1199,MATCH(645,Engine!$C$2:$C$1199,0)))</f>
        <v/>
      </c>
      <c r="E658" s="6" t="str">
        <f>IF(ISNA(MATCH(645,Engine!$C$2:$C$1199,0)),"",INDEX('Compliance Database'!$E$2:$E$1199,MATCH(645,Engine!$C$2:$C$1199,0)))</f>
        <v/>
      </c>
      <c r="F658" s="6" t="str">
        <f>IF(ISNA(MATCH(645,Engine!$C$2:$C$1199,0)),"",INDEX('Compliance Database'!$F$2:$F$1199,MATCH(645,Engine!$C$2:$C$1199,0)))</f>
        <v/>
      </c>
      <c r="G658" s="6" t="str">
        <f>IF(ISNA(MATCH(645,Engine!$C$2:$C$1199,0)),"",INDEX('Compliance Database'!$G$2:$G$1199,MATCH(645,Engine!$C$2:$C$1199,0)))</f>
        <v/>
      </c>
      <c r="H658" s="7" t="str">
        <f>IF(ISNA(MATCH(645,Engine!$C$2:$C$1199,0)),"",INDEX('Compliance Database'!$H$2:$H$1199,MATCH(645,Engine!$C$2:$C$1199,0)))</f>
        <v/>
      </c>
      <c r="I658" s="7" t="str">
        <f>IF(ISNA(MATCH(645,Engine!$C$2:$C$1199,0)),"",INDEX('Compliance Database'!$I$2:$I$1199,MATCH(645,Engine!$C$2:$C$1199,0)))</f>
        <v/>
      </c>
      <c r="J658" s="6" t="str">
        <f>IF(ISNA(MATCH(645,Engine!$C$2:$C$1199,0)),"",INDEX('Compliance Database'!$J$2:$J$1199,MATCH(645,Engine!$C$2:$C$1199,0)))</f>
        <v/>
      </c>
      <c r="K658" s="7" t="str">
        <f>IF(ISNA(MATCH(645,Engine!$C$2:$C$1199,0)),"",INDEX('Compliance Database'!$K$2:$K$1199,MATCH(645,Engine!$C$2:$C$1199,0)))</f>
        <v/>
      </c>
      <c r="L658" s="7" t="str">
        <f>IF(ISNA(MATCH(645,Engine!$C$2:$C$1199,0)),"",INDEX('Compliance Database'!$L$2:$L$1199,MATCH(645,Engine!$C$2:$C$1199,0)))</f>
        <v/>
      </c>
      <c r="M658" s="7" t="str">
        <f>IF(ISNA(MATCH(645,Engine!$C$2:$C$1199,0)),"",INDEX('Compliance Database'!$M$2:$M$1199,MATCH(645,Engine!$C$2:$C$1199,0)))</f>
        <v/>
      </c>
      <c r="N658" s="7" t="str">
        <f>IF(ISNA(MATCH(645,Engine!$C$2:$C$1199,0)),"",INDEX('Compliance Database'!$N$2:$N$1199,MATCH(645,Engine!$C$2:$C$1199,0)))</f>
        <v/>
      </c>
      <c r="O658" s="7" t="str">
        <f>IF(ISNA(MATCH(645,Engine!$C$2:$C$1199,0)),"",INDEX('Compliance Database'!$O$2:$O$1199,MATCH(645,Engine!$C$2:$C$1199,0)))</f>
        <v/>
      </c>
      <c r="P658" s="6" t="str">
        <f>IF(ISNA(MATCH(645,Engine!$C$2:$C$1199,0)),"",HYPERLINK("#Acts!A"&amp;INDEX('Compliance Database'!$P$2:$P$1199,MATCH(645,Engine!$C$2:$C$1199,0)),"Go to Act"))</f>
        <v/>
      </c>
    </row>
    <row r="659" spans="1:16" ht="172.95" customHeight="1" x14ac:dyDescent="0.3">
      <c r="A659" s="6" t="str">
        <f>IF(ISNA(MATCH(646,Engine!$C$2:$C$1199,0)),"",INDEX('Compliance Database'!$A$2:$A$1199,MATCH(646,Engine!$C$2:$C$1199,0)))</f>
        <v/>
      </c>
      <c r="B659" s="6" t="str">
        <f>IF(ISNA(MATCH(646,Engine!$C$2:$C$1199,0)),"",INDEX('Compliance Database'!$B$2:$B$1199,MATCH(646,Engine!$C$2:$C$1199,0)))</f>
        <v/>
      </c>
      <c r="C659" s="6" t="str">
        <f>IF(ISNA(MATCH(646,Engine!$C$2:$C$1199,0)),"",INDEX('Compliance Database'!$C$2:$C$1199,MATCH(646,Engine!$C$2:$C$1199,0)))</f>
        <v/>
      </c>
      <c r="D659" s="7" t="str">
        <f>IF(ISNA(MATCH(646,Engine!$C$2:$C$1199,0)),"",INDEX('Compliance Database'!$D$2:$D$1199,MATCH(646,Engine!$C$2:$C$1199,0)))</f>
        <v/>
      </c>
      <c r="E659" s="6" t="str">
        <f>IF(ISNA(MATCH(646,Engine!$C$2:$C$1199,0)),"",INDEX('Compliance Database'!$E$2:$E$1199,MATCH(646,Engine!$C$2:$C$1199,0)))</f>
        <v/>
      </c>
      <c r="F659" s="6" t="str">
        <f>IF(ISNA(MATCH(646,Engine!$C$2:$C$1199,0)),"",INDEX('Compliance Database'!$F$2:$F$1199,MATCH(646,Engine!$C$2:$C$1199,0)))</f>
        <v/>
      </c>
      <c r="G659" s="6" t="str">
        <f>IF(ISNA(MATCH(646,Engine!$C$2:$C$1199,0)),"",INDEX('Compliance Database'!$G$2:$G$1199,MATCH(646,Engine!$C$2:$C$1199,0)))</f>
        <v/>
      </c>
      <c r="H659" s="7" t="str">
        <f>IF(ISNA(MATCH(646,Engine!$C$2:$C$1199,0)),"",INDEX('Compliance Database'!$H$2:$H$1199,MATCH(646,Engine!$C$2:$C$1199,0)))</f>
        <v/>
      </c>
      <c r="I659" s="7" t="str">
        <f>IF(ISNA(MATCH(646,Engine!$C$2:$C$1199,0)),"",INDEX('Compliance Database'!$I$2:$I$1199,MATCH(646,Engine!$C$2:$C$1199,0)))</f>
        <v/>
      </c>
      <c r="J659" s="6" t="str">
        <f>IF(ISNA(MATCH(646,Engine!$C$2:$C$1199,0)),"",INDEX('Compliance Database'!$J$2:$J$1199,MATCH(646,Engine!$C$2:$C$1199,0)))</f>
        <v/>
      </c>
      <c r="K659" s="7" t="str">
        <f>IF(ISNA(MATCH(646,Engine!$C$2:$C$1199,0)),"",INDEX('Compliance Database'!$K$2:$K$1199,MATCH(646,Engine!$C$2:$C$1199,0)))</f>
        <v/>
      </c>
      <c r="L659" s="7" t="str">
        <f>IF(ISNA(MATCH(646,Engine!$C$2:$C$1199,0)),"",INDEX('Compliance Database'!$L$2:$L$1199,MATCH(646,Engine!$C$2:$C$1199,0)))</f>
        <v/>
      </c>
      <c r="M659" s="7" t="str">
        <f>IF(ISNA(MATCH(646,Engine!$C$2:$C$1199,0)),"",INDEX('Compliance Database'!$M$2:$M$1199,MATCH(646,Engine!$C$2:$C$1199,0)))</f>
        <v/>
      </c>
      <c r="N659" s="7" t="str">
        <f>IF(ISNA(MATCH(646,Engine!$C$2:$C$1199,0)),"",INDEX('Compliance Database'!$N$2:$N$1199,MATCH(646,Engine!$C$2:$C$1199,0)))</f>
        <v/>
      </c>
      <c r="O659" s="7" t="str">
        <f>IF(ISNA(MATCH(646,Engine!$C$2:$C$1199,0)),"",INDEX('Compliance Database'!$O$2:$O$1199,MATCH(646,Engine!$C$2:$C$1199,0)))</f>
        <v/>
      </c>
      <c r="P659" s="6" t="str">
        <f>IF(ISNA(MATCH(646,Engine!$C$2:$C$1199,0)),"",HYPERLINK("#Acts!A"&amp;INDEX('Compliance Database'!$P$2:$P$1199,MATCH(646,Engine!$C$2:$C$1199,0)),"Go to Act"))</f>
        <v/>
      </c>
    </row>
    <row r="660" spans="1:16" ht="172.95" customHeight="1" x14ac:dyDescent="0.3">
      <c r="A660" s="6" t="str">
        <f>IF(ISNA(MATCH(647,Engine!$C$2:$C$1199,0)),"",INDEX('Compliance Database'!$A$2:$A$1199,MATCH(647,Engine!$C$2:$C$1199,0)))</f>
        <v/>
      </c>
      <c r="B660" s="6" t="str">
        <f>IF(ISNA(MATCH(647,Engine!$C$2:$C$1199,0)),"",INDEX('Compliance Database'!$B$2:$B$1199,MATCH(647,Engine!$C$2:$C$1199,0)))</f>
        <v/>
      </c>
      <c r="C660" s="6" t="str">
        <f>IF(ISNA(MATCH(647,Engine!$C$2:$C$1199,0)),"",INDEX('Compliance Database'!$C$2:$C$1199,MATCH(647,Engine!$C$2:$C$1199,0)))</f>
        <v/>
      </c>
      <c r="D660" s="7" t="str">
        <f>IF(ISNA(MATCH(647,Engine!$C$2:$C$1199,0)),"",INDEX('Compliance Database'!$D$2:$D$1199,MATCH(647,Engine!$C$2:$C$1199,0)))</f>
        <v/>
      </c>
      <c r="E660" s="6" t="str">
        <f>IF(ISNA(MATCH(647,Engine!$C$2:$C$1199,0)),"",INDEX('Compliance Database'!$E$2:$E$1199,MATCH(647,Engine!$C$2:$C$1199,0)))</f>
        <v/>
      </c>
      <c r="F660" s="6" t="str">
        <f>IF(ISNA(MATCH(647,Engine!$C$2:$C$1199,0)),"",INDEX('Compliance Database'!$F$2:$F$1199,MATCH(647,Engine!$C$2:$C$1199,0)))</f>
        <v/>
      </c>
      <c r="G660" s="6" t="str">
        <f>IF(ISNA(MATCH(647,Engine!$C$2:$C$1199,0)),"",INDEX('Compliance Database'!$G$2:$G$1199,MATCH(647,Engine!$C$2:$C$1199,0)))</f>
        <v/>
      </c>
      <c r="H660" s="7" t="str">
        <f>IF(ISNA(MATCH(647,Engine!$C$2:$C$1199,0)),"",INDEX('Compliance Database'!$H$2:$H$1199,MATCH(647,Engine!$C$2:$C$1199,0)))</f>
        <v/>
      </c>
      <c r="I660" s="7" t="str">
        <f>IF(ISNA(MATCH(647,Engine!$C$2:$C$1199,0)),"",INDEX('Compliance Database'!$I$2:$I$1199,MATCH(647,Engine!$C$2:$C$1199,0)))</f>
        <v/>
      </c>
      <c r="J660" s="6" t="str">
        <f>IF(ISNA(MATCH(647,Engine!$C$2:$C$1199,0)),"",INDEX('Compliance Database'!$J$2:$J$1199,MATCH(647,Engine!$C$2:$C$1199,0)))</f>
        <v/>
      </c>
      <c r="K660" s="7" t="str">
        <f>IF(ISNA(MATCH(647,Engine!$C$2:$C$1199,0)),"",INDEX('Compliance Database'!$K$2:$K$1199,MATCH(647,Engine!$C$2:$C$1199,0)))</f>
        <v/>
      </c>
      <c r="L660" s="7" t="str">
        <f>IF(ISNA(MATCH(647,Engine!$C$2:$C$1199,0)),"",INDEX('Compliance Database'!$L$2:$L$1199,MATCH(647,Engine!$C$2:$C$1199,0)))</f>
        <v/>
      </c>
      <c r="M660" s="7" t="str">
        <f>IF(ISNA(MATCH(647,Engine!$C$2:$C$1199,0)),"",INDEX('Compliance Database'!$M$2:$M$1199,MATCH(647,Engine!$C$2:$C$1199,0)))</f>
        <v/>
      </c>
      <c r="N660" s="7" t="str">
        <f>IF(ISNA(MATCH(647,Engine!$C$2:$C$1199,0)),"",INDEX('Compliance Database'!$N$2:$N$1199,MATCH(647,Engine!$C$2:$C$1199,0)))</f>
        <v/>
      </c>
      <c r="O660" s="7" t="str">
        <f>IF(ISNA(MATCH(647,Engine!$C$2:$C$1199,0)),"",INDEX('Compliance Database'!$O$2:$O$1199,MATCH(647,Engine!$C$2:$C$1199,0)))</f>
        <v/>
      </c>
      <c r="P660" s="6" t="str">
        <f>IF(ISNA(MATCH(647,Engine!$C$2:$C$1199,0)),"",HYPERLINK("#Acts!A"&amp;INDEX('Compliance Database'!$P$2:$P$1199,MATCH(647,Engine!$C$2:$C$1199,0)),"Go to Act"))</f>
        <v/>
      </c>
    </row>
    <row r="661" spans="1:16" ht="172.95" customHeight="1" x14ac:dyDescent="0.3">
      <c r="A661" s="6" t="str">
        <f>IF(ISNA(MATCH(648,Engine!$C$2:$C$1199,0)),"",INDEX('Compliance Database'!$A$2:$A$1199,MATCH(648,Engine!$C$2:$C$1199,0)))</f>
        <v/>
      </c>
      <c r="B661" s="6" t="str">
        <f>IF(ISNA(MATCH(648,Engine!$C$2:$C$1199,0)),"",INDEX('Compliance Database'!$B$2:$B$1199,MATCH(648,Engine!$C$2:$C$1199,0)))</f>
        <v/>
      </c>
      <c r="C661" s="6" t="str">
        <f>IF(ISNA(MATCH(648,Engine!$C$2:$C$1199,0)),"",INDEX('Compliance Database'!$C$2:$C$1199,MATCH(648,Engine!$C$2:$C$1199,0)))</f>
        <v/>
      </c>
      <c r="D661" s="7" t="str">
        <f>IF(ISNA(MATCH(648,Engine!$C$2:$C$1199,0)),"",INDEX('Compliance Database'!$D$2:$D$1199,MATCH(648,Engine!$C$2:$C$1199,0)))</f>
        <v/>
      </c>
      <c r="E661" s="6" t="str">
        <f>IF(ISNA(MATCH(648,Engine!$C$2:$C$1199,0)),"",INDEX('Compliance Database'!$E$2:$E$1199,MATCH(648,Engine!$C$2:$C$1199,0)))</f>
        <v/>
      </c>
      <c r="F661" s="6" t="str">
        <f>IF(ISNA(MATCH(648,Engine!$C$2:$C$1199,0)),"",INDEX('Compliance Database'!$F$2:$F$1199,MATCH(648,Engine!$C$2:$C$1199,0)))</f>
        <v/>
      </c>
      <c r="G661" s="6" t="str">
        <f>IF(ISNA(MATCH(648,Engine!$C$2:$C$1199,0)),"",INDEX('Compliance Database'!$G$2:$G$1199,MATCH(648,Engine!$C$2:$C$1199,0)))</f>
        <v/>
      </c>
      <c r="H661" s="7" t="str">
        <f>IF(ISNA(MATCH(648,Engine!$C$2:$C$1199,0)),"",INDEX('Compliance Database'!$H$2:$H$1199,MATCH(648,Engine!$C$2:$C$1199,0)))</f>
        <v/>
      </c>
      <c r="I661" s="7" t="str">
        <f>IF(ISNA(MATCH(648,Engine!$C$2:$C$1199,0)),"",INDEX('Compliance Database'!$I$2:$I$1199,MATCH(648,Engine!$C$2:$C$1199,0)))</f>
        <v/>
      </c>
      <c r="J661" s="6" t="str">
        <f>IF(ISNA(MATCH(648,Engine!$C$2:$C$1199,0)),"",INDEX('Compliance Database'!$J$2:$J$1199,MATCH(648,Engine!$C$2:$C$1199,0)))</f>
        <v/>
      </c>
      <c r="K661" s="7" t="str">
        <f>IF(ISNA(MATCH(648,Engine!$C$2:$C$1199,0)),"",INDEX('Compliance Database'!$K$2:$K$1199,MATCH(648,Engine!$C$2:$C$1199,0)))</f>
        <v/>
      </c>
      <c r="L661" s="7" t="str">
        <f>IF(ISNA(MATCH(648,Engine!$C$2:$C$1199,0)),"",INDEX('Compliance Database'!$L$2:$L$1199,MATCH(648,Engine!$C$2:$C$1199,0)))</f>
        <v/>
      </c>
      <c r="M661" s="7" t="str">
        <f>IF(ISNA(MATCH(648,Engine!$C$2:$C$1199,0)),"",INDEX('Compliance Database'!$M$2:$M$1199,MATCH(648,Engine!$C$2:$C$1199,0)))</f>
        <v/>
      </c>
      <c r="N661" s="7" t="str">
        <f>IF(ISNA(MATCH(648,Engine!$C$2:$C$1199,0)),"",INDEX('Compliance Database'!$N$2:$N$1199,MATCH(648,Engine!$C$2:$C$1199,0)))</f>
        <v/>
      </c>
      <c r="O661" s="7" t="str">
        <f>IF(ISNA(MATCH(648,Engine!$C$2:$C$1199,0)),"",INDEX('Compliance Database'!$O$2:$O$1199,MATCH(648,Engine!$C$2:$C$1199,0)))</f>
        <v/>
      </c>
      <c r="P661" s="6" t="str">
        <f>IF(ISNA(MATCH(648,Engine!$C$2:$C$1199,0)),"",HYPERLINK("#Acts!A"&amp;INDEX('Compliance Database'!$P$2:$P$1199,MATCH(648,Engine!$C$2:$C$1199,0)),"Go to Act"))</f>
        <v/>
      </c>
    </row>
    <row r="662" spans="1:16" ht="172.95" customHeight="1" x14ac:dyDescent="0.3">
      <c r="A662" s="6" t="str">
        <f>IF(ISNA(MATCH(649,Engine!$C$2:$C$1199,0)),"",INDEX('Compliance Database'!$A$2:$A$1199,MATCH(649,Engine!$C$2:$C$1199,0)))</f>
        <v/>
      </c>
      <c r="B662" s="6" t="str">
        <f>IF(ISNA(MATCH(649,Engine!$C$2:$C$1199,0)),"",INDEX('Compliance Database'!$B$2:$B$1199,MATCH(649,Engine!$C$2:$C$1199,0)))</f>
        <v/>
      </c>
      <c r="C662" s="6" t="str">
        <f>IF(ISNA(MATCH(649,Engine!$C$2:$C$1199,0)),"",INDEX('Compliance Database'!$C$2:$C$1199,MATCH(649,Engine!$C$2:$C$1199,0)))</f>
        <v/>
      </c>
      <c r="D662" s="7" t="str">
        <f>IF(ISNA(MATCH(649,Engine!$C$2:$C$1199,0)),"",INDEX('Compliance Database'!$D$2:$D$1199,MATCH(649,Engine!$C$2:$C$1199,0)))</f>
        <v/>
      </c>
      <c r="E662" s="6" t="str">
        <f>IF(ISNA(MATCH(649,Engine!$C$2:$C$1199,0)),"",INDEX('Compliance Database'!$E$2:$E$1199,MATCH(649,Engine!$C$2:$C$1199,0)))</f>
        <v/>
      </c>
      <c r="F662" s="6" t="str">
        <f>IF(ISNA(MATCH(649,Engine!$C$2:$C$1199,0)),"",INDEX('Compliance Database'!$F$2:$F$1199,MATCH(649,Engine!$C$2:$C$1199,0)))</f>
        <v/>
      </c>
      <c r="G662" s="6" t="str">
        <f>IF(ISNA(MATCH(649,Engine!$C$2:$C$1199,0)),"",INDEX('Compliance Database'!$G$2:$G$1199,MATCH(649,Engine!$C$2:$C$1199,0)))</f>
        <v/>
      </c>
      <c r="H662" s="7" t="str">
        <f>IF(ISNA(MATCH(649,Engine!$C$2:$C$1199,0)),"",INDEX('Compliance Database'!$H$2:$H$1199,MATCH(649,Engine!$C$2:$C$1199,0)))</f>
        <v/>
      </c>
      <c r="I662" s="7" t="str">
        <f>IF(ISNA(MATCH(649,Engine!$C$2:$C$1199,0)),"",INDEX('Compliance Database'!$I$2:$I$1199,MATCH(649,Engine!$C$2:$C$1199,0)))</f>
        <v/>
      </c>
      <c r="J662" s="6" t="str">
        <f>IF(ISNA(MATCH(649,Engine!$C$2:$C$1199,0)),"",INDEX('Compliance Database'!$J$2:$J$1199,MATCH(649,Engine!$C$2:$C$1199,0)))</f>
        <v/>
      </c>
      <c r="K662" s="7" t="str">
        <f>IF(ISNA(MATCH(649,Engine!$C$2:$C$1199,0)),"",INDEX('Compliance Database'!$K$2:$K$1199,MATCH(649,Engine!$C$2:$C$1199,0)))</f>
        <v/>
      </c>
      <c r="L662" s="7" t="str">
        <f>IF(ISNA(MATCH(649,Engine!$C$2:$C$1199,0)),"",INDEX('Compliance Database'!$L$2:$L$1199,MATCH(649,Engine!$C$2:$C$1199,0)))</f>
        <v/>
      </c>
      <c r="M662" s="7" t="str">
        <f>IF(ISNA(MATCH(649,Engine!$C$2:$C$1199,0)),"",INDEX('Compliance Database'!$M$2:$M$1199,MATCH(649,Engine!$C$2:$C$1199,0)))</f>
        <v/>
      </c>
      <c r="N662" s="7" t="str">
        <f>IF(ISNA(MATCH(649,Engine!$C$2:$C$1199,0)),"",INDEX('Compliance Database'!$N$2:$N$1199,MATCH(649,Engine!$C$2:$C$1199,0)))</f>
        <v/>
      </c>
      <c r="O662" s="7" t="str">
        <f>IF(ISNA(MATCH(649,Engine!$C$2:$C$1199,0)),"",INDEX('Compliance Database'!$O$2:$O$1199,MATCH(649,Engine!$C$2:$C$1199,0)))</f>
        <v/>
      </c>
      <c r="P662" s="6" t="str">
        <f>IF(ISNA(MATCH(649,Engine!$C$2:$C$1199,0)),"",HYPERLINK("#Acts!A"&amp;INDEX('Compliance Database'!$P$2:$P$1199,MATCH(649,Engine!$C$2:$C$1199,0)),"Go to Act"))</f>
        <v/>
      </c>
    </row>
    <row r="663" spans="1:16" ht="172.95" customHeight="1" x14ac:dyDescent="0.3">
      <c r="A663" s="6" t="str">
        <f>IF(ISNA(MATCH(650,Engine!$C$2:$C$1199,0)),"",INDEX('Compliance Database'!$A$2:$A$1199,MATCH(650,Engine!$C$2:$C$1199,0)))</f>
        <v/>
      </c>
      <c r="B663" s="6" t="str">
        <f>IF(ISNA(MATCH(650,Engine!$C$2:$C$1199,0)),"",INDEX('Compliance Database'!$B$2:$B$1199,MATCH(650,Engine!$C$2:$C$1199,0)))</f>
        <v/>
      </c>
      <c r="C663" s="6" t="str">
        <f>IF(ISNA(MATCH(650,Engine!$C$2:$C$1199,0)),"",INDEX('Compliance Database'!$C$2:$C$1199,MATCH(650,Engine!$C$2:$C$1199,0)))</f>
        <v/>
      </c>
      <c r="D663" s="7" t="str">
        <f>IF(ISNA(MATCH(650,Engine!$C$2:$C$1199,0)),"",INDEX('Compliance Database'!$D$2:$D$1199,MATCH(650,Engine!$C$2:$C$1199,0)))</f>
        <v/>
      </c>
      <c r="E663" s="6" t="str">
        <f>IF(ISNA(MATCH(650,Engine!$C$2:$C$1199,0)),"",INDEX('Compliance Database'!$E$2:$E$1199,MATCH(650,Engine!$C$2:$C$1199,0)))</f>
        <v/>
      </c>
      <c r="F663" s="6" t="str">
        <f>IF(ISNA(MATCH(650,Engine!$C$2:$C$1199,0)),"",INDEX('Compliance Database'!$F$2:$F$1199,MATCH(650,Engine!$C$2:$C$1199,0)))</f>
        <v/>
      </c>
      <c r="G663" s="6" t="str">
        <f>IF(ISNA(MATCH(650,Engine!$C$2:$C$1199,0)),"",INDEX('Compliance Database'!$G$2:$G$1199,MATCH(650,Engine!$C$2:$C$1199,0)))</f>
        <v/>
      </c>
      <c r="H663" s="7" t="str">
        <f>IF(ISNA(MATCH(650,Engine!$C$2:$C$1199,0)),"",INDEX('Compliance Database'!$H$2:$H$1199,MATCH(650,Engine!$C$2:$C$1199,0)))</f>
        <v/>
      </c>
      <c r="I663" s="7" t="str">
        <f>IF(ISNA(MATCH(650,Engine!$C$2:$C$1199,0)),"",INDEX('Compliance Database'!$I$2:$I$1199,MATCH(650,Engine!$C$2:$C$1199,0)))</f>
        <v/>
      </c>
      <c r="J663" s="6" t="str">
        <f>IF(ISNA(MATCH(650,Engine!$C$2:$C$1199,0)),"",INDEX('Compliance Database'!$J$2:$J$1199,MATCH(650,Engine!$C$2:$C$1199,0)))</f>
        <v/>
      </c>
      <c r="K663" s="7" t="str">
        <f>IF(ISNA(MATCH(650,Engine!$C$2:$C$1199,0)),"",INDEX('Compliance Database'!$K$2:$K$1199,MATCH(650,Engine!$C$2:$C$1199,0)))</f>
        <v/>
      </c>
      <c r="L663" s="7" t="str">
        <f>IF(ISNA(MATCH(650,Engine!$C$2:$C$1199,0)),"",INDEX('Compliance Database'!$L$2:$L$1199,MATCH(650,Engine!$C$2:$C$1199,0)))</f>
        <v/>
      </c>
      <c r="M663" s="7" t="str">
        <f>IF(ISNA(MATCH(650,Engine!$C$2:$C$1199,0)),"",INDEX('Compliance Database'!$M$2:$M$1199,MATCH(650,Engine!$C$2:$C$1199,0)))</f>
        <v/>
      </c>
      <c r="N663" s="7" t="str">
        <f>IF(ISNA(MATCH(650,Engine!$C$2:$C$1199,0)),"",INDEX('Compliance Database'!$N$2:$N$1199,MATCH(650,Engine!$C$2:$C$1199,0)))</f>
        <v/>
      </c>
      <c r="O663" s="7" t="str">
        <f>IF(ISNA(MATCH(650,Engine!$C$2:$C$1199,0)),"",INDEX('Compliance Database'!$O$2:$O$1199,MATCH(650,Engine!$C$2:$C$1199,0)))</f>
        <v/>
      </c>
      <c r="P663" s="6" t="str">
        <f>IF(ISNA(MATCH(650,Engine!$C$2:$C$1199,0)),"",HYPERLINK("#Acts!A"&amp;INDEX('Compliance Database'!$P$2:$P$1199,MATCH(650,Engine!$C$2:$C$1199,0)),"Go to Act"))</f>
        <v/>
      </c>
    </row>
    <row r="664" spans="1:16" ht="172.95" customHeight="1" x14ac:dyDescent="0.3">
      <c r="A664" s="6" t="str">
        <f>IF(ISNA(MATCH(651,Engine!$C$2:$C$1199,0)),"",INDEX('Compliance Database'!$A$2:$A$1199,MATCH(651,Engine!$C$2:$C$1199,0)))</f>
        <v/>
      </c>
      <c r="B664" s="6" t="str">
        <f>IF(ISNA(MATCH(651,Engine!$C$2:$C$1199,0)),"",INDEX('Compliance Database'!$B$2:$B$1199,MATCH(651,Engine!$C$2:$C$1199,0)))</f>
        <v/>
      </c>
      <c r="C664" s="6" t="str">
        <f>IF(ISNA(MATCH(651,Engine!$C$2:$C$1199,0)),"",INDEX('Compliance Database'!$C$2:$C$1199,MATCH(651,Engine!$C$2:$C$1199,0)))</f>
        <v/>
      </c>
      <c r="D664" s="7" t="str">
        <f>IF(ISNA(MATCH(651,Engine!$C$2:$C$1199,0)),"",INDEX('Compliance Database'!$D$2:$D$1199,MATCH(651,Engine!$C$2:$C$1199,0)))</f>
        <v/>
      </c>
      <c r="E664" s="6" t="str">
        <f>IF(ISNA(MATCH(651,Engine!$C$2:$C$1199,0)),"",INDEX('Compliance Database'!$E$2:$E$1199,MATCH(651,Engine!$C$2:$C$1199,0)))</f>
        <v/>
      </c>
      <c r="F664" s="6" t="str">
        <f>IF(ISNA(MATCH(651,Engine!$C$2:$C$1199,0)),"",INDEX('Compliance Database'!$F$2:$F$1199,MATCH(651,Engine!$C$2:$C$1199,0)))</f>
        <v/>
      </c>
      <c r="G664" s="6" t="str">
        <f>IF(ISNA(MATCH(651,Engine!$C$2:$C$1199,0)),"",INDEX('Compliance Database'!$G$2:$G$1199,MATCH(651,Engine!$C$2:$C$1199,0)))</f>
        <v/>
      </c>
      <c r="H664" s="7" t="str">
        <f>IF(ISNA(MATCH(651,Engine!$C$2:$C$1199,0)),"",INDEX('Compliance Database'!$H$2:$H$1199,MATCH(651,Engine!$C$2:$C$1199,0)))</f>
        <v/>
      </c>
      <c r="I664" s="7" t="str">
        <f>IF(ISNA(MATCH(651,Engine!$C$2:$C$1199,0)),"",INDEX('Compliance Database'!$I$2:$I$1199,MATCH(651,Engine!$C$2:$C$1199,0)))</f>
        <v/>
      </c>
      <c r="J664" s="6" t="str">
        <f>IF(ISNA(MATCH(651,Engine!$C$2:$C$1199,0)),"",INDEX('Compliance Database'!$J$2:$J$1199,MATCH(651,Engine!$C$2:$C$1199,0)))</f>
        <v/>
      </c>
      <c r="K664" s="7" t="str">
        <f>IF(ISNA(MATCH(651,Engine!$C$2:$C$1199,0)),"",INDEX('Compliance Database'!$K$2:$K$1199,MATCH(651,Engine!$C$2:$C$1199,0)))</f>
        <v/>
      </c>
      <c r="L664" s="7" t="str">
        <f>IF(ISNA(MATCH(651,Engine!$C$2:$C$1199,0)),"",INDEX('Compliance Database'!$L$2:$L$1199,MATCH(651,Engine!$C$2:$C$1199,0)))</f>
        <v/>
      </c>
      <c r="M664" s="7" t="str">
        <f>IF(ISNA(MATCH(651,Engine!$C$2:$C$1199,0)),"",INDEX('Compliance Database'!$M$2:$M$1199,MATCH(651,Engine!$C$2:$C$1199,0)))</f>
        <v/>
      </c>
      <c r="N664" s="7" t="str">
        <f>IF(ISNA(MATCH(651,Engine!$C$2:$C$1199,0)),"",INDEX('Compliance Database'!$N$2:$N$1199,MATCH(651,Engine!$C$2:$C$1199,0)))</f>
        <v/>
      </c>
      <c r="O664" s="7" t="str">
        <f>IF(ISNA(MATCH(651,Engine!$C$2:$C$1199,0)),"",INDEX('Compliance Database'!$O$2:$O$1199,MATCH(651,Engine!$C$2:$C$1199,0)))</f>
        <v/>
      </c>
      <c r="P664" s="6" t="str">
        <f>IF(ISNA(MATCH(651,Engine!$C$2:$C$1199,0)),"",HYPERLINK("#Acts!A"&amp;INDEX('Compliance Database'!$P$2:$P$1199,MATCH(651,Engine!$C$2:$C$1199,0)),"Go to Act"))</f>
        <v/>
      </c>
    </row>
    <row r="665" spans="1:16" ht="172.95" customHeight="1" x14ac:dyDescent="0.3">
      <c r="A665" s="6" t="str">
        <f>IF(ISNA(MATCH(652,Engine!$C$2:$C$1199,0)),"",INDEX('Compliance Database'!$A$2:$A$1199,MATCH(652,Engine!$C$2:$C$1199,0)))</f>
        <v/>
      </c>
      <c r="B665" s="6" t="str">
        <f>IF(ISNA(MATCH(652,Engine!$C$2:$C$1199,0)),"",INDEX('Compliance Database'!$B$2:$B$1199,MATCH(652,Engine!$C$2:$C$1199,0)))</f>
        <v/>
      </c>
      <c r="C665" s="6" t="str">
        <f>IF(ISNA(MATCH(652,Engine!$C$2:$C$1199,0)),"",INDEX('Compliance Database'!$C$2:$C$1199,MATCH(652,Engine!$C$2:$C$1199,0)))</f>
        <v/>
      </c>
      <c r="D665" s="7" t="str">
        <f>IF(ISNA(MATCH(652,Engine!$C$2:$C$1199,0)),"",INDEX('Compliance Database'!$D$2:$D$1199,MATCH(652,Engine!$C$2:$C$1199,0)))</f>
        <v/>
      </c>
      <c r="E665" s="6" t="str">
        <f>IF(ISNA(MATCH(652,Engine!$C$2:$C$1199,0)),"",INDEX('Compliance Database'!$E$2:$E$1199,MATCH(652,Engine!$C$2:$C$1199,0)))</f>
        <v/>
      </c>
      <c r="F665" s="6" t="str">
        <f>IF(ISNA(MATCH(652,Engine!$C$2:$C$1199,0)),"",INDEX('Compliance Database'!$F$2:$F$1199,MATCH(652,Engine!$C$2:$C$1199,0)))</f>
        <v/>
      </c>
      <c r="G665" s="6" t="str">
        <f>IF(ISNA(MATCH(652,Engine!$C$2:$C$1199,0)),"",INDEX('Compliance Database'!$G$2:$G$1199,MATCH(652,Engine!$C$2:$C$1199,0)))</f>
        <v/>
      </c>
      <c r="H665" s="7" t="str">
        <f>IF(ISNA(MATCH(652,Engine!$C$2:$C$1199,0)),"",INDEX('Compliance Database'!$H$2:$H$1199,MATCH(652,Engine!$C$2:$C$1199,0)))</f>
        <v/>
      </c>
      <c r="I665" s="7" t="str">
        <f>IF(ISNA(MATCH(652,Engine!$C$2:$C$1199,0)),"",INDEX('Compliance Database'!$I$2:$I$1199,MATCH(652,Engine!$C$2:$C$1199,0)))</f>
        <v/>
      </c>
      <c r="J665" s="6" t="str">
        <f>IF(ISNA(MATCH(652,Engine!$C$2:$C$1199,0)),"",INDEX('Compliance Database'!$J$2:$J$1199,MATCH(652,Engine!$C$2:$C$1199,0)))</f>
        <v/>
      </c>
      <c r="K665" s="7" t="str">
        <f>IF(ISNA(MATCH(652,Engine!$C$2:$C$1199,0)),"",INDEX('Compliance Database'!$K$2:$K$1199,MATCH(652,Engine!$C$2:$C$1199,0)))</f>
        <v/>
      </c>
      <c r="L665" s="7" t="str">
        <f>IF(ISNA(MATCH(652,Engine!$C$2:$C$1199,0)),"",INDEX('Compliance Database'!$L$2:$L$1199,MATCH(652,Engine!$C$2:$C$1199,0)))</f>
        <v/>
      </c>
      <c r="M665" s="7" t="str">
        <f>IF(ISNA(MATCH(652,Engine!$C$2:$C$1199,0)),"",INDEX('Compliance Database'!$M$2:$M$1199,MATCH(652,Engine!$C$2:$C$1199,0)))</f>
        <v/>
      </c>
      <c r="N665" s="7" t="str">
        <f>IF(ISNA(MATCH(652,Engine!$C$2:$C$1199,0)),"",INDEX('Compliance Database'!$N$2:$N$1199,MATCH(652,Engine!$C$2:$C$1199,0)))</f>
        <v/>
      </c>
      <c r="O665" s="7" t="str">
        <f>IF(ISNA(MATCH(652,Engine!$C$2:$C$1199,0)),"",INDEX('Compliance Database'!$O$2:$O$1199,MATCH(652,Engine!$C$2:$C$1199,0)))</f>
        <v/>
      </c>
      <c r="P665" s="6" t="str">
        <f>IF(ISNA(MATCH(652,Engine!$C$2:$C$1199,0)),"",HYPERLINK("#Acts!A"&amp;INDEX('Compliance Database'!$P$2:$P$1199,MATCH(652,Engine!$C$2:$C$1199,0)),"Go to Act"))</f>
        <v/>
      </c>
    </row>
    <row r="666" spans="1:16" ht="172.95" customHeight="1" x14ac:dyDescent="0.3">
      <c r="A666" s="6" t="str">
        <f>IF(ISNA(MATCH(653,Engine!$C$2:$C$1199,0)),"",INDEX('Compliance Database'!$A$2:$A$1199,MATCH(653,Engine!$C$2:$C$1199,0)))</f>
        <v/>
      </c>
      <c r="B666" s="6" t="str">
        <f>IF(ISNA(MATCH(653,Engine!$C$2:$C$1199,0)),"",INDEX('Compliance Database'!$B$2:$B$1199,MATCH(653,Engine!$C$2:$C$1199,0)))</f>
        <v/>
      </c>
      <c r="C666" s="6" t="str">
        <f>IF(ISNA(MATCH(653,Engine!$C$2:$C$1199,0)),"",INDEX('Compliance Database'!$C$2:$C$1199,MATCH(653,Engine!$C$2:$C$1199,0)))</f>
        <v/>
      </c>
      <c r="D666" s="7" t="str">
        <f>IF(ISNA(MATCH(653,Engine!$C$2:$C$1199,0)),"",INDEX('Compliance Database'!$D$2:$D$1199,MATCH(653,Engine!$C$2:$C$1199,0)))</f>
        <v/>
      </c>
      <c r="E666" s="6" t="str">
        <f>IF(ISNA(MATCH(653,Engine!$C$2:$C$1199,0)),"",INDEX('Compliance Database'!$E$2:$E$1199,MATCH(653,Engine!$C$2:$C$1199,0)))</f>
        <v/>
      </c>
      <c r="F666" s="6" t="str">
        <f>IF(ISNA(MATCH(653,Engine!$C$2:$C$1199,0)),"",INDEX('Compliance Database'!$F$2:$F$1199,MATCH(653,Engine!$C$2:$C$1199,0)))</f>
        <v/>
      </c>
      <c r="G666" s="6" t="str">
        <f>IF(ISNA(MATCH(653,Engine!$C$2:$C$1199,0)),"",INDEX('Compliance Database'!$G$2:$G$1199,MATCH(653,Engine!$C$2:$C$1199,0)))</f>
        <v/>
      </c>
      <c r="H666" s="7" t="str">
        <f>IF(ISNA(MATCH(653,Engine!$C$2:$C$1199,0)),"",INDEX('Compliance Database'!$H$2:$H$1199,MATCH(653,Engine!$C$2:$C$1199,0)))</f>
        <v/>
      </c>
      <c r="I666" s="7" t="str">
        <f>IF(ISNA(MATCH(653,Engine!$C$2:$C$1199,0)),"",INDEX('Compliance Database'!$I$2:$I$1199,MATCH(653,Engine!$C$2:$C$1199,0)))</f>
        <v/>
      </c>
      <c r="J666" s="6" t="str">
        <f>IF(ISNA(MATCH(653,Engine!$C$2:$C$1199,0)),"",INDEX('Compliance Database'!$J$2:$J$1199,MATCH(653,Engine!$C$2:$C$1199,0)))</f>
        <v/>
      </c>
      <c r="K666" s="7" t="str">
        <f>IF(ISNA(MATCH(653,Engine!$C$2:$C$1199,0)),"",INDEX('Compliance Database'!$K$2:$K$1199,MATCH(653,Engine!$C$2:$C$1199,0)))</f>
        <v/>
      </c>
      <c r="L666" s="7" t="str">
        <f>IF(ISNA(MATCH(653,Engine!$C$2:$C$1199,0)),"",INDEX('Compliance Database'!$L$2:$L$1199,MATCH(653,Engine!$C$2:$C$1199,0)))</f>
        <v/>
      </c>
      <c r="M666" s="7" t="str">
        <f>IF(ISNA(MATCH(653,Engine!$C$2:$C$1199,0)),"",INDEX('Compliance Database'!$M$2:$M$1199,MATCH(653,Engine!$C$2:$C$1199,0)))</f>
        <v/>
      </c>
      <c r="N666" s="7" t="str">
        <f>IF(ISNA(MATCH(653,Engine!$C$2:$C$1199,0)),"",INDEX('Compliance Database'!$N$2:$N$1199,MATCH(653,Engine!$C$2:$C$1199,0)))</f>
        <v/>
      </c>
      <c r="O666" s="7" t="str">
        <f>IF(ISNA(MATCH(653,Engine!$C$2:$C$1199,0)),"",INDEX('Compliance Database'!$O$2:$O$1199,MATCH(653,Engine!$C$2:$C$1199,0)))</f>
        <v/>
      </c>
      <c r="P666" s="6" t="str">
        <f>IF(ISNA(MATCH(653,Engine!$C$2:$C$1199,0)),"",HYPERLINK("#Acts!A"&amp;INDEX('Compliance Database'!$P$2:$P$1199,MATCH(653,Engine!$C$2:$C$1199,0)),"Go to Act"))</f>
        <v/>
      </c>
    </row>
    <row r="667" spans="1:16" ht="172.95" customHeight="1" x14ac:dyDescent="0.3">
      <c r="A667" s="6" t="str">
        <f>IF(ISNA(MATCH(654,Engine!$C$2:$C$1199,0)),"",INDEX('Compliance Database'!$A$2:$A$1199,MATCH(654,Engine!$C$2:$C$1199,0)))</f>
        <v/>
      </c>
      <c r="B667" s="6" t="str">
        <f>IF(ISNA(MATCH(654,Engine!$C$2:$C$1199,0)),"",INDEX('Compliance Database'!$B$2:$B$1199,MATCH(654,Engine!$C$2:$C$1199,0)))</f>
        <v/>
      </c>
      <c r="C667" s="6" t="str">
        <f>IF(ISNA(MATCH(654,Engine!$C$2:$C$1199,0)),"",INDEX('Compliance Database'!$C$2:$C$1199,MATCH(654,Engine!$C$2:$C$1199,0)))</f>
        <v/>
      </c>
      <c r="D667" s="7" t="str">
        <f>IF(ISNA(MATCH(654,Engine!$C$2:$C$1199,0)),"",INDEX('Compliance Database'!$D$2:$D$1199,MATCH(654,Engine!$C$2:$C$1199,0)))</f>
        <v/>
      </c>
      <c r="E667" s="6" t="str">
        <f>IF(ISNA(MATCH(654,Engine!$C$2:$C$1199,0)),"",INDEX('Compliance Database'!$E$2:$E$1199,MATCH(654,Engine!$C$2:$C$1199,0)))</f>
        <v/>
      </c>
      <c r="F667" s="6" t="str">
        <f>IF(ISNA(MATCH(654,Engine!$C$2:$C$1199,0)),"",INDEX('Compliance Database'!$F$2:$F$1199,MATCH(654,Engine!$C$2:$C$1199,0)))</f>
        <v/>
      </c>
      <c r="G667" s="6" t="str">
        <f>IF(ISNA(MATCH(654,Engine!$C$2:$C$1199,0)),"",INDEX('Compliance Database'!$G$2:$G$1199,MATCH(654,Engine!$C$2:$C$1199,0)))</f>
        <v/>
      </c>
      <c r="H667" s="7" t="str">
        <f>IF(ISNA(MATCH(654,Engine!$C$2:$C$1199,0)),"",INDEX('Compliance Database'!$H$2:$H$1199,MATCH(654,Engine!$C$2:$C$1199,0)))</f>
        <v/>
      </c>
      <c r="I667" s="7" t="str">
        <f>IF(ISNA(MATCH(654,Engine!$C$2:$C$1199,0)),"",INDEX('Compliance Database'!$I$2:$I$1199,MATCH(654,Engine!$C$2:$C$1199,0)))</f>
        <v/>
      </c>
      <c r="J667" s="6" t="str">
        <f>IF(ISNA(MATCH(654,Engine!$C$2:$C$1199,0)),"",INDEX('Compliance Database'!$J$2:$J$1199,MATCH(654,Engine!$C$2:$C$1199,0)))</f>
        <v/>
      </c>
      <c r="K667" s="7" t="str">
        <f>IF(ISNA(MATCH(654,Engine!$C$2:$C$1199,0)),"",INDEX('Compliance Database'!$K$2:$K$1199,MATCH(654,Engine!$C$2:$C$1199,0)))</f>
        <v/>
      </c>
      <c r="L667" s="7" t="str">
        <f>IF(ISNA(MATCH(654,Engine!$C$2:$C$1199,0)),"",INDEX('Compliance Database'!$L$2:$L$1199,MATCH(654,Engine!$C$2:$C$1199,0)))</f>
        <v/>
      </c>
      <c r="M667" s="7" t="str">
        <f>IF(ISNA(MATCH(654,Engine!$C$2:$C$1199,0)),"",INDEX('Compliance Database'!$M$2:$M$1199,MATCH(654,Engine!$C$2:$C$1199,0)))</f>
        <v/>
      </c>
      <c r="N667" s="7" t="str">
        <f>IF(ISNA(MATCH(654,Engine!$C$2:$C$1199,0)),"",INDEX('Compliance Database'!$N$2:$N$1199,MATCH(654,Engine!$C$2:$C$1199,0)))</f>
        <v/>
      </c>
      <c r="O667" s="7" t="str">
        <f>IF(ISNA(MATCH(654,Engine!$C$2:$C$1199,0)),"",INDEX('Compliance Database'!$O$2:$O$1199,MATCH(654,Engine!$C$2:$C$1199,0)))</f>
        <v/>
      </c>
      <c r="P667" s="6" t="str">
        <f>IF(ISNA(MATCH(654,Engine!$C$2:$C$1199,0)),"",HYPERLINK("#Acts!A"&amp;INDEX('Compliance Database'!$P$2:$P$1199,MATCH(654,Engine!$C$2:$C$1199,0)),"Go to Act"))</f>
        <v/>
      </c>
    </row>
    <row r="668" spans="1:16" ht="172.95" customHeight="1" x14ac:dyDescent="0.3">
      <c r="A668" s="6" t="str">
        <f>IF(ISNA(MATCH(655,Engine!$C$2:$C$1199,0)),"",INDEX('Compliance Database'!$A$2:$A$1199,MATCH(655,Engine!$C$2:$C$1199,0)))</f>
        <v/>
      </c>
      <c r="B668" s="6" t="str">
        <f>IF(ISNA(MATCH(655,Engine!$C$2:$C$1199,0)),"",INDEX('Compliance Database'!$B$2:$B$1199,MATCH(655,Engine!$C$2:$C$1199,0)))</f>
        <v/>
      </c>
      <c r="C668" s="6" t="str">
        <f>IF(ISNA(MATCH(655,Engine!$C$2:$C$1199,0)),"",INDEX('Compliance Database'!$C$2:$C$1199,MATCH(655,Engine!$C$2:$C$1199,0)))</f>
        <v/>
      </c>
      <c r="D668" s="7" t="str">
        <f>IF(ISNA(MATCH(655,Engine!$C$2:$C$1199,0)),"",INDEX('Compliance Database'!$D$2:$D$1199,MATCH(655,Engine!$C$2:$C$1199,0)))</f>
        <v/>
      </c>
      <c r="E668" s="6" t="str">
        <f>IF(ISNA(MATCH(655,Engine!$C$2:$C$1199,0)),"",INDEX('Compliance Database'!$E$2:$E$1199,MATCH(655,Engine!$C$2:$C$1199,0)))</f>
        <v/>
      </c>
      <c r="F668" s="6" t="str">
        <f>IF(ISNA(MATCH(655,Engine!$C$2:$C$1199,0)),"",INDEX('Compliance Database'!$F$2:$F$1199,MATCH(655,Engine!$C$2:$C$1199,0)))</f>
        <v/>
      </c>
      <c r="G668" s="6" t="str">
        <f>IF(ISNA(MATCH(655,Engine!$C$2:$C$1199,0)),"",INDEX('Compliance Database'!$G$2:$G$1199,MATCH(655,Engine!$C$2:$C$1199,0)))</f>
        <v/>
      </c>
      <c r="H668" s="7" t="str">
        <f>IF(ISNA(MATCH(655,Engine!$C$2:$C$1199,0)),"",INDEX('Compliance Database'!$H$2:$H$1199,MATCH(655,Engine!$C$2:$C$1199,0)))</f>
        <v/>
      </c>
      <c r="I668" s="7" t="str">
        <f>IF(ISNA(MATCH(655,Engine!$C$2:$C$1199,0)),"",INDEX('Compliance Database'!$I$2:$I$1199,MATCH(655,Engine!$C$2:$C$1199,0)))</f>
        <v/>
      </c>
      <c r="J668" s="6" t="str">
        <f>IF(ISNA(MATCH(655,Engine!$C$2:$C$1199,0)),"",INDEX('Compliance Database'!$J$2:$J$1199,MATCH(655,Engine!$C$2:$C$1199,0)))</f>
        <v/>
      </c>
      <c r="K668" s="7" t="str">
        <f>IF(ISNA(MATCH(655,Engine!$C$2:$C$1199,0)),"",INDEX('Compliance Database'!$K$2:$K$1199,MATCH(655,Engine!$C$2:$C$1199,0)))</f>
        <v/>
      </c>
      <c r="L668" s="7" t="str">
        <f>IF(ISNA(MATCH(655,Engine!$C$2:$C$1199,0)),"",INDEX('Compliance Database'!$L$2:$L$1199,MATCH(655,Engine!$C$2:$C$1199,0)))</f>
        <v/>
      </c>
      <c r="M668" s="7" t="str">
        <f>IF(ISNA(MATCH(655,Engine!$C$2:$C$1199,0)),"",INDEX('Compliance Database'!$M$2:$M$1199,MATCH(655,Engine!$C$2:$C$1199,0)))</f>
        <v/>
      </c>
      <c r="N668" s="7" t="str">
        <f>IF(ISNA(MATCH(655,Engine!$C$2:$C$1199,0)),"",INDEX('Compliance Database'!$N$2:$N$1199,MATCH(655,Engine!$C$2:$C$1199,0)))</f>
        <v/>
      </c>
      <c r="O668" s="7" t="str">
        <f>IF(ISNA(MATCH(655,Engine!$C$2:$C$1199,0)),"",INDEX('Compliance Database'!$O$2:$O$1199,MATCH(655,Engine!$C$2:$C$1199,0)))</f>
        <v/>
      </c>
      <c r="P668" s="6" t="str">
        <f>IF(ISNA(MATCH(655,Engine!$C$2:$C$1199,0)),"",HYPERLINK("#Acts!A"&amp;INDEX('Compliance Database'!$P$2:$P$1199,MATCH(655,Engine!$C$2:$C$1199,0)),"Go to Act"))</f>
        <v/>
      </c>
    </row>
    <row r="669" spans="1:16" ht="172.95" customHeight="1" x14ac:dyDescent="0.3">
      <c r="A669" s="6" t="str">
        <f>IF(ISNA(MATCH(656,Engine!$C$2:$C$1199,0)),"",INDEX('Compliance Database'!$A$2:$A$1199,MATCH(656,Engine!$C$2:$C$1199,0)))</f>
        <v/>
      </c>
      <c r="B669" s="6" t="str">
        <f>IF(ISNA(MATCH(656,Engine!$C$2:$C$1199,0)),"",INDEX('Compliance Database'!$B$2:$B$1199,MATCH(656,Engine!$C$2:$C$1199,0)))</f>
        <v/>
      </c>
      <c r="C669" s="6" t="str">
        <f>IF(ISNA(MATCH(656,Engine!$C$2:$C$1199,0)),"",INDEX('Compliance Database'!$C$2:$C$1199,MATCH(656,Engine!$C$2:$C$1199,0)))</f>
        <v/>
      </c>
      <c r="D669" s="7" t="str">
        <f>IF(ISNA(MATCH(656,Engine!$C$2:$C$1199,0)),"",INDEX('Compliance Database'!$D$2:$D$1199,MATCH(656,Engine!$C$2:$C$1199,0)))</f>
        <v/>
      </c>
      <c r="E669" s="6" t="str">
        <f>IF(ISNA(MATCH(656,Engine!$C$2:$C$1199,0)),"",INDEX('Compliance Database'!$E$2:$E$1199,MATCH(656,Engine!$C$2:$C$1199,0)))</f>
        <v/>
      </c>
      <c r="F669" s="6" t="str">
        <f>IF(ISNA(MATCH(656,Engine!$C$2:$C$1199,0)),"",INDEX('Compliance Database'!$F$2:$F$1199,MATCH(656,Engine!$C$2:$C$1199,0)))</f>
        <v/>
      </c>
      <c r="G669" s="6" t="str">
        <f>IF(ISNA(MATCH(656,Engine!$C$2:$C$1199,0)),"",INDEX('Compliance Database'!$G$2:$G$1199,MATCH(656,Engine!$C$2:$C$1199,0)))</f>
        <v/>
      </c>
      <c r="H669" s="7" t="str">
        <f>IF(ISNA(MATCH(656,Engine!$C$2:$C$1199,0)),"",INDEX('Compliance Database'!$H$2:$H$1199,MATCH(656,Engine!$C$2:$C$1199,0)))</f>
        <v/>
      </c>
      <c r="I669" s="7" t="str">
        <f>IF(ISNA(MATCH(656,Engine!$C$2:$C$1199,0)),"",INDEX('Compliance Database'!$I$2:$I$1199,MATCH(656,Engine!$C$2:$C$1199,0)))</f>
        <v/>
      </c>
      <c r="J669" s="6" t="str">
        <f>IF(ISNA(MATCH(656,Engine!$C$2:$C$1199,0)),"",INDEX('Compliance Database'!$J$2:$J$1199,MATCH(656,Engine!$C$2:$C$1199,0)))</f>
        <v/>
      </c>
      <c r="K669" s="7" t="str">
        <f>IF(ISNA(MATCH(656,Engine!$C$2:$C$1199,0)),"",INDEX('Compliance Database'!$K$2:$K$1199,MATCH(656,Engine!$C$2:$C$1199,0)))</f>
        <v/>
      </c>
      <c r="L669" s="7" t="str">
        <f>IF(ISNA(MATCH(656,Engine!$C$2:$C$1199,0)),"",INDEX('Compliance Database'!$L$2:$L$1199,MATCH(656,Engine!$C$2:$C$1199,0)))</f>
        <v/>
      </c>
      <c r="M669" s="7" t="str">
        <f>IF(ISNA(MATCH(656,Engine!$C$2:$C$1199,0)),"",INDEX('Compliance Database'!$M$2:$M$1199,MATCH(656,Engine!$C$2:$C$1199,0)))</f>
        <v/>
      </c>
      <c r="N669" s="7" t="str">
        <f>IF(ISNA(MATCH(656,Engine!$C$2:$C$1199,0)),"",INDEX('Compliance Database'!$N$2:$N$1199,MATCH(656,Engine!$C$2:$C$1199,0)))</f>
        <v/>
      </c>
      <c r="O669" s="7" t="str">
        <f>IF(ISNA(MATCH(656,Engine!$C$2:$C$1199,0)),"",INDEX('Compliance Database'!$O$2:$O$1199,MATCH(656,Engine!$C$2:$C$1199,0)))</f>
        <v/>
      </c>
      <c r="P669" s="6" t="str">
        <f>IF(ISNA(MATCH(656,Engine!$C$2:$C$1199,0)),"",HYPERLINK("#Acts!A"&amp;INDEX('Compliance Database'!$P$2:$P$1199,MATCH(656,Engine!$C$2:$C$1199,0)),"Go to Act"))</f>
        <v/>
      </c>
    </row>
    <row r="670" spans="1:16" ht="172.95" customHeight="1" x14ac:dyDescent="0.3">
      <c r="A670" s="6" t="str">
        <f>IF(ISNA(MATCH(657,Engine!$C$2:$C$1199,0)),"",INDEX('Compliance Database'!$A$2:$A$1199,MATCH(657,Engine!$C$2:$C$1199,0)))</f>
        <v/>
      </c>
      <c r="B670" s="6" t="str">
        <f>IF(ISNA(MATCH(657,Engine!$C$2:$C$1199,0)),"",INDEX('Compliance Database'!$B$2:$B$1199,MATCH(657,Engine!$C$2:$C$1199,0)))</f>
        <v/>
      </c>
      <c r="C670" s="6" t="str">
        <f>IF(ISNA(MATCH(657,Engine!$C$2:$C$1199,0)),"",INDEX('Compliance Database'!$C$2:$C$1199,MATCH(657,Engine!$C$2:$C$1199,0)))</f>
        <v/>
      </c>
      <c r="D670" s="7" t="str">
        <f>IF(ISNA(MATCH(657,Engine!$C$2:$C$1199,0)),"",INDEX('Compliance Database'!$D$2:$D$1199,MATCH(657,Engine!$C$2:$C$1199,0)))</f>
        <v/>
      </c>
      <c r="E670" s="6" t="str">
        <f>IF(ISNA(MATCH(657,Engine!$C$2:$C$1199,0)),"",INDEX('Compliance Database'!$E$2:$E$1199,MATCH(657,Engine!$C$2:$C$1199,0)))</f>
        <v/>
      </c>
      <c r="F670" s="6" t="str">
        <f>IF(ISNA(MATCH(657,Engine!$C$2:$C$1199,0)),"",INDEX('Compliance Database'!$F$2:$F$1199,MATCH(657,Engine!$C$2:$C$1199,0)))</f>
        <v/>
      </c>
      <c r="G670" s="6" t="str">
        <f>IF(ISNA(MATCH(657,Engine!$C$2:$C$1199,0)),"",INDEX('Compliance Database'!$G$2:$G$1199,MATCH(657,Engine!$C$2:$C$1199,0)))</f>
        <v/>
      </c>
      <c r="H670" s="7" t="str">
        <f>IF(ISNA(MATCH(657,Engine!$C$2:$C$1199,0)),"",INDEX('Compliance Database'!$H$2:$H$1199,MATCH(657,Engine!$C$2:$C$1199,0)))</f>
        <v/>
      </c>
      <c r="I670" s="7" t="str">
        <f>IF(ISNA(MATCH(657,Engine!$C$2:$C$1199,0)),"",INDEX('Compliance Database'!$I$2:$I$1199,MATCH(657,Engine!$C$2:$C$1199,0)))</f>
        <v/>
      </c>
      <c r="J670" s="6" t="str">
        <f>IF(ISNA(MATCH(657,Engine!$C$2:$C$1199,0)),"",INDEX('Compliance Database'!$J$2:$J$1199,MATCH(657,Engine!$C$2:$C$1199,0)))</f>
        <v/>
      </c>
      <c r="K670" s="7" t="str">
        <f>IF(ISNA(MATCH(657,Engine!$C$2:$C$1199,0)),"",INDEX('Compliance Database'!$K$2:$K$1199,MATCH(657,Engine!$C$2:$C$1199,0)))</f>
        <v/>
      </c>
      <c r="L670" s="7" t="str">
        <f>IF(ISNA(MATCH(657,Engine!$C$2:$C$1199,0)),"",INDEX('Compliance Database'!$L$2:$L$1199,MATCH(657,Engine!$C$2:$C$1199,0)))</f>
        <v/>
      </c>
      <c r="M670" s="7" t="str">
        <f>IF(ISNA(MATCH(657,Engine!$C$2:$C$1199,0)),"",INDEX('Compliance Database'!$M$2:$M$1199,MATCH(657,Engine!$C$2:$C$1199,0)))</f>
        <v/>
      </c>
      <c r="N670" s="7" t="str">
        <f>IF(ISNA(MATCH(657,Engine!$C$2:$C$1199,0)),"",INDEX('Compliance Database'!$N$2:$N$1199,MATCH(657,Engine!$C$2:$C$1199,0)))</f>
        <v/>
      </c>
      <c r="O670" s="7" t="str">
        <f>IF(ISNA(MATCH(657,Engine!$C$2:$C$1199,0)),"",INDEX('Compliance Database'!$O$2:$O$1199,MATCH(657,Engine!$C$2:$C$1199,0)))</f>
        <v/>
      </c>
      <c r="P670" s="6" t="str">
        <f>IF(ISNA(MATCH(657,Engine!$C$2:$C$1199,0)),"",HYPERLINK("#Acts!A"&amp;INDEX('Compliance Database'!$P$2:$P$1199,MATCH(657,Engine!$C$2:$C$1199,0)),"Go to Act"))</f>
        <v/>
      </c>
    </row>
    <row r="671" spans="1:16" ht="172.95" customHeight="1" x14ac:dyDescent="0.3">
      <c r="A671" s="6" t="str">
        <f>IF(ISNA(MATCH(658,Engine!$C$2:$C$1199,0)),"",INDEX('Compliance Database'!$A$2:$A$1199,MATCH(658,Engine!$C$2:$C$1199,0)))</f>
        <v/>
      </c>
      <c r="B671" s="6" t="str">
        <f>IF(ISNA(MATCH(658,Engine!$C$2:$C$1199,0)),"",INDEX('Compliance Database'!$B$2:$B$1199,MATCH(658,Engine!$C$2:$C$1199,0)))</f>
        <v/>
      </c>
      <c r="C671" s="6" t="str">
        <f>IF(ISNA(MATCH(658,Engine!$C$2:$C$1199,0)),"",INDEX('Compliance Database'!$C$2:$C$1199,MATCH(658,Engine!$C$2:$C$1199,0)))</f>
        <v/>
      </c>
      <c r="D671" s="7" t="str">
        <f>IF(ISNA(MATCH(658,Engine!$C$2:$C$1199,0)),"",INDEX('Compliance Database'!$D$2:$D$1199,MATCH(658,Engine!$C$2:$C$1199,0)))</f>
        <v/>
      </c>
      <c r="E671" s="6" t="str">
        <f>IF(ISNA(MATCH(658,Engine!$C$2:$C$1199,0)),"",INDEX('Compliance Database'!$E$2:$E$1199,MATCH(658,Engine!$C$2:$C$1199,0)))</f>
        <v/>
      </c>
      <c r="F671" s="6" t="str">
        <f>IF(ISNA(MATCH(658,Engine!$C$2:$C$1199,0)),"",INDEX('Compliance Database'!$F$2:$F$1199,MATCH(658,Engine!$C$2:$C$1199,0)))</f>
        <v/>
      </c>
      <c r="G671" s="6" t="str">
        <f>IF(ISNA(MATCH(658,Engine!$C$2:$C$1199,0)),"",INDEX('Compliance Database'!$G$2:$G$1199,MATCH(658,Engine!$C$2:$C$1199,0)))</f>
        <v/>
      </c>
      <c r="H671" s="7" t="str">
        <f>IF(ISNA(MATCH(658,Engine!$C$2:$C$1199,0)),"",INDEX('Compliance Database'!$H$2:$H$1199,MATCH(658,Engine!$C$2:$C$1199,0)))</f>
        <v/>
      </c>
      <c r="I671" s="7" t="str">
        <f>IF(ISNA(MATCH(658,Engine!$C$2:$C$1199,0)),"",INDEX('Compliance Database'!$I$2:$I$1199,MATCH(658,Engine!$C$2:$C$1199,0)))</f>
        <v/>
      </c>
      <c r="J671" s="6" t="str">
        <f>IF(ISNA(MATCH(658,Engine!$C$2:$C$1199,0)),"",INDEX('Compliance Database'!$J$2:$J$1199,MATCH(658,Engine!$C$2:$C$1199,0)))</f>
        <v/>
      </c>
      <c r="K671" s="7" t="str">
        <f>IF(ISNA(MATCH(658,Engine!$C$2:$C$1199,0)),"",INDEX('Compliance Database'!$K$2:$K$1199,MATCH(658,Engine!$C$2:$C$1199,0)))</f>
        <v/>
      </c>
      <c r="L671" s="7" t="str">
        <f>IF(ISNA(MATCH(658,Engine!$C$2:$C$1199,0)),"",INDEX('Compliance Database'!$L$2:$L$1199,MATCH(658,Engine!$C$2:$C$1199,0)))</f>
        <v/>
      </c>
      <c r="M671" s="7" t="str">
        <f>IF(ISNA(MATCH(658,Engine!$C$2:$C$1199,0)),"",INDEX('Compliance Database'!$M$2:$M$1199,MATCH(658,Engine!$C$2:$C$1199,0)))</f>
        <v/>
      </c>
      <c r="N671" s="7" t="str">
        <f>IF(ISNA(MATCH(658,Engine!$C$2:$C$1199,0)),"",INDEX('Compliance Database'!$N$2:$N$1199,MATCH(658,Engine!$C$2:$C$1199,0)))</f>
        <v/>
      </c>
      <c r="O671" s="7" t="str">
        <f>IF(ISNA(MATCH(658,Engine!$C$2:$C$1199,0)),"",INDEX('Compliance Database'!$O$2:$O$1199,MATCH(658,Engine!$C$2:$C$1199,0)))</f>
        <v/>
      </c>
      <c r="P671" s="6" t="str">
        <f>IF(ISNA(MATCH(658,Engine!$C$2:$C$1199,0)),"",HYPERLINK("#Acts!A"&amp;INDEX('Compliance Database'!$P$2:$P$1199,MATCH(658,Engine!$C$2:$C$1199,0)),"Go to Act"))</f>
        <v/>
      </c>
    </row>
    <row r="672" spans="1:16" ht="172.95" customHeight="1" x14ac:dyDescent="0.3">
      <c r="A672" s="6" t="str">
        <f>IF(ISNA(MATCH(659,Engine!$C$2:$C$1199,0)),"",INDEX('Compliance Database'!$A$2:$A$1199,MATCH(659,Engine!$C$2:$C$1199,0)))</f>
        <v/>
      </c>
      <c r="B672" s="6" t="str">
        <f>IF(ISNA(MATCH(659,Engine!$C$2:$C$1199,0)),"",INDEX('Compliance Database'!$B$2:$B$1199,MATCH(659,Engine!$C$2:$C$1199,0)))</f>
        <v/>
      </c>
      <c r="C672" s="6" t="str">
        <f>IF(ISNA(MATCH(659,Engine!$C$2:$C$1199,0)),"",INDEX('Compliance Database'!$C$2:$C$1199,MATCH(659,Engine!$C$2:$C$1199,0)))</f>
        <v/>
      </c>
      <c r="D672" s="7" t="str">
        <f>IF(ISNA(MATCH(659,Engine!$C$2:$C$1199,0)),"",INDEX('Compliance Database'!$D$2:$D$1199,MATCH(659,Engine!$C$2:$C$1199,0)))</f>
        <v/>
      </c>
      <c r="E672" s="6" t="str">
        <f>IF(ISNA(MATCH(659,Engine!$C$2:$C$1199,0)),"",INDEX('Compliance Database'!$E$2:$E$1199,MATCH(659,Engine!$C$2:$C$1199,0)))</f>
        <v/>
      </c>
      <c r="F672" s="6" t="str">
        <f>IF(ISNA(MATCH(659,Engine!$C$2:$C$1199,0)),"",INDEX('Compliance Database'!$F$2:$F$1199,MATCH(659,Engine!$C$2:$C$1199,0)))</f>
        <v/>
      </c>
      <c r="G672" s="6" t="str">
        <f>IF(ISNA(MATCH(659,Engine!$C$2:$C$1199,0)),"",INDEX('Compliance Database'!$G$2:$G$1199,MATCH(659,Engine!$C$2:$C$1199,0)))</f>
        <v/>
      </c>
      <c r="H672" s="7" t="str">
        <f>IF(ISNA(MATCH(659,Engine!$C$2:$C$1199,0)),"",INDEX('Compliance Database'!$H$2:$H$1199,MATCH(659,Engine!$C$2:$C$1199,0)))</f>
        <v/>
      </c>
      <c r="I672" s="7" t="str">
        <f>IF(ISNA(MATCH(659,Engine!$C$2:$C$1199,0)),"",INDEX('Compliance Database'!$I$2:$I$1199,MATCH(659,Engine!$C$2:$C$1199,0)))</f>
        <v/>
      </c>
      <c r="J672" s="6" t="str">
        <f>IF(ISNA(MATCH(659,Engine!$C$2:$C$1199,0)),"",INDEX('Compliance Database'!$J$2:$J$1199,MATCH(659,Engine!$C$2:$C$1199,0)))</f>
        <v/>
      </c>
      <c r="K672" s="7" t="str">
        <f>IF(ISNA(MATCH(659,Engine!$C$2:$C$1199,0)),"",INDEX('Compliance Database'!$K$2:$K$1199,MATCH(659,Engine!$C$2:$C$1199,0)))</f>
        <v/>
      </c>
      <c r="L672" s="7" t="str">
        <f>IF(ISNA(MATCH(659,Engine!$C$2:$C$1199,0)),"",INDEX('Compliance Database'!$L$2:$L$1199,MATCH(659,Engine!$C$2:$C$1199,0)))</f>
        <v/>
      </c>
      <c r="M672" s="7" t="str">
        <f>IF(ISNA(MATCH(659,Engine!$C$2:$C$1199,0)),"",INDEX('Compliance Database'!$M$2:$M$1199,MATCH(659,Engine!$C$2:$C$1199,0)))</f>
        <v/>
      </c>
      <c r="N672" s="7" t="str">
        <f>IF(ISNA(MATCH(659,Engine!$C$2:$C$1199,0)),"",INDEX('Compliance Database'!$N$2:$N$1199,MATCH(659,Engine!$C$2:$C$1199,0)))</f>
        <v/>
      </c>
      <c r="O672" s="7" t="str">
        <f>IF(ISNA(MATCH(659,Engine!$C$2:$C$1199,0)),"",INDEX('Compliance Database'!$O$2:$O$1199,MATCH(659,Engine!$C$2:$C$1199,0)))</f>
        <v/>
      </c>
      <c r="P672" s="6" t="str">
        <f>IF(ISNA(MATCH(659,Engine!$C$2:$C$1199,0)),"",HYPERLINK("#Acts!A"&amp;INDEX('Compliance Database'!$P$2:$P$1199,MATCH(659,Engine!$C$2:$C$1199,0)),"Go to Act"))</f>
        <v/>
      </c>
    </row>
    <row r="673" spans="1:16" ht="172.95" customHeight="1" x14ac:dyDescent="0.3">
      <c r="A673" s="6" t="str">
        <f>IF(ISNA(MATCH(660,Engine!$C$2:$C$1199,0)),"",INDEX('Compliance Database'!$A$2:$A$1199,MATCH(660,Engine!$C$2:$C$1199,0)))</f>
        <v/>
      </c>
      <c r="B673" s="6" t="str">
        <f>IF(ISNA(MATCH(660,Engine!$C$2:$C$1199,0)),"",INDEX('Compliance Database'!$B$2:$B$1199,MATCH(660,Engine!$C$2:$C$1199,0)))</f>
        <v/>
      </c>
      <c r="C673" s="6" t="str">
        <f>IF(ISNA(MATCH(660,Engine!$C$2:$C$1199,0)),"",INDEX('Compliance Database'!$C$2:$C$1199,MATCH(660,Engine!$C$2:$C$1199,0)))</f>
        <v/>
      </c>
      <c r="D673" s="7" t="str">
        <f>IF(ISNA(MATCH(660,Engine!$C$2:$C$1199,0)),"",INDEX('Compliance Database'!$D$2:$D$1199,MATCH(660,Engine!$C$2:$C$1199,0)))</f>
        <v/>
      </c>
      <c r="E673" s="6" t="str">
        <f>IF(ISNA(MATCH(660,Engine!$C$2:$C$1199,0)),"",INDEX('Compliance Database'!$E$2:$E$1199,MATCH(660,Engine!$C$2:$C$1199,0)))</f>
        <v/>
      </c>
      <c r="F673" s="6" t="str">
        <f>IF(ISNA(MATCH(660,Engine!$C$2:$C$1199,0)),"",INDEX('Compliance Database'!$F$2:$F$1199,MATCH(660,Engine!$C$2:$C$1199,0)))</f>
        <v/>
      </c>
      <c r="G673" s="6" t="str">
        <f>IF(ISNA(MATCH(660,Engine!$C$2:$C$1199,0)),"",INDEX('Compliance Database'!$G$2:$G$1199,MATCH(660,Engine!$C$2:$C$1199,0)))</f>
        <v/>
      </c>
      <c r="H673" s="7" t="str">
        <f>IF(ISNA(MATCH(660,Engine!$C$2:$C$1199,0)),"",INDEX('Compliance Database'!$H$2:$H$1199,MATCH(660,Engine!$C$2:$C$1199,0)))</f>
        <v/>
      </c>
      <c r="I673" s="7" t="str">
        <f>IF(ISNA(MATCH(660,Engine!$C$2:$C$1199,0)),"",INDEX('Compliance Database'!$I$2:$I$1199,MATCH(660,Engine!$C$2:$C$1199,0)))</f>
        <v/>
      </c>
      <c r="J673" s="6" t="str">
        <f>IF(ISNA(MATCH(660,Engine!$C$2:$C$1199,0)),"",INDEX('Compliance Database'!$J$2:$J$1199,MATCH(660,Engine!$C$2:$C$1199,0)))</f>
        <v/>
      </c>
      <c r="K673" s="7" t="str">
        <f>IF(ISNA(MATCH(660,Engine!$C$2:$C$1199,0)),"",INDEX('Compliance Database'!$K$2:$K$1199,MATCH(660,Engine!$C$2:$C$1199,0)))</f>
        <v/>
      </c>
      <c r="L673" s="7" t="str">
        <f>IF(ISNA(MATCH(660,Engine!$C$2:$C$1199,0)),"",INDEX('Compliance Database'!$L$2:$L$1199,MATCH(660,Engine!$C$2:$C$1199,0)))</f>
        <v/>
      </c>
      <c r="M673" s="7" t="str">
        <f>IF(ISNA(MATCH(660,Engine!$C$2:$C$1199,0)),"",INDEX('Compliance Database'!$M$2:$M$1199,MATCH(660,Engine!$C$2:$C$1199,0)))</f>
        <v/>
      </c>
      <c r="N673" s="7" t="str">
        <f>IF(ISNA(MATCH(660,Engine!$C$2:$C$1199,0)),"",INDEX('Compliance Database'!$N$2:$N$1199,MATCH(660,Engine!$C$2:$C$1199,0)))</f>
        <v/>
      </c>
      <c r="O673" s="7" t="str">
        <f>IF(ISNA(MATCH(660,Engine!$C$2:$C$1199,0)),"",INDEX('Compliance Database'!$O$2:$O$1199,MATCH(660,Engine!$C$2:$C$1199,0)))</f>
        <v/>
      </c>
      <c r="P673" s="6" t="str">
        <f>IF(ISNA(MATCH(660,Engine!$C$2:$C$1199,0)),"",HYPERLINK("#Acts!A"&amp;INDEX('Compliance Database'!$P$2:$P$1199,MATCH(660,Engine!$C$2:$C$1199,0)),"Go to Act"))</f>
        <v/>
      </c>
    </row>
    <row r="674" spans="1:16" ht="172.95" customHeight="1" x14ac:dyDescent="0.3">
      <c r="A674" s="6" t="str">
        <f>IF(ISNA(MATCH(661,Engine!$C$2:$C$1199,0)),"",INDEX('Compliance Database'!$A$2:$A$1199,MATCH(661,Engine!$C$2:$C$1199,0)))</f>
        <v/>
      </c>
      <c r="B674" s="6" t="str">
        <f>IF(ISNA(MATCH(661,Engine!$C$2:$C$1199,0)),"",INDEX('Compliance Database'!$B$2:$B$1199,MATCH(661,Engine!$C$2:$C$1199,0)))</f>
        <v/>
      </c>
      <c r="C674" s="6" t="str">
        <f>IF(ISNA(MATCH(661,Engine!$C$2:$C$1199,0)),"",INDEX('Compliance Database'!$C$2:$C$1199,MATCH(661,Engine!$C$2:$C$1199,0)))</f>
        <v/>
      </c>
      <c r="D674" s="7" t="str">
        <f>IF(ISNA(MATCH(661,Engine!$C$2:$C$1199,0)),"",INDEX('Compliance Database'!$D$2:$D$1199,MATCH(661,Engine!$C$2:$C$1199,0)))</f>
        <v/>
      </c>
      <c r="E674" s="6" t="str">
        <f>IF(ISNA(MATCH(661,Engine!$C$2:$C$1199,0)),"",INDEX('Compliance Database'!$E$2:$E$1199,MATCH(661,Engine!$C$2:$C$1199,0)))</f>
        <v/>
      </c>
      <c r="F674" s="6" t="str">
        <f>IF(ISNA(MATCH(661,Engine!$C$2:$C$1199,0)),"",INDEX('Compliance Database'!$F$2:$F$1199,MATCH(661,Engine!$C$2:$C$1199,0)))</f>
        <v/>
      </c>
      <c r="G674" s="6" t="str">
        <f>IF(ISNA(MATCH(661,Engine!$C$2:$C$1199,0)),"",INDEX('Compliance Database'!$G$2:$G$1199,MATCH(661,Engine!$C$2:$C$1199,0)))</f>
        <v/>
      </c>
      <c r="H674" s="7" t="str">
        <f>IF(ISNA(MATCH(661,Engine!$C$2:$C$1199,0)),"",INDEX('Compliance Database'!$H$2:$H$1199,MATCH(661,Engine!$C$2:$C$1199,0)))</f>
        <v/>
      </c>
      <c r="I674" s="7" t="str">
        <f>IF(ISNA(MATCH(661,Engine!$C$2:$C$1199,0)),"",INDEX('Compliance Database'!$I$2:$I$1199,MATCH(661,Engine!$C$2:$C$1199,0)))</f>
        <v/>
      </c>
      <c r="J674" s="6" t="str">
        <f>IF(ISNA(MATCH(661,Engine!$C$2:$C$1199,0)),"",INDEX('Compliance Database'!$J$2:$J$1199,MATCH(661,Engine!$C$2:$C$1199,0)))</f>
        <v/>
      </c>
      <c r="K674" s="7" t="str">
        <f>IF(ISNA(MATCH(661,Engine!$C$2:$C$1199,0)),"",INDEX('Compliance Database'!$K$2:$K$1199,MATCH(661,Engine!$C$2:$C$1199,0)))</f>
        <v/>
      </c>
      <c r="L674" s="7" t="str">
        <f>IF(ISNA(MATCH(661,Engine!$C$2:$C$1199,0)),"",INDEX('Compliance Database'!$L$2:$L$1199,MATCH(661,Engine!$C$2:$C$1199,0)))</f>
        <v/>
      </c>
      <c r="M674" s="7" t="str">
        <f>IF(ISNA(MATCH(661,Engine!$C$2:$C$1199,0)),"",INDEX('Compliance Database'!$M$2:$M$1199,MATCH(661,Engine!$C$2:$C$1199,0)))</f>
        <v/>
      </c>
      <c r="N674" s="7" t="str">
        <f>IF(ISNA(MATCH(661,Engine!$C$2:$C$1199,0)),"",INDEX('Compliance Database'!$N$2:$N$1199,MATCH(661,Engine!$C$2:$C$1199,0)))</f>
        <v/>
      </c>
      <c r="O674" s="7" t="str">
        <f>IF(ISNA(MATCH(661,Engine!$C$2:$C$1199,0)),"",INDEX('Compliance Database'!$O$2:$O$1199,MATCH(661,Engine!$C$2:$C$1199,0)))</f>
        <v/>
      </c>
      <c r="P674" s="6" t="str">
        <f>IF(ISNA(MATCH(661,Engine!$C$2:$C$1199,0)),"",HYPERLINK("#Acts!A"&amp;INDEX('Compliance Database'!$P$2:$P$1199,MATCH(661,Engine!$C$2:$C$1199,0)),"Go to Act"))</f>
        <v/>
      </c>
    </row>
    <row r="675" spans="1:16" ht="172.95" customHeight="1" x14ac:dyDescent="0.3">
      <c r="A675" s="6" t="str">
        <f>IF(ISNA(MATCH(662,Engine!$C$2:$C$1199,0)),"",INDEX('Compliance Database'!$A$2:$A$1199,MATCH(662,Engine!$C$2:$C$1199,0)))</f>
        <v/>
      </c>
      <c r="B675" s="6" t="str">
        <f>IF(ISNA(MATCH(662,Engine!$C$2:$C$1199,0)),"",INDEX('Compliance Database'!$B$2:$B$1199,MATCH(662,Engine!$C$2:$C$1199,0)))</f>
        <v/>
      </c>
      <c r="C675" s="6" t="str">
        <f>IF(ISNA(MATCH(662,Engine!$C$2:$C$1199,0)),"",INDEX('Compliance Database'!$C$2:$C$1199,MATCH(662,Engine!$C$2:$C$1199,0)))</f>
        <v/>
      </c>
      <c r="D675" s="7" t="str">
        <f>IF(ISNA(MATCH(662,Engine!$C$2:$C$1199,0)),"",INDEX('Compliance Database'!$D$2:$D$1199,MATCH(662,Engine!$C$2:$C$1199,0)))</f>
        <v/>
      </c>
      <c r="E675" s="6" t="str">
        <f>IF(ISNA(MATCH(662,Engine!$C$2:$C$1199,0)),"",INDEX('Compliance Database'!$E$2:$E$1199,MATCH(662,Engine!$C$2:$C$1199,0)))</f>
        <v/>
      </c>
      <c r="F675" s="6" t="str">
        <f>IF(ISNA(MATCH(662,Engine!$C$2:$C$1199,0)),"",INDEX('Compliance Database'!$F$2:$F$1199,MATCH(662,Engine!$C$2:$C$1199,0)))</f>
        <v/>
      </c>
      <c r="G675" s="6" t="str">
        <f>IF(ISNA(MATCH(662,Engine!$C$2:$C$1199,0)),"",INDEX('Compliance Database'!$G$2:$G$1199,MATCH(662,Engine!$C$2:$C$1199,0)))</f>
        <v/>
      </c>
      <c r="H675" s="7" t="str">
        <f>IF(ISNA(MATCH(662,Engine!$C$2:$C$1199,0)),"",INDEX('Compliance Database'!$H$2:$H$1199,MATCH(662,Engine!$C$2:$C$1199,0)))</f>
        <v/>
      </c>
      <c r="I675" s="7" t="str">
        <f>IF(ISNA(MATCH(662,Engine!$C$2:$C$1199,0)),"",INDEX('Compliance Database'!$I$2:$I$1199,MATCH(662,Engine!$C$2:$C$1199,0)))</f>
        <v/>
      </c>
      <c r="J675" s="6" t="str">
        <f>IF(ISNA(MATCH(662,Engine!$C$2:$C$1199,0)),"",INDEX('Compliance Database'!$J$2:$J$1199,MATCH(662,Engine!$C$2:$C$1199,0)))</f>
        <v/>
      </c>
      <c r="K675" s="7" t="str">
        <f>IF(ISNA(MATCH(662,Engine!$C$2:$C$1199,0)),"",INDEX('Compliance Database'!$K$2:$K$1199,MATCH(662,Engine!$C$2:$C$1199,0)))</f>
        <v/>
      </c>
      <c r="L675" s="7" t="str">
        <f>IF(ISNA(MATCH(662,Engine!$C$2:$C$1199,0)),"",INDEX('Compliance Database'!$L$2:$L$1199,MATCH(662,Engine!$C$2:$C$1199,0)))</f>
        <v/>
      </c>
      <c r="M675" s="7" t="str">
        <f>IF(ISNA(MATCH(662,Engine!$C$2:$C$1199,0)),"",INDEX('Compliance Database'!$M$2:$M$1199,MATCH(662,Engine!$C$2:$C$1199,0)))</f>
        <v/>
      </c>
      <c r="N675" s="7" t="str">
        <f>IF(ISNA(MATCH(662,Engine!$C$2:$C$1199,0)),"",INDEX('Compliance Database'!$N$2:$N$1199,MATCH(662,Engine!$C$2:$C$1199,0)))</f>
        <v/>
      </c>
      <c r="O675" s="7" t="str">
        <f>IF(ISNA(MATCH(662,Engine!$C$2:$C$1199,0)),"",INDEX('Compliance Database'!$O$2:$O$1199,MATCH(662,Engine!$C$2:$C$1199,0)))</f>
        <v/>
      </c>
      <c r="P675" s="6" t="str">
        <f>IF(ISNA(MATCH(662,Engine!$C$2:$C$1199,0)),"",HYPERLINK("#Acts!A"&amp;INDEX('Compliance Database'!$P$2:$P$1199,MATCH(662,Engine!$C$2:$C$1199,0)),"Go to Act"))</f>
        <v/>
      </c>
    </row>
    <row r="676" spans="1:16" ht="172.95" customHeight="1" x14ac:dyDescent="0.3">
      <c r="A676" s="6" t="str">
        <f>IF(ISNA(MATCH(663,Engine!$C$2:$C$1199,0)),"",INDEX('Compliance Database'!$A$2:$A$1199,MATCH(663,Engine!$C$2:$C$1199,0)))</f>
        <v/>
      </c>
      <c r="B676" s="6" t="str">
        <f>IF(ISNA(MATCH(663,Engine!$C$2:$C$1199,0)),"",INDEX('Compliance Database'!$B$2:$B$1199,MATCH(663,Engine!$C$2:$C$1199,0)))</f>
        <v/>
      </c>
      <c r="C676" s="6" t="str">
        <f>IF(ISNA(MATCH(663,Engine!$C$2:$C$1199,0)),"",INDEX('Compliance Database'!$C$2:$C$1199,MATCH(663,Engine!$C$2:$C$1199,0)))</f>
        <v/>
      </c>
      <c r="D676" s="7" t="str">
        <f>IF(ISNA(MATCH(663,Engine!$C$2:$C$1199,0)),"",INDEX('Compliance Database'!$D$2:$D$1199,MATCH(663,Engine!$C$2:$C$1199,0)))</f>
        <v/>
      </c>
      <c r="E676" s="6" t="str">
        <f>IF(ISNA(MATCH(663,Engine!$C$2:$C$1199,0)),"",INDEX('Compliance Database'!$E$2:$E$1199,MATCH(663,Engine!$C$2:$C$1199,0)))</f>
        <v/>
      </c>
      <c r="F676" s="6" t="str">
        <f>IF(ISNA(MATCH(663,Engine!$C$2:$C$1199,0)),"",INDEX('Compliance Database'!$F$2:$F$1199,MATCH(663,Engine!$C$2:$C$1199,0)))</f>
        <v/>
      </c>
      <c r="G676" s="6" t="str">
        <f>IF(ISNA(MATCH(663,Engine!$C$2:$C$1199,0)),"",INDEX('Compliance Database'!$G$2:$G$1199,MATCH(663,Engine!$C$2:$C$1199,0)))</f>
        <v/>
      </c>
      <c r="H676" s="7" t="str">
        <f>IF(ISNA(MATCH(663,Engine!$C$2:$C$1199,0)),"",INDEX('Compliance Database'!$H$2:$H$1199,MATCH(663,Engine!$C$2:$C$1199,0)))</f>
        <v/>
      </c>
      <c r="I676" s="7" t="str">
        <f>IF(ISNA(MATCH(663,Engine!$C$2:$C$1199,0)),"",INDEX('Compliance Database'!$I$2:$I$1199,MATCH(663,Engine!$C$2:$C$1199,0)))</f>
        <v/>
      </c>
      <c r="J676" s="6" t="str">
        <f>IF(ISNA(MATCH(663,Engine!$C$2:$C$1199,0)),"",INDEX('Compliance Database'!$J$2:$J$1199,MATCH(663,Engine!$C$2:$C$1199,0)))</f>
        <v/>
      </c>
      <c r="K676" s="7" t="str">
        <f>IF(ISNA(MATCH(663,Engine!$C$2:$C$1199,0)),"",INDEX('Compliance Database'!$K$2:$K$1199,MATCH(663,Engine!$C$2:$C$1199,0)))</f>
        <v/>
      </c>
      <c r="L676" s="7" t="str">
        <f>IF(ISNA(MATCH(663,Engine!$C$2:$C$1199,0)),"",INDEX('Compliance Database'!$L$2:$L$1199,MATCH(663,Engine!$C$2:$C$1199,0)))</f>
        <v/>
      </c>
      <c r="M676" s="7" t="str">
        <f>IF(ISNA(MATCH(663,Engine!$C$2:$C$1199,0)),"",INDEX('Compliance Database'!$M$2:$M$1199,MATCH(663,Engine!$C$2:$C$1199,0)))</f>
        <v/>
      </c>
      <c r="N676" s="7" t="str">
        <f>IF(ISNA(MATCH(663,Engine!$C$2:$C$1199,0)),"",INDEX('Compliance Database'!$N$2:$N$1199,MATCH(663,Engine!$C$2:$C$1199,0)))</f>
        <v/>
      </c>
      <c r="O676" s="7" t="str">
        <f>IF(ISNA(MATCH(663,Engine!$C$2:$C$1199,0)),"",INDEX('Compliance Database'!$O$2:$O$1199,MATCH(663,Engine!$C$2:$C$1199,0)))</f>
        <v/>
      </c>
      <c r="P676" s="6" t="str">
        <f>IF(ISNA(MATCH(663,Engine!$C$2:$C$1199,0)),"",HYPERLINK("#Acts!A"&amp;INDEX('Compliance Database'!$P$2:$P$1199,MATCH(663,Engine!$C$2:$C$1199,0)),"Go to Act"))</f>
        <v/>
      </c>
    </row>
    <row r="677" spans="1:16" ht="172.95" customHeight="1" x14ac:dyDescent="0.3">
      <c r="A677" s="6" t="str">
        <f>IF(ISNA(MATCH(664,Engine!$C$2:$C$1199,0)),"",INDEX('Compliance Database'!$A$2:$A$1199,MATCH(664,Engine!$C$2:$C$1199,0)))</f>
        <v/>
      </c>
      <c r="B677" s="6" t="str">
        <f>IF(ISNA(MATCH(664,Engine!$C$2:$C$1199,0)),"",INDEX('Compliance Database'!$B$2:$B$1199,MATCH(664,Engine!$C$2:$C$1199,0)))</f>
        <v/>
      </c>
      <c r="C677" s="6" t="str">
        <f>IF(ISNA(MATCH(664,Engine!$C$2:$C$1199,0)),"",INDEX('Compliance Database'!$C$2:$C$1199,MATCH(664,Engine!$C$2:$C$1199,0)))</f>
        <v/>
      </c>
      <c r="D677" s="7" t="str">
        <f>IF(ISNA(MATCH(664,Engine!$C$2:$C$1199,0)),"",INDEX('Compliance Database'!$D$2:$D$1199,MATCH(664,Engine!$C$2:$C$1199,0)))</f>
        <v/>
      </c>
      <c r="E677" s="6" t="str">
        <f>IF(ISNA(MATCH(664,Engine!$C$2:$C$1199,0)),"",INDEX('Compliance Database'!$E$2:$E$1199,MATCH(664,Engine!$C$2:$C$1199,0)))</f>
        <v/>
      </c>
      <c r="F677" s="6" t="str">
        <f>IF(ISNA(MATCH(664,Engine!$C$2:$C$1199,0)),"",INDEX('Compliance Database'!$F$2:$F$1199,MATCH(664,Engine!$C$2:$C$1199,0)))</f>
        <v/>
      </c>
      <c r="G677" s="6" t="str">
        <f>IF(ISNA(MATCH(664,Engine!$C$2:$C$1199,0)),"",INDEX('Compliance Database'!$G$2:$G$1199,MATCH(664,Engine!$C$2:$C$1199,0)))</f>
        <v/>
      </c>
      <c r="H677" s="7" t="str">
        <f>IF(ISNA(MATCH(664,Engine!$C$2:$C$1199,0)),"",INDEX('Compliance Database'!$H$2:$H$1199,MATCH(664,Engine!$C$2:$C$1199,0)))</f>
        <v/>
      </c>
      <c r="I677" s="7" t="str">
        <f>IF(ISNA(MATCH(664,Engine!$C$2:$C$1199,0)),"",INDEX('Compliance Database'!$I$2:$I$1199,MATCH(664,Engine!$C$2:$C$1199,0)))</f>
        <v/>
      </c>
      <c r="J677" s="6" t="str">
        <f>IF(ISNA(MATCH(664,Engine!$C$2:$C$1199,0)),"",INDEX('Compliance Database'!$J$2:$J$1199,MATCH(664,Engine!$C$2:$C$1199,0)))</f>
        <v/>
      </c>
      <c r="K677" s="7" t="str">
        <f>IF(ISNA(MATCH(664,Engine!$C$2:$C$1199,0)),"",INDEX('Compliance Database'!$K$2:$K$1199,MATCH(664,Engine!$C$2:$C$1199,0)))</f>
        <v/>
      </c>
      <c r="L677" s="7" t="str">
        <f>IF(ISNA(MATCH(664,Engine!$C$2:$C$1199,0)),"",INDEX('Compliance Database'!$L$2:$L$1199,MATCH(664,Engine!$C$2:$C$1199,0)))</f>
        <v/>
      </c>
      <c r="M677" s="7" t="str">
        <f>IF(ISNA(MATCH(664,Engine!$C$2:$C$1199,0)),"",INDEX('Compliance Database'!$M$2:$M$1199,MATCH(664,Engine!$C$2:$C$1199,0)))</f>
        <v/>
      </c>
      <c r="N677" s="7" t="str">
        <f>IF(ISNA(MATCH(664,Engine!$C$2:$C$1199,0)),"",INDEX('Compliance Database'!$N$2:$N$1199,MATCH(664,Engine!$C$2:$C$1199,0)))</f>
        <v/>
      </c>
      <c r="O677" s="7" t="str">
        <f>IF(ISNA(MATCH(664,Engine!$C$2:$C$1199,0)),"",INDEX('Compliance Database'!$O$2:$O$1199,MATCH(664,Engine!$C$2:$C$1199,0)))</f>
        <v/>
      </c>
      <c r="P677" s="6" t="str">
        <f>IF(ISNA(MATCH(664,Engine!$C$2:$C$1199,0)),"",HYPERLINK("#Acts!A"&amp;INDEX('Compliance Database'!$P$2:$P$1199,MATCH(664,Engine!$C$2:$C$1199,0)),"Go to Act"))</f>
        <v/>
      </c>
    </row>
    <row r="678" spans="1:16" ht="172.95" customHeight="1" x14ac:dyDescent="0.3">
      <c r="A678" s="6" t="str">
        <f>IF(ISNA(MATCH(665,Engine!$C$2:$C$1199,0)),"",INDEX('Compliance Database'!$A$2:$A$1199,MATCH(665,Engine!$C$2:$C$1199,0)))</f>
        <v/>
      </c>
      <c r="B678" s="6" t="str">
        <f>IF(ISNA(MATCH(665,Engine!$C$2:$C$1199,0)),"",INDEX('Compliance Database'!$B$2:$B$1199,MATCH(665,Engine!$C$2:$C$1199,0)))</f>
        <v/>
      </c>
      <c r="C678" s="6" t="str">
        <f>IF(ISNA(MATCH(665,Engine!$C$2:$C$1199,0)),"",INDEX('Compliance Database'!$C$2:$C$1199,MATCH(665,Engine!$C$2:$C$1199,0)))</f>
        <v/>
      </c>
      <c r="D678" s="7" t="str">
        <f>IF(ISNA(MATCH(665,Engine!$C$2:$C$1199,0)),"",INDEX('Compliance Database'!$D$2:$D$1199,MATCH(665,Engine!$C$2:$C$1199,0)))</f>
        <v/>
      </c>
      <c r="E678" s="6" t="str">
        <f>IF(ISNA(MATCH(665,Engine!$C$2:$C$1199,0)),"",INDEX('Compliance Database'!$E$2:$E$1199,MATCH(665,Engine!$C$2:$C$1199,0)))</f>
        <v/>
      </c>
      <c r="F678" s="6" t="str">
        <f>IF(ISNA(MATCH(665,Engine!$C$2:$C$1199,0)),"",INDEX('Compliance Database'!$F$2:$F$1199,MATCH(665,Engine!$C$2:$C$1199,0)))</f>
        <v/>
      </c>
      <c r="G678" s="6" t="str">
        <f>IF(ISNA(MATCH(665,Engine!$C$2:$C$1199,0)),"",INDEX('Compliance Database'!$G$2:$G$1199,MATCH(665,Engine!$C$2:$C$1199,0)))</f>
        <v/>
      </c>
      <c r="H678" s="7" t="str">
        <f>IF(ISNA(MATCH(665,Engine!$C$2:$C$1199,0)),"",INDEX('Compliance Database'!$H$2:$H$1199,MATCH(665,Engine!$C$2:$C$1199,0)))</f>
        <v/>
      </c>
      <c r="I678" s="7" t="str">
        <f>IF(ISNA(MATCH(665,Engine!$C$2:$C$1199,0)),"",INDEX('Compliance Database'!$I$2:$I$1199,MATCH(665,Engine!$C$2:$C$1199,0)))</f>
        <v/>
      </c>
      <c r="J678" s="6" t="str">
        <f>IF(ISNA(MATCH(665,Engine!$C$2:$C$1199,0)),"",INDEX('Compliance Database'!$J$2:$J$1199,MATCH(665,Engine!$C$2:$C$1199,0)))</f>
        <v/>
      </c>
      <c r="K678" s="7" t="str">
        <f>IF(ISNA(MATCH(665,Engine!$C$2:$C$1199,0)),"",INDEX('Compliance Database'!$K$2:$K$1199,MATCH(665,Engine!$C$2:$C$1199,0)))</f>
        <v/>
      </c>
      <c r="L678" s="7" t="str">
        <f>IF(ISNA(MATCH(665,Engine!$C$2:$C$1199,0)),"",INDEX('Compliance Database'!$L$2:$L$1199,MATCH(665,Engine!$C$2:$C$1199,0)))</f>
        <v/>
      </c>
      <c r="M678" s="7" t="str">
        <f>IF(ISNA(MATCH(665,Engine!$C$2:$C$1199,0)),"",INDEX('Compliance Database'!$M$2:$M$1199,MATCH(665,Engine!$C$2:$C$1199,0)))</f>
        <v/>
      </c>
      <c r="N678" s="7" t="str">
        <f>IF(ISNA(MATCH(665,Engine!$C$2:$C$1199,0)),"",INDEX('Compliance Database'!$N$2:$N$1199,MATCH(665,Engine!$C$2:$C$1199,0)))</f>
        <v/>
      </c>
      <c r="O678" s="7" t="str">
        <f>IF(ISNA(MATCH(665,Engine!$C$2:$C$1199,0)),"",INDEX('Compliance Database'!$O$2:$O$1199,MATCH(665,Engine!$C$2:$C$1199,0)))</f>
        <v/>
      </c>
      <c r="P678" s="6" t="str">
        <f>IF(ISNA(MATCH(665,Engine!$C$2:$C$1199,0)),"",HYPERLINK("#Acts!A"&amp;INDEX('Compliance Database'!$P$2:$P$1199,MATCH(665,Engine!$C$2:$C$1199,0)),"Go to Act"))</f>
        <v/>
      </c>
    </row>
    <row r="679" spans="1:16" ht="172.95" customHeight="1" x14ac:dyDescent="0.3">
      <c r="A679" s="6" t="str">
        <f>IF(ISNA(MATCH(666,Engine!$C$2:$C$1199,0)),"",INDEX('Compliance Database'!$A$2:$A$1199,MATCH(666,Engine!$C$2:$C$1199,0)))</f>
        <v/>
      </c>
      <c r="B679" s="6" t="str">
        <f>IF(ISNA(MATCH(666,Engine!$C$2:$C$1199,0)),"",INDEX('Compliance Database'!$B$2:$B$1199,MATCH(666,Engine!$C$2:$C$1199,0)))</f>
        <v/>
      </c>
      <c r="C679" s="6" t="str">
        <f>IF(ISNA(MATCH(666,Engine!$C$2:$C$1199,0)),"",INDEX('Compliance Database'!$C$2:$C$1199,MATCH(666,Engine!$C$2:$C$1199,0)))</f>
        <v/>
      </c>
      <c r="D679" s="7" t="str">
        <f>IF(ISNA(MATCH(666,Engine!$C$2:$C$1199,0)),"",INDEX('Compliance Database'!$D$2:$D$1199,MATCH(666,Engine!$C$2:$C$1199,0)))</f>
        <v/>
      </c>
      <c r="E679" s="6" t="str">
        <f>IF(ISNA(MATCH(666,Engine!$C$2:$C$1199,0)),"",INDEX('Compliance Database'!$E$2:$E$1199,MATCH(666,Engine!$C$2:$C$1199,0)))</f>
        <v/>
      </c>
      <c r="F679" s="6" t="str">
        <f>IF(ISNA(MATCH(666,Engine!$C$2:$C$1199,0)),"",INDEX('Compliance Database'!$F$2:$F$1199,MATCH(666,Engine!$C$2:$C$1199,0)))</f>
        <v/>
      </c>
      <c r="G679" s="6" t="str">
        <f>IF(ISNA(MATCH(666,Engine!$C$2:$C$1199,0)),"",INDEX('Compliance Database'!$G$2:$G$1199,MATCH(666,Engine!$C$2:$C$1199,0)))</f>
        <v/>
      </c>
      <c r="H679" s="7" t="str">
        <f>IF(ISNA(MATCH(666,Engine!$C$2:$C$1199,0)),"",INDEX('Compliance Database'!$H$2:$H$1199,MATCH(666,Engine!$C$2:$C$1199,0)))</f>
        <v/>
      </c>
      <c r="I679" s="7" t="str">
        <f>IF(ISNA(MATCH(666,Engine!$C$2:$C$1199,0)),"",INDEX('Compliance Database'!$I$2:$I$1199,MATCH(666,Engine!$C$2:$C$1199,0)))</f>
        <v/>
      </c>
      <c r="J679" s="6" t="str">
        <f>IF(ISNA(MATCH(666,Engine!$C$2:$C$1199,0)),"",INDEX('Compliance Database'!$J$2:$J$1199,MATCH(666,Engine!$C$2:$C$1199,0)))</f>
        <v/>
      </c>
      <c r="K679" s="7" t="str">
        <f>IF(ISNA(MATCH(666,Engine!$C$2:$C$1199,0)),"",INDEX('Compliance Database'!$K$2:$K$1199,MATCH(666,Engine!$C$2:$C$1199,0)))</f>
        <v/>
      </c>
      <c r="L679" s="7" t="str">
        <f>IF(ISNA(MATCH(666,Engine!$C$2:$C$1199,0)),"",INDEX('Compliance Database'!$L$2:$L$1199,MATCH(666,Engine!$C$2:$C$1199,0)))</f>
        <v/>
      </c>
      <c r="M679" s="7" t="str">
        <f>IF(ISNA(MATCH(666,Engine!$C$2:$C$1199,0)),"",INDEX('Compliance Database'!$M$2:$M$1199,MATCH(666,Engine!$C$2:$C$1199,0)))</f>
        <v/>
      </c>
      <c r="N679" s="7" t="str">
        <f>IF(ISNA(MATCH(666,Engine!$C$2:$C$1199,0)),"",INDEX('Compliance Database'!$N$2:$N$1199,MATCH(666,Engine!$C$2:$C$1199,0)))</f>
        <v/>
      </c>
      <c r="O679" s="7" t="str">
        <f>IF(ISNA(MATCH(666,Engine!$C$2:$C$1199,0)),"",INDEX('Compliance Database'!$O$2:$O$1199,MATCH(666,Engine!$C$2:$C$1199,0)))</f>
        <v/>
      </c>
      <c r="P679" s="6" t="str">
        <f>IF(ISNA(MATCH(666,Engine!$C$2:$C$1199,0)),"",HYPERLINK("#Acts!A"&amp;INDEX('Compliance Database'!$P$2:$P$1199,MATCH(666,Engine!$C$2:$C$1199,0)),"Go to Act"))</f>
        <v/>
      </c>
    </row>
    <row r="680" spans="1:16" ht="172.95" customHeight="1" x14ac:dyDescent="0.3">
      <c r="A680" s="6" t="str">
        <f>IF(ISNA(MATCH(667,Engine!$C$2:$C$1199,0)),"",INDEX('Compliance Database'!$A$2:$A$1199,MATCH(667,Engine!$C$2:$C$1199,0)))</f>
        <v/>
      </c>
      <c r="B680" s="6" t="str">
        <f>IF(ISNA(MATCH(667,Engine!$C$2:$C$1199,0)),"",INDEX('Compliance Database'!$B$2:$B$1199,MATCH(667,Engine!$C$2:$C$1199,0)))</f>
        <v/>
      </c>
      <c r="C680" s="6" t="str">
        <f>IF(ISNA(MATCH(667,Engine!$C$2:$C$1199,0)),"",INDEX('Compliance Database'!$C$2:$C$1199,MATCH(667,Engine!$C$2:$C$1199,0)))</f>
        <v/>
      </c>
      <c r="D680" s="7" t="str">
        <f>IF(ISNA(MATCH(667,Engine!$C$2:$C$1199,0)),"",INDEX('Compliance Database'!$D$2:$D$1199,MATCH(667,Engine!$C$2:$C$1199,0)))</f>
        <v/>
      </c>
      <c r="E680" s="6" t="str">
        <f>IF(ISNA(MATCH(667,Engine!$C$2:$C$1199,0)),"",INDEX('Compliance Database'!$E$2:$E$1199,MATCH(667,Engine!$C$2:$C$1199,0)))</f>
        <v/>
      </c>
      <c r="F680" s="6" t="str">
        <f>IF(ISNA(MATCH(667,Engine!$C$2:$C$1199,0)),"",INDEX('Compliance Database'!$F$2:$F$1199,MATCH(667,Engine!$C$2:$C$1199,0)))</f>
        <v/>
      </c>
      <c r="G680" s="6" t="str">
        <f>IF(ISNA(MATCH(667,Engine!$C$2:$C$1199,0)),"",INDEX('Compliance Database'!$G$2:$G$1199,MATCH(667,Engine!$C$2:$C$1199,0)))</f>
        <v/>
      </c>
      <c r="H680" s="7" t="str">
        <f>IF(ISNA(MATCH(667,Engine!$C$2:$C$1199,0)),"",INDEX('Compliance Database'!$H$2:$H$1199,MATCH(667,Engine!$C$2:$C$1199,0)))</f>
        <v/>
      </c>
      <c r="I680" s="7" t="str">
        <f>IF(ISNA(MATCH(667,Engine!$C$2:$C$1199,0)),"",INDEX('Compliance Database'!$I$2:$I$1199,MATCH(667,Engine!$C$2:$C$1199,0)))</f>
        <v/>
      </c>
      <c r="J680" s="6" t="str">
        <f>IF(ISNA(MATCH(667,Engine!$C$2:$C$1199,0)),"",INDEX('Compliance Database'!$J$2:$J$1199,MATCH(667,Engine!$C$2:$C$1199,0)))</f>
        <v/>
      </c>
      <c r="K680" s="7" t="str">
        <f>IF(ISNA(MATCH(667,Engine!$C$2:$C$1199,0)),"",INDEX('Compliance Database'!$K$2:$K$1199,MATCH(667,Engine!$C$2:$C$1199,0)))</f>
        <v/>
      </c>
      <c r="L680" s="7" t="str">
        <f>IF(ISNA(MATCH(667,Engine!$C$2:$C$1199,0)),"",INDEX('Compliance Database'!$L$2:$L$1199,MATCH(667,Engine!$C$2:$C$1199,0)))</f>
        <v/>
      </c>
      <c r="M680" s="7" t="str">
        <f>IF(ISNA(MATCH(667,Engine!$C$2:$C$1199,0)),"",INDEX('Compliance Database'!$M$2:$M$1199,MATCH(667,Engine!$C$2:$C$1199,0)))</f>
        <v/>
      </c>
      <c r="N680" s="7" t="str">
        <f>IF(ISNA(MATCH(667,Engine!$C$2:$C$1199,0)),"",INDEX('Compliance Database'!$N$2:$N$1199,MATCH(667,Engine!$C$2:$C$1199,0)))</f>
        <v/>
      </c>
      <c r="O680" s="7" t="str">
        <f>IF(ISNA(MATCH(667,Engine!$C$2:$C$1199,0)),"",INDEX('Compliance Database'!$O$2:$O$1199,MATCH(667,Engine!$C$2:$C$1199,0)))</f>
        <v/>
      </c>
      <c r="P680" s="6" t="str">
        <f>IF(ISNA(MATCH(667,Engine!$C$2:$C$1199,0)),"",HYPERLINK("#Acts!A"&amp;INDEX('Compliance Database'!$P$2:$P$1199,MATCH(667,Engine!$C$2:$C$1199,0)),"Go to Act"))</f>
        <v/>
      </c>
    </row>
    <row r="681" spans="1:16" ht="172.95" customHeight="1" x14ac:dyDescent="0.3">
      <c r="A681" s="6" t="str">
        <f>IF(ISNA(MATCH(668,Engine!$C$2:$C$1199,0)),"",INDEX('Compliance Database'!$A$2:$A$1199,MATCH(668,Engine!$C$2:$C$1199,0)))</f>
        <v/>
      </c>
      <c r="B681" s="6" t="str">
        <f>IF(ISNA(MATCH(668,Engine!$C$2:$C$1199,0)),"",INDEX('Compliance Database'!$B$2:$B$1199,MATCH(668,Engine!$C$2:$C$1199,0)))</f>
        <v/>
      </c>
      <c r="C681" s="6" t="str">
        <f>IF(ISNA(MATCH(668,Engine!$C$2:$C$1199,0)),"",INDEX('Compliance Database'!$C$2:$C$1199,MATCH(668,Engine!$C$2:$C$1199,0)))</f>
        <v/>
      </c>
      <c r="D681" s="7" t="str">
        <f>IF(ISNA(MATCH(668,Engine!$C$2:$C$1199,0)),"",INDEX('Compliance Database'!$D$2:$D$1199,MATCH(668,Engine!$C$2:$C$1199,0)))</f>
        <v/>
      </c>
      <c r="E681" s="6" t="str">
        <f>IF(ISNA(MATCH(668,Engine!$C$2:$C$1199,0)),"",INDEX('Compliance Database'!$E$2:$E$1199,MATCH(668,Engine!$C$2:$C$1199,0)))</f>
        <v/>
      </c>
      <c r="F681" s="6" t="str">
        <f>IF(ISNA(MATCH(668,Engine!$C$2:$C$1199,0)),"",INDEX('Compliance Database'!$F$2:$F$1199,MATCH(668,Engine!$C$2:$C$1199,0)))</f>
        <v/>
      </c>
      <c r="G681" s="6" t="str">
        <f>IF(ISNA(MATCH(668,Engine!$C$2:$C$1199,0)),"",INDEX('Compliance Database'!$G$2:$G$1199,MATCH(668,Engine!$C$2:$C$1199,0)))</f>
        <v/>
      </c>
      <c r="H681" s="7" t="str">
        <f>IF(ISNA(MATCH(668,Engine!$C$2:$C$1199,0)),"",INDEX('Compliance Database'!$H$2:$H$1199,MATCH(668,Engine!$C$2:$C$1199,0)))</f>
        <v/>
      </c>
      <c r="I681" s="7" t="str">
        <f>IF(ISNA(MATCH(668,Engine!$C$2:$C$1199,0)),"",INDEX('Compliance Database'!$I$2:$I$1199,MATCH(668,Engine!$C$2:$C$1199,0)))</f>
        <v/>
      </c>
      <c r="J681" s="6" t="str">
        <f>IF(ISNA(MATCH(668,Engine!$C$2:$C$1199,0)),"",INDEX('Compliance Database'!$J$2:$J$1199,MATCH(668,Engine!$C$2:$C$1199,0)))</f>
        <v/>
      </c>
      <c r="K681" s="7" t="str">
        <f>IF(ISNA(MATCH(668,Engine!$C$2:$C$1199,0)),"",INDEX('Compliance Database'!$K$2:$K$1199,MATCH(668,Engine!$C$2:$C$1199,0)))</f>
        <v/>
      </c>
      <c r="L681" s="7" t="str">
        <f>IF(ISNA(MATCH(668,Engine!$C$2:$C$1199,0)),"",INDEX('Compliance Database'!$L$2:$L$1199,MATCH(668,Engine!$C$2:$C$1199,0)))</f>
        <v/>
      </c>
      <c r="M681" s="7" t="str">
        <f>IF(ISNA(MATCH(668,Engine!$C$2:$C$1199,0)),"",INDEX('Compliance Database'!$M$2:$M$1199,MATCH(668,Engine!$C$2:$C$1199,0)))</f>
        <v/>
      </c>
      <c r="N681" s="7" t="str">
        <f>IF(ISNA(MATCH(668,Engine!$C$2:$C$1199,0)),"",INDEX('Compliance Database'!$N$2:$N$1199,MATCH(668,Engine!$C$2:$C$1199,0)))</f>
        <v/>
      </c>
      <c r="O681" s="7" t="str">
        <f>IF(ISNA(MATCH(668,Engine!$C$2:$C$1199,0)),"",INDEX('Compliance Database'!$O$2:$O$1199,MATCH(668,Engine!$C$2:$C$1199,0)))</f>
        <v/>
      </c>
      <c r="P681" s="6" t="str">
        <f>IF(ISNA(MATCH(668,Engine!$C$2:$C$1199,0)),"",HYPERLINK("#Acts!A"&amp;INDEX('Compliance Database'!$P$2:$P$1199,MATCH(668,Engine!$C$2:$C$1199,0)),"Go to Act"))</f>
        <v/>
      </c>
    </row>
    <row r="682" spans="1:16" ht="172.95" customHeight="1" x14ac:dyDescent="0.3">
      <c r="A682" s="6" t="str">
        <f>IF(ISNA(MATCH(669,Engine!$C$2:$C$1199,0)),"",INDEX('Compliance Database'!$A$2:$A$1199,MATCH(669,Engine!$C$2:$C$1199,0)))</f>
        <v/>
      </c>
      <c r="B682" s="6" t="str">
        <f>IF(ISNA(MATCH(669,Engine!$C$2:$C$1199,0)),"",INDEX('Compliance Database'!$B$2:$B$1199,MATCH(669,Engine!$C$2:$C$1199,0)))</f>
        <v/>
      </c>
      <c r="C682" s="6" t="str">
        <f>IF(ISNA(MATCH(669,Engine!$C$2:$C$1199,0)),"",INDEX('Compliance Database'!$C$2:$C$1199,MATCH(669,Engine!$C$2:$C$1199,0)))</f>
        <v/>
      </c>
      <c r="D682" s="7" t="str">
        <f>IF(ISNA(MATCH(669,Engine!$C$2:$C$1199,0)),"",INDEX('Compliance Database'!$D$2:$D$1199,MATCH(669,Engine!$C$2:$C$1199,0)))</f>
        <v/>
      </c>
      <c r="E682" s="6" t="str">
        <f>IF(ISNA(MATCH(669,Engine!$C$2:$C$1199,0)),"",INDEX('Compliance Database'!$E$2:$E$1199,MATCH(669,Engine!$C$2:$C$1199,0)))</f>
        <v/>
      </c>
      <c r="F682" s="6" t="str">
        <f>IF(ISNA(MATCH(669,Engine!$C$2:$C$1199,0)),"",INDEX('Compliance Database'!$F$2:$F$1199,MATCH(669,Engine!$C$2:$C$1199,0)))</f>
        <v/>
      </c>
      <c r="G682" s="6" t="str">
        <f>IF(ISNA(MATCH(669,Engine!$C$2:$C$1199,0)),"",INDEX('Compliance Database'!$G$2:$G$1199,MATCH(669,Engine!$C$2:$C$1199,0)))</f>
        <v/>
      </c>
      <c r="H682" s="7" t="str">
        <f>IF(ISNA(MATCH(669,Engine!$C$2:$C$1199,0)),"",INDEX('Compliance Database'!$H$2:$H$1199,MATCH(669,Engine!$C$2:$C$1199,0)))</f>
        <v/>
      </c>
      <c r="I682" s="7" t="str">
        <f>IF(ISNA(MATCH(669,Engine!$C$2:$C$1199,0)),"",INDEX('Compliance Database'!$I$2:$I$1199,MATCH(669,Engine!$C$2:$C$1199,0)))</f>
        <v/>
      </c>
      <c r="J682" s="6" t="str">
        <f>IF(ISNA(MATCH(669,Engine!$C$2:$C$1199,0)),"",INDEX('Compliance Database'!$J$2:$J$1199,MATCH(669,Engine!$C$2:$C$1199,0)))</f>
        <v/>
      </c>
      <c r="K682" s="7" t="str">
        <f>IF(ISNA(MATCH(669,Engine!$C$2:$C$1199,0)),"",INDEX('Compliance Database'!$K$2:$K$1199,MATCH(669,Engine!$C$2:$C$1199,0)))</f>
        <v/>
      </c>
      <c r="L682" s="7" t="str">
        <f>IF(ISNA(MATCH(669,Engine!$C$2:$C$1199,0)),"",INDEX('Compliance Database'!$L$2:$L$1199,MATCH(669,Engine!$C$2:$C$1199,0)))</f>
        <v/>
      </c>
      <c r="M682" s="7" t="str">
        <f>IF(ISNA(MATCH(669,Engine!$C$2:$C$1199,0)),"",INDEX('Compliance Database'!$M$2:$M$1199,MATCH(669,Engine!$C$2:$C$1199,0)))</f>
        <v/>
      </c>
      <c r="N682" s="7" t="str">
        <f>IF(ISNA(MATCH(669,Engine!$C$2:$C$1199,0)),"",INDEX('Compliance Database'!$N$2:$N$1199,MATCH(669,Engine!$C$2:$C$1199,0)))</f>
        <v/>
      </c>
      <c r="O682" s="7" t="str">
        <f>IF(ISNA(MATCH(669,Engine!$C$2:$C$1199,0)),"",INDEX('Compliance Database'!$O$2:$O$1199,MATCH(669,Engine!$C$2:$C$1199,0)))</f>
        <v/>
      </c>
      <c r="P682" s="6" t="str">
        <f>IF(ISNA(MATCH(669,Engine!$C$2:$C$1199,0)),"",HYPERLINK("#Acts!A"&amp;INDEX('Compliance Database'!$P$2:$P$1199,MATCH(669,Engine!$C$2:$C$1199,0)),"Go to Act"))</f>
        <v/>
      </c>
    </row>
    <row r="683" spans="1:16" ht="172.95" customHeight="1" x14ac:dyDescent="0.3">
      <c r="A683" s="6" t="str">
        <f>IF(ISNA(MATCH(670,Engine!$C$2:$C$1199,0)),"",INDEX('Compliance Database'!$A$2:$A$1199,MATCH(670,Engine!$C$2:$C$1199,0)))</f>
        <v/>
      </c>
      <c r="B683" s="6" t="str">
        <f>IF(ISNA(MATCH(670,Engine!$C$2:$C$1199,0)),"",INDEX('Compliance Database'!$B$2:$B$1199,MATCH(670,Engine!$C$2:$C$1199,0)))</f>
        <v/>
      </c>
      <c r="C683" s="6" t="str">
        <f>IF(ISNA(MATCH(670,Engine!$C$2:$C$1199,0)),"",INDEX('Compliance Database'!$C$2:$C$1199,MATCH(670,Engine!$C$2:$C$1199,0)))</f>
        <v/>
      </c>
      <c r="D683" s="7" t="str">
        <f>IF(ISNA(MATCH(670,Engine!$C$2:$C$1199,0)),"",INDEX('Compliance Database'!$D$2:$D$1199,MATCH(670,Engine!$C$2:$C$1199,0)))</f>
        <v/>
      </c>
      <c r="E683" s="6" t="str">
        <f>IF(ISNA(MATCH(670,Engine!$C$2:$C$1199,0)),"",INDEX('Compliance Database'!$E$2:$E$1199,MATCH(670,Engine!$C$2:$C$1199,0)))</f>
        <v/>
      </c>
      <c r="F683" s="6" t="str">
        <f>IF(ISNA(MATCH(670,Engine!$C$2:$C$1199,0)),"",INDEX('Compliance Database'!$F$2:$F$1199,MATCH(670,Engine!$C$2:$C$1199,0)))</f>
        <v/>
      </c>
      <c r="G683" s="6" t="str">
        <f>IF(ISNA(MATCH(670,Engine!$C$2:$C$1199,0)),"",INDEX('Compliance Database'!$G$2:$G$1199,MATCH(670,Engine!$C$2:$C$1199,0)))</f>
        <v/>
      </c>
      <c r="H683" s="7" t="str">
        <f>IF(ISNA(MATCH(670,Engine!$C$2:$C$1199,0)),"",INDEX('Compliance Database'!$H$2:$H$1199,MATCH(670,Engine!$C$2:$C$1199,0)))</f>
        <v/>
      </c>
      <c r="I683" s="7" t="str">
        <f>IF(ISNA(MATCH(670,Engine!$C$2:$C$1199,0)),"",INDEX('Compliance Database'!$I$2:$I$1199,MATCH(670,Engine!$C$2:$C$1199,0)))</f>
        <v/>
      </c>
      <c r="J683" s="6" t="str">
        <f>IF(ISNA(MATCH(670,Engine!$C$2:$C$1199,0)),"",INDEX('Compliance Database'!$J$2:$J$1199,MATCH(670,Engine!$C$2:$C$1199,0)))</f>
        <v/>
      </c>
      <c r="K683" s="7" t="str">
        <f>IF(ISNA(MATCH(670,Engine!$C$2:$C$1199,0)),"",INDEX('Compliance Database'!$K$2:$K$1199,MATCH(670,Engine!$C$2:$C$1199,0)))</f>
        <v/>
      </c>
      <c r="L683" s="7" t="str">
        <f>IF(ISNA(MATCH(670,Engine!$C$2:$C$1199,0)),"",INDEX('Compliance Database'!$L$2:$L$1199,MATCH(670,Engine!$C$2:$C$1199,0)))</f>
        <v/>
      </c>
      <c r="M683" s="7" t="str">
        <f>IF(ISNA(MATCH(670,Engine!$C$2:$C$1199,0)),"",INDEX('Compliance Database'!$M$2:$M$1199,MATCH(670,Engine!$C$2:$C$1199,0)))</f>
        <v/>
      </c>
      <c r="N683" s="7" t="str">
        <f>IF(ISNA(MATCH(670,Engine!$C$2:$C$1199,0)),"",INDEX('Compliance Database'!$N$2:$N$1199,MATCH(670,Engine!$C$2:$C$1199,0)))</f>
        <v/>
      </c>
      <c r="O683" s="7" t="str">
        <f>IF(ISNA(MATCH(670,Engine!$C$2:$C$1199,0)),"",INDEX('Compliance Database'!$O$2:$O$1199,MATCH(670,Engine!$C$2:$C$1199,0)))</f>
        <v/>
      </c>
      <c r="P683" s="6" t="str">
        <f>IF(ISNA(MATCH(670,Engine!$C$2:$C$1199,0)),"",HYPERLINK("#Acts!A"&amp;INDEX('Compliance Database'!$P$2:$P$1199,MATCH(670,Engine!$C$2:$C$1199,0)),"Go to Act"))</f>
        <v/>
      </c>
    </row>
    <row r="684" spans="1:16" ht="172.95" customHeight="1" x14ac:dyDescent="0.3">
      <c r="A684" s="6" t="str">
        <f>IF(ISNA(MATCH(671,Engine!$C$2:$C$1199,0)),"",INDEX('Compliance Database'!$A$2:$A$1199,MATCH(671,Engine!$C$2:$C$1199,0)))</f>
        <v/>
      </c>
      <c r="B684" s="6" t="str">
        <f>IF(ISNA(MATCH(671,Engine!$C$2:$C$1199,0)),"",INDEX('Compliance Database'!$B$2:$B$1199,MATCH(671,Engine!$C$2:$C$1199,0)))</f>
        <v/>
      </c>
      <c r="C684" s="6" t="str">
        <f>IF(ISNA(MATCH(671,Engine!$C$2:$C$1199,0)),"",INDEX('Compliance Database'!$C$2:$C$1199,MATCH(671,Engine!$C$2:$C$1199,0)))</f>
        <v/>
      </c>
      <c r="D684" s="7" t="str">
        <f>IF(ISNA(MATCH(671,Engine!$C$2:$C$1199,0)),"",INDEX('Compliance Database'!$D$2:$D$1199,MATCH(671,Engine!$C$2:$C$1199,0)))</f>
        <v/>
      </c>
      <c r="E684" s="6" t="str">
        <f>IF(ISNA(MATCH(671,Engine!$C$2:$C$1199,0)),"",INDEX('Compliance Database'!$E$2:$E$1199,MATCH(671,Engine!$C$2:$C$1199,0)))</f>
        <v/>
      </c>
      <c r="F684" s="6" t="str">
        <f>IF(ISNA(MATCH(671,Engine!$C$2:$C$1199,0)),"",INDEX('Compliance Database'!$F$2:$F$1199,MATCH(671,Engine!$C$2:$C$1199,0)))</f>
        <v/>
      </c>
      <c r="G684" s="6" t="str">
        <f>IF(ISNA(MATCH(671,Engine!$C$2:$C$1199,0)),"",INDEX('Compliance Database'!$G$2:$G$1199,MATCH(671,Engine!$C$2:$C$1199,0)))</f>
        <v/>
      </c>
      <c r="H684" s="7" t="str">
        <f>IF(ISNA(MATCH(671,Engine!$C$2:$C$1199,0)),"",INDEX('Compliance Database'!$H$2:$H$1199,MATCH(671,Engine!$C$2:$C$1199,0)))</f>
        <v/>
      </c>
      <c r="I684" s="7" t="str">
        <f>IF(ISNA(MATCH(671,Engine!$C$2:$C$1199,0)),"",INDEX('Compliance Database'!$I$2:$I$1199,MATCH(671,Engine!$C$2:$C$1199,0)))</f>
        <v/>
      </c>
      <c r="J684" s="6" t="str">
        <f>IF(ISNA(MATCH(671,Engine!$C$2:$C$1199,0)),"",INDEX('Compliance Database'!$J$2:$J$1199,MATCH(671,Engine!$C$2:$C$1199,0)))</f>
        <v/>
      </c>
      <c r="K684" s="7" t="str">
        <f>IF(ISNA(MATCH(671,Engine!$C$2:$C$1199,0)),"",INDEX('Compliance Database'!$K$2:$K$1199,MATCH(671,Engine!$C$2:$C$1199,0)))</f>
        <v/>
      </c>
      <c r="L684" s="7" t="str">
        <f>IF(ISNA(MATCH(671,Engine!$C$2:$C$1199,0)),"",INDEX('Compliance Database'!$L$2:$L$1199,MATCH(671,Engine!$C$2:$C$1199,0)))</f>
        <v/>
      </c>
      <c r="M684" s="7" t="str">
        <f>IF(ISNA(MATCH(671,Engine!$C$2:$C$1199,0)),"",INDEX('Compliance Database'!$M$2:$M$1199,MATCH(671,Engine!$C$2:$C$1199,0)))</f>
        <v/>
      </c>
      <c r="N684" s="7" t="str">
        <f>IF(ISNA(MATCH(671,Engine!$C$2:$C$1199,0)),"",INDEX('Compliance Database'!$N$2:$N$1199,MATCH(671,Engine!$C$2:$C$1199,0)))</f>
        <v/>
      </c>
      <c r="O684" s="7" t="str">
        <f>IF(ISNA(MATCH(671,Engine!$C$2:$C$1199,0)),"",INDEX('Compliance Database'!$O$2:$O$1199,MATCH(671,Engine!$C$2:$C$1199,0)))</f>
        <v/>
      </c>
      <c r="P684" s="6" t="str">
        <f>IF(ISNA(MATCH(671,Engine!$C$2:$C$1199,0)),"",HYPERLINK("#Acts!A"&amp;INDEX('Compliance Database'!$P$2:$P$1199,MATCH(671,Engine!$C$2:$C$1199,0)),"Go to Act"))</f>
        <v/>
      </c>
    </row>
    <row r="685" spans="1:16" ht="172.95" customHeight="1" x14ac:dyDescent="0.3">
      <c r="A685" s="6" t="str">
        <f>IF(ISNA(MATCH(672,Engine!$C$2:$C$1199,0)),"",INDEX('Compliance Database'!$A$2:$A$1199,MATCH(672,Engine!$C$2:$C$1199,0)))</f>
        <v/>
      </c>
      <c r="B685" s="6" t="str">
        <f>IF(ISNA(MATCH(672,Engine!$C$2:$C$1199,0)),"",INDEX('Compliance Database'!$B$2:$B$1199,MATCH(672,Engine!$C$2:$C$1199,0)))</f>
        <v/>
      </c>
      <c r="C685" s="6" t="str">
        <f>IF(ISNA(MATCH(672,Engine!$C$2:$C$1199,0)),"",INDEX('Compliance Database'!$C$2:$C$1199,MATCH(672,Engine!$C$2:$C$1199,0)))</f>
        <v/>
      </c>
      <c r="D685" s="7" t="str">
        <f>IF(ISNA(MATCH(672,Engine!$C$2:$C$1199,0)),"",INDEX('Compliance Database'!$D$2:$D$1199,MATCH(672,Engine!$C$2:$C$1199,0)))</f>
        <v/>
      </c>
      <c r="E685" s="6" t="str">
        <f>IF(ISNA(MATCH(672,Engine!$C$2:$C$1199,0)),"",INDEX('Compliance Database'!$E$2:$E$1199,MATCH(672,Engine!$C$2:$C$1199,0)))</f>
        <v/>
      </c>
      <c r="F685" s="6" t="str">
        <f>IF(ISNA(MATCH(672,Engine!$C$2:$C$1199,0)),"",INDEX('Compliance Database'!$F$2:$F$1199,MATCH(672,Engine!$C$2:$C$1199,0)))</f>
        <v/>
      </c>
      <c r="G685" s="6" t="str">
        <f>IF(ISNA(MATCH(672,Engine!$C$2:$C$1199,0)),"",INDEX('Compliance Database'!$G$2:$G$1199,MATCH(672,Engine!$C$2:$C$1199,0)))</f>
        <v/>
      </c>
      <c r="H685" s="7" t="str">
        <f>IF(ISNA(MATCH(672,Engine!$C$2:$C$1199,0)),"",INDEX('Compliance Database'!$H$2:$H$1199,MATCH(672,Engine!$C$2:$C$1199,0)))</f>
        <v/>
      </c>
      <c r="I685" s="7" t="str">
        <f>IF(ISNA(MATCH(672,Engine!$C$2:$C$1199,0)),"",INDEX('Compliance Database'!$I$2:$I$1199,MATCH(672,Engine!$C$2:$C$1199,0)))</f>
        <v/>
      </c>
      <c r="J685" s="6" t="str">
        <f>IF(ISNA(MATCH(672,Engine!$C$2:$C$1199,0)),"",INDEX('Compliance Database'!$J$2:$J$1199,MATCH(672,Engine!$C$2:$C$1199,0)))</f>
        <v/>
      </c>
      <c r="K685" s="7" t="str">
        <f>IF(ISNA(MATCH(672,Engine!$C$2:$C$1199,0)),"",INDEX('Compliance Database'!$K$2:$K$1199,MATCH(672,Engine!$C$2:$C$1199,0)))</f>
        <v/>
      </c>
      <c r="L685" s="7" t="str">
        <f>IF(ISNA(MATCH(672,Engine!$C$2:$C$1199,0)),"",INDEX('Compliance Database'!$L$2:$L$1199,MATCH(672,Engine!$C$2:$C$1199,0)))</f>
        <v/>
      </c>
      <c r="M685" s="7" t="str">
        <f>IF(ISNA(MATCH(672,Engine!$C$2:$C$1199,0)),"",INDEX('Compliance Database'!$M$2:$M$1199,MATCH(672,Engine!$C$2:$C$1199,0)))</f>
        <v/>
      </c>
      <c r="N685" s="7" t="str">
        <f>IF(ISNA(MATCH(672,Engine!$C$2:$C$1199,0)),"",INDEX('Compliance Database'!$N$2:$N$1199,MATCH(672,Engine!$C$2:$C$1199,0)))</f>
        <v/>
      </c>
      <c r="O685" s="7" t="str">
        <f>IF(ISNA(MATCH(672,Engine!$C$2:$C$1199,0)),"",INDEX('Compliance Database'!$O$2:$O$1199,MATCH(672,Engine!$C$2:$C$1199,0)))</f>
        <v/>
      </c>
      <c r="P685" s="6" t="str">
        <f>IF(ISNA(MATCH(672,Engine!$C$2:$C$1199,0)),"",HYPERLINK("#Acts!A"&amp;INDEX('Compliance Database'!$P$2:$P$1199,MATCH(672,Engine!$C$2:$C$1199,0)),"Go to Act"))</f>
        <v/>
      </c>
    </row>
    <row r="686" spans="1:16" ht="172.95" customHeight="1" x14ac:dyDescent="0.3">
      <c r="A686" s="6" t="str">
        <f>IF(ISNA(MATCH(673,Engine!$C$2:$C$1199,0)),"",INDEX('Compliance Database'!$A$2:$A$1199,MATCH(673,Engine!$C$2:$C$1199,0)))</f>
        <v/>
      </c>
      <c r="B686" s="6" t="str">
        <f>IF(ISNA(MATCH(673,Engine!$C$2:$C$1199,0)),"",INDEX('Compliance Database'!$B$2:$B$1199,MATCH(673,Engine!$C$2:$C$1199,0)))</f>
        <v/>
      </c>
      <c r="C686" s="6" t="str">
        <f>IF(ISNA(MATCH(673,Engine!$C$2:$C$1199,0)),"",INDEX('Compliance Database'!$C$2:$C$1199,MATCH(673,Engine!$C$2:$C$1199,0)))</f>
        <v/>
      </c>
      <c r="D686" s="7" t="str">
        <f>IF(ISNA(MATCH(673,Engine!$C$2:$C$1199,0)),"",INDEX('Compliance Database'!$D$2:$D$1199,MATCH(673,Engine!$C$2:$C$1199,0)))</f>
        <v/>
      </c>
      <c r="E686" s="6" t="str">
        <f>IF(ISNA(MATCH(673,Engine!$C$2:$C$1199,0)),"",INDEX('Compliance Database'!$E$2:$E$1199,MATCH(673,Engine!$C$2:$C$1199,0)))</f>
        <v/>
      </c>
      <c r="F686" s="6" t="str">
        <f>IF(ISNA(MATCH(673,Engine!$C$2:$C$1199,0)),"",INDEX('Compliance Database'!$F$2:$F$1199,MATCH(673,Engine!$C$2:$C$1199,0)))</f>
        <v/>
      </c>
      <c r="G686" s="6" t="str">
        <f>IF(ISNA(MATCH(673,Engine!$C$2:$C$1199,0)),"",INDEX('Compliance Database'!$G$2:$G$1199,MATCH(673,Engine!$C$2:$C$1199,0)))</f>
        <v/>
      </c>
      <c r="H686" s="7" t="str">
        <f>IF(ISNA(MATCH(673,Engine!$C$2:$C$1199,0)),"",INDEX('Compliance Database'!$H$2:$H$1199,MATCH(673,Engine!$C$2:$C$1199,0)))</f>
        <v/>
      </c>
      <c r="I686" s="7" t="str">
        <f>IF(ISNA(MATCH(673,Engine!$C$2:$C$1199,0)),"",INDEX('Compliance Database'!$I$2:$I$1199,MATCH(673,Engine!$C$2:$C$1199,0)))</f>
        <v/>
      </c>
      <c r="J686" s="6" t="str">
        <f>IF(ISNA(MATCH(673,Engine!$C$2:$C$1199,0)),"",INDEX('Compliance Database'!$J$2:$J$1199,MATCH(673,Engine!$C$2:$C$1199,0)))</f>
        <v/>
      </c>
      <c r="K686" s="7" t="str">
        <f>IF(ISNA(MATCH(673,Engine!$C$2:$C$1199,0)),"",INDEX('Compliance Database'!$K$2:$K$1199,MATCH(673,Engine!$C$2:$C$1199,0)))</f>
        <v/>
      </c>
      <c r="L686" s="7" t="str">
        <f>IF(ISNA(MATCH(673,Engine!$C$2:$C$1199,0)),"",INDEX('Compliance Database'!$L$2:$L$1199,MATCH(673,Engine!$C$2:$C$1199,0)))</f>
        <v/>
      </c>
      <c r="M686" s="7" t="str">
        <f>IF(ISNA(MATCH(673,Engine!$C$2:$C$1199,0)),"",INDEX('Compliance Database'!$M$2:$M$1199,MATCH(673,Engine!$C$2:$C$1199,0)))</f>
        <v/>
      </c>
      <c r="N686" s="7" t="str">
        <f>IF(ISNA(MATCH(673,Engine!$C$2:$C$1199,0)),"",INDEX('Compliance Database'!$N$2:$N$1199,MATCH(673,Engine!$C$2:$C$1199,0)))</f>
        <v/>
      </c>
      <c r="O686" s="7" t="str">
        <f>IF(ISNA(MATCH(673,Engine!$C$2:$C$1199,0)),"",INDEX('Compliance Database'!$O$2:$O$1199,MATCH(673,Engine!$C$2:$C$1199,0)))</f>
        <v/>
      </c>
      <c r="P686" s="6" t="str">
        <f>IF(ISNA(MATCH(673,Engine!$C$2:$C$1199,0)),"",HYPERLINK("#Acts!A"&amp;INDEX('Compliance Database'!$P$2:$P$1199,MATCH(673,Engine!$C$2:$C$1199,0)),"Go to Act"))</f>
        <v/>
      </c>
    </row>
    <row r="687" spans="1:16" ht="172.95" customHeight="1" x14ac:dyDescent="0.3">
      <c r="A687" s="6" t="str">
        <f>IF(ISNA(MATCH(674,Engine!$C$2:$C$1199,0)),"",INDEX('Compliance Database'!$A$2:$A$1199,MATCH(674,Engine!$C$2:$C$1199,0)))</f>
        <v/>
      </c>
      <c r="B687" s="6" t="str">
        <f>IF(ISNA(MATCH(674,Engine!$C$2:$C$1199,0)),"",INDEX('Compliance Database'!$B$2:$B$1199,MATCH(674,Engine!$C$2:$C$1199,0)))</f>
        <v/>
      </c>
      <c r="C687" s="6" t="str">
        <f>IF(ISNA(MATCH(674,Engine!$C$2:$C$1199,0)),"",INDEX('Compliance Database'!$C$2:$C$1199,MATCH(674,Engine!$C$2:$C$1199,0)))</f>
        <v/>
      </c>
      <c r="D687" s="7" t="str">
        <f>IF(ISNA(MATCH(674,Engine!$C$2:$C$1199,0)),"",INDEX('Compliance Database'!$D$2:$D$1199,MATCH(674,Engine!$C$2:$C$1199,0)))</f>
        <v/>
      </c>
      <c r="E687" s="6" t="str">
        <f>IF(ISNA(MATCH(674,Engine!$C$2:$C$1199,0)),"",INDEX('Compliance Database'!$E$2:$E$1199,MATCH(674,Engine!$C$2:$C$1199,0)))</f>
        <v/>
      </c>
      <c r="F687" s="6" t="str">
        <f>IF(ISNA(MATCH(674,Engine!$C$2:$C$1199,0)),"",INDEX('Compliance Database'!$F$2:$F$1199,MATCH(674,Engine!$C$2:$C$1199,0)))</f>
        <v/>
      </c>
      <c r="G687" s="6" t="str">
        <f>IF(ISNA(MATCH(674,Engine!$C$2:$C$1199,0)),"",INDEX('Compliance Database'!$G$2:$G$1199,MATCH(674,Engine!$C$2:$C$1199,0)))</f>
        <v/>
      </c>
      <c r="H687" s="7" t="str">
        <f>IF(ISNA(MATCH(674,Engine!$C$2:$C$1199,0)),"",INDEX('Compliance Database'!$H$2:$H$1199,MATCH(674,Engine!$C$2:$C$1199,0)))</f>
        <v/>
      </c>
      <c r="I687" s="7" t="str">
        <f>IF(ISNA(MATCH(674,Engine!$C$2:$C$1199,0)),"",INDEX('Compliance Database'!$I$2:$I$1199,MATCH(674,Engine!$C$2:$C$1199,0)))</f>
        <v/>
      </c>
      <c r="J687" s="6" t="str">
        <f>IF(ISNA(MATCH(674,Engine!$C$2:$C$1199,0)),"",INDEX('Compliance Database'!$J$2:$J$1199,MATCH(674,Engine!$C$2:$C$1199,0)))</f>
        <v/>
      </c>
      <c r="K687" s="7" t="str">
        <f>IF(ISNA(MATCH(674,Engine!$C$2:$C$1199,0)),"",INDEX('Compliance Database'!$K$2:$K$1199,MATCH(674,Engine!$C$2:$C$1199,0)))</f>
        <v/>
      </c>
      <c r="L687" s="7" t="str">
        <f>IF(ISNA(MATCH(674,Engine!$C$2:$C$1199,0)),"",INDEX('Compliance Database'!$L$2:$L$1199,MATCH(674,Engine!$C$2:$C$1199,0)))</f>
        <v/>
      </c>
      <c r="M687" s="7" t="str">
        <f>IF(ISNA(MATCH(674,Engine!$C$2:$C$1199,0)),"",INDEX('Compliance Database'!$M$2:$M$1199,MATCH(674,Engine!$C$2:$C$1199,0)))</f>
        <v/>
      </c>
      <c r="N687" s="7" t="str">
        <f>IF(ISNA(MATCH(674,Engine!$C$2:$C$1199,0)),"",INDEX('Compliance Database'!$N$2:$N$1199,MATCH(674,Engine!$C$2:$C$1199,0)))</f>
        <v/>
      </c>
      <c r="O687" s="7" t="str">
        <f>IF(ISNA(MATCH(674,Engine!$C$2:$C$1199,0)),"",INDEX('Compliance Database'!$O$2:$O$1199,MATCH(674,Engine!$C$2:$C$1199,0)))</f>
        <v/>
      </c>
      <c r="P687" s="6" t="str">
        <f>IF(ISNA(MATCH(674,Engine!$C$2:$C$1199,0)),"",HYPERLINK("#Acts!A"&amp;INDEX('Compliance Database'!$P$2:$P$1199,MATCH(674,Engine!$C$2:$C$1199,0)),"Go to Act"))</f>
        <v/>
      </c>
    </row>
    <row r="688" spans="1:16" ht="172.95" customHeight="1" x14ac:dyDescent="0.3">
      <c r="A688" s="6" t="str">
        <f>IF(ISNA(MATCH(675,Engine!$C$2:$C$1199,0)),"",INDEX('Compliance Database'!$A$2:$A$1199,MATCH(675,Engine!$C$2:$C$1199,0)))</f>
        <v/>
      </c>
      <c r="B688" s="6" t="str">
        <f>IF(ISNA(MATCH(675,Engine!$C$2:$C$1199,0)),"",INDEX('Compliance Database'!$B$2:$B$1199,MATCH(675,Engine!$C$2:$C$1199,0)))</f>
        <v/>
      </c>
      <c r="C688" s="6" t="str">
        <f>IF(ISNA(MATCH(675,Engine!$C$2:$C$1199,0)),"",INDEX('Compliance Database'!$C$2:$C$1199,MATCH(675,Engine!$C$2:$C$1199,0)))</f>
        <v/>
      </c>
      <c r="D688" s="7" t="str">
        <f>IF(ISNA(MATCH(675,Engine!$C$2:$C$1199,0)),"",INDEX('Compliance Database'!$D$2:$D$1199,MATCH(675,Engine!$C$2:$C$1199,0)))</f>
        <v/>
      </c>
      <c r="E688" s="6" t="str">
        <f>IF(ISNA(MATCH(675,Engine!$C$2:$C$1199,0)),"",INDEX('Compliance Database'!$E$2:$E$1199,MATCH(675,Engine!$C$2:$C$1199,0)))</f>
        <v/>
      </c>
      <c r="F688" s="6" t="str">
        <f>IF(ISNA(MATCH(675,Engine!$C$2:$C$1199,0)),"",INDEX('Compliance Database'!$F$2:$F$1199,MATCH(675,Engine!$C$2:$C$1199,0)))</f>
        <v/>
      </c>
      <c r="G688" s="6" t="str">
        <f>IF(ISNA(MATCH(675,Engine!$C$2:$C$1199,0)),"",INDEX('Compliance Database'!$G$2:$G$1199,MATCH(675,Engine!$C$2:$C$1199,0)))</f>
        <v/>
      </c>
      <c r="H688" s="7" t="str">
        <f>IF(ISNA(MATCH(675,Engine!$C$2:$C$1199,0)),"",INDEX('Compliance Database'!$H$2:$H$1199,MATCH(675,Engine!$C$2:$C$1199,0)))</f>
        <v/>
      </c>
      <c r="I688" s="7" t="str">
        <f>IF(ISNA(MATCH(675,Engine!$C$2:$C$1199,0)),"",INDEX('Compliance Database'!$I$2:$I$1199,MATCH(675,Engine!$C$2:$C$1199,0)))</f>
        <v/>
      </c>
      <c r="J688" s="6" t="str">
        <f>IF(ISNA(MATCH(675,Engine!$C$2:$C$1199,0)),"",INDEX('Compliance Database'!$J$2:$J$1199,MATCH(675,Engine!$C$2:$C$1199,0)))</f>
        <v/>
      </c>
      <c r="K688" s="7" t="str">
        <f>IF(ISNA(MATCH(675,Engine!$C$2:$C$1199,0)),"",INDEX('Compliance Database'!$K$2:$K$1199,MATCH(675,Engine!$C$2:$C$1199,0)))</f>
        <v/>
      </c>
      <c r="L688" s="7" t="str">
        <f>IF(ISNA(MATCH(675,Engine!$C$2:$C$1199,0)),"",INDEX('Compliance Database'!$L$2:$L$1199,MATCH(675,Engine!$C$2:$C$1199,0)))</f>
        <v/>
      </c>
      <c r="M688" s="7" t="str">
        <f>IF(ISNA(MATCH(675,Engine!$C$2:$C$1199,0)),"",INDEX('Compliance Database'!$M$2:$M$1199,MATCH(675,Engine!$C$2:$C$1199,0)))</f>
        <v/>
      </c>
      <c r="N688" s="7" t="str">
        <f>IF(ISNA(MATCH(675,Engine!$C$2:$C$1199,0)),"",INDEX('Compliance Database'!$N$2:$N$1199,MATCH(675,Engine!$C$2:$C$1199,0)))</f>
        <v/>
      </c>
      <c r="O688" s="7" t="str">
        <f>IF(ISNA(MATCH(675,Engine!$C$2:$C$1199,0)),"",INDEX('Compliance Database'!$O$2:$O$1199,MATCH(675,Engine!$C$2:$C$1199,0)))</f>
        <v/>
      </c>
      <c r="P688" s="6" t="str">
        <f>IF(ISNA(MATCH(675,Engine!$C$2:$C$1199,0)),"",HYPERLINK("#Acts!A"&amp;INDEX('Compliance Database'!$P$2:$P$1199,MATCH(675,Engine!$C$2:$C$1199,0)),"Go to Act"))</f>
        <v/>
      </c>
    </row>
    <row r="689" spans="1:16" ht="172.95" customHeight="1" x14ac:dyDescent="0.3">
      <c r="A689" s="6" t="str">
        <f>IF(ISNA(MATCH(676,Engine!$C$2:$C$1199,0)),"",INDEX('Compliance Database'!$A$2:$A$1199,MATCH(676,Engine!$C$2:$C$1199,0)))</f>
        <v/>
      </c>
      <c r="B689" s="6" t="str">
        <f>IF(ISNA(MATCH(676,Engine!$C$2:$C$1199,0)),"",INDEX('Compliance Database'!$B$2:$B$1199,MATCH(676,Engine!$C$2:$C$1199,0)))</f>
        <v/>
      </c>
      <c r="C689" s="6" t="str">
        <f>IF(ISNA(MATCH(676,Engine!$C$2:$C$1199,0)),"",INDEX('Compliance Database'!$C$2:$C$1199,MATCH(676,Engine!$C$2:$C$1199,0)))</f>
        <v/>
      </c>
      <c r="D689" s="7" t="str">
        <f>IF(ISNA(MATCH(676,Engine!$C$2:$C$1199,0)),"",INDEX('Compliance Database'!$D$2:$D$1199,MATCH(676,Engine!$C$2:$C$1199,0)))</f>
        <v/>
      </c>
      <c r="E689" s="6" t="str">
        <f>IF(ISNA(MATCH(676,Engine!$C$2:$C$1199,0)),"",INDEX('Compliance Database'!$E$2:$E$1199,MATCH(676,Engine!$C$2:$C$1199,0)))</f>
        <v/>
      </c>
      <c r="F689" s="6" t="str">
        <f>IF(ISNA(MATCH(676,Engine!$C$2:$C$1199,0)),"",INDEX('Compliance Database'!$F$2:$F$1199,MATCH(676,Engine!$C$2:$C$1199,0)))</f>
        <v/>
      </c>
      <c r="G689" s="6" t="str">
        <f>IF(ISNA(MATCH(676,Engine!$C$2:$C$1199,0)),"",INDEX('Compliance Database'!$G$2:$G$1199,MATCH(676,Engine!$C$2:$C$1199,0)))</f>
        <v/>
      </c>
      <c r="H689" s="7" t="str">
        <f>IF(ISNA(MATCH(676,Engine!$C$2:$C$1199,0)),"",INDEX('Compliance Database'!$H$2:$H$1199,MATCH(676,Engine!$C$2:$C$1199,0)))</f>
        <v/>
      </c>
      <c r="I689" s="7" t="str">
        <f>IF(ISNA(MATCH(676,Engine!$C$2:$C$1199,0)),"",INDEX('Compliance Database'!$I$2:$I$1199,MATCH(676,Engine!$C$2:$C$1199,0)))</f>
        <v/>
      </c>
      <c r="J689" s="6" t="str">
        <f>IF(ISNA(MATCH(676,Engine!$C$2:$C$1199,0)),"",INDEX('Compliance Database'!$J$2:$J$1199,MATCH(676,Engine!$C$2:$C$1199,0)))</f>
        <v/>
      </c>
      <c r="K689" s="7" t="str">
        <f>IF(ISNA(MATCH(676,Engine!$C$2:$C$1199,0)),"",INDEX('Compliance Database'!$K$2:$K$1199,MATCH(676,Engine!$C$2:$C$1199,0)))</f>
        <v/>
      </c>
      <c r="L689" s="7" t="str">
        <f>IF(ISNA(MATCH(676,Engine!$C$2:$C$1199,0)),"",INDEX('Compliance Database'!$L$2:$L$1199,MATCH(676,Engine!$C$2:$C$1199,0)))</f>
        <v/>
      </c>
      <c r="M689" s="7" t="str">
        <f>IF(ISNA(MATCH(676,Engine!$C$2:$C$1199,0)),"",INDEX('Compliance Database'!$M$2:$M$1199,MATCH(676,Engine!$C$2:$C$1199,0)))</f>
        <v/>
      </c>
      <c r="N689" s="7" t="str">
        <f>IF(ISNA(MATCH(676,Engine!$C$2:$C$1199,0)),"",INDEX('Compliance Database'!$N$2:$N$1199,MATCH(676,Engine!$C$2:$C$1199,0)))</f>
        <v/>
      </c>
      <c r="O689" s="7" t="str">
        <f>IF(ISNA(MATCH(676,Engine!$C$2:$C$1199,0)),"",INDEX('Compliance Database'!$O$2:$O$1199,MATCH(676,Engine!$C$2:$C$1199,0)))</f>
        <v/>
      </c>
      <c r="P689" s="6" t="str">
        <f>IF(ISNA(MATCH(676,Engine!$C$2:$C$1199,0)),"",HYPERLINK("#Acts!A"&amp;INDEX('Compliance Database'!$P$2:$P$1199,MATCH(676,Engine!$C$2:$C$1199,0)),"Go to Act"))</f>
        <v/>
      </c>
    </row>
    <row r="690" spans="1:16" ht="172.95" customHeight="1" x14ac:dyDescent="0.3">
      <c r="A690" s="6" t="str">
        <f>IF(ISNA(MATCH(677,Engine!$C$2:$C$1199,0)),"",INDEX('Compliance Database'!$A$2:$A$1199,MATCH(677,Engine!$C$2:$C$1199,0)))</f>
        <v/>
      </c>
      <c r="B690" s="6" t="str">
        <f>IF(ISNA(MATCH(677,Engine!$C$2:$C$1199,0)),"",INDEX('Compliance Database'!$B$2:$B$1199,MATCH(677,Engine!$C$2:$C$1199,0)))</f>
        <v/>
      </c>
      <c r="C690" s="6" t="str">
        <f>IF(ISNA(MATCH(677,Engine!$C$2:$C$1199,0)),"",INDEX('Compliance Database'!$C$2:$C$1199,MATCH(677,Engine!$C$2:$C$1199,0)))</f>
        <v/>
      </c>
      <c r="D690" s="7" t="str">
        <f>IF(ISNA(MATCH(677,Engine!$C$2:$C$1199,0)),"",INDEX('Compliance Database'!$D$2:$D$1199,MATCH(677,Engine!$C$2:$C$1199,0)))</f>
        <v/>
      </c>
      <c r="E690" s="6" t="str">
        <f>IF(ISNA(MATCH(677,Engine!$C$2:$C$1199,0)),"",INDEX('Compliance Database'!$E$2:$E$1199,MATCH(677,Engine!$C$2:$C$1199,0)))</f>
        <v/>
      </c>
      <c r="F690" s="6" t="str">
        <f>IF(ISNA(MATCH(677,Engine!$C$2:$C$1199,0)),"",INDEX('Compliance Database'!$F$2:$F$1199,MATCH(677,Engine!$C$2:$C$1199,0)))</f>
        <v/>
      </c>
      <c r="G690" s="6" t="str">
        <f>IF(ISNA(MATCH(677,Engine!$C$2:$C$1199,0)),"",INDEX('Compliance Database'!$G$2:$G$1199,MATCH(677,Engine!$C$2:$C$1199,0)))</f>
        <v/>
      </c>
      <c r="H690" s="7" t="str">
        <f>IF(ISNA(MATCH(677,Engine!$C$2:$C$1199,0)),"",INDEX('Compliance Database'!$H$2:$H$1199,MATCH(677,Engine!$C$2:$C$1199,0)))</f>
        <v/>
      </c>
      <c r="I690" s="7" t="str">
        <f>IF(ISNA(MATCH(677,Engine!$C$2:$C$1199,0)),"",INDEX('Compliance Database'!$I$2:$I$1199,MATCH(677,Engine!$C$2:$C$1199,0)))</f>
        <v/>
      </c>
      <c r="J690" s="6" t="str">
        <f>IF(ISNA(MATCH(677,Engine!$C$2:$C$1199,0)),"",INDEX('Compliance Database'!$J$2:$J$1199,MATCH(677,Engine!$C$2:$C$1199,0)))</f>
        <v/>
      </c>
      <c r="K690" s="7" t="str">
        <f>IF(ISNA(MATCH(677,Engine!$C$2:$C$1199,0)),"",INDEX('Compliance Database'!$K$2:$K$1199,MATCH(677,Engine!$C$2:$C$1199,0)))</f>
        <v/>
      </c>
      <c r="L690" s="7" t="str">
        <f>IF(ISNA(MATCH(677,Engine!$C$2:$C$1199,0)),"",INDEX('Compliance Database'!$L$2:$L$1199,MATCH(677,Engine!$C$2:$C$1199,0)))</f>
        <v/>
      </c>
      <c r="M690" s="7" t="str">
        <f>IF(ISNA(MATCH(677,Engine!$C$2:$C$1199,0)),"",INDEX('Compliance Database'!$M$2:$M$1199,MATCH(677,Engine!$C$2:$C$1199,0)))</f>
        <v/>
      </c>
      <c r="N690" s="7" t="str">
        <f>IF(ISNA(MATCH(677,Engine!$C$2:$C$1199,0)),"",INDEX('Compliance Database'!$N$2:$N$1199,MATCH(677,Engine!$C$2:$C$1199,0)))</f>
        <v/>
      </c>
      <c r="O690" s="7" t="str">
        <f>IF(ISNA(MATCH(677,Engine!$C$2:$C$1199,0)),"",INDEX('Compliance Database'!$O$2:$O$1199,MATCH(677,Engine!$C$2:$C$1199,0)))</f>
        <v/>
      </c>
      <c r="P690" s="6" t="str">
        <f>IF(ISNA(MATCH(677,Engine!$C$2:$C$1199,0)),"",HYPERLINK("#Acts!A"&amp;INDEX('Compliance Database'!$P$2:$P$1199,MATCH(677,Engine!$C$2:$C$1199,0)),"Go to Act"))</f>
        <v/>
      </c>
    </row>
    <row r="691" spans="1:16" ht="172.95" customHeight="1" x14ac:dyDescent="0.3">
      <c r="A691" s="6" t="str">
        <f>IF(ISNA(MATCH(678,Engine!$C$2:$C$1199,0)),"",INDEX('Compliance Database'!$A$2:$A$1199,MATCH(678,Engine!$C$2:$C$1199,0)))</f>
        <v/>
      </c>
      <c r="B691" s="6" t="str">
        <f>IF(ISNA(MATCH(678,Engine!$C$2:$C$1199,0)),"",INDEX('Compliance Database'!$B$2:$B$1199,MATCH(678,Engine!$C$2:$C$1199,0)))</f>
        <v/>
      </c>
      <c r="C691" s="6" t="str">
        <f>IF(ISNA(MATCH(678,Engine!$C$2:$C$1199,0)),"",INDEX('Compliance Database'!$C$2:$C$1199,MATCH(678,Engine!$C$2:$C$1199,0)))</f>
        <v/>
      </c>
      <c r="D691" s="7" t="str">
        <f>IF(ISNA(MATCH(678,Engine!$C$2:$C$1199,0)),"",INDEX('Compliance Database'!$D$2:$D$1199,MATCH(678,Engine!$C$2:$C$1199,0)))</f>
        <v/>
      </c>
      <c r="E691" s="6" t="str">
        <f>IF(ISNA(MATCH(678,Engine!$C$2:$C$1199,0)),"",INDEX('Compliance Database'!$E$2:$E$1199,MATCH(678,Engine!$C$2:$C$1199,0)))</f>
        <v/>
      </c>
      <c r="F691" s="6" t="str">
        <f>IF(ISNA(MATCH(678,Engine!$C$2:$C$1199,0)),"",INDEX('Compliance Database'!$F$2:$F$1199,MATCH(678,Engine!$C$2:$C$1199,0)))</f>
        <v/>
      </c>
      <c r="G691" s="6" t="str">
        <f>IF(ISNA(MATCH(678,Engine!$C$2:$C$1199,0)),"",INDEX('Compliance Database'!$G$2:$G$1199,MATCH(678,Engine!$C$2:$C$1199,0)))</f>
        <v/>
      </c>
      <c r="H691" s="7" t="str">
        <f>IF(ISNA(MATCH(678,Engine!$C$2:$C$1199,0)),"",INDEX('Compliance Database'!$H$2:$H$1199,MATCH(678,Engine!$C$2:$C$1199,0)))</f>
        <v/>
      </c>
      <c r="I691" s="7" t="str">
        <f>IF(ISNA(MATCH(678,Engine!$C$2:$C$1199,0)),"",INDEX('Compliance Database'!$I$2:$I$1199,MATCH(678,Engine!$C$2:$C$1199,0)))</f>
        <v/>
      </c>
      <c r="J691" s="6" t="str">
        <f>IF(ISNA(MATCH(678,Engine!$C$2:$C$1199,0)),"",INDEX('Compliance Database'!$J$2:$J$1199,MATCH(678,Engine!$C$2:$C$1199,0)))</f>
        <v/>
      </c>
      <c r="K691" s="7" t="str">
        <f>IF(ISNA(MATCH(678,Engine!$C$2:$C$1199,0)),"",INDEX('Compliance Database'!$K$2:$K$1199,MATCH(678,Engine!$C$2:$C$1199,0)))</f>
        <v/>
      </c>
      <c r="L691" s="7" t="str">
        <f>IF(ISNA(MATCH(678,Engine!$C$2:$C$1199,0)),"",INDEX('Compliance Database'!$L$2:$L$1199,MATCH(678,Engine!$C$2:$C$1199,0)))</f>
        <v/>
      </c>
      <c r="M691" s="7" t="str">
        <f>IF(ISNA(MATCH(678,Engine!$C$2:$C$1199,0)),"",INDEX('Compliance Database'!$M$2:$M$1199,MATCH(678,Engine!$C$2:$C$1199,0)))</f>
        <v/>
      </c>
      <c r="N691" s="7" t="str">
        <f>IF(ISNA(MATCH(678,Engine!$C$2:$C$1199,0)),"",INDEX('Compliance Database'!$N$2:$N$1199,MATCH(678,Engine!$C$2:$C$1199,0)))</f>
        <v/>
      </c>
      <c r="O691" s="7" t="str">
        <f>IF(ISNA(MATCH(678,Engine!$C$2:$C$1199,0)),"",INDEX('Compliance Database'!$O$2:$O$1199,MATCH(678,Engine!$C$2:$C$1199,0)))</f>
        <v/>
      </c>
      <c r="P691" s="6" t="str">
        <f>IF(ISNA(MATCH(678,Engine!$C$2:$C$1199,0)),"",HYPERLINK("#Acts!A"&amp;INDEX('Compliance Database'!$P$2:$P$1199,MATCH(678,Engine!$C$2:$C$1199,0)),"Go to Act"))</f>
        <v/>
      </c>
    </row>
    <row r="692" spans="1:16" ht="172.95" customHeight="1" x14ac:dyDescent="0.3">
      <c r="A692" s="6" t="str">
        <f>IF(ISNA(MATCH(679,Engine!$C$2:$C$1199,0)),"",INDEX('Compliance Database'!$A$2:$A$1199,MATCH(679,Engine!$C$2:$C$1199,0)))</f>
        <v/>
      </c>
      <c r="B692" s="6" t="str">
        <f>IF(ISNA(MATCH(679,Engine!$C$2:$C$1199,0)),"",INDEX('Compliance Database'!$B$2:$B$1199,MATCH(679,Engine!$C$2:$C$1199,0)))</f>
        <v/>
      </c>
      <c r="C692" s="6" t="str">
        <f>IF(ISNA(MATCH(679,Engine!$C$2:$C$1199,0)),"",INDEX('Compliance Database'!$C$2:$C$1199,MATCH(679,Engine!$C$2:$C$1199,0)))</f>
        <v/>
      </c>
      <c r="D692" s="7" t="str">
        <f>IF(ISNA(MATCH(679,Engine!$C$2:$C$1199,0)),"",INDEX('Compliance Database'!$D$2:$D$1199,MATCH(679,Engine!$C$2:$C$1199,0)))</f>
        <v/>
      </c>
      <c r="E692" s="6" t="str">
        <f>IF(ISNA(MATCH(679,Engine!$C$2:$C$1199,0)),"",INDEX('Compliance Database'!$E$2:$E$1199,MATCH(679,Engine!$C$2:$C$1199,0)))</f>
        <v/>
      </c>
      <c r="F692" s="6" t="str">
        <f>IF(ISNA(MATCH(679,Engine!$C$2:$C$1199,0)),"",INDEX('Compliance Database'!$F$2:$F$1199,MATCH(679,Engine!$C$2:$C$1199,0)))</f>
        <v/>
      </c>
      <c r="G692" s="6" t="str">
        <f>IF(ISNA(MATCH(679,Engine!$C$2:$C$1199,0)),"",INDEX('Compliance Database'!$G$2:$G$1199,MATCH(679,Engine!$C$2:$C$1199,0)))</f>
        <v/>
      </c>
      <c r="H692" s="7" t="str">
        <f>IF(ISNA(MATCH(679,Engine!$C$2:$C$1199,0)),"",INDEX('Compliance Database'!$H$2:$H$1199,MATCH(679,Engine!$C$2:$C$1199,0)))</f>
        <v/>
      </c>
      <c r="I692" s="7" t="str">
        <f>IF(ISNA(MATCH(679,Engine!$C$2:$C$1199,0)),"",INDEX('Compliance Database'!$I$2:$I$1199,MATCH(679,Engine!$C$2:$C$1199,0)))</f>
        <v/>
      </c>
      <c r="J692" s="6" t="str">
        <f>IF(ISNA(MATCH(679,Engine!$C$2:$C$1199,0)),"",INDEX('Compliance Database'!$J$2:$J$1199,MATCH(679,Engine!$C$2:$C$1199,0)))</f>
        <v/>
      </c>
      <c r="K692" s="7" t="str">
        <f>IF(ISNA(MATCH(679,Engine!$C$2:$C$1199,0)),"",INDEX('Compliance Database'!$K$2:$K$1199,MATCH(679,Engine!$C$2:$C$1199,0)))</f>
        <v/>
      </c>
      <c r="L692" s="7" t="str">
        <f>IF(ISNA(MATCH(679,Engine!$C$2:$C$1199,0)),"",INDEX('Compliance Database'!$L$2:$L$1199,MATCH(679,Engine!$C$2:$C$1199,0)))</f>
        <v/>
      </c>
      <c r="M692" s="7" t="str">
        <f>IF(ISNA(MATCH(679,Engine!$C$2:$C$1199,0)),"",INDEX('Compliance Database'!$M$2:$M$1199,MATCH(679,Engine!$C$2:$C$1199,0)))</f>
        <v/>
      </c>
      <c r="N692" s="7" t="str">
        <f>IF(ISNA(MATCH(679,Engine!$C$2:$C$1199,0)),"",INDEX('Compliance Database'!$N$2:$N$1199,MATCH(679,Engine!$C$2:$C$1199,0)))</f>
        <v/>
      </c>
      <c r="O692" s="7" t="str">
        <f>IF(ISNA(MATCH(679,Engine!$C$2:$C$1199,0)),"",INDEX('Compliance Database'!$O$2:$O$1199,MATCH(679,Engine!$C$2:$C$1199,0)))</f>
        <v/>
      </c>
      <c r="P692" s="6" t="str">
        <f>IF(ISNA(MATCH(679,Engine!$C$2:$C$1199,0)),"",HYPERLINK("#Acts!A"&amp;INDEX('Compliance Database'!$P$2:$P$1199,MATCH(679,Engine!$C$2:$C$1199,0)),"Go to Act"))</f>
        <v/>
      </c>
    </row>
    <row r="693" spans="1:16" ht="172.95" customHeight="1" x14ac:dyDescent="0.3">
      <c r="A693" s="6" t="str">
        <f>IF(ISNA(MATCH(680,Engine!$C$2:$C$1199,0)),"",INDEX('Compliance Database'!$A$2:$A$1199,MATCH(680,Engine!$C$2:$C$1199,0)))</f>
        <v/>
      </c>
      <c r="B693" s="6" t="str">
        <f>IF(ISNA(MATCH(680,Engine!$C$2:$C$1199,0)),"",INDEX('Compliance Database'!$B$2:$B$1199,MATCH(680,Engine!$C$2:$C$1199,0)))</f>
        <v/>
      </c>
      <c r="C693" s="6" t="str">
        <f>IF(ISNA(MATCH(680,Engine!$C$2:$C$1199,0)),"",INDEX('Compliance Database'!$C$2:$C$1199,MATCH(680,Engine!$C$2:$C$1199,0)))</f>
        <v/>
      </c>
      <c r="D693" s="7" t="str">
        <f>IF(ISNA(MATCH(680,Engine!$C$2:$C$1199,0)),"",INDEX('Compliance Database'!$D$2:$D$1199,MATCH(680,Engine!$C$2:$C$1199,0)))</f>
        <v/>
      </c>
      <c r="E693" s="6" t="str">
        <f>IF(ISNA(MATCH(680,Engine!$C$2:$C$1199,0)),"",INDEX('Compliance Database'!$E$2:$E$1199,MATCH(680,Engine!$C$2:$C$1199,0)))</f>
        <v/>
      </c>
      <c r="F693" s="6" t="str">
        <f>IF(ISNA(MATCH(680,Engine!$C$2:$C$1199,0)),"",INDEX('Compliance Database'!$F$2:$F$1199,MATCH(680,Engine!$C$2:$C$1199,0)))</f>
        <v/>
      </c>
      <c r="G693" s="6" t="str">
        <f>IF(ISNA(MATCH(680,Engine!$C$2:$C$1199,0)),"",INDEX('Compliance Database'!$G$2:$G$1199,MATCH(680,Engine!$C$2:$C$1199,0)))</f>
        <v/>
      </c>
      <c r="H693" s="7" t="str">
        <f>IF(ISNA(MATCH(680,Engine!$C$2:$C$1199,0)),"",INDEX('Compliance Database'!$H$2:$H$1199,MATCH(680,Engine!$C$2:$C$1199,0)))</f>
        <v/>
      </c>
      <c r="I693" s="7" t="str">
        <f>IF(ISNA(MATCH(680,Engine!$C$2:$C$1199,0)),"",INDEX('Compliance Database'!$I$2:$I$1199,MATCH(680,Engine!$C$2:$C$1199,0)))</f>
        <v/>
      </c>
      <c r="J693" s="6" t="str">
        <f>IF(ISNA(MATCH(680,Engine!$C$2:$C$1199,0)),"",INDEX('Compliance Database'!$J$2:$J$1199,MATCH(680,Engine!$C$2:$C$1199,0)))</f>
        <v/>
      </c>
      <c r="K693" s="7" t="str">
        <f>IF(ISNA(MATCH(680,Engine!$C$2:$C$1199,0)),"",INDEX('Compliance Database'!$K$2:$K$1199,MATCH(680,Engine!$C$2:$C$1199,0)))</f>
        <v/>
      </c>
      <c r="L693" s="7" t="str">
        <f>IF(ISNA(MATCH(680,Engine!$C$2:$C$1199,0)),"",INDEX('Compliance Database'!$L$2:$L$1199,MATCH(680,Engine!$C$2:$C$1199,0)))</f>
        <v/>
      </c>
      <c r="M693" s="7" t="str">
        <f>IF(ISNA(MATCH(680,Engine!$C$2:$C$1199,0)),"",INDEX('Compliance Database'!$M$2:$M$1199,MATCH(680,Engine!$C$2:$C$1199,0)))</f>
        <v/>
      </c>
      <c r="N693" s="7" t="str">
        <f>IF(ISNA(MATCH(680,Engine!$C$2:$C$1199,0)),"",INDEX('Compliance Database'!$N$2:$N$1199,MATCH(680,Engine!$C$2:$C$1199,0)))</f>
        <v/>
      </c>
      <c r="O693" s="7" t="str">
        <f>IF(ISNA(MATCH(680,Engine!$C$2:$C$1199,0)),"",INDEX('Compliance Database'!$O$2:$O$1199,MATCH(680,Engine!$C$2:$C$1199,0)))</f>
        <v/>
      </c>
      <c r="P693" s="6" t="str">
        <f>IF(ISNA(MATCH(680,Engine!$C$2:$C$1199,0)),"",HYPERLINK("#Acts!A"&amp;INDEX('Compliance Database'!$P$2:$P$1199,MATCH(680,Engine!$C$2:$C$1199,0)),"Go to Act"))</f>
        <v/>
      </c>
    </row>
    <row r="694" spans="1:16" ht="172.95" customHeight="1" x14ac:dyDescent="0.3">
      <c r="A694" s="6" t="str">
        <f>IF(ISNA(MATCH(681,Engine!$C$2:$C$1199,0)),"",INDEX('Compliance Database'!$A$2:$A$1199,MATCH(681,Engine!$C$2:$C$1199,0)))</f>
        <v/>
      </c>
      <c r="B694" s="6" t="str">
        <f>IF(ISNA(MATCH(681,Engine!$C$2:$C$1199,0)),"",INDEX('Compliance Database'!$B$2:$B$1199,MATCH(681,Engine!$C$2:$C$1199,0)))</f>
        <v/>
      </c>
      <c r="C694" s="6" t="str">
        <f>IF(ISNA(MATCH(681,Engine!$C$2:$C$1199,0)),"",INDEX('Compliance Database'!$C$2:$C$1199,MATCH(681,Engine!$C$2:$C$1199,0)))</f>
        <v/>
      </c>
      <c r="D694" s="7" t="str">
        <f>IF(ISNA(MATCH(681,Engine!$C$2:$C$1199,0)),"",INDEX('Compliance Database'!$D$2:$D$1199,MATCH(681,Engine!$C$2:$C$1199,0)))</f>
        <v/>
      </c>
      <c r="E694" s="6" t="str">
        <f>IF(ISNA(MATCH(681,Engine!$C$2:$C$1199,0)),"",INDEX('Compliance Database'!$E$2:$E$1199,MATCH(681,Engine!$C$2:$C$1199,0)))</f>
        <v/>
      </c>
      <c r="F694" s="6" t="str">
        <f>IF(ISNA(MATCH(681,Engine!$C$2:$C$1199,0)),"",INDEX('Compliance Database'!$F$2:$F$1199,MATCH(681,Engine!$C$2:$C$1199,0)))</f>
        <v/>
      </c>
      <c r="G694" s="6" t="str">
        <f>IF(ISNA(MATCH(681,Engine!$C$2:$C$1199,0)),"",INDEX('Compliance Database'!$G$2:$G$1199,MATCH(681,Engine!$C$2:$C$1199,0)))</f>
        <v/>
      </c>
      <c r="H694" s="7" t="str">
        <f>IF(ISNA(MATCH(681,Engine!$C$2:$C$1199,0)),"",INDEX('Compliance Database'!$H$2:$H$1199,MATCH(681,Engine!$C$2:$C$1199,0)))</f>
        <v/>
      </c>
      <c r="I694" s="7" t="str">
        <f>IF(ISNA(MATCH(681,Engine!$C$2:$C$1199,0)),"",INDEX('Compliance Database'!$I$2:$I$1199,MATCH(681,Engine!$C$2:$C$1199,0)))</f>
        <v/>
      </c>
      <c r="J694" s="6" t="str">
        <f>IF(ISNA(MATCH(681,Engine!$C$2:$C$1199,0)),"",INDEX('Compliance Database'!$J$2:$J$1199,MATCH(681,Engine!$C$2:$C$1199,0)))</f>
        <v/>
      </c>
      <c r="K694" s="7" t="str">
        <f>IF(ISNA(MATCH(681,Engine!$C$2:$C$1199,0)),"",INDEX('Compliance Database'!$K$2:$K$1199,MATCH(681,Engine!$C$2:$C$1199,0)))</f>
        <v/>
      </c>
      <c r="L694" s="7" t="str">
        <f>IF(ISNA(MATCH(681,Engine!$C$2:$C$1199,0)),"",INDEX('Compliance Database'!$L$2:$L$1199,MATCH(681,Engine!$C$2:$C$1199,0)))</f>
        <v/>
      </c>
      <c r="M694" s="7" t="str">
        <f>IF(ISNA(MATCH(681,Engine!$C$2:$C$1199,0)),"",INDEX('Compliance Database'!$M$2:$M$1199,MATCH(681,Engine!$C$2:$C$1199,0)))</f>
        <v/>
      </c>
      <c r="N694" s="7" t="str">
        <f>IF(ISNA(MATCH(681,Engine!$C$2:$C$1199,0)),"",INDEX('Compliance Database'!$N$2:$N$1199,MATCH(681,Engine!$C$2:$C$1199,0)))</f>
        <v/>
      </c>
      <c r="O694" s="7" t="str">
        <f>IF(ISNA(MATCH(681,Engine!$C$2:$C$1199,0)),"",INDEX('Compliance Database'!$O$2:$O$1199,MATCH(681,Engine!$C$2:$C$1199,0)))</f>
        <v/>
      </c>
      <c r="P694" s="6" t="str">
        <f>IF(ISNA(MATCH(681,Engine!$C$2:$C$1199,0)),"",HYPERLINK("#Acts!A"&amp;INDEX('Compliance Database'!$P$2:$P$1199,MATCH(681,Engine!$C$2:$C$1199,0)),"Go to Act"))</f>
        <v/>
      </c>
    </row>
    <row r="695" spans="1:16" ht="172.95" customHeight="1" x14ac:dyDescent="0.3">
      <c r="A695" s="6" t="str">
        <f>IF(ISNA(MATCH(682,Engine!$C$2:$C$1199,0)),"",INDEX('Compliance Database'!$A$2:$A$1199,MATCH(682,Engine!$C$2:$C$1199,0)))</f>
        <v/>
      </c>
      <c r="B695" s="6" t="str">
        <f>IF(ISNA(MATCH(682,Engine!$C$2:$C$1199,0)),"",INDEX('Compliance Database'!$B$2:$B$1199,MATCH(682,Engine!$C$2:$C$1199,0)))</f>
        <v/>
      </c>
      <c r="C695" s="6" t="str">
        <f>IF(ISNA(MATCH(682,Engine!$C$2:$C$1199,0)),"",INDEX('Compliance Database'!$C$2:$C$1199,MATCH(682,Engine!$C$2:$C$1199,0)))</f>
        <v/>
      </c>
      <c r="D695" s="7" t="str">
        <f>IF(ISNA(MATCH(682,Engine!$C$2:$C$1199,0)),"",INDEX('Compliance Database'!$D$2:$D$1199,MATCH(682,Engine!$C$2:$C$1199,0)))</f>
        <v/>
      </c>
      <c r="E695" s="6" t="str">
        <f>IF(ISNA(MATCH(682,Engine!$C$2:$C$1199,0)),"",INDEX('Compliance Database'!$E$2:$E$1199,MATCH(682,Engine!$C$2:$C$1199,0)))</f>
        <v/>
      </c>
      <c r="F695" s="6" t="str">
        <f>IF(ISNA(MATCH(682,Engine!$C$2:$C$1199,0)),"",INDEX('Compliance Database'!$F$2:$F$1199,MATCH(682,Engine!$C$2:$C$1199,0)))</f>
        <v/>
      </c>
      <c r="G695" s="6" t="str">
        <f>IF(ISNA(MATCH(682,Engine!$C$2:$C$1199,0)),"",INDEX('Compliance Database'!$G$2:$G$1199,MATCH(682,Engine!$C$2:$C$1199,0)))</f>
        <v/>
      </c>
      <c r="H695" s="7" t="str">
        <f>IF(ISNA(MATCH(682,Engine!$C$2:$C$1199,0)),"",INDEX('Compliance Database'!$H$2:$H$1199,MATCH(682,Engine!$C$2:$C$1199,0)))</f>
        <v/>
      </c>
      <c r="I695" s="7" t="str">
        <f>IF(ISNA(MATCH(682,Engine!$C$2:$C$1199,0)),"",INDEX('Compliance Database'!$I$2:$I$1199,MATCH(682,Engine!$C$2:$C$1199,0)))</f>
        <v/>
      </c>
      <c r="J695" s="6" t="str">
        <f>IF(ISNA(MATCH(682,Engine!$C$2:$C$1199,0)),"",INDEX('Compliance Database'!$J$2:$J$1199,MATCH(682,Engine!$C$2:$C$1199,0)))</f>
        <v/>
      </c>
      <c r="K695" s="7" t="str">
        <f>IF(ISNA(MATCH(682,Engine!$C$2:$C$1199,0)),"",INDEX('Compliance Database'!$K$2:$K$1199,MATCH(682,Engine!$C$2:$C$1199,0)))</f>
        <v/>
      </c>
      <c r="L695" s="7" t="str">
        <f>IF(ISNA(MATCH(682,Engine!$C$2:$C$1199,0)),"",INDEX('Compliance Database'!$L$2:$L$1199,MATCH(682,Engine!$C$2:$C$1199,0)))</f>
        <v/>
      </c>
      <c r="M695" s="7" t="str">
        <f>IF(ISNA(MATCH(682,Engine!$C$2:$C$1199,0)),"",INDEX('Compliance Database'!$M$2:$M$1199,MATCH(682,Engine!$C$2:$C$1199,0)))</f>
        <v/>
      </c>
      <c r="N695" s="7" t="str">
        <f>IF(ISNA(MATCH(682,Engine!$C$2:$C$1199,0)),"",INDEX('Compliance Database'!$N$2:$N$1199,MATCH(682,Engine!$C$2:$C$1199,0)))</f>
        <v/>
      </c>
      <c r="O695" s="7" t="str">
        <f>IF(ISNA(MATCH(682,Engine!$C$2:$C$1199,0)),"",INDEX('Compliance Database'!$O$2:$O$1199,MATCH(682,Engine!$C$2:$C$1199,0)))</f>
        <v/>
      </c>
      <c r="P695" s="6" t="str">
        <f>IF(ISNA(MATCH(682,Engine!$C$2:$C$1199,0)),"",HYPERLINK("#Acts!A"&amp;INDEX('Compliance Database'!$P$2:$P$1199,MATCH(682,Engine!$C$2:$C$1199,0)),"Go to Act"))</f>
        <v/>
      </c>
    </row>
    <row r="696" spans="1:16" ht="172.95" customHeight="1" x14ac:dyDescent="0.3">
      <c r="A696" s="6" t="str">
        <f>IF(ISNA(MATCH(683,Engine!$C$2:$C$1199,0)),"",INDEX('Compliance Database'!$A$2:$A$1199,MATCH(683,Engine!$C$2:$C$1199,0)))</f>
        <v/>
      </c>
      <c r="B696" s="6" t="str">
        <f>IF(ISNA(MATCH(683,Engine!$C$2:$C$1199,0)),"",INDEX('Compliance Database'!$B$2:$B$1199,MATCH(683,Engine!$C$2:$C$1199,0)))</f>
        <v/>
      </c>
      <c r="C696" s="6" t="str">
        <f>IF(ISNA(MATCH(683,Engine!$C$2:$C$1199,0)),"",INDEX('Compliance Database'!$C$2:$C$1199,MATCH(683,Engine!$C$2:$C$1199,0)))</f>
        <v/>
      </c>
      <c r="D696" s="7" t="str">
        <f>IF(ISNA(MATCH(683,Engine!$C$2:$C$1199,0)),"",INDEX('Compliance Database'!$D$2:$D$1199,MATCH(683,Engine!$C$2:$C$1199,0)))</f>
        <v/>
      </c>
      <c r="E696" s="6" t="str">
        <f>IF(ISNA(MATCH(683,Engine!$C$2:$C$1199,0)),"",INDEX('Compliance Database'!$E$2:$E$1199,MATCH(683,Engine!$C$2:$C$1199,0)))</f>
        <v/>
      </c>
      <c r="F696" s="6" t="str">
        <f>IF(ISNA(MATCH(683,Engine!$C$2:$C$1199,0)),"",INDEX('Compliance Database'!$F$2:$F$1199,MATCH(683,Engine!$C$2:$C$1199,0)))</f>
        <v/>
      </c>
      <c r="G696" s="6" t="str">
        <f>IF(ISNA(MATCH(683,Engine!$C$2:$C$1199,0)),"",INDEX('Compliance Database'!$G$2:$G$1199,MATCH(683,Engine!$C$2:$C$1199,0)))</f>
        <v/>
      </c>
      <c r="H696" s="7" t="str">
        <f>IF(ISNA(MATCH(683,Engine!$C$2:$C$1199,0)),"",INDEX('Compliance Database'!$H$2:$H$1199,MATCH(683,Engine!$C$2:$C$1199,0)))</f>
        <v/>
      </c>
      <c r="I696" s="7" t="str">
        <f>IF(ISNA(MATCH(683,Engine!$C$2:$C$1199,0)),"",INDEX('Compliance Database'!$I$2:$I$1199,MATCH(683,Engine!$C$2:$C$1199,0)))</f>
        <v/>
      </c>
      <c r="J696" s="6" t="str">
        <f>IF(ISNA(MATCH(683,Engine!$C$2:$C$1199,0)),"",INDEX('Compliance Database'!$J$2:$J$1199,MATCH(683,Engine!$C$2:$C$1199,0)))</f>
        <v/>
      </c>
      <c r="K696" s="7" t="str">
        <f>IF(ISNA(MATCH(683,Engine!$C$2:$C$1199,0)),"",INDEX('Compliance Database'!$K$2:$K$1199,MATCH(683,Engine!$C$2:$C$1199,0)))</f>
        <v/>
      </c>
      <c r="L696" s="7" t="str">
        <f>IF(ISNA(MATCH(683,Engine!$C$2:$C$1199,0)),"",INDEX('Compliance Database'!$L$2:$L$1199,MATCH(683,Engine!$C$2:$C$1199,0)))</f>
        <v/>
      </c>
      <c r="M696" s="7" t="str">
        <f>IF(ISNA(MATCH(683,Engine!$C$2:$C$1199,0)),"",INDEX('Compliance Database'!$M$2:$M$1199,MATCH(683,Engine!$C$2:$C$1199,0)))</f>
        <v/>
      </c>
      <c r="N696" s="7" t="str">
        <f>IF(ISNA(MATCH(683,Engine!$C$2:$C$1199,0)),"",INDEX('Compliance Database'!$N$2:$N$1199,MATCH(683,Engine!$C$2:$C$1199,0)))</f>
        <v/>
      </c>
      <c r="O696" s="7" t="str">
        <f>IF(ISNA(MATCH(683,Engine!$C$2:$C$1199,0)),"",INDEX('Compliance Database'!$O$2:$O$1199,MATCH(683,Engine!$C$2:$C$1199,0)))</f>
        <v/>
      </c>
      <c r="P696" s="6" t="str">
        <f>IF(ISNA(MATCH(683,Engine!$C$2:$C$1199,0)),"",HYPERLINK("#Acts!A"&amp;INDEX('Compliance Database'!$P$2:$P$1199,MATCH(683,Engine!$C$2:$C$1199,0)),"Go to Act"))</f>
        <v/>
      </c>
    </row>
    <row r="697" spans="1:16" ht="172.95" customHeight="1" x14ac:dyDescent="0.3">
      <c r="A697" s="6" t="str">
        <f>IF(ISNA(MATCH(684,Engine!$C$2:$C$1199,0)),"",INDEX('Compliance Database'!$A$2:$A$1199,MATCH(684,Engine!$C$2:$C$1199,0)))</f>
        <v/>
      </c>
      <c r="B697" s="6" t="str">
        <f>IF(ISNA(MATCH(684,Engine!$C$2:$C$1199,0)),"",INDEX('Compliance Database'!$B$2:$B$1199,MATCH(684,Engine!$C$2:$C$1199,0)))</f>
        <v/>
      </c>
      <c r="C697" s="6" t="str">
        <f>IF(ISNA(MATCH(684,Engine!$C$2:$C$1199,0)),"",INDEX('Compliance Database'!$C$2:$C$1199,MATCH(684,Engine!$C$2:$C$1199,0)))</f>
        <v/>
      </c>
      <c r="D697" s="7" t="str">
        <f>IF(ISNA(MATCH(684,Engine!$C$2:$C$1199,0)),"",INDEX('Compliance Database'!$D$2:$D$1199,MATCH(684,Engine!$C$2:$C$1199,0)))</f>
        <v/>
      </c>
      <c r="E697" s="6" t="str">
        <f>IF(ISNA(MATCH(684,Engine!$C$2:$C$1199,0)),"",INDEX('Compliance Database'!$E$2:$E$1199,MATCH(684,Engine!$C$2:$C$1199,0)))</f>
        <v/>
      </c>
      <c r="F697" s="6" t="str">
        <f>IF(ISNA(MATCH(684,Engine!$C$2:$C$1199,0)),"",INDEX('Compliance Database'!$F$2:$F$1199,MATCH(684,Engine!$C$2:$C$1199,0)))</f>
        <v/>
      </c>
      <c r="G697" s="6" t="str">
        <f>IF(ISNA(MATCH(684,Engine!$C$2:$C$1199,0)),"",INDEX('Compliance Database'!$G$2:$G$1199,MATCH(684,Engine!$C$2:$C$1199,0)))</f>
        <v/>
      </c>
      <c r="H697" s="7" t="str">
        <f>IF(ISNA(MATCH(684,Engine!$C$2:$C$1199,0)),"",INDEX('Compliance Database'!$H$2:$H$1199,MATCH(684,Engine!$C$2:$C$1199,0)))</f>
        <v/>
      </c>
      <c r="I697" s="7" t="str">
        <f>IF(ISNA(MATCH(684,Engine!$C$2:$C$1199,0)),"",INDEX('Compliance Database'!$I$2:$I$1199,MATCH(684,Engine!$C$2:$C$1199,0)))</f>
        <v/>
      </c>
      <c r="J697" s="6" t="str">
        <f>IF(ISNA(MATCH(684,Engine!$C$2:$C$1199,0)),"",INDEX('Compliance Database'!$J$2:$J$1199,MATCH(684,Engine!$C$2:$C$1199,0)))</f>
        <v/>
      </c>
      <c r="K697" s="7" t="str">
        <f>IF(ISNA(MATCH(684,Engine!$C$2:$C$1199,0)),"",INDEX('Compliance Database'!$K$2:$K$1199,MATCH(684,Engine!$C$2:$C$1199,0)))</f>
        <v/>
      </c>
      <c r="L697" s="7" t="str">
        <f>IF(ISNA(MATCH(684,Engine!$C$2:$C$1199,0)),"",INDEX('Compliance Database'!$L$2:$L$1199,MATCH(684,Engine!$C$2:$C$1199,0)))</f>
        <v/>
      </c>
      <c r="M697" s="7" t="str">
        <f>IF(ISNA(MATCH(684,Engine!$C$2:$C$1199,0)),"",INDEX('Compliance Database'!$M$2:$M$1199,MATCH(684,Engine!$C$2:$C$1199,0)))</f>
        <v/>
      </c>
      <c r="N697" s="7" t="str">
        <f>IF(ISNA(MATCH(684,Engine!$C$2:$C$1199,0)),"",INDEX('Compliance Database'!$N$2:$N$1199,MATCH(684,Engine!$C$2:$C$1199,0)))</f>
        <v/>
      </c>
      <c r="O697" s="7" t="str">
        <f>IF(ISNA(MATCH(684,Engine!$C$2:$C$1199,0)),"",INDEX('Compliance Database'!$O$2:$O$1199,MATCH(684,Engine!$C$2:$C$1199,0)))</f>
        <v/>
      </c>
      <c r="P697" s="6" t="str">
        <f>IF(ISNA(MATCH(684,Engine!$C$2:$C$1199,0)),"",HYPERLINK("#Acts!A"&amp;INDEX('Compliance Database'!$P$2:$P$1199,MATCH(684,Engine!$C$2:$C$1199,0)),"Go to Act"))</f>
        <v/>
      </c>
    </row>
    <row r="698" spans="1:16" ht="172.95" customHeight="1" x14ac:dyDescent="0.3">
      <c r="A698" s="6" t="str">
        <f>IF(ISNA(MATCH(685,Engine!$C$2:$C$1199,0)),"",INDEX('Compliance Database'!$A$2:$A$1199,MATCH(685,Engine!$C$2:$C$1199,0)))</f>
        <v/>
      </c>
      <c r="B698" s="6" t="str">
        <f>IF(ISNA(MATCH(685,Engine!$C$2:$C$1199,0)),"",INDEX('Compliance Database'!$B$2:$B$1199,MATCH(685,Engine!$C$2:$C$1199,0)))</f>
        <v/>
      </c>
      <c r="C698" s="6" t="str">
        <f>IF(ISNA(MATCH(685,Engine!$C$2:$C$1199,0)),"",INDEX('Compliance Database'!$C$2:$C$1199,MATCH(685,Engine!$C$2:$C$1199,0)))</f>
        <v/>
      </c>
      <c r="D698" s="7" t="str">
        <f>IF(ISNA(MATCH(685,Engine!$C$2:$C$1199,0)),"",INDEX('Compliance Database'!$D$2:$D$1199,MATCH(685,Engine!$C$2:$C$1199,0)))</f>
        <v/>
      </c>
      <c r="E698" s="6" t="str">
        <f>IF(ISNA(MATCH(685,Engine!$C$2:$C$1199,0)),"",INDEX('Compliance Database'!$E$2:$E$1199,MATCH(685,Engine!$C$2:$C$1199,0)))</f>
        <v/>
      </c>
      <c r="F698" s="6" t="str">
        <f>IF(ISNA(MATCH(685,Engine!$C$2:$C$1199,0)),"",INDEX('Compliance Database'!$F$2:$F$1199,MATCH(685,Engine!$C$2:$C$1199,0)))</f>
        <v/>
      </c>
      <c r="G698" s="6" t="str">
        <f>IF(ISNA(MATCH(685,Engine!$C$2:$C$1199,0)),"",INDEX('Compliance Database'!$G$2:$G$1199,MATCH(685,Engine!$C$2:$C$1199,0)))</f>
        <v/>
      </c>
      <c r="H698" s="7" t="str">
        <f>IF(ISNA(MATCH(685,Engine!$C$2:$C$1199,0)),"",INDEX('Compliance Database'!$H$2:$H$1199,MATCH(685,Engine!$C$2:$C$1199,0)))</f>
        <v/>
      </c>
      <c r="I698" s="7" t="str">
        <f>IF(ISNA(MATCH(685,Engine!$C$2:$C$1199,0)),"",INDEX('Compliance Database'!$I$2:$I$1199,MATCH(685,Engine!$C$2:$C$1199,0)))</f>
        <v/>
      </c>
      <c r="J698" s="6" t="str">
        <f>IF(ISNA(MATCH(685,Engine!$C$2:$C$1199,0)),"",INDEX('Compliance Database'!$J$2:$J$1199,MATCH(685,Engine!$C$2:$C$1199,0)))</f>
        <v/>
      </c>
      <c r="K698" s="7" t="str">
        <f>IF(ISNA(MATCH(685,Engine!$C$2:$C$1199,0)),"",INDEX('Compliance Database'!$K$2:$K$1199,MATCH(685,Engine!$C$2:$C$1199,0)))</f>
        <v/>
      </c>
      <c r="L698" s="7" t="str">
        <f>IF(ISNA(MATCH(685,Engine!$C$2:$C$1199,0)),"",INDEX('Compliance Database'!$L$2:$L$1199,MATCH(685,Engine!$C$2:$C$1199,0)))</f>
        <v/>
      </c>
      <c r="M698" s="7" t="str">
        <f>IF(ISNA(MATCH(685,Engine!$C$2:$C$1199,0)),"",INDEX('Compliance Database'!$M$2:$M$1199,MATCH(685,Engine!$C$2:$C$1199,0)))</f>
        <v/>
      </c>
      <c r="N698" s="7" t="str">
        <f>IF(ISNA(MATCH(685,Engine!$C$2:$C$1199,0)),"",INDEX('Compliance Database'!$N$2:$N$1199,MATCH(685,Engine!$C$2:$C$1199,0)))</f>
        <v/>
      </c>
      <c r="O698" s="7" t="str">
        <f>IF(ISNA(MATCH(685,Engine!$C$2:$C$1199,0)),"",INDEX('Compliance Database'!$O$2:$O$1199,MATCH(685,Engine!$C$2:$C$1199,0)))</f>
        <v/>
      </c>
      <c r="P698" s="6" t="str">
        <f>IF(ISNA(MATCH(685,Engine!$C$2:$C$1199,0)),"",HYPERLINK("#Acts!A"&amp;INDEX('Compliance Database'!$P$2:$P$1199,MATCH(685,Engine!$C$2:$C$1199,0)),"Go to Act"))</f>
        <v/>
      </c>
    </row>
    <row r="699" spans="1:16" ht="172.95" customHeight="1" x14ac:dyDescent="0.3">
      <c r="A699" s="6" t="str">
        <f>IF(ISNA(MATCH(686,Engine!$C$2:$C$1199,0)),"",INDEX('Compliance Database'!$A$2:$A$1199,MATCH(686,Engine!$C$2:$C$1199,0)))</f>
        <v/>
      </c>
      <c r="B699" s="6" t="str">
        <f>IF(ISNA(MATCH(686,Engine!$C$2:$C$1199,0)),"",INDEX('Compliance Database'!$B$2:$B$1199,MATCH(686,Engine!$C$2:$C$1199,0)))</f>
        <v/>
      </c>
      <c r="C699" s="6" t="str">
        <f>IF(ISNA(MATCH(686,Engine!$C$2:$C$1199,0)),"",INDEX('Compliance Database'!$C$2:$C$1199,MATCH(686,Engine!$C$2:$C$1199,0)))</f>
        <v/>
      </c>
      <c r="D699" s="7" t="str">
        <f>IF(ISNA(MATCH(686,Engine!$C$2:$C$1199,0)),"",INDEX('Compliance Database'!$D$2:$D$1199,MATCH(686,Engine!$C$2:$C$1199,0)))</f>
        <v/>
      </c>
      <c r="E699" s="6" t="str">
        <f>IF(ISNA(MATCH(686,Engine!$C$2:$C$1199,0)),"",INDEX('Compliance Database'!$E$2:$E$1199,MATCH(686,Engine!$C$2:$C$1199,0)))</f>
        <v/>
      </c>
      <c r="F699" s="6" t="str">
        <f>IF(ISNA(MATCH(686,Engine!$C$2:$C$1199,0)),"",INDEX('Compliance Database'!$F$2:$F$1199,MATCH(686,Engine!$C$2:$C$1199,0)))</f>
        <v/>
      </c>
      <c r="G699" s="6" t="str">
        <f>IF(ISNA(MATCH(686,Engine!$C$2:$C$1199,0)),"",INDEX('Compliance Database'!$G$2:$G$1199,MATCH(686,Engine!$C$2:$C$1199,0)))</f>
        <v/>
      </c>
      <c r="H699" s="7" t="str">
        <f>IF(ISNA(MATCH(686,Engine!$C$2:$C$1199,0)),"",INDEX('Compliance Database'!$H$2:$H$1199,MATCH(686,Engine!$C$2:$C$1199,0)))</f>
        <v/>
      </c>
      <c r="I699" s="7" t="str">
        <f>IF(ISNA(MATCH(686,Engine!$C$2:$C$1199,0)),"",INDEX('Compliance Database'!$I$2:$I$1199,MATCH(686,Engine!$C$2:$C$1199,0)))</f>
        <v/>
      </c>
      <c r="J699" s="6" t="str">
        <f>IF(ISNA(MATCH(686,Engine!$C$2:$C$1199,0)),"",INDEX('Compliance Database'!$J$2:$J$1199,MATCH(686,Engine!$C$2:$C$1199,0)))</f>
        <v/>
      </c>
      <c r="K699" s="7" t="str">
        <f>IF(ISNA(MATCH(686,Engine!$C$2:$C$1199,0)),"",INDEX('Compliance Database'!$K$2:$K$1199,MATCH(686,Engine!$C$2:$C$1199,0)))</f>
        <v/>
      </c>
      <c r="L699" s="7" t="str">
        <f>IF(ISNA(MATCH(686,Engine!$C$2:$C$1199,0)),"",INDEX('Compliance Database'!$L$2:$L$1199,MATCH(686,Engine!$C$2:$C$1199,0)))</f>
        <v/>
      </c>
      <c r="M699" s="7" t="str">
        <f>IF(ISNA(MATCH(686,Engine!$C$2:$C$1199,0)),"",INDEX('Compliance Database'!$M$2:$M$1199,MATCH(686,Engine!$C$2:$C$1199,0)))</f>
        <v/>
      </c>
      <c r="N699" s="7" t="str">
        <f>IF(ISNA(MATCH(686,Engine!$C$2:$C$1199,0)),"",INDEX('Compliance Database'!$N$2:$N$1199,MATCH(686,Engine!$C$2:$C$1199,0)))</f>
        <v/>
      </c>
      <c r="O699" s="7" t="str">
        <f>IF(ISNA(MATCH(686,Engine!$C$2:$C$1199,0)),"",INDEX('Compliance Database'!$O$2:$O$1199,MATCH(686,Engine!$C$2:$C$1199,0)))</f>
        <v/>
      </c>
      <c r="P699" s="6" t="str">
        <f>IF(ISNA(MATCH(686,Engine!$C$2:$C$1199,0)),"",HYPERLINK("#Acts!A"&amp;INDEX('Compliance Database'!$P$2:$P$1199,MATCH(686,Engine!$C$2:$C$1199,0)),"Go to Act"))</f>
        <v/>
      </c>
    </row>
    <row r="700" spans="1:16" ht="172.95" customHeight="1" x14ac:dyDescent="0.3">
      <c r="A700" s="6" t="str">
        <f>IF(ISNA(MATCH(687,Engine!$C$2:$C$1199,0)),"",INDEX('Compliance Database'!$A$2:$A$1199,MATCH(687,Engine!$C$2:$C$1199,0)))</f>
        <v/>
      </c>
      <c r="B700" s="6" t="str">
        <f>IF(ISNA(MATCH(687,Engine!$C$2:$C$1199,0)),"",INDEX('Compliance Database'!$B$2:$B$1199,MATCH(687,Engine!$C$2:$C$1199,0)))</f>
        <v/>
      </c>
      <c r="C700" s="6" t="str">
        <f>IF(ISNA(MATCH(687,Engine!$C$2:$C$1199,0)),"",INDEX('Compliance Database'!$C$2:$C$1199,MATCH(687,Engine!$C$2:$C$1199,0)))</f>
        <v/>
      </c>
      <c r="D700" s="7" t="str">
        <f>IF(ISNA(MATCH(687,Engine!$C$2:$C$1199,0)),"",INDEX('Compliance Database'!$D$2:$D$1199,MATCH(687,Engine!$C$2:$C$1199,0)))</f>
        <v/>
      </c>
      <c r="E700" s="6" t="str">
        <f>IF(ISNA(MATCH(687,Engine!$C$2:$C$1199,0)),"",INDEX('Compliance Database'!$E$2:$E$1199,MATCH(687,Engine!$C$2:$C$1199,0)))</f>
        <v/>
      </c>
      <c r="F700" s="6" t="str">
        <f>IF(ISNA(MATCH(687,Engine!$C$2:$C$1199,0)),"",INDEX('Compliance Database'!$F$2:$F$1199,MATCH(687,Engine!$C$2:$C$1199,0)))</f>
        <v/>
      </c>
      <c r="G700" s="6" t="str">
        <f>IF(ISNA(MATCH(687,Engine!$C$2:$C$1199,0)),"",INDEX('Compliance Database'!$G$2:$G$1199,MATCH(687,Engine!$C$2:$C$1199,0)))</f>
        <v/>
      </c>
      <c r="H700" s="7" t="str">
        <f>IF(ISNA(MATCH(687,Engine!$C$2:$C$1199,0)),"",INDEX('Compliance Database'!$H$2:$H$1199,MATCH(687,Engine!$C$2:$C$1199,0)))</f>
        <v/>
      </c>
      <c r="I700" s="7" t="str">
        <f>IF(ISNA(MATCH(687,Engine!$C$2:$C$1199,0)),"",INDEX('Compliance Database'!$I$2:$I$1199,MATCH(687,Engine!$C$2:$C$1199,0)))</f>
        <v/>
      </c>
      <c r="J700" s="6" t="str">
        <f>IF(ISNA(MATCH(687,Engine!$C$2:$C$1199,0)),"",INDEX('Compliance Database'!$J$2:$J$1199,MATCH(687,Engine!$C$2:$C$1199,0)))</f>
        <v/>
      </c>
      <c r="K700" s="7" t="str">
        <f>IF(ISNA(MATCH(687,Engine!$C$2:$C$1199,0)),"",INDEX('Compliance Database'!$K$2:$K$1199,MATCH(687,Engine!$C$2:$C$1199,0)))</f>
        <v/>
      </c>
      <c r="L700" s="7" t="str">
        <f>IF(ISNA(MATCH(687,Engine!$C$2:$C$1199,0)),"",INDEX('Compliance Database'!$L$2:$L$1199,MATCH(687,Engine!$C$2:$C$1199,0)))</f>
        <v/>
      </c>
      <c r="M700" s="7" t="str">
        <f>IF(ISNA(MATCH(687,Engine!$C$2:$C$1199,0)),"",INDEX('Compliance Database'!$M$2:$M$1199,MATCH(687,Engine!$C$2:$C$1199,0)))</f>
        <v/>
      </c>
      <c r="N700" s="7" t="str">
        <f>IF(ISNA(MATCH(687,Engine!$C$2:$C$1199,0)),"",INDEX('Compliance Database'!$N$2:$N$1199,MATCH(687,Engine!$C$2:$C$1199,0)))</f>
        <v/>
      </c>
      <c r="O700" s="7" t="str">
        <f>IF(ISNA(MATCH(687,Engine!$C$2:$C$1199,0)),"",INDEX('Compliance Database'!$O$2:$O$1199,MATCH(687,Engine!$C$2:$C$1199,0)))</f>
        <v/>
      </c>
      <c r="P700" s="6" t="str">
        <f>IF(ISNA(MATCH(687,Engine!$C$2:$C$1199,0)),"",HYPERLINK("#Acts!A"&amp;INDEX('Compliance Database'!$P$2:$P$1199,MATCH(687,Engine!$C$2:$C$1199,0)),"Go to Act"))</f>
        <v/>
      </c>
    </row>
    <row r="701" spans="1:16" ht="172.95" customHeight="1" x14ac:dyDescent="0.3">
      <c r="A701" s="6" t="str">
        <f>IF(ISNA(MATCH(688,Engine!$C$2:$C$1199,0)),"",INDEX('Compliance Database'!$A$2:$A$1199,MATCH(688,Engine!$C$2:$C$1199,0)))</f>
        <v/>
      </c>
      <c r="B701" s="6" t="str">
        <f>IF(ISNA(MATCH(688,Engine!$C$2:$C$1199,0)),"",INDEX('Compliance Database'!$B$2:$B$1199,MATCH(688,Engine!$C$2:$C$1199,0)))</f>
        <v/>
      </c>
      <c r="C701" s="6" t="str">
        <f>IF(ISNA(MATCH(688,Engine!$C$2:$C$1199,0)),"",INDEX('Compliance Database'!$C$2:$C$1199,MATCH(688,Engine!$C$2:$C$1199,0)))</f>
        <v/>
      </c>
      <c r="D701" s="7" t="str">
        <f>IF(ISNA(MATCH(688,Engine!$C$2:$C$1199,0)),"",INDEX('Compliance Database'!$D$2:$D$1199,MATCH(688,Engine!$C$2:$C$1199,0)))</f>
        <v/>
      </c>
      <c r="E701" s="6" t="str">
        <f>IF(ISNA(MATCH(688,Engine!$C$2:$C$1199,0)),"",INDEX('Compliance Database'!$E$2:$E$1199,MATCH(688,Engine!$C$2:$C$1199,0)))</f>
        <v/>
      </c>
      <c r="F701" s="6" t="str">
        <f>IF(ISNA(MATCH(688,Engine!$C$2:$C$1199,0)),"",INDEX('Compliance Database'!$F$2:$F$1199,MATCH(688,Engine!$C$2:$C$1199,0)))</f>
        <v/>
      </c>
      <c r="G701" s="6" t="str">
        <f>IF(ISNA(MATCH(688,Engine!$C$2:$C$1199,0)),"",INDEX('Compliance Database'!$G$2:$G$1199,MATCH(688,Engine!$C$2:$C$1199,0)))</f>
        <v/>
      </c>
      <c r="H701" s="7" t="str">
        <f>IF(ISNA(MATCH(688,Engine!$C$2:$C$1199,0)),"",INDEX('Compliance Database'!$H$2:$H$1199,MATCH(688,Engine!$C$2:$C$1199,0)))</f>
        <v/>
      </c>
      <c r="I701" s="7" t="str">
        <f>IF(ISNA(MATCH(688,Engine!$C$2:$C$1199,0)),"",INDEX('Compliance Database'!$I$2:$I$1199,MATCH(688,Engine!$C$2:$C$1199,0)))</f>
        <v/>
      </c>
      <c r="J701" s="6" t="str">
        <f>IF(ISNA(MATCH(688,Engine!$C$2:$C$1199,0)),"",INDEX('Compliance Database'!$J$2:$J$1199,MATCH(688,Engine!$C$2:$C$1199,0)))</f>
        <v/>
      </c>
      <c r="K701" s="7" t="str">
        <f>IF(ISNA(MATCH(688,Engine!$C$2:$C$1199,0)),"",INDEX('Compliance Database'!$K$2:$K$1199,MATCH(688,Engine!$C$2:$C$1199,0)))</f>
        <v/>
      </c>
      <c r="L701" s="7" t="str">
        <f>IF(ISNA(MATCH(688,Engine!$C$2:$C$1199,0)),"",INDEX('Compliance Database'!$L$2:$L$1199,MATCH(688,Engine!$C$2:$C$1199,0)))</f>
        <v/>
      </c>
      <c r="M701" s="7" t="str">
        <f>IF(ISNA(MATCH(688,Engine!$C$2:$C$1199,0)),"",INDEX('Compliance Database'!$M$2:$M$1199,MATCH(688,Engine!$C$2:$C$1199,0)))</f>
        <v/>
      </c>
      <c r="N701" s="7" t="str">
        <f>IF(ISNA(MATCH(688,Engine!$C$2:$C$1199,0)),"",INDEX('Compliance Database'!$N$2:$N$1199,MATCH(688,Engine!$C$2:$C$1199,0)))</f>
        <v/>
      </c>
      <c r="O701" s="7" t="str">
        <f>IF(ISNA(MATCH(688,Engine!$C$2:$C$1199,0)),"",INDEX('Compliance Database'!$O$2:$O$1199,MATCH(688,Engine!$C$2:$C$1199,0)))</f>
        <v/>
      </c>
      <c r="P701" s="6" t="str">
        <f>IF(ISNA(MATCH(688,Engine!$C$2:$C$1199,0)),"",HYPERLINK("#Acts!A"&amp;INDEX('Compliance Database'!$P$2:$P$1199,MATCH(688,Engine!$C$2:$C$1199,0)),"Go to Act"))</f>
        <v/>
      </c>
    </row>
    <row r="702" spans="1:16" ht="172.95" customHeight="1" x14ac:dyDescent="0.3">
      <c r="A702" s="6" t="str">
        <f>IF(ISNA(MATCH(689,Engine!$C$2:$C$1199,0)),"",INDEX('Compliance Database'!$A$2:$A$1199,MATCH(689,Engine!$C$2:$C$1199,0)))</f>
        <v/>
      </c>
      <c r="B702" s="6" t="str">
        <f>IF(ISNA(MATCH(689,Engine!$C$2:$C$1199,0)),"",INDEX('Compliance Database'!$B$2:$B$1199,MATCH(689,Engine!$C$2:$C$1199,0)))</f>
        <v/>
      </c>
      <c r="C702" s="6" t="str">
        <f>IF(ISNA(MATCH(689,Engine!$C$2:$C$1199,0)),"",INDEX('Compliance Database'!$C$2:$C$1199,MATCH(689,Engine!$C$2:$C$1199,0)))</f>
        <v/>
      </c>
      <c r="D702" s="7" t="str">
        <f>IF(ISNA(MATCH(689,Engine!$C$2:$C$1199,0)),"",INDEX('Compliance Database'!$D$2:$D$1199,MATCH(689,Engine!$C$2:$C$1199,0)))</f>
        <v/>
      </c>
      <c r="E702" s="6" t="str">
        <f>IF(ISNA(MATCH(689,Engine!$C$2:$C$1199,0)),"",INDEX('Compliance Database'!$E$2:$E$1199,MATCH(689,Engine!$C$2:$C$1199,0)))</f>
        <v/>
      </c>
      <c r="F702" s="6" t="str">
        <f>IF(ISNA(MATCH(689,Engine!$C$2:$C$1199,0)),"",INDEX('Compliance Database'!$F$2:$F$1199,MATCH(689,Engine!$C$2:$C$1199,0)))</f>
        <v/>
      </c>
      <c r="G702" s="6" t="str">
        <f>IF(ISNA(MATCH(689,Engine!$C$2:$C$1199,0)),"",INDEX('Compliance Database'!$G$2:$G$1199,MATCH(689,Engine!$C$2:$C$1199,0)))</f>
        <v/>
      </c>
      <c r="H702" s="7" t="str">
        <f>IF(ISNA(MATCH(689,Engine!$C$2:$C$1199,0)),"",INDEX('Compliance Database'!$H$2:$H$1199,MATCH(689,Engine!$C$2:$C$1199,0)))</f>
        <v/>
      </c>
      <c r="I702" s="7" t="str">
        <f>IF(ISNA(MATCH(689,Engine!$C$2:$C$1199,0)),"",INDEX('Compliance Database'!$I$2:$I$1199,MATCH(689,Engine!$C$2:$C$1199,0)))</f>
        <v/>
      </c>
      <c r="J702" s="6" t="str">
        <f>IF(ISNA(MATCH(689,Engine!$C$2:$C$1199,0)),"",INDEX('Compliance Database'!$J$2:$J$1199,MATCH(689,Engine!$C$2:$C$1199,0)))</f>
        <v/>
      </c>
      <c r="K702" s="7" t="str">
        <f>IF(ISNA(MATCH(689,Engine!$C$2:$C$1199,0)),"",INDEX('Compliance Database'!$K$2:$K$1199,MATCH(689,Engine!$C$2:$C$1199,0)))</f>
        <v/>
      </c>
      <c r="L702" s="7" t="str">
        <f>IF(ISNA(MATCH(689,Engine!$C$2:$C$1199,0)),"",INDEX('Compliance Database'!$L$2:$L$1199,MATCH(689,Engine!$C$2:$C$1199,0)))</f>
        <v/>
      </c>
      <c r="M702" s="7" t="str">
        <f>IF(ISNA(MATCH(689,Engine!$C$2:$C$1199,0)),"",INDEX('Compliance Database'!$M$2:$M$1199,MATCH(689,Engine!$C$2:$C$1199,0)))</f>
        <v/>
      </c>
      <c r="N702" s="7" t="str">
        <f>IF(ISNA(MATCH(689,Engine!$C$2:$C$1199,0)),"",INDEX('Compliance Database'!$N$2:$N$1199,MATCH(689,Engine!$C$2:$C$1199,0)))</f>
        <v/>
      </c>
      <c r="O702" s="7" t="str">
        <f>IF(ISNA(MATCH(689,Engine!$C$2:$C$1199,0)),"",INDEX('Compliance Database'!$O$2:$O$1199,MATCH(689,Engine!$C$2:$C$1199,0)))</f>
        <v/>
      </c>
      <c r="P702" s="6" t="str">
        <f>IF(ISNA(MATCH(689,Engine!$C$2:$C$1199,0)),"",HYPERLINK("#Acts!A"&amp;INDEX('Compliance Database'!$P$2:$P$1199,MATCH(689,Engine!$C$2:$C$1199,0)),"Go to Act"))</f>
        <v/>
      </c>
    </row>
    <row r="703" spans="1:16" ht="172.95" customHeight="1" x14ac:dyDescent="0.3">
      <c r="A703" s="6" t="str">
        <f>IF(ISNA(MATCH(690,Engine!$C$2:$C$1199,0)),"",INDEX('Compliance Database'!$A$2:$A$1199,MATCH(690,Engine!$C$2:$C$1199,0)))</f>
        <v/>
      </c>
      <c r="B703" s="6" t="str">
        <f>IF(ISNA(MATCH(690,Engine!$C$2:$C$1199,0)),"",INDEX('Compliance Database'!$B$2:$B$1199,MATCH(690,Engine!$C$2:$C$1199,0)))</f>
        <v/>
      </c>
      <c r="C703" s="6" t="str">
        <f>IF(ISNA(MATCH(690,Engine!$C$2:$C$1199,0)),"",INDEX('Compliance Database'!$C$2:$C$1199,MATCH(690,Engine!$C$2:$C$1199,0)))</f>
        <v/>
      </c>
      <c r="D703" s="7" t="str">
        <f>IF(ISNA(MATCH(690,Engine!$C$2:$C$1199,0)),"",INDEX('Compliance Database'!$D$2:$D$1199,MATCH(690,Engine!$C$2:$C$1199,0)))</f>
        <v/>
      </c>
      <c r="E703" s="6" t="str">
        <f>IF(ISNA(MATCH(690,Engine!$C$2:$C$1199,0)),"",INDEX('Compliance Database'!$E$2:$E$1199,MATCH(690,Engine!$C$2:$C$1199,0)))</f>
        <v/>
      </c>
      <c r="F703" s="6" t="str">
        <f>IF(ISNA(MATCH(690,Engine!$C$2:$C$1199,0)),"",INDEX('Compliance Database'!$F$2:$F$1199,MATCH(690,Engine!$C$2:$C$1199,0)))</f>
        <v/>
      </c>
      <c r="G703" s="6" t="str">
        <f>IF(ISNA(MATCH(690,Engine!$C$2:$C$1199,0)),"",INDEX('Compliance Database'!$G$2:$G$1199,MATCH(690,Engine!$C$2:$C$1199,0)))</f>
        <v/>
      </c>
      <c r="H703" s="7" t="str">
        <f>IF(ISNA(MATCH(690,Engine!$C$2:$C$1199,0)),"",INDEX('Compliance Database'!$H$2:$H$1199,MATCH(690,Engine!$C$2:$C$1199,0)))</f>
        <v/>
      </c>
      <c r="I703" s="7" t="str">
        <f>IF(ISNA(MATCH(690,Engine!$C$2:$C$1199,0)),"",INDEX('Compliance Database'!$I$2:$I$1199,MATCH(690,Engine!$C$2:$C$1199,0)))</f>
        <v/>
      </c>
      <c r="J703" s="6" t="str">
        <f>IF(ISNA(MATCH(690,Engine!$C$2:$C$1199,0)),"",INDEX('Compliance Database'!$J$2:$J$1199,MATCH(690,Engine!$C$2:$C$1199,0)))</f>
        <v/>
      </c>
      <c r="K703" s="7" t="str">
        <f>IF(ISNA(MATCH(690,Engine!$C$2:$C$1199,0)),"",INDEX('Compliance Database'!$K$2:$K$1199,MATCH(690,Engine!$C$2:$C$1199,0)))</f>
        <v/>
      </c>
      <c r="L703" s="7" t="str">
        <f>IF(ISNA(MATCH(690,Engine!$C$2:$C$1199,0)),"",INDEX('Compliance Database'!$L$2:$L$1199,MATCH(690,Engine!$C$2:$C$1199,0)))</f>
        <v/>
      </c>
      <c r="M703" s="7" t="str">
        <f>IF(ISNA(MATCH(690,Engine!$C$2:$C$1199,0)),"",INDEX('Compliance Database'!$M$2:$M$1199,MATCH(690,Engine!$C$2:$C$1199,0)))</f>
        <v/>
      </c>
      <c r="N703" s="7" t="str">
        <f>IF(ISNA(MATCH(690,Engine!$C$2:$C$1199,0)),"",INDEX('Compliance Database'!$N$2:$N$1199,MATCH(690,Engine!$C$2:$C$1199,0)))</f>
        <v/>
      </c>
      <c r="O703" s="7" t="str">
        <f>IF(ISNA(MATCH(690,Engine!$C$2:$C$1199,0)),"",INDEX('Compliance Database'!$O$2:$O$1199,MATCH(690,Engine!$C$2:$C$1199,0)))</f>
        <v/>
      </c>
      <c r="P703" s="6" t="str">
        <f>IF(ISNA(MATCH(690,Engine!$C$2:$C$1199,0)),"",HYPERLINK("#Acts!A"&amp;INDEX('Compliance Database'!$P$2:$P$1199,MATCH(690,Engine!$C$2:$C$1199,0)),"Go to Act"))</f>
        <v/>
      </c>
    </row>
    <row r="704" spans="1:16" ht="172.95" customHeight="1" x14ac:dyDescent="0.3">
      <c r="A704" s="6" t="str">
        <f>IF(ISNA(MATCH(691,Engine!$C$2:$C$1199,0)),"",INDEX('Compliance Database'!$A$2:$A$1199,MATCH(691,Engine!$C$2:$C$1199,0)))</f>
        <v/>
      </c>
      <c r="B704" s="6" t="str">
        <f>IF(ISNA(MATCH(691,Engine!$C$2:$C$1199,0)),"",INDEX('Compliance Database'!$B$2:$B$1199,MATCH(691,Engine!$C$2:$C$1199,0)))</f>
        <v/>
      </c>
      <c r="C704" s="6" t="str">
        <f>IF(ISNA(MATCH(691,Engine!$C$2:$C$1199,0)),"",INDEX('Compliance Database'!$C$2:$C$1199,MATCH(691,Engine!$C$2:$C$1199,0)))</f>
        <v/>
      </c>
      <c r="D704" s="7" t="str">
        <f>IF(ISNA(MATCH(691,Engine!$C$2:$C$1199,0)),"",INDEX('Compliance Database'!$D$2:$D$1199,MATCH(691,Engine!$C$2:$C$1199,0)))</f>
        <v/>
      </c>
      <c r="E704" s="6" t="str">
        <f>IF(ISNA(MATCH(691,Engine!$C$2:$C$1199,0)),"",INDEX('Compliance Database'!$E$2:$E$1199,MATCH(691,Engine!$C$2:$C$1199,0)))</f>
        <v/>
      </c>
      <c r="F704" s="6" t="str">
        <f>IF(ISNA(MATCH(691,Engine!$C$2:$C$1199,0)),"",INDEX('Compliance Database'!$F$2:$F$1199,MATCH(691,Engine!$C$2:$C$1199,0)))</f>
        <v/>
      </c>
      <c r="G704" s="6" t="str">
        <f>IF(ISNA(MATCH(691,Engine!$C$2:$C$1199,0)),"",INDEX('Compliance Database'!$G$2:$G$1199,MATCH(691,Engine!$C$2:$C$1199,0)))</f>
        <v/>
      </c>
      <c r="H704" s="7" t="str">
        <f>IF(ISNA(MATCH(691,Engine!$C$2:$C$1199,0)),"",INDEX('Compliance Database'!$H$2:$H$1199,MATCH(691,Engine!$C$2:$C$1199,0)))</f>
        <v/>
      </c>
      <c r="I704" s="7" t="str">
        <f>IF(ISNA(MATCH(691,Engine!$C$2:$C$1199,0)),"",INDEX('Compliance Database'!$I$2:$I$1199,MATCH(691,Engine!$C$2:$C$1199,0)))</f>
        <v/>
      </c>
      <c r="J704" s="6" t="str">
        <f>IF(ISNA(MATCH(691,Engine!$C$2:$C$1199,0)),"",INDEX('Compliance Database'!$J$2:$J$1199,MATCH(691,Engine!$C$2:$C$1199,0)))</f>
        <v/>
      </c>
      <c r="K704" s="7" t="str">
        <f>IF(ISNA(MATCH(691,Engine!$C$2:$C$1199,0)),"",INDEX('Compliance Database'!$K$2:$K$1199,MATCH(691,Engine!$C$2:$C$1199,0)))</f>
        <v/>
      </c>
      <c r="L704" s="7" t="str">
        <f>IF(ISNA(MATCH(691,Engine!$C$2:$C$1199,0)),"",INDEX('Compliance Database'!$L$2:$L$1199,MATCH(691,Engine!$C$2:$C$1199,0)))</f>
        <v/>
      </c>
      <c r="M704" s="7" t="str">
        <f>IF(ISNA(MATCH(691,Engine!$C$2:$C$1199,0)),"",INDEX('Compliance Database'!$M$2:$M$1199,MATCH(691,Engine!$C$2:$C$1199,0)))</f>
        <v/>
      </c>
      <c r="N704" s="7" t="str">
        <f>IF(ISNA(MATCH(691,Engine!$C$2:$C$1199,0)),"",INDEX('Compliance Database'!$N$2:$N$1199,MATCH(691,Engine!$C$2:$C$1199,0)))</f>
        <v/>
      </c>
      <c r="O704" s="7" t="str">
        <f>IF(ISNA(MATCH(691,Engine!$C$2:$C$1199,0)),"",INDEX('Compliance Database'!$O$2:$O$1199,MATCH(691,Engine!$C$2:$C$1199,0)))</f>
        <v/>
      </c>
      <c r="P704" s="6" t="str">
        <f>IF(ISNA(MATCH(691,Engine!$C$2:$C$1199,0)),"",HYPERLINK("#Acts!A"&amp;INDEX('Compliance Database'!$P$2:$P$1199,MATCH(691,Engine!$C$2:$C$1199,0)),"Go to Act"))</f>
        <v/>
      </c>
    </row>
    <row r="705" spans="1:16" ht="172.95" customHeight="1" x14ac:dyDescent="0.3">
      <c r="A705" s="6" t="str">
        <f>IF(ISNA(MATCH(692,Engine!$C$2:$C$1199,0)),"",INDEX('Compliance Database'!$A$2:$A$1199,MATCH(692,Engine!$C$2:$C$1199,0)))</f>
        <v/>
      </c>
      <c r="B705" s="6" t="str">
        <f>IF(ISNA(MATCH(692,Engine!$C$2:$C$1199,0)),"",INDEX('Compliance Database'!$B$2:$B$1199,MATCH(692,Engine!$C$2:$C$1199,0)))</f>
        <v/>
      </c>
      <c r="C705" s="6" t="str">
        <f>IF(ISNA(MATCH(692,Engine!$C$2:$C$1199,0)),"",INDEX('Compliance Database'!$C$2:$C$1199,MATCH(692,Engine!$C$2:$C$1199,0)))</f>
        <v/>
      </c>
      <c r="D705" s="7" t="str">
        <f>IF(ISNA(MATCH(692,Engine!$C$2:$C$1199,0)),"",INDEX('Compliance Database'!$D$2:$D$1199,MATCH(692,Engine!$C$2:$C$1199,0)))</f>
        <v/>
      </c>
      <c r="E705" s="6" t="str">
        <f>IF(ISNA(MATCH(692,Engine!$C$2:$C$1199,0)),"",INDEX('Compliance Database'!$E$2:$E$1199,MATCH(692,Engine!$C$2:$C$1199,0)))</f>
        <v/>
      </c>
      <c r="F705" s="6" t="str">
        <f>IF(ISNA(MATCH(692,Engine!$C$2:$C$1199,0)),"",INDEX('Compliance Database'!$F$2:$F$1199,MATCH(692,Engine!$C$2:$C$1199,0)))</f>
        <v/>
      </c>
      <c r="G705" s="6" t="str">
        <f>IF(ISNA(MATCH(692,Engine!$C$2:$C$1199,0)),"",INDEX('Compliance Database'!$G$2:$G$1199,MATCH(692,Engine!$C$2:$C$1199,0)))</f>
        <v/>
      </c>
      <c r="H705" s="7" t="str">
        <f>IF(ISNA(MATCH(692,Engine!$C$2:$C$1199,0)),"",INDEX('Compliance Database'!$H$2:$H$1199,MATCH(692,Engine!$C$2:$C$1199,0)))</f>
        <v/>
      </c>
      <c r="I705" s="7" t="str">
        <f>IF(ISNA(MATCH(692,Engine!$C$2:$C$1199,0)),"",INDEX('Compliance Database'!$I$2:$I$1199,MATCH(692,Engine!$C$2:$C$1199,0)))</f>
        <v/>
      </c>
      <c r="J705" s="6" t="str">
        <f>IF(ISNA(MATCH(692,Engine!$C$2:$C$1199,0)),"",INDEX('Compliance Database'!$J$2:$J$1199,MATCH(692,Engine!$C$2:$C$1199,0)))</f>
        <v/>
      </c>
      <c r="K705" s="7" t="str">
        <f>IF(ISNA(MATCH(692,Engine!$C$2:$C$1199,0)),"",INDEX('Compliance Database'!$K$2:$K$1199,MATCH(692,Engine!$C$2:$C$1199,0)))</f>
        <v/>
      </c>
      <c r="L705" s="7" t="str">
        <f>IF(ISNA(MATCH(692,Engine!$C$2:$C$1199,0)),"",INDEX('Compliance Database'!$L$2:$L$1199,MATCH(692,Engine!$C$2:$C$1199,0)))</f>
        <v/>
      </c>
      <c r="M705" s="7" t="str">
        <f>IF(ISNA(MATCH(692,Engine!$C$2:$C$1199,0)),"",INDEX('Compliance Database'!$M$2:$M$1199,MATCH(692,Engine!$C$2:$C$1199,0)))</f>
        <v/>
      </c>
      <c r="N705" s="7" t="str">
        <f>IF(ISNA(MATCH(692,Engine!$C$2:$C$1199,0)),"",INDEX('Compliance Database'!$N$2:$N$1199,MATCH(692,Engine!$C$2:$C$1199,0)))</f>
        <v/>
      </c>
      <c r="O705" s="7" t="str">
        <f>IF(ISNA(MATCH(692,Engine!$C$2:$C$1199,0)),"",INDEX('Compliance Database'!$O$2:$O$1199,MATCH(692,Engine!$C$2:$C$1199,0)))</f>
        <v/>
      </c>
      <c r="P705" s="6" t="str">
        <f>IF(ISNA(MATCH(692,Engine!$C$2:$C$1199,0)),"",HYPERLINK("#Acts!A"&amp;INDEX('Compliance Database'!$P$2:$P$1199,MATCH(692,Engine!$C$2:$C$1199,0)),"Go to Act"))</f>
        <v/>
      </c>
    </row>
    <row r="706" spans="1:16" ht="172.95" customHeight="1" x14ac:dyDescent="0.3">
      <c r="A706" s="6" t="str">
        <f>IF(ISNA(MATCH(693,Engine!$C$2:$C$1199,0)),"",INDEX('Compliance Database'!$A$2:$A$1199,MATCH(693,Engine!$C$2:$C$1199,0)))</f>
        <v/>
      </c>
      <c r="B706" s="6" t="str">
        <f>IF(ISNA(MATCH(693,Engine!$C$2:$C$1199,0)),"",INDEX('Compliance Database'!$B$2:$B$1199,MATCH(693,Engine!$C$2:$C$1199,0)))</f>
        <v/>
      </c>
      <c r="C706" s="6" t="str">
        <f>IF(ISNA(MATCH(693,Engine!$C$2:$C$1199,0)),"",INDEX('Compliance Database'!$C$2:$C$1199,MATCH(693,Engine!$C$2:$C$1199,0)))</f>
        <v/>
      </c>
      <c r="D706" s="7" t="str">
        <f>IF(ISNA(MATCH(693,Engine!$C$2:$C$1199,0)),"",INDEX('Compliance Database'!$D$2:$D$1199,MATCH(693,Engine!$C$2:$C$1199,0)))</f>
        <v/>
      </c>
      <c r="E706" s="6" t="str">
        <f>IF(ISNA(MATCH(693,Engine!$C$2:$C$1199,0)),"",INDEX('Compliance Database'!$E$2:$E$1199,MATCH(693,Engine!$C$2:$C$1199,0)))</f>
        <v/>
      </c>
      <c r="F706" s="6" t="str">
        <f>IF(ISNA(MATCH(693,Engine!$C$2:$C$1199,0)),"",INDEX('Compliance Database'!$F$2:$F$1199,MATCH(693,Engine!$C$2:$C$1199,0)))</f>
        <v/>
      </c>
      <c r="G706" s="6" t="str">
        <f>IF(ISNA(MATCH(693,Engine!$C$2:$C$1199,0)),"",INDEX('Compliance Database'!$G$2:$G$1199,MATCH(693,Engine!$C$2:$C$1199,0)))</f>
        <v/>
      </c>
      <c r="H706" s="7" t="str">
        <f>IF(ISNA(MATCH(693,Engine!$C$2:$C$1199,0)),"",INDEX('Compliance Database'!$H$2:$H$1199,MATCH(693,Engine!$C$2:$C$1199,0)))</f>
        <v/>
      </c>
      <c r="I706" s="7" t="str">
        <f>IF(ISNA(MATCH(693,Engine!$C$2:$C$1199,0)),"",INDEX('Compliance Database'!$I$2:$I$1199,MATCH(693,Engine!$C$2:$C$1199,0)))</f>
        <v/>
      </c>
      <c r="J706" s="6" t="str">
        <f>IF(ISNA(MATCH(693,Engine!$C$2:$C$1199,0)),"",INDEX('Compliance Database'!$J$2:$J$1199,MATCH(693,Engine!$C$2:$C$1199,0)))</f>
        <v/>
      </c>
      <c r="K706" s="7" t="str">
        <f>IF(ISNA(MATCH(693,Engine!$C$2:$C$1199,0)),"",INDEX('Compliance Database'!$K$2:$K$1199,MATCH(693,Engine!$C$2:$C$1199,0)))</f>
        <v/>
      </c>
      <c r="L706" s="7" t="str">
        <f>IF(ISNA(MATCH(693,Engine!$C$2:$C$1199,0)),"",INDEX('Compliance Database'!$L$2:$L$1199,MATCH(693,Engine!$C$2:$C$1199,0)))</f>
        <v/>
      </c>
      <c r="M706" s="7" t="str">
        <f>IF(ISNA(MATCH(693,Engine!$C$2:$C$1199,0)),"",INDEX('Compliance Database'!$M$2:$M$1199,MATCH(693,Engine!$C$2:$C$1199,0)))</f>
        <v/>
      </c>
      <c r="N706" s="7" t="str">
        <f>IF(ISNA(MATCH(693,Engine!$C$2:$C$1199,0)),"",INDEX('Compliance Database'!$N$2:$N$1199,MATCH(693,Engine!$C$2:$C$1199,0)))</f>
        <v/>
      </c>
      <c r="O706" s="7" t="str">
        <f>IF(ISNA(MATCH(693,Engine!$C$2:$C$1199,0)),"",INDEX('Compliance Database'!$O$2:$O$1199,MATCH(693,Engine!$C$2:$C$1199,0)))</f>
        <v/>
      </c>
      <c r="P706" s="6" t="str">
        <f>IF(ISNA(MATCH(693,Engine!$C$2:$C$1199,0)),"",HYPERLINK("#Acts!A"&amp;INDEX('Compliance Database'!$P$2:$P$1199,MATCH(693,Engine!$C$2:$C$1199,0)),"Go to Act"))</f>
        <v/>
      </c>
    </row>
    <row r="707" spans="1:16" ht="172.95" customHeight="1" x14ac:dyDescent="0.3">
      <c r="A707" s="6" t="str">
        <f>IF(ISNA(MATCH(694,Engine!$C$2:$C$1199,0)),"",INDEX('Compliance Database'!$A$2:$A$1199,MATCH(694,Engine!$C$2:$C$1199,0)))</f>
        <v/>
      </c>
      <c r="B707" s="6" t="str">
        <f>IF(ISNA(MATCH(694,Engine!$C$2:$C$1199,0)),"",INDEX('Compliance Database'!$B$2:$B$1199,MATCH(694,Engine!$C$2:$C$1199,0)))</f>
        <v/>
      </c>
      <c r="C707" s="6" t="str">
        <f>IF(ISNA(MATCH(694,Engine!$C$2:$C$1199,0)),"",INDEX('Compliance Database'!$C$2:$C$1199,MATCH(694,Engine!$C$2:$C$1199,0)))</f>
        <v/>
      </c>
      <c r="D707" s="7" t="str">
        <f>IF(ISNA(MATCH(694,Engine!$C$2:$C$1199,0)),"",INDEX('Compliance Database'!$D$2:$D$1199,MATCH(694,Engine!$C$2:$C$1199,0)))</f>
        <v/>
      </c>
      <c r="E707" s="6" t="str">
        <f>IF(ISNA(MATCH(694,Engine!$C$2:$C$1199,0)),"",INDEX('Compliance Database'!$E$2:$E$1199,MATCH(694,Engine!$C$2:$C$1199,0)))</f>
        <v/>
      </c>
      <c r="F707" s="6" t="str">
        <f>IF(ISNA(MATCH(694,Engine!$C$2:$C$1199,0)),"",INDEX('Compliance Database'!$F$2:$F$1199,MATCH(694,Engine!$C$2:$C$1199,0)))</f>
        <v/>
      </c>
      <c r="G707" s="6" t="str">
        <f>IF(ISNA(MATCH(694,Engine!$C$2:$C$1199,0)),"",INDEX('Compliance Database'!$G$2:$G$1199,MATCH(694,Engine!$C$2:$C$1199,0)))</f>
        <v/>
      </c>
      <c r="H707" s="7" t="str">
        <f>IF(ISNA(MATCH(694,Engine!$C$2:$C$1199,0)),"",INDEX('Compliance Database'!$H$2:$H$1199,MATCH(694,Engine!$C$2:$C$1199,0)))</f>
        <v/>
      </c>
      <c r="I707" s="7" t="str">
        <f>IF(ISNA(MATCH(694,Engine!$C$2:$C$1199,0)),"",INDEX('Compliance Database'!$I$2:$I$1199,MATCH(694,Engine!$C$2:$C$1199,0)))</f>
        <v/>
      </c>
      <c r="J707" s="6" t="str">
        <f>IF(ISNA(MATCH(694,Engine!$C$2:$C$1199,0)),"",INDEX('Compliance Database'!$J$2:$J$1199,MATCH(694,Engine!$C$2:$C$1199,0)))</f>
        <v/>
      </c>
      <c r="K707" s="7" t="str">
        <f>IF(ISNA(MATCH(694,Engine!$C$2:$C$1199,0)),"",INDEX('Compliance Database'!$K$2:$K$1199,MATCH(694,Engine!$C$2:$C$1199,0)))</f>
        <v/>
      </c>
      <c r="L707" s="7" t="str">
        <f>IF(ISNA(MATCH(694,Engine!$C$2:$C$1199,0)),"",INDEX('Compliance Database'!$L$2:$L$1199,MATCH(694,Engine!$C$2:$C$1199,0)))</f>
        <v/>
      </c>
      <c r="M707" s="7" t="str">
        <f>IF(ISNA(MATCH(694,Engine!$C$2:$C$1199,0)),"",INDEX('Compliance Database'!$M$2:$M$1199,MATCH(694,Engine!$C$2:$C$1199,0)))</f>
        <v/>
      </c>
      <c r="N707" s="7" t="str">
        <f>IF(ISNA(MATCH(694,Engine!$C$2:$C$1199,0)),"",INDEX('Compliance Database'!$N$2:$N$1199,MATCH(694,Engine!$C$2:$C$1199,0)))</f>
        <v/>
      </c>
      <c r="O707" s="7" t="str">
        <f>IF(ISNA(MATCH(694,Engine!$C$2:$C$1199,0)),"",INDEX('Compliance Database'!$O$2:$O$1199,MATCH(694,Engine!$C$2:$C$1199,0)))</f>
        <v/>
      </c>
      <c r="P707" s="6" t="str">
        <f>IF(ISNA(MATCH(694,Engine!$C$2:$C$1199,0)),"",HYPERLINK("#Acts!A"&amp;INDEX('Compliance Database'!$P$2:$P$1199,MATCH(694,Engine!$C$2:$C$1199,0)),"Go to Act"))</f>
        <v/>
      </c>
    </row>
    <row r="708" spans="1:16" ht="172.95" customHeight="1" x14ac:dyDescent="0.3">
      <c r="A708" s="6" t="str">
        <f>IF(ISNA(MATCH(695,Engine!$C$2:$C$1199,0)),"",INDEX('Compliance Database'!$A$2:$A$1199,MATCH(695,Engine!$C$2:$C$1199,0)))</f>
        <v/>
      </c>
      <c r="B708" s="6" t="str">
        <f>IF(ISNA(MATCH(695,Engine!$C$2:$C$1199,0)),"",INDEX('Compliance Database'!$B$2:$B$1199,MATCH(695,Engine!$C$2:$C$1199,0)))</f>
        <v/>
      </c>
      <c r="C708" s="6" t="str">
        <f>IF(ISNA(MATCH(695,Engine!$C$2:$C$1199,0)),"",INDEX('Compliance Database'!$C$2:$C$1199,MATCH(695,Engine!$C$2:$C$1199,0)))</f>
        <v/>
      </c>
      <c r="D708" s="7" t="str">
        <f>IF(ISNA(MATCH(695,Engine!$C$2:$C$1199,0)),"",INDEX('Compliance Database'!$D$2:$D$1199,MATCH(695,Engine!$C$2:$C$1199,0)))</f>
        <v/>
      </c>
      <c r="E708" s="6" t="str">
        <f>IF(ISNA(MATCH(695,Engine!$C$2:$C$1199,0)),"",INDEX('Compliance Database'!$E$2:$E$1199,MATCH(695,Engine!$C$2:$C$1199,0)))</f>
        <v/>
      </c>
      <c r="F708" s="6" t="str">
        <f>IF(ISNA(MATCH(695,Engine!$C$2:$C$1199,0)),"",INDEX('Compliance Database'!$F$2:$F$1199,MATCH(695,Engine!$C$2:$C$1199,0)))</f>
        <v/>
      </c>
      <c r="G708" s="6" t="str">
        <f>IF(ISNA(MATCH(695,Engine!$C$2:$C$1199,0)),"",INDEX('Compliance Database'!$G$2:$G$1199,MATCH(695,Engine!$C$2:$C$1199,0)))</f>
        <v/>
      </c>
      <c r="H708" s="7" t="str">
        <f>IF(ISNA(MATCH(695,Engine!$C$2:$C$1199,0)),"",INDEX('Compliance Database'!$H$2:$H$1199,MATCH(695,Engine!$C$2:$C$1199,0)))</f>
        <v/>
      </c>
      <c r="I708" s="7" t="str">
        <f>IF(ISNA(MATCH(695,Engine!$C$2:$C$1199,0)),"",INDEX('Compliance Database'!$I$2:$I$1199,MATCH(695,Engine!$C$2:$C$1199,0)))</f>
        <v/>
      </c>
      <c r="J708" s="6" t="str">
        <f>IF(ISNA(MATCH(695,Engine!$C$2:$C$1199,0)),"",INDEX('Compliance Database'!$J$2:$J$1199,MATCH(695,Engine!$C$2:$C$1199,0)))</f>
        <v/>
      </c>
      <c r="K708" s="7" t="str">
        <f>IF(ISNA(MATCH(695,Engine!$C$2:$C$1199,0)),"",INDEX('Compliance Database'!$K$2:$K$1199,MATCH(695,Engine!$C$2:$C$1199,0)))</f>
        <v/>
      </c>
      <c r="L708" s="7" t="str">
        <f>IF(ISNA(MATCH(695,Engine!$C$2:$C$1199,0)),"",INDEX('Compliance Database'!$L$2:$L$1199,MATCH(695,Engine!$C$2:$C$1199,0)))</f>
        <v/>
      </c>
      <c r="M708" s="7" t="str">
        <f>IF(ISNA(MATCH(695,Engine!$C$2:$C$1199,0)),"",INDEX('Compliance Database'!$M$2:$M$1199,MATCH(695,Engine!$C$2:$C$1199,0)))</f>
        <v/>
      </c>
      <c r="N708" s="7" t="str">
        <f>IF(ISNA(MATCH(695,Engine!$C$2:$C$1199,0)),"",INDEX('Compliance Database'!$N$2:$N$1199,MATCH(695,Engine!$C$2:$C$1199,0)))</f>
        <v/>
      </c>
      <c r="O708" s="7" t="str">
        <f>IF(ISNA(MATCH(695,Engine!$C$2:$C$1199,0)),"",INDEX('Compliance Database'!$O$2:$O$1199,MATCH(695,Engine!$C$2:$C$1199,0)))</f>
        <v/>
      </c>
      <c r="P708" s="6" t="str">
        <f>IF(ISNA(MATCH(695,Engine!$C$2:$C$1199,0)),"",HYPERLINK("#Acts!A"&amp;INDEX('Compliance Database'!$P$2:$P$1199,MATCH(695,Engine!$C$2:$C$1199,0)),"Go to Act"))</f>
        <v/>
      </c>
    </row>
    <row r="709" spans="1:16" ht="172.95" customHeight="1" x14ac:dyDescent="0.3">
      <c r="A709" s="6" t="str">
        <f>IF(ISNA(MATCH(696,Engine!$C$2:$C$1199,0)),"",INDEX('Compliance Database'!$A$2:$A$1199,MATCH(696,Engine!$C$2:$C$1199,0)))</f>
        <v/>
      </c>
      <c r="B709" s="6" t="str">
        <f>IF(ISNA(MATCH(696,Engine!$C$2:$C$1199,0)),"",INDEX('Compliance Database'!$B$2:$B$1199,MATCH(696,Engine!$C$2:$C$1199,0)))</f>
        <v/>
      </c>
      <c r="C709" s="6" t="str">
        <f>IF(ISNA(MATCH(696,Engine!$C$2:$C$1199,0)),"",INDEX('Compliance Database'!$C$2:$C$1199,MATCH(696,Engine!$C$2:$C$1199,0)))</f>
        <v/>
      </c>
      <c r="D709" s="7" t="str">
        <f>IF(ISNA(MATCH(696,Engine!$C$2:$C$1199,0)),"",INDEX('Compliance Database'!$D$2:$D$1199,MATCH(696,Engine!$C$2:$C$1199,0)))</f>
        <v/>
      </c>
      <c r="E709" s="6" t="str">
        <f>IF(ISNA(MATCH(696,Engine!$C$2:$C$1199,0)),"",INDEX('Compliance Database'!$E$2:$E$1199,MATCH(696,Engine!$C$2:$C$1199,0)))</f>
        <v/>
      </c>
      <c r="F709" s="6" t="str">
        <f>IF(ISNA(MATCH(696,Engine!$C$2:$C$1199,0)),"",INDEX('Compliance Database'!$F$2:$F$1199,MATCH(696,Engine!$C$2:$C$1199,0)))</f>
        <v/>
      </c>
      <c r="G709" s="6" t="str">
        <f>IF(ISNA(MATCH(696,Engine!$C$2:$C$1199,0)),"",INDEX('Compliance Database'!$G$2:$G$1199,MATCH(696,Engine!$C$2:$C$1199,0)))</f>
        <v/>
      </c>
      <c r="H709" s="7" t="str">
        <f>IF(ISNA(MATCH(696,Engine!$C$2:$C$1199,0)),"",INDEX('Compliance Database'!$H$2:$H$1199,MATCH(696,Engine!$C$2:$C$1199,0)))</f>
        <v/>
      </c>
      <c r="I709" s="7" t="str">
        <f>IF(ISNA(MATCH(696,Engine!$C$2:$C$1199,0)),"",INDEX('Compliance Database'!$I$2:$I$1199,MATCH(696,Engine!$C$2:$C$1199,0)))</f>
        <v/>
      </c>
      <c r="J709" s="6" t="str">
        <f>IF(ISNA(MATCH(696,Engine!$C$2:$C$1199,0)),"",INDEX('Compliance Database'!$J$2:$J$1199,MATCH(696,Engine!$C$2:$C$1199,0)))</f>
        <v/>
      </c>
      <c r="K709" s="7" t="str">
        <f>IF(ISNA(MATCH(696,Engine!$C$2:$C$1199,0)),"",INDEX('Compliance Database'!$K$2:$K$1199,MATCH(696,Engine!$C$2:$C$1199,0)))</f>
        <v/>
      </c>
      <c r="L709" s="7" t="str">
        <f>IF(ISNA(MATCH(696,Engine!$C$2:$C$1199,0)),"",INDEX('Compliance Database'!$L$2:$L$1199,MATCH(696,Engine!$C$2:$C$1199,0)))</f>
        <v/>
      </c>
      <c r="M709" s="7" t="str">
        <f>IF(ISNA(MATCH(696,Engine!$C$2:$C$1199,0)),"",INDEX('Compliance Database'!$M$2:$M$1199,MATCH(696,Engine!$C$2:$C$1199,0)))</f>
        <v/>
      </c>
      <c r="N709" s="7" t="str">
        <f>IF(ISNA(MATCH(696,Engine!$C$2:$C$1199,0)),"",INDEX('Compliance Database'!$N$2:$N$1199,MATCH(696,Engine!$C$2:$C$1199,0)))</f>
        <v/>
      </c>
      <c r="O709" s="7" t="str">
        <f>IF(ISNA(MATCH(696,Engine!$C$2:$C$1199,0)),"",INDEX('Compliance Database'!$O$2:$O$1199,MATCH(696,Engine!$C$2:$C$1199,0)))</f>
        <v/>
      </c>
      <c r="P709" s="6" t="str">
        <f>IF(ISNA(MATCH(696,Engine!$C$2:$C$1199,0)),"",HYPERLINK("#Acts!A"&amp;INDEX('Compliance Database'!$P$2:$P$1199,MATCH(696,Engine!$C$2:$C$1199,0)),"Go to Act"))</f>
        <v/>
      </c>
    </row>
    <row r="710" spans="1:16" ht="172.95" customHeight="1" x14ac:dyDescent="0.3">
      <c r="A710" s="6" t="str">
        <f>IF(ISNA(MATCH(697,Engine!$C$2:$C$1199,0)),"",INDEX('Compliance Database'!$A$2:$A$1199,MATCH(697,Engine!$C$2:$C$1199,0)))</f>
        <v/>
      </c>
      <c r="B710" s="6" t="str">
        <f>IF(ISNA(MATCH(697,Engine!$C$2:$C$1199,0)),"",INDEX('Compliance Database'!$B$2:$B$1199,MATCH(697,Engine!$C$2:$C$1199,0)))</f>
        <v/>
      </c>
      <c r="C710" s="6" t="str">
        <f>IF(ISNA(MATCH(697,Engine!$C$2:$C$1199,0)),"",INDEX('Compliance Database'!$C$2:$C$1199,MATCH(697,Engine!$C$2:$C$1199,0)))</f>
        <v/>
      </c>
      <c r="D710" s="7" t="str">
        <f>IF(ISNA(MATCH(697,Engine!$C$2:$C$1199,0)),"",INDEX('Compliance Database'!$D$2:$D$1199,MATCH(697,Engine!$C$2:$C$1199,0)))</f>
        <v/>
      </c>
      <c r="E710" s="6" t="str">
        <f>IF(ISNA(MATCH(697,Engine!$C$2:$C$1199,0)),"",INDEX('Compliance Database'!$E$2:$E$1199,MATCH(697,Engine!$C$2:$C$1199,0)))</f>
        <v/>
      </c>
      <c r="F710" s="6" t="str">
        <f>IF(ISNA(MATCH(697,Engine!$C$2:$C$1199,0)),"",INDEX('Compliance Database'!$F$2:$F$1199,MATCH(697,Engine!$C$2:$C$1199,0)))</f>
        <v/>
      </c>
      <c r="G710" s="6" t="str">
        <f>IF(ISNA(MATCH(697,Engine!$C$2:$C$1199,0)),"",INDEX('Compliance Database'!$G$2:$G$1199,MATCH(697,Engine!$C$2:$C$1199,0)))</f>
        <v/>
      </c>
      <c r="H710" s="7" t="str">
        <f>IF(ISNA(MATCH(697,Engine!$C$2:$C$1199,0)),"",INDEX('Compliance Database'!$H$2:$H$1199,MATCH(697,Engine!$C$2:$C$1199,0)))</f>
        <v/>
      </c>
      <c r="I710" s="7" t="str">
        <f>IF(ISNA(MATCH(697,Engine!$C$2:$C$1199,0)),"",INDEX('Compliance Database'!$I$2:$I$1199,MATCH(697,Engine!$C$2:$C$1199,0)))</f>
        <v/>
      </c>
      <c r="J710" s="6" t="str">
        <f>IF(ISNA(MATCH(697,Engine!$C$2:$C$1199,0)),"",INDEX('Compliance Database'!$J$2:$J$1199,MATCH(697,Engine!$C$2:$C$1199,0)))</f>
        <v/>
      </c>
      <c r="K710" s="7" t="str">
        <f>IF(ISNA(MATCH(697,Engine!$C$2:$C$1199,0)),"",INDEX('Compliance Database'!$K$2:$K$1199,MATCH(697,Engine!$C$2:$C$1199,0)))</f>
        <v/>
      </c>
      <c r="L710" s="7" t="str">
        <f>IF(ISNA(MATCH(697,Engine!$C$2:$C$1199,0)),"",INDEX('Compliance Database'!$L$2:$L$1199,MATCH(697,Engine!$C$2:$C$1199,0)))</f>
        <v/>
      </c>
      <c r="M710" s="7" t="str">
        <f>IF(ISNA(MATCH(697,Engine!$C$2:$C$1199,0)),"",INDEX('Compliance Database'!$M$2:$M$1199,MATCH(697,Engine!$C$2:$C$1199,0)))</f>
        <v/>
      </c>
      <c r="N710" s="7" t="str">
        <f>IF(ISNA(MATCH(697,Engine!$C$2:$C$1199,0)),"",INDEX('Compliance Database'!$N$2:$N$1199,MATCH(697,Engine!$C$2:$C$1199,0)))</f>
        <v/>
      </c>
      <c r="O710" s="7" t="str">
        <f>IF(ISNA(MATCH(697,Engine!$C$2:$C$1199,0)),"",INDEX('Compliance Database'!$O$2:$O$1199,MATCH(697,Engine!$C$2:$C$1199,0)))</f>
        <v/>
      </c>
      <c r="P710" s="6" t="str">
        <f>IF(ISNA(MATCH(697,Engine!$C$2:$C$1199,0)),"",HYPERLINK("#Acts!A"&amp;INDEX('Compliance Database'!$P$2:$P$1199,MATCH(697,Engine!$C$2:$C$1199,0)),"Go to Act"))</f>
        <v/>
      </c>
    </row>
    <row r="711" spans="1:16" ht="172.95" customHeight="1" x14ac:dyDescent="0.3">
      <c r="A711" s="6" t="str">
        <f>IF(ISNA(MATCH(698,Engine!$C$2:$C$1199,0)),"",INDEX('Compliance Database'!$A$2:$A$1199,MATCH(698,Engine!$C$2:$C$1199,0)))</f>
        <v/>
      </c>
      <c r="B711" s="6" t="str">
        <f>IF(ISNA(MATCH(698,Engine!$C$2:$C$1199,0)),"",INDEX('Compliance Database'!$B$2:$B$1199,MATCH(698,Engine!$C$2:$C$1199,0)))</f>
        <v/>
      </c>
      <c r="C711" s="6" t="str">
        <f>IF(ISNA(MATCH(698,Engine!$C$2:$C$1199,0)),"",INDEX('Compliance Database'!$C$2:$C$1199,MATCH(698,Engine!$C$2:$C$1199,0)))</f>
        <v/>
      </c>
      <c r="D711" s="7" t="str">
        <f>IF(ISNA(MATCH(698,Engine!$C$2:$C$1199,0)),"",INDEX('Compliance Database'!$D$2:$D$1199,MATCH(698,Engine!$C$2:$C$1199,0)))</f>
        <v/>
      </c>
      <c r="E711" s="6" t="str">
        <f>IF(ISNA(MATCH(698,Engine!$C$2:$C$1199,0)),"",INDEX('Compliance Database'!$E$2:$E$1199,MATCH(698,Engine!$C$2:$C$1199,0)))</f>
        <v/>
      </c>
      <c r="F711" s="6" t="str">
        <f>IF(ISNA(MATCH(698,Engine!$C$2:$C$1199,0)),"",INDEX('Compliance Database'!$F$2:$F$1199,MATCH(698,Engine!$C$2:$C$1199,0)))</f>
        <v/>
      </c>
      <c r="G711" s="6" t="str">
        <f>IF(ISNA(MATCH(698,Engine!$C$2:$C$1199,0)),"",INDEX('Compliance Database'!$G$2:$G$1199,MATCH(698,Engine!$C$2:$C$1199,0)))</f>
        <v/>
      </c>
      <c r="H711" s="7" t="str">
        <f>IF(ISNA(MATCH(698,Engine!$C$2:$C$1199,0)),"",INDEX('Compliance Database'!$H$2:$H$1199,MATCH(698,Engine!$C$2:$C$1199,0)))</f>
        <v/>
      </c>
      <c r="I711" s="7" t="str">
        <f>IF(ISNA(MATCH(698,Engine!$C$2:$C$1199,0)),"",INDEX('Compliance Database'!$I$2:$I$1199,MATCH(698,Engine!$C$2:$C$1199,0)))</f>
        <v/>
      </c>
      <c r="J711" s="6" t="str">
        <f>IF(ISNA(MATCH(698,Engine!$C$2:$C$1199,0)),"",INDEX('Compliance Database'!$J$2:$J$1199,MATCH(698,Engine!$C$2:$C$1199,0)))</f>
        <v/>
      </c>
      <c r="K711" s="7" t="str">
        <f>IF(ISNA(MATCH(698,Engine!$C$2:$C$1199,0)),"",INDEX('Compliance Database'!$K$2:$K$1199,MATCH(698,Engine!$C$2:$C$1199,0)))</f>
        <v/>
      </c>
      <c r="L711" s="7" t="str">
        <f>IF(ISNA(MATCH(698,Engine!$C$2:$C$1199,0)),"",INDEX('Compliance Database'!$L$2:$L$1199,MATCH(698,Engine!$C$2:$C$1199,0)))</f>
        <v/>
      </c>
      <c r="M711" s="7" t="str">
        <f>IF(ISNA(MATCH(698,Engine!$C$2:$C$1199,0)),"",INDEX('Compliance Database'!$M$2:$M$1199,MATCH(698,Engine!$C$2:$C$1199,0)))</f>
        <v/>
      </c>
      <c r="N711" s="7" t="str">
        <f>IF(ISNA(MATCH(698,Engine!$C$2:$C$1199,0)),"",INDEX('Compliance Database'!$N$2:$N$1199,MATCH(698,Engine!$C$2:$C$1199,0)))</f>
        <v/>
      </c>
      <c r="O711" s="7" t="str">
        <f>IF(ISNA(MATCH(698,Engine!$C$2:$C$1199,0)),"",INDEX('Compliance Database'!$O$2:$O$1199,MATCH(698,Engine!$C$2:$C$1199,0)))</f>
        <v/>
      </c>
      <c r="P711" s="6" t="str">
        <f>IF(ISNA(MATCH(698,Engine!$C$2:$C$1199,0)),"",HYPERLINK("#Acts!A"&amp;INDEX('Compliance Database'!$P$2:$P$1199,MATCH(698,Engine!$C$2:$C$1199,0)),"Go to Act"))</f>
        <v/>
      </c>
    </row>
    <row r="712" spans="1:16" ht="172.95" customHeight="1" x14ac:dyDescent="0.3">
      <c r="A712" s="6" t="str">
        <f>IF(ISNA(MATCH(699,Engine!$C$2:$C$1199,0)),"",INDEX('Compliance Database'!$A$2:$A$1199,MATCH(699,Engine!$C$2:$C$1199,0)))</f>
        <v/>
      </c>
      <c r="B712" s="6" t="str">
        <f>IF(ISNA(MATCH(699,Engine!$C$2:$C$1199,0)),"",INDEX('Compliance Database'!$B$2:$B$1199,MATCH(699,Engine!$C$2:$C$1199,0)))</f>
        <v/>
      </c>
      <c r="C712" s="6" t="str">
        <f>IF(ISNA(MATCH(699,Engine!$C$2:$C$1199,0)),"",INDEX('Compliance Database'!$C$2:$C$1199,MATCH(699,Engine!$C$2:$C$1199,0)))</f>
        <v/>
      </c>
      <c r="D712" s="7" t="str">
        <f>IF(ISNA(MATCH(699,Engine!$C$2:$C$1199,0)),"",INDEX('Compliance Database'!$D$2:$D$1199,MATCH(699,Engine!$C$2:$C$1199,0)))</f>
        <v/>
      </c>
      <c r="E712" s="6" t="str">
        <f>IF(ISNA(MATCH(699,Engine!$C$2:$C$1199,0)),"",INDEX('Compliance Database'!$E$2:$E$1199,MATCH(699,Engine!$C$2:$C$1199,0)))</f>
        <v/>
      </c>
      <c r="F712" s="6" t="str">
        <f>IF(ISNA(MATCH(699,Engine!$C$2:$C$1199,0)),"",INDEX('Compliance Database'!$F$2:$F$1199,MATCH(699,Engine!$C$2:$C$1199,0)))</f>
        <v/>
      </c>
      <c r="G712" s="6" t="str">
        <f>IF(ISNA(MATCH(699,Engine!$C$2:$C$1199,0)),"",INDEX('Compliance Database'!$G$2:$G$1199,MATCH(699,Engine!$C$2:$C$1199,0)))</f>
        <v/>
      </c>
      <c r="H712" s="7" t="str">
        <f>IF(ISNA(MATCH(699,Engine!$C$2:$C$1199,0)),"",INDEX('Compliance Database'!$H$2:$H$1199,MATCH(699,Engine!$C$2:$C$1199,0)))</f>
        <v/>
      </c>
      <c r="I712" s="7" t="str">
        <f>IF(ISNA(MATCH(699,Engine!$C$2:$C$1199,0)),"",INDEX('Compliance Database'!$I$2:$I$1199,MATCH(699,Engine!$C$2:$C$1199,0)))</f>
        <v/>
      </c>
      <c r="J712" s="6" t="str">
        <f>IF(ISNA(MATCH(699,Engine!$C$2:$C$1199,0)),"",INDEX('Compliance Database'!$J$2:$J$1199,MATCH(699,Engine!$C$2:$C$1199,0)))</f>
        <v/>
      </c>
      <c r="K712" s="7" t="str">
        <f>IF(ISNA(MATCH(699,Engine!$C$2:$C$1199,0)),"",INDEX('Compliance Database'!$K$2:$K$1199,MATCH(699,Engine!$C$2:$C$1199,0)))</f>
        <v/>
      </c>
      <c r="L712" s="7" t="str">
        <f>IF(ISNA(MATCH(699,Engine!$C$2:$C$1199,0)),"",INDEX('Compliance Database'!$L$2:$L$1199,MATCH(699,Engine!$C$2:$C$1199,0)))</f>
        <v/>
      </c>
      <c r="M712" s="7" t="str">
        <f>IF(ISNA(MATCH(699,Engine!$C$2:$C$1199,0)),"",INDEX('Compliance Database'!$M$2:$M$1199,MATCH(699,Engine!$C$2:$C$1199,0)))</f>
        <v/>
      </c>
      <c r="N712" s="7" t="str">
        <f>IF(ISNA(MATCH(699,Engine!$C$2:$C$1199,0)),"",INDEX('Compliance Database'!$N$2:$N$1199,MATCH(699,Engine!$C$2:$C$1199,0)))</f>
        <v/>
      </c>
      <c r="O712" s="7" t="str">
        <f>IF(ISNA(MATCH(699,Engine!$C$2:$C$1199,0)),"",INDEX('Compliance Database'!$O$2:$O$1199,MATCH(699,Engine!$C$2:$C$1199,0)))</f>
        <v/>
      </c>
      <c r="P712" s="6" t="str">
        <f>IF(ISNA(MATCH(699,Engine!$C$2:$C$1199,0)),"",HYPERLINK("#Acts!A"&amp;INDEX('Compliance Database'!$P$2:$P$1199,MATCH(699,Engine!$C$2:$C$1199,0)),"Go to Act"))</f>
        <v/>
      </c>
    </row>
    <row r="713" spans="1:16" ht="172.95" customHeight="1" x14ac:dyDescent="0.3">
      <c r="A713" s="6" t="str">
        <f>IF(ISNA(MATCH(700,Engine!$C$2:$C$1199,0)),"",INDEX('Compliance Database'!$A$2:$A$1199,MATCH(700,Engine!$C$2:$C$1199,0)))</f>
        <v/>
      </c>
      <c r="B713" s="6" t="str">
        <f>IF(ISNA(MATCH(700,Engine!$C$2:$C$1199,0)),"",INDEX('Compliance Database'!$B$2:$B$1199,MATCH(700,Engine!$C$2:$C$1199,0)))</f>
        <v/>
      </c>
      <c r="C713" s="6" t="str">
        <f>IF(ISNA(MATCH(700,Engine!$C$2:$C$1199,0)),"",INDEX('Compliance Database'!$C$2:$C$1199,MATCH(700,Engine!$C$2:$C$1199,0)))</f>
        <v/>
      </c>
      <c r="D713" s="7" t="str">
        <f>IF(ISNA(MATCH(700,Engine!$C$2:$C$1199,0)),"",INDEX('Compliance Database'!$D$2:$D$1199,MATCH(700,Engine!$C$2:$C$1199,0)))</f>
        <v/>
      </c>
      <c r="E713" s="6" t="str">
        <f>IF(ISNA(MATCH(700,Engine!$C$2:$C$1199,0)),"",INDEX('Compliance Database'!$E$2:$E$1199,MATCH(700,Engine!$C$2:$C$1199,0)))</f>
        <v/>
      </c>
      <c r="F713" s="6" t="str">
        <f>IF(ISNA(MATCH(700,Engine!$C$2:$C$1199,0)),"",INDEX('Compliance Database'!$F$2:$F$1199,MATCH(700,Engine!$C$2:$C$1199,0)))</f>
        <v/>
      </c>
      <c r="G713" s="6" t="str">
        <f>IF(ISNA(MATCH(700,Engine!$C$2:$C$1199,0)),"",INDEX('Compliance Database'!$G$2:$G$1199,MATCH(700,Engine!$C$2:$C$1199,0)))</f>
        <v/>
      </c>
      <c r="H713" s="7" t="str">
        <f>IF(ISNA(MATCH(700,Engine!$C$2:$C$1199,0)),"",INDEX('Compliance Database'!$H$2:$H$1199,MATCH(700,Engine!$C$2:$C$1199,0)))</f>
        <v/>
      </c>
      <c r="I713" s="7" t="str">
        <f>IF(ISNA(MATCH(700,Engine!$C$2:$C$1199,0)),"",INDEX('Compliance Database'!$I$2:$I$1199,MATCH(700,Engine!$C$2:$C$1199,0)))</f>
        <v/>
      </c>
      <c r="J713" s="6" t="str">
        <f>IF(ISNA(MATCH(700,Engine!$C$2:$C$1199,0)),"",INDEX('Compliance Database'!$J$2:$J$1199,MATCH(700,Engine!$C$2:$C$1199,0)))</f>
        <v/>
      </c>
      <c r="K713" s="7" t="str">
        <f>IF(ISNA(MATCH(700,Engine!$C$2:$C$1199,0)),"",INDEX('Compliance Database'!$K$2:$K$1199,MATCH(700,Engine!$C$2:$C$1199,0)))</f>
        <v/>
      </c>
      <c r="L713" s="7" t="str">
        <f>IF(ISNA(MATCH(700,Engine!$C$2:$C$1199,0)),"",INDEX('Compliance Database'!$L$2:$L$1199,MATCH(700,Engine!$C$2:$C$1199,0)))</f>
        <v/>
      </c>
      <c r="M713" s="7" t="str">
        <f>IF(ISNA(MATCH(700,Engine!$C$2:$C$1199,0)),"",INDEX('Compliance Database'!$M$2:$M$1199,MATCH(700,Engine!$C$2:$C$1199,0)))</f>
        <v/>
      </c>
      <c r="N713" s="7" t="str">
        <f>IF(ISNA(MATCH(700,Engine!$C$2:$C$1199,0)),"",INDEX('Compliance Database'!$N$2:$N$1199,MATCH(700,Engine!$C$2:$C$1199,0)))</f>
        <v/>
      </c>
      <c r="O713" s="7" t="str">
        <f>IF(ISNA(MATCH(700,Engine!$C$2:$C$1199,0)),"",INDEX('Compliance Database'!$O$2:$O$1199,MATCH(700,Engine!$C$2:$C$1199,0)))</f>
        <v/>
      </c>
      <c r="P713" s="6" t="str">
        <f>IF(ISNA(MATCH(700,Engine!$C$2:$C$1199,0)),"",HYPERLINK("#Acts!A"&amp;INDEX('Compliance Database'!$P$2:$P$1199,MATCH(700,Engine!$C$2:$C$1199,0)),"Go to Act"))</f>
        <v/>
      </c>
    </row>
    <row r="714" spans="1:16" ht="172.95" customHeight="1" x14ac:dyDescent="0.3">
      <c r="A714" s="6" t="str">
        <f>IF(ISNA(MATCH(701,Engine!$C$2:$C$1199,0)),"",INDEX('Compliance Database'!$A$2:$A$1199,MATCH(701,Engine!$C$2:$C$1199,0)))</f>
        <v/>
      </c>
      <c r="B714" s="6" t="str">
        <f>IF(ISNA(MATCH(701,Engine!$C$2:$C$1199,0)),"",INDEX('Compliance Database'!$B$2:$B$1199,MATCH(701,Engine!$C$2:$C$1199,0)))</f>
        <v/>
      </c>
      <c r="C714" s="6" t="str">
        <f>IF(ISNA(MATCH(701,Engine!$C$2:$C$1199,0)),"",INDEX('Compliance Database'!$C$2:$C$1199,MATCH(701,Engine!$C$2:$C$1199,0)))</f>
        <v/>
      </c>
      <c r="D714" s="7" t="str">
        <f>IF(ISNA(MATCH(701,Engine!$C$2:$C$1199,0)),"",INDEX('Compliance Database'!$D$2:$D$1199,MATCH(701,Engine!$C$2:$C$1199,0)))</f>
        <v/>
      </c>
      <c r="E714" s="6" t="str">
        <f>IF(ISNA(MATCH(701,Engine!$C$2:$C$1199,0)),"",INDEX('Compliance Database'!$E$2:$E$1199,MATCH(701,Engine!$C$2:$C$1199,0)))</f>
        <v/>
      </c>
      <c r="F714" s="6" t="str">
        <f>IF(ISNA(MATCH(701,Engine!$C$2:$C$1199,0)),"",INDEX('Compliance Database'!$F$2:$F$1199,MATCH(701,Engine!$C$2:$C$1199,0)))</f>
        <v/>
      </c>
      <c r="G714" s="6" t="str">
        <f>IF(ISNA(MATCH(701,Engine!$C$2:$C$1199,0)),"",INDEX('Compliance Database'!$G$2:$G$1199,MATCH(701,Engine!$C$2:$C$1199,0)))</f>
        <v/>
      </c>
      <c r="H714" s="7" t="str">
        <f>IF(ISNA(MATCH(701,Engine!$C$2:$C$1199,0)),"",INDEX('Compliance Database'!$H$2:$H$1199,MATCH(701,Engine!$C$2:$C$1199,0)))</f>
        <v/>
      </c>
      <c r="I714" s="7" t="str">
        <f>IF(ISNA(MATCH(701,Engine!$C$2:$C$1199,0)),"",INDEX('Compliance Database'!$I$2:$I$1199,MATCH(701,Engine!$C$2:$C$1199,0)))</f>
        <v/>
      </c>
      <c r="J714" s="6" t="str">
        <f>IF(ISNA(MATCH(701,Engine!$C$2:$C$1199,0)),"",INDEX('Compliance Database'!$J$2:$J$1199,MATCH(701,Engine!$C$2:$C$1199,0)))</f>
        <v/>
      </c>
      <c r="K714" s="7" t="str">
        <f>IF(ISNA(MATCH(701,Engine!$C$2:$C$1199,0)),"",INDEX('Compliance Database'!$K$2:$K$1199,MATCH(701,Engine!$C$2:$C$1199,0)))</f>
        <v/>
      </c>
      <c r="L714" s="7" t="str">
        <f>IF(ISNA(MATCH(701,Engine!$C$2:$C$1199,0)),"",INDEX('Compliance Database'!$L$2:$L$1199,MATCH(701,Engine!$C$2:$C$1199,0)))</f>
        <v/>
      </c>
      <c r="M714" s="7" t="str">
        <f>IF(ISNA(MATCH(701,Engine!$C$2:$C$1199,0)),"",INDEX('Compliance Database'!$M$2:$M$1199,MATCH(701,Engine!$C$2:$C$1199,0)))</f>
        <v/>
      </c>
      <c r="N714" s="7" t="str">
        <f>IF(ISNA(MATCH(701,Engine!$C$2:$C$1199,0)),"",INDEX('Compliance Database'!$N$2:$N$1199,MATCH(701,Engine!$C$2:$C$1199,0)))</f>
        <v/>
      </c>
      <c r="O714" s="7" t="str">
        <f>IF(ISNA(MATCH(701,Engine!$C$2:$C$1199,0)),"",INDEX('Compliance Database'!$O$2:$O$1199,MATCH(701,Engine!$C$2:$C$1199,0)))</f>
        <v/>
      </c>
      <c r="P714" s="6" t="str">
        <f>IF(ISNA(MATCH(701,Engine!$C$2:$C$1199,0)),"",HYPERLINK("#Acts!A"&amp;INDEX('Compliance Database'!$P$2:$P$1199,MATCH(701,Engine!$C$2:$C$1199,0)),"Go to Act"))</f>
        <v/>
      </c>
    </row>
    <row r="715" spans="1:16" ht="172.95" customHeight="1" x14ac:dyDescent="0.3">
      <c r="A715" s="6" t="str">
        <f>IF(ISNA(MATCH(702,Engine!$C$2:$C$1199,0)),"",INDEX('Compliance Database'!$A$2:$A$1199,MATCH(702,Engine!$C$2:$C$1199,0)))</f>
        <v/>
      </c>
      <c r="B715" s="6" t="str">
        <f>IF(ISNA(MATCH(702,Engine!$C$2:$C$1199,0)),"",INDEX('Compliance Database'!$B$2:$B$1199,MATCH(702,Engine!$C$2:$C$1199,0)))</f>
        <v/>
      </c>
      <c r="C715" s="6" t="str">
        <f>IF(ISNA(MATCH(702,Engine!$C$2:$C$1199,0)),"",INDEX('Compliance Database'!$C$2:$C$1199,MATCH(702,Engine!$C$2:$C$1199,0)))</f>
        <v/>
      </c>
      <c r="D715" s="7" t="str">
        <f>IF(ISNA(MATCH(702,Engine!$C$2:$C$1199,0)),"",INDEX('Compliance Database'!$D$2:$D$1199,MATCH(702,Engine!$C$2:$C$1199,0)))</f>
        <v/>
      </c>
      <c r="E715" s="6" t="str">
        <f>IF(ISNA(MATCH(702,Engine!$C$2:$C$1199,0)),"",INDEX('Compliance Database'!$E$2:$E$1199,MATCH(702,Engine!$C$2:$C$1199,0)))</f>
        <v/>
      </c>
      <c r="F715" s="6" t="str">
        <f>IF(ISNA(MATCH(702,Engine!$C$2:$C$1199,0)),"",INDEX('Compliance Database'!$F$2:$F$1199,MATCH(702,Engine!$C$2:$C$1199,0)))</f>
        <v/>
      </c>
      <c r="G715" s="6" t="str">
        <f>IF(ISNA(MATCH(702,Engine!$C$2:$C$1199,0)),"",INDEX('Compliance Database'!$G$2:$G$1199,MATCH(702,Engine!$C$2:$C$1199,0)))</f>
        <v/>
      </c>
      <c r="H715" s="7" t="str">
        <f>IF(ISNA(MATCH(702,Engine!$C$2:$C$1199,0)),"",INDEX('Compliance Database'!$H$2:$H$1199,MATCH(702,Engine!$C$2:$C$1199,0)))</f>
        <v/>
      </c>
      <c r="I715" s="7" t="str">
        <f>IF(ISNA(MATCH(702,Engine!$C$2:$C$1199,0)),"",INDEX('Compliance Database'!$I$2:$I$1199,MATCH(702,Engine!$C$2:$C$1199,0)))</f>
        <v/>
      </c>
      <c r="J715" s="6" t="str">
        <f>IF(ISNA(MATCH(702,Engine!$C$2:$C$1199,0)),"",INDEX('Compliance Database'!$J$2:$J$1199,MATCH(702,Engine!$C$2:$C$1199,0)))</f>
        <v/>
      </c>
      <c r="K715" s="7" t="str">
        <f>IF(ISNA(MATCH(702,Engine!$C$2:$C$1199,0)),"",INDEX('Compliance Database'!$K$2:$K$1199,MATCH(702,Engine!$C$2:$C$1199,0)))</f>
        <v/>
      </c>
      <c r="L715" s="7" t="str">
        <f>IF(ISNA(MATCH(702,Engine!$C$2:$C$1199,0)),"",INDEX('Compliance Database'!$L$2:$L$1199,MATCH(702,Engine!$C$2:$C$1199,0)))</f>
        <v/>
      </c>
      <c r="M715" s="7" t="str">
        <f>IF(ISNA(MATCH(702,Engine!$C$2:$C$1199,0)),"",INDEX('Compliance Database'!$M$2:$M$1199,MATCH(702,Engine!$C$2:$C$1199,0)))</f>
        <v/>
      </c>
      <c r="N715" s="7" t="str">
        <f>IF(ISNA(MATCH(702,Engine!$C$2:$C$1199,0)),"",INDEX('Compliance Database'!$N$2:$N$1199,MATCH(702,Engine!$C$2:$C$1199,0)))</f>
        <v/>
      </c>
      <c r="O715" s="7" t="str">
        <f>IF(ISNA(MATCH(702,Engine!$C$2:$C$1199,0)),"",INDEX('Compliance Database'!$O$2:$O$1199,MATCH(702,Engine!$C$2:$C$1199,0)))</f>
        <v/>
      </c>
      <c r="P715" s="6" t="str">
        <f>IF(ISNA(MATCH(702,Engine!$C$2:$C$1199,0)),"",HYPERLINK("#Acts!A"&amp;INDEX('Compliance Database'!$P$2:$P$1199,MATCH(702,Engine!$C$2:$C$1199,0)),"Go to Act"))</f>
        <v/>
      </c>
    </row>
    <row r="716" spans="1:16" ht="172.95" customHeight="1" x14ac:dyDescent="0.3">
      <c r="A716" s="6" t="str">
        <f>IF(ISNA(MATCH(703,Engine!$C$2:$C$1199,0)),"",INDEX('Compliance Database'!$A$2:$A$1199,MATCH(703,Engine!$C$2:$C$1199,0)))</f>
        <v/>
      </c>
      <c r="B716" s="6" t="str">
        <f>IF(ISNA(MATCH(703,Engine!$C$2:$C$1199,0)),"",INDEX('Compliance Database'!$B$2:$B$1199,MATCH(703,Engine!$C$2:$C$1199,0)))</f>
        <v/>
      </c>
      <c r="C716" s="6" t="str">
        <f>IF(ISNA(MATCH(703,Engine!$C$2:$C$1199,0)),"",INDEX('Compliance Database'!$C$2:$C$1199,MATCH(703,Engine!$C$2:$C$1199,0)))</f>
        <v/>
      </c>
      <c r="D716" s="7" t="str">
        <f>IF(ISNA(MATCH(703,Engine!$C$2:$C$1199,0)),"",INDEX('Compliance Database'!$D$2:$D$1199,MATCH(703,Engine!$C$2:$C$1199,0)))</f>
        <v/>
      </c>
      <c r="E716" s="6" t="str">
        <f>IF(ISNA(MATCH(703,Engine!$C$2:$C$1199,0)),"",INDEX('Compliance Database'!$E$2:$E$1199,MATCH(703,Engine!$C$2:$C$1199,0)))</f>
        <v/>
      </c>
      <c r="F716" s="6" t="str">
        <f>IF(ISNA(MATCH(703,Engine!$C$2:$C$1199,0)),"",INDEX('Compliance Database'!$F$2:$F$1199,MATCH(703,Engine!$C$2:$C$1199,0)))</f>
        <v/>
      </c>
      <c r="G716" s="6" t="str">
        <f>IF(ISNA(MATCH(703,Engine!$C$2:$C$1199,0)),"",INDEX('Compliance Database'!$G$2:$G$1199,MATCH(703,Engine!$C$2:$C$1199,0)))</f>
        <v/>
      </c>
      <c r="H716" s="7" t="str">
        <f>IF(ISNA(MATCH(703,Engine!$C$2:$C$1199,0)),"",INDEX('Compliance Database'!$H$2:$H$1199,MATCH(703,Engine!$C$2:$C$1199,0)))</f>
        <v/>
      </c>
      <c r="I716" s="7" t="str">
        <f>IF(ISNA(MATCH(703,Engine!$C$2:$C$1199,0)),"",INDEX('Compliance Database'!$I$2:$I$1199,MATCH(703,Engine!$C$2:$C$1199,0)))</f>
        <v/>
      </c>
      <c r="J716" s="6" t="str">
        <f>IF(ISNA(MATCH(703,Engine!$C$2:$C$1199,0)),"",INDEX('Compliance Database'!$J$2:$J$1199,MATCH(703,Engine!$C$2:$C$1199,0)))</f>
        <v/>
      </c>
      <c r="K716" s="7" t="str">
        <f>IF(ISNA(MATCH(703,Engine!$C$2:$C$1199,0)),"",INDEX('Compliance Database'!$K$2:$K$1199,MATCH(703,Engine!$C$2:$C$1199,0)))</f>
        <v/>
      </c>
      <c r="L716" s="7" t="str">
        <f>IF(ISNA(MATCH(703,Engine!$C$2:$C$1199,0)),"",INDEX('Compliance Database'!$L$2:$L$1199,MATCH(703,Engine!$C$2:$C$1199,0)))</f>
        <v/>
      </c>
      <c r="M716" s="7" t="str">
        <f>IF(ISNA(MATCH(703,Engine!$C$2:$C$1199,0)),"",INDEX('Compliance Database'!$M$2:$M$1199,MATCH(703,Engine!$C$2:$C$1199,0)))</f>
        <v/>
      </c>
      <c r="N716" s="7" t="str">
        <f>IF(ISNA(MATCH(703,Engine!$C$2:$C$1199,0)),"",INDEX('Compliance Database'!$N$2:$N$1199,MATCH(703,Engine!$C$2:$C$1199,0)))</f>
        <v/>
      </c>
      <c r="O716" s="7" t="str">
        <f>IF(ISNA(MATCH(703,Engine!$C$2:$C$1199,0)),"",INDEX('Compliance Database'!$O$2:$O$1199,MATCH(703,Engine!$C$2:$C$1199,0)))</f>
        <v/>
      </c>
      <c r="P716" s="6" t="str">
        <f>IF(ISNA(MATCH(703,Engine!$C$2:$C$1199,0)),"",HYPERLINK("#Acts!A"&amp;INDEX('Compliance Database'!$P$2:$P$1199,MATCH(703,Engine!$C$2:$C$1199,0)),"Go to Act"))</f>
        <v/>
      </c>
    </row>
    <row r="717" spans="1:16" ht="172.95" customHeight="1" x14ac:dyDescent="0.3">
      <c r="A717" s="6" t="str">
        <f>IF(ISNA(MATCH(704,Engine!$C$2:$C$1199,0)),"",INDEX('Compliance Database'!$A$2:$A$1199,MATCH(704,Engine!$C$2:$C$1199,0)))</f>
        <v/>
      </c>
      <c r="B717" s="6" t="str">
        <f>IF(ISNA(MATCH(704,Engine!$C$2:$C$1199,0)),"",INDEX('Compliance Database'!$B$2:$B$1199,MATCH(704,Engine!$C$2:$C$1199,0)))</f>
        <v/>
      </c>
      <c r="C717" s="6" t="str">
        <f>IF(ISNA(MATCH(704,Engine!$C$2:$C$1199,0)),"",INDEX('Compliance Database'!$C$2:$C$1199,MATCH(704,Engine!$C$2:$C$1199,0)))</f>
        <v/>
      </c>
      <c r="D717" s="7" t="str">
        <f>IF(ISNA(MATCH(704,Engine!$C$2:$C$1199,0)),"",INDEX('Compliance Database'!$D$2:$D$1199,MATCH(704,Engine!$C$2:$C$1199,0)))</f>
        <v/>
      </c>
      <c r="E717" s="6" t="str">
        <f>IF(ISNA(MATCH(704,Engine!$C$2:$C$1199,0)),"",INDEX('Compliance Database'!$E$2:$E$1199,MATCH(704,Engine!$C$2:$C$1199,0)))</f>
        <v/>
      </c>
      <c r="F717" s="6" t="str">
        <f>IF(ISNA(MATCH(704,Engine!$C$2:$C$1199,0)),"",INDEX('Compliance Database'!$F$2:$F$1199,MATCH(704,Engine!$C$2:$C$1199,0)))</f>
        <v/>
      </c>
      <c r="G717" s="6" t="str">
        <f>IF(ISNA(MATCH(704,Engine!$C$2:$C$1199,0)),"",INDEX('Compliance Database'!$G$2:$G$1199,MATCH(704,Engine!$C$2:$C$1199,0)))</f>
        <v/>
      </c>
      <c r="H717" s="7" t="str">
        <f>IF(ISNA(MATCH(704,Engine!$C$2:$C$1199,0)),"",INDEX('Compliance Database'!$H$2:$H$1199,MATCH(704,Engine!$C$2:$C$1199,0)))</f>
        <v/>
      </c>
      <c r="I717" s="7" t="str">
        <f>IF(ISNA(MATCH(704,Engine!$C$2:$C$1199,0)),"",INDEX('Compliance Database'!$I$2:$I$1199,MATCH(704,Engine!$C$2:$C$1199,0)))</f>
        <v/>
      </c>
      <c r="J717" s="6" t="str">
        <f>IF(ISNA(MATCH(704,Engine!$C$2:$C$1199,0)),"",INDEX('Compliance Database'!$J$2:$J$1199,MATCH(704,Engine!$C$2:$C$1199,0)))</f>
        <v/>
      </c>
      <c r="K717" s="7" t="str">
        <f>IF(ISNA(MATCH(704,Engine!$C$2:$C$1199,0)),"",INDEX('Compliance Database'!$K$2:$K$1199,MATCH(704,Engine!$C$2:$C$1199,0)))</f>
        <v/>
      </c>
      <c r="L717" s="7" t="str">
        <f>IF(ISNA(MATCH(704,Engine!$C$2:$C$1199,0)),"",INDEX('Compliance Database'!$L$2:$L$1199,MATCH(704,Engine!$C$2:$C$1199,0)))</f>
        <v/>
      </c>
      <c r="M717" s="7" t="str">
        <f>IF(ISNA(MATCH(704,Engine!$C$2:$C$1199,0)),"",INDEX('Compliance Database'!$M$2:$M$1199,MATCH(704,Engine!$C$2:$C$1199,0)))</f>
        <v/>
      </c>
      <c r="N717" s="7" t="str">
        <f>IF(ISNA(MATCH(704,Engine!$C$2:$C$1199,0)),"",INDEX('Compliance Database'!$N$2:$N$1199,MATCH(704,Engine!$C$2:$C$1199,0)))</f>
        <v/>
      </c>
      <c r="O717" s="7" t="str">
        <f>IF(ISNA(MATCH(704,Engine!$C$2:$C$1199,0)),"",INDEX('Compliance Database'!$O$2:$O$1199,MATCH(704,Engine!$C$2:$C$1199,0)))</f>
        <v/>
      </c>
      <c r="P717" s="6" t="str">
        <f>IF(ISNA(MATCH(704,Engine!$C$2:$C$1199,0)),"",HYPERLINK("#Acts!A"&amp;INDEX('Compliance Database'!$P$2:$P$1199,MATCH(704,Engine!$C$2:$C$1199,0)),"Go to Act"))</f>
        <v/>
      </c>
    </row>
    <row r="718" spans="1:16" ht="172.95" customHeight="1" x14ac:dyDescent="0.3">
      <c r="A718" s="6" t="str">
        <f>IF(ISNA(MATCH(705,Engine!$C$2:$C$1199,0)),"",INDEX('Compliance Database'!$A$2:$A$1199,MATCH(705,Engine!$C$2:$C$1199,0)))</f>
        <v/>
      </c>
      <c r="B718" s="6" t="str">
        <f>IF(ISNA(MATCH(705,Engine!$C$2:$C$1199,0)),"",INDEX('Compliance Database'!$B$2:$B$1199,MATCH(705,Engine!$C$2:$C$1199,0)))</f>
        <v/>
      </c>
      <c r="C718" s="6" t="str">
        <f>IF(ISNA(MATCH(705,Engine!$C$2:$C$1199,0)),"",INDEX('Compliance Database'!$C$2:$C$1199,MATCH(705,Engine!$C$2:$C$1199,0)))</f>
        <v/>
      </c>
      <c r="D718" s="7" t="str">
        <f>IF(ISNA(MATCH(705,Engine!$C$2:$C$1199,0)),"",INDEX('Compliance Database'!$D$2:$D$1199,MATCH(705,Engine!$C$2:$C$1199,0)))</f>
        <v/>
      </c>
      <c r="E718" s="6" t="str">
        <f>IF(ISNA(MATCH(705,Engine!$C$2:$C$1199,0)),"",INDEX('Compliance Database'!$E$2:$E$1199,MATCH(705,Engine!$C$2:$C$1199,0)))</f>
        <v/>
      </c>
      <c r="F718" s="6" t="str">
        <f>IF(ISNA(MATCH(705,Engine!$C$2:$C$1199,0)),"",INDEX('Compliance Database'!$F$2:$F$1199,MATCH(705,Engine!$C$2:$C$1199,0)))</f>
        <v/>
      </c>
      <c r="G718" s="6" t="str">
        <f>IF(ISNA(MATCH(705,Engine!$C$2:$C$1199,0)),"",INDEX('Compliance Database'!$G$2:$G$1199,MATCH(705,Engine!$C$2:$C$1199,0)))</f>
        <v/>
      </c>
      <c r="H718" s="7" t="str">
        <f>IF(ISNA(MATCH(705,Engine!$C$2:$C$1199,0)),"",INDEX('Compliance Database'!$H$2:$H$1199,MATCH(705,Engine!$C$2:$C$1199,0)))</f>
        <v/>
      </c>
      <c r="I718" s="7" t="str">
        <f>IF(ISNA(MATCH(705,Engine!$C$2:$C$1199,0)),"",INDEX('Compliance Database'!$I$2:$I$1199,MATCH(705,Engine!$C$2:$C$1199,0)))</f>
        <v/>
      </c>
      <c r="J718" s="6" t="str">
        <f>IF(ISNA(MATCH(705,Engine!$C$2:$C$1199,0)),"",INDEX('Compliance Database'!$J$2:$J$1199,MATCH(705,Engine!$C$2:$C$1199,0)))</f>
        <v/>
      </c>
      <c r="K718" s="7" t="str">
        <f>IF(ISNA(MATCH(705,Engine!$C$2:$C$1199,0)),"",INDEX('Compliance Database'!$K$2:$K$1199,MATCH(705,Engine!$C$2:$C$1199,0)))</f>
        <v/>
      </c>
      <c r="L718" s="7" t="str">
        <f>IF(ISNA(MATCH(705,Engine!$C$2:$C$1199,0)),"",INDEX('Compliance Database'!$L$2:$L$1199,MATCH(705,Engine!$C$2:$C$1199,0)))</f>
        <v/>
      </c>
      <c r="M718" s="7" t="str">
        <f>IF(ISNA(MATCH(705,Engine!$C$2:$C$1199,0)),"",INDEX('Compliance Database'!$M$2:$M$1199,MATCH(705,Engine!$C$2:$C$1199,0)))</f>
        <v/>
      </c>
      <c r="N718" s="7" t="str">
        <f>IF(ISNA(MATCH(705,Engine!$C$2:$C$1199,0)),"",INDEX('Compliance Database'!$N$2:$N$1199,MATCH(705,Engine!$C$2:$C$1199,0)))</f>
        <v/>
      </c>
      <c r="O718" s="7" t="str">
        <f>IF(ISNA(MATCH(705,Engine!$C$2:$C$1199,0)),"",INDEX('Compliance Database'!$O$2:$O$1199,MATCH(705,Engine!$C$2:$C$1199,0)))</f>
        <v/>
      </c>
      <c r="P718" s="6" t="str">
        <f>IF(ISNA(MATCH(705,Engine!$C$2:$C$1199,0)),"",HYPERLINK("#Acts!A"&amp;INDEX('Compliance Database'!$P$2:$P$1199,MATCH(705,Engine!$C$2:$C$1199,0)),"Go to Act"))</f>
        <v/>
      </c>
    </row>
    <row r="719" spans="1:16" ht="172.95" customHeight="1" x14ac:dyDescent="0.3">
      <c r="A719" s="6" t="str">
        <f>IF(ISNA(MATCH(706,Engine!$C$2:$C$1199,0)),"",INDEX('Compliance Database'!$A$2:$A$1199,MATCH(706,Engine!$C$2:$C$1199,0)))</f>
        <v/>
      </c>
      <c r="B719" s="6" t="str">
        <f>IF(ISNA(MATCH(706,Engine!$C$2:$C$1199,0)),"",INDEX('Compliance Database'!$B$2:$B$1199,MATCH(706,Engine!$C$2:$C$1199,0)))</f>
        <v/>
      </c>
      <c r="C719" s="6" t="str">
        <f>IF(ISNA(MATCH(706,Engine!$C$2:$C$1199,0)),"",INDEX('Compliance Database'!$C$2:$C$1199,MATCH(706,Engine!$C$2:$C$1199,0)))</f>
        <v/>
      </c>
      <c r="D719" s="7" t="str">
        <f>IF(ISNA(MATCH(706,Engine!$C$2:$C$1199,0)),"",INDEX('Compliance Database'!$D$2:$D$1199,MATCH(706,Engine!$C$2:$C$1199,0)))</f>
        <v/>
      </c>
      <c r="E719" s="6" t="str">
        <f>IF(ISNA(MATCH(706,Engine!$C$2:$C$1199,0)),"",INDEX('Compliance Database'!$E$2:$E$1199,MATCH(706,Engine!$C$2:$C$1199,0)))</f>
        <v/>
      </c>
      <c r="F719" s="6" t="str">
        <f>IF(ISNA(MATCH(706,Engine!$C$2:$C$1199,0)),"",INDEX('Compliance Database'!$F$2:$F$1199,MATCH(706,Engine!$C$2:$C$1199,0)))</f>
        <v/>
      </c>
      <c r="G719" s="6" t="str">
        <f>IF(ISNA(MATCH(706,Engine!$C$2:$C$1199,0)),"",INDEX('Compliance Database'!$G$2:$G$1199,MATCH(706,Engine!$C$2:$C$1199,0)))</f>
        <v/>
      </c>
      <c r="H719" s="7" t="str">
        <f>IF(ISNA(MATCH(706,Engine!$C$2:$C$1199,0)),"",INDEX('Compliance Database'!$H$2:$H$1199,MATCH(706,Engine!$C$2:$C$1199,0)))</f>
        <v/>
      </c>
      <c r="I719" s="7" t="str">
        <f>IF(ISNA(MATCH(706,Engine!$C$2:$C$1199,0)),"",INDEX('Compliance Database'!$I$2:$I$1199,MATCH(706,Engine!$C$2:$C$1199,0)))</f>
        <v/>
      </c>
      <c r="J719" s="6" t="str">
        <f>IF(ISNA(MATCH(706,Engine!$C$2:$C$1199,0)),"",INDEX('Compliance Database'!$J$2:$J$1199,MATCH(706,Engine!$C$2:$C$1199,0)))</f>
        <v/>
      </c>
      <c r="K719" s="7" t="str">
        <f>IF(ISNA(MATCH(706,Engine!$C$2:$C$1199,0)),"",INDEX('Compliance Database'!$K$2:$K$1199,MATCH(706,Engine!$C$2:$C$1199,0)))</f>
        <v/>
      </c>
      <c r="L719" s="7" t="str">
        <f>IF(ISNA(MATCH(706,Engine!$C$2:$C$1199,0)),"",INDEX('Compliance Database'!$L$2:$L$1199,MATCH(706,Engine!$C$2:$C$1199,0)))</f>
        <v/>
      </c>
      <c r="M719" s="7" t="str">
        <f>IF(ISNA(MATCH(706,Engine!$C$2:$C$1199,0)),"",INDEX('Compliance Database'!$M$2:$M$1199,MATCH(706,Engine!$C$2:$C$1199,0)))</f>
        <v/>
      </c>
      <c r="N719" s="7" t="str">
        <f>IF(ISNA(MATCH(706,Engine!$C$2:$C$1199,0)),"",INDEX('Compliance Database'!$N$2:$N$1199,MATCH(706,Engine!$C$2:$C$1199,0)))</f>
        <v/>
      </c>
      <c r="O719" s="7" t="str">
        <f>IF(ISNA(MATCH(706,Engine!$C$2:$C$1199,0)),"",INDEX('Compliance Database'!$O$2:$O$1199,MATCH(706,Engine!$C$2:$C$1199,0)))</f>
        <v/>
      </c>
      <c r="P719" s="6" t="str">
        <f>IF(ISNA(MATCH(706,Engine!$C$2:$C$1199,0)),"",HYPERLINK("#Acts!A"&amp;INDEX('Compliance Database'!$P$2:$P$1199,MATCH(706,Engine!$C$2:$C$1199,0)),"Go to Act"))</f>
        <v/>
      </c>
    </row>
    <row r="720" spans="1:16" ht="172.95" customHeight="1" x14ac:dyDescent="0.3">
      <c r="A720" s="6" t="str">
        <f>IF(ISNA(MATCH(707,Engine!$C$2:$C$1199,0)),"",INDEX('Compliance Database'!$A$2:$A$1199,MATCH(707,Engine!$C$2:$C$1199,0)))</f>
        <v/>
      </c>
      <c r="B720" s="6" t="str">
        <f>IF(ISNA(MATCH(707,Engine!$C$2:$C$1199,0)),"",INDEX('Compliance Database'!$B$2:$B$1199,MATCH(707,Engine!$C$2:$C$1199,0)))</f>
        <v/>
      </c>
      <c r="C720" s="6" t="str">
        <f>IF(ISNA(MATCH(707,Engine!$C$2:$C$1199,0)),"",INDEX('Compliance Database'!$C$2:$C$1199,MATCH(707,Engine!$C$2:$C$1199,0)))</f>
        <v/>
      </c>
      <c r="D720" s="7" t="str">
        <f>IF(ISNA(MATCH(707,Engine!$C$2:$C$1199,0)),"",INDEX('Compliance Database'!$D$2:$D$1199,MATCH(707,Engine!$C$2:$C$1199,0)))</f>
        <v/>
      </c>
      <c r="E720" s="6" t="str">
        <f>IF(ISNA(MATCH(707,Engine!$C$2:$C$1199,0)),"",INDEX('Compliance Database'!$E$2:$E$1199,MATCH(707,Engine!$C$2:$C$1199,0)))</f>
        <v/>
      </c>
      <c r="F720" s="6" t="str">
        <f>IF(ISNA(MATCH(707,Engine!$C$2:$C$1199,0)),"",INDEX('Compliance Database'!$F$2:$F$1199,MATCH(707,Engine!$C$2:$C$1199,0)))</f>
        <v/>
      </c>
      <c r="G720" s="6" t="str">
        <f>IF(ISNA(MATCH(707,Engine!$C$2:$C$1199,0)),"",INDEX('Compliance Database'!$G$2:$G$1199,MATCH(707,Engine!$C$2:$C$1199,0)))</f>
        <v/>
      </c>
      <c r="H720" s="7" t="str">
        <f>IF(ISNA(MATCH(707,Engine!$C$2:$C$1199,0)),"",INDEX('Compliance Database'!$H$2:$H$1199,MATCH(707,Engine!$C$2:$C$1199,0)))</f>
        <v/>
      </c>
      <c r="I720" s="7" t="str">
        <f>IF(ISNA(MATCH(707,Engine!$C$2:$C$1199,0)),"",INDEX('Compliance Database'!$I$2:$I$1199,MATCH(707,Engine!$C$2:$C$1199,0)))</f>
        <v/>
      </c>
      <c r="J720" s="6" t="str">
        <f>IF(ISNA(MATCH(707,Engine!$C$2:$C$1199,0)),"",INDEX('Compliance Database'!$J$2:$J$1199,MATCH(707,Engine!$C$2:$C$1199,0)))</f>
        <v/>
      </c>
      <c r="K720" s="7" t="str">
        <f>IF(ISNA(MATCH(707,Engine!$C$2:$C$1199,0)),"",INDEX('Compliance Database'!$K$2:$K$1199,MATCH(707,Engine!$C$2:$C$1199,0)))</f>
        <v/>
      </c>
      <c r="L720" s="7" t="str">
        <f>IF(ISNA(MATCH(707,Engine!$C$2:$C$1199,0)),"",INDEX('Compliance Database'!$L$2:$L$1199,MATCH(707,Engine!$C$2:$C$1199,0)))</f>
        <v/>
      </c>
      <c r="M720" s="7" t="str">
        <f>IF(ISNA(MATCH(707,Engine!$C$2:$C$1199,0)),"",INDEX('Compliance Database'!$M$2:$M$1199,MATCH(707,Engine!$C$2:$C$1199,0)))</f>
        <v/>
      </c>
      <c r="N720" s="7" t="str">
        <f>IF(ISNA(MATCH(707,Engine!$C$2:$C$1199,0)),"",INDEX('Compliance Database'!$N$2:$N$1199,MATCH(707,Engine!$C$2:$C$1199,0)))</f>
        <v/>
      </c>
      <c r="O720" s="7" t="str">
        <f>IF(ISNA(MATCH(707,Engine!$C$2:$C$1199,0)),"",INDEX('Compliance Database'!$O$2:$O$1199,MATCH(707,Engine!$C$2:$C$1199,0)))</f>
        <v/>
      </c>
      <c r="P720" s="6" t="str">
        <f>IF(ISNA(MATCH(707,Engine!$C$2:$C$1199,0)),"",HYPERLINK("#Acts!A"&amp;INDEX('Compliance Database'!$P$2:$P$1199,MATCH(707,Engine!$C$2:$C$1199,0)),"Go to Act"))</f>
        <v/>
      </c>
    </row>
    <row r="721" spans="1:16" ht="172.95" customHeight="1" x14ac:dyDescent="0.3">
      <c r="A721" s="6" t="str">
        <f>IF(ISNA(MATCH(708,Engine!$C$2:$C$1199,0)),"",INDEX('Compliance Database'!$A$2:$A$1199,MATCH(708,Engine!$C$2:$C$1199,0)))</f>
        <v/>
      </c>
      <c r="B721" s="6" t="str">
        <f>IF(ISNA(MATCH(708,Engine!$C$2:$C$1199,0)),"",INDEX('Compliance Database'!$B$2:$B$1199,MATCH(708,Engine!$C$2:$C$1199,0)))</f>
        <v/>
      </c>
      <c r="C721" s="6" t="str">
        <f>IF(ISNA(MATCH(708,Engine!$C$2:$C$1199,0)),"",INDEX('Compliance Database'!$C$2:$C$1199,MATCH(708,Engine!$C$2:$C$1199,0)))</f>
        <v/>
      </c>
      <c r="D721" s="7" t="str">
        <f>IF(ISNA(MATCH(708,Engine!$C$2:$C$1199,0)),"",INDEX('Compliance Database'!$D$2:$D$1199,MATCH(708,Engine!$C$2:$C$1199,0)))</f>
        <v/>
      </c>
      <c r="E721" s="6" t="str">
        <f>IF(ISNA(MATCH(708,Engine!$C$2:$C$1199,0)),"",INDEX('Compliance Database'!$E$2:$E$1199,MATCH(708,Engine!$C$2:$C$1199,0)))</f>
        <v/>
      </c>
      <c r="F721" s="6" t="str">
        <f>IF(ISNA(MATCH(708,Engine!$C$2:$C$1199,0)),"",INDEX('Compliance Database'!$F$2:$F$1199,MATCH(708,Engine!$C$2:$C$1199,0)))</f>
        <v/>
      </c>
      <c r="G721" s="6" t="str">
        <f>IF(ISNA(MATCH(708,Engine!$C$2:$C$1199,0)),"",INDEX('Compliance Database'!$G$2:$G$1199,MATCH(708,Engine!$C$2:$C$1199,0)))</f>
        <v/>
      </c>
      <c r="H721" s="7" t="str">
        <f>IF(ISNA(MATCH(708,Engine!$C$2:$C$1199,0)),"",INDEX('Compliance Database'!$H$2:$H$1199,MATCH(708,Engine!$C$2:$C$1199,0)))</f>
        <v/>
      </c>
      <c r="I721" s="7" t="str">
        <f>IF(ISNA(MATCH(708,Engine!$C$2:$C$1199,0)),"",INDEX('Compliance Database'!$I$2:$I$1199,MATCH(708,Engine!$C$2:$C$1199,0)))</f>
        <v/>
      </c>
      <c r="J721" s="6" t="str">
        <f>IF(ISNA(MATCH(708,Engine!$C$2:$C$1199,0)),"",INDEX('Compliance Database'!$J$2:$J$1199,MATCH(708,Engine!$C$2:$C$1199,0)))</f>
        <v/>
      </c>
      <c r="K721" s="7" t="str">
        <f>IF(ISNA(MATCH(708,Engine!$C$2:$C$1199,0)),"",INDEX('Compliance Database'!$K$2:$K$1199,MATCH(708,Engine!$C$2:$C$1199,0)))</f>
        <v/>
      </c>
      <c r="L721" s="7" t="str">
        <f>IF(ISNA(MATCH(708,Engine!$C$2:$C$1199,0)),"",INDEX('Compliance Database'!$L$2:$L$1199,MATCH(708,Engine!$C$2:$C$1199,0)))</f>
        <v/>
      </c>
      <c r="M721" s="7" t="str">
        <f>IF(ISNA(MATCH(708,Engine!$C$2:$C$1199,0)),"",INDEX('Compliance Database'!$M$2:$M$1199,MATCH(708,Engine!$C$2:$C$1199,0)))</f>
        <v/>
      </c>
      <c r="N721" s="7" t="str">
        <f>IF(ISNA(MATCH(708,Engine!$C$2:$C$1199,0)),"",INDEX('Compliance Database'!$N$2:$N$1199,MATCH(708,Engine!$C$2:$C$1199,0)))</f>
        <v/>
      </c>
      <c r="O721" s="7" t="str">
        <f>IF(ISNA(MATCH(708,Engine!$C$2:$C$1199,0)),"",INDEX('Compliance Database'!$O$2:$O$1199,MATCH(708,Engine!$C$2:$C$1199,0)))</f>
        <v/>
      </c>
      <c r="P721" s="6" t="str">
        <f>IF(ISNA(MATCH(708,Engine!$C$2:$C$1199,0)),"",HYPERLINK("#Acts!A"&amp;INDEX('Compliance Database'!$P$2:$P$1199,MATCH(708,Engine!$C$2:$C$1199,0)),"Go to Act"))</f>
        <v/>
      </c>
    </row>
    <row r="722" spans="1:16" ht="172.95" customHeight="1" x14ac:dyDescent="0.3">
      <c r="A722" s="6" t="str">
        <f>IF(ISNA(MATCH(709,Engine!$C$2:$C$1199,0)),"",INDEX('Compliance Database'!$A$2:$A$1199,MATCH(709,Engine!$C$2:$C$1199,0)))</f>
        <v/>
      </c>
      <c r="B722" s="6" t="str">
        <f>IF(ISNA(MATCH(709,Engine!$C$2:$C$1199,0)),"",INDEX('Compliance Database'!$B$2:$B$1199,MATCH(709,Engine!$C$2:$C$1199,0)))</f>
        <v/>
      </c>
      <c r="C722" s="6" t="str">
        <f>IF(ISNA(MATCH(709,Engine!$C$2:$C$1199,0)),"",INDEX('Compliance Database'!$C$2:$C$1199,MATCH(709,Engine!$C$2:$C$1199,0)))</f>
        <v/>
      </c>
      <c r="D722" s="7" t="str">
        <f>IF(ISNA(MATCH(709,Engine!$C$2:$C$1199,0)),"",INDEX('Compliance Database'!$D$2:$D$1199,MATCH(709,Engine!$C$2:$C$1199,0)))</f>
        <v/>
      </c>
      <c r="E722" s="6" t="str">
        <f>IF(ISNA(MATCH(709,Engine!$C$2:$C$1199,0)),"",INDEX('Compliance Database'!$E$2:$E$1199,MATCH(709,Engine!$C$2:$C$1199,0)))</f>
        <v/>
      </c>
      <c r="F722" s="6" t="str">
        <f>IF(ISNA(MATCH(709,Engine!$C$2:$C$1199,0)),"",INDEX('Compliance Database'!$F$2:$F$1199,MATCH(709,Engine!$C$2:$C$1199,0)))</f>
        <v/>
      </c>
      <c r="G722" s="6" t="str">
        <f>IF(ISNA(MATCH(709,Engine!$C$2:$C$1199,0)),"",INDEX('Compliance Database'!$G$2:$G$1199,MATCH(709,Engine!$C$2:$C$1199,0)))</f>
        <v/>
      </c>
      <c r="H722" s="7" t="str">
        <f>IF(ISNA(MATCH(709,Engine!$C$2:$C$1199,0)),"",INDEX('Compliance Database'!$H$2:$H$1199,MATCH(709,Engine!$C$2:$C$1199,0)))</f>
        <v/>
      </c>
      <c r="I722" s="7" t="str">
        <f>IF(ISNA(MATCH(709,Engine!$C$2:$C$1199,0)),"",INDEX('Compliance Database'!$I$2:$I$1199,MATCH(709,Engine!$C$2:$C$1199,0)))</f>
        <v/>
      </c>
      <c r="J722" s="6" t="str">
        <f>IF(ISNA(MATCH(709,Engine!$C$2:$C$1199,0)),"",INDEX('Compliance Database'!$J$2:$J$1199,MATCH(709,Engine!$C$2:$C$1199,0)))</f>
        <v/>
      </c>
      <c r="K722" s="7" t="str">
        <f>IF(ISNA(MATCH(709,Engine!$C$2:$C$1199,0)),"",INDEX('Compliance Database'!$K$2:$K$1199,MATCH(709,Engine!$C$2:$C$1199,0)))</f>
        <v/>
      </c>
      <c r="L722" s="7" t="str">
        <f>IF(ISNA(MATCH(709,Engine!$C$2:$C$1199,0)),"",INDEX('Compliance Database'!$L$2:$L$1199,MATCH(709,Engine!$C$2:$C$1199,0)))</f>
        <v/>
      </c>
      <c r="M722" s="7" t="str">
        <f>IF(ISNA(MATCH(709,Engine!$C$2:$C$1199,0)),"",INDEX('Compliance Database'!$M$2:$M$1199,MATCH(709,Engine!$C$2:$C$1199,0)))</f>
        <v/>
      </c>
      <c r="N722" s="7" t="str">
        <f>IF(ISNA(MATCH(709,Engine!$C$2:$C$1199,0)),"",INDEX('Compliance Database'!$N$2:$N$1199,MATCH(709,Engine!$C$2:$C$1199,0)))</f>
        <v/>
      </c>
      <c r="O722" s="7" t="str">
        <f>IF(ISNA(MATCH(709,Engine!$C$2:$C$1199,0)),"",INDEX('Compliance Database'!$O$2:$O$1199,MATCH(709,Engine!$C$2:$C$1199,0)))</f>
        <v/>
      </c>
      <c r="P722" s="6" t="str">
        <f>IF(ISNA(MATCH(709,Engine!$C$2:$C$1199,0)),"",HYPERLINK("#Acts!A"&amp;INDEX('Compliance Database'!$P$2:$P$1199,MATCH(709,Engine!$C$2:$C$1199,0)),"Go to Act"))</f>
        <v/>
      </c>
    </row>
    <row r="723" spans="1:16" ht="172.95" customHeight="1" x14ac:dyDescent="0.3">
      <c r="A723" s="6" t="str">
        <f>IF(ISNA(MATCH(710,Engine!$C$2:$C$1199,0)),"",INDEX('Compliance Database'!$A$2:$A$1199,MATCH(710,Engine!$C$2:$C$1199,0)))</f>
        <v/>
      </c>
      <c r="B723" s="6" t="str">
        <f>IF(ISNA(MATCH(710,Engine!$C$2:$C$1199,0)),"",INDEX('Compliance Database'!$B$2:$B$1199,MATCH(710,Engine!$C$2:$C$1199,0)))</f>
        <v/>
      </c>
      <c r="C723" s="6" t="str">
        <f>IF(ISNA(MATCH(710,Engine!$C$2:$C$1199,0)),"",INDEX('Compliance Database'!$C$2:$C$1199,MATCH(710,Engine!$C$2:$C$1199,0)))</f>
        <v/>
      </c>
      <c r="D723" s="7" t="str">
        <f>IF(ISNA(MATCH(710,Engine!$C$2:$C$1199,0)),"",INDEX('Compliance Database'!$D$2:$D$1199,MATCH(710,Engine!$C$2:$C$1199,0)))</f>
        <v/>
      </c>
      <c r="E723" s="6" t="str">
        <f>IF(ISNA(MATCH(710,Engine!$C$2:$C$1199,0)),"",INDEX('Compliance Database'!$E$2:$E$1199,MATCH(710,Engine!$C$2:$C$1199,0)))</f>
        <v/>
      </c>
      <c r="F723" s="6" t="str">
        <f>IF(ISNA(MATCH(710,Engine!$C$2:$C$1199,0)),"",INDEX('Compliance Database'!$F$2:$F$1199,MATCH(710,Engine!$C$2:$C$1199,0)))</f>
        <v/>
      </c>
      <c r="G723" s="6" t="str">
        <f>IF(ISNA(MATCH(710,Engine!$C$2:$C$1199,0)),"",INDEX('Compliance Database'!$G$2:$G$1199,MATCH(710,Engine!$C$2:$C$1199,0)))</f>
        <v/>
      </c>
      <c r="H723" s="7" t="str">
        <f>IF(ISNA(MATCH(710,Engine!$C$2:$C$1199,0)),"",INDEX('Compliance Database'!$H$2:$H$1199,MATCH(710,Engine!$C$2:$C$1199,0)))</f>
        <v/>
      </c>
      <c r="I723" s="7" t="str">
        <f>IF(ISNA(MATCH(710,Engine!$C$2:$C$1199,0)),"",INDEX('Compliance Database'!$I$2:$I$1199,MATCH(710,Engine!$C$2:$C$1199,0)))</f>
        <v/>
      </c>
      <c r="J723" s="6" t="str">
        <f>IF(ISNA(MATCH(710,Engine!$C$2:$C$1199,0)),"",INDEX('Compliance Database'!$J$2:$J$1199,MATCH(710,Engine!$C$2:$C$1199,0)))</f>
        <v/>
      </c>
      <c r="K723" s="7" t="str">
        <f>IF(ISNA(MATCH(710,Engine!$C$2:$C$1199,0)),"",INDEX('Compliance Database'!$K$2:$K$1199,MATCH(710,Engine!$C$2:$C$1199,0)))</f>
        <v/>
      </c>
      <c r="L723" s="7" t="str">
        <f>IF(ISNA(MATCH(710,Engine!$C$2:$C$1199,0)),"",INDEX('Compliance Database'!$L$2:$L$1199,MATCH(710,Engine!$C$2:$C$1199,0)))</f>
        <v/>
      </c>
      <c r="M723" s="7" t="str">
        <f>IF(ISNA(MATCH(710,Engine!$C$2:$C$1199,0)),"",INDEX('Compliance Database'!$M$2:$M$1199,MATCH(710,Engine!$C$2:$C$1199,0)))</f>
        <v/>
      </c>
      <c r="N723" s="7" t="str">
        <f>IF(ISNA(MATCH(710,Engine!$C$2:$C$1199,0)),"",INDEX('Compliance Database'!$N$2:$N$1199,MATCH(710,Engine!$C$2:$C$1199,0)))</f>
        <v/>
      </c>
      <c r="O723" s="7" t="str">
        <f>IF(ISNA(MATCH(710,Engine!$C$2:$C$1199,0)),"",INDEX('Compliance Database'!$O$2:$O$1199,MATCH(710,Engine!$C$2:$C$1199,0)))</f>
        <v/>
      </c>
      <c r="P723" s="6" t="str">
        <f>IF(ISNA(MATCH(710,Engine!$C$2:$C$1199,0)),"",HYPERLINK("#Acts!A"&amp;INDEX('Compliance Database'!$P$2:$P$1199,MATCH(710,Engine!$C$2:$C$1199,0)),"Go to Act"))</f>
        <v/>
      </c>
    </row>
    <row r="724" spans="1:16" ht="172.95" customHeight="1" x14ac:dyDescent="0.3">
      <c r="A724" s="6" t="str">
        <f>IF(ISNA(MATCH(711,Engine!$C$2:$C$1199,0)),"",INDEX('Compliance Database'!$A$2:$A$1199,MATCH(711,Engine!$C$2:$C$1199,0)))</f>
        <v/>
      </c>
      <c r="B724" s="6" t="str">
        <f>IF(ISNA(MATCH(711,Engine!$C$2:$C$1199,0)),"",INDEX('Compliance Database'!$B$2:$B$1199,MATCH(711,Engine!$C$2:$C$1199,0)))</f>
        <v/>
      </c>
      <c r="C724" s="6" t="str">
        <f>IF(ISNA(MATCH(711,Engine!$C$2:$C$1199,0)),"",INDEX('Compliance Database'!$C$2:$C$1199,MATCH(711,Engine!$C$2:$C$1199,0)))</f>
        <v/>
      </c>
      <c r="D724" s="7" t="str">
        <f>IF(ISNA(MATCH(711,Engine!$C$2:$C$1199,0)),"",INDEX('Compliance Database'!$D$2:$D$1199,MATCH(711,Engine!$C$2:$C$1199,0)))</f>
        <v/>
      </c>
      <c r="E724" s="6" t="str">
        <f>IF(ISNA(MATCH(711,Engine!$C$2:$C$1199,0)),"",INDEX('Compliance Database'!$E$2:$E$1199,MATCH(711,Engine!$C$2:$C$1199,0)))</f>
        <v/>
      </c>
      <c r="F724" s="6" t="str">
        <f>IF(ISNA(MATCH(711,Engine!$C$2:$C$1199,0)),"",INDEX('Compliance Database'!$F$2:$F$1199,MATCH(711,Engine!$C$2:$C$1199,0)))</f>
        <v/>
      </c>
      <c r="G724" s="6" t="str">
        <f>IF(ISNA(MATCH(711,Engine!$C$2:$C$1199,0)),"",INDEX('Compliance Database'!$G$2:$G$1199,MATCH(711,Engine!$C$2:$C$1199,0)))</f>
        <v/>
      </c>
      <c r="H724" s="7" t="str">
        <f>IF(ISNA(MATCH(711,Engine!$C$2:$C$1199,0)),"",INDEX('Compliance Database'!$H$2:$H$1199,MATCH(711,Engine!$C$2:$C$1199,0)))</f>
        <v/>
      </c>
      <c r="I724" s="7" t="str">
        <f>IF(ISNA(MATCH(711,Engine!$C$2:$C$1199,0)),"",INDEX('Compliance Database'!$I$2:$I$1199,MATCH(711,Engine!$C$2:$C$1199,0)))</f>
        <v/>
      </c>
      <c r="J724" s="6" t="str">
        <f>IF(ISNA(MATCH(711,Engine!$C$2:$C$1199,0)),"",INDEX('Compliance Database'!$J$2:$J$1199,MATCH(711,Engine!$C$2:$C$1199,0)))</f>
        <v/>
      </c>
      <c r="K724" s="7" t="str">
        <f>IF(ISNA(MATCH(711,Engine!$C$2:$C$1199,0)),"",INDEX('Compliance Database'!$K$2:$K$1199,MATCH(711,Engine!$C$2:$C$1199,0)))</f>
        <v/>
      </c>
      <c r="L724" s="7" t="str">
        <f>IF(ISNA(MATCH(711,Engine!$C$2:$C$1199,0)),"",INDEX('Compliance Database'!$L$2:$L$1199,MATCH(711,Engine!$C$2:$C$1199,0)))</f>
        <v/>
      </c>
      <c r="M724" s="7" t="str">
        <f>IF(ISNA(MATCH(711,Engine!$C$2:$C$1199,0)),"",INDEX('Compliance Database'!$M$2:$M$1199,MATCH(711,Engine!$C$2:$C$1199,0)))</f>
        <v/>
      </c>
      <c r="N724" s="7" t="str">
        <f>IF(ISNA(MATCH(711,Engine!$C$2:$C$1199,0)),"",INDEX('Compliance Database'!$N$2:$N$1199,MATCH(711,Engine!$C$2:$C$1199,0)))</f>
        <v/>
      </c>
      <c r="O724" s="7" t="str">
        <f>IF(ISNA(MATCH(711,Engine!$C$2:$C$1199,0)),"",INDEX('Compliance Database'!$O$2:$O$1199,MATCH(711,Engine!$C$2:$C$1199,0)))</f>
        <v/>
      </c>
      <c r="P724" s="6" t="str">
        <f>IF(ISNA(MATCH(711,Engine!$C$2:$C$1199,0)),"",HYPERLINK("#Acts!A"&amp;INDEX('Compliance Database'!$P$2:$P$1199,MATCH(711,Engine!$C$2:$C$1199,0)),"Go to Act"))</f>
        <v/>
      </c>
    </row>
    <row r="725" spans="1:16" ht="172.95" customHeight="1" x14ac:dyDescent="0.3">
      <c r="A725" s="6" t="str">
        <f>IF(ISNA(MATCH(712,Engine!$C$2:$C$1199,0)),"",INDEX('Compliance Database'!$A$2:$A$1199,MATCH(712,Engine!$C$2:$C$1199,0)))</f>
        <v/>
      </c>
      <c r="B725" s="6" t="str">
        <f>IF(ISNA(MATCH(712,Engine!$C$2:$C$1199,0)),"",INDEX('Compliance Database'!$B$2:$B$1199,MATCH(712,Engine!$C$2:$C$1199,0)))</f>
        <v/>
      </c>
      <c r="C725" s="6" t="str">
        <f>IF(ISNA(MATCH(712,Engine!$C$2:$C$1199,0)),"",INDEX('Compliance Database'!$C$2:$C$1199,MATCH(712,Engine!$C$2:$C$1199,0)))</f>
        <v/>
      </c>
      <c r="D725" s="7" t="str">
        <f>IF(ISNA(MATCH(712,Engine!$C$2:$C$1199,0)),"",INDEX('Compliance Database'!$D$2:$D$1199,MATCH(712,Engine!$C$2:$C$1199,0)))</f>
        <v/>
      </c>
      <c r="E725" s="6" t="str">
        <f>IF(ISNA(MATCH(712,Engine!$C$2:$C$1199,0)),"",INDEX('Compliance Database'!$E$2:$E$1199,MATCH(712,Engine!$C$2:$C$1199,0)))</f>
        <v/>
      </c>
      <c r="F725" s="6" t="str">
        <f>IF(ISNA(MATCH(712,Engine!$C$2:$C$1199,0)),"",INDEX('Compliance Database'!$F$2:$F$1199,MATCH(712,Engine!$C$2:$C$1199,0)))</f>
        <v/>
      </c>
      <c r="G725" s="6" t="str">
        <f>IF(ISNA(MATCH(712,Engine!$C$2:$C$1199,0)),"",INDEX('Compliance Database'!$G$2:$G$1199,MATCH(712,Engine!$C$2:$C$1199,0)))</f>
        <v/>
      </c>
      <c r="H725" s="7" t="str">
        <f>IF(ISNA(MATCH(712,Engine!$C$2:$C$1199,0)),"",INDEX('Compliance Database'!$H$2:$H$1199,MATCH(712,Engine!$C$2:$C$1199,0)))</f>
        <v/>
      </c>
      <c r="I725" s="7" t="str">
        <f>IF(ISNA(MATCH(712,Engine!$C$2:$C$1199,0)),"",INDEX('Compliance Database'!$I$2:$I$1199,MATCH(712,Engine!$C$2:$C$1199,0)))</f>
        <v/>
      </c>
      <c r="J725" s="6" t="str">
        <f>IF(ISNA(MATCH(712,Engine!$C$2:$C$1199,0)),"",INDEX('Compliance Database'!$J$2:$J$1199,MATCH(712,Engine!$C$2:$C$1199,0)))</f>
        <v/>
      </c>
      <c r="K725" s="7" t="str">
        <f>IF(ISNA(MATCH(712,Engine!$C$2:$C$1199,0)),"",INDEX('Compliance Database'!$K$2:$K$1199,MATCH(712,Engine!$C$2:$C$1199,0)))</f>
        <v/>
      </c>
      <c r="L725" s="7" t="str">
        <f>IF(ISNA(MATCH(712,Engine!$C$2:$C$1199,0)),"",INDEX('Compliance Database'!$L$2:$L$1199,MATCH(712,Engine!$C$2:$C$1199,0)))</f>
        <v/>
      </c>
      <c r="M725" s="7" t="str">
        <f>IF(ISNA(MATCH(712,Engine!$C$2:$C$1199,0)),"",INDEX('Compliance Database'!$M$2:$M$1199,MATCH(712,Engine!$C$2:$C$1199,0)))</f>
        <v/>
      </c>
      <c r="N725" s="7" t="str">
        <f>IF(ISNA(MATCH(712,Engine!$C$2:$C$1199,0)),"",INDEX('Compliance Database'!$N$2:$N$1199,MATCH(712,Engine!$C$2:$C$1199,0)))</f>
        <v/>
      </c>
      <c r="O725" s="7" t="str">
        <f>IF(ISNA(MATCH(712,Engine!$C$2:$C$1199,0)),"",INDEX('Compliance Database'!$O$2:$O$1199,MATCH(712,Engine!$C$2:$C$1199,0)))</f>
        <v/>
      </c>
      <c r="P725" s="6" t="str">
        <f>IF(ISNA(MATCH(712,Engine!$C$2:$C$1199,0)),"",HYPERLINK("#Acts!A"&amp;INDEX('Compliance Database'!$P$2:$P$1199,MATCH(712,Engine!$C$2:$C$1199,0)),"Go to Act"))</f>
        <v/>
      </c>
    </row>
    <row r="726" spans="1:16" ht="172.95" customHeight="1" x14ac:dyDescent="0.3">
      <c r="A726" s="6" t="str">
        <f>IF(ISNA(MATCH(713,Engine!$C$2:$C$1199,0)),"",INDEX('Compliance Database'!$A$2:$A$1199,MATCH(713,Engine!$C$2:$C$1199,0)))</f>
        <v/>
      </c>
      <c r="B726" s="6" t="str">
        <f>IF(ISNA(MATCH(713,Engine!$C$2:$C$1199,0)),"",INDEX('Compliance Database'!$B$2:$B$1199,MATCH(713,Engine!$C$2:$C$1199,0)))</f>
        <v/>
      </c>
      <c r="C726" s="6" t="str">
        <f>IF(ISNA(MATCH(713,Engine!$C$2:$C$1199,0)),"",INDEX('Compliance Database'!$C$2:$C$1199,MATCH(713,Engine!$C$2:$C$1199,0)))</f>
        <v/>
      </c>
      <c r="D726" s="7" t="str">
        <f>IF(ISNA(MATCH(713,Engine!$C$2:$C$1199,0)),"",INDEX('Compliance Database'!$D$2:$D$1199,MATCH(713,Engine!$C$2:$C$1199,0)))</f>
        <v/>
      </c>
      <c r="E726" s="6" t="str">
        <f>IF(ISNA(MATCH(713,Engine!$C$2:$C$1199,0)),"",INDEX('Compliance Database'!$E$2:$E$1199,MATCH(713,Engine!$C$2:$C$1199,0)))</f>
        <v/>
      </c>
      <c r="F726" s="6" t="str">
        <f>IF(ISNA(MATCH(713,Engine!$C$2:$C$1199,0)),"",INDEX('Compliance Database'!$F$2:$F$1199,MATCH(713,Engine!$C$2:$C$1199,0)))</f>
        <v/>
      </c>
      <c r="G726" s="6" t="str">
        <f>IF(ISNA(MATCH(713,Engine!$C$2:$C$1199,0)),"",INDEX('Compliance Database'!$G$2:$G$1199,MATCH(713,Engine!$C$2:$C$1199,0)))</f>
        <v/>
      </c>
      <c r="H726" s="7" t="str">
        <f>IF(ISNA(MATCH(713,Engine!$C$2:$C$1199,0)),"",INDEX('Compliance Database'!$H$2:$H$1199,MATCH(713,Engine!$C$2:$C$1199,0)))</f>
        <v/>
      </c>
      <c r="I726" s="7" t="str">
        <f>IF(ISNA(MATCH(713,Engine!$C$2:$C$1199,0)),"",INDEX('Compliance Database'!$I$2:$I$1199,MATCH(713,Engine!$C$2:$C$1199,0)))</f>
        <v/>
      </c>
      <c r="J726" s="6" t="str">
        <f>IF(ISNA(MATCH(713,Engine!$C$2:$C$1199,0)),"",INDEX('Compliance Database'!$J$2:$J$1199,MATCH(713,Engine!$C$2:$C$1199,0)))</f>
        <v/>
      </c>
      <c r="K726" s="7" t="str">
        <f>IF(ISNA(MATCH(713,Engine!$C$2:$C$1199,0)),"",INDEX('Compliance Database'!$K$2:$K$1199,MATCH(713,Engine!$C$2:$C$1199,0)))</f>
        <v/>
      </c>
      <c r="L726" s="7" t="str">
        <f>IF(ISNA(MATCH(713,Engine!$C$2:$C$1199,0)),"",INDEX('Compliance Database'!$L$2:$L$1199,MATCH(713,Engine!$C$2:$C$1199,0)))</f>
        <v/>
      </c>
      <c r="M726" s="7" t="str">
        <f>IF(ISNA(MATCH(713,Engine!$C$2:$C$1199,0)),"",INDEX('Compliance Database'!$M$2:$M$1199,MATCH(713,Engine!$C$2:$C$1199,0)))</f>
        <v/>
      </c>
      <c r="N726" s="7" t="str">
        <f>IF(ISNA(MATCH(713,Engine!$C$2:$C$1199,0)),"",INDEX('Compliance Database'!$N$2:$N$1199,MATCH(713,Engine!$C$2:$C$1199,0)))</f>
        <v/>
      </c>
      <c r="O726" s="7" t="str">
        <f>IF(ISNA(MATCH(713,Engine!$C$2:$C$1199,0)),"",INDEX('Compliance Database'!$O$2:$O$1199,MATCH(713,Engine!$C$2:$C$1199,0)))</f>
        <v/>
      </c>
      <c r="P726" s="6" t="str">
        <f>IF(ISNA(MATCH(713,Engine!$C$2:$C$1199,0)),"",HYPERLINK("#Acts!A"&amp;INDEX('Compliance Database'!$P$2:$P$1199,MATCH(713,Engine!$C$2:$C$1199,0)),"Go to Act"))</f>
        <v/>
      </c>
    </row>
    <row r="727" spans="1:16" ht="172.95" customHeight="1" x14ac:dyDescent="0.3">
      <c r="A727" s="6" t="str">
        <f>IF(ISNA(MATCH(714,Engine!$C$2:$C$1199,0)),"",INDEX('Compliance Database'!$A$2:$A$1199,MATCH(714,Engine!$C$2:$C$1199,0)))</f>
        <v/>
      </c>
      <c r="B727" s="6" t="str">
        <f>IF(ISNA(MATCH(714,Engine!$C$2:$C$1199,0)),"",INDEX('Compliance Database'!$B$2:$B$1199,MATCH(714,Engine!$C$2:$C$1199,0)))</f>
        <v/>
      </c>
      <c r="C727" s="6" t="str">
        <f>IF(ISNA(MATCH(714,Engine!$C$2:$C$1199,0)),"",INDEX('Compliance Database'!$C$2:$C$1199,MATCH(714,Engine!$C$2:$C$1199,0)))</f>
        <v/>
      </c>
      <c r="D727" s="7" t="str">
        <f>IF(ISNA(MATCH(714,Engine!$C$2:$C$1199,0)),"",INDEX('Compliance Database'!$D$2:$D$1199,MATCH(714,Engine!$C$2:$C$1199,0)))</f>
        <v/>
      </c>
      <c r="E727" s="6" t="str">
        <f>IF(ISNA(MATCH(714,Engine!$C$2:$C$1199,0)),"",INDEX('Compliance Database'!$E$2:$E$1199,MATCH(714,Engine!$C$2:$C$1199,0)))</f>
        <v/>
      </c>
      <c r="F727" s="6" t="str">
        <f>IF(ISNA(MATCH(714,Engine!$C$2:$C$1199,0)),"",INDEX('Compliance Database'!$F$2:$F$1199,MATCH(714,Engine!$C$2:$C$1199,0)))</f>
        <v/>
      </c>
      <c r="G727" s="6" t="str">
        <f>IF(ISNA(MATCH(714,Engine!$C$2:$C$1199,0)),"",INDEX('Compliance Database'!$G$2:$G$1199,MATCH(714,Engine!$C$2:$C$1199,0)))</f>
        <v/>
      </c>
      <c r="H727" s="7" t="str">
        <f>IF(ISNA(MATCH(714,Engine!$C$2:$C$1199,0)),"",INDEX('Compliance Database'!$H$2:$H$1199,MATCH(714,Engine!$C$2:$C$1199,0)))</f>
        <v/>
      </c>
      <c r="I727" s="7" t="str">
        <f>IF(ISNA(MATCH(714,Engine!$C$2:$C$1199,0)),"",INDEX('Compliance Database'!$I$2:$I$1199,MATCH(714,Engine!$C$2:$C$1199,0)))</f>
        <v/>
      </c>
      <c r="J727" s="6" t="str">
        <f>IF(ISNA(MATCH(714,Engine!$C$2:$C$1199,0)),"",INDEX('Compliance Database'!$J$2:$J$1199,MATCH(714,Engine!$C$2:$C$1199,0)))</f>
        <v/>
      </c>
      <c r="K727" s="7" t="str">
        <f>IF(ISNA(MATCH(714,Engine!$C$2:$C$1199,0)),"",INDEX('Compliance Database'!$K$2:$K$1199,MATCH(714,Engine!$C$2:$C$1199,0)))</f>
        <v/>
      </c>
      <c r="L727" s="7" t="str">
        <f>IF(ISNA(MATCH(714,Engine!$C$2:$C$1199,0)),"",INDEX('Compliance Database'!$L$2:$L$1199,MATCH(714,Engine!$C$2:$C$1199,0)))</f>
        <v/>
      </c>
      <c r="M727" s="7" t="str">
        <f>IF(ISNA(MATCH(714,Engine!$C$2:$C$1199,0)),"",INDEX('Compliance Database'!$M$2:$M$1199,MATCH(714,Engine!$C$2:$C$1199,0)))</f>
        <v/>
      </c>
      <c r="N727" s="7" t="str">
        <f>IF(ISNA(MATCH(714,Engine!$C$2:$C$1199,0)),"",INDEX('Compliance Database'!$N$2:$N$1199,MATCH(714,Engine!$C$2:$C$1199,0)))</f>
        <v/>
      </c>
      <c r="O727" s="7" t="str">
        <f>IF(ISNA(MATCH(714,Engine!$C$2:$C$1199,0)),"",INDEX('Compliance Database'!$O$2:$O$1199,MATCH(714,Engine!$C$2:$C$1199,0)))</f>
        <v/>
      </c>
      <c r="P727" s="6" t="str">
        <f>IF(ISNA(MATCH(714,Engine!$C$2:$C$1199,0)),"",HYPERLINK("#Acts!A"&amp;INDEX('Compliance Database'!$P$2:$P$1199,MATCH(714,Engine!$C$2:$C$1199,0)),"Go to Act"))</f>
        <v/>
      </c>
    </row>
    <row r="728" spans="1:16" ht="172.95" customHeight="1" x14ac:dyDescent="0.3">
      <c r="A728" s="6" t="str">
        <f>IF(ISNA(MATCH(715,Engine!$C$2:$C$1199,0)),"",INDEX('Compliance Database'!$A$2:$A$1199,MATCH(715,Engine!$C$2:$C$1199,0)))</f>
        <v/>
      </c>
      <c r="B728" s="6" t="str">
        <f>IF(ISNA(MATCH(715,Engine!$C$2:$C$1199,0)),"",INDEX('Compliance Database'!$B$2:$B$1199,MATCH(715,Engine!$C$2:$C$1199,0)))</f>
        <v/>
      </c>
      <c r="C728" s="6" t="str">
        <f>IF(ISNA(MATCH(715,Engine!$C$2:$C$1199,0)),"",INDEX('Compliance Database'!$C$2:$C$1199,MATCH(715,Engine!$C$2:$C$1199,0)))</f>
        <v/>
      </c>
      <c r="D728" s="7" t="str">
        <f>IF(ISNA(MATCH(715,Engine!$C$2:$C$1199,0)),"",INDEX('Compliance Database'!$D$2:$D$1199,MATCH(715,Engine!$C$2:$C$1199,0)))</f>
        <v/>
      </c>
      <c r="E728" s="6" t="str">
        <f>IF(ISNA(MATCH(715,Engine!$C$2:$C$1199,0)),"",INDEX('Compliance Database'!$E$2:$E$1199,MATCH(715,Engine!$C$2:$C$1199,0)))</f>
        <v/>
      </c>
      <c r="F728" s="6" t="str">
        <f>IF(ISNA(MATCH(715,Engine!$C$2:$C$1199,0)),"",INDEX('Compliance Database'!$F$2:$F$1199,MATCH(715,Engine!$C$2:$C$1199,0)))</f>
        <v/>
      </c>
      <c r="G728" s="6" t="str">
        <f>IF(ISNA(MATCH(715,Engine!$C$2:$C$1199,0)),"",INDEX('Compliance Database'!$G$2:$G$1199,MATCH(715,Engine!$C$2:$C$1199,0)))</f>
        <v/>
      </c>
      <c r="H728" s="7" t="str">
        <f>IF(ISNA(MATCH(715,Engine!$C$2:$C$1199,0)),"",INDEX('Compliance Database'!$H$2:$H$1199,MATCH(715,Engine!$C$2:$C$1199,0)))</f>
        <v/>
      </c>
      <c r="I728" s="7" t="str">
        <f>IF(ISNA(MATCH(715,Engine!$C$2:$C$1199,0)),"",INDEX('Compliance Database'!$I$2:$I$1199,MATCH(715,Engine!$C$2:$C$1199,0)))</f>
        <v/>
      </c>
      <c r="J728" s="6" t="str">
        <f>IF(ISNA(MATCH(715,Engine!$C$2:$C$1199,0)),"",INDEX('Compliance Database'!$J$2:$J$1199,MATCH(715,Engine!$C$2:$C$1199,0)))</f>
        <v/>
      </c>
      <c r="K728" s="7" t="str">
        <f>IF(ISNA(MATCH(715,Engine!$C$2:$C$1199,0)),"",INDEX('Compliance Database'!$K$2:$K$1199,MATCH(715,Engine!$C$2:$C$1199,0)))</f>
        <v/>
      </c>
      <c r="L728" s="7" t="str">
        <f>IF(ISNA(MATCH(715,Engine!$C$2:$C$1199,0)),"",INDEX('Compliance Database'!$L$2:$L$1199,MATCH(715,Engine!$C$2:$C$1199,0)))</f>
        <v/>
      </c>
      <c r="M728" s="7" t="str">
        <f>IF(ISNA(MATCH(715,Engine!$C$2:$C$1199,0)),"",INDEX('Compliance Database'!$M$2:$M$1199,MATCH(715,Engine!$C$2:$C$1199,0)))</f>
        <v/>
      </c>
      <c r="N728" s="7" t="str">
        <f>IF(ISNA(MATCH(715,Engine!$C$2:$C$1199,0)),"",INDEX('Compliance Database'!$N$2:$N$1199,MATCH(715,Engine!$C$2:$C$1199,0)))</f>
        <v/>
      </c>
      <c r="O728" s="7" t="str">
        <f>IF(ISNA(MATCH(715,Engine!$C$2:$C$1199,0)),"",INDEX('Compliance Database'!$O$2:$O$1199,MATCH(715,Engine!$C$2:$C$1199,0)))</f>
        <v/>
      </c>
      <c r="P728" s="6" t="str">
        <f>IF(ISNA(MATCH(715,Engine!$C$2:$C$1199,0)),"",HYPERLINK("#Acts!A"&amp;INDEX('Compliance Database'!$P$2:$P$1199,MATCH(715,Engine!$C$2:$C$1199,0)),"Go to Act"))</f>
        <v/>
      </c>
    </row>
    <row r="729" spans="1:16" ht="172.95" customHeight="1" x14ac:dyDescent="0.3">
      <c r="A729" s="6" t="str">
        <f>IF(ISNA(MATCH(716,Engine!$C$2:$C$1199,0)),"",INDEX('Compliance Database'!$A$2:$A$1199,MATCH(716,Engine!$C$2:$C$1199,0)))</f>
        <v/>
      </c>
      <c r="B729" s="6" t="str">
        <f>IF(ISNA(MATCH(716,Engine!$C$2:$C$1199,0)),"",INDEX('Compliance Database'!$B$2:$B$1199,MATCH(716,Engine!$C$2:$C$1199,0)))</f>
        <v/>
      </c>
      <c r="C729" s="6" t="str">
        <f>IF(ISNA(MATCH(716,Engine!$C$2:$C$1199,0)),"",INDEX('Compliance Database'!$C$2:$C$1199,MATCH(716,Engine!$C$2:$C$1199,0)))</f>
        <v/>
      </c>
      <c r="D729" s="7" t="str">
        <f>IF(ISNA(MATCH(716,Engine!$C$2:$C$1199,0)),"",INDEX('Compliance Database'!$D$2:$D$1199,MATCH(716,Engine!$C$2:$C$1199,0)))</f>
        <v/>
      </c>
      <c r="E729" s="6" t="str">
        <f>IF(ISNA(MATCH(716,Engine!$C$2:$C$1199,0)),"",INDEX('Compliance Database'!$E$2:$E$1199,MATCH(716,Engine!$C$2:$C$1199,0)))</f>
        <v/>
      </c>
      <c r="F729" s="6" t="str">
        <f>IF(ISNA(MATCH(716,Engine!$C$2:$C$1199,0)),"",INDEX('Compliance Database'!$F$2:$F$1199,MATCH(716,Engine!$C$2:$C$1199,0)))</f>
        <v/>
      </c>
      <c r="G729" s="6" t="str">
        <f>IF(ISNA(MATCH(716,Engine!$C$2:$C$1199,0)),"",INDEX('Compliance Database'!$G$2:$G$1199,MATCH(716,Engine!$C$2:$C$1199,0)))</f>
        <v/>
      </c>
      <c r="H729" s="7" t="str">
        <f>IF(ISNA(MATCH(716,Engine!$C$2:$C$1199,0)),"",INDEX('Compliance Database'!$H$2:$H$1199,MATCH(716,Engine!$C$2:$C$1199,0)))</f>
        <v/>
      </c>
      <c r="I729" s="7" t="str">
        <f>IF(ISNA(MATCH(716,Engine!$C$2:$C$1199,0)),"",INDEX('Compliance Database'!$I$2:$I$1199,MATCH(716,Engine!$C$2:$C$1199,0)))</f>
        <v/>
      </c>
      <c r="J729" s="6" t="str">
        <f>IF(ISNA(MATCH(716,Engine!$C$2:$C$1199,0)),"",INDEX('Compliance Database'!$J$2:$J$1199,MATCH(716,Engine!$C$2:$C$1199,0)))</f>
        <v/>
      </c>
      <c r="K729" s="7" t="str">
        <f>IF(ISNA(MATCH(716,Engine!$C$2:$C$1199,0)),"",INDEX('Compliance Database'!$K$2:$K$1199,MATCH(716,Engine!$C$2:$C$1199,0)))</f>
        <v/>
      </c>
      <c r="L729" s="7" t="str">
        <f>IF(ISNA(MATCH(716,Engine!$C$2:$C$1199,0)),"",INDEX('Compliance Database'!$L$2:$L$1199,MATCH(716,Engine!$C$2:$C$1199,0)))</f>
        <v/>
      </c>
      <c r="M729" s="7" t="str">
        <f>IF(ISNA(MATCH(716,Engine!$C$2:$C$1199,0)),"",INDEX('Compliance Database'!$M$2:$M$1199,MATCH(716,Engine!$C$2:$C$1199,0)))</f>
        <v/>
      </c>
      <c r="N729" s="7" t="str">
        <f>IF(ISNA(MATCH(716,Engine!$C$2:$C$1199,0)),"",INDEX('Compliance Database'!$N$2:$N$1199,MATCH(716,Engine!$C$2:$C$1199,0)))</f>
        <v/>
      </c>
      <c r="O729" s="7" t="str">
        <f>IF(ISNA(MATCH(716,Engine!$C$2:$C$1199,0)),"",INDEX('Compliance Database'!$O$2:$O$1199,MATCH(716,Engine!$C$2:$C$1199,0)))</f>
        <v/>
      </c>
      <c r="P729" s="6" t="str">
        <f>IF(ISNA(MATCH(716,Engine!$C$2:$C$1199,0)),"",HYPERLINK("#Acts!A"&amp;INDEX('Compliance Database'!$P$2:$P$1199,MATCH(716,Engine!$C$2:$C$1199,0)),"Go to Act"))</f>
        <v/>
      </c>
    </row>
    <row r="730" spans="1:16" ht="172.95" customHeight="1" x14ac:dyDescent="0.3">
      <c r="A730" s="6" t="str">
        <f>IF(ISNA(MATCH(717,Engine!$C$2:$C$1199,0)),"",INDEX('Compliance Database'!$A$2:$A$1199,MATCH(717,Engine!$C$2:$C$1199,0)))</f>
        <v/>
      </c>
      <c r="B730" s="6" t="str">
        <f>IF(ISNA(MATCH(717,Engine!$C$2:$C$1199,0)),"",INDEX('Compliance Database'!$B$2:$B$1199,MATCH(717,Engine!$C$2:$C$1199,0)))</f>
        <v/>
      </c>
      <c r="C730" s="6" t="str">
        <f>IF(ISNA(MATCH(717,Engine!$C$2:$C$1199,0)),"",INDEX('Compliance Database'!$C$2:$C$1199,MATCH(717,Engine!$C$2:$C$1199,0)))</f>
        <v/>
      </c>
      <c r="D730" s="7" t="str">
        <f>IF(ISNA(MATCH(717,Engine!$C$2:$C$1199,0)),"",INDEX('Compliance Database'!$D$2:$D$1199,MATCH(717,Engine!$C$2:$C$1199,0)))</f>
        <v/>
      </c>
      <c r="E730" s="6" t="str">
        <f>IF(ISNA(MATCH(717,Engine!$C$2:$C$1199,0)),"",INDEX('Compliance Database'!$E$2:$E$1199,MATCH(717,Engine!$C$2:$C$1199,0)))</f>
        <v/>
      </c>
      <c r="F730" s="6" t="str">
        <f>IF(ISNA(MATCH(717,Engine!$C$2:$C$1199,0)),"",INDEX('Compliance Database'!$F$2:$F$1199,MATCH(717,Engine!$C$2:$C$1199,0)))</f>
        <v/>
      </c>
      <c r="G730" s="6" t="str">
        <f>IF(ISNA(MATCH(717,Engine!$C$2:$C$1199,0)),"",INDEX('Compliance Database'!$G$2:$G$1199,MATCH(717,Engine!$C$2:$C$1199,0)))</f>
        <v/>
      </c>
      <c r="H730" s="7" t="str">
        <f>IF(ISNA(MATCH(717,Engine!$C$2:$C$1199,0)),"",INDEX('Compliance Database'!$H$2:$H$1199,MATCH(717,Engine!$C$2:$C$1199,0)))</f>
        <v/>
      </c>
      <c r="I730" s="7" t="str">
        <f>IF(ISNA(MATCH(717,Engine!$C$2:$C$1199,0)),"",INDEX('Compliance Database'!$I$2:$I$1199,MATCH(717,Engine!$C$2:$C$1199,0)))</f>
        <v/>
      </c>
      <c r="J730" s="6" t="str">
        <f>IF(ISNA(MATCH(717,Engine!$C$2:$C$1199,0)),"",INDEX('Compliance Database'!$J$2:$J$1199,MATCH(717,Engine!$C$2:$C$1199,0)))</f>
        <v/>
      </c>
      <c r="K730" s="7" t="str">
        <f>IF(ISNA(MATCH(717,Engine!$C$2:$C$1199,0)),"",INDEX('Compliance Database'!$K$2:$K$1199,MATCH(717,Engine!$C$2:$C$1199,0)))</f>
        <v/>
      </c>
      <c r="L730" s="7" t="str">
        <f>IF(ISNA(MATCH(717,Engine!$C$2:$C$1199,0)),"",INDEX('Compliance Database'!$L$2:$L$1199,MATCH(717,Engine!$C$2:$C$1199,0)))</f>
        <v/>
      </c>
      <c r="M730" s="7" t="str">
        <f>IF(ISNA(MATCH(717,Engine!$C$2:$C$1199,0)),"",INDEX('Compliance Database'!$M$2:$M$1199,MATCH(717,Engine!$C$2:$C$1199,0)))</f>
        <v/>
      </c>
      <c r="N730" s="7" t="str">
        <f>IF(ISNA(MATCH(717,Engine!$C$2:$C$1199,0)),"",INDEX('Compliance Database'!$N$2:$N$1199,MATCH(717,Engine!$C$2:$C$1199,0)))</f>
        <v/>
      </c>
      <c r="O730" s="7" t="str">
        <f>IF(ISNA(MATCH(717,Engine!$C$2:$C$1199,0)),"",INDEX('Compliance Database'!$O$2:$O$1199,MATCH(717,Engine!$C$2:$C$1199,0)))</f>
        <v/>
      </c>
      <c r="P730" s="6" t="str">
        <f>IF(ISNA(MATCH(717,Engine!$C$2:$C$1199,0)),"",HYPERLINK("#Acts!A"&amp;INDEX('Compliance Database'!$P$2:$P$1199,MATCH(717,Engine!$C$2:$C$1199,0)),"Go to Act"))</f>
        <v/>
      </c>
    </row>
    <row r="731" spans="1:16" ht="172.95" customHeight="1" x14ac:dyDescent="0.3">
      <c r="A731" s="6" t="str">
        <f>IF(ISNA(MATCH(718,Engine!$C$2:$C$1199,0)),"",INDEX('Compliance Database'!$A$2:$A$1199,MATCH(718,Engine!$C$2:$C$1199,0)))</f>
        <v/>
      </c>
      <c r="B731" s="6" t="str">
        <f>IF(ISNA(MATCH(718,Engine!$C$2:$C$1199,0)),"",INDEX('Compliance Database'!$B$2:$B$1199,MATCH(718,Engine!$C$2:$C$1199,0)))</f>
        <v/>
      </c>
      <c r="C731" s="6" t="str">
        <f>IF(ISNA(MATCH(718,Engine!$C$2:$C$1199,0)),"",INDEX('Compliance Database'!$C$2:$C$1199,MATCH(718,Engine!$C$2:$C$1199,0)))</f>
        <v/>
      </c>
      <c r="D731" s="7" t="str">
        <f>IF(ISNA(MATCH(718,Engine!$C$2:$C$1199,0)),"",INDEX('Compliance Database'!$D$2:$D$1199,MATCH(718,Engine!$C$2:$C$1199,0)))</f>
        <v/>
      </c>
      <c r="E731" s="6" t="str">
        <f>IF(ISNA(MATCH(718,Engine!$C$2:$C$1199,0)),"",INDEX('Compliance Database'!$E$2:$E$1199,MATCH(718,Engine!$C$2:$C$1199,0)))</f>
        <v/>
      </c>
      <c r="F731" s="6" t="str">
        <f>IF(ISNA(MATCH(718,Engine!$C$2:$C$1199,0)),"",INDEX('Compliance Database'!$F$2:$F$1199,MATCH(718,Engine!$C$2:$C$1199,0)))</f>
        <v/>
      </c>
      <c r="G731" s="6" t="str">
        <f>IF(ISNA(MATCH(718,Engine!$C$2:$C$1199,0)),"",INDEX('Compliance Database'!$G$2:$G$1199,MATCH(718,Engine!$C$2:$C$1199,0)))</f>
        <v/>
      </c>
      <c r="H731" s="7" t="str">
        <f>IF(ISNA(MATCH(718,Engine!$C$2:$C$1199,0)),"",INDEX('Compliance Database'!$H$2:$H$1199,MATCH(718,Engine!$C$2:$C$1199,0)))</f>
        <v/>
      </c>
      <c r="I731" s="7" t="str">
        <f>IF(ISNA(MATCH(718,Engine!$C$2:$C$1199,0)),"",INDEX('Compliance Database'!$I$2:$I$1199,MATCH(718,Engine!$C$2:$C$1199,0)))</f>
        <v/>
      </c>
      <c r="J731" s="6" t="str">
        <f>IF(ISNA(MATCH(718,Engine!$C$2:$C$1199,0)),"",INDEX('Compliance Database'!$J$2:$J$1199,MATCH(718,Engine!$C$2:$C$1199,0)))</f>
        <v/>
      </c>
      <c r="K731" s="7" t="str">
        <f>IF(ISNA(MATCH(718,Engine!$C$2:$C$1199,0)),"",INDEX('Compliance Database'!$K$2:$K$1199,MATCH(718,Engine!$C$2:$C$1199,0)))</f>
        <v/>
      </c>
      <c r="L731" s="7" t="str">
        <f>IF(ISNA(MATCH(718,Engine!$C$2:$C$1199,0)),"",INDEX('Compliance Database'!$L$2:$L$1199,MATCH(718,Engine!$C$2:$C$1199,0)))</f>
        <v/>
      </c>
      <c r="M731" s="7" t="str">
        <f>IF(ISNA(MATCH(718,Engine!$C$2:$C$1199,0)),"",INDEX('Compliance Database'!$M$2:$M$1199,MATCH(718,Engine!$C$2:$C$1199,0)))</f>
        <v/>
      </c>
      <c r="N731" s="7" t="str">
        <f>IF(ISNA(MATCH(718,Engine!$C$2:$C$1199,0)),"",INDEX('Compliance Database'!$N$2:$N$1199,MATCH(718,Engine!$C$2:$C$1199,0)))</f>
        <v/>
      </c>
      <c r="O731" s="7" t="str">
        <f>IF(ISNA(MATCH(718,Engine!$C$2:$C$1199,0)),"",INDEX('Compliance Database'!$O$2:$O$1199,MATCH(718,Engine!$C$2:$C$1199,0)))</f>
        <v/>
      </c>
      <c r="P731" s="6" t="str">
        <f>IF(ISNA(MATCH(718,Engine!$C$2:$C$1199,0)),"",HYPERLINK("#Acts!A"&amp;INDEX('Compliance Database'!$P$2:$P$1199,MATCH(718,Engine!$C$2:$C$1199,0)),"Go to Act"))</f>
        <v/>
      </c>
    </row>
    <row r="732" spans="1:16" ht="172.95" customHeight="1" x14ac:dyDescent="0.3">
      <c r="A732" s="6" t="str">
        <f>IF(ISNA(MATCH(719,Engine!$C$2:$C$1199,0)),"",INDEX('Compliance Database'!$A$2:$A$1199,MATCH(719,Engine!$C$2:$C$1199,0)))</f>
        <v/>
      </c>
      <c r="B732" s="6" t="str">
        <f>IF(ISNA(MATCH(719,Engine!$C$2:$C$1199,0)),"",INDEX('Compliance Database'!$B$2:$B$1199,MATCH(719,Engine!$C$2:$C$1199,0)))</f>
        <v/>
      </c>
      <c r="C732" s="6" t="str">
        <f>IF(ISNA(MATCH(719,Engine!$C$2:$C$1199,0)),"",INDEX('Compliance Database'!$C$2:$C$1199,MATCH(719,Engine!$C$2:$C$1199,0)))</f>
        <v/>
      </c>
      <c r="D732" s="7" t="str">
        <f>IF(ISNA(MATCH(719,Engine!$C$2:$C$1199,0)),"",INDEX('Compliance Database'!$D$2:$D$1199,MATCH(719,Engine!$C$2:$C$1199,0)))</f>
        <v/>
      </c>
      <c r="E732" s="6" t="str">
        <f>IF(ISNA(MATCH(719,Engine!$C$2:$C$1199,0)),"",INDEX('Compliance Database'!$E$2:$E$1199,MATCH(719,Engine!$C$2:$C$1199,0)))</f>
        <v/>
      </c>
      <c r="F732" s="6" t="str">
        <f>IF(ISNA(MATCH(719,Engine!$C$2:$C$1199,0)),"",INDEX('Compliance Database'!$F$2:$F$1199,MATCH(719,Engine!$C$2:$C$1199,0)))</f>
        <v/>
      </c>
      <c r="G732" s="6" t="str">
        <f>IF(ISNA(MATCH(719,Engine!$C$2:$C$1199,0)),"",INDEX('Compliance Database'!$G$2:$G$1199,MATCH(719,Engine!$C$2:$C$1199,0)))</f>
        <v/>
      </c>
      <c r="H732" s="7" t="str">
        <f>IF(ISNA(MATCH(719,Engine!$C$2:$C$1199,0)),"",INDEX('Compliance Database'!$H$2:$H$1199,MATCH(719,Engine!$C$2:$C$1199,0)))</f>
        <v/>
      </c>
      <c r="I732" s="7" t="str">
        <f>IF(ISNA(MATCH(719,Engine!$C$2:$C$1199,0)),"",INDEX('Compliance Database'!$I$2:$I$1199,MATCH(719,Engine!$C$2:$C$1199,0)))</f>
        <v/>
      </c>
      <c r="J732" s="6" t="str">
        <f>IF(ISNA(MATCH(719,Engine!$C$2:$C$1199,0)),"",INDEX('Compliance Database'!$J$2:$J$1199,MATCH(719,Engine!$C$2:$C$1199,0)))</f>
        <v/>
      </c>
      <c r="K732" s="7" t="str">
        <f>IF(ISNA(MATCH(719,Engine!$C$2:$C$1199,0)),"",INDEX('Compliance Database'!$K$2:$K$1199,MATCH(719,Engine!$C$2:$C$1199,0)))</f>
        <v/>
      </c>
      <c r="L732" s="7" t="str">
        <f>IF(ISNA(MATCH(719,Engine!$C$2:$C$1199,0)),"",INDEX('Compliance Database'!$L$2:$L$1199,MATCH(719,Engine!$C$2:$C$1199,0)))</f>
        <v/>
      </c>
      <c r="M732" s="7" t="str">
        <f>IF(ISNA(MATCH(719,Engine!$C$2:$C$1199,0)),"",INDEX('Compliance Database'!$M$2:$M$1199,MATCH(719,Engine!$C$2:$C$1199,0)))</f>
        <v/>
      </c>
      <c r="N732" s="7" t="str">
        <f>IF(ISNA(MATCH(719,Engine!$C$2:$C$1199,0)),"",INDEX('Compliance Database'!$N$2:$N$1199,MATCH(719,Engine!$C$2:$C$1199,0)))</f>
        <v/>
      </c>
      <c r="O732" s="7" t="str">
        <f>IF(ISNA(MATCH(719,Engine!$C$2:$C$1199,0)),"",INDEX('Compliance Database'!$O$2:$O$1199,MATCH(719,Engine!$C$2:$C$1199,0)))</f>
        <v/>
      </c>
      <c r="P732" s="6" t="str">
        <f>IF(ISNA(MATCH(719,Engine!$C$2:$C$1199,0)),"",HYPERLINK("#Acts!A"&amp;INDEX('Compliance Database'!$P$2:$P$1199,MATCH(719,Engine!$C$2:$C$1199,0)),"Go to Act"))</f>
        <v/>
      </c>
    </row>
    <row r="733" spans="1:16" ht="172.95" customHeight="1" x14ac:dyDescent="0.3">
      <c r="A733" s="6" t="str">
        <f>IF(ISNA(MATCH(720,Engine!$C$2:$C$1199,0)),"",INDEX('Compliance Database'!$A$2:$A$1199,MATCH(720,Engine!$C$2:$C$1199,0)))</f>
        <v/>
      </c>
      <c r="B733" s="6" t="str">
        <f>IF(ISNA(MATCH(720,Engine!$C$2:$C$1199,0)),"",INDEX('Compliance Database'!$B$2:$B$1199,MATCH(720,Engine!$C$2:$C$1199,0)))</f>
        <v/>
      </c>
      <c r="C733" s="6" t="str">
        <f>IF(ISNA(MATCH(720,Engine!$C$2:$C$1199,0)),"",INDEX('Compliance Database'!$C$2:$C$1199,MATCH(720,Engine!$C$2:$C$1199,0)))</f>
        <v/>
      </c>
      <c r="D733" s="7" t="str">
        <f>IF(ISNA(MATCH(720,Engine!$C$2:$C$1199,0)),"",INDEX('Compliance Database'!$D$2:$D$1199,MATCH(720,Engine!$C$2:$C$1199,0)))</f>
        <v/>
      </c>
      <c r="E733" s="6" t="str">
        <f>IF(ISNA(MATCH(720,Engine!$C$2:$C$1199,0)),"",INDEX('Compliance Database'!$E$2:$E$1199,MATCH(720,Engine!$C$2:$C$1199,0)))</f>
        <v/>
      </c>
      <c r="F733" s="6" t="str">
        <f>IF(ISNA(MATCH(720,Engine!$C$2:$C$1199,0)),"",INDEX('Compliance Database'!$F$2:$F$1199,MATCH(720,Engine!$C$2:$C$1199,0)))</f>
        <v/>
      </c>
      <c r="G733" s="6" t="str">
        <f>IF(ISNA(MATCH(720,Engine!$C$2:$C$1199,0)),"",INDEX('Compliance Database'!$G$2:$G$1199,MATCH(720,Engine!$C$2:$C$1199,0)))</f>
        <v/>
      </c>
      <c r="H733" s="7" t="str">
        <f>IF(ISNA(MATCH(720,Engine!$C$2:$C$1199,0)),"",INDEX('Compliance Database'!$H$2:$H$1199,MATCH(720,Engine!$C$2:$C$1199,0)))</f>
        <v/>
      </c>
      <c r="I733" s="7" t="str">
        <f>IF(ISNA(MATCH(720,Engine!$C$2:$C$1199,0)),"",INDEX('Compliance Database'!$I$2:$I$1199,MATCH(720,Engine!$C$2:$C$1199,0)))</f>
        <v/>
      </c>
      <c r="J733" s="6" t="str">
        <f>IF(ISNA(MATCH(720,Engine!$C$2:$C$1199,0)),"",INDEX('Compliance Database'!$J$2:$J$1199,MATCH(720,Engine!$C$2:$C$1199,0)))</f>
        <v/>
      </c>
      <c r="K733" s="7" t="str">
        <f>IF(ISNA(MATCH(720,Engine!$C$2:$C$1199,0)),"",INDEX('Compliance Database'!$K$2:$K$1199,MATCH(720,Engine!$C$2:$C$1199,0)))</f>
        <v/>
      </c>
      <c r="L733" s="7" t="str">
        <f>IF(ISNA(MATCH(720,Engine!$C$2:$C$1199,0)),"",INDEX('Compliance Database'!$L$2:$L$1199,MATCH(720,Engine!$C$2:$C$1199,0)))</f>
        <v/>
      </c>
      <c r="M733" s="7" t="str">
        <f>IF(ISNA(MATCH(720,Engine!$C$2:$C$1199,0)),"",INDEX('Compliance Database'!$M$2:$M$1199,MATCH(720,Engine!$C$2:$C$1199,0)))</f>
        <v/>
      </c>
      <c r="N733" s="7" t="str">
        <f>IF(ISNA(MATCH(720,Engine!$C$2:$C$1199,0)),"",INDEX('Compliance Database'!$N$2:$N$1199,MATCH(720,Engine!$C$2:$C$1199,0)))</f>
        <v/>
      </c>
      <c r="O733" s="7" t="str">
        <f>IF(ISNA(MATCH(720,Engine!$C$2:$C$1199,0)),"",INDEX('Compliance Database'!$O$2:$O$1199,MATCH(720,Engine!$C$2:$C$1199,0)))</f>
        <v/>
      </c>
      <c r="P733" s="6" t="str">
        <f>IF(ISNA(MATCH(720,Engine!$C$2:$C$1199,0)),"",HYPERLINK("#Acts!A"&amp;INDEX('Compliance Database'!$P$2:$P$1199,MATCH(720,Engine!$C$2:$C$1199,0)),"Go to Act"))</f>
        <v/>
      </c>
    </row>
    <row r="734" spans="1:16" ht="172.95" customHeight="1" x14ac:dyDescent="0.3">
      <c r="A734" s="6" t="str">
        <f>IF(ISNA(MATCH(721,Engine!$C$2:$C$1199,0)),"",INDEX('Compliance Database'!$A$2:$A$1199,MATCH(721,Engine!$C$2:$C$1199,0)))</f>
        <v/>
      </c>
      <c r="B734" s="6" t="str">
        <f>IF(ISNA(MATCH(721,Engine!$C$2:$C$1199,0)),"",INDEX('Compliance Database'!$B$2:$B$1199,MATCH(721,Engine!$C$2:$C$1199,0)))</f>
        <v/>
      </c>
      <c r="C734" s="6" t="str">
        <f>IF(ISNA(MATCH(721,Engine!$C$2:$C$1199,0)),"",INDEX('Compliance Database'!$C$2:$C$1199,MATCH(721,Engine!$C$2:$C$1199,0)))</f>
        <v/>
      </c>
      <c r="D734" s="7" t="str">
        <f>IF(ISNA(MATCH(721,Engine!$C$2:$C$1199,0)),"",INDEX('Compliance Database'!$D$2:$D$1199,MATCH(721,Engine!$C$2:$C$1199,0)))</f>
        <v/>
      </c>
      <c r="E734" s="6" t="str">
        <f>IF(ISNA(MATCH(721,Engine!$C$2:$C$1199,0)),"",INDEX('Compliance Database'!$E$2:$E$1199,MATCH(721,Engine!$C$2:$C$1199,0)))</f>
        <v/>
      </c>
      <c r="F734" s="6" t="str">
        <f>IF(ISNA(MATCH(721,Engine!$C$2:$C$1199,0)),"",INDEX('Compliance Database'!$F$2:$F$1199,MATCH(721,Engine!$C$2:$C$1199,0)))</f>
        <v/>
      </c>
      <c r="G734" s="6" t="str">
        <f>IF(ISNA(MATCH(721,Engine!$C$2:$C$1199,0)),"",INDEX('Compliance Database'!$G$2:$G$1199,MATCH(721,Engine!$C$2:$C$1199,0)))</f>
        <v/>
      </c>
      <c r="H734" s="7" t="str">
        <f>IF(ISNA(MATCH(721,Engine!$C$2:$C$1199,0)),"",INDEX('Compliance Database'!$H$2:$H$1199,MATCH(721,Engine!$C$2:$C$1199,0)))</f>
        <v/>
      </c>
      <c r="I734" s="7" t="str">
        <f>IF(ISNA(MATCH(721,Engine!$C$2:$C$1199,0)),"",INDEX('Compliance Database'!$I$2:$I$1199,MATCH(721,Engine!$C$2:$C$1199,0)))</f>
        <v/>
      </c>
      <c r="J734" s="6" t="str">
        <f>IF(ISNA(MATCH(721,Engine!$C$2:$C$1199,0)),"",INDEX('Compliance Database'!$J$2:$J$1199,MATCH(721,Engine!$C$2:$C$1199,0)))</f>
        <v/>
      </c>
      <c r="K734" s="7" t="str">
        <f>IF(ISNA(MATCH(721,Engine!$C$2:$C$1199,0)),"",INDEX('Compliance Database'!$K$2:$K$1199,MATCH(721,Engine!$C$2:$C$1199,0)))</f>
        <v/>
      </c>
      <c r="L734" s="7" t="str">
        <f>IF(ISNA(MATCH(721,Engine!$C$2:$C$1199,0)),"",INDEX('Compliance Database'!$L$2:$L$1199,MATCH(721,Engine!$C$2:$C$1199,0)))</f>
        <v/>
      </c>
      <c r="M734" s="7" t="str">
        <f>IF(ISNA(MATCH(721,Engine!$C$2:$C$1199,0)),"",INDEX('Compliance Database'!$M$2:$M$1199,MATCH(721,Engine!$C$2:$C$1199,0)))</f>
        <v/>
      </c>
      <c r="N734" s="7" t="str">
        <f>IF(ISNA(MATCH(721,Engine!$C$2:$C$1199,0)),"",INDEX('Compliance Database'!$N$2:$N$1199,MATCH(721,Engine!$C$2:$C$1199,0)))</f>
        <v/>
      </c>
      <c r="O734" s="7" t="str">
        <f>IF(ISNA(MATCH(721,Engine!$C$2:$C$1199,0)),"",INDEX('Compliance Database'!$O$2:$O$1199,MATCH(721,Engine!$C$2:$C$1199,0)))</f>
        <v/>
      </c>
      <c r="P734" s="6" t="str">
        <f>IF(ISNA(MATCH(721,Engine!$C$2:$C$1199,0)),"",HYPERLINK("#Acts!A"&amp;INDEX('Compliance Database'!$P$2:$P$1199,MATCH(721,Engine!$C$2:$C$1199,0)),"Go to Act"))</f>
        <v/>
      </c>
    </row>
    <row r="735" spans="1:16" ht="172.95" customHeight="1" x14ac:dyDescent="0.3">
      <c r="A735" s="6" t="str">
        <f>IF(ISNA(MATCH(722,Engine!$C$2:$C$1199,0)),"",INDEX('Compliance Database'!$A$2:$A$1199,MATCH(722,Engine!$C$2:$C$1199,0)))</f>
        <v/>
      </c>
      <c r="B735" s="6" t="str">
        <f>IF(ISNA(MATCH(722,Engine!$C$2:$C$1199,0)),"",INDEX('Compliance Database'!$B$2:$B$1199,MATCH(722,Engine!$C$2:$C$1199,0)))</f>
        <v/>
      </c>
      <c r="C735" s="6" t="str">
        <f>IF(ISNA(MATCH(722,Engine!$C$2:$C$1199,0)),"",INDEX('Compliance Database'!$C$2:$C$1199,MATCH(722,Engine!$C$2:$C$1199,0)))</f>
        <v/>
      </c>
      <c r="D735" s="7" t="str">
        <f>IF(ISNA(MATCH(722,Engine!$C$2:$C$1199,0)),"",INDEX('Compliance Database'!$D$2:$D$1199,MATCH(722,Engine!$C$2:$C$1199,0)))</f>
        <v/>
      </c>
      <c r="E735" s="6" t="str">
        <f>IF(ISNA(MATCH(722,Engine!$C$2:$C$1199,0)),"",INDEX('Compliance Database'!$E$2:$E$1199,MATCH(722,Engine!$C$2:$C$1199,0)))</f>
        <v/>
      </c>
      <c r="F735" s="6" t="str">
        <f>IF(ISNA(MATCH(722,Engine!$C$2:$C$1199,0)),"",INDEX('Compliance Database'!$F$2:$F$1199,MATCH(722,Engine!$C$2:$C$1199,0)))</f>
        <v/>
      </c>
      <c r="G735" s="6" t="str">
        <f>IF(ISNA(MATCH(722,Engine!$C$2:$C$1199,0)),"",INDEX('Compliance Database'!$G$2:$G$1199,MATCH(722,Engine!$C$2:$C$1199,0)))</f>
        <v/>
      </c>
      <c r="H735" s="7" t="str">
        <f>IF(ISNA(MATCH(722,Engine!$C$2:$C$1199,0)),"",INDEX('Compliance Database'!$H$2:$H$1199,MATCH(722,Engine!$C$2:$C$1199,0)))</f>
        <v/>
      </c>
      <c r="I735" s="7" t="str">
        <f>IF(ISNA(MATCH(722,Engine!$C$2:$C$1199,0)),"",INDEX('Compliance Database'!$I$2:$I$1199,MATCH(722,Engine!$C$2:$C$1199,0)))</f>
        <v/>
      </c>
      <c r="J735" s="6" t="str">
        <f>IF(ISNA(MATCH(722,Engine!$C$2:$C$1199,0)),"",INDEX('Compliance Database'!$J$2:$J$1199,MATCH(722,Engine!$C$2:$C$1199,0)))</f>
        <v/>
      </c>
      <c r="K735" s="7" t="str">
        <f>IF(ISNA(MATCH(722,Engine!$C$2:$C$1199,0)),"",INDEX('Compliance Database'!$K$2:$K$1199,MATCH(722,Engine!$C$2:$C$1199,0)))</f>
        <v/>
      </c>
      <c r="L735" s="7" t="str">
        <f>IF(ISNA(MATCH(722,Engine!$C$2:$C$1199,0)),"",INDEX('Compliance Database'!$L$2:$L$1199,MATCH(722,Engine!$C$2:$C$1199,0)))</f>
        <v/>
      </c>
      <c r="M735" s="7" t="str">
        <f>IF(ISNA(MATCH(722,Engine!$C$2:$C$1199,0)),"",INDEX('Compliance Database'!$M$2:$M$1199,MATCH(722,Engine!$C$2:$C$1199,0)))</f>
        <v/>
      </c>
      <c r="N735" s="7" t="str">
        <f>IF(ISNA(MATCH(722,Engine!$C$2:$C$1199,0)),"",INDEX('Compliance Database'!$N$2:$N$1199,MATCH(722,Engine!$C$2:$C$1199,0)))</f>
        <v/>
      </c>
      <c r="O735" s="7" t="str">
        <f>IF(ISNA(MATCH(722,Engine!$C$2:$C$1199,0)),"",INDEX('Compliance Database'!$O$2:$O$1199,MATCH(722,Engine!$C$2:$C$1199,0)))</f>
        <v/>
      </c>
      <c r="P735" s="6" t="str">
        <f>IF(ISNA(MATCH(722,Engine!$C$2:$C$1199,0)),"",HYPERLINK("#Acts!A"&amp;INDEX('Compliance Database'!$P$2:$P$1199,MATCH(722,Engine!$C$2:$C$1199,0)),"Go to Act"))</f>
        <v/>
      </c>
    </row>
    <row r="736" spans="1:16" ht="172.95" customHeight="1" x14ac:dyDescent="0.3">
      <c r="A736" s="6" t="str">
        <f>IF(ISNA(MATCH(723,Engine!$C$2:$C$1199,0)),"",INDEX('Compliance Database'!$A$2:$A$1199,MATCH(723,Engine!$C$2:$C$1199,0)))</f>
        <v/>
      </c>
      <c r="B736" s="6" t="str">
        <f>IF(ISNA(MATCH(723,Engine!$C$2:$C$1199,0)),"",INDEX('Compliance Database'!$B$2:$B$1199,MATCH(723,Engine!$C$2:$C$1199,0)))</f>
        <v/>
      </c>
      <c r="C736" s="6" t="str">
        <f>IF(ISNA(MATCH(723,Engine!$C$2:$C$1199,0)),"",INDEX('Compliance Database'!$C$2:$C$1199,MATCH(723,Engine!$C$2:$C$1199,0)))</f>
        <v/>
      </c>
      <c r="D736" s="7" t="str">
        <f>IF(ISNA(MATCH(723,Engine!$C$2:$C$1199,0)),"",INDEX('Compliance Database'!$D$2:$D$1199,MATCH(723,Engine!$C$2:$C$1199,0)))</f>
        <v/>
      </c>
      <c r="E736" s="6" t="str">
        <f>IF(ISNA(MATCH(723,Engine!$C$2:$C$1199,0)),"",INDEX('Compliance Database'!$E$2:$E$1199,MATCH(723,Engine!$C$2:$C$1199,0)))</f>
        <v/>
      </c>
      <c r="F736" s="6" t="str">
        <f>IF(ISNA(MATCH(723,Engine!$C$2:$C$1199,0)),"",INDEX('Compliance Database'!$F$2:$F$1199,MATCH(723,Engine!$C$2:$C$1199,0)))</f>
        <v/>
      </c>
      <c r="G736" s="6" t="str">
        <f>IF(ISNA(MATCH(723,Engine!$C$2:$C$1199,0)),"",INDEX('Compliance Database'!$G$2:$G$1199,MATCH(723,Engine!$C$2:$C$1199,0)))</f>
        <v/>
      </c>
      <c r="H736" s="7" t="str">
        <f>IF(ISNA(MATCH(723,Engine!$C$2:$C$1199,0)),"",INDEX('Compliance Database'!$H$2:$H$1199,MATCH(723,Engine!$C$2:$C$1199,0)))</f>
        <v/>
      </c>
      <c r="I736" s="7" t="str">
        <f>IF(ISNA(MATCH(723,Engine!$C$2:$C$1199,0)),"",INDEX('Compliance Database'!$I$2:$I$1199,MATCH(723,Engine!$C$2:$C$1199,0)))</f>
        <v/>
      </c>
      <c r="J736" s="6" t="str">
        <f>IF(ISNA(MATCH(723,Engine!$C$2:$C$1199,0)),"",INDEX('Compliance Database'!$J$2:$J$1199,MATCH(723,Engine!$C$2:$C$1199,0)))</f>
        <v/>
      </c>
      <c r="K736" s="7" t="str">
        <f>IF(ISNA(MATCH(723,Engine!$C$2:$C$1199,0)),"",INDEX('Compliance Database'!$K$2:$K$1199,MATCH(723,Engine!$C$2:$C$1199,0)))</f>
        <v/>
      </c>
      <c r="L736" s="7" t="str">
        <f>IF(ISNA(MATCH(723,Engine!$C$2:$C$1199,0)),"",INDEX('Compliance Database'!$L$2:$L$1199,MATCH(723,Engine!$C$2:$C$1199,0)))</f>
        <v/>
      </c>
      <c r="M736" s="7" t="str">
        <f>IF(ISNA(MATCH(723,Engine!$C$2:$C$1199,0)),"",INDEX('Compliance Database'!$M$2:$M$1199,MATCH(723,Engine!$C$2:$C$1199,0)))</f>
        <v/>
      </c>
      <c r="N736" s="7" t="str">
        <f>IF(ISNA(MATCH(723,Engine!$C$2:$C$1199,0)),"",INDEX('Compliance Database'!$N$2:$N$1199,MATCH(723,Engine!$C$2:$C$1199,0)))</f>
        <v/>
      </c>
      <c r="O736" s="7" t="str">
        <f>IF(ISNA(MATCH(723,Engine!$C$2:$C$1199,0)),"",INDEX('Compliance Database'!$O$2:$O$1199,MATCH(723,Engine!$C$2:$C$1199,0)))</f>
        <v/>
      </c>
      <c r="P736" s="6" t="str">
        <f>IF(ISNA(MATCH(723,Engine!$C$2:$C$1199,0)),"",HYPERLINK("#Acts!A"&amp;INDEX('Compliance Database'!$P$2:$P$1199,MATCH(723,Engine!$C$2:$C$1199,0)),"Go to Act"))</f>
        <v/>
      </c>
    </row>
    <row r="737" spans="1:16" ht="172.95" customHeight="1" x14ac:dyDescent="0.3">
      <c r="A737" s="6" t="str">
        <f>IF(ISNA(MATCH(724,Engine!$C$2:$C$1199,0)),"",INDEX('Compliance Database'!$A$2:$A$1199,MATCH(724,Engine!$C$2:$C$1199,0)))</f>
        <v/>
      </c>
      <c r="B737" s="6" t="str">
        <f>IF(ISNA(MATCH(724,Engine!$C$2:$C$1199,0)),"",INDEX('Compliance Database'!$B$2:$B$1199,MATCH(724,Engine!$C$2:$C$1199,0)))</f>
        <v/>
      </c>
      <c r="C737" s="6" t="str">
        <f>IF(ISNA(MATCH(724,Engine!$C$2:$C$1199,0)),"",INDEX('Compliance Database'!$C$2:$C$1199,MATCH(724,Engine!$C$2:$C$1199,0)))</f>
        <v/>
      </c>
      <c r="D737" s="7" t="str">
        <f>IF(ISNA(MATCH(724,Engine!$C$2:$C$1199,0)),"",INDEX('Compliance Database'!$D$2:$D$1199,MATCH(724,Engine!$C$2:$C$1199,0)))</f>
        <v/>
      </c>
      <c r="E737" s="6" t="str">
        <f>IF(ISNA(MATCH(724,Engine!$C$2:$C$1199,0)),"",INDEX('Compliance Database'!$E$2:$E$1199,MATCH(724,Engine!$C$2:$C$1199,0)))</f>
        <v/>
      </c>
      <c r="F737" s="6" t="str">
        <f>IF(ISNA(MATCH(724,Engine!$C$2:$C$1199,0)),"",INDEX('Compliance Database'!$F$2:$F$1199,MATCH(724,Engine!$C$2:$C$1199,0)))</f>
        <v/>
      </c>
      <c r="G737" s="6" t="str">
        <f>IF(ISNA(MATCH(724,Engine!$C$2:$C$1199,0)),"",INDEX('Compliance Database'!$G$2:$G$1199,MATCH(724,Engine!$C$2:$C$1199,0)))</f>
        <v/>
      </c>
      <c r="H737" s="7" t="str">
        <f>IF(ISNA(MATCH(724,Engine!$C$2:$C$1199,0)),"",INDEX('Compliance Database'!$H$2:$H$1199,MATCH(724,Engine!$C$2:$C$1199,0)))</f>
        <v/>
      </c>
      <c r="I737" s="7" t="str">
        <f>IF(ISNA(MATCH(724,Engine!$C$2:$C$1199,0)),"",INDEX('Compliance Database'!$I$2:$I$1199,MATCH(724,Engine!$C$2:$C$1199,0)))</f>
        <v/>
      </c>
      <c r="J737" s="6" t="str">
        <f>IF(ISNA(MATCH(724,Engine!$C$2:$C$1199,0)),"",INDEX('Compliance Database'!$J$2:$J$1199,MATCH(724,Engine!$C$2:$C$1199,0)))</f>
        <v/>
      </c>
      <c r="K737" s="7" t="str">
        <f>IF(ISNA(MATCH(724,Engine!$C$2:$C$1199,0)),"",INDEX('Compliance Database'!$K$2:$K$1199,MATCH(724,Engine!$C$2:$C$1199,0)))</f>
        <v/>
      </c>
      <c r="L737" s="7" t="str">
        <f>IF(ISNA(MATCH(724,Engine!$C$2:$C$1199,0)),"",INDEX('Compliance Database'!$L$2:$L$1199,MATCH(724,Engine!$C$2:$C$1199,0)))</f>
        <v/>
      </c>
      <c r="M737" s="7" t="str">
        <f>IF(ISNA(MATCH(724,Engine!$C$2:$C$1199,0)),"",INDEX('Compliance Database'!$M$2:$M$1199,MATCH(724,Engine!$C$2:$C$1199,0)))</f>
        <v/>
      </c>
      <c r="N737" s="7" t="str">
        <f>IF(ISNA(MATCH(724,Engine!$C$2:$C$1199,0)),"",INDEX('Compliance Database'!$N$2:$N$1199,MATCH(724,Engine!$C$2:$C$1199,0)))</f>
        <v/>
      </c>
      <c r="O737" s="7" t="str">
        <f>IF(ISNA(MATCH(724,Engine!$C$2:$C$1199,0)),"",INDEX('Compliance Database'!$O$2:$O$1199,MATCH(724,Engine!$C$2:$C$1199,0)))</f>
        <v/>
      </c>
      <c r="P737" s="6" t="str">
        <f>IF(ISNA(MATCH(724,Engine!$C$2:$C$1199,0)),"",HYPERLINK("#Acts!A"&amp;INDEX('Compliance Database'!$P$2:$P$1199,MATCH(724,Engine!$C$2:$C$1199,0)),"Go to Act"))</f>
        <v/>
      </c>
    </row>
    <row r="738" spans="1:16" ht="172.95" customHeight="1" x14ac:dyDescent="0.3">
      <c r="A738" s="6" t="str">
        <f>IF(ISNA(MATCH(725,Engine!$C$2:$C$1199,0)),"",INDEX('Compliance Database'!$A$2:$A$1199,MATCH(725,Engine!$C$2:$C$1199,0)))</f>
        <v/>
      </c>
      <c r="B738" s="6" t="str">
        <f>IF(ISNA(MATCH(725,Engine!$C$2:$C$1199,0)),"",INDEX('Compliance Database'!$B$2:$B$1199,MATCH(725,Engine!$C$2:$C$1199,0)))</f>
        <v/>
      </c>
      <c r="C738" s="6" t="str">
        <f>IF(ISNA(MATCH(725,Engine!$C$2:$C$1199,0)),"",INDEX('Compliance Database'!$C$2:$C$1199,MATCH(725,Engine!$C$2:$C$1199,0)))</f>
        <v/>
      </c>
      <c r="D738" s="7" t="str">
        <f>IF(ISNA(MATCH(725,Engine!$C$2:$C$1199,0)),"",INDEX('Compliance Database'!$D$2:$D$1199,MATCH(725,Engine!$C$2:$C$1199,0)))</f>
        <v/>
      </c>
      <c r="E738" s="6" t="str">
        <f>IF(ISNA(MATCH(725,Engine!$C$2:$C$1199,0)),"",INDEX('Compliance Database'!$E$2:$E$1199,MATCH(725,Engine!$C$2:$C$1199,0)))</f>
        <v/>
      </c>
      <c r="F738" s="6" t="str">
        <f>IF(ISNA(MATCH(725,Engine!$C$2:$C$1199,0)),"",INDEX('Compliance Database'!$F$2:$F$1199,MATCH(725,Engine!$C$2:$C$1199,0)))</f>
        <v/>
      </c>
      <c r="G738" s="6" t="str">
        <f>IF(ISNA(MATCH(725,Engine!$C$2:$C$1199,0)),"",INDEX('Compliance Database'!$G$2:$G$1199,MATCH(725,Engine!$C$2:$C$1199,0)))</f>
        <v/>
      </c>
      <c r="H738" s="7" t="str">
        <f>IF(ISNA(MATCH(725,Engine!$C$2:$C$1199,0)),"",INDEX('Compliance Database'!$H$2:$H$1199,MATCH(725,Engine!$C$2:$C$1199,0)))</f>
        <v/>
      </c>
      <c r="I738" s="7" t="str">
        <f>IF(ISNA(MATCH(725,Engine!$C$2:$C$1199,0)),"",INDEX('Compliance Database'!$I$2:$I$1199,MATCH(725,Engine!$C$2:$C$1199,0)))</f>
        <v/>
      </c>
      <c r="J738" s="6" t="str">
        <f>IF(ISNA(MATCH(725,Engine!$C$2:$C$1199,0)),"",INDEX('Compliance Database'!$J$2:$J$1199,MATCH(725,Engine!$C$2:$C$1199,0)))</f>
        <v/>
      </c>
      <c r="K738" s="7" t="str">
        <f>IF(ISNA(MATCH(725,Engine!$C$2:$C$1199,0)),"",INDEX('Compliance Database'!$K$2:$K$1199,MATCH(725,Engine!$C$2:$C$1199,0)))</f>
        <v/>
      </c>
      <c r="L738" s="7" t="str">
        <f>IF(ISNA(MATCH(725,Engine!$C$2:$C$1199,0)),"",INDEX('Compliance Database'!$L$2:$L$1199,MATCH(725,Engine!$C$2:$C$1199,0)))</f>
        <v/>
      </c>
      <c r="M738" s="7" t="str">
        <f>IF(ISNA(MATCH(725,Engine!$C$2:$C$1199,0)),"",INDEX('Compliance Database'!$M$2:$M$1199,MATCH(725,Engine!$C$2:$C$1199,0)))</f>
        <v/>
      </c>
      <c r="N738" s="7" t="str">
        <f>IF(ISNA(MATCH(725,Engine!$C$2:$C$1199,0)),"",INDEX('Compliance Database'!$N$2:$N$1199,MATCH(725,Engine!$C$2:$C$1199,0)))</f>
        <v/>
      </c>
      <c r="O738" s="7" t="str">
        <f>IF(ISNA(MATCH(725,Engine!$C$2:$C$1199,0)),"",INDEX('Compliance Database'!$O$2:$O$1199,MATCH(725,Engine!$C$2:$C$1199,0)))</f>
        <v/>
      </c>
      <c r="P738" s="6" t="str">
        <f>IF(ISNA(MATCH(725,Engine!$C$2:$C$1199,0)),"",HYPERLINK("#Acts!A"&amp;INDEX('Compliance Database'!$P$2:$P$1199,MATCH(725,Engine!$C$2:$C$1199,0)),"Go to Act"))</f>
        <v/>
      </c>
    </row>
    <row r="739" spans="1:16" ht="172.95" customHeight="1" x14ac:dyDescent="0.3">
      <c r="A739" s="6" t="str">
        <f>IF(ISNA(MATCH(726,Engine!$C$2:$C$1199,0)),"",INDEX('Compliance Database'!$A$2:$A$1199,MATCH(726,Engine!$C$2:$C$1199,0)))</f>
        <v/>
      </c>
      <c r="B739" s="6" t="str">
        <f>IF(ISNA(MATCH(726,Engine!$C$2:$C$1199,0)),"",INDEX('Compliance Database'!$B$2:$B$1199,MATCH(726,Engine!$C$2:$C$1199,0)))</f>
        <v/>
      </c>
      <c r="C739" s="6" t="str">
        <f>IF(ISNA(MATCH(726,Engine!$C$2:$C$1199,0)),"",INDEX('Compliance Database'!$C$2:$C$1199,MATCH(726,Engine!$C$2:$C$1199,0)))</f>
        <v/>
      </c>
      <c r="D739" s="7" t="str">
        <f>IF(ISNA(MATCH(726,Engine!$C$2:$C$1199,0)),"",INDEX('Compliance Database'!$D$2:$D$1199,MATCH(726,Engine!$C$2:$C$1199,0)))</f>
        <v/>
      </c>
      <c r="E739" s="6" t="str">
        <f>IF(ISNA(MATCH(726,Engine!$C$2:$C$1199,0)),"",INDEX('Compliance Database'!$E$2:$E$1199,MATCH(726,Engine!$C$2:$C$1199,0)))</f>
        <v/>
      </c>
      <c r="F739" s="6" t="str">
        <f>IF(ISNA(MATCH(726,Engine!$C$2:$C$1199,0)),"",INDEX('Compliance Database'!$F$2:$F$1199,MATCH(726,Engine!$C$2:$C$1199,0)))</f>
        <v/>
      </c>
      <c r="G739" s="6" t="str">
        <f>IF(ISNA(MATCH(726,Engine!$C$2:$C$1199,0)),"",INDEX('Compliance Database'!$G$2:$G$1199,MATCH(726,Engine!$C$2:$C$1199,0)))</f>
        <v/>
      </c>
      <c r="H739" s="7" t="str">
        <f>IF(ISNA(MATCH(726,Engine!$C$2:$C$1199,0)),"",INDEX('Compliance Database'!$H$2:$H$1199,MATCH(726,Engine!$C$2:$C$1199,0)))</f>
        <v/>
      </c>
      <c r="I739" s="7" t="str">
        <f>IF(ISNA(MATCH(726,Engine!$C$2:$C$1199,0)),"",INDEX('Compliance Database'!$I$2:$I$1199,MATCH(726,Engine!$C$2:$C$1199,0)))</f>
        <v/>
      </c>
      <c r="J739" s="6" t="str">
        <f>IF(ISNA(MATCH(726,Engine!$C$2:$C$1199,0)),"",INDEX('Compliance Database'!$J$2:$J$1199,MATCH(726,Engine!$C$2:$C$1199,0)))</f>
        <v/>
      </c>
      <c r="K739" s="7" t="str">
        <f>IF(ISNA(MATCH(726,Engine!$C$2:$C$1199,0)),"",INDEX('Compliance Database'!$K$2:$K$1199,MATCH(726,Engine!$C$2:$C$1199,0)))</f>
        <v/>
      </c>
      <c r="L739" s="7" t="str">
        <f>IF(ISNA(MATCH(726,Engine!$C$2:$C$1199,0)),"",INDEX('Compliance Database'!$L$2:$L$1199,MATCH(726,Engine!$C$2:$C$1199,0)))</f>
        <v/>
      </c>
      <c r="M739" s="7" t="str">
        <f>IF(ISNA(MATCH(726,Engine!$C$2:$C$1199,0)),"",INDEX('Compliance Database'!$M$2:$M$1199,MATCH(726,Engine!$C$2:$C$1199,0)))</f>
        <v/>
      </c>
      <c r="N739" s="7" t="str">
        <f>IF(ISNA(MATCH(726,Engine!$C$2:$C$1199,0)),"",INDEX('Compliance Database'!$N$2:$N$1199,MATCH(726,Engine!$C$2:$C$1199,0)))</f>
        <v/>
      </c>
      <c r="O739" s="7" t="str">
        <f>IF(ISNA(MATCH(726,Engine!$C$2:$C$1199,0)),"",INDEX('Compliance Database'!$O$2:$O$1199,MATCH(726,Engine!$C$2:$C$1199,0)))</f>
        <v/>
      </c>
      <c r="P739" s="6" t="str">
        <f>IF(ISNA(MATCH(726,Engine!$C$2:$C$1199,0)),"",HYPERLINK("#Acts!A"&amp;INDEX('Compliance Database'!$P$2:$P$1199,MATCH(726,Engine!$C$2:$C$1199,0)),"Go to Act"))</f>
        <v/>
      </c>
    </row>
    <row r="740" spans="1:16" ht="172.95" customHeight="1" x14ac:dyDescent="0.3">
      <c r="A740" s="6" t="str">
        <f>IF(ISNA(MATCH(727,Engine!$C$2:$C$1199,0)),"",INDEX('Compliance Database'!$A$2:$A$1199,MATCH(727,Engine!$C$2:$C$1199,0)))</f>
        <v/>
      </c>
      <c r="B740" s="6" t="str">
        <f>IF(ISNA(MATCH(727,Engine!$C$2:$C$1199,0)),"",INDEX('Compliance Database'!$B$2:$B$1199,MATCH(727,Engine!$C$2:$C$1199,0)))</f>
        <v/>
      </c>
      <c r="C740" s="6" t="str">
        <f>IF(ISNA(MATCH(727,Engine!$C$2:$C$1199,0)),"",INDEX('Compliance Database'!$C$2:$C$1199,MATCH(727,Engine!$C$2:$C$1199,0)))</f>
        <v/>
      </c>
      <c r="D740" s="7" t="str">
        <f>IF(ISNA(MATCH(727,Engine!$C$2:$C$1199,0)),"",INDEX('Compliance Database'!$D$2:$D$1199,MATCH(727,Engine!$C$2:$C$1199,0)))</f>
        <v/>
      </c>
      <c r="E740" s="6" t="str">
        <f>IF(ISNA(MATCH(727,Engine!$C$2:$C$1199,0)),"",INDEX('Compliance Database'!$E$2:$E$1199,MATCH(727,Engine!$C$2:$C$1199,0)))</f>
        <v/>
      </c>
      <c r="F740" s="6" t="str">
        <f>IF(ISNA(MATCH(727,Engine!$C$2:$C$1199,0)),"",INDEX('Compliance Database'!$F$2:$F$1199,MATCH(727,Engine!$C$2:$C$1199,0)))</f>
        <v/>
      </c>
      <c r="G740" s="6" t="str">
        <f>IF(ISNA(MATCH(727,Engine!$C$2:$C$1199,0)),"",INDEX('Compliance Database'!$G$2:$G$1199,MATCH(727,Engine!$C$2:$C$1199,0)))</f>
        <v/>
      </c>
      <c r="H740" s="7" t="str">
        <f>IF(ISNA(MATCH(727,Engine!$C$2:$C$1199,0)),"",INDEX('Compliance Database'!$H$2:$H$1199,MATCH(727,Engine!$C$2:$C$1199,0)))</f>
        <v/>
      </c>
      <c r="I740" s="7" t="str">
        <f>IF(ISNA(MATCH(727,Engine!$C$2:$C$1199,0)),"",INDEX('Compliance Database'!$I$2:$I$1199,MATCH(727,Engine!$C$2:$C$1199,0)))</f>
        <v/>
      </c>
      <c r="J740" s="6" t="str">
        <f>IF(ISNA(MATCH(727,Engine!$C$2:$C$1199,0)),"",INDEX('Compliance Database'!$J$2:$J$1199,MATCH(727,Engine!$C$2:$C$1199,0)))</f>
        <v/>
      </c>
      <c r="K740" s="7" t="str">
        <f>IF(ISNA(MATCH(727,Engine!$C$2:$C$1199,0)),"",INDEX('Compliance Database'!$K$2:$K$1199,MATCH(727,Engine!$C$2:$C$1199,0)))</f>
        <v/>
      </c>
      <c r="L740" s="7" t="str">
        <f>IF(ISNA(MATCH(727,Engine!$C$2:$C$1199,0)),"",INDEX('Compliance Database'!$L$2:$L$1199,MATCH(727,Engine!$C$2:$C$1199,0)))</f>
        <v/>
      </c>
      <c r="M740" s="7" t="str">
        <f>IF(ISNA(MATCH(727,Engine!$C$2:$C$1199,0)),"",INDEX('Compliance Database'!$M$2:$M$1199,MATCH(727,Engine!$C$2:$C$1199,0)))</f>
        <v/>
      </c>
      <c r="N740" s="7" t="str">
        <f>IF(ISNA(MATCH(727,Engine!$C$2:$C$1199,0)),"",INDEX('Compliance Database'!$N$2:$N$1199,MATCH(727,Engine!$C$2:$C$1199,0)))</f>
        <v/>
      </c>
      <c r="O740" s="7" t="str">
        <f>IF(ISNA(MATCH(727,Engine!$C$2:$C$1199,0)),"",INDEX('Compliance Database'!$O$2:$O$1199,MATCH(727,Engine!$C$2:$C$1199,0)))</f>
        <v/>
      </c>
      <c r="P740" s="6" t="str">
        <f>IF(ISNA(MATCH(727,Engine!$C$2:$C$1199,0)),"",HYPERLINK("#Acts!A"&amp;INDEX('Compliance Database'!$P$2:$P$1199,MATCH(727,Engine!$C$2:$C$1199,0)),"Go to Act"))</f>
        <v/>
      </c>
    </row>
    <row r="741" spans="1:16" ht="172.95" customHeight="1" x14ac:dyDescent="0.3">
      <c r="A741" s="6" t="str">
        <f>IF(ISNA(MATCH(728,Engine!$C$2:$C$1199,0)),"",INDEX('Compliance Database'!$A$2:$A$1199,MATCH(728,Engine!$C$2:$C$1199,0)))</f>
        <v/>
      </c>
      <c r="B741" s="6" t="str">
        <f>IF(ISNA(MATCH(728,Engine!$C$2:$C$1199,0)),"",INDEX('Compliance Database'!$B$2:$B$1199,MATCH(728,Engine!$C$2:$C$1199,0)))</f>
        <v/>
      </c>
      <c r="C741" s="6" t="str">
        <f>IF(ISNA(MATCH(728,Engine!$C$2:$C$1199,0)),"",INDEX('Compliance Database'!$C$2:$C$1199,MATCH(728,Engine!$C$2:$C$1199,0)))</f>
        <v/>
      </c>
      <c r="D741" s="7" t="str">
        <f>IF(ISNA(MATCH(728,Engine!$C$2:$C$1199,0)),"",INDEX('Compliance Database'!$D$2:$D$1199,MATCH(728,Engine!$C$2:$C$1199,0)))</f>
        <v/>
      </c>
      <c r="E741" s="6" t="str">
        <f>IF(ISNA(MATCH(728,Engine!$C$2:$C$1199,0)),"",INDEX('Compliance Database'!$E$2:$E$1199,MATCH(728,Engine!$C$2:$C$1199,0)))</f>
        <v/>
      </c>
      <c r="F741" s="6" t="str">
        <f>IF(ISNA(MATCH(728,Engine!$C$2:$C$1199,0)),"",INDEX('Compliance Database'!$F$2:$F$1199,MATCH(728,Engine!$C$2:$C$1199,0)))</f>
        <v/>
      </c>
      <c r="G741" s="6" t="str">
        <f>IF(ISNA(MATCH(728,Engine!$C$2:$C$1199,0)),"",INDEX('Compliance Database'!$G$2:$G$1199,MATCH(728,Engine!$C$2:$C$1199,0)))</f>
        <v/>
      </c>
      <c r="H741" s="7" t="str">
        <f>IF(ISNA(MATCH(728,Engine!$C$2:$C$1199,0)),"",INDEX('Compliance Database'!$H$2:$H$1199,MATCH(728,Engine!$C$2:$C$1199,0)))</f>
        <v/>
      </c>
      <c r="I741" s="7" t="str">
        <f>IF(ISNA(MATCH(728,Engine!$C$2:$C$1199,0)),"",INDEX('Compliance Database'!$I$2:$I$1199,MATCH(728,Engine!$C$2:$C$1199,0)))</f>
        <v/>
      </c>
      <c r="J741" s="6" t="str">
        <f>IF(ISNA(MATCH(728,Engine!$C$2:$C$1199,0)),"",INDEX('Compliance Database'!$J$2:$J$1199,MATCH(728,Engine!$C$2:$C$1199,0)))</f>
        <v/>
      </c>
      <c r="K741" s="7" t="str">
        <f>IF(ISNA(MATCH(728,Engine!$C$2:$C$1199,0)),"",INDEX('Compliance Database'!$K$2:$K$1199,MATCH(728,Engine!$C$2:$C$1199,0)))</f>
        <v/>
      </c>
      <c r="L741" s="7" t="str">
        <f>IF(ISNA(MATCH(728,Engine!$C$2:$C$1199,0)),"",INDEX('Compliance Database'!$L$2:$L$1199,MATCH(728,Engine!$C$2:$C$1199,0)))</f>
        <v/>
      </c>
      <c r="M741" s="7" t="str">
        <f>IF(ISNA(MATCH(728,Engine!$C$2:$C$1199,0)),"",INDEX('Compliance Database'!$M$2:$M$1199,MATCH(728,Engine!$C$2:$C$1199,0)))</f>
        <v/>
      </c>
      <c r="N741" s="7" t="str">
        <f>IF(ISNA(MATCH(728,Engine!$C$2:$C$1199,0)),"",INDEX('Compliance Database'!$N$2:$N$1199,MATCH(728,Engine!$C$2:$C$1199,0)))</f>
        <v/>
      </c>
      <c r="O741" s="7" t="str">
        <f>IF(ISNA(MATCH(728,Engine!$C$2:$C$1199,0)),"",INDEX('Compliance Database'!$O$2:$O$1199,MATCH(728,Engine!$C$2:$C$1199,0)))</f>
        <v/>
      </c>
      <c r="P741" s="6" t="str">
        <f>IF(ISNA(MATCH(728,Engine!$C$2:$C$1199,0)),"",HYPERLINK("#Acts!A"&amp;INDEX('Compliance Database'!$P$2:$P$1199,MATCH(728,Engine!$C$2:$C$1199,0)),"Go to Act"))</f>
        <v/>
      </c>
    </row>
    <row r="742" spans="1:16" ht="172.95" customHeight="1" x14ac:dyDescent="0.3">
      <c r="A742" s="6" t="str">
        <f>IF(ISNA(MATCH(729,Engine!$C$2:$C$1199,0)),"",INDEX('Compliance Database'!$A$2:$A$1199,MATCH(729,Engine!$C$2:$C$1199,0)))</f>
        <v/>
      </c>
      <c r="B742" s="6" t="str">
        <f>IF(ISNA(MATCH(729,Engine!$C$2:$C$1199,0)),"",INDEX('Compliance Database'!$B$2:$B$1199,MATCH(729,Engine!$C$2:$C$1199,0)))</f>
        <v/>
      </c>
      <c r="C742" s="6" t="str">
        <f>IF(ISNA(MATCH(729,Engine!$C$2:$C$1199,0)),"",INDEX('Compliance Database'!$C$2:$C$1199,MATCH(729,Engine!$C$2:$C$1199,0)))</f>
        <v/>
      </c>
      <c r="D742" s="7" t="str">
        <f>IF(ISNA(MATCH(729,Engine!$C$2:$C$1199,0)),"",INDEX('Compliance Database'!$D$2:$D$1199,MATCH(729,Engine!$C$2:$C$1199,0)))</f>
        <v/>
      </c>
      <c r="E742" s="6" t="str">
        <f>IF(ISNA(MATCH(729,Engine!$C$2:$C$1199,0)),"",INDEX('Compliance Database'!$E$2:$E$1199,MATCH(729,Engine!$C$2:$C$1199,0)))</f>
        <v/>
      </c>
      <c r="F742" s="6" t="str">
        <f>IF(ISNA(MATCH(729,Engine!$C$2:$C$1199,0)),"",INDEX('Compliance Database'!$F$2:$F$1199,MATCH(729,Engine!$C$2:$C$1199,0)))</f>
        <v/>
      </c>
      <c r="G742" s="6" t="str">
        <f>IF(ISNA(MATCH(729,Engine!$C$2:$C$1199,0)),"",INDEX('Compliance Database'!$G$2:$G$1199,MATCH(729,Engine!$C$2:$C$1199,0)))</f>
        <v/>
      </c>
      <c r="H742" s="7" t="str">
        <f>IF(ISNA(MATCH(729,Engine!$C$2:$C$1199,0)),"",INDEX('Compliance Database'!$H$2:$H$1199,MATCH(729,Engine!$C$2:$C$1199,0)))</f>
        <v/>
      </c>
      <c r="I742" s="7" t="str">
        <f>IF(ISNA(MATCH(729,Engine!$C$2:$C$1199,0)),"",INDEX('Compliance Database'!$I$2:$I$1199,MATCH(729,Engine!$C$2:$C$1199,0)))</f>
        <v/>
      </c>
      <c r="J742" s="6" t="str">
        <f>IF(ISNA(MATCH(729,Engine!$C$2:$C$1199,0)),"",INDEX('Compliance Database'!$J$2:$J$1199,MATCH(729,Engine!$C$2:$C$1199,0)))</f>
        <v/>
      </c>
      <c r="K742" s="7" t="str">
        <f>IF(ISNA(MATCH(729,Engine!$C$2:$C$1199,0)),"",INDEX('Compliance Database'!$K$2:$K$1199,MATCH(729,Engine!$C$2:$C$1199,0)))</f>
        <v/>
      </c>
      <c r="L742" s="7" t="str">
        <f>IF(ISNA(MATCH(729,Engine!$C$2:$C$1199,0)),"",INDEX('Compliance Database'!$L$2:$L$1199,MATCH(729,Engine!$C$2:$C$1199,0)))</f>
        <v/>
      </c>
      <c r="M742" s="7" t="str">
        <f>IF(ISNA(MATCH(729,Engine!$C$2:$C$1199,0)),"",INDEX('Compliance Database'!$M$2:$M$1199,MATCH(729,Engine!$C$2:$C$1199,0)))</f>
        <v/>
      </c>
      <c r="N742" s="7" t="str">
        <f>IF(ISNA(MATCH(729,Engine!$C$2:$C$1199,0)),"",INDEX('Compliance Database'!$N$2:$N$1199,MATCH(729,Engine!$C$2:$C$1199,0)))</f>
        <v/>
      </c>
      <c r="O742" s="7" t="str">
        <f>IF(ISNA(MATCH(729,Engine!$C$2:$C$1199,0)),"",INDEX('Compliance Database'!$O$2:$O$1199,MATCH(729,Engine!$C$2:$C$1199,0)))</f>
        <v/>
      </c>
      <c r="P742" s="6" t="str">
        <f>IF(ISNA(MATCH(729,Engine!$C$2:$C$1199,0)),"",HYPERLINK("#Acts!A"&amp;INDEX('Compliance Database'!$P$2:$P$1199,MATCH(729,Engine!$C$2:$C$1199,0)),"Go to Act"))</f>
        <v/>
      </c>
    </row>
    <row r="743" spans="1:16" ht="172.95" customHeight="1" x14ac:dyDescent="0.3">
      <c r="A743" s="6" t="str">
        <f>IF(ISNA(MATCH(730,Engine!$C$2:$C$1199,0)),"",INDEX('Compliance Database'!$A$2:$A$1199,MATCH(730,Engine!$C$2:$C$1199,0)))</f>
        <v/>
      </c>
      <c r="B743" s="6" t="str">
        <f>IF(ISNA(MATCH(730,Engine!$C$2:$C$1199,0)),"",INDEX('Compliance Database'!$B$2:$B$1199,MATCH(730,Engine!$C$2:$C$1199,0)))</f>
        <v/>
      </c>
      <c r="C743" s="6" t="str">
        <f>IF(ISNA(MATCH(730,Engine!$C$2:$C$1199,0)),"",INDEX('Compliance Database'!$C$2:$C$1199,MATCH(730,Engine!$C$2:$C$1199,0)))</f>
        <v/>
      </c>
      <c r="D743" s="7" t="str">
        <f>IF(ISNA(MATCH(730,Engine!$C$2:$C$1199,0)),"",INDEX('Compliance Database'!$D$2:$D$1199,MATCH(730,Engine!$C$2:$C$1199,0)))</f>
        <v/>
      </c>
      <c r="E743" s="6" t="str">
        <f>IF(ISNA(MATCH(730,Engine!$C$2:$C$1199,0)),"",INDEX('Compliance Database'!$E$2:$E$1199,MATCH(730,Engine!$C$2:$C$1199,0)))</f>
        <v/>
      </c>
      <c r="F743" s="6" t="str">
        <f>IF(ISNA(MATCH(730,Engine!$C$2:$C$1199,0)),"",INDEX('Compliance Database'!$F$2:$F$1199,MATCH(730,Engine!$C$2:$C$1199,0)))</f>
        <v/>
      </c>
      <c r="G743" s="6" t="str">
        <f>IF(ISNA(MATCH(730,Engine!$C$2:$C$1199,0)),"",INDEX('Compliance Database'!$G$2:$G$1199,MATCH(730,Engine!$C$2:$C$1199,0)))</f>
        <v/>
      </c>
      <c r="H743" s="7" t="str">
        <f>IF(ISNA(MATCH(730,Engine!$C$2:$C$1199,0)),"",INDEX('Compliance Database'!$H$2:$H$1199,MATCH(730,Engine!$C$2:$C$1199,0)))</f>
        <v/>
      </c>
      <c r="I743" s="7" t="str">
        <f>IF(ISNA(MATCH(730,Engine!$C$2:$C$1199,0)),"",INDEX('Compliance Database'!$I$2:$I$1199,MATCH(730,Engine!$C$2:$C$1199,0)))</f>
        <v/>
      </c>
      <c r="J743" s="6" t="str">
        <f>IF(ISNA(MATCH(730,Engine!$C$2:$C$1199,0)),"",INDEX('Compliance Database'!$J$2:$J$1199,MATCH(730,Engine!$C$2:$C$1199,0)))</f>
        <v/>
      </c>
      <c r="K743" s="7" t="str">
        <f>IF(ISNA(MATCH(730,Engine!$C$2:$C$1199,0)),"",INDEX('Compliance Database'!$K$2:$K$1199,MATCH(730,Engine!$C$2:$C$1199,0)))</f>
        <v/>
      </c>
      <c r="L743" s="7" t="str">
        <f>IF(ISNA(MATCH(730,Engine!$C$2:$C$1199,0)),"",INDEX('Compliance Database'!$L$2:$L$1199,MATCH(730,Engine!$C$2:$C$1199,0)))</f>
        <v/>
      </c>
      <c r="M743" s="7" t="str">
        <f>IF(ISNA(MATCH(730,Engine!$C$2:$C$1199,0)),"",INDEX('Compliance Database'!$M$2:$M$1199,MATCH(730,Engine!$C$2:$C$1199,0)))</f>
        <v/>
      </c>
      <c r="N743" s="7" t="str">
        <f>IF(ISNA(MATCH(730,Engine!$C$2:$C$1199,0)),"",INDEX('Compliance Database'!$N$2:$N$1199,MATCH(730,Engine!$C$2:$C$1199,0)))</f>
        <v/>
      </c>
      <c r="O743" s="7" t="str">
        <f>IF(ISNA(MATCH(730,Engine!$C$2:$C$1199,0)),"",INDEX('Compliance Database'!$O$2:$O$1199,MATCH(730,Engine!$C$2:$C$1199,0)))</f>
        <v/>
      </c>
      <c r="P743" s="6" t="str">
        <f>IF(ISNA(MATCH(730,Engine!$C$2:$C$1199,0)),"",HYPERLINK("#Acts!A"&amp;INDEX('Compliance Database'!$P$2:$P$1199,MATCH(730,Engine!$C$2:$C$1199,0)),"Go to Act"))</f>
        <v/>
      </c>
    </row>
    <row r="744" spans="1:16" ht="172.95" customHeight="1" x14ac:dyDescent="0.3">
      <c r="A744" s="6" t="str">
        <f>IF(ISNA(MATCH(731,Engine!$C$2:$C$1199,0)),"",INDEX('Compliance Database'!$A$2:$A$1199,MATCH(731,Engine!$C$2:$C$1199,0)))</f>
        <v/>
      </c>
      <c r="B744" s="6" t="str">
        <f>IF(ISNA(MATCH(731,Engine!$C$2:$C$1199,0)),"",INDEX('Compliance Database'!$B$2:$B$1199,MATCH(731,Engine!$C$2:$C$1199,0)))</f>
        <v/>
      </c>
      <c r="C744" s="6" t="str">
        <f>IF(ISNA(MATCH(731,Engine!$C$2:$C$1199,0)),"",INDEX('Compliance Database'!$C$2:$C$1199,MATCH(731,Engine!$C$2:$C$1199,0)))</f>
        <v/>
      </c>
      <c r="D744" s="7" t="str">
        <f>IF(ISNA(MATCH(731,Engine!$C$2:$C$1199,0)),"",INDEX('Compliance Database'!$D$2:$D$1199,MATCH(731,Engine!$C$2:$C$1199,0)))</f>
        <v/>
      </c>
      <c r="E744" s="6" t="str">
        <f>IF(ISNA(MATCH(731,Engine!$C$2:$C$1199,0)),"",INDEX('Compliance Database'!$E$2:$E$1199,MATCH(731,Engine!$C$2:$C$1199,0)))</f>
        <v/>
      </c>
      <c r="F744" s="6" t="str">
        <f>IF(ISNA(MATCH(731,Engine!$C$2:$C$1199,0)),"",INDEX('Compliance Database'!$F$2:$F$1199,MATCH(731,Engine!$C$2:$C$1199,0)))</f>
        <v/>
      </c>
      <c r="G744" s="6" t="str">
        <f>IF(ISNA(MATCH(731,Engine!$C$2:$C$1199,0)),"",INDEX('Compliance Database'!$G$2:$G$1199,MATCH(731,Engine!$C$2:$C$1199,0)))</f>
        <v/>
      </c>
      <c r="H744" s="7" t="str">
        <f>IF(ISNA(MATCH(731,Engine!$C$2:$C$1199,0)),"",INDEX('Compliance Database'!$H$2:$H$1199,MATCH(731,Engine!$C$2:$C$1199,0)))</f>
        <v/>
      </c>
      <c r="I744" s="7" t="str">
        <f>IF(ISNA(MATCH(731,Engine!$C$2:$C$1199,0)),"",INDEX('Compliance Database'!$I$2:$I$1199,MATCH(731,Engine!$C$2:$C$1199,0)))</f>
        <v/>
      </c>
      <c r="J744" s="6" t="str">
        <f>IF(ISNA(MATCH(731,Engine!$C$2:$C$1199,0)),"",INDEX('Compliance Database'!$J$2:$J$1199,MATCH(731,Engine!$C$2:$C$1199,0)))</f>
        <v/>
      </c>
      <c r="K744" s="7" t="str">
        <f>IF(ISNA(MATCH(731,Engine!$C$2:$C$1199,0)),"",INDEX('Compliance Database'!$K$2:$K$1199,MATCH(731,Engine!$C$2:$C$1199,0)))</f>
        <v/>
      </c>
      <c r="L744" s="7" t="str">
        <f>IF(ISNA(MATCH(731,Engine!$C$2:$C$1199,0)),"",INDEX('Compliance Database'!$L$2:$L$1199,MATCH(731,Engine!$C$2:$C$1199,0)))</f>
        <v/>
      </c>
      <c r="M744" s="7" t="str">
        <f>IF(ISNA(MATCH(731,Engine!$C$2:$C$1199,0)),"",INDEX('Compliance Database'!$M$2:$M$1199,MATCH(731,Engine!$C$2:$C$1199,0)))</f>
        <v/>
      </c>
      <c r="N744" s="7" t="str">
        <f>IF(ISNA(MATCH(731,Engine!$C$2:$C$1199,0)),"",INDEX('Compliance Database'!$N$2:$N$1199,MATCH(731,Engine!$C$2:$C$1199,0)))</f>
        <v/>
      </c>
      <c r="O744" s="7" t="str">
        <f>IF(ISNA(MATCH(731,Engine!$C$2:$C$1199,0)),"",INDEX('Compliance Database'!$O$2:$O$1199,MATCH(731,Engine!$C$2:$C$1199,0)))</f>
        <v/>
      </c>
      <c r="P744" s="6" t="str">
        <f>IF(ISNA(MATCH(731,Engine!$C$2:$C$1199,0)),"",HYPERLINK("#Acts!A"&amp;INDEX('Compliance Database'!$P$2:$P$1199,MATCH(731,Engine!$C$2:$C$1199,0)),"Go to Act"))</f>
        <v/>
      </c>
    </row>
    <row r="745" spans="1:16" ht="172.95" customHeight="1" x14ac:dyDescent="0.3">
      <c r="A745" s="6" t="str">
        <f>IF(ISNA(MATCH(732,Engine!$C$2:$C$1199,0)),"",INDEX('Compliance Database'!$A$2:$A$1199,MATCH(732,Engine!$C$2:$C$1199,0)))</f>
        <v/>
      </c>
      <c r="B745" s="6" t="str">
        <f>IF(ISNA(MATCH(732,Engine!$C$2:$C$1199,0)),"",INDEX('Compliance Database'!$B$2:$B$1199,MATCH(732,Engine!$C$2:$C$1199,0)))</f>
        <v/>
      </c>
      <c r="C745" s="6" t="str">
        <f>IF(ISNA(MATCH(732,Engine!$C$2:$C$1199,0)),"",INDEX('Compliance Database'!$C$2:$C$1199,MATCH(732,Engine!$C$2:$C$1199,0)))</f>
        <v/>
      </c>
      <c r="D745" s="7" t="str">
        <f>IF(ISNA(MATCH(732,Engine!$C$2:$C$1199,0)),"",INDEX('Compliance Database'!$D$2:$D$1199,MATCH(732,Engine!$C$2:$C$1199,0)))</f>
        <v/>
      </c>
      <c r="E745" s="6" t="str">
        <f>IF(ISNA(MATCH(732,Engine!$C$2:$C$1199,0)),"",INDEX('Compliance Database'!$E$2:$E$1199,MATCH(732,Engine!$C$2:$C$1199,0)))</f>
        <v/>
      </c>
      <c r="F745" s="6" t="str">
        <f>IF(ISNA(MATCH(732,Engine!$C$2:$C$1199,0)),"",INDEX('Compliance Database'!$F$2:$F$1199,MATCH(732,Engine!$C$2:$C$1199,0)))</f>
        <v/>
      </c>
      <c r="G745" s="6" t="str">
        <f>IF(ISNA(MATCH(732,Engine!$C$2:$C$1199,0)),"",INDEX('Compliance Database'!$G$2:$G$1199,MATCH(732,Engine!$C$2:$C$1199,0)))</f>
        <v/>
      </c>
      <c r="H745" s="7" t="str">
        <f>IF(ISNA(MATCH(732,Engine!$C$2:$C$1199,0)),"",INDEX('Compliance Database'!$H$2:$H$1199,MATCH(732,Engine!$C$2:$C$1199,0)))</f>
        <v/>
      </c>
      <c r="I745" s="7" t="str">
        <f>IF(ISNA(MATCH(732,Engine!$C$2:$C$1199,0)),"",INDEX('Compliance Database'!$I$2:$I$1199,MATCH(732,Engine!$C$2:$C$1199,0)))</f>
        <v/>
      </c>
      <c r="J745" s="6" t="str">
        <f>IF(ISNA(MATCH(732,Engine!$C$2:$C$1199,0)),"",INDEX('Compliance Database'!$J$2:$J$1199,MATCH(732,Engine!$C$2:$C$1199,0)))</f>
        <v/>
      </c>
      <c r="K745" s="7" t="str">
        <f>IF(ISNA(MATCH(732,Engine!$C$2:$C$1199,0)),"",INDEX('Compliance Database'!$K$2:$K$1199,MATCH(732,Engine!$C$2:$C$1199,0)))</f>
        <v/>
      </c>
      <c r="L745" s="7" t="str">
        <f>IF(ISNA(MATCH(732,Engine!$C$2:$C$1199,0)),"",INDEX('Compliance Database'!$L$2:$L$1199,MATCH(732,Engine!$C$2:$C$1199,0)))</f>
        <v/>
      </c>
      <c r="M745" s="7" t="str">
        <f>IF(ISNA(MATCH(732,Engine!$C$2:$C$1199,0)),"",INDEX('Compliance Database'!$M$2:$M$1199,MATCH(732,Engine!$C$2:$C$1199,0)))</f>
        <v/>
      </c>
      <c r="N745" s="7" t="str">
        <f>IF(ISNA(MATCH(732,Engine!$C$2:$C$1199,0)),"",INDEX('Compliance Database'!$N$2:$N$1199,MATCH(732,Engine!$C$2:$C$1199,0)))</f>
        <v/>
      </c>
      <c r="O745" s="7" t="str">
        <f>IF(ISNA(MATCH(732,Engine!$C$2:$C$1199,0)),"",INDEX('Compliance Database'!$O$2:$O$1199,MATCH(732,Engine!$C$2:$C$1199,0)))</f>
        <v/>
      </c>
      <c r="P745" s="6" t="str">
        <f>IF(ISNA(MATCH(732,Engine!$C$2:$C$1199,0)),"",HYPERLINK("#Acts!A"&amp;INDEX('Compliance Database'!$P$2:$P$1199,MATCH(732,Engine!$C$2:$C$1199,0)),"Go to Act"))</f>
        <v/>
      </c>
    </row>
    <row r="746" spans="1:16" ht="172.95" customHeight="1" x14ac:dyDescent="0.3">
      <c r="A746" s="6" t="str">
        <f>IF(ISNA(MATCH(733,Engine!$C$2:$C$1199,0)),"",INDEX('Compliance Database'!$A$2:$A$1199,MATCH(733,Engine!$C$2:$C$1199,0)))</f>
        <v/>
      </c>
      <c r="B746" s="6" t="str">
        <f>IF(ISNA(MATCH(733,Engine!$C$2:$C$1199,0)),"",INDEX('Compliance Database'!$B$2:$B$1199,MATCH(733,Engine!$C$2:$C$1199,0)))</f>
        <v/>
      </c>
      <c r="C746" s="6" t="str">
        <f>IF(ISNA(MATCH(733,Engine!$C$2:$C$1199,0)),"",INDEX('Compliance Database'!$C$2:$C$1199,MATCH(733,Engine!$C$2:$C$1199,0)))</f>
        <v/>
      </c>
      <c r="D746" s="7" t="str">
        <f>IF(ISNA(MATCH(733,Engine!$C$2:$C$1199,0)),"",INDEX('Compliance Database'!$D$2:$D$1199,MATCH(733,Engine!$C$2:$C$1199,0)))</f>
        <v/>
      </c>
      <c r="E746" s="6" t="str">
        <f>IF(ISNA(MATCH(733,Engine!$C$2:$C$1199,0)),"",INDEX('Compliance Database'!$E$2:$E$1199,MATCH(733,Engine!$C$2:$C$1199,0)))</f>
        <v/>
      </c>
      <c r="F746" s="6" t="str">
        <f>IF(ISNA(MATCH(733,Engine!$C$2:$C$1199,0)),"",INDEX('Compliance Database'!$F$2:$F$1199,MATCH(733,Engine!$C$2:$C$1199,0)))</f>
        <v/>
      </c>
      <c r="G746" s="6" t="str">
        <f>IF(ISNA(MATCH(733,Engine!$C$2:$C$1199,0)),"",INDEX('Compliance Database'!$G$2:$G$1199,MATCH(733,Engine!$C$2:$C$1199,0)))</f>
        <v/>
      </c>
      <c r="H746" s="7" t="str">
        <f>IF(ISNA(MATCH(733,Engine!$C$2:$C$1199,0)),"",INDEX('Compliance Database'!$H$2:$H$1199,MATCH(733,Engine!$C$2:$C$1199,0)))</f>
        <v/>
      </c>
      <c r="I746" s="7" t="str">
        <f>IF(ISNA(MATCH(733,Engine!$C$2:$C$1199,0)),"",INDEX('Compliance Database'!$I$2:$I$1199,MATCH(733,Engine!$C$2:$C$1199,0)))</f>
        <v/>
      </c>
      <c r="J746" s="6" t="str">
        <f>IF(ISNA(MATCH(733,Engine!$C$2:$C$1199,0)),"",INDEX('Compliance Database'!$J$2:$J$1199,MATCH(733,Engine!$C$2:$C$1199,0)))</f>
        <v/>
      </c>
      <c r="K746" s="7" t="str">
        <f>IF(ISNA(MATCH(733,Engine!$C$2:$C$1199,0)),"",INDEX('Compliance Database'!$K$2:$K$1199,MATCH(733,Engine!$C$2:$C$1199,0)))</f>
        <v/>
      </c>
      <c r="L746" s="7" t="str">
        <f>IF(ISNA(MATCH(733,Engine!$C$2:$C$1199,0)),"",INDEX('Compliance Database'!$L$2:$L$1199,MATCH(733,Engine!$C$2:$C$1199,0)))</f>
        <v/>
      </c>
      <c r="M746" s="7" t="str">
        <f>IF(ISNA(MATCH(733,Engine!$C$2:$C$1199,0)),"",INDEX('Compliance Database'!$M$2:$M$1199,MATCH(733,Engine!$C$2:$C$1199,0)))</f>
        <v/>
      </c>
      <c r="N746" s="7" t="str">
        <f>IF(ISNA(MATCH(733,Engine!$C$2:$C$1199,0)),"",INDEX('Compliance Database'!$N$2:$N$1199,MATCH(733,Engine!$C$2:$C$1199,0)))</f>
        <v/>
      </c>
      <c r="O746" s="7" t="str">
        <f>IF(ISNA(MATCH(733,Engine!$C$2:$C$1199,0)),"",INDEX('Compliance Database'!$O$2:$O$1199,MATCH(733,Engine!$C$2:$C$1199,0)))</f>
        <v/>
      </c>
      <c r="P746" s="6" t="str">
        <f>IF(ISNA(MATCH(733,Engine!$C$2:$C$1199,0)),"",HYPERLINK("#Acts!A"&amp;INDEX('Compliance Database'!$P$2:$P$1199,MATCH(733,Engine!$C$2:$C$1199,0)),"Go to Act"))</f>
        <v/>
      </c>
    </row>
    <row r="747" spans="1:16" ht="172.95" customHeight="1" x14ac:dyDescent="0.3">
      <c r="A747" s="6" t="str">
        <f>IF(ISNA(MATCH(734,Engine!$C$2:$C$1199,0)),"",INDEX('Compliance Database'!$A$2:$A$1199,MATCH(734,Engine!$C$2:$C$1199,0)))</f>
        <v/>
      </c>
      <c r="B747" s="6" t="str">
        <f>IF(ISNA(MATCH(734,Engine!$C$2:$C$1199,0)),"",INDEX('Compliance Database'!$B$2:$B$1199,MATCH(734,Engine!$C$2:$C$1199,0)))</f>
        <v/>
      </c>
      <c r="C747" s="6" t="str">
        <f>IF(ISNA(MATCH(734,Engine!$C$2:$C$1199,0)),"",INDEX('Compliance Database'!$C$2:$C$1199,MATCH(734,Engine!$C$2:$C$1199,0)))</f>
        <v/>
      </c>
      <c r="D747" s="7" t="str">
        <f>IF(ISNA(MATCH(734,Engine!$C$2:$C$1199,0)),"",INDEX('Compliance Database'!$D$2:$D$1199,MATCH(734,Engine!$C$2:$C$1199,0)))</f>
        <v/>
      </c>
      <c r="E747" s="6" t="str">
        <f>IF(ISNA(MATCH(734,Engine!$C$2:$C$1199,0)),"",INDEX('Compliance Database'!$E$2:$E$1199,MATCH(734,Engine!$C$2:$C$1199,0)))</f>
        <v/>
      </c>
      <c r="F747" s="6" t="str">
        <f>IF(ISNA(MATCH(734,Engine!$C$2:$C$1199,0)),"",INDEX('Compliance Database'!$F$2:$F$1199,MATCH(734,Engine!$C$2:$C$1199,0)))</f>
        <v/>
      </c>
      <c r="G747" s="6" t="str">
        <f>IF(ISNA(MATCH(734,Engine!$C$2:$C$1199,0)),"",INDEX('Compliance Database'!$G$2:$G$1199,MATCH(734,Engine!$C$2:$C$1199,0)))</f>
        <v/>
      </c>
      <c r="H747" s="7" t="str">
        <f>IF(ISNA(MATCH(734,Engine!$C$2:$C$1199,0)),"",INDEX('Compliance Database'!$H$2:$H$1199,MATCH(734,Engine!$C$2:$C$1199,0)))</f>
        <v/>
      </c>
      <c r="I747" s="7" t="str">
        <f>IF(ISNA(MATCH(734,Engine!$C$2:$C$1199,0)),"",INDEX('Compliance Database'!$I$2:$I$1199,MATCH(734,Engine!$C$2:$C$1199,0)))</f>
        <v/>
      </c>
      <c r="J747" s="6" t="str">
        <f>IF(ISNA(MATCH(734,Engine!$C$2:$C$1199,0)),"",INDEX('Compliance Database'!$J$2:$J$1199,MATCH(734,Engine!$C$2:$C$1199,0)))</f>
        <v/>
      </c>
      <c r="K747" s="7" t="str">
        <f>IF(ISNA(MATCH(734,Engine!$C$2:$C$1199,0)),"",INDEX('Compliance Database'!$K$2:$K$1199,MATCH(734,Engine!$C$2:$C$1199,0)))</f>
        <v/>
      </c>
      <c r="L747" s="7" t="str">
        <f>IF(ISNA(MATCH(734,Engine!$C$2:$C$1199,0)),"",INDEX('Compliance Database'!$L$2:$L$1199,MATCH(734,Engine!$C$2:$C$1199,0)))</f>
        <v/>
      </c>
      <c r="M747" s="7" t="str">
        <f>IF(ISNA(MATCH(734,Engine!$C$2:$C$1199,0)),"",INDEX('Compliance Database'!$M$2:$M$1199,MATCH(734,Engine!$C$2:$C$1199,0)))</f>
        <v/>
      </c>
      <c r="N747" s="7" t="str">
        <f>IF(ISNA(MATCH(734,Engine!$C$2:$C$1199,0)),"",INDEX('Compliance Database'!$N$2:$N$1199,MATCH(734,Engine!$C$2:$C$1199,0)))</f>
        <v/>
      </c>
      <c r="O747" s="7" t="str">
        <f>IF(ISNA(MATCH(734,Engine!$C$2:$C$1199,0)),"",INDEX('Compliance Database'!$O$2:$O$1199,MATCH(734,Engine!$C$2:$C$1199,0)))</f>
        <v/>
      </c>
      <c r="P747" s="6" t="str">
        <f>IF(ISNA(MATCH(734,Engine!$C$2:$C$1199,0)),"",HYPERLINK("#Acts!A"&amp;INDEX('Compliance Database'!$P$2:$P$1199,MATCH(734,Engine!$C$2:$C$1199,0)),"Go to Act"))</f>
        <v/>
      </c>
    </row>
    <row r="748" spans="1:16" ht="172.95" customHeight="1" x14ac:dyDescent="0.3">
      <c r="A748" s="6" t="str">
        <f>IF(ISNA(MATCH(735,Engine!$C$2:$C$1199,0)),"",INDEX('Compliance Database'!$A$2:$A$1199,MATCH(735,Engine!$C$2:$C$1199,0)))</f>
        <v/>
      </c>
      <c r="B748" s="6" t="str">
        <f>IF(ISNA(MATCH(735,Engine!$C$2:$C$1199,0)),"",INDEX('Compliance Database'!$B$2:$B$1199,MATCH(735,Engine!$C$2:$C$1199,0)))</f>
        <v/>
      </c>
      <c r="C748" s="6" t="str">
        <f>IF(ISNA(MATCH(735,Engine!$C$2:$C$1199,0)),"",INDEX('Compliance Database'!$C$2:$C$1199,MATCH(735,Engine!$C$2:$C$1199,0)))</f>
        <v/>
      </c>
      <c r="D748" s="7" t="str">
        <f>IF(ISNA(MATCH(735,Engine!$C$2:$C$1199,0)),"",INDEX('Compliance Database'!$D$2:$D$1199,MATCH(735,Engine!$C$2:$C$1199,0)))</f>
        <v/>
      </c>
      <c r="E748" s="6" t="str">
        <f>IF(ISNA(MATCH(735,Engine!$C$2:$C$1199,0)),"",INDEX('Compliance Database'!$E$2:$E$1199,MATCH(735,Engine!$C$2:$C$1199,0)))</f>
        <v/>
      </c>
      <c r="F748" s="6" t="str">
        <f>IF(ISNA(MATCH(735,Engine!$C$2:$C$1199,0)),"",INDEX('Compliance Database'!$F$2:$F$1199,MATCH(735,Engine!$C$2:$C$1199,0)))</f>
        <v/>
      </c>
      <c r="G748" s="6" t="str">
        <f>IF(ISNA(MATCH(735,Engine!$C$2:$C$1199,0)),"",INDEX('Compliance Database'!$G$2:$G$1199,MATCH(735,Engine!$C$2:$C$1199,0)))</f>
        <v/>
      </c>
      <c r="H748" s="7" t="str">
        <f>IF(ISNA(MATCH(735,Engine!$C$2:$C$1199,0)),"",INDEX('Compliance Database'!$H$2:$H$1199,MATCH(735,Engine!$C$2:$C$1199,0)))</f>
        <v/>
      </c>
      <c r="I748" s="7" t="str">
        <f>IF(ISNA(MATCH(735,Engine!$C$2:$C$1199,0)),"",INDEX('Compliance Database'!$I$2:$I$1199,MATCH(735,Engine!$C$2:$C$1199,0)))</f>
        <v/>
      </c>
      <c r="J748" s="6" t="str">
        <f>IF(ISNA(MATCH(735,Engine!$C$2:$C$1199,0)),"",INDEX('Compliance Database'!$J$2:$J$1199,MATCH(735,Engine!$C$2:$C$1199,0)))</f>
        <v/>
      </c>
      <c r="K748" s="7" t="str">
        <f>IF(ISNA(MATCH(735,Engine!$C$2:$C$1199,0)),"",INDEX('Compliance Database'!$K$2:$K$1199,MATCH(735,Engine!$C$2:$C$1199,0)))</f>
        <v/>
      </c>
      <c r="L748" s="7" t="str">
        <f>IF(ISNA(MATCH(735,Engine!$C$2:$C$1199,0)),"",INDEX('Compliance Database'!$L$2:$L$1199,MATCH(735,Engine!$C$2:$C$1199,0)))</f>
        <v/>
      </c>
      <c r="M748" s="7" t="str">
        <f>IF(ISNA(MATCH(735,Engine!$C$2:$C$1199,0)),"",INDEX('Compliance Database'!$M$2:$M$1199,MATCH(735,Engine!$C$2:$C$1199,0)))</f>
        <v/>
      </c>
      <c r="N748" s="7" t="str">
        <f>IF(ISNA(MATCH(735,Engine!$C$2:$C$1199,0)),"",INDEX('Compliance Database'!$N$2:$N$1199,MATCH(735,Engine!$C$2:$C$1199,0)))</f>
        <v/>
      </c>
      <c r="O748" s="7" t="str">
        <f>IF(ISNA(MATCH(735,Engine!$C$2:$C$1199,0)),"",INDEX('Compliance Database'!$O$2:$O$1199,MATCH(735,Engine!$C$2:$C$1199,0)))</f>
        <v/>
      </c>
      <c r="P748" s="6" t="str">
        <f>IF(ISNA(MATCH(735,Engine!$C$2:$C$1199,0)),"",HYPERLINK("#Acts!A"&amp;INDEX('Compliance Database'!$P$2:$P$1199,MATCH(735,Engine!$C$2:$C$1199,0)),"Go to Act"))</f>
        <v/>
      </c>
    </row>
    <row r="749" spans="1:16" ht="172.95" customHeight="1" x14ac:dyDescent="0.3">
      <c r="A749" s="6" t="str">
        <f>IF(ISNA(MATCH(736,Engine!$C$2:$C$1199,0)),"",INDEX('Compliance Database'!$A$2:$A$1199,MATCH(736,Engine!$C$2:$C$1199,0)))</f>
        <v/>
      </c>
      <c r="B749" s="6" t="str">
        <f>IF(ISNA(MATCH(736,Engine!$C$2:$C$1199,0)),"",INDEX('Compliance Database'!$B$2:$B$1199,MATCH(736,Engine!$C$2:$C$1199,0)))</f>
        <v/>
      </c>
      <c r="C749" s="6" t="str">
        <f>IF(ISNA(MATCH(736,Engine!$C$2:$C$1199,0)),"",INDEX('Compliance Database'!$C$2:$C$1199,MATCH(736,Engine!$C$2:$C$1199,0)))</f>
        <v/>
      </c>
      <c r="D749" s="7" t="str">
        <f>IF(ISNA(MATCH(736,Engine!$C$2:$C$1199,0)),"",INDEX('Compliance Database'!$D$2:$D$1199,MATCH(736,Engine!$C$2:$C$1199,0)))</f>
        <v/>
      </c>
      <c r="E749" s="6" t="str">
        <f>IF(ISNA(MATCH(736,Engine!$C$2:$C$1199,0)),"",INDEX('Compliance Database'!$E$2:$E$1199,MATCH(736,Engine!$C$2:$C$1199,0)))</f>
        <v/>
      </c>
      <c r="F749" s="6" t="str">
        <f>IF(ISNA(MATCH(736,Engine!$C$2:$C$1199,0)),"",INDEX('Compliance Database'!$F$2:$F$1199,MATCH(736,Engine!$C$2:$C$1199,0)))</f>
        <v/>
      </c>
      <c r="G749" s="6" t="str">
        <f>IF(ISNA(MATCH(736,Engine!$C$2:$C$1199,0)),"",INDEX('Compliance Database'!$G$2:$G$1199,MATCH(736,Engine!$C$2:$C$1199,0)))</f>
        <v/>
      </c>
      <c r="H749" s="7" t="str">
        <f>IF(ISNA(MATCH(736,Engine!$C$2:$C$1199,0)),"",INDEX('Compliance Database'!$H$2:$H$1199,MATCH(736,Engine!$C$2:$C$1199,0)))</f>
        <v/>
      </c>
      <c r="I749" s="7" t="str">
        <f>IF(ISNA(MATCH(736,Engine!$C$2:$C$1199,0)),"",INDEX('Compliance Database'!$I$2:$I$1199,MATCH(736,Engine!$C$2:$C$1199,0)))</f>
        <v/>
      </c>
      <c r="J749" s="6" t="str">
        <f>IF(ISNA(MATCH(736,Engine!$C$2:$C$1199,0)),"",INDEX('Compliance Database'!$J$2:$J$1199,MATCH(736,Engine!$C$2:$C$1199,0)))</f>
        <v/>
      </c>
      <c r="K749" s="7" t="str">
        <f>IF(ISNA(MATCH(736,Engine!$C$2:$C$1199,0)),"",INDEX('Compliance Database'!$K$2:$K$1199,MATCH(736,Engine!$C$2:$C$1199,0)))</f>
        <v/>
      </c>
      <c r="L749" s="7" t="str">
        <f>IF(ISNA(MATCH(736,Engine!$C$2:$C$1199,0)),"",INDEX('Compliance Database'!$L$2:$L$1199,MATCH(736,Engine!$C$2:$C$1199,0)))</f>
        <v/>
      </c>
      <c r="M749" s="7" t="str">
        <f>IF(ISNA(MATCH(736,Engine!$C$2:$C$1199,0)),"",INDEX('Compliance Database'!$M$2:$M$1199,MATCH(736,Engine!$C$2:$C$1199,0)))</f>
        <v/>
      </c>
      <c r="N749" s="7" t="str">
        <f>IF(ISNA(MATCH(736,Engine!$C$2:$C$1199,0)),"",INDEX('Compliance Database'!$N$2:$N$1199,MATCH(736,Engine!$C$2:$C$1199,0)))</f>
        <v/>
      </c>
      <c r="O749" s="7" t="str">
        <f>IF(ISNA(MATCH(736,Engine!$C$2:$C$1199,0)),"",INDEX('Compliance Database'!$O$2:$O$1199,MATCH(736,Engine!$C$2:$C$1199,0)))</f>
        <v/>
      </c>
      <c r="P749" s="6" t="str">
        <f>IF(ISNA(MATCH(736,Engine!$C$2:$C$1199,0)),"",HYPERLINK("#Acts!A"&amp;INDEX('Compliance Database'!$P$2:$P$1199,MATCH(736,Engine!$C$2:$C$1199,0)),"Go to Act"))</f>
        <v/>
      </c>
    </row>
    <row r="750" spans="1:16" ht="172.95" customHeight="1" x14ac:dyDescent="0.3">
      <c r="A750" s="6" t="str">
        <f>IF(ISNA(MATCH(737,Engine!$C$2:$C$1199,0)),"",INDEX('Compliance Database'!$A$2:$A$1199,MATCH(737,Engine!$C$2:$C$1199,0)))</f>
        <v/>
      </c>
      <c r="B750" s="6" t="str">
        <f>IF(ISNA(MATCH(737,Engine!$C$2:$C$1199,0)),"",INDEX('Compliance Database'!$B$2:$B$1199,MATCH(737,Engine!$C$2:$C$1199,0)))</f>
        <v/>
      </c>
      <c r="C750" s="6" t="str">
        <f>IF(ISNA(MATCH(737,Engine!$C$2:$C$1199,0)),"",INDEX('Compliance Database'!$C$2:$C$1199,MATCH(737,Engine!$C$2:$C$1199,0)))</f>
        <v/>
      </c>
      <c r="D750" s="7" t="str">
        <f>IF(ISNA(MATCH(737,Engine!$C$2:$C$1199,0)),"",INDEX('Compliance Database'!$D$2:$D$1199,MATCH(737,Engine!$C$2:$C$1199,0)))</f>
        <v/>
      </c>
      <c r="E750" s="6" t="str">
        <f>IF(ISNA(MATCH(737,Engine!$C$2:$C$1199,0)),"",INDEX('Compliance Database'!$E$2:$E$1199,MATCH(737,Engine!$C$2:$C$1199,0)))</f>
        <v/>
      </c>
      <c r="F750" s="6" t="str">
        <f>IF(ISNA(MATCH(737,Engine!$C$2:$C$1199,0)),"",INDEX('Compliance Database'!$F$2:$F$1199,MATCH(737,Engine!$C$2:$C$1199,0)))</f>
        <v/>
      </c>
      <c r="G750" s="6" t="str">
        <f>IF(ISNA(MATCH(737,Engine!$C$2:$C$1199,0)),"",INDEX('Compliance Database'!$G$2:$G$1199,MATCH(737,Engine!$C$2:$C$1199,0)))</f>
        <v/>
      </c>
      <c r="H750" s="7" t="str">
        <f>IF(ISNA(MATCH(737,Engine!$C$2:$C$1199,0)),"",INDEX('Compliance Database'!$H$2:$H$1199,MATCH(737,Engine!$C$2:$C$1199,0)))</f>
        <v/>
      </c>
      <c r="I750" s="7" t="str">
        <f>IF(ISNA(MATCH(737,Engine!$C$2:$C$1199,0)),"",INDEX('Compliance Database'!$I$2:$I$1199,MATCH(737,Engine!$C$2:$C$1199,0)))</f>
        <v/>
      </c>
      <c r="J750" s="6" t="str">
        <f>IF(ISNA(MATCH(737,Engine!$C$2:$C$1199,0)),"",INDEX('Compliance Database'!$J$2:$J$1199,MATCH(737,Engine!$C$2:$C$1199,0)))</f>
        <v/>
      </c>
      <c r="K750" s="7" t="str">
        <f>IF(ISNA(MATCH(737,Engine!$C$2:$C$1199,0)),"",INDEX('Compliance Database'!$K$2:$K$1199,MATCH(737,Engine!$C$2:$C$1199,0)))</f>
        <v/>
      </c>
      <c r="L750" s="7" t="str">
        <f>IF(ISNA(MATCH(737,Engine!$C$2:$C$1199,0)),"",INDEX('Compliance Database'!$L$2:$L$1199,MATCH(737,Engine!$C$2:$C$1199,0)))</f>
        <v/>
      </c>
      <c r="M750" s="7" t="str">
        <f>IF(ISNA(MATCH(737,Engine!$C$2:$C$1199,0)),"",INDEX('Compliance Database'!$M$2:$M$1199,MATCH(737,Engine!$C$2:$C$1199,0)))</f>
        <v/>
      </c>
      <c r="N750" s="7" t="str">
        <f>IF(ISNA(MATCH(737,Engine!$C$2:$C$1199,0)),"",INDEX('Compliance Database'!$N$2:$N$1199,MATCH(737,Engine!$C$2:$C$1199,0)))</f>
        <v/>
      </c>
      <c r="O750" s="7" t="str">
        <f>IF(ISNA(MATCH(737,Engine!$C$2:$C$1199,0)),"",INDEX('Compliance Database'!$O$2:$O$1199,MATCH(737,Engine!$C$2:$C$1199,0)))</f>
        <v/>
      </c>
      <c r="P750" s="6" t="str">
        <f>IF(ISNA(MATCH(737,Engine!$C$2:$C$1199,0)),"",HYPERLINK("#Acts!A"&amp;INDEX('Compliance Database'!$P$2:$P$1199,MATCH(737,Engine!$C$2:$C$1199,0)),"Go to Act"))</f>
        <v/>
      </c>
    </row>
    <row r="751" spans="1:16" ht="172.95" customHeight="1" x14ac:dyDescent="0.3">
      <c r="A751" s="6" t="str">
        <f>IF(ISNA(MATCH(738,Engine!$C$2:$C$1199,0)),"",INDEX('Compliance Database'!$A$2:$A$1199,MATCH(738,Engine!$C$2:$C$1199,0)))</f>
        <v/>
      </c>
      <c r="B751" s="6" t="str">
        <f>IF(ISNA(MATCH(738,Engine!$C$2:$C$1199,0)),"",INDEX('Compliance Database'!$B$2:$B$1199,MATCH(738,Engine!$C$2:$C$1199,0)))</f>
        <v/>
      </c>
      <c r="C751" s="6" t="str">
        <f>IF(ISNA(MATCH(738,Engine!$C$2:$C$1199,0)),"",INDEX('Compliance Database'!$C$2:$C$1199,MATCH(738,Engine!$C$2:$C$1199,0)))</f>
        <v/>
      </c>
      <c r="D751" s="7" t="str">
        <f>IF(ISNA(MATCH(738,Engine!$C$2:$C$1199,0)),"",INDEX('Compliance Database'!$D$2:$D$1199,MATCH(738,Engine!$C$2:$C$1199,0)))</f>
        <v/>
      </c>
      <c r="E751" s="6" t="str">
        <f>IF(ISNA(MATCH(738,Engine!$C$2:$C$1199,0)),"",INDEX('Compliance Database'!$E$2:$E$1199,MATCH(738,Engine!$C$2:$C$1199,0)))</f>
        <v/>
      </c>
      <c r="F751" s="6" t="str">
        <f>IF(ISNA(MATCH(738,Engine!$C$2:$C$1199,0)),"",INDEX('Compliance Database'!$F$2:$F$1199,MATCH(738,Engine!$C$2:$C$1199,0)))</f>
        <v/>
      </c>
      <c r="G751" s="6" t="str">
        <f>IF(ISNA(MATCH(738,Engine!$C$2:$C$1199,0)),"",INDEX('Compliance Database'!$G$2:$G$1199,MATCH(738,Engine!$C$2:$C$1199,0)))</f>
        <v/>
      </c>
      <c r="H751" s="7" t="str">
        <f>IF(ISNA(MATCH(738,Engine!$C$2:$C$1199,0)),"",INDEX('Compliance Database'!$H$2:$H$1199,MATCH(738,Engine!$C$2:$C$1199,0)))</f>
        <v/>
      </c>
      <c r="I751" s="7" t="str">
        <f>IF(ISNA(MATCH(738,Engine!$C$2:$C$1199,0)),"",INDEX('Compliance Database'!$I$2:$I$1199,MATCH(738,Engine!$C$2:$C$1199,0)))</f>
        <v/>
      </c>
      <c r="J751" s="6" t="str">
        <f>IF(ISNA(MATCH(738,Engine!$C$2:$C$1199,0)),"",INDEX('Compliance Database'!$J$2:$J$1199,MATCH(738,Engine!$C$2:$C$1199,0)))</f>
        <v/>
      </c>
      <c r="K751" s="7" t="str">
        <f>IF(ISNA(MATCH(738,Engine!$C$2:$C$1199,0)),"",INDEX('Compliance Database'!$K$2:$K$1199,MATCH(738,Engine!$C$2:$C$1199,0)))</f>
        <v/>
      </c>
      <c r="L751" s="7" t="str">
        <f>IF(ISNA(MATCH(738,Engine!$C$2:$C$1199,0)),"",INDEX('Compliance Database'!$L$2:$L$1199,MATCH(738,Engine!$C$2:$C$1199,0)))</f>
        <v/>
      </c>
      <c r="M751" s="7" t="str">
        <f>IF(ISNA(MATCH(738,Engine!$C$2:$C$1199,0)),"",INDEX('Compliance Database'!$M$2:$M$1199,MATCH(738,Engine!$C$2:$C$1199,0)))</f>
        <v/>
      </c>
      <c r="N751" s="7" t="str">
        <f>IF(ISNA(MATCH(738,Engine!$C$2:$C$1199,0)),"",INDEX('Compliance Database'!$N$2:$N$1199,MATCH(738,Engine!$C$2:$C$1199,0)))</f>
        <v/>
      </c>
      <c r="O751" s="7" t="str">
        <f>IF(ISNA(MATCH(738,Engine!$C$2:$C$1199,0)),"",INDEX('Compliance Database'!$O$2:$O$1199,MATCH(738,Engine!$C$2:$C$1199,0)))</f>
        <v/>
      </c>
      <c r="P751" s="6" t="str">
        <f>IF(ISNA(MATCH(738,Engine!$C$2:$C$1199,0)),"",HYPERLINK("#Acts!A"&amp;INDEX('Compliance Database'!$P$2:$P$1199,MATCH(738,Engine!$C$2:$C$1199,0)),"Go to Act"))</f>
        <v/>
      </c>
    </row>
    <row r="752" spans="1:16" ht="172.95" customHeight="1" x14ac:dyDescent="0.3">
      <c r="A752" s="6" t="str">
        <f>IF(ISNA(MATCH(739,Engine!$C$2:$C$1199,0)),"",INDEX('Compliance Database'!$A$2:$A$1199,MATCH(739,Engine!$C$2:$C$1199,0)))</f>
        <v/>
      </c>
      <c r="B752" s="6" t="str">
        <f>IF(ISNA(MATCH(739,Engine!$C$2:$C$1199,0)),"",INDEX('Compliance Database'!$B$2:$B$1199,MATCH(739,Engine!$C$2:$C$1199,0)))</f>
        <v/>
      </c>
      <c r="C752" s="6" t="str">
        <f>IF(ISNA(MATCH(739,Engine!$C$2:$C$1199,0)),"",INDEX('Compliance Database'!$C$2:$C$1199,MATCH(739,Engine!$C$2:$C$1199,0)))</f>
        <v/>
      </c>
      <c r="D752" s="7" t="str">
        <f>IF(ISNA(MATCH(739,Engine!$C$2:$C$1199,0)),"",INDEX('Compliance Database'!$D$2:$D$1199,MATCH(739,Engine!$C$2:$C$1199,0)))</f>
        <v/>
      </c>
      <c r="E752" s="6" t="str">
        <f>IF(ISNA(MATCH(739,Engine!$C$2:$C$1199,0)),"",INDEX('Compliance Database'!$E$2:$E$1199,MATCH(739,Engine!$C$2:$C$1199,0)))</f>
        <v/>
      </c>
      <c r="F752" s="6" t="str">
        <f>IF(ISNA(MATCH(739,Engine!$C$2:$C$1199,0)),"",INDEX('Compliance Database'!$F$2:$F$1199,MATCH(739,Engine!$C$2:$C$1199,0)))</f>
        <v/>
      </c>
      <c r="G752" s="6" t="str">
        <f>IF(ISNA(MATCH(739,Engine!$C$2:$C$1199,0)),"",INDEX('Compliance Database'!$G$2:$G$1199,MATCH(739,Engine!$C$2:$C$1199,0)))</f>
        <v/>
      </c>
      <c r="H752" s="7" t="str">
        <f>IF(ISNA(MATCH(739,Engine!$C$2:$C$1199,0)),"",INDEX('Compliance Database'!$H$2:$H$1199,MATCH(739,Engine!$C$2:$C$1199,0)))</f>
        <v/>
      </c>
      <c r="I752" s="7" t="str">
        <f>IF(ISNA(MATCH(739,Engine!$C$2:$C$1199,0)),"",INDEX('Compliance Database'!$I$2:$I$1199,MATCH(739,Engine!$C$2:$C$1199,0)))</f>
        <v/>
      </c>
      <c r="J752" s="6" t="str">
        <f>IF(ISNA(MATCH(739,Engine!$C$2:$C$1199,0)),"",INDEX('Compliance Database'!$J$2:$J$1199,MATCH(739,Engine!$C$2:$C$1199,0)))</f>
        <v/>
      </c>
      <c r="K752" s="7" t="str">
        <f>IF(ISNA(MATCH(739,Engine!$C$2:$C$1199,0)),"",INDEX('Compliance Database'!$K$2:$K$1199,MATCH(739,Engine!$C$2:$C$1199,0)))</f>
        <v/>
      </c>
      <c r="L752" s="7" t="str">
        <f>IF(ISNA(MATCH(739,Engine!$C$2:$C$1199,0)),"",INDEX('Compliance Database'!$L$2:$L$1199,MATCH(739,Engine!$C$2:$C$1199,0)))</f>
        <v/>
      </c>
      <c r="M752" s="7" t="str">
        <f>IF(ISNA(MATCH(739,Engine!$C$2:$C$1199,0)),"",INDEX('Compliance Database'!$M$2:$M$1199,MATCH(739,Engine!$C$2:$C$1199,0)))</f>
        <v/>
      </c>
      <c r="N752" s="7" t="str">
        <f>IF(ISNA(MATCH(739,Engine!$C$2:$C$1199,0)),"",INDEX('Compliance Database'!$N$2:$N$1199,MATCH(739,Engine!$C$2:$C$1199,0)))</f>
        <v/>
      </c>
      <c r="O752" s="7" t="str">
        <f>IF(ISNA(MATCH(739,Engine!$C$2:$C$1199,0)),"",INDEX('Compliance Database'!$O$2:$O$1199,MATCH(739,Engine!$C$2:$C$1199,0)))</f>
        <v/>
      </c>
      <c r="P752" s="6" t="str">
        <f>IF(ISNA(MATCH(739,Engine!$C$2:$C$1199,0)),"",HYPERLINK("#Acts!A"&amp;INDEX('Compliance Database'!$P$2:$P$1199,MATCH(739,Engine!$C$2:$C$1199,0)),"Go to Act"))</f>
        <v/>
      </c>
    </row>
    <row r="753" spans="1:16" ht="172.95" customHeight="1" x14ac:dyDescent="0.3">
      <c r="A753" s="6" t="str">
        <f>IF(ISNA(MATCH(740,Engine!$C$2:$C$1199,0)),"",INDEX('Compliance Database'!$A$2:$A$1199,MATCH(740,Engine!$C$2:$C$1199,0)))</f>
        <v/>
      </c>
      <c r="B753" s="6" t="str">
        <f>IF(ISNA(MATCH(740,Engine!$C$2:$C$1199,0)),"",INDEX('Compliance Database'!$B$2:$B$1199,MATCH(740,Engine!$C$2:$C$1199,0)))</f>
        <v/>
      </c>
      <c r="C753" s="6" t="str">
        <f>IF(ISNA(MATCH(740,Engine!$C$2:$C$1199,0)),"",INDEX('Compliance Database'!$C$2:$C$1199,MATCH(740,Engine!$C$2:$C$1199,0)))</f>
        <v/>
      </c>
      <c r="D753" s="7" t="str">
        <f>IF(ISNA(MATCH(740,Engine!$C$2:$C$1199,0)),"",INDEX('Compliance Database'!$D$2:$D$1199,MATCH(740,Engine!$C$2:$C$1199,0)))</f>
        <v/>
      </c>
      <c r="E753" s="6" t="str">
        <f>IF(ISNA(MATCH(740,Engine!$C$2:$C$1199,0)),"",INDEX('Compliance Database'!$E$2:$E$1199,MATCH(740,Engine!$C$2:$C$1199,0)))</f>
        <v/>
      </c>
      <c r="F753" s="6" t="str">
        <f>IF(ISNA(MATCH(740,Engine!$C$2:$C$1199,0)),"",INDEX('Compliance Database'!$F$2:$F$1199,MATCH(740,Engine!$C$2:$C$1199,0)))</f>
        <v/>
      </c>
      <c r="G753" s="6" t="str">
        <f>IF(ISNA(MATCH(740,Engine!$C$2:$C$1199,0)),"",INDEX('Compliance Database'!$G$2:$G$1199,MATCH(740,Engine!$C$2:$C$1199,0)))</f>
        <v/>
      </c>
      <c r="H753" s="7" t="str">
        <f>IF(ISNA(MATCH(740,Engine!$C$2:$C$1199,0)),"",INDEX('Compliance Database'!$H$2:$H$1199,MATCH(740,Engine!$C$2:$C$1199,0)))</f>
        <v/>
      </c>
      <c r="I753" s="7" t="str">
        <f>IF(ISNA(MATCH(740,Engine!$C$2:$C$1199,0)),"",INDEX('Compliance Database'!$I$2:$I$1199,MATCH(740,Engine!$C$2:$C$1199,0)))</f>
        <v/>
      </c>
      <c r="J753" s="6" t="str">
        <f>IF(ISNA(MATCH(740,Engine!$C$2:$C$1199,0)),"",INDEX('Compliance Database'!$J$2:$J$1199,MATCH(740,Engine!$C$2:$C$1199,0)))</f>
        <v/>
      </c>
      <c r="K753" s="7" t="str">
        <f>IF(ISNA(MATCH(740,Engine!$C$2:$C$1199,0)),"",INDEX('Compliance Database'!$K$2:$K$1199,MATCH(740,Engine!$C$2:$C$1199,0)))</f>
        <v/>
      </c>
      <c r="L753" s="7" t="str">
        <f>IF(ISNA(MATCH(740,Engine!$C$2:$C$1199,0)),"",INDEX('Compliance Database'!$L$2:$L$1199,MATCH(740,Engine!$C$2:$C$1199,0)))</f>
        <v/>
      </c>
      <c r="M753" s="7" t="str">
        <f>IF(ISNA(MATCH(740,Engine!$C$2:$C$1199,0)),"",INDEX('Compliance Database'!$M$2:$M$1199,MATCH(740,Engine!$C$2:$C$1199,0)))</f>
        <v/>
      </c>
      <c r="N753" s="7" t="str">
        <f>IF(ISNA(MATCH(740,Engine!$C$2:$C$1199,0)),"",INDEX('Compliance Database'!$N$2:$N$1199,MATCH(740,Engine!$C$2:$C$1199,0)))</f>
        <v/>
      </c>
      <c r="O753" s="7" t="str">
        <f>IF(ISNA(MATCH(740,Engine!$C$2:$C$1199,0)),"",INDEX('Compliance Database'!$O$2:$O$1199,MATCH(740,Engine!$C$2:$C$1199,0)))</f>
        <v/>
      </c>
      <c r="P753" s="6" t="str">
        <f>IF(ISNA(MATCH(740,Engine!$C$2:$C$1199,0)),"",HYPERLINK("#Acts!A"&amp;INDEX('Compliance Database'!$P$2:$P$1199,MATCH(740,Engine!$C$2:$C$1199,0)),"Go to Act"))</f>
        <v/>
      </c>
    </row>
    <row r="754" spans="1:16" ht="172.95" customHeight="1" x14ac:dyDescent="0.3">
      <c r="A754" s="6" t="str">
        <f>IF(ISNA(MATCH(741,Engine!$C$2:$C$1199,0)),"",INDEX('Compliance Database'!$A$2:$A$1199,MATCH(741,Engine!$C$2:$C$1199,0)))</f>
        <v/>
      </c>
      <c r="B754" s="6" t="str">
        <f>IF(ISNA(MATCH(741,Engine!$C$2:$C$1199,0)),"",INDEX('Compliance Database'!$B$2:$B$1199,MATCH(741,Engine!$C$2:$C$1199,0)))</f>
        <v/>
      </c>
      <c r="C754" s="6" t="str">
        <f>IF(ISNA(MATCH(741,Engine!$C$2:$C$1199,0)),"",INDEX('Compliance Database'!$C$2:$C$1199,MATCH(741,Engine!$C$2:$C$1199,0)))</f>
        <v/>
      </c>
      <c r="D754" s="7" t="str">
        <f>IF(ISNA(MATCH(741,Engine!$C$2:$C$1199,0)),"",INDEX('Compliance Database'!$D$2:$D$1199,MATCH(741,Engine!$C$2:$C$1199,0)))</f>
        <v/>
      </c>
      <c r="E754" s="6" t="str">
        <f>IF(ISNA(MATCH(741,Engine!$C$2:$C$1199,0)),"",INDEX('Compliance Database'!$E$2:$E$1199,MATCH(741,Engine!$C$2:$C$1199,0)))</f>
        <v/>
      </c>
      <c r="F754" s="6" t="str">
        <f>IF(ISNA(MATCH(741,Engine!$C$2:$C$1199,0)),"",INDEX('Compliance Database'!$F$2:$F$1199,MATCH(741,Engine!$C$2:$C$1199,0)))</f>
        <v/>
      </c>
      <c r="G754" s="6" t="str">
        <f>IF(ISNA(MATCH(741,Engine!$C$2:$C$1199,0)),"",INDEX('Compliance Database'!$G$2:$G$1199,MATCH(741,Engine!$C$2:$C$1199,0)))</f>
        <v/>
      </c>
      <c r="H754" s="7" t="str">
        <f>IF(ISNA(MATCH(741,Engine!$C$2:$C$1199,0)),"",INDEX('Compliance Database'!$H$2:$H$1199,MATCH(741,Engine!$C$2:$C$1199,0)))</f>
        <v/>
      </c>
      <c r="I754" s="7" t="str">
        <f>IF(ISNA(MATCH(741,Engine!$C$2:$C$1199,0)),"",INDEX('Compliance Database'!$I$2:$I$1199,MATCH(741,Engine!$C$2:$C$1199,0)))</f>
        <v/>
      </c>
      <c r="J754" s="6" t="str">
        <f>IF(ISNA(MATCH(741,Engine!$C$2:$C$1199,0)),"",INDEX('Compliance Database'!$J$2:$J$1199,MATCH(741,Engine!$C$2:$C$1199,0)))</f>
        <v/>
      </c>
      <c r="K754" s="7" t="str">
        <f>IF(ISNA(MATCH(741,Engine!$C$2:$C$1199,0)),"",INDEX('Compliance Database'!$K$2:$K$1199,MATCH(741,Engine!$C$2:$C$1199,0)))</f>
        <v/>
      </c>
      <c r="L754" s="7" t="str">
        <f>IF(ISNA(MATCH(741,Engine!$C$2:$C$1199,0)),"",INDEX('Compliance Database'!$L$2:$L$1199,MATCH(741,Engine!$C$2:$C$1199,0)))</f>
        <v/>
      </c>
      <c r="M754" s="7" t="str">
        <f>IF(ISNA(MATCH(741,Engine!$C$2:$C$1199,0)),"",INDEX('Compliance Database'!$M$2:$M$1199,MATCH(741,Engine!$C$2:$C$1199,0)))</f>
        <v/>
      </c>
      <c r="N754" s="7" t="str">
        <f>IF(ISNA(MATCH(741,Engine!$C$2:$C$1199,0)),"",INDEX('Compliance Database'!$N$2:$N$1199,MATCH(741,Engine!$C$2:$C$1199,0)))</f>
        <v/>
      </c>
      <c r="O754" s="7" t="str">
        <f>IF(ISNA(MATCH(741,Engine!$C$2:$C$1199,0)),"",INDEX('Compliance Database'!$O$2:$O$1199,MATCH(741,Engine!$C$2:$C$1199,0)))</f>
        <v/>
      </c>
      <c r="P754" s="6" t="str">
        <f>IF(ISNA(MATCH(741,Engine!$C$2:$C$1199,0)),"",HYPERLINK("#Acts!A"&amp;INDEX('Compliance Database'!$P$2:$P$1199,MATCH(741,Engine!$C$2:$C$1199,0)),"Go to Act"))</f>
        <v/>
      </c>
    </row>
    <row r="755" spans="1:16" ht="172.95" customHeight="1" x14ac:dyDescent="0.3">
      <c r="A755" s="6" t="str">
        <f>IF(ISNA(MATCH(742,Engine!$C$2:$C$1199,0)),"",INDEX('Compliance Database'!$A$2:$A$1199,MATCH(742,Engine!$C$2:$C$1199,0)))</f>
        <v/>
      </c>
      <c r="B755" s="6" t="str">
        <f>IF(ISNA(MATCH(742,Engine!$C$2:$C$1199,0)),"",INDEX('Compliance Database'!$B$2:$B$1199,MATCH(742,Engine!$C$2:$C$1199,0)))</f>
        <v/>
      </c>
      <c r="C755" s="6" t="str">
        <f>IF(ISNA(MATCH(742,Engine!$C$2:$C$1199,0)),"",INDEX('Compliance Database'!$C$2:$C$1199,MATCH(742,Engine!$C$2:$C$1199,0)))</f>
        <v/>
      </c>
      <c r="D755" s="7" t="str">
        <f>IF(ISNA(MATCH(742,Engine!$C$2:$C$1199,0)),"",INDEX('Compliance Database'!$D$2:$D$1199,MATCH(742,Engine!$C$2:$C$1199,0)))</f>
        <v/>
      </c>
      <c r="E755" s="6" t="str">
        <f>IF(ISNA(MATCH(742,Engine!$C$2:$C$1199,0)),"",INDEX('Compliance Database'!$E$2:$E$1199,MATCH(742,Engine!$C$2:$C$1199,0)))</f>
        <v/>
      </c>
      <c r="F755" s="6" t="str">
        <f>IF(ISNA(MATCH(742,Engine!$C$2:$C$1199,0)),"",INDEX('Compliance Database'!$F$2:$F$1199,MATCH(742,Engine!$C$2:$C$1199,0)))</f>
        <v/>
      </c>
      <c r="G755" s="6" t="str">
        <f>IF(ISNA(MATCH(742,Engine!$C$2:$C$1199,0)),"",INDEX('Compliance Database'!$G$2:$G$1199,MATCH(742,Engine!$C$2:$C$1199,0)))</f>
        <v/>
      </c>
      <c r="H755" s="7" t="str">
        <f>IF(ISNA(MATCH(742,Engine!$C$2:$C$1199,0)),"",INDEX('Compliance Database'!$H$2:$H$1199,MATCH(742,Engine!$C$2:$C$1199,0)))</f>
        <v/>
      </c>
      <c r="I755" s="7" t="str">
        <f>IF(ISNA(MATCH(742,Engine!$C$2:$C$1199,0)),"",INDEX('Compliance Database'!$I$2:$I$1199,MATCH(742,Engine!$C$2:$C$1199,0)))</f>
        <v/>
      </c>
      <c r="J755" s="6" t="str">
        <f>IF(ISNA(MATCH(742,Engine!$C$2:$C$1199,0)),"",INDEX('Compliance Database'!$J$2:$J$1199,MATCH(742,Engine!$C$2:$C$1199,0)))</f>
        <v/>
      </c>
      <c r="K755" s="7" t="str">
        <f>IF(ISNA(MATCH(742,Engine!$C$2:$C$1199,0)),"",INDEX('Compliance Database'!$K$2:$K$1199,MATCH(742,Engine!$C$2:$C$1199,0)))</f>
        <v/>
      </c>
      <c r="L755" s="7" t="str">
        <f>IF(ISNA(MATCH(742,Engine!$C$2:$C$1199,0)),"",INDEX('Compliance Database'!$L$2:$L$1199,MATCH(742,Engine!$C$2:$C$1199,0)))</f>
        <v/>
      </c>
      <c r="M755" s="7" t="str">
        <f>IF(ISNA(MATCH(742,Engine!$C$2:$C$1199,0)),"",INDEX('Compliance Database'!$M$2:$M$1199,MATCH(742,Engine!$C$2:$C$1199,0)))</f>
        <v/>
      </c>
      <c r="N755" s="7" t="str">
        <f>IF(ISNA(MATCH(742,Engine!$C$2:$C$1199,0)),"",INDEX('Compliance Database'!$N$2:$N$1199,MATCH(742,Engine!$C$2:$C$1199,0)))</f>
        <v/>
      </c>
      <c r="O755" s="7" t="str">
        <f>IF(ISNA(MATCH(742,Engine!$C$2:$C$1199,0)),"",INDEX('Compliance Database'!$O$2:$O$1199,MATCH(742,Engine!$C$2:$C$1199,0)))</f>
        <v/>
      </c>
      <c r="P755" s="6" t="str">
        <f>IF(ISNA(MATCH(742,Engine!$C$2:$C$1199,0)),"",HYPERLINK("#Acts!A"&amp;INDEX('Compliance Database'!$P$2:$P$1199,MATCH(742,Engine!$C$2:$C$1199,0)),"Go to Act"))</f>
        <v/>
      </c>
    </row>
    <row r="756" spans="1:16" ht="172.95" customHeight="1" x14ac:dyDescent="0.3">
      <c r="A756" s="6" t="str">
        <f>IF(ISNA(MATCH(743,Engine!$C$2:$C$1199,0)),"",INDEX('Compliance Database'!$A$2:$A$1199,MATCH(743,Engine!$C$2:$C$1199,0)))</f>
        <v/>
      </c>
      <c r="B756" s="6" t="str">
        <f>IF(ISNA(MATCH(743,Engine!$C$2:$C$1199,0)),"",INDEX('Compliance Database'!$B$2:$B$1199,MATCH(743,Engine!$C$2:$C$1199,0)))</f>
        <v/>
      </c>
      <c r="C756" s="6" t="str">
        <f>IF(ISNA(MATCH(743,Engine!$C$2:$C$1199,0)),"",INDEX('Compliance Database'!$C$2:$C$1199,MATCH(743,Engine!$C$2:$C$1199,0)))</f>
        <v/>
      </c>
      <c r="D756" s="7" t="str">
        <f>IF(ISNA(MATCH(743,Engine!$C$2:$C$1199,0)),"",INDEX('Compliance Database'!$D$2:$D$1199,MATCH(743,Engine!$C$2:$C$1199,0)))</f>
        <v/>
      </c>
      <c r="E756" s="6" t="str">
        <f>IF(ISNA(MATCH(743,Engine!$C$2:$C$1199,0)),"",INDEX('Compliance Database'!$E$2:$E$1199,MATCH(743,Engine!$C$2:$C$1199,0)))</f>
        <v/>
      </c>
      <c r="F756" s="6" t="str">
        <f>IF(ISNA(MATCH(743,Engine!$C$2:$C$1199,0)),"",INDEX('Compliance Database'!$F$2:$F$1199,MATCH(743,Engine!$C$2:$C$1199,0)))</f>
        <v/>
      </c>
      <c r="G756" s="6" t="str">
        <f>IF(ISNA(MATCH(743,Engine!$C$2:$C$1199,0)),"",INDEX('Compliance Database'!$G$2:$G$1199,MATCH(743,Engine!$C$2:$C$1199,0)))</f>
        <v/>
      </c>
      <c r="H756" s="7" t="str">
        <f>IF(ISNA(MATCH(743,Engine!$C$2:$C$1199,0)),"",INDEX('Compliance Database'!$H$2:$H$1199,MATCH(743,Engine!$C$2:$C$1199,0)))</f>
        <v/>
      </c>
      <c r="I756" s="7" t="str">
        <f>IF(ISNA(MATCH(743,Engine!$C$2:$C$1199,0)),"",INDEX('Compliance Database'!$I$2:$I$1199,MATCH(743,Engine!$C$2:$C$1199,0)))</f>
        <v/>
      </c>
      <c r="J756" s="6" t="str">
        <f>IF(ISNA(MATCH(743,Engine!$C$2:$C$1199,0)),"",INDEX('Compliance Database'!$J$2:$J$1199,MATCH(743,Engine!$C$2:$C$1199,0)))</f>
        <v/>
      </c>
      <c r="K756" s="7" t="str">
        <f>IF(ISNA(MATCH(743,Engine!$C$2:$C$1199,0)),"",INDEX('Compliance Database'!$K$2:$K$1199,MATCH(743,Engine!$C$2:$C$1199,0)))</f>
        <v/>
      </c>
      <c r="L756" s="7" t="str">
        <f>IF(ISNA(MATCH(743,Engine!$C$2:$C$1199,0)),"",INDEX('Compliance Database'!$L$2:$L$1199,MATCH(743,Engine!$C$2:$C$1199,0)))</f>
        <v/>
      </c>
      <c r="M756" s="7" t="str">
        <f>IF(ISNA(MATCH(743,Engine!$C$2:$C$1199,0)),"",INDEX('Compliance Database'!$M$2:$M$1199,MATCH(743,Engine!$C$2:$C$1199,0)))</f>
        <v/>
      </c>
      <c r="N756" s="7" t="str">
        <f>IF(ISNA(MATCH(743,Engine!$C$2:$C$1199,0)),"",INDEX('Compliance Database'!$N$2:$N$1199,MATCH(743,Engine!$C$2:$C$1199,0)))</f>
        <v/>
      </c>
      <c r="O756" s="7" t="str">
        <f>IF(ISNA(MATCH(743,Engine!$C$2:$C$1199,0)),"",INDEX('Compliance Database'!$O$2:$O$1199,MATCH(743,Engine!$C$2:$C$1199,0)))</f>
        <v/>
      </c>
      <c r="P756" s="6" t="str">
        <f>IF(ISNA(MATCH(743,Engine!$C$2:$C$1199,0)),"",HYPERLINK("#Acts!A"&amp;INDEX('Compliance Database'!$P$2:$P$1199,MATCH(743,Engine!$C$2:$C$1199,0)),"Go to Act"))</f>
        <v/>
      </c>
    </row>
    <row r="757" spans="1:16" ht="172.95" customHeight="1" x14ac:dyDescent="0.3">
      <c r="A757" s="6" t="str">
        <f>IF(ISNA(MATCH(744,Engine!$C$2:$C$1199,0)),"",INDEX('Compliance Database'!$A$2:$A$1199,MATCH(744,Engine!$C$2:$C$1199,0)))</f>
        <v/>
      </c>
      <c r="B757" s="6" t="str">
        <f>IF(ISNA(MATCH(744,Engine!$C$2:$C$1199,0)),"",INDEX('Compliance Database'!$B$2:$B$1199,MATCH(744,Engine!$C$2:$C$1199,0)))</f>
        <v/>
      </c>
      <c r="C757" s="6" t="str">
        <f>IF(ISNA(MATCH(744,Engine!$C$2:$C$1199,0)),"",INDEX('Compliance Database'!$C$2:$C$1199,MATCH(744,Engine!$C$2:$C$1199,0)))</f>
        <v/>
      </c>
      <c r="D757" s="7" t="str">
        <f>IF(ISNA(MATCH(744,Engine!$C$2:$C$1199,0)),"",INDEX('Compliance Database'!$D$2:$D$1199,MATCH(744,Engine!$C$2:$C$1199,0)))</f>
        <v/>
      </c>
      <c r="E757" s="6" t="str">
        <f>IF(ISNA(MATCH(744,Engine!$C$2:$C$1199,0)),"",INDEX('Compliance Database'!$E$2:$E$1199,MATCH(744,Engine!$C$2:$C$1199,0)))</f>
        <v/>
      </c>
      <c r="F757" s="6" t="str">
        <f>IF(ISNA(MATCH(744,Engine!$C$2:$C$1199,0)),"",INDEX('Compliance Database'!$F$2:$F$1199,MATCH(744,Engine!$C$2:$C$1199,0)))</f>
        <v/>
      </c>
      <c r="G757" s="6" t="str">
        <f>IF(ISNA(MATCH(744,Engine!$C$2:$C$1199,0)),"",INDEX('Compliance Database'!$G$2:$G$1199,MATCH(744,Engine!$C$2:$C$1199,0)))</f>
        <v/>
      </c>
      <c r="H757" s="7" t="str">
        <f>IF(ISNA(MATCH(744,Engine!$C$2:$C$1199,0)),"",INDEX('Compliance Database'!$H$2:$H$1199,MATCH(744,Engine!$C$2:$C$1199,0)))</f>
        <v/>
      </c>
      <c r="I757" s="7" t="str">
        <f>IF(ISNA(MATCH(744,Engine!$C$2:$C$1199,0)),"",INDEX('Compliance Database'!$I$2:$I$1199,MATCH(744,Engine!$C$2:$C$1199,0)))</f>
        <v/>
      </c>
      <c r="J757" s="6" t="str">
        <f>IF(ISNA(MATCH(744,Engine!$C$2:$C$1199,0)),"",INDEX('Compliance Database'!$J$2:$J$1199,MATCH(744,Engine!$C$2:$C$1199,0)))</f>
        <v/>
      </c>
      <c r="K757" s="7" t="str">
        <f>IF(ISNA(MATCH(744,Engine!$C$2:$C$1199,0)),"",INDEX('Compliance Database'!$K$2:$K$1199,MATCH(744,Engine!$C$2:$C$1199,0)))</f>
        <v/>
      </c>
      <c r="L757" s="7" t="str">
        <f>IF(ISNA(MATCH(744,Engine!$C$2:$C$1199,0)),"",INDEX('Compliance Database'!$L$2:$L$1199,MATCH(744,Engine!$C$2:$C$1199,0)))</f>
        <v/>
      </c>
      <c r="M757" s="7" t="str">
        <f>IF(ISNA(MATCH(744,Engine!$C$2:$C$1199,0)),"",INDEX('Compliance Database'!$M$2:$M$1199,MATCH(744,Engine!$C$2:$C$1199,0)))</f>
        <v/>
      </c>
      <c r="N757" s="7" t="str">
        <f>IF(ISNA(MATCH(744,Engine!$C$2:$C$1199,0)),"",INDEX('Compliance Database'!$N$2:$N$1199,MATCH(744,Engine!$C$2:$C$1199,0)))</f>
        <v/>
      </c>
      <c r="O757" s="7" t="str">
        <f>IF(ISNA(MATCH(744,Engine!$C$2:$C$1199,0)),"",INDEX('Compliance Database'!$O$2:$O$1199,MATCH(744,Engine!$C$2:$C$1199,0)))</f>
        <v/>
      </c>
      <c r="P757" s="6" t="str">
        <f>IF(ISNA(MATCH(744,Engine!$C$2:$C$1199,0)),"",HYPERLINK("#Acts!A"&amp;INDEX('Compliance Database'!$P$2:$P$1199,MATCH(744,Engine!$C$2:$C$1199,0)),"Go to Act"))</f>
        <v/>
      </c>
    </row>
    <row r="758" spans="1:16" ht="172.95" customHeight="1" x14ac:dyDescent="0.3">
      <c r="A758" s="6" t="str">
        <f>IF(ISNA(MATCH(745,Engine!$C$2:$C$1199,0)),"",INDEX('Compliance Database'!$A$2:$A$1199,MATCH(745,Engine!$C$2:$C$1199,0)))</f>
        <v/>
      </c>
      <c r="B758" s="6" t="str">
        <f>IF(ISNA(MATCH(745,Engine!$C$2:$C$1199,0)),"",INDEX('Compliance Database'!$B$2:$B$1199,MATCH(745,Engine!$C$2:$C$1199,0)))</f>
        <v/>
      </c>
      <c r="C758" s="6" t="str">
        <f>IF(ISNA(MATCH(745,Engine!$C$2:$C$1199,0)),"",INDEX('Compliance Database'!$C$2:$C$1199,MATCH(745,Engine!$C$2:$C$1199,0)))</f>
        <v/>
      </c>
      <c r="D758" s="7" t="str">
        <f>IF(ISNA(MATCH(745,Engine!$C$2:$C$1199,0)),"",INDEX('Compliance Database'!$D$2:$D$1199,MATCH(745,Engine!$C$2:$C$1199,0)))</f>
        <v/>
      </c>
      <c r="E758" s="6" t="str">
        <f>IF(ISNA(MATCH(745,Engine!$C$2:$C$1199,0)),"",INDEX('Compliance Database'!$E$2:$E$1199,MATCH(745,Engine!$C$2:$C$1199,0)))</f>
        <v/>
      </c>
      <c r="F758" s="6" t="str">
        <f>IF(ISNA(MATCH(745,Engine!$C$2:$C$1199,0)),"",INDEX('Compliance Database'!$F$2:$F$1199,MATCH(745,Engine!$C$2:$C$1199,0)))</f>
        <v/>
      </c>
      <c r="G758" s="6" t="str">
        <f>IF(ISNA(MATCH(745,Engine!$C$2:$C$1199,0)),"",INDEX('Compliance Database'!$G$2:$G$1199,MATCH(745,Engine!$C$2:$C$1199,0)))</f>
        <v/>
      </c>
      <c r="H758" s="7" t="str">
        <f>IF(ISNA(MATCH(745,Engine!$C$2:$C$1199,0)),"",INDEX('Compliance Database'!$H$2:$H$1199,MATCH(745,Engine!$C$2:$C$1199,0)))</f>
        <v/>
      </c>
      <c r="I758" s="7" t="str">
        <f>IF(ISNA(MATCH(745,Engine!$C$2:$C$1199,0)),"",INDEX('Compliance Database'!$I$2:$I$1199,MATCH(745,Engine!$C$2:$C$1199,0)))</f>
        <v/>
      </c>
      <c r="J758" s="6" t="str">
        <f>IF(ISNA(MATCH(745,Engine!$C$2:$C$1199,0)),"",INDEX('Compliance Database'!$J$2:$J$1199,MATCH(745,Engine!$C$2:$C$1199,0)))</f>
        <v/>
      </c>
      <c r="K758" s="7" t="str">
        <f>IF(ISNA(MATCH(745,Engine!$C$2:$C$1199,0)),"",INDEX('Compliance Database'!$K$2:$K$1199,MATCH(745,Engine!$C$2:$C$1199,0)))</f>
        <v/>
      </c>
      <c r="L758" s="7" t="str">
        <f>IF(ISNA(MATCH(745,Engine!$C$2:$C$1199,0)),"",INDEX('Compliance Database'!$L$2:$L$1199,MATCH(745,Engine!$C$2:$C$1199,0)))</f>
        <v/>
      </c>
      <c r="M758" s="7" t="str">
        <f>IF(ISNA(MATCH(745,Engine!$C$2:$C$1199,0)),"",INDEX('Compliance Database'!$M$2:$M$1199,MATCH(745,Engine!$C$2:$C$1199,0)))</f>
        <v/>
      </c>
      <c r="N758" s="7" t="str">
        <f>IF(ISNA(MATCH(745,Engine!$C$2:$C$1199,0)),"",INDEX('Compliance Database'!$N$2:$N$1199,MATCH(745,Engine!$C$2:$C$1199,0)))</f>
        <v/>
      </c>
      <c r="O758" s="7" t="str">
        <f>IF(ISNA(MATCH(745,Engine!$C$2:$C$1199,0)),"",INDEX('Compliance Database'!$O$2:$O$1199,MATCH(745,Engine!$C$2:$C$1199,0)))</f>
        <v/>
      </c>
      <c r="P758" s="6" t="str">
        <f>IF(ISNA(MATCH(745,Engine!$C$2:$C$1199,0)),"",HYPERLINK("#Acts!A"&amp;INDEX('Compliance Database'!$P$2:$P$1199,MATCH(745,Engine!$C$2:$C$1199,0)),"Go to Act"))</f>
        <v/>
      </c>
    </row>
    <row r="759" spans="1:16" ht="172.95" customHeight="1" x14ac:dyDescent="0.3">
      <c r="A759" s="6" t="str">
        <f>IF(ISNA(MATCH(746,Engine!$C$2:$C$1199,0)),"",INDEX('Compliance Database'!$A$2:$A$1199,MATCH(746,Engine!$C$2:$C$1199,0)))</f>
        <v/>
      </c>
      <c r="B759" s="6" t="str">
        <f>IF(ISNA(MATCH(746,Engine!$C$2:$C$1199,0)),"",INDEX('Compliance Database'!$B$2:$B$1199,MATCH(746,Engine!$C$2:$C$1199,0)))</f>
        <v/>
      </c>
      <c r="C759" s="6" t="str">
        <f>IF(ISNA(MATCH(746,Engine!$C$2:$C$1199,0)),"",INDEX('Compliance Database'!$C$2:$C$1199,MATCH(746,Engine!$C$2:$C$1199,0)))</f>
        <v/>
      </c>
      <c r="D759" s="7" t="str">
        <f>IF(ISNA(MATCH(746,Engine!$C$2:$C$1199,0)),"",INDEX('Compliance Database'!$D$2:$D$1199,MATCH(746,Engine!$C$2:$C$1199,0)))</f>
        <v/>
      </c>
      <c r="E759" s="6" t="str">
        <f>IF(ISNA(MATCH(746,Engine!$C$2:$C$1199,0)),"",INDEX('Compliance Database'!$E$2:$E$1199,MATCH(746,Engine!$C$2:$C$1199,0)))</f>
        <v/>
      </c>
      <c r="F759" s="6" t="str">
        <f>IF(ISNA(MATCH(746,Engine!$C$2:$C$1199,0)),"",INDEX('Compliance Database'!$F$2:$F$1199,MATCH(746,Engine!$C$2:$C$1199,0)))</f>
        <v/>
      </c>
      <c r="G759" s="6" t="str">
        <f>IF(ISNA(MATCH(746,Engine!$C$2:$C$1199,0)),"",INDEX('Compliance Database'!$G$2:$G$1199,MATCH(746,Engine!$C$2:$C$1199,0)))</f>
        <v/>
      </c>
      <c r="H759" s="7" t="str">
        <f>IF(ISNA(MATCH(746,Engine!$C$2:$C$1199,0)),"",INDEX('Compliance Database'!$H$2:$H$1199,MATCH(746,Engine!$C$2:$C$1199,0)))</f>
        <v/>
      </c>
      <c r="I759" s="7" t="str">
        <f>IF(ISNA(MATCH(746,Engine!$C$2:$C$1199,0)),"",INDEX('Compliance Database'!$I$2:$I$1199,MATCH(746,Engine!$C$2:$C$1199,0)))</f>
        <v/>
      </c>
      <c r="J759" s="6" t="str">
        <f>IF(ISNA(MATCH(746,Engine!$C$2:$C$1199,0)),"",INDEX('Compliance Database'!$J$2:$J$1199,MATCH(746,Engine!$C$2:$C$1199,0)))</f>
        <v/>
      </c>
      <c r="K759" s="7" t="str">
        <f>IF(ISNA(MATCH(746,Engine!$C$2:$C$1199,0)),"",INDEX('Compliance Database'!$K$2:$K$1199,MATCH(746,Engine!$C$2:$C$1199,0)))</f>
        <v/>
      </c>
      <c r="L759" s="7" t="str">
        <f>IF(ISNA(MATCH(746,Engine!$C$2:$C$1199,0)),"",INDEX('Compliance Database'!$L$2:$L$1199,MATCH(746,Engine!$C$2:$C$1199,0)))</f>
        <v/>
      </c>
      <c r="M759" s="7" t="str">
        <f>IF(ISNA(MATCH(746,Engine!$C$2:$C$1199,0)),"",INDEX('Compliance Database'!$M$2:$M$1199,MATCH(746,Engine!$C$2:$C$1199,0)))</f>
        <v/>
      </c>
      <c r="N759" s="7" t="str">
        <f>IF(ISNA(MATCH(746,Engine!$C$2:$C$1199,0)),"",INDEX('Compliance Database'!$N$2:$N$1199,MATCH(746,Engine!$C$2:$C$1199,0)))</f>
        <v/>
      </c>
      <c r="O759" s="7" t="str">
        <f>IF(ISNA(MATCH(746,Engine!$C$2:$C$1199,0)),"",INDEX('Compliance Database'!$O$2:$O$1199,MATCH(746,Engine!$C$2:$C$1199,0)))</f>
        <v/>
      </c>
      <c r="P759" s="6" t="str">
        <f>IF(ISNA(MATCH(746,Engine!$C$2:$C$1199,0)),"",HYPERLINK("#Acts!A"&amp;INDEX('Compliance Database'!$P$2:$P$1199,MATCH(746,Engine!$C$2:$C$1199,0)),"Go to Act"))</f>
        <v/>
      </c>
    </row>
    <row r="760" spans="1:16" ht="172.95" customHeight="1" x14ac:dyDescent="0.3">
      <c r="A760" s="6" t="str">
        <f>IF(ISNA(MATCH(747,Engine!$C$2:$C$1199,0)),"",INDEX('Compliance Database'!$A$2:$A$1199,MATCH(747,Engine!$C$2:$C$1199,0)))</f>
        <v/>
      </c>
      <c r="B760" s="6" t="str">
        <f>IF(ISNA(MATCH(747,Engine!$C$2:$C$1199,0)),"",INDEX('Compliance Database'!$B$2:$B$1199,MATCH(747,Engine!$C$2:$C$1199,0)))</f>
        <v/>
      </c>
      <c r="C760" s="6" t="str">
        <f>IF(ISNA(MATCH(747,Engine!$C$2:$C$1199,0)),"",INDEX('Compliance Database'!$C$2:$C$1199,MATCH(747,Engine!$C$2:$C$1199,0)))</f>
        <v/>
      </c>
      <c r="D760" s="7" t="str">
        <f>IF(ISNA(MATCH(747,Engine!$C$2:$C$1199,0)),"",INDEX('Compliance Database'!$D$2:$D$1199,MATCH(747,Engine!$C$2:$C$1199,0)))</f>
        <v/>
      </c>
      <c r="E760" s="6" t="str">
        <f>IF(ISNA(MATCH(747,Engine!$C$2:$C$1199,0)),"",INDEX('Compliance Database'!$E$2:$E$1199,MATCH(747,Engine!$C$2:$C$1199,0)))</f>
        <v/>
      </c>
      <c r="F760" s="6" t="str">
        <f>IF(ISNA(MATCH(747,Engine!$C$2:$C$1199,0)),"",INDEX('Compliance Database'!$F$2:$F$1199,MATCH(747,Engine!$C$2:$C$1199,0)))</f>
        <v/>
      </c>
      <c r="G760" s="6" t="str">
        <f>IF(ISNA(MATCH(747,Engine!$C$2:$C$1199,0)),"",INDEX('Compliance Database'!$G$2:$G$1199,MATCH(747,Engine!$C$2:$C$1199,0)))</f>
        <v/>
      </c>
      <c r="H760" s="7" t="str">
        <f>IF(ISNA(MATCH(747,Engine!$C$2:$C$1199,0)),"",INDEX('Compliance Database'!$H$2:$H$1199,MATCH(747,Engine!$C$2:$C$1199,0)))</f>
        <v/>
      </c>
      <c r="I760" s="7" t="str">
        <f>IF(ISNA(MATCH(747,Engine!$C$2:$C$1199,0)),"",INDEX('Compliance Database'!$I$2:$I$1199,MATCH(747,Engine!$C$2:$C$1199,0)))</f>
        <v/>
      </c>
      <c r="J760" s="6" t="str">
        <f>IF(ISNA(MATCH(747,Engine!$C$2:$C$1199,0)),"",INDEX('Compliance Database'!$J$2:$J$1199,MATCH(747,Engine!$C$2:$C$1199,0)))</f>
        <v/>
      </c>
      <c r="K760" s="7" t="str">
        <f>IF(ISNA(MATCH(747,Engine!$C$2:$C$1199,0)),"",INDEX('Compliance Database'!$K$2:$K$1199,MATCH(747,Engine!$C$2:$C$1199,0)))</f>
        <v/>
      </c>
      <c r="L760" s="7" t="str">
        <f>IF(ISNA(MATCH(747,Engine!$C$2:$C$1199,0)),"",INDEX('Compliance Database'!$L$2:$L$1199,MATCH(747,Engine!$C$2:$C$1199,0)))</f>
        <v/>
      </c>
      <c r="M760" s="7" t="str">
        <f>IF(ISNA(MATCH(747,Engine!$C$2:$C$1199,0)),"",INDEX('Compliance Database'!$M$2:$M$1199,MATCH(747,Engine!$C$2:$C$1199,0)))</f>
        <v/>
      </c>
      <c r="N760" s="7" t="str">
        <f>IF(ISNA(MATCH(747,Engine!$C$2:$C$1199,0)),"",INDEX('Compliance Database'!$N$2:$N$1199,MATCH(747,Engine!$C$2:$C$1199,0)))</f>
        <v/>
      </c>
      <c r="O760" s="7" t="str">
        <f>IF(ISNA(MATCH(747,Engine!$C$2:$C$1199,0)),"",INDEX('Compliance Database'!$O$2:$O$1199,MATCH(747,Engine!$C$2:$C$1199,0)))</f>
        <v/>
      </c>
      <c r="P760" s="6" t="str">
        <f>IF(ISNA(MATCH(747,Engine!$C$2:$C$1199,0)),"",HYPERLINK("#Acts!A"&amp;INDEX('Compliance Database'!$P$2:$P$1199,MATCH(747,Engine!$C$2:$C$1199,0)),"Go to Act"))</f>
        <v/>
      </c>
    </row>
    <row r="761" spans="1:16" ht="172.95" customHeight="1" x14ac:dyDescent="0.3">
      <c r="A761" s="6" t="str">
        <f>IF(ISNA(MATCH(748,Engine!$C$2:$C$1199,0)),"",INDEX('Compliance Database'!$A$2:$A$1199,MATCH(748,Engine!$C$2:$C$1199,0)))</f>
        <v/>
      </c>
      <c r="B761" s="6" t="str">
        <f>IF(ISNA(MATCH(748,Engine!$C$2:$C$1199,0)),"",INDEX('Compliance Database'!$B$2:$B$1199,MATCH(748,Engine!$C$2:$C$1199,0)))</f>
        <v/>
      </c>
      <c r="C761" s="6" t="str">
        <f>IF(ISNA(MATCH(748,Engine!$C$2:$C$1199,0)),"",INDEX('Compliance Database'!$C$2:$C$1199,MATCH(748,Engine!$C$2:$C$1199,0)))</f>
        <v/>
      </c>
      <c r="D761" s="7" t="str">
        <f>IF(ISNA(MATCH(748,Engine!$C$2:$C$1199,0)),"",INDEX('Compliance Database'!$D$2:$D$1199,MATCH(748,Engine!$C$2:$C$1199,0)))</f>
        <v/>
      </c>
      <c r="E761" s="6" t="str">
        <f>IF(ISNA(MATCH(748,Engine!$C$2:$C$1199,0)),"",INDEX('Compliance Database'!$E$2:$E$1199,MATCH(748,Engine!$C$2:$C$1199,0)))</f>
        <v/>
      </c>
      <c r="F761" s="6" t="str">
        <f>IF(ISNA(MATCH(748,Engine!$C$2:$C$1199,0)),"",INDEX('Compliance Database'!$F$2:$F$1199,MATCH(748,Engine!$C$2:$C$1199,0)))</f>
        <v/>
      </c>
      <c r="G761" s="6" t="str">
        <f>IF(ISNA(MATCH(748,Engine!$C$2:$C$1199,0)),"",INDEX('Compliance Database'!$G$2:$G$1199,MATCH(748,Engine!$C$2:$C$1199,0)))</f>
        <v/>
      </c>
      <c r="H761" s="7" t="str">
        <f>IF(ISNA(MATCH(748,Engine!$C$2:$C$1199,0)),"",INDEX('Compliance Database'!$H$2:$H$1199,MATCH(748,Engine!$C$2:$C$1199,0)))</f>
        <v/>
      </c>
      <c r="I761" s="7" t="str">
        <f>IF(ISNA(MATCH(748,Engine!$C$2:$C$1199,0)),"",INDEX('Compliance Database'!$I$2:$I$1199,MATCH(748,Engine!$C$2:$C$1199,0)))</f>
        <v/>
      </c>
      <c r="J761" s="6" t="str">
        <f>IF(ISNA(MATCH(748,Engine!$C$2:$C$1199,0)),"",INDEX('Compliance Database'!$J$2:$J$1199,MATCH(748,Engine!$C$2:$C$1199,0)))</f>
        <v/>
      </c>
      <c r="K761" s="7" t="str">
        <f>IF(ISNA(MATCH(748,Engine!$C$2:$C$1199,0)),"",INDEX('Compliance Database'!$K$2:$K$1199,MATCH(748,Engine!$C$2:$C$1199,0)))</f>
        <v/>
      </c>
      <c r="L761" s="7" t="str">
        <f>IF(ISNA(MATCH(748,Engine!$C$2:$C$1199,0)),"",INDEX('Compliance Database'!$L$2:$L$1199,MATCH(748,Engine!$C$2:$C$1199,0)))</f>
        <v/>
      </c>
      <c r="M761" s="7" t="str">
        <f>IF(ISNA(MATCH(748,Engine!$C$2:$C$1199,0)),"",INDEX('Compliance Database'!$M$2:$M$1199,MATCH(748,Engine!$C$2:$C$1199,0)))</f>
        <v/>
      </c>
      <c r="N761" s="7" t="str">
        <f>IF(ISNA(MATCH(748,Engine!$C$2:$C$1199,0)),"",INDEX('Compliance Database'!$N$2:$N$1199,MATCH(748,Engine!$C$2:$C$1199,0)))</f>
        <v/>
      </c>
      <c r="O761" s="7" t="str">
        <f>IF(ISNA(MATCH(748,Engine!$C$2:$C$1199,0)),"",INDEX('Compliance Database'!$O$2:$O$1199,MATCH(748,Engine!$C$2:$C$1199,0)))</f>
        <v/>
      </c>
      <c r="P761" s="6" t="str">
        <f>IF(ISNA(MATCH(748,Engine!$C$2:$C$1199,0)),"",HYPERLINK("#Acts!A"&amp;INDEX('Compliance Database'!$P$2:$P$1199,MATCH(748,Engine!$C$2:$C$1199,0)),"Go to Act"))</f>
        <v/>
      </c>
    </row>
    <row r="762" spans="1:16" ht="172.95" customHeight="1" x14ac:dyDescent="0.3">
      <c r="A762" s="6" t="str">
        <f>IF(ISNA(MATCH(749,Engine!$C$2:$C$1199,0)),"",INDEX('Compliance Database'!$A$2:$A$1199,MATCH(749,Engine!$C$2:$C$1199,0)))</f>
        <v/>
      </c>
      <c r="B762" s="6" t="str">
        <f>IF(ISNA(MATCH(749,Engine!$C$2:$C$1199,0)),"",INDEX('Compliance Database'!$B$2:$B$1199,MATCH(749,Engine!$C$2:$C$1199,0)))</f>
        <v/>
      </c>
      <c r="C762" s="6" t="str">
        <f>IF(ISNA(MATCH(749,Engine!$C$2:$C$1199,0)),"",INDEX('Compliance Database'!$C$2:$C$1199,MATCH(749,Engine!$C$2:$C$1199,0)))</f>
        <v/>
      </c>
      <c r="D762" s="7" t="str">
        <f>IF(ISNA(MATCH(749,Engine!$C$2:$C$1199,0)),"",INDEX('Compliance Database'!$D$2:$D$1199,MATCH(749,Engine!$C$2:$C$1199,0)))</f>
        <v/>
      </c>
      <c r="E762" s="6" t="str">
        <f>IF(ISNA(MATCH(749,Engine!$C$2:$C$1199,0)),"",INDEX('Compliance Database'!$E$2:$E$1199,MATCH(749,Engine!$C$2:$C$1199,0)))</f>
        <v/>
      </c>
      <c r="F762" s="6" t="str">
        <f>IF(ISNA(MATCH(749,Engine!$C$2:$C$1199,0)),"",INDEX('Compliance Database'!$F$2:$F$1199,MATCH(749,Engine!$C$2:$C$1199,0)))</f>
        <v/>
      </c>
      <c r="G762" s="6" t="str">
        <f>IF(ISNA(MATCH(749,Engine!$C$2:$C$1199,0)),"",INDEX('Compliance Database'!$G$2:$G$1199,MATCH(749,Engine!$C$2:$C$1199,0)))</f>
        <v/>
      </c>
      <c r="H762" s="7" t="str">
        <f>IF(ISNA(MATCH(749,Engine!$C$2:$C$1199,0)),"",INDEX('Compliance Database'!$H$2:$H$1199,MATCH(749,Engine!$C$2:$C$1199,0)))</f>
        <v/>
      </c>
      <c r="I762" s="7" t="str">
        <f>IF(ISNA(MATCH(749,Engine!$C$2:$C$1199,0)),"",INDEX('Compliance Database'!$I$2:$I$1199,MATCH(749,Engine!$C$2:$C$1199,0)))</f>
        <v/>
      </c>
      <c r="J762" s="6" t="str">
        <f>IF(ISNA(MATCH(749,Engine!$C$2:$C$1199,0)),"",INDEX('Compliance Database'!$J$2:$J$1199,MATCH(749,Engine!$C$2:$C$1199,0)))</f>
        <v/>
      </c>
      <c r="K762" s="7" t="str">
        <f>IF(ISNA(MATCH(749,Engine!$C$2:$C$1199,0)),"",INDEX('Compliance Database'!$K$2:$K$1199,MATCH(749,Engine!$C$2:$C$1199,0)))</f>
        <v/>
      </c>
      <c r="L762" s="7" t="str">
        <f>IF(ISNA(MATCH(749,Engine!$C$2:$C$1199,0)),"",INDEX('Compliance Database'!$L$2:$L$1199,MATCH(749,Engine!$C$2:$C$1199,0)))</f>
        <v/>
      </c>
      <c r="M762" s="7" t="str">
        <f>IF(ISNA(MATCH(749,Engine!$C$2:$C$1199,0)),"",INDEX('Compliance Database'!$M$2:$M$1199,MATCH(749,Engine!$C$2:$C$1199,0)))</f>
        <v/>
      </c>
      <c r="N762" s="7" t="str">
        <f>IF(ISNA(MATCH(749,Engine!$C$2:$C$1199,0)),"",INDEX('Compliance Database'!$N$2:$N$1199,MATCH(749,Engine!$C$2:$C$1199,0)))</f>
        <v/>
      </c>
      <c r="O762" s="7" t="str">
        <f>IF(ISNA(MATCH(749,Engine!$C$2:$C$1199,0)),"",INDEX('Compliance Database'!$O$2:$O$1199,MATCH(749,Engine!$C$2:$C$1199,0)))</f>
        <v/>
      </c>
      <c r="P762" s="6" t="str">
        <f>IF(ISNA(MATCH(749,Engine!$C$2:$C$1199,0)),"",HYPERLINK("#Acts!A"&amp;INDEX('Compliance Database'!$P$2:$P$1199,MATCH(749,Engine!$C$2:$C$1199,0)),"Go to Act"))</f>
        <v/>
      </c>
    </row>
    <row r="763" spans="1:16" ht="172.95" customHeight="1" x14ac:dyDescent="0.3">
      <c r="A763" s="6" t="str">
        <f>IF(ISNA(MATCH(750,Engine!$C$2:$C$1199,0)),"",INDEX('Compliance Database'!$A$2:$A$1199,MATCH(750,Engine!$C$2:$C$1199,0)))</f>
        <v/>
      </c>
      <c r="B763" s="6" t="str">
        <f>IF(ISNA(MATCH(750,Engine!$C$2:$C$1199,0)),"",INDEX('Compliance Database'!$B$2:$B$1199,MATCH(750,Engine!$C$2:$C$1199,0)))</f>
        <v/>
      </c>
      <c r="C763" s="6" t="str">
        <f>IF(ISNA(MATCH(750,Engine!$C$2:$C$1199,0)),"",INDEX('Compliance Database'!$C$2:$C$1199,MATCH(750,Engine!$C$2:$C$1199,0)))</f>
        <v/>
      </c>
      <c r="D763" s="7" t="str">
        <f>IF(ISNA(MATCH(750,Engine!$C$2:$C$1199,0)),"",INDEX('Compliance Database'!$D$2:$D$1199,MATCH(750,Engine!$C$2:$C$1199,0)))</f>
        <v/>
      </c>
      <c r="E763" s="6" t="str">
        <f>IF(ISNA(MATCH(750,Engine!$C$2:$C$1199,0)),"",INDEX('Compliance Database'!$E$2:$E$1199,MATCH(750,Engine!$C$2:$C$1199,0)))</f>
        <v/>
      </c>
      <c r="F763" s="6" t="str">
        <f>IF(ISNA(MATCH(750,Engine!$C$2:$C$1199,0)),"",INDEX('Compliance Database'!$F$2:$F$1199,MATCH(750,Engine!$C$2:$C$1199,0)))</f>
        <v/>
      </c>
      <c r="G763" s="6" t="str">
        <f>IF(ISNA(MATCH(750,Engine!$C$2:$C$1199,0)),"",INDEX('Compliance Database'!$G$2:$G$1199,MATCH(750,Engine!$C$2:$C$1199,0)))</f>
        <v/>
      </c>
      <c r="H763" s="7" t="str">
        <f>IF(ISNA(MATCH(750,Engine!$C$2:$C$1199,0)),"",INDEX('Compliance Database'!$H$2:$H$1199,MATCH(750,Engine!$C$2:$C$1199,0)))</f>
        <v/>
      </c>
      <c r="I763" s="7" t="str">
        <f>IF(ISNA(MATCH(750,Engine!$C$2:$C$1199,0)),"",INDEX('Compliance Database'!$I$2:$I$1199,MATCH(750,Engine!$C$2:$C$1199,0)))</f>
        <v/>
      </c>
      <c r="J763" s="6" t="str">
        <f>IF(ISNA(MATCH(750,Engine!$C$2:$C$1199,0)),"",INDEX('Compliance Database'!$J$2:$J$1199,MATCH(750,Engine!$C$2:$C$1199,0)))</f>
        <v/>
      </c>
      <c r="K763" s="7" t="str">
        <f>IF(ISNA(MATCH(750,Engine!$C$2:$C$1199,0)),"",INDEX('Compliance Database'!$K$2:$K$1199,MATCH(750,Engine!$C$2:$C$1199,0)))</f>
        <v/>
      </c>
      <c r="L763" s="7" t="str">
        <f>IF(ISNA(MATCH(750,Engine!$C$2:$C$1199,0)),"",INDEX('Compliance Database'!$L$2:$L$1199,MATCH(750,Engine!$C$2:$C$1199,0)))</f>
        <v/>
      </c>
      <c r="M763" s="7" t="str">
        <f>IF(ISNA(MATCH(750,Engine!$C$2:$C$1199,0)),"",INDEX('Compliance Database'!$M$2:$M$1199,MATCH(750,Engine!$C$2:$C$1199,0)))</f>
        <v/>
      </c>
      <c r="N763" s="7" t="str">
        <f>IF(ISNA(MATCH(750,Engine!$C$2:$C$1199,0)),"",INDEX('Compliance Database'!$N$2:$N$1199,MATCH(750,Engine!$C$2:$C$1199,0)))</f>
        <v/>
      </c>
      <c r="O763" s="7" t="str">
        <f>IF(ISNA(MATCH(750,Engine!$C$2:$C$1199,0)),"",INDEX('Compliance Database'!$O$2:$O$1199,MATCH(750,Engine!$C$2:$C$1199,0)))</f>
        <v/>
      </c>
      <c r="P763" s="6" t="str">
        <f>IF(ISNA(MATCH(750,Engine!$C$2:$C$1199,0)),"",HYPERLINK("#Acts!A"&amp;INDEX('Compliance Database'!$P$2:$P$1199,MATCH(750,Engine!$C$2:$C$1199,0)),"Go to Act"))</f>
        <v/>
      </c>
    </row>
    <row r="764" spans="1:16" ht="172.95" customHeight="1" x14ac:dyDescent="0.3">
      <c r="A764" s="6" t="str">
        <f>IF(ISNA(MATCH(751,Engine!$C$2:$C$1199,0)),"",INDEX('Compliance Database'!$A$2:$A$1199,MATCH(751,Engine!$C$2:$C$1199,0)))</f>
        <v/>
      </c>
      <c r="B764" s="6" t="str">
        <f>IF(ISNA(MATCH(751,Engine!$C$2:$C$1199,0)),"",INDEX('Compliance Database'!$B$2:$B$1199,MATCH(751,Engine!$C$2:$C$1199,0)))</f>
        <v/>
      </c>
      <c r="C764" s="6" t="str">
        <f>IF(ISNA(MATCH(751,Engine!$C$2:$C$1199,0)),"",INDEX('Compliance Database'!$C$2:$C$1199,MATCH(751,Engine!$C$2:$C$1199,0)))</f>
        <v/>
      </c>
      <c r="D764" s="7" t="str">
        <f>IF(ISNA(MATCH(751,Engine!$C$2:$C$1199,0)),"",INDEX('Compliance Database'!$D$2:$D$1199,MATCH(751,Engine!$C$2:$C$1199,0)))</f>
        <v/>
      </c>
      <c r="E764" s="6" t="str">
        <f>IF(ISNA(MATCH(751,Engine!$C$2:$C$1199,0)),"",INDEX('Compliance Database'!$E$2:$E$1199,MATCH(751,Engine!$C$2:$C$1199,0)))</f>
        <v/>
      </c>
      <c r="F764" s="6" t="str">
        <f>IF(ISNA(MATCH(751,Engine!$C$2:$C$1199,0)),"",INDEX('Compliance Database'!$F$2:$F$1199,MATCH(751,Engine!$C$2:$C$1199,0)))</f>
        <v/>
      </c>
      <c r="G764" s="6" t="str">
        <f>IF(ISNA(MATCH(751,Engine!$C$2:$C$1199,0)),"",INDEX('Compliance Database'!$G$2:$G$1199,MATCH(751,Engine!$C$2:$C$1199,0)))</f>
        <v/>
      </c>
      <c r="H764" s="7" t="str">
        <f>IF(ISNA(MATCH(751,Engine!$C$2:$C$1199,0)),"",INDEX('Compliance Database'!$H$2:$H$1199,MATCH(751,Engine!$C$2:$C$1199,0)))</f>
        <v/>
      </c>
      <c r="I764" s="7" t="str">
        <f>IF(ISNA(MATCH(751,Engine!$C$2:$C$1199,0)),"",INDEX('Compliance Database'!$I$2:$I$1199,MATCH(751,Engine!$C$2:$C$1199,0)))</f>
        <v/>
      </c>
      <c r="J764" s="6" t="str">
        <f>IF(ISNA(MATCH(751,Engine!$C$2:$C$1199,0)),"",INDEX('Compliance Database'!$J$2:$J$1199,MATCH(751,Engine!$C$2:$C$1199,0)))</f>
        <v/>
      </c>
      <c r="K764" s="7" t="str">
        <f>IF(ISNA(MATCH(751,Engine!$C$2:$C$1199,0)),"",INDEX('Compliance Database'!$K$2:$K$1199,MATCH(751,Engine!$C$2:$C$1199,0)))</f>
        <v/>
      </c>
      <c r="L764" s="7" t="str">
        <f>IF(ISNA(MATCH(751,Engine!$C$2:$C$1199,0)),"",INDEX('Compliance Database'!$L$2:$L$1199,MATCH(751,Engine!$C$2:$C$1199,0)))</f>
        <v/>
      </c>
      <c r="M764" s="7" t="str">
        <f>IF(ISNA(MATCH(751,Engine!$C$2:$C$1199,0)),"",INDEX('Compliance Database'!$M$2:$M$1199,MATCH(751,Engine!$C$2:$C$1199,0)))</f>
        <v/>
      </c>
      <c r="N764" s="7" t="str">
        <f>IF(ISNA(MATCH(751,Engine!$C$2:$C$1199,0)),"",INDEX('Compliance Database'!$N$2:$N$1199,MATCH(751,Engine!$C$2:$C$1199,0)))</f>
        <v/>
      </c>
      <c r="O764" s="7" t="str">
        <f>IF(ISNA(MATCH(751,Engine!$C$2:$C$1199,0)),"",INDEX('Compliance Database'!$O$2:$O$1199,MATCH(751,Engine!$C$2:$C$1199,0)))</f>
        <v/>
      </c>
      <c r="P764" s="6" t="str">
        <f>IF(ISNA(MATCH(751,Engine!$C$2:$C$1199,0)),"",HYPERLINK("#Acts!A"&amp;INDEX('Compliance Database'!$P$2:$P$1199,MATCH(751,Engine!$C$2:$C$1199,0)),"Go to Act"))</f>
        <v/>
      </c>
    </row>
    <row r="765" spans="1:16" ht="172.95" customHeight="1" x14ac:dyDescent="0.3">
      <c r="A765" s="6" t="str">
        <f>IF(ISNA(MATCH(752,Engine!$C$2:$C$1199,0)),"",INDEX('Compliance Database'!$A$2:$A$1199,MATCH(752,Engine!$C$2:$C$1199,0)))</f>
        <v/>
      </c>
      <c r="B765" s="6" t="str">
        <f>IF(ISNA(MATCH(752,Engine!$C$2:$C$1199,0)),"",INDEX('Compliance Database'!$B$2:$B$1199,MATCH(752,Engine!$C$2:$C$1199,0)))</f>
        <v/>
      </c>
      <c r="C765" s="6" t="str">
        <f>IF(ISNA(MATCH(752,Engine!$C$2:$C$1199,0)),"",INDEX('Compliance Database'!$C$2:$C$1199,MATCH(752,Engine!$C$2:$C$1199,0)))</f>
        <v/>
      </c>
      <c r="D765" s="7" t="str">
        <f>IF(ISNA(MATCH(752,Engine!$C$2:$C$1199,0)),"",INDEX('Compliance Database'!$D$2:$D$1199,MATCH(752,Engine!$C$2:$C$1199,0)))</f>
        <v/>
      </c>
      <c r="E765" s="6" t="str">
        <f>IF(ISNA(MATCH(752,Engine!$C$2:$C$1199,0)),"",INDEX('Compliance Database'!$E$2:$E$1199,MATCH(752,Engine!$C$2:$C$1199,0)))</f>
        <v/>
      </c>
      <c r="F765" s="6" t="str">
        <f>IF(ISNA(MATCH(752,Engine!$C$2:$C$1199,0)),"",INDEX('Compliance Database'!$F$2:$F$1199,MATCH(752,Engine!$C$2:$C$1199,0)))</f>
        <v/>
      </c>
      <c r="G765" s="6" t="str">
        <f>IF(ISNA(MATCH(752,Engine!$C$2:$C$1199,0)),"",INDEX('Compliance Database'!$G$2:$G$1199,MATCH(752,Engine!$C$2:$C$1199,0)))</f>
        <v/>
      </c>
      <c r="H765" s="7" t="str">
        <f>IF(ISNA(MATCH(752,Engine!$C$2:$C$1199,0)),"",INDEX('Compliance Database'!$H$2:$H$1199,MATCH(752,Engine!$C$2:$C$1199,0)))</f>
        <v/>
      </c>
      <c r="I765" s="7" t="str">
        <f>IF(ISNA(MATCH(752,Engine!$C$2:$C$1199,0)),"",INDEX('Compliance Database'!$I$2:$I$1199,MATCH(752,Engine!$C$2:$C$1199,0)))</f>
        <v/>
      </c>
      <c r="J765" s="6" t="str">
        <f>IF(ISNA(MATCH(752,Engine!$C$2:$C$1199,0)),"",INDEX('Compliance Database'!$J$2:$J$1199,MATCH(752,Engine!$C$2:$C$1199,0)))</f>
        <v/>
      </c>
      <c r="K765" s="7" t="str">
        <f>IF(ISNA(MATCH(752,Engine!$C$2:$C$1199,0)),"",INDEX('Compliance Database'!$K$2:$K$1199,MATCH(752,Engine!$C$2:$C$1199,0)))</f>
        <v/>
      </c>
      <c r="L765" s="7" t="str">
        <f>IF(ISNA(MATCH(752,Engine!$C$2:$C$1199,0)),"",INDEX('Compliance Database'!$L$2:$L$1199,MATCH(752,Engine!$C$2:$C$1199,0)))</f>
        <v/>
      </c>
      <c r="M765" s="7" t="str">
        <f>IF(ISNA(MATCH(752,Engine!$C$2:$C$1199,0)),"",INDEX('Compliance Database'!$M$2:$M$1199,MATCH(752,Engine!$C$2:$C$1199,0)))</f>
        <v/>
      </c>
      <c r="N765" s="7" t="str">
        <f>IF(ISNA(MATCH(752,Engine!$C$2:$C$1199,0)),"",INDEX('Compliance Database'!$N$2:$N$1199,MATCH(752,Engine!$C$2:$C$1199,0)))</f>
        <v/>
      </c>
      <c r="O765" s="7" t="str">
        <f>IF(ISNA(MATCH(752,Engine!$C$2:$C$1199,0)),"",INDEX('Compliance Database'!$O$2:$O$1199,MATCH(752,Engine!$C$2:$C$1199,0)))</f>
        <v/>
      </c>
      <c r="P765" s="6" t="str">
        <f>IF(ISNA(MATCH(752,Engine!$C$2:$C$1199,0)),"",HYPERLINK("#Acts!A"&amp;INDEX('Compliance Database'!$P$2:$P$1199,MATCH(752,Engine!$C$2:$C$1199,0)),"Go to Act"))</f>
        <v/>
      </c>
    </row>
    <row r="766" spans="1:16" ht="172.95" customHeight="1" x14ac:dyDescent="0.3">
      <c r="A766" s="6" t="str">
        <f>IF(ISNA(MATCH(753,Engine!$C$2:$C$1199,0)),"",INDEX('Compliance Database'!$A$2:$A$1199,MATCH(753,Engine!$C$2:$C$1199,0)))</f>
        <v/>
      </c>
      <c r="B766" s="6" t="str">
        <f>IF(ISNA(MATCH(753,Engine!$C$2:$C$1199,0)),"",INDEX('Compliance Database'!$B$2:$B$1199,MATCH(753,Engine!$C$2:$C$1199,0)))</f>
        <v/>
      </c>
      <c r="C766" s="6" t="str">
        <f>IF(ISNA(MATCH(753,Engine!$C$2:$C$1199,0)),"",INDEX('Compliance Database'!$C$2:$C$1199,MATCH(753,Engine!$C$2:$C$1199,0)))</f>
        <v/>
      </c>
      <c r="D766" s="7" t="str">
        <f>IF(ISNA(MATCH(753,Engine!$C$2:$C$1199,0)),"",INDEX('Compliance Database'!$D$2:$D$1199,MATCH(753,Engine!$C$2:$C$1199,0)))</f>
        <v/>
      </c>
      <c r="E766" s="6" t="str">
        <f>IF(ISNA(MATCH(753,Engine!$C$2:$C$1199,0)),"",INDEX('Compliance Database'!$E$2:$E$1199,MATCH(753,Engine!$C$2:$C$1199,0)))</f>
        <v/>
      </c>
      <c r="F766" s="6" t="str">
        <f>IF(ISNA(MATCH(753,Engine!$C$2:$C$1199,0)),"",INDEX('Compliance Database'!$F$2:$F$1199,MATCH(753,Engine!$C$2:$C$1199,0)))</f>
        <v/>
      </c>
      <c r="G766" s="6" t="str">
        <f>IF(ISNA(MATCH(753,Engine!$C$2:$C$1199,0)),"",INDEX('Compliance Database'!$G$2:$G$1199,MATCH(753,Engine!$C$2:$C$1199,0)))</f>
        <v/>
      </c>
      <c r="H766" s="7" t="str">
        <f>IF(ISNA(MATCH(753,Engine!$C$2:$C$1199,0)),"",INDEX('Compliance Database'!$H$2:$H$1199,MATCH(753,Engine!$C$2:$C$1199,0)))</f>
        <v/>
      </c>
      <c r="I766" s="7" t="str">
        <f>IF(ISNA(MATCH(753,Engine!$C$2:$C$1199,0)),"",INDEX('Compliance Database'!$I$2:$I$1199,MATCH(753,Engine!$C$2:$C$1199,0)))</f>
        <v/>
      </c>
      <c r="J766" s="6" t="str">
        <f>IF(ISNA(MATCH(753,Engine!$C$2:$C$1199,0)),"",INDEX('Compliance Database'!$J$2:$J$1199,MATCH(753,Engine!$C$2:$C$1199,0)))</f>
        <v/>
      </c>
      <c r="K766" s="7" t="str">
        <f>IF(ISNA(MATCH(753,Engine!$C$2:$C$1199,0)),"",INDEX('Compliance Database'!$K$2:$K$1199,MATCH(753,Engine!$C$2:$C$1199,0)))</f>
        <v/>
      </c>
      <c r="L766" s="7" t="str">
        <f>IF(ISNA(MATCH(753,Engine!$C$2:$C$1199,0)),"",INDEX('Compliance Database'!$L$2:$L$1199,MATCH(753,Engine!$C$2:$C$1199,0)))</f>
        <v/>
      </c>
      <c r="M766" s="7" t="str">
        <f>IF(ISNA(MATCH(753,Engine!$C$2:$C$1199,0)),"",INDEX('Compliance Database'!$M$2:$M$1199,MATCH(753,Engine!$C$2:$C$1199,0)))</f>
        <v/>
      </c>
      <c r="N766" s="7" t="str">
        <f>IF(ISNA(MATCH(753,Engine!$C$2:$C$1199,0)),"",INDEX('Compliance Database'!$N$2:$N$1199,MATCH(753,Engine!$C$2:$C$1199,0)))</f>
        <v/>
      </c>
      <c r="O766" s="7" t="str">
        <f>IF(ISNA(MATCH(753,Engine!$C$2:$C$1199,0)),"",INDEX('Compliance Database'!$O$2:$O$1199,MATCH(753,Engine!$C$2:$C$1199,0)))</f>
        <v/>
      </c>
      <c r="P766" s="6" t="str">
        <f>IF(ISNA(MATCH(753,Engine!$C$2:$C$1199,0)),"",HYPERLINK("#Acts!A"&amp;INDEX('Compliance Database'!$P$2:$P$1199,MATCH(753,Engine!$C$2:$C$1199,0)),"Go to Act"))</f>
        <v/>
      </c>
    </row>
    <row r="767" spans="1:16" ht="172.95" customHeight="1" x14ac:dyDescent="0.3">
      <c r="A767" s="6" t="str">
        <f>IF(ISNA(MATCH(754,Engine!$C$2:$C$1199,0)),"",INDEX('Compliance Database'!$A$2:$A$1199,MATCH(754,Engine!$C$2:$C$1199,0)))</f>
        <v/>
      </c>
      <c r="B767" s="6" t="str">
        <f>IF(ISNA(MATCH(754,Engine!$C$2:$C$1199,0)),"",INDEX('Compliance Database'!$B$2:$B$1199,MATCH(754,Engine!$C$2:$C$1199,0)))</f>
        <v/>
      </c>
      <c r="C767" s="6" t="str">
        <f>IF(ISNA(MATCH(754,Engine!$C$2:$C$1199,0)),"",INDEX('Compliance Database'!$C$2:$C$1199,MATCH(754,Engine!$C$2:$C$1199,0)))</f>
        <v/>
      </c>
      <c r="D767" s="7" t="str">
        <f>IF(ISNA(MATCH(754,Engine!$C$2:$C$1199,0)),"",INDEX('Compliance Database'!$D$2:$D$1199,MATCH(754,Engine!$C$2:$C$1199,0)))</f>
        <v/>
      </c>
      <c r="E767" s="6" t="str">
        <f>IF(ISNA(MATCH(754,Engine!$C$2:$C$1199,0)),"",INDEX('Compliance Database'!$E$2:$E$1199,MATCH(754,Engine!$C$2:$C$1199,0)))</f>
        <v/>
      </c>
      <c r="F767" s="6" t="str">
        <f>IF(ISNA(MATCH(754,Engine!$C$2:$C$1199,0)),"",INDEX('Compliance Database'!$F$2:$F$1199,MATCH(754,Engine!$C$2:$C$1199,0)))</f>
        <v/>
      </c>
      <c r="G767" s="6" t="str">
        <f>IF(ISNA(MATCH(754,Engine!$C$2:$C$1199,0)),"",INDEX('Compliance Database'!$G$2:$G$1199,MATCH(754,Engine!$C$2:$C$1199,0)))</f>
        <v/>
      </c>
      <c r="H767" s="7" t="str">
        <f>IF(ISNA(MATCH(754,Engine!$C$2:$C$1199,0)),"",INDEX('Compliance Database'!$H$2:$H$1199,MATCH(754,Engine!$C$2:$C$1199,0)))</f>
        <v/>
      </c>
      <c r="I767" s="7" t="str">
        <f>IF(ISNA(MATCH(754,Engine!$C$2:$C$1199,0)),"",INDEX('Compliance Database'!$I$2:$I$1199,MATCH(754,Engine!$C$2:$C$1199,0)))</f>
        <v/>
      </c>
      <c r="J767" s="6" t="str">
        <f>IF(ISNA(MATCH(754,Engine!$C$2:$C$1199,0)),"",INDEX('Compliance Database'!$J$2:$J$1199,MATCH(754,Engine!$C$2:$C$1199,0)))</f>
        <v/>
      </c>
      <c r="K767" s="7" t="str">
        <f>IF(ISNA(MATCH(754,Engine!$C$2:$C$1199,0)),"",INDEX('Compliance Database'!$K$2:$K$1199,MATCH(754,Engine!$C$2:$C$1199,0)))</f>
        <v/>
      </c>
      <c r="L767" s="7" t="str">
        <f>IF(ISNA(MATCH(754,Engine!$C$2:$C$1199,0)),"",INDEX('Compliance Database'!$L$2:$L$1199,MATCH(754,Engine!$C$2:$C$1199,0)))</f>
        <v/>
      </c>
      <c r="M767" s="7" t="str">
        <f>IF(ISNA(MATCH(754,Engine!$C$2:$C$1199,0)),"",INDEX('Compliance Database'!$M$2:$M$1199,MATCH(754,Engine!$C$2:$C$1199,0)))</f>
        <v/>
      </c>
      <c r="N767" s="7" t="str">
        <f>IF(ISNA(MATCH(754,Engine!$C$2:$C$1199,0)),"",INDEX('Compliance Database'!$N$2:$N$1199,MATCH(754,Engine!$C$2:$C$1199,0)))</f>
        <v/>
      </c>
      <c r="O767" s="7" t="str">
        <f>IF(ISNA(MATCH(754,Engine!$C$2:$C$1199,0)),"",INDEX('Compliance Database'!$O$2:$O$1199,MATCH(754,Engine!$C$2:$C$1199,0)))</f>
        <v/>
      </c>
      <c r="P767" s="6" t="str">
        <f>IF(ISNA(MATCH(754,Engine!$C$2:$C$1199,0)),"",HYPERLINK("#Acts!A"&amp;INDEX('Compliance Database'!$P$2:$P$1199,MATCH(754,Engine!$C$2:$C$1199,0)),"Go to Act"))</f>
        <v/>
      </c>
    </row>
    <row r="768" spans="1:16" ht="172.95" customHeight="1" x14ac:dyDescent="0.3">
      <c r="A768" s="6" t="str">
        <f>IF(ISNA(MATCH(755,Engine!$C$2:$C$1199,0)),"",INDEX('Compliance Database'!$A$2:$A$1199,MATCH(755,Engine!$C$2:$C$1199,0)))</f>
        <v/>
      </c>
      <c r="B768" s="6" t="str">
        <f>IF(ISNA(MATCH(755,Engine!$C$2:$C$1199,0)),"",INDEX('Compliance Database'!$B$2:$B$1199,MATCH(755,Engine!$C$2:$C$1199,0)))</f>
        <v/>
      </c>
      <c r="C768" s="6" t="str">
        <f>IF(ISNA(MATCH(755,Engine!$C$2:$C$1199,0)),"",INDEX('Compliance Database'!$C$2:$C$1199,MATCH(755,Engine!$C$2:$C$1199,0)))</f>
        <v/>
      </c>
      <c r="D768" s="7" t="str">
        <f>IF(ISNA(MATCH(755,Engine!$C$2:$C$1199,0)),"",INDEX('Compliance Database'!$D$2:$D$1199,MATCH(755,Engine!$C$2:$C$1199,0)))</f>
        <v/>
      </c>
      <c r="E768" s="6" t="str">
        <f>IF(ISNA(MATCH(755,Engine!$C$2:$C$1199,0)),"",INDEX('Compliance Database'!$E$2:$E$1199,MATCH(755,Engine!$C$2:$C$1199,0)))</f>
        <v/>
      </c>
      <c r="F768" s="6" t="str">
        <f>IF(ISNA(MATCH(755,Engine!$C$2:$C$1199,0)),"",INDEX('Compliance Database'!$F$2:$F$1199,MATCH(755,Engine!$C$2:$C$1199,0)))</f>
        <v/>
      </c>
      <c r="G768" s="6" t="str">
        <f>IF(ISNA(MATCH(755,Engine!$C$2:$C$1199,0)),"",INDEX('Compliance Database'!$G$2:$G$1199,MATCH(755,Engine!$C$2:$C$1199,0)))</f>
        <v/>
      </c>
      <c r="H768" s="7" t="str">
        <f>IF(ISNA(MATCH(755,Engine!$C$2:$C$1199,0)),"",INDEX('Compliance Database'!$H$2:$H$1199,MATCH(755,Engine!$C$2:$C$1199,0)))</f>
        <v/>
      </c>
      <c r="I768" s="7" t="str">
        <f>IF(ISNA(MATCH(755,Engine!$C$2:$C$1199,0)),"",INDEX('Compliance Database'!$I$2:$I$1199,MATCH(755,Engine!$C$2:$C$1199,0)))</f>
        <v/>
      </c>
      <c r="J768" s="6" t="str">
        <f>IF(ISNA(MATCH(755,Engine!$C$2:$C$1199,0)),"",INDEX('Compliance Database'!$J$2:$J$1199,MATCH(755,Engine!$C$2:$C$1199,0)))</f>
        <v/>
      </c>
      <c r="K768" s="7" t="str">
        <f>IF(ISNA(MATCH(755,Engine!$C$2:$C$1199,0)),"",INDEX('Compliance Database'!$K$2:$K$1199,MATCH(755,Engine!$C$2:$C$1199,0)))</f>
        <v/>
      </c>
      <c r="L768" s="7" t="str">
        <f>IF(ISNA(MATCH(755,Engine!$C$2:$C$1199,0)),"",INDEX('Compliance Database'!$L$2:$L$1199,MATCH(755,Engine!$C$2:$C$1199,0)))</f>
        <v/>
      </c>
      <c r="M768" s="7" t="str">
        <f>IF(ISNA(MATCH(755,Engine!$C$2:$C$1199,0)),"",INDEX('Compliance Database'!$M$2:$M$1199,MATCH(755,Engine!$C$2:$C$1199,0)))</f>
        <v/>
      </c>
      <c r="N768" s="7" t="str">
        <f>IF(ISNA(MATCH(755,Engine!$C$2:$C$1199,0)),"",INDEX('Compliance Database'!$N$2:$N$1199,MATCH(755,Engine!$C$2:$C$1199,0)))</f>
        <v/>
      </c>
      <c r="O768" s="7" t="str">
        <f>IF(ISNA(MATCH(755,Engine!$C$2:$C$1199,0)),"",INDEX('Compliance Database'!$O$2:$O$1199,MATCH(755,Engine!$C$2:$C$1199,0)))</f>
        <v/>
      </c>
      <c r="P768" s="6" t="str">
        <f>IF(ISNA(MATCH(755,Engine!$C$2:$C$1199,0)),"",HYPERLINK("#Acts!A"&amp;INDEX('Compliance Database'!$P$2:$P$1199,MATCH(755,Engine!$C$2:$C$1199,0)),"Go to Act"))</f>
        <v/>
      </c>
    </row>
    <row r="769" spans="1:16" ht="172.95" customHeight="1" x14ac:dyDescent="0.3">
      <c r="A769" s="6" t="str">
        <f>IF(ISNA(MATCH(756,Engine!$C$2:$C$1199,0)),"",INDEX('Compliance Database'!$A$2:$A$1199,MATCH(756,Engine!$C$2:$C$1199,0)))</f>
        <v/>
      </c>
      <c r="B769" s="6" t="str">
        <f>IF(ISNA(MATCH(756,Engine!$C$2:$C$1199,0)),"",INDEX('Compliance Database'!$B$2:$B$1199,MATCH(756,Engine!$C$2:$C$1199,0)))</f>
        <v/>
      </c>
      <c r="C769" s="6" t="str">
        <f>IF(ISNA(MATCH(756,Engine!$C$2:$C$1199,0)),"",INDEX('Compliance Database'!$C$2:$C$1199,MATCH(756,Engine!$C$2:$C$1199,0)))</f>
        <v/>
      </c>
      <c r="D769" s="7" t="str">
        <f>IF(ISNA(MATCH(756,Engine!$C$2:$C$1199,0)),"",INDEX('Compliance Database'!$D$2:$D$1199,MATCH(756,Engine!$C$2:$C$1199,0)))</f>
        <v/>
      </c>
      <c r="E769" s="6" t="str">
        <f>IF(ISNA(MATCH(756,Engine!$C$2:$C$1199,0)),"",INDEX('Compliance Database'!$E$2:$E$1199,MATCH(756,Engine!$C$2:$C$1199,0)))</f>
        <v/>
      </c>
      <c r="F769" s="6" t="str">
        <f>IF(ISNA(MATCH(756,Engine!$C$2:$C$1199,0)),"",INDEX('Compliance Database'!$F$2:$F$1199,MATCH(756,Engine!$C$2:$C$1199,0)))</f>
        <v/>
      </c>
      <c r="G769" s="6" t="str">
        <f>IF(ISNA(MATCH(756,Engine!$C$2:$C$1199,0)),"",INDEX('Compliance Database'!$G$2:$G$1199,MATCH(756,Engine!$C$2:$C$1199,0)))</f>
        <v/>
      </c>
      <c r="H769" s="7" t="str">
        <f>IF(ISNA(MATCH(756,Engine!$C$2:$C$1199,0)),"",INDEX('Compliance Database'!$H$2:$H$1199,MATCH(756,Engine!$C$2:$C$1199,0)))</f>
        <v/>
      </c>
      <c r="I769" s="7" t="str">
        <f>IF(ISNA(MATCH(756,Engine!$C$2:$C$1199,0)),"",INDEX('Compliance Database'!$I$2:$I$1199,MATCH(756,Engine!$C$2:$C$1199,0)))</f>
        <v/>
      </c>
      <c r="J769" s="6" t="str">
        <f>IF(ISNA(MATCH(756,Engine!$C$2:$C$1199,0)),"",INDEX('Compliance Database'!$J$2:$J$1199,MATCH(756,Engine!$C$2:$C$1199,0)))</f>
        <v/>
      </c>
      <c r="K769" s="7" t="str">
        <f>IF(ISNA(MATCH(756,Engine!$C$2:$C$1199,0)),"",INDEX('Compliance Database'!$K$2:$K$1199,MATCH(756,Engine!$C$2:$C$1199,0)))</f>
        <v/>
      </c>
      <c r="L769" s="7" t="str">
        <f>IF(ISNA(MATCH(756,Engine!$C$2:$C$1199,0)),"",INDEX('Compliance Database'!$L$2:$L$1199,MATCH(756,Engine!$C$2:$C$1199,0)))</f>
        <v/>
      </c>
      <c r="M769" s="7" t="str">
        <f>IF(ISNA(MATCH(756,Engine!$C$2:$C$1199,0)),"",INDEX('Compliance Database'!$M$2:$M$1199,MATCH(756,Engine!$C$2:$C$1199,0)))</f>
        <v/>
      </c>
      <c r="N769" s="7" t="str">
        <f>IF(ISNA(MATCH(756,Engine!$C$2:$C$1199,0)),"",INDEX('Compliance Database'!$N$2:$N$1199,MATCH(756,Engine!$C$2:$C$1199,0)))</f>
        <v/>
      </c>
      <c r="O769" s="7" t="str">
        <f>IF(ISNA(MATCH(756,Engine!$C$2:$C$1199,0)),"",INDEX('Compliance Database'!$O$2:$O$1199,MATCH(756,Engine!$C$2:$C$1199,0)))</f>
        <v/>
      </c>
      <c r="P769" s="6" t="str">
        <f>IF(ISNA(MATCH(756,Engine!$C$2:$C$1199,0)),"",HYPERLINK("#Acts!A"&amp;INDEX('Compliance Database'!$P$2:$P$1199,MATCH(756,Engine!$C$2:$C$1199,0)),"Go to Act"))</f>
        <v/>
      </c>
    </row>
    <row r="770" spans="1:16" ht="172.95" customHeight="1" x14ac:dyDescent="0.3">
      <c r="A770" s="6" t="str">
        <f>IF(ISNA(MATCH(757,Engine!$C$2:$C$1199,0)),"",INDEX('Compliance Database'!$A$2:$A$1199,MATCH(757,Engine!$C$2:$C$1199,0)))</f>
        <v/>
      </c>
      <c r="B770" s="6" t="str">
        <f>IF(ISNA(MATCH(757,Engine!$C$2:$C$1199,0)),"",INDEX('Compliance Database'!$B$2:$B$1199,MATCH(757,Engine!$C$2:$C$1199,0)))</f>
        <v/>
      </c>
      <c r="C770" s="6" t="str">
        <f>IF(ISNA(MATCH(757,Engine!$C$2:$C$1199,0)),"",INDEX('Compliance Database'!$C$2:$C$1199,MATCH(757,Engine!$C$2:$C$1199,0)))</f>
        <v/>
      </c>
      <c r="D770" s="7" t="str">
        <f>IF(ISNA(MATCH(757,Engine!$C$2:$C$1199,0)),"",INDEX('Compliance Database'!$D$2:$D$1199,MATCH(757,Engine!$C$2:$C$1199,0)))</f>
        <v/>
      </c>
      <c r="E770" s="6" t="str">
        <f>IF(ISNA(MATCH(757,Engine!$C$2:$C$1199,0)),"",INDEX('Compliance Database'!$E$2:$E$1199,MATCH(757,Engine!$C$2:$C$1199,0)))</f>
        <v/>
      </c>
      <c r="F770" s="6" t="str">
        <f>IF(ISNA(MATCH(757,Engine!$C$2:$C$1199,0)),"",INDEX('Compliance Database'!$F$2:$F$1199,MATCH(757,Engine!$C$2:$C$1199,0)))</f>
        <v/>
      </c>
      <c r="G770" s="6" t="str">
        <f>IF(ISNA(MATCH(757,Engine!$C$2:$C$1199,0)),"",INDEX('Compliance Database'!$G$2:$G$1199,MATCH(757,Engine!$C$2:$C$1199,0)))</f>
        <v/>
      </c>
      <c r="H770" s="7" t="str">
        <f>IF(ISNA(MATCH(757,Engine!$C$2:$C$1199,0)),"",INDEX('Compliance Database'!$H$2:$H$1199,MATCH(757,Engine!$C$2:$C$1199,0)))</f>
        <v/>
      </c>
      <c r="I770" s="7" t="str">
        <f>IF(ISNA(MATCH(757,Engine!$C$2:$C$1199,0)),"",INDEX('Compliance Database'!$I$2:$I$1199,MATCH(757,Engine!$C$2:$C$1199,0)))</f>
        <v/>
      </c>
      <c r="J770" s="6" t="str">
        <f>IF(ISNA(MATCH(757,Engine!$C$2:$C$1199,0)),"",INDEX('Compliance Database'!$J$2:$J$1199,MATCH(757,Engine!$C$2:$C$1199,0)))</f>
        <v/>
      </c>
      <c r="K770" s="7" t="str">
        <f>IF(ISNA(MATCH(757,Engine!$C$2:$C$1199,0)),"",INDEX('Compliance Database'!$K$2:$K$1199,MATCH(757,Engine!$C$2:$C$1199,0)))</f>
        <v/>
      </c>
      <c r="L770" s="7" t="str">
        <f>IF(ISNA(MATCH(757,Engine!$C$2:$C$1199,0)),"",INDEX('Compliance Database'!$L$2:$L$1199,MATCH(757,Engine!$C$2:$C$1199,0)))</f>
        <v/>
      </c>
      <c r="M770" s="7" t="str">
        <f>IF(ISNA(MATCH(757,Engine!$C$2:$C$1199,0)),"",INDEX('Compliance Database'!$M$2:$M$1199,MATCH(757,Engine!$C$2:$C$1199,0)))</f>
        <v/>
      </c>
      <c r="N770" s="7" t="str">
        <f>IF(ISNA(MATCH(757,Engine!$C$2:$C$1199,0)),"",INDEX('Compliance Database'!$N$2:$N$1199,MATCH(757,Engine!$C$2:$C$1199,0)))</f>
        <v/>
      </c>
      <c r="O770" s="7" t="str">
        <f>IF(ISNA(MATCH(757,Engine!$C$2:$C$1199,0)),"",INDEX('Compliance Database'!$O$2:$O$1199,MATCH(757,Engine!$C$2:$C$1199,0)))</f>
        <v/>
      </c>
      <c r="P770" s="6" t="str">
        <f>IF(ISNA(MATCH(757,Engine!$C$2:$C$1199,0)),"",HYPERLINK("#Acts!A"&amp;INDEX('Compliance Database'!$P$2:$P$1199,MATCH(757,Engine!$C$2:$C$1199,0)),"Go to Act"))</f>
        <v/>
      </c>
    </row>
    <row r="771" spans="1:16" ht="172.95" customHeight="1" x14ac:dyDescent="0.3">
      <c r="A771" s="6" t="str">
        <f>IF(ISNA(MATCH(758,Engine!$C$2:$C$1199,0)),"",INDEX('Compliance Database'!$A$2:$A$1199,MATCH(758,Engine!$C$2:$C$1199,0)))</f>
        <v/>
      </c>
      <c r="B771" s="6" t="str">
        <f>IF(ISNA(MATCH(758,Engine!$C$2:$C$1199,0)),"",INDEX('Compliance Database'!$B$2:$B$1199,MATCH(758,Engine!$C$2:$C$1199,0)))</f>
        <v/>
      </c>
      <c r="C771" s="6" t="str">
        <f>IF(ISNA(MATCH(758,Engine!$C$2:$C$1199,0)),"",INDEX('Compliance Database'!$C$2:$C$1199,MATCH(758,Engine!$C$2:$C$1199,0)))</f>
        <v/>
      </c>
      <c r="D771" s="7" t="str">
        <f>IF(ISNA(MATCH(758,Engine!$C$2:$C$1199,0)),"",INDEX('Compliance Database'!$D$2:$D$1199,MATCH(758,Engine!$C$2:$C$1199,0)))</f>
        <v/>
      </c>
      <c r="E771" s="6" t="str">
        <f>IF(ISNA(MATCH(758,Engine!$C$2:$C$1199,0)),"",INDEX('Compliance Database'!$E$2:$E$1199,MATCH(758,Engine!$C$2:$C$1199,0)))</f>
        <v/>
      </c>
      <c r="F771" s="6" t="str">
        <f>IF(ISNA(MATCH(758,Engine!$C$2:$C$1199,0)),"",INDEX('Compliance Database'!$F$2:$F$1199,MATCH(758,Engine!$C$2:$C$1199,0)))</f>
        <v/>
      </c>
      <c r="G771" s="6" t="str">
        <f>IF(ISNA(MATCH(758,Engine!$C$2:$C$1199,0)),"",INDEX('Compliance Database'!$G$2:$G$1199,MATCH(758,Engine!$C$2:$C$1199,0)))</f>
        <v/>
      </c>
      <c r="H771" s="7" t="str">
        <f>IF(ISNA(MATCH(758,Engine!$C$2:$C$1199,0)),"",INDEX('Compliance Database'!$H$2:$H$1199,MATCH(758,Engine!$C$2:$C$1199,0)))</f>
        <v/>
      </c>
      <c r="I771" s="7" t="str">
        <f>IF(ISNA(MATCH(758,Engine!$C$2:$C$1199,0)),"",INDEX('Compliance Database'!$I$2:$I$1199,MATCH(758,Engine!$C$2:$C$1199,0)))</f>
        <v/>
      </c>
      <c r="J771" s="6" t="str">
        <f>IF(ISNA(MATCH(758,Engine!$C$2:$C$1199,0)),"",INDEX('Compliance Database'!$J$2:$J$1199,MATCH(758,Engine!$C$2:$C$1199,0)))</f>
        <v/>
      </c>
      <c r="K771" s="7" t="str">
        <f>IF(ISNA(MATCH(758,Engine!$C$2:$C$1199,0)),"",INDEX('Compliance Database'!$K$2:$K$1199,MATCH(758,Engine!$C$2:$C$1199,0)))</f>
        <v/>
      </c>
      <c r="L771" s="7" t="str">
        <f>IF(ISNA(MATCH(758,Engine!$C$2:$C$1199,0)),"",INDEX('Compliance Database'!$L$2:$L$1199,MATCH(758,Engine!$C$2:$C$1199,0)))</f>
        <v/>
      </c>
      <c r="M771" s="7" t="str">
        <f>IF(ISNA(MATCH(758,Engine!$C$2:$C$1199,0)),"",INDEX('Compliance Database'!$M$2:$M$1199,MATCH(758,Engine!$C$2:$C$1199,0)))</f>
        <v/>
      </c>
      <c r="N771" s="7" t="str">
        <f>IF(ISNA(MATCH(758,Engine!$C$2:$C$1199,0)),"",INDEX('Compliance Database'!$N$2:$N$1199,MATCH(758,Engine!$C$2:$C$1199,0)))</f>
        <v/>
      </c>
      <c r="O771" s="7" t="str">
        <f>IF(ISNA(MATCH(758,Engine!$C$2:$C$1199,0)),"",INDEX('Compliance Database'!$O$2:$O$1199,MATCH(758,Engine!$C$2:$C$1199,0)))</f>
        <v/>
      </c>
      <c r="P771" s="6" t="str">
        <f>IF(ISNA(MATCH(758,Engine!$C$2:$C$1199,0)),"",HYPERLINK("#Acts!A"&amp;INDEX('Compliance Database'!$P$2:$P$1199,MATCH(758,Engine!$C$2:$C$1199,0)),"Go to Act"))</f>
        <v/>
      </c>
    </row>
    <row r="772" spans="1:16" ht="172.95" customHeight="1" x14ac:dyDescent="0.3">
      <c r="A772" s="6" t="str">
        <f>IF(ISNA(MATCH(759,Engine!$C$2:$C$1199,0)),"",INDEX('Compliance Database'!$A$2:$A$1199,MATCH(759,Engine!$C$2:$C$1199,0)))</f>
        <v/>
      </c>
      <c r="B772" s="6" t="str">
        <f>IF(ISNA(MATCH(759,Engine!$C$2:$C$1199,0)),"",INDEX('Compliance Database'!$B$2:$B$1199,MATCH(759,Engine!$C$2:$C$1199,0)))</f>
        <v/>
      </c>
      <c r="C772" s="6" t="str">
        <f>IF(ISNA(MATCH(759,Engine!$C$2:$C$1199,0)),"",INDEX('Compliance Database'!$C$2:$C$1199,MATCH(759,Engine!$C$2:$C$1199,0)))</f>
        <v/>
      </c>
      <c r="D772" s="7" t="str">
        <f>IF(ISNA(MATCH(759,Engine!$C$2:$C$1199,0)),"",INDEX('Compliance Database'!$D$2:$D$1199,MATCH(759,Engine!$C$2:$C$1199,0)))</f>
        <v/>
      </c>
      <c r="E772" s="6" t="str">
        <f>IF(ISNA(MATCH(759,Engine!$C$2:$C$1199,0)),"",INDEX('Compliance Database'!$E$2:$E$1199,MATCH(759,Engine!$C$2:$C$1199,0)))</f>
        <v/>
      </c>
      <c r="F772" s="6" t="str">
        <f>IF(ISNA(MATCH(759,Engine!$C$2:$C$1199,0)),"",INDEX('Compliance Database'!$F$2:$F$1199,MATCH(759,Engine!$C$2:$C$1199,0)))</f>
        <v/>
      </c>
      <c r="G772" s="6" t="str">
        <f>IF(ISNA(MATCH(759,Engine!$C$2:$C$1199,0)),"",INDEX('Compliance Database'!$G$2:$G$1199,MATCH(759,Engine!$C$2:$C$1199,0)))</f>
        <v/>
      </c>
      <c r="H772" s="7" t="str">
        <f>IF(ISNA(MATCH(759,Engine!$C$2:$C$1199,0)),"",INDEX('Compliance Database'!$H$2:$H$1199,MATCH(759,Engine!$C$2:$C$1199,0)))</f>
        <v/>
      </c>
      <c r="I772" s="7" t="str">
        <f>IF(ISNA(MATCH(759,Engine!$C$2:$C$1199,0)),"",INDEX('Compliance Database'!$I$2:$I$1199,MATCH(759,Engine!$C$2:$C$1199,0)))</f>
        <v/>
      </c>
      <c r="J772" s="6" t="str">
        <f>IF(ISNA(MATCH(759,Engine!$C$2:$C$1199,0)),"",INDEX('Compliance Database'!$J$2:$J$1199,MATCH(759,Engine!$C$2:$C$1199,0)))</f>
        <v/>
      </c>
      <c r="K772" s="7" t="str">
        <f>IF(ISNA(MATCH(759,Engine!$C$2:$C$1199,0)),"",INDEX('Compliance Database'!$K$2:$K$1199,MATCH(759,Engine!$C$2:$C$1199,0)))</f>
        <v/>
      </c>
      <c r="L772" s="7" t="str">
        <f>IF(ISNA(MATCH(759,Engine!$C$2:$C$1199,0)),"",INDEX('Compliance Database'!$L$2:$L$1199,MATCH(759,Engine!$C$2:$C$1199,0)))</f>
        <v/>
      </c>
      <c r="M772" s="7" t="str">
        <f>IF(ISNA(MATCH(759,Engine!$C$2:$C$1199,0)),"",INDEX('Compliance Database'!$M$2:$M$1199,MATCH(759,Engine!$C$2:$C$1199,0)))</f>
        <v/>
      </c>
      <c r="N772" s="7" t="str">
        <f>IF(ISNA(MATCH(759,Engine!$C$2:$C$1199,0)),"",INDEX('Compliance Database'!$N$2:$N$1199,MATCH(759,Engine!$C$2:$C$1199,0)))</f>
        <v/>
      </c>
      <c r="O772" s="7" t="str">
        <f>IF(ISNA(MATCH(759,Engine!$C$2:$C$1199,0)),"",INDEX('Compliance Database'!$O$2:$O$1199,MATCH(759,Engine!$C$2:$C$1199,0)))</f>
        <v/>
      </c>
      <c r="P772" s="6" t="str">
        <f>IF(ISNA(MATCH(759,Engine!$C$2:$C$1199,0)),"",HYPERLINK("#Acts!A"&amp;INDEX('Compliance Database'!$P$2:$P$1199,MATCH(759,Engine!$C$2:$C$1199,0)),"Go to Act"))</f>
        <v/>
      </c>
    </row>
    <row r="773" spans="1:16" ht="172.95" customHeight="1" x14ac:dyDescent="0.3">
      <c r="A773" s="6" t="str">
        <f>IF(ISNA(MATCH(760,Engine!$C$2:$C$1199,0)),"",INDEX('Compliance Database'!$A$2:$A$1199,MATCH(760,Engine!$C$2:$C$1199,0)))</f>
        <v/>
      </c>
      <c r="B773" s="6" t="str">
        <f>IF(ISNA(MATCH(760,Engine!$C$2:$C$1199,0)),"",INDEX('Compliance Database'!$B$2:$B$1199,MATCH(760,Engine!$C$2:$C$1199,0)))</f>
        <v/>
      </c>
      <c r="C773" s="6" t="str">
        <f>IF(ISNA(MATCH(760,Engine!$C$2:$C$1199,0)),"",INDEX('Compliance Database'!$C$2:$C$1199,MATCH(760,Engine!$C$2:$C$1199,0)))</f>
        <v/>
      </c>
      <c r="D773" s="7" t="str">
        <f>IF(ISNA(MATCH(760,Engine!$C$2:$C$1199,0)),"",INDEX('Compliance Database'!$D$2:$D$1199,MATCH(760,Engine!$C$2:$C$1199,0)))</f>
        <v/>
      </c>
      <c r="E773" s="6" t="str">
        <f>IF(ISNA(MATCH(760,Engine!$C$2:$C$1199,0)),"",INDEX('Compliance Database'!$E$2:$E$1199,MATCH(760,Engine!$C$2:$C$1199,0)))</f>
        <v/>
      </c>
      <c r="F773" s="6" t="str">
        <f>IF(ISNA(MATCH(760,Engine!$C$2:$C$1199,0)),"",INDEX('Compliance Database'!$F$2:$F$1199,MATCH(760,Engine!$C$2:$C$1199,0)))</f>
        <v/>
      </c>
      <c r="G773" s="6" t="str">
        <f>IF(ISNA(MATCH(760,Engine!$C$2:$C$1199,0)),"",INDEX('Compliance Database'!$G$2:$G$1199,MATCH(760,Engine!$C$2:$C$1199,0)))</f>
        <v/>
      </c>
      <c r="H773" s="7" t="str">
        <f>IF(ISNA(MATCH(760,Engine!$C$2:$C$1199,0)),"",INDEX('Compliance Database'!$H$2:$H$1199,MATCH(760,Engine!$C$2:$C$1199,0)))</f>
        <v/>
      </c>
      <c r="I773" s="7" t="str">
        <f>IF(ISNA(MATCH(760,Engine!$C$2:$C$1199,0)),"",INDEX('Compliance Database'!$I$2:$I$1199,MATCH(760,Engine!$C$2:$C$1199,0)))</f>
        <v/>
      </c>
      <c r="J773" s="6" t="str">
        <f>IF(ISNA(MATCH(760,Engine!$C$2:$C$1199,0)),"",INDEX('Compliance Database'!$J$2:$J$1199,MATCH(760,Engine!$C$2:$C$1199,0)))</f>
        <v/>
      </c>
      <c r="K773" s="7" t="str">
        <f>IF(ISNA(MATCH(760,Engine!$C$2:$C$1199,0)),"",INDEX('Compliance Database'!$K$2:$K$1199,MATCH(760,Engine!$C$2:$C$1199,0)))</f>
        <v/>
      </c>
      <c r="L773" s="7" t="str">
        <f>IF(ISNA(MATCH(760,Engine!$C$2:$C$1199,0)),"",INDEX('Compliance Database'!$L$2:$L$1199,MATCH(760,Engine!$C$2:$C$1199,0)))</f>
        <v/>
      </c>
      <c r="M773" s="7" t="str">
        <f>IF(ISNA(MATCH(760,Engine!$C$2:$C$1199,0)),"",INDEX('Compliance Database'!$M$2:$M$1199,MATCH(760,Engine!$C$2:$C$1199,0)))</f>
        <v/>
      </c>
      <c r="N773" s="7" t="str">
        <f>IF(ISNA(MATCH(760,Engine!$C$2:$C$1199,0)),"",INDEX('Compliance Database'!$N$2:$N$1199,MATCH(760,Engine!$C$2:$C$1199,0)))</f>
        <v/>
      </c>
      <c r="O773" s="7" t="str">
        <f>IF(ISNA(MATCH(760,Engine!$C$2:$C$1199,0)),"",INDEX('Compliance Database'!$O$2:$O$1199,MATCH(760,Engine!$C$2:$C$1199,0)))</f>
        <v/>
      </c>
      <c r="P773" s="6" t="str">
        <f>IF(ISNA(MATCH(760,Engine!$C$2:$C$1199,0)),"",HYPERLINK("#Acts!A"&amp;INDEX('Compliance Database'!$P$2:$P$1199,MATCH(760,Engine!$C$2:$C$1199,0)),"Go to Act"))</f>
        <v/>
      </c>
    </row>
    <row r="774" spans="1:16" ht="172.95" customHeight="1" x14ac:dyDescent="0.3">
      <c r="A774" s="6" t="str">
        <f>IF(ISNA(MATCH(761,Engine!$C$2:$C$1199,0)),"",INDEX('Compliance Database'!$A$2:$A$1199,MATCH(761,Engine!$C$2:$C$1199,0)))</f>
        <v/>
      </c>
      <c r="B774" s="6" t="str">
        <f>IF(ISNA(MATCH(761,Engine!$C$2:$C$1199,0)),"",INDEX('Compliance Database'!$B$2:$B$1199,MATCH(761,Engine!$C$2:$C$1199,0)))</f>
        <v/>
      </c>
      <c r="C774" s="6" t="str">
        <f>IF(ISNA(MATCH(761,Engine!$C$2:$C$1199,0)),"",INDEX('Compliance Database'!$C$2:$C$1199,MATCH(761,Engine!$C$2:$C$1199,0)))</f>
        <v/>
      </c>
      <c r="D774" s="7" t="str">
        <f>IF(ISNA(MATCH(761,Engine!$C$2:$C$1199,0)),"",INDEX('Compliance Database'!$D$2:$D$1199,MATCH(761,Engine!$C$2:$C$1199,0)))</f>
        <v/>
      </c>
      <c r="E774" s="6" t="str">
        <f>IF(ISNA(MATCH(761,Engine!$C$2:$C$1199,0)),"",INDEX('Compliance Database'!$E$2:$E$1199,MATCH(761,Engine!$C$2:$C$1199,0)))</f>
        <v/>
      </c>
      <c r="F774" s="6" t="str">
        <f>IF(ISNA(MATCH(761,Engine!$C$2:$C$1199,0)),"",INDEX('Compliance Database'!$F$2:$F$1199,MATCH(761,Engine!$C$2:$C$1199,0)))</f>
        <v/>
      </c>
      <c r="G774" s="6" t="str">
        <f>IF(ISNA(MATCH(761,Engine!$C$2:$C$1199,0)),"",INDEX('Compliance Database'!$G$2:$G$1199,MATCH(761,Engine!$C$2:$C$1199,0)))</f>
        <v/>
      </c>
      <c r="H774" s="7" t="str">
        <f>IF(ISNA(MATCH(761,Engine!$C$2:$C$1199,0)),"",INDEX('Compliance Database'!$H$2:$H$1199,MATCH(761,Engine!$C$2:$C$1199,0)))</f>
        <v/>
      </c>
      <c r="I774" s="7" t="str">
        <f>IF(ISNA(MATCH(761,Engine!$C$2:$C$1199,0)),"",INDEX('Compliance Database'!$I$2:$I$1199,MATCH(761,Engine!$C$2:$C$1199,0)))</f>
        <v/>
      </c>
      <c r="J774" s="6" t="str">
        <f>IF(ISNA(MATCH(761,Engine!$C$2:$C$1199,0)),"",INDEX('Compliance Database'!$J$2:$J$1199,MATCH(761,Engine!$C$2:$C$1199,0)))</f>
        <v/>
      </c>
      <c r="K774" s="7" t="str">
        <f>IF(ISNA(MATCH(761,Engine!$C$2:$C$1199,0)),"",INDEX('Compliance Database'!$K$2:$K$1199,MATCH(761,Engine!$C$2:$C$1199,0)))</f>
        <v/>
      </c>
      <c r="L774" s="7" t="str">
        <f>IF(ISNA(MATCH(761,Engine!$C$2:$C$1199,0)),"",INDEX('Compliance Database'!$L$2:$L$1199,MATCH(761,Engine!$C$2:$C$1199,0)))</f>
        <v/>
      </c>
      <c r="M774" s="7" t="str">
        <f>IF(ISNA(MATCH(761,Engine!$C$2:$C$1199,0)),"",INDEX('Compliance Database'!$M$2:$M$1199,MATCH(761,Engine!$C$2:$C$1199,0)))</f>
        <v/>
      </c>
      <c r="N774" s="7" t="str">
        <f>IF(ISNA(MATCH(761,Engine!$C$2:$C$1199,0)),"",INDEX('Compliance Database'!$N$2:$N$1199,MATCH(761,Engine!$C$2:$C$1199,0)))</f>
        <v/>
      </c>
      <c r="O774" s="7" t="str">
        <f>IF(ISNA(MATCH(761,Engine!$C$2:$C$1199,0)),"",INDEX('Compliance Database'!$O$2:$O$1199,MATCH(761,Engine!$C$2:$C$1199,0)))</f>
        <v/>
      </c>
      <c r="P774" s="6" t="str">
        <f>IF(ISNA(MATCH(761,Engine!$C$2:$C$1199,0)),"",HYPERLINK("#Acts!A"&amp;INDEX('Compliance Database'!$P$2:$P$1199,MATCH(761,Engine!$C$2:$C$1199,0)),"Go to Act"))</f>
        <v/>
      </c>
    </row>
    <row r="775" spans="1:16" ht="172.95" customHeight="1" x14ac:dyDescent="0.3">
      <c r="A775" s="6" t="str">
        <f>IF(ISNA(MATCH(762,Engine!$C$2:$C$1199,0)),"",INDEX('Compliance Database'!$A$2:$A$1199,MATCH(762,Engine!$C$2:$C$1199,0)))</f>
        <v/>
      </c>
      <c r="B775" s="6" t="str">
        <f>IF(ISNA(MATCH(762,Engine!$C$2:$C$1199,0)),"",INDEX('Compliance Database'!$B$2:$B$1199,MATCH(762,Engine!$C$2:$C$1199,0)))</f>
        <v/>
      </c>
      <c r="C775" s="6" t="str">
        <f>IF(ISNA(MATCH(762,Engine!$C$2:$C$1199,0)),"",INDEX('Compliance Database'!$C$2:$C$1199,MATCH(762,Engine!$C$2:$C$1199,0)))</f>
        <v/>
      </c>
      <c r="D775" s="7" t="str">
        <f>IF(ISNA(MATCH(762,Engine!$C$2:$C$1199,0)),"",INDEX('Compliance Database'!$D$2:$D$1199,MATCH(762,Engine!$C$2:$C$1199,0)))</f>
        <v/>
      </c>
      <c r="E775" s="6" t="str">
        <f>IF(ISNA(MATCH(762,Engine!$C$2:$C$1199,0)),"",INDEX('Compliance Database'!$E$2:$E$1199,MATCH(762,Engine!$C$2:$C$1199,0)))</f>
        <v/>
      </c>
      <c r="F775" s="6" t="str">
        <f>IF(ISNA(MATCH(762,Engine!$C$2:$C$1199,0)),"",INDEX('Compliance Database'!$F$2:$F$1199,MATCH(762,Engine!$C$2:$C$1199,0)))</f>
        <v/>
      </c>
      <c r="G775" s="6" t="str">
        <f>IF(ISNA(MATCH(762,Engine!$C$2:$C$1199,0)),"",INDEX('Compliance Database'!$G$2:$G$1199,MATCH(762,Engine!$C$2:$C$1199,0)))</f>
        <v/>
      </c>
      <c r="H775" s="7" t="str">
        <f>IF(ISNA(MATCH(762,Engine!$C$2:$C$1199,0)),"",INDEX('Compliance Database'!$H$2:$H$1199,MATCH(762,Engine!$C$2:$C$1199,0)))</f>
        <v/>
      </c>
      <c r="I775" s="7" t="str">
        <f>IF(ISNA(MATCH(762,Engine!$C$2:$C$1199,0)),"",INDEX('Compliance Database'!$I$2:$I$1199,MATCH(762,Engine!$C$2:$C$1199,0)))</f>
        <v/>
      </c>
      <c r="J775" s="6" t="str">
        <f>IF(ISNA(MATCH(762,Engine!$C$2:$C$1199,0)),"",INDEX('Compliance Database'!$J$2:$J$1199,MATCH(762,Engine!$C$2:$C$1199,0)))</f>
        <v/>
      </c>
      <c r="K775" s="7" t="str">
        <f>IF(ISNA(MATCH(762,Engine!$C$2:$C$1199,0)),"",INDEX('Compliance Database'!$K$2:$K$1199,MATCH(762,Engine!$C$2:$C$1199,0)))</f>
        <v/>
      </c>
      <c r="L775" s="7" t="str">
        <f>IF(ISNA(MATCH(762,Engine!$C$2:$C$1199,0)),"",INDEX('Compliance Database'!$L$2:$L$1199,MATCH(762,Engine!$C$2:$C$1199,0)))</f>
        <v/>
      </c>
      <c r="M775" s="7" t="str">
        <f>IF(ISNA(MATCH(762,Engine!$C$2:$C$1199,0)),"",INDEX('Compliance Database'!$M$2:$M$1199,MATCH(762,Engine!$C$2:$C$1199,0)))</f>
        <v/>
      </c>
      <c r="N775" s="7" t="str">
        <f>IF(ISNA(MATCH(762,Engine!$C$2:$C$1199,0)),"",INDEX('Compliance Database'!$N$2:$N$1199,MATCH(762,Engine!$C$2:$C$1199,0)))</f>
        <v/>
      </c>
      <c r="O775" s="7" t="str">
        <f>IF(ISNA(MATCH(762,Engine!$C$2:$C$1199,0)),"",INDEX('Compliance Database'!$O$2:$O$1199,MATCH(762,Engine!$C$2:$C$1199,0)))</f>
        <v/>
      </c>
      <c r="P775" s="6" t="str">
        <f>IF(ISNA(MATCH(762,Engine!$C$2:$C$1199,0)),"",HYPERLINK("#Acts!A"&amp;INDEX('Compliance Database'!$P$2:$P$1199,MATCH(762,Engine!$C$2:$C$1199,0)),"Go to Act"))</f>
        <v/>
      </c>
    </row>
    <row r="776" spans="1:16" ht="172.95" customHeight="1" x14ac:dyDescent="0.3">
      <c r="A776" s="6" t="str">
        <f>IF(ISNA(MATCH(763,Engine!$C$2:$C$1199,0)),"",INDEX('Compliance Database'!$A$2:$A$1199,MATCH(763,Engine!$C$2:$C$1199,0)))</f>
        <v/>
      </c>
      <c r="B776" s="6" t="str">
        <f>IF(ISNA(MATCH(763,Engine!$C$2:$C$1199,0)),"",INDEX('Compliance Database'!$B$2:$B$1199,MATCH(763,Engine!$C$2:$C$1199,0)))</f>
        <v/>
      </c>
      <c r="C776" s="6" t="str">
        <f>IF(ISNA(MATCH(763,Engine!$C$2:$C$1199,0)),"",INDEX('Compliance Database'!$C$2:$C$1199,MATCH(763,Engine!$C$2:$C$1199,0)))</f>
        <v/>
      </c>
      <c r="D776" s="7" t="str">
        <f>IF(ISNA(MATCH(763,Engine!$C$2:$C$1199,0)),"",INDEX('Compliance Database'!$D$2:$D$1199,MATCH(763,Engine!$C$2:$C$1199,0)))</f>
        <v/>
      </c>
      <c r="E776" s="6" t="str">
        <f>IF(ISNA(MATCH(763,Engine!$C$2:$C$1199,0)),"",INDEX('Compliance Database'!$E$2:$E$1199,MATCH(763,Engine!$C$2:$C$1199,0)))</f>
        <v/>
      </c>
      <c r="F776" s="6" t="str">
        <f>IF(ISNA(MATCH(763,Engine!$C$2:$C$1199,0)),"",INDEX('Compliance Database'!$F$2:$F$1199,MATCH(763,Engine!$C$2:$C$1199,0)))</f>
        <v/>
      </c>
      <c r="G776" s="6" t="str">
        <f>IF(ISNA(MATCH(763,Engine!$C$2:$C$1199,0)),"",INDEX('Compliance Database'!$G$2:$G$1199,MATCH(763,Engine!$C$2:$C$1199,0)))</f>
        <v/>
      </c>
      <c r="H776" s="7" t="str">
        <f>IF(ISNA(MATCH(763,Engine!$C$2:$C$1199,0)),"",INDEX('Compliance Database'!$H$2:$H$1199,MATCH(763,Engine!$C$2:$C$1199,0)))</f>
        <v/>
      </c>
      <c r="I776" s="7" t="str">
        <f>IF(ISNA(MATCH(763,Engine!$C$2:$C$1199,0)),"",INDEX('Compliance Database'!$I$2:$I$1199,MATCH(763,Engine!$C$2:$C$1199,0)))</f>
        <v/>
      </c>
      <c r="J776" s="6" t="str">
        <f>IF(ISNA(MATCH(763,Engine!$C$2:$C$1199,0)),"",INDEX('Compliance Database'!$J$2:$J$1199,MATCH(763,Engine!$C$2:$C$1199,0)))</f>
        <v/>
      </c>
      <c r="K776" s="7" t="str">
        <f>IF(ISNA(MATCH(763,Engine!$C$2:$C$1199,0)),"",INDEX('Compliance Database'!$K$2:$K$1199,MATCH(763,Engine!$C$2:$C$1199,0)))</f>
        <v/>
      </c>
      <c r="L776" s="7" t="str">
        <f>IF(ISNA(MATCH(763,Engine!$C$2:$C$1199,0)),"",INDEX('Compliance Database'!$L$2:$L$1199,MATCH(763,Engine!$C$2:$C$1199,0)))</f>
        <v/>
      </c>
      <c r="M776" s="7" t="str">
        <f>IF(ISNA(MATCH(763,Engine!$C$2:$C$1199,0)),"",INDEX('Compliance Database'!$M$2:$M$1199,MATCH(763,Engine!$C$2:$C$1199,0)))</f>
        <v/>
      </c>
      <c r="N776" s="7" t="str">
        <f>IF(ISNA(MATCH(763,Engine!$C$2:$C$1199,0)),"",INDEX('Compliance Database'!$N$2:$N$1199,MATCH(763,Engine!$C$2:$C$1199,0)))</f>
        <v/>
      </c>
      <c r="O776" s="7" t="str">
        <f>IF(ISNA(MATCH(763,Engine!$C$2:$C$1199,0)),"",INDEX('Compliance Database'!$O$2:$O$1199,MATCH(763,Engine!$C$2:$C$1199,0)))</f>
        <v/>
      </c>
      <c r="P776" s="6" t="str">
        <f>IF(ISNA(MATCH(763,Engine!$C$2:$C$1199,0)),"",HYPERLINK("#Acts!A"&amp;INDEX('Compliance Database'!$P$2:$P$1199,MATCH(763,Engine!$C$2:$C$1199,0)),"Go to Act"))</f>
        <v/>
      </c>
    </row>
    <row r="777" spans="1:16" ht="172.95" customHeight="1" x14ac:dyDescent="0.3">
      <c r="A777" s="6" t="str">
        <f>IF(ISNA(MATCH(764,Engine!$C$2:$C$1199,0)),"",INDEX('Compliance Database'!$A$2:$A$1199,MATCH(764,Engine!$C$2:$C$1199,0)))</f>
        <v/>
      </c>
      <c r="B777" s="6" t="str">
        <f>IF(ISNA(MATCH(764,Engine!$C$2:$C$1199,0)),"",INDEX('Compliance Database'!$B$2:$B$1199,MATCH(764,Engine!$C$2:$C$1199,0)))</f>
        <v/>
      </c>
      <c r="C777" s="6" t="str">
        <f>IF(ISNA(MATCH(764,Engine!$C$2:$C$1199,0)),"",INDEX('Compliance Database'!$C$2:$C$1199,MATCH(764,Engine!$C$2:$C$1199,0)))</f>
        <v/>
      </c>
      <c r="D777" s="7" t="str">
        <f>IF(ISNA(MATCH(764,Engine!$C$2:$C$1199,0)),"",INDEX('Compliance Database'!$D$2:$D$1199,MATCH(764,Engine!$C$2:$C$1199,0)))</f>
        <v/>
      </c>
      <c r="E777" s="6" t="str">
        <f>IF(ISNA(MATCH(764,Engine!$C$2:$C$1199,0)),"",INDEX('Compliance Database'!$E$2:$E$1199,MATCH(764,Engine!$C$2:$C$1199,0)))</f>
        <v/>
      </c>
      <c r="F777" s="6" t="str">
        <f>IF(ISNA(MATCH(764,Engine!$C$2:$C$1199,0)),"",INDEX('Compliance Database'!$F$2:$F$1199,MATCH(764,Engine!$C$2:$C$1199,0)))</f>
        <v/>
      </c>
      <c r="G777" s="6" t="str">
        <f>IF(ISNA(MATCH(764,Engine!$C$2:$C$1199,0)),"",INDEX('Compliance Database'!$G$2:$G$1199,MATCH(764,Engine!$C$2:$C$1199,0)))</f>
        <v/>
      </c>
      <c r="H777" s="7" t="str">
        <f>IF(ISNA(MATCH(764,Engine!$C$2:$C$1199,0)),"",INDEX('Compliance Database'!$H$2:$H$1199,MATCH(764,Engine!$C$2:$C$1199,0)))</f>
        <v/>
      </c>
      <c r="I777" s="7" t="str">
        <f>IF(ISNA(MATCH(764,Engine!$C$2:$C$1199,0)),"",INDEX('Compliance Database'!$I$2:$I$1199,MATCH(764,Engine!$C$2:$C$1199,0)))</f>
        <v/>
      </c>
      <c r="J777" s="6" t="str">
        <f>IF(ISNA(MATCH(764,Engine!$C$2:$C$1199,0)),"",INDEX('Compliance Database'!$J$2:$J$1199,MATCH(764,Engine!$C$2:$C$1199,0)))</f>
        <v/>
      </c>
      <c r="K777" s="7" t="str">
        <f>IF(ISNA(MATCH(764,Engine!$C$2:$C$1199,0)),"",INDEX('Compliance Database'!$K$2:$K$1199,MATCH(764,Engine!$C$2:$C$1199,0)))</f>
        <v/>
      </c>
      <c r="L777" s="7" t="str">
        <f>IF(ISNA(MATCH(764,Engine!$C$2:$C$1199,0)),"",INDEX('Compliance Database'!$L$2:$L$1199,MATCH(764,Engine!$C$2:$C$1199,0)))</f>
        <v/>
      </c>
      <c r="M777" s="7" t="str">
        <f>IF(ISNA(MATCH(764,Engine!$C$2:$C$1199,0)),"",INDEX('Compliance Database'!$M$2:$M$1199,MATCH(764,Engine!$C$2:$C$1199,0)))</f>
        <v/>
      </c>
      <c r="N777" s="7" t="str">
        <f>IF(ISNA(MATCH(764,Engine!$C$2:$C$1199,0)),"",INDEX('Compliance Database'!$N$2:$N$1199,MATCH(764,Engine!$C$2:$C$1199,0)))</f>
        <v/>
      </c>
      <c r="O777" s="7" t="str">
        <f>IF(ISNA(MATCH(764,Engine!$C$2:$C$1199,0)),"",INDEX('Compliance Database'!$O$2:$O$1199,MATCH(764,Engine!$C$2:$C$1199,0)))</f>
        <v/>
      </c>
      <c r="P777" s="6" t="str">
        <f>IF(ISNA(MATCH(764,Engine!$C$2:$C$1199,0)),"",HYPERLINK("#Acts!A"&amp;INDEX('Compliance Database'!$P$2:$P$1199,MATCH(764,Engine!$C$2:$C$1199,0)),"Go to Act"))</f>
        <v/>
      </c>
    </row>
    <row r="778" spans="1:16" ht="172.95" customHeight="1" x14ac:dyDescent="0.3">
      <c r="A778" s="6" t="str">
        <f>IF(ISNA(MATCH(765,Engine!$C$2:$C$1199,0)),"",INDEX('Compliance Database'!$A$2:$A$1199,MATCH(765,Engine!$C$2:$C$1199,0)))</f>
        <v/>
      </c>
      <c r="B778" s="6" t="str">
        <f>IF(ISNA(MATCH(765,Engine!$C$2:$C$1199,0)),"",INDEX('Compliance Database'!$B$2:$B$1199,MATCH(765,Engine!$C$2:$C$1199,0)))</f>
        <v/>
      </c>
      <c r="C778" s="6" t="str">
        <f>IF(ISNA(MATCH(765,Engine!$C$2:$C$1199,0)),"",INDEX('Compliance Database'!$C$2:$C$1199,MATCH(765,Engine!$C$2:$C$1199,0)))</f>
        <v/>
      </c>
      <c r="D778" s="7" t="str">
        <f>IF(ISNA(MATCH(765,Engine!$C$2:$C$1199,0)),"",INDEX('Compliance Database'!$D$2:$D$1199,MATCH(765,Engine!$C$2:$C$1199,0)))</f>
        <v/>
      </c>
      <c r="E778" s="6" t="str">
        <f>IF(ISNA(MATCH(765,Engine!$C$2:$C$1199,0)),"",INDEX('Compliance Database'!$E$2:$E$1199,MATCH(765,Engine!$C$2:$C$1199,0)))</f>
        <v/>
      </c>
      <c r="F778" s="6" t="str">
        <f>IF(ISNA(MATCH(765,Engine!$C$2:$C$1199,0)),"",INDEX('Compliance Database'!$F$2:$F$1199,MATCH(765,Engine!$C$2:$C$1199,0)))</f>
        <v/>
      </c>
      <c r="G778" s="6" t="str">
        <f>IF(ISNA(MATCH(765,Engine!$C$2:$C$1199,0)),"",INDEX('Compliance Database'!$G$2:$G$1199,MATCH(765,Engine!$C$2:$C$1199,0)))</f>
        <v/>
      </c>
      <c r="H778" s="7" t="str">
        <f>IF(ISNA(MATCH(765,Engine!$C$2:$C$1199,0)),"",INDEX('Compliance Database'!$H$2:$H$1199,MATCH(765,Engine!$C$2:$C$1199,0)))</f>
        <v/>
      </c>
      <c r="I778" s="7" t="str">
        <f>IF(ISNA(MATCH(765,Engine!$C$2:$C$1199,0)),"",INDEX('Compliance Database'!$I$2:$I$1199,MATCH(765,Engine!$C$2:$C$1199,0)))</f>
        <v/>
      </c>
      <c r="J778" s="6" t="str">
        <f>IF(ISNA(MATCH(765,Engine!$C$2:$C$1199,0)),"",INDEX('Compliance Database'!$J$2:$J$1199,MATCH(765,Engine!$C$2:$C$1199,0)))</f>
        <v/>
      </c>
      <c r="K778" s="7" t="str">
        <f>IF(ISNA(MATCH(765,Engine!$C$2:$C$1199,0)),"",INDEX('Compliance Database'!$K$2:$K$1199,MATCH(765,Engine!$C$2:$C$1199,0)))</f>
        <v/>
      </c>
      <c r="L778" s="7" t="str">
        <f>IF(ISNA(MATCH(765,Engine!$C$2:$C$1199,0)),"",INDEX('Compliance Database'!$L$2:$L$1199,MATCH(765,Engine!$C$2:$C$1199,0)))</f>
        <v/>
      </c>
      <c r="M778" s="7" t="str">
        <f>IF(ISNA(MATCH(765,Engine!$C$2:$C$1199,0)),"",INDEX('Compliance Database'!$M$2:$M$1199,MATCH(765,Engine!$C$2:$C$1199,0)))</f>
        <v/>
      </c>
      <c r="N778" s="7" t="str">
        <f>IF(ISNA(MATCH(765,Engine!$C$2:$C$1199,0)),"",INDEX('Compliance Database'!$N$2:$N$1199,MATCH(765,Engine!$C$2:$C$1199,0)))</f>
        <v/>
      </c>
      <c r="O778" s="7" t="str">
        <f>IF(ISNA(MATCH(765,Engine!$C$2:$C$1199,0)),"",INDEX('Compliance Database'!$O$2:$O$1199,MATCH(765,Engine!$C$2:$C$1199,0)))</f>
        <v/>
      </c>
      <c r="P778" s="6" t="str">
        <f>IF(ISNA(MATCH(765,Engine!$C$2:$C$1199,0)),"",HYPERLINK("#Acts!A"&amp;INDEX('Compliance Database'!$P$2:$P$1199,MATCH(765,Engine!$C$2:$C$1199,0)),"Go to Act"))</f>
        <v/>
      </c>
    </row>
    <row r="779" spans="1:16" ht="172.95" customHeight="1" x14ac:dyDescent="0.3">
      <c r="A779" s="6" t="str">
        <f>IF(ISNA(MATCH(766,Engine!$C$2:$C$1199,0)),"",INDEX('Compliance Database'!$A$2:$A$1199,MATCH(766,Engine!$C$2:$C$1199,0)))</f>
        <v/>
      </c>
      <c r="B779" s="6" t="str">
        <f>IF(ISNA(MATCH(766,Engine!$C$2:$C$1199,0)),"",INDEX('Compliance Database'!$B$2:$B$1199,MATCH(766,Engine!$C$2:$C$1199,0)))</f>
        <v/>
      </c>
      <c r="C779" s="6" t="str">
        <f>IF(ISNA(MATCH(766,Engine!$C$2:$C$1199,0)),"",INDEX('Compliance Database'!$C$2:$C$1199,MATCH(766,Engine!$C$2:$C$1199,0)))</f>
        <v/>
      </c>
      <c r="D779" s="7" t="str">
        <f>IF(ISNA(MATCH(766,Engine!$C$2:$C$1199,0)),"",INDEX('Compliance Database'!$D$2:$D$1199,MATCH(766,Engine!$C$2:$C$1199,0)))</f>
        <v/>
      </c>
      <c r="E779" s="6" t="str">
        <f>IF(ISNA(MATCH(766,Engine!$C$2:$C$1199,0)),"",INDEX('Compliance Database'!$E$2:$E$1199,MATCH(766,Engine!$C$2:$C$1199,0)))</f>
        <v/>
      </c>
      <c r="F779" s="6" t="str">
        <f>IF(ISNA(MATCH(766,Engine!$C$2:$C$1199,0)),"",INDEX('Compliance Database'!$F$2:$F$1199,MATCH(766,Engine!$C$2:$C$1199,0)))</f>
        <v/>
      </c>
      <c r="G779" s="6" t="str">
        <f>IF(ISNA(MATCH(766,Engine!$C$2:$C$1199,0)),"",INDEX('Compliance Database'!$G$2:$G$1199,MATCH(766,Engine!$C$2:$C$1199,0)))</f>
        <v/>
      </c>
      <c r="H779" s="7" t="str">
        <f>IF(ISNA(MATCH(766,Engine!$C$2:$C$1199,0)),"",INDEX('Compliance Database'!$H$2:$H$1199,MATCH(766,Engine!$C$2:$C$1199,0)))</f>
        <v/>
      </c>
      <c r="I779" s="7" t="str">
        <f>IF(ISNA(MATCH(766,Engine!$C$2:$C$1199,0)),"",INDEX('Compliance Database'!$I$2:$I$1199,MATCH(766,Engine!$C$2:$C$1199,0)))</f>
        <v/>
      </c>
      <c r="J779" s="6" t="str">
        <f>IF(ISNA(MATCH(766,Engine!$C$2:$C$1199,0)),"",INDEX('Compliance Database'!$J$2:$J$1199,MATCH(766,Engine!$C$2:$C$1199,0)))</f>
        <v/>
      </c>
      <c r="K779" s="7" t="str">
        <f>IF(ISNA(MATCH(766,Engine!$C$2:$C$1199,0)),"",INDEX('Compliance Database'!$K$2:$K$1199,MATCH(766,Engine!$C$2:$C$1199,0)))</f>
        <v/>
      </c>
      <c r="L779" s="7" t="str">
        <f>IF(ISNA(MATCH(766,Engine!$C$2:$C$1199,0)),"",INDEX('Compliance Database'!$L$2:$L$1199,MATCH(766,Engine!$C$2:$C$1199,0)))</f>
        <v/>
      </c>
      <c r="M779" s="7" t="str">
        <f>IF(ISNA(MATCH(766,Engine!$C$2:$C$1199,0)),"",INDEX('Compliance Database'!$M$2:$M$1199,MATCH(766,Engine!$C$2:$C$1199,0)))</f>
        <v/>
      </c>
      <c r="N779" s="7" t="str">
        <f>IF(ISNA(MATCH(766,Engine!$C$2:$C$1199,0)),"",INDEX('Compliance Database'!$N$2:$N$1199,MATCH(766,Engine!$C$2:$C$1199,0)))</f>
        <v/>
      </c>
      <c r="O779" s="7" t="str">
        <f>IF(ISNA(MATCH(766,Engine!$C$2:$C$1199,0)),"",INDEX('Compliance Database'!$O$2:$O$1199,MATCH(766,Engine!$C$2:$C$1199,0)))</f>
        <v/>
      </c>
      <c r="P779" s="6" t="str">
        <f>IF(ISNA(MATCH(766,Engine!$C$2:$C$1199,0)),"",HYPERLINK("#Acts!A"&amp;INDEX('Compliance Database'!$P$2:$P$1199,MATCH(766,Engine!$C$2:$C$1199,0)),"Go to Act"))</f>
        <v/>
      </c>
    </row>
    <row r="780" spans="1:16" ht="172.95" customHeight="1" x14ac:dyDescent="0.3">
      <c r="A780" s="6" t="str">
        <f>IF(ISNA(MATCH(767,Engine!$C$2:$C$1199,0)),"",INDEX('Compliance Database'!$A$2:$A$1199,MATCH(767,Engine!$C$2:$C$1199,0)))</f>
        <v/>
      </c>
      <c r="B780" s="6" t="str">
        <f>IF(ISNA(MATCH(767,Engine!$C$2:$C$1199,0)),"",INDEX('Compliance Database'!$B$2:$B$1199,MATCH(767,Engine!$C$2:$C$1199,0)))</f>
        <v/>
      </c>
      <c r="C780" s="6" t="str">
        <f>IF(ISNA(MATCH(767,Engine!$C$2:$C$1199,0)),"",INDEX('Compliance Database'!$C$2:$C$1199,MATCH(767,Engine!$C$2:$C$1199,0)))</f>
        <v/>
      </c>
      <c r="D780" s="7" t="str">
        <f>IF(ISNA(MATCH(767,Engine!$C$2:$C$1199,0)),"",INDEX('Compliance Database'!$D$2:$D$1199,MATCH(767,Engine!$C$2:$C$1199,0)))</f>
        <v/>
      </c>
      <c r="E780" s="6" t="str">
        <f>IF(ISNA(MATCH(767,Engine!$C$2:$C$1199,0)),"",INDEX('Compliance Database'!$E$2:$E$1199,MATCH(767,Engine!$C$2:$C$1199,0)))</f>
        <v/>
      </c>
      <c r="F780" s="6" t="str">
        <f>IF(ISNA(MATCH(767,Engine!$C$2:$C$1199,0)),"",INDEX('Compliance Database'!$F$2:$F$1199,MATCH(767,Engine!$C$2:$C$1199,0)))</f>
        <v/>
      </c>
      <c r="G780" s="6" t="str">
        <f>IF(ISNA(MATCH(767,Engine!$C$2:$C$1199,0)),"",INDEX('Compliance Database'!$G$2:$G$1199,MATCH(767,Engine!$C$2:$C$1199,0)))</f>
        <v/>
      </c>
      <c r="H780" s="7" t="str">
        <f>IF(ISNA(MATCH(767,Engine!$C$2:$C$1199,0)),"",INDEX('Compliance Database'!$H$2:$H$1199,MATCH(767,Engine!$C$2:$C$1199,0)))</f>
        <v/>
      </c>
      <c r="I780" s="7" t="str">
        <f>IF(ISNA(MATCH(767,Engine!$C$2:$C$1199,0)),"",INDEX('Compliance Database'!$I$2:$I$1199,MATCH(767,Engine!$C$2:$C$1199,0)))</f>
        <v/>
      </c>
      <c r="J780" s="6" t="str">
        <f>IF(ISNA(MATCH(767,Engine!$C$2:$C$1199,0)),"",INDEX('Compliance Database'!$J$2:$J$1199,MATCH(767,Engine!$C$2:$C$1199,0)))</f>
        <v/>
      </c>
      <c r="K780" s="7" t="str">
        <f>IF(ISNA(MATCH(767,Engine!$C$2:$C$1199,0)),"",INDEX('Compliance Database'!$K$2:$K$1199,MATCH(767,Engine!$C$2:$C$1199,0)))</f>
        <v/>
      </c>
      <c r="L780" s="7" t="str">
        <f>IF(ISNA(MATCH(767,Engine!$C$2:$C$1199,0)),"",INDEX('Compliance Database'!$L$2:$L$1199,MATCH(767,Engine!$C$2:$C$1199,0)))</f>
        <v/>
      </c>
      <c r="M780" s="7" t="str">
        <f>IF(ISNA(MATCH(767,Engine!$C$2:$C$1199,0)),"",INDEX('Compliance Database'!$M$2:$M$1199,MATCH(767,Engine!$C$2:$C$1199,0)))</f>
        <v/>
      </c>
      <c r="N780" s="7" t="str">
        <f>IF(ISNA(MATCH(767,Engine!$C$2:$C$1199,0)),"",INDEX('Compliance Database'!$N$2:$N$1199,MATCH(767,Engine!$C$2:$C$1199,0)))</f>
        <v/>
      </c>
      <c r="O780" s="7" t="str">
        <f>IF(ISNA(MATCH(767,Engine!$C$2:$C$1199,0)),"",INDEX('Compliance Database'!$O$2:$O$1199,MATCH(767,Engine!$C$2:$C$1199,0)))</f>
        <v/>
      </c>
      <c r="P780" s="6" t="str">
        <f>IF(ISNA(MATCH(767,Engine!$C$2:$C$1199,0)),"",HYPERLINK("#Acts!A"&amp;INDEX('Compliance Database'!$P$2:$P$1199,MATCH(767,Engine!$C$2:$C$1199,0)),"Go to Act"))</f>
        <v/>
      </c>
    </row>
    <row r="781" spans="1:16" ht="172.95" customHeight="1" x14ac:dyDescent="0.3">
      <c r="A781" s="6" t="str">
        <f>IF(ISNA(MATCH(768,Engine!$C$2:$C$1199,0)),"",INDEX('Compliance Database'!$A$2:$A$1199,MATCH(768,Engine!$C$2:$C$1199,0)))</f>
        <v/>
      </c>
      <c r="B781" s="6" t="str">
        <f>IF(ISNA(MATCH(768,Engine!$C$2:$C$1199,0)),"",INDEX('Compliance Database'!$B$2:$B$1199,MATCH(768,Engine!$C$2:$C$1199,0)))</f>
        <v/>
      </c>
      <c r="C781" s="6" t="str">
        <f>IF(ISNA(MATCH(768,Engine!$C$2:$C$1199,0)),"",INDEX('Compliance Database'!$C$2:$C$1199,MATCH(768,Engine!$C$2:$C$1199,0)))</f>
        <v/>
      </c>
      <c r="D781" s="7" t="str">
        <f>IF(ISNA(MATCH(768,Engine!$C$2:$C$1199,0)),"",INDEX('Compliance Database'!$D$2:$D$1199,MATCH(768,Engine!$C$2:$C$1199,0)))</f>
        <v/>
      </c>
      <c r="E781" s="6" t="str">
        <f>IF(ISNA(MATCH(768,Engine!$C$2:$C$1199,0)),"",INDEX('Compliance Database'!$E$2:$E$1199,MATCH(768,Engine!$C$2:$C$1199,0)))</f>
        <v/>
      </c>
      <c r="F781" s="6" t="str">
        <f>IF(ISNA(MATCH(768,Engine!$C$2:$C$1199,0)),"",INDEX('Compliance Database'!$F$2:$F$1199,MATCH(768,Engine!$C$2:$C$1199,0)))</f>
        <v/>
      </c>
      <c r="G781" s="6" t="str">
        <f>IF(ISNA(MATCH(768,Engine!$C$2:$C$1199,0)),"",INDEX('Compliance Database'!$G$2:$G$1199,MATCH(768,Engine!$C$2:$C$1199,0)))</f>
        <v/>
      </c>
      <c r="H781" s="7" t="str">
        <f>IF(ISNA(MATCH(768,Engine!$C$2:$C$1199,0)),"",INDEX('Compliance Database'!$H$2:$H$1199,MATCH(768,Engine!$C$2:$C$1199,0)))</f>
        <v/>
      </c>
      <c r="I781" s="7" t="str">
        <f>IF(ISNA(MATCH(768,Engine!$C$2:$C$1199,0)),"",INDEX('Compliance Database'!$I$2:$I$1199,MATCH(768,Engine!$C$2:$C$1199,0)))</f>
        <v/>
      </c>
      <c r="J781" s="6" t="str">
        <f>IF(ISNA(MATCH(768,Engine!$C$2:$C$1199,0)),"",INDEX('Compliance Database'!$J$2:$J$1199,MATCH(768,Engine!$C$2:$C$1199,0)))</f>
        <v/>
      </c>
      <c r="K781" s="7" t="str">
        <f>IF(ISNA(MATCH(768,Engine!$C$2:$C$1199,0)),"",INDEX('Compliance Database'!$K$2:$K$1199,MATCH(768,Engine!$C$2:$C$1199,0)))</f>
        <v/>
      </c>
      <c r="L781" s="7" t="str">
        <f>IF(ISNA(MATCH(768,Engine!$C$2:$C$1199,0)),"",INDEX('Compliance Database'!$L$2:$L$1199,MATCH(768,Engine!$C$2:$C$1199,0)))</f>
        <v/>
      </c>
      <c r="M781" s="7" t="str">
        <f>IF(ISNA(MATCH(768,Engine!$C$2:$C$1199,0)),"",INDEX('Compliance Database'!$M$2:$M$1199,MATCH(768,Engine!$C$2:$C$1199,0)))</f>
        <v/>
      </c>
      <c r="N781" s="7" t="str">
        <f>IF(ISNA(MATCH(768,Engine!$C$2:$C$1199,0)),"",INDEX('Compliance Database'!$N$2:$N$1199,MATCH(768,Engine!$C$2:$C$1199,0)))</f>
        <v/>
      </c>
      <c r="O781" s="7" t="str">
        <f>IF(ISNA(MATCH(768,Engine!$C$2:$C$1199,0)),"",INDEX('Compliance Database'!$O$2:$O$1199,MATCH(768,Engine!$C$2:$C$1199,0)))</f>
        <v/>
      </c>
      <c r="P781" s="6" t="str">
        <f>IF(ISNA(MATCH(768,Engine!$C$2:$C$1199,0)),"",HYPERLINK("#Acts!A"&amp;INDEX('Compliance Database'!$P$2:$P$1199,MATCH(768,Engine!$C$2:$C$1199,0)),"Go to Act"))</f>
        <v/>
      </c>
    </row>
    <row r="782" spans="1:16" ht="172.95" customHeight="1" x14ac:dyDescent="0.3">
      <c r="A782" s="6" t="str">
        <f>IF(ISNA(MATCH(769,Engine!$C$2:$C$1199,0)),"",INDEX('Compliance Database'!$A$2:$A$1199,MATCH(769,Engine!$C$2:$C$1199,0)))</f>
        <v/>
      </c>
      <c r="B782" s="6" t="str">
        <f>IF(ISNA(MATCH(769,Engine!$C$2:$C$1199,0)),"",INDEX('Compliance Database'!$B$2:$B$1199,MATCH(769,Engine!$C$2:$C$1199,0)))</f>
        <v/>
      </c>
      <c r="C782" s="6" t="str">
        <f>IF(ISNA(MATCH(769,Engine!$C$2:$C$1199,0)),"",INDEX('Compliance Database'!$C$2:$C$1199,MATCH(769,Engine!$C$2:$C$1199,0)))</f>
        <v/>
      </c>
      <c r="D782" s="7" t="str">
        <f>IF(ISNA(MATCH(769,Engine!$C$2:$C$1199,0)),"",INDEX('Compliance Database'!$D$2:$D$1199,MATCH(769,Engine!$C$2:$C$1199,0)))</f>
        <v/>
      </c>
      <c r="E782" s="6" t="str">
        <f>IF(ISNA(MATCH(769,Engine!$C$2:$C$1199,0)),"",INDEX('Compliance Database'!$E$2:$E$1199,MATCH(769,Engine!$C$2:$C$1199,0)))</f>
        <v/>
      </c>
      <c r="F782" s="6" t="str">
        <f>IF(ISNA(MATCH(769,Engine!$C$2:$C$1199,0)),"",INDEX('Compliance Database'!$F$2:$F$1199,MATCH(769,Engine!$C$2:$C$1199,0)))</f>
        <v/>
      </c>
      <c r="G782" s="6" t="str">
        <f>IF(ISNA(MATCH(769,Engine!$C$2:$C$1199,0)),"",INDEX('Compliance Database'!$G$2:$G$1199,MATCH(769,Engine!$C$2:$C$1199,0)))</f>
        <v/>
      </c>
      <c r="H782" s="7" t="str">
        <f>IF(ISNA(MATCH(769,Engine!$C$2:$C$1199,0)),"",INDEX('Compliance Database'!$H$2:$H$1199,MATCH(769,Engine!$C$2:$C$1199,0)))</f>
        <v/>
      </c>
      <c r="I782" s="7" t="str">
        <f>IF(ISNA(MATCH(769,Engine!$C$2:$C$1199,0)),"",INDEX('Compliance Database'!$I$2:$I$1199,MATCH(769,Engine!$C$2:$C$1199,0)))</f>
        <v/>
      </c>
      <c r="J782" s="6" t="str">
        <f>IF(ISNA(MATCH(769,Engine!$C$2:$C$1199,0)),"",INDEX('Compliance Database'!$J$2:$J$1199,MATCH(769,Engine!$C$2:$C$1199,0)))</f>
        <v/>
      </c>
      <c r="K782" s="7" t="str">
        <f>IF(ISNA(MATCH(769,Engine!$C$2:$C$1199,0)),"",INDEX('Compliance Database'!$K$2:$K$1199,MATCH(769,Engine!$C$2:$C$1199,0)))</f>
        <v/>
      </c>
      <c r="L782" s="7" t="str">
        <f>IF(ISNA(MATCH(769,Engine!$C$2:$C$1199,0)),"",INDEX('Compliance Database'!$L$2:$L$1199,MATCH(769,Engine!$C$2:$C$1199,0)))</f>
        <v/>
      </c>
      <c r="M782" s="7" t="str">
        <f>IF(ISNA(MATCH(769,Engine!$C$2:$C$1199,0)),"",INDEX('Compliance Database'!$M$2:$M$1199,MATCH(769,Engine!$C$2:$C$1199,0)))</f>
        <v/>
      </c>
      <c r="N782" s="7" t="str">
        <f>IF(ISNA(MATCH(769,Engine!$C$2:$C$1199,0)),"",INDEX('Compliance Database'!$N$2:$N$1199,MATCH(769,Engine!$C$2:$C$1199,0)))</f>
        <v/>
      </c>
      <c r="O782" s="7" t="str">
        <f>IF(ISNA(MATCH(769,Engine!$C$2:$C$1199,0)),"",INDEX('Compliance Database'!$O$2:$O$1199,MATCH(769,Engine!$C$2:$C$1199,0)))</f>
        <v/>
      </c>
      <c r="P782" s="6" t="str">
        <f>IF(ISNA(MATCH(769,Engine!$C$2:$C$1199,0)),"",HYPERLINK("#Acts!A"&amp;INDEX('Compliance Database'!$P$2:$P$1199,MATCH(769,Engine!$C$2:$C$1199,0)),"Go to Act"))</f>
        <v/>
      </c>
    </row>
    <row r="783" spans="1:16" ht="172.95" customHeight="1" x14ac:dyDescent="0.3">
      <c r="A783" s="6" t="str">
        <f>IF(ISNA(MATCH(770,Engine!$C$2:$C$1199,0)),"",INDEX('Compliance Database'!$A$2:$A$1199,MATCH(770,Engine!$C$2:$C$1199,0)))</f>
        <v/>
      </c>
      <c r="B783" s="6" t="str">
        <f>IF(ISNA(MATCH(770,Engine!$C$2:$C$1199,0)),"",INDEX('Compliance Database'!$B$2:$B$1199,MATCH(770,Engine!$C$2:$C$1199,0)))</f>
        <v/>
      </c>
      <c r="C783" s="6" t="str">
        <f>IF(ISNA(MATCH(770,Engine!$C$2:$C$1199,0)),"",INDEX('Compliance Database'!$C$2:$C$1199,MATCH(770,Engine!$C$2:$C$1199,0)))</f>
        <v/>
      </c>
      <c r="D783" s="7" t="str">
        <f>IF(ISNA(MATCH(770,Engine!$C$2:$C$1199,0)),"",INDEX('Compliance Database'!$D$2:$D$1199,MATCH(770,Engine!$C$2:$C$1199,0)))</f>
        <v/>
      </c>
      <c r="E783" s="6" t="str">
        <f>IF(ISNA(MATCH(770,Engine!$C$2:$C$1199,0)),"",INDEX('Compliance Database'!$E$2:$E$1199,MATCH(770,Engine!$C$2:$C$1199,0)))</f>
        <v/>
      </c>
      <c r="F783" s="6" t="str">
        <f>IF(ISNA(MATCH(770,Engine!$C$2:$C$1199,0)),"",INDEX('Compliance Database'!$F$2:$F$1199,MATCH(770,Engine!$C$2:$C$1199,0)))</f>
        <v/>
      </c>
      <c r="G783" s="6" t="str">
        <f>IF(ISNA(MATCH(770,Engine!$C$2:$C$1199,0)),"",INDEX('Compliance Database'!$G$2:$G$1199,MATCH(770,Engine!$C$2:$C$1199,0)))</f>
        <v/>
      </c>
      <c r="H783" s="7" t="str">
        <f>IF(ISNA(MATCH(770,Engine!$C$2:$C$1199,0)),"",INDEX('Compliance Database'!$H$2:$H$1199,MATCH(770,Engine!$C$2:$C$1199,0)))</f>
        <v/>
      </c>
      <c r="I783" s="7" t="str">
        <f>IF(ISNA(MATCH(770,Engine!$C$2:$C$1199,0)),"",INDEX('Compliance Database'!$I$2:$I$1199,MATCH(770,Engine!$C$2:$C$1199,0)))</f>
        <v/>
      </c>
      <c r="J783" s="6" t="str">
        <f>IF(ISNA(MATCH(770,Engine!$C$2:$C$1199,0)),"",INDEX('Compliance Database'!$J$2:$J$1199,MATCH(770,Engine!$C$2:$C$1199,0)))</f>
        <v/>
      </c>
      <c r="K783" s="7" t="str">
        <f>IF(ISNA(MATCH(770,Engine!$C$2:$C$1199,0)),"",INDEX('Compliance Database'!$K$2:$K$1199,MATCH(770,Engine!$C$2:$C$1199,0)))</f>
        <v/>
      </c>
      <c r="L783" s="7" t="str">
        <f>IF(ISNA(MATCH(770,Engine!$C$2:$C$1199,0)),"",INDEX('Compliance Database'!$L$2:$L$1199,MATCH(770,Engine!$C$2:$C$1199,0)))</f>
        <v/>
      </c>
      <c r="M783" s="7" t="str">
        <f>IF(ISNA(MATCH(770,Engine!$C$2:$C$1199,0)),"",INDEX('Compliance Database'!$M$2:$M$1199,MATCH(770,Engine!$C$2:$C$1199,0)))</f>
        <v/>
      </c>
      <c r="N783" s="7" t="str">
        <f>IF(ISNA(MATCH(770,Engine!$C$2:$C$1199,0)),"",INDEX('Compliance Database'!$N$2:$N$1199,MATCH(770,Engine!$C$2:$C$1199,0)))</f>
        <v/>
      </c>
      <c r="O783" s="7" t="str">
        <f>IF(ISNA(MATCH(770,Engine!$C$2:$C$1199,0)),"",INDEX('Compliance Database'!$O$2:$O$1199,MATCH(770,Engine!$C$2:$C$1199,0)))</f>
        <v/>
      </c>
      <c r="P783" s="6" t="str">
        <f>IF(ISNA(MATCH(770,Engine!$C$2:$C$1199,0)),"",HYPERLINK("#Acts!A"&amp;INDEX('Compliance Database'!$P$2:$P$1199,MATCH(770,Engine!$C$2:$C$1199,0)),"Go to Act"))</f>
        <v/>
      </c>
    </row>
    <row r="784" spans="1:16" ht="172.95" customHeight="1" x14ac:dyDescent="0.3">
      <c r="A784" s="6" t="str">
        <f>IF(ISNA(MATCH(771,Engine!$C$2:$C$1199,0)),"",INDEX('Compliance Database'!$A$2:$A$1199,MATCH(771,Engine!$C$2:$C$1199,0)))</f>
        <v/>
      </c>
      <c r="B784" s="6" t="str">
        <f>IF(ISNA(MATCH(771,Engine!$C$2:$C$1199,0)),"",INDEX('Compliance Database'!$B$2:$B$1199,MATCH(771,Engine!$C$2:$C$1199,0)))</f>
        <v/>
      </c>
      <c r="C784" s="6" t="str">
        <f>IF(ISNA(MATCH(771,Engine!$C$2:$C$1199,0)),"",INDEX('Compliance Database'!$C$2:$C$1199,MATCH(771,Engine!$C$2:$C$1199,0)))</f>
        <v/>
      </c>
      <c r="D784" s="7" t="str">
        <f>IF(ISNA(MATCH(771,Engine!$C$2:$C$1199,0)),"",INDEX('Compliance Database'!$D$2:$D$1199,MATCH(771,Engine!$C$2:$C$1199,0)))</f>
        <v/>
      </c>
      <c r="E784" s="6" t="str">
        <f>IF(ISNA(MATCH(771,Engine!$C$2:$C$1199,0)),"",INDEX('Compliance Database'!$E$2:$E$1199,MATCH(771,Engine!$C$2:$C$1199,0)))</f>
        <v/>
      </c>
      <c r="F784" s="6" t="str">
        <f>IF(ISNA(MATCH(771,Engine!$C$2:$C$1199,0)),"",INDEX('Compliance Database'!$F$2:$F$1199,MATCH(771,Engine!$C$2:$C$1199,0)))</f>
        <v/>
      </c>
      <c r="G784" s="6" t="str">
        <f>IF(ISNA(MATCH(771,Engine!$C$2:$C$1199,0)),"",INDEX('Compliance Database'!$G$2:$G$1199,MATCH(771,Engine!$C$2:$C$1199,0)))</f>
        <v/>
      </c>
      <c r="H784" s="7" t="str">
        <f>IF(ISNA(MATCH(771,Engine!$C$2:$C$1199,0)),"",INDEX('Compliance Database'!$H$2:$H$1199,MATCH(771,Engine!$C$2:$C$1199,0)))</f>
        <v/>
      </c>
      <c r="I784" s="7" t="str">
        <f>IF(ISNA(MATCH(771,Engine!$C$2:$C$1199,0)),"",INDEX('Compliance Database'!$I$2:$I$1199,MATCH(771,Engine!$C$2:$C$1199,0)))</f>
        <v/>
      </c>
      <c r="J784" s="6" t="str">
        <f>IF(ISNA(MATCH(771,Engine!$C$2:$C$1199,0)),"",INDEX('Compliance Database'!$J$2:$J$1199,MATCH(771,Engine!$C$2:$C$1199,0)))</f>
        <v/>
      </c>
      <c r="K784" s="7" t="str">
        <f>IF(ISNA(MATCH(771,Engine!$C$2:$C$1199,0)),"",INDEX('Compliance Database'!$K$2:$K$1199,MATCH(771,Engine!$C$2:$C$1199,0)))</f>
        <v/>
      </c>
      <c r="L784" s="7" t="str">
        <f>IF(ISNA(MATCH(771,Engine!$C$2:$C$1199,0)),"",INDEX('Compliance Database'!$L$2:$L$1199,MATCH(771,Engine!$C$2:$C$1199,0)))</f>
        <v/>
      </c>
      <c r="M784" s="7" t="str">
        <f>IF(ISNA(MATCH(771,Engine!$C$2:$C$1199,0)),"",INDEX('Compliance Database'!$M$2:$M$1199,MATCH(771,Engine!$C$2:$C$1199,0)))</f>
        <v/>
      </c>
      <c r="N784" s="7" t="str">
        <f>IF(ISNA(MATCH(771,Engine!$C$2:$C$1199,0)),"",INDEX('Compliance Database'!$N$2:$N$1199,MATCH(771,Engine!$C$2:$C$1199,0)))</f>
        <v/>
      </c>
      <c r="O784" s="7" t="str">
        <f>IF(ISNA(MATCH(771,Engine!$C$2:$C$1199,0)),"",INDEX('Compliance Database'!$O$2:$O$1199,MATCH(771,Engine!$C$2:$C$1199,0)))</f>
        <v/>
      </c>
      <c r="P784" s="6" t="str">
        <f>IF(ISNA(MATCH(771,Engine!$C$2:$C$1199,0)),"",HYPERLINK("#Acts!A"&amp;INDEX('Compliance Database'!$P$2:$P$1199,MATCH(771,Engine!$C$2:$C$1199,0)),"Go to Act"))</f>
        <v/>
      </c>
    </row>
    <row r="785" spans="1:16" ht="172.95" customHeight="1" x14ac:dyDescent="0.3">
      <c r="A785" s="6" t="str">
        <f>IF(ISNA(MATCH(772,Engine!$C$2:$C$1199,0)),"",INDEX('Compliance Database'!$A$2:$A$1199,MATCH(772,Engine!$C$2:$C$1199,0)))</f>
        <v/>
      </c>
      <c r="B785" s="6" t="str">
        <f>IF(ISNA(MATCH(772,Engine!$C$2:$C$1199,0)),"",INDEX('Compliance Database'!$B$2:$B$1199,MATCH(772,Engine!$C$2:$C$1199,0)))</f>
        <v/>
      </c>
      <c r="C785" s="6" t="str">
        <f>IF(ISNA(MATCH(772,Engine!$C$2:$C$1199,0)),"",INDEX('Compliance Database'!$C$2:$C$1199,MATCH(772,Engine!$C$2:$C$1199,0)))</f>
        <v/>
      </c>
      <c r="D785" s="7" t="str">
        <f>IF(ISNA(MATCH(772,Engine!$C$2:$C$1199,0)),"",INDEX('Compliance Database'!$D$2:$D$1199,MATCH(772,Engine!$C$2:$C$1199,0)))</f>
        <v/>
      </c>
      <c r="E785" s="6" t="str">
        <f>IF(ISNA(MATCH(772,Engine!$C$2:$C$1199,0)),"",INDEX('Compliance Database'!$E$2:$E$1199,MATCH(772,Engine!$C$2:$C$1199,0)))</f>
        <v/>
      </c>
      <c r="F785" s="6" t="str">
        <f>IF(ISNA(MATCH(772,Engine!$C$2:$C$1199,0)),"",INDEX('Compliance Database'!$F$2:$F$1199,MATCH(772,Engine!$C$2:$C$1199,0)))</f>
        <v/>
      </c>
      <c r="G785" s="6" t="str">
        <f>IF(ISNA(MATCH(772,Engine!$C$2:$C$1199,0)),"",INDEX('Compliance Database'!$G$2:$G$1199,MATCH(772,Engine!$C$2:$C$1199,0)))</f>
        <v/>
      </c>
      <c r="H785" s="7" t="str">
        <f>IF(ISNA(MATCH(772,Engine!$C$2:$C$1199,0)),"",INDEX('Compliance Database'!$H$2:$H$1199,MATCH(772,Engine!$C$2:$C$1199,0)))</f>
        <v/>
      </c>
      <c r="I785" s="7" t="str">
        <f>IF(ISNA(MATCH(772,Engine!$C$2:$C$1199,0)),"",INDEX('Compliance Database'!$I$2:$I$1199,MATCH(772,Engine!$C$2:$C$1199,0)))</f>
        <v/>
      </c>
      <c r="J785" s="6" t="str">
        <f>IF(ISNA(MATCH(772,Engine!$C$2:$C$1199,0)),"",INDEX('Compliance Database'!$J$2:$J$1199,MATCH(772,Engine!$C$2:$C$1199,0)))</f>
        <v/>
      </c>
      <c r="K785" s="7" t="str">
        <f>IF(ISNA(MATCH(772,Engine!$C$2:$C$1199,0)),"",INDEX('Compliance Database'!$K$2:$K$1199,MATCH(772,Engine!$C$2:$C$1199,0)))</f>
        <v/>
      </c>
      <c r="L785" s="7" t="str">
        <f>IF(ISNA(MATCH(772,Engine!$C$2:$C$1199,0)),"",INDEX('Compliance Database'!$L$2:$L$1199,MATCH(772,Engine!$C$2:$C$1199,0)))</f>
        <v/>
      </c>
      <c r="M785" s="7" t="str">
        <f>IF(ISNA(MATCH(772,Engine!$C$2:$C$1199,0)),"",INDEX('Compliance Database'!$M$2:$M$1199,MATCH(772,Engine!$C$2:$C$1199,0)))</f>
        <v/>
      </c>
      <c r="N785" s="7" t="str">
        <f>IF(ISNA(MATCH(772,Engine!$C$2:$C$1199,0)),"",INDEX('Compliance Database'!$N$2:$N$1199,MATCH(772,Engine!$C$2:$C$1199,0)))</f>
        <v/>
      </c>
      <c r="O785" s="7" t="str">
        <f>IF(ISNA(MATCH(772,Engine!$C$2:$C$1199,0)),"",INDEX('Compliance Database'!$O$2:$O$1199,MATCH(772,Engine!$C$2:$C$1199,0)))</f>
        <v/>
      </c>
      <c r="P785" s="6" t="str">
        <f>IF(ISNA(MATCH(772,Engine!$C$2:$C$1199,0)),"",HYPERLINK("#Acts!A"&amp;INDEX('Compliance Database'!$P$2:$P$1199,MATCH(772,Engine!$C$2:$C$1199,0)),"Go to Act"))</f>
        <v/>
      </c>
    </row>
    <row r="786" spans="1:16" ht="172.95" customHeight="1" x14ac:dyDescent="0.3">
      <c r="A786" s="6" t="str">
        <f>IF(ISNA(MATCH(773,Engine!$C$2:$C$1199,0)),"",INDEX('Compliance Database'!$A$2:$A$1199,MATCH(773,Engine!$C$2:$C$1199,0)))</f>
        <v/>
      </c>
      <c r="B786" s="6" t="str">
        <f>IF(ISNA(MATCH(773,Engine!$C$2:$C$1199,0)),"",INDEX('Compliance Database'!$B$2:$B$1199,MATCH(773,Engine!$C$2:$C$1199,0)))</f>
        <v/>
      </c>
      <c r="C786" s="6" t="str">
        <f>IF(ISNA(MATCH(773,Engine!$C$2:$C$1199,0)),"",INDEX('Compliance Database'!$C$2:$C$1199,MATCH(773,Engine!$C$2:$C$1199,0)))</f>
        <v/>
      </c>
      <c r="D786" s="7" t="str">
        <f>IF(ISNA(MATCH(773,Engine!$C$2:$C$1199,0)),"",INDEX('Compliance Database'!$D$2:$D$1199,MATCH(773,Engine!$C$2:$C$1199,0)))</f>
        <v/>
      </c>
      <c r="E786" s="6" t="str">
        <f>IF(ISNA(MATCH(773,Engine!$C$2:$C$1199,0)),"",INDEX('Compliance Database'!$E$2:$E$1199,MATCH(773,Engine!$C$2:$C$1199,0)))</f>
        <v/>
      </c>
      <c r="F786" s="6" t="str">
        <f>IF(ISNA(MATCH(773,Engine!$C$2:$C$1199,0)),"",INDEX('Compliance Database'!$F$2:$F$1199,MATCH(773,Engine!$C$2:$C$1199,0)))</f>
        <v/>
      </c>
      <c r="G786" s="6" t="str">
        <f>IF(ISNA(MATCH(773,Engine!$C$2:$C$1199,0)),"",INDEX('Compliance Database'!$G$2:$G$1199,MATCH(773,Engine!$C$2:$C$1199,0)))</f>
        <v/>
      </c>
      <c r="H786" s="7" t="str">
        <f>IF(ISNA(MATCH(773,Engine!$C$2:$C$1199,0)),"",INDEX('Compliance Database'!$H$2:$H$1199,MATCH(773,Engine!$C$2:$C$1199,0)))</f>
        <v/>
      </c>
      <c r="I786" s="7" t="str">
        <f>IF(ISNA(MATCH(773,Engine!$C$2:$C$1199,0)),"",INDEX('Compliance Database'!$I$2:$I$1199,MATCH(773,Engine!$C$2:$C$1199,0)))</f>
        <v/>
      </c>
      <c r="J786" s="6" t="str">
        <f>IF(ISNA(MATCH(773,Engine!$C$2:$C$1199,0)),"",INDEX('Compliance Database'!$J$2:$J$1199,MATCH(773,Engine!$C$2:$C$1199,0)))</f>
        <v/>
      </c>
      <c r="K786" s="7" t="str">
        <f>IF(ISNA(MATCH(773,Engine!$C$2:$C$1199,0)),"",INDEX('Compliance Database'!$K$2:$K$1199,MATCH(773,Engine!$C$2:$C$1199,0)))</f>
        <v/>
      </c>
      <c r="L786" s="7" t="str">
        <f>IF(ISNA(MATCH(773,Engine!$C$2:$C$1199,0)),"",INDEX('Compliance Database'!$L$2:$L$1199,MATCH(773,Engine!$C$2:$C$1199,0)))</f>
        <v/>
      </c>
      <c r="M786" s="7" t="str">
        <f>IF(ISNA(MATCH(773,Engine!$C$2:$C$1199,0)),"",INDEX('Compliance Database'!$M$2:$M$1199,MATCH(773,Engine!$C$2:$C$1199,0)))</f>
        <v/>
      </c>
      <c r="N786" s="7" t="str">
        <f>IF(ISNA(MATCH(773,Engine!$C$2:$C$1199,0)),"",INDEX('Compliance Database'!$N$2:$N$1199,MATCH(773,Engine!$C$2:$C$1199,0)))</f>
        <v/>
      </c>
      <c r="O786" s="7" t="str">
        <f>IF(ISNA(MATCH(773,Engine!$C$2:$C$1199,0)),"",INDEX('Compliance Database'!$O$2:$O$1199,MATCH(773,Engine!$C$2:$C$1199,0)))</f>
        <v/>
      </c>
      <c r="P786" s="6" t="str">
        <f>IF(ISNA(MATCH(773,Engine!$C$2:$C$1199,0)),"",HYPERLINK("#Acts!A"&amp;INDEX('Compliance Database'!$P$2:$P$1199,MATCH(773,Engine!$C$2:$C$1199,0)),"Go to Act"))</f>
        <v/>
      </c>
    </row>
    <row r="787" spans="1:16" ht="172.95" customHeight="1" x14ac:dyDescent="0.3">
      <c r="A787" s="6" t="str">
        <f>IF(ISNA(MATCH(774,Engine!$C$2:$C$1199,0)),"",INDEX('Compliance Database'!$A$2:$A$1199,MATCH(774,Engine!$C$2:$C$1199,0)))</f>
        <v/>
      </c>
      <c r="B787" s="6" t="str">
        <f>IF(ISNA(MATCH(774,Engine!$C$2:$C$1199,0)),"",INDEX('Compliance Database'!$B$2:$B$1199,MATCH(774,Engine!$C$2:$C$1199,0)))</f>
        <v/>
      </c>
      <c r="C787" s="6" t="str">
        <f>IF(ISNA(MATCH(774,Engine!$C$2:$C$1199,0)),"",INDEX('Compliance Database'!$C$2:$C$1199,MATCH(774,Engine!$C$2:$C$1199,0)))</f>
        <v/>
      </c>
      <c r="D787" s="7" t="str">
        <f>IF(ISNA(MATCH(774,Engine!$C$2:$C$1199,0)),"",INDEX('Compliance Database'!$D$2:$D$1199,MATCH(774,Engine!$C$2:$C$1199,0)))</f>
        <v/>
      </c>
      <c r="E787" s="6" t="str">
        <f>IF(ISNA(MATCH(774,Engine!$C$2:$C$1199,0)),"",INDEX('Compliance Database'!$E$2:$E$1199,MATCH(774,Engine!$C$2:$C$1199,0)))</f>
        <v/>
      </c>
      <c r="F787" s="6" t="str">
        <f>IF(ISNA(MATCH(774,Engine!$C$2:$C$1199,0)),"",INDEX('Compliance Database'!$F$2:$F$1199,MATCH(774,Engine!$C$2:$C$1199,0)))</f>
        <v/>
      </c>
      <c r="G787" s="6" t="str">
        <f>IF(ISNA(MATCH(774,Engine!$C$2:$C$1199,0)),"",INDEX('Compliance Database'!$G$2:$G$1199,MATCH(774,Engine!$C$2:$C$1199,0)))</f>
        <v/>
      </c>
      <c r="H787" s="7" t="str">
        <f>IF(ISNA(MATCH(774,Engine!$C$2:$C$1199,0)),"",INDEX('Compliance Database'!$H$2:$H$1199,MATCH(774,Engine!$C$2:$C$1199,0)))</f>
        <v/>
      </c>
      <c r="I787" s="7" t="str">
        <f>IF(ISNA(MATCH(774,Engine!$C$2:$C$1199,0)),"",INDEX('Compliance Database'!$I$2:$I$1199,MATCH(774,Engine!$C$2:$C$1199,0)))</f>
        <v/>
      </c>
      <c r="J787" s="6" t="str">
        <f>IF(ISNA(MATCH(774,Engine!$C$2:$C$1199,0)),"",INDEX('Compliance Database'!$J$2:$J$1199,MATCH(774,Engine!$C$2:$C$1199,0)))</f>
        <v/>
      </c>
      <c r="K787" s="7" t="str">
        <f>IF(ISNA(MATCH(774,Engine!$C$2:$C$1199,0)),"",INDEX('Compliance Database'!$K$2:$K$1199,MATCH(774,Engine!$C$2:$C$1199,0)))</f>
        <v/>
      </c>
      <c r="L787" s="7" t="str">
        <f>IF(ISNA(MATCH(774,Engine!$C$2:$C$1199,0)),"",INDEX('Compliance Database'!$L$2:$L$1199,MATCH(774,Engine!$C$2:$C$1199,0)))</f>
        <v/>
      </c>
      <c r="M787" s="7" t="str">
        <f>IF(ISNA(MATCH(774,Engine!$C$2:$C$1199,0)),"",INDEX('Compliance Database'!$M$2:$M$1199,MATCH(774,Engine!$C$2:$C$1199,0)))</f>
        <v/>
      </c>
      <c r="N787" s="7" t="str">
        <f>IF(ISNA(MATCH(774,Engine!$C$2:$C$1199,0)),"",INDEX('Compliance Database'!$N$2:$N$1199,MATCH(774,Engine!$C$2:$C$1199,0)))</f>
        <v/>
      </c>
      <c r="O787" s="7" t="str">
        <f>IF(ISNA(MATCH(774,Engine!$C$2:$C$1199,0)),"",INDEX('Compliance Database'!$O$2:$O$1199,MATCH(774,Engine!$C$2:$C$1199,0)))</f>
        <v/>
      </c>
      <c r="P787" s="6" t="str">
        <f>IF(ISNA(MATCH(774,Engine!$C$2:$C$1199,0)),"",HYPERLINK("#Acts!A"&amp;INDEX('Compliance Database'!$P$2:$P$1199,MATCH(774,Engine!$C$2:$C$1199,0)),"Go to Act"))</f>
        <v/>
      </c>
    </row>
    <row r="788" spans="1:16" ht="172.95" customHeight="1" x14ac:dyDescent="0.3">
      <c r="A788" s="6" t="str">
        <f>IF(ISNA(MATCH(775,Engine!$C$2:$C$1199,0)),"",INDEX('Compliance Database'!$A$2:$A$1199,MATCH(775,Engine!$C$2:$C$1199,0)))</f>
        <v/>
      </c>
      <c r="B788" s="6" t="str">
        <f>IF(ISNA(MATCH(775,Engine!$C$2:$C$1199,0)),"",INDEX('Compliance Database'!$B$2:$B$1199,MATCH(775,Engine!$C$2:$C$1199,0)))</f>
        <v/>
      </c>
      <c r="C788" s="6" t="str">
        <f>IF(ISNA(MATCH(775,Engine!$C$2:$C$1199,0)),"",INDEX('Compliance Database'!$C$2:$C$1199,MATCH(775,Engine!$C$2:$C$1199,0)))</f>
        <v/>
      </c>
      <c r="D788" s="7" t="str">
        <f>IF(ISNA(MATCH(775,Engine!$C$2:$C$1199,0)),"",INDEX('Compliance Database'!$D$2:$D$1199,MATCH(775,Engine!$C$2:$C$1199,0)))</f>
        <v/>
      </c>
      <c r="E788" s="6" t="str">
        <f>IF(ISNA(MATCH(775,Engine!$C$2:$C$1199,0)),"",INDEX('Compliance Database'!$E$2:$E$1199,MATCH(775,Engine!$C$2:$C$1199,0)))</f>
        <v/>
      </c>
      <c r="F788" s="6" t="str">
        <f>IF(ISNA(MATCH(775,Engine!$C$2:$C$1199,0)),"",INDEX('Compliance Database'!$F$2:$F$1199,MATCH(775,Engine!$C$2:$C$1199,0)))</f>
        <v/>
      </c>
      <c r="G788" s="6" t="str">
        <f>IF(ISNA(MATCH(775,Engine!$C$2:$C$1199,0)),"",INDEX('Compliance Database'!$G$2:$G$1199,MATCH(775,Engine!$C$2:$C$1199,0)))</f>
        <v/>
      </c>
      <c r="H788" s="7" t="str">
        <f>IF(ISNA(MATCH(775,Engine!$C$2:$C$1199,0)),"",INDEX('Compliance Database'!$H$2:$H$1199,MATCH(775,Engine!$C$2:$C$1199,0)))</f>
        <v/>
      </c>
      <c r="I788" s="7" t="str">
        <f>IF(ISNA(MATCH(775,Engine!$C$2:$C$1199,0)),"",INDEX('Compliance Database'!$I$2:$I$1199,MATCH(775,Engine!$C$2:$C$1199,0)))</f>
        <v/>
      </c>
      <c r="J788" s="6" t="str">
        <f>IF(ISNA(MATCH(775,Engine!$C$2:$C$1199,0)),"",INDEX('Compliance Database'!$J$2:$J$1199,MATCH(775,Engine!$C$2:$C$1199,0)))</f>
        <v/>
      </c>
      <c r="K788" s="7" t="str">
        <f>IF(ISNA(MATCH(775,Engine!$C$2:$C$1199,0)),"",INDEX('Compliance Database'!$K$2:$K$1199,MATCH(775,Engine!$C$2:$C$1199,0)))</f>
        <v/>
      </c>
      <c r="L788" s="7" t="str">
        <f>IF(ISNA(MATCH(775,Engine!$C$2:$C$1199,0)),"",INDEX('Compliance Database'!$L$2:$L$1199,MATCH(775,Engine!$C$2:$C$1199,0)))</f>
        <v/>
      </c>
      <c r="M788" s="7" t="str">
        <f>IF(ISNA(MATCH(775,Engine!$C$2:$C$1199,0)),"",INDEX('Compliance Database'!$M$2:$M$1199,MATCH(775,Engine!$C$2:$C$1199,0)))</f>
        <v/>
      </c>
      <c r="N788" s="7" t="str">
        <f>IF(ISNA(MATCH(775,Engine!$C$2:$C$1199,0)),"",INDEX('Compliance Database'!$N$2:$N$1199,MATCH(775,Engine!$C$2:$C$1199,0)))</f>
        <v/>
      </c>
      <c r="O788" s="7" t="str">
        <f>IF(ISNA(MATCH(775,Engine!$C$2:$C$1199,0)),"",INDEX('Compliance Database'!$O$2:$O$1199,MATCH(775,Engine!$C$2:$C$1199,0)))</f>
        <v/>
      </c>
      <c r="P788" s="6" t="str">
        <f>IF(ISNA(MATCH(775,Engine!$C$2:$C$1199,0)),"",HYPERLINK("#Acts!A"&amp;INDEX('Compliance Database'!$P$2:$P$1199,MATCH(775,Engine!$C$2:$C$1199,0)),"Go to Act"))</f>
        <v/>
      </c>
    </row>
    <row r="789" spans="1:16" ht="172.95" customHeight="1" x14ac:dyDescent="0.3">
      <c r="A789" s="6" t="str">
        <f>IF(ISNA(MATCH(776,Engine!$C$2:$C$1199,0)),"",INDEX('Compliance Database'!$A$2:$A$1199,MATCH(776,Engine!$C$2:$C$1199,0)))</f>
        <v/>
      </c>
      <c r="B789" s="6" t="str">
        <f>IF(ISNA(MATCH(776,Engine!$C$2:$C$1199,0)),"",INDEX('Compliance Database'!$B$2:$B$1199,MATCH(776,Engine!$C$2:$C$1199,0)))</f>
        <v/>
      </c>
      <c r="C789" s="6" t="str">
        <f>IF(ISNA(MATCH(776,Engine!$C$2:$C$1199,0)),"",INDEX('Compliance Database'!$C$2:$C$1199,MATCH(776,Engine!$C$2:$C$1199,0)))</f>
        <v/>
      </c>
      <c r="D789" s="7" t="str">
        <f>IF(ISNA(MATCH(776,Engine!$C$2:$C$1199,0)),"",INDEX('Compliance Database'!$D$2:$D$1199,MATCH(776,Engine!$C$2:$C$1199,0)))</f>
        <v/>
      </c>
      <c r="E789" s="6" t="str">
        <f>IF(ISNA(MATCH(776,Engine!$C$2:$C$1199,0)),"",INDEX('Compliance Database'!$E$2:$E$1199,MATCH(776,Engine!$C$2:$C$1199,0)))</f>
        <v/>
      </c>
      <c r="F789" s="6" t="str">
        <f>IF(ISNA(MATCH(776,Engine!$C$2:$C$1199,0)),"",INDEX('Compliance Database'!$F$2:$F$1199,MATCH(776,Engine!$C$2:$C$1199,0)))</f>
        <v/>
      </c>
      <c r="G789" s="6" t="str">
        <f>IF(ISNA(MATCH(776,Engine!$C$2:$C$1199,0)),"",INDEX('Compliance Database'!$G$2:$G$1199,MATCH(776,Engine!$C$2:$C$1199,0)))</f>
        <v/>
      </c>
      <c r="H789" s="7" t="str">
        <f>IF(ISNA(MATCH(776,Engine!$C$2:$C$1199,0)),"",INDEX('Compliance Database'!$H$2:$H$1199,MATCH(776,Engine!$C$2:$C$1199,0)))</f>
        <v/>
      </c>
      <c r="I789" s="7" t="str">
        <f>IF(ISNA(MATCH(776,Engine!$C$2:$C$1199,0)),"",INDEX('Compliance Database'!$I$2:$I$1199,MATCH(776,Engine!$C$2:$C$1199,0)))</f>
        <v/>
      </c>
      <c r="J789" s="6" t="str">
        <f>IF(ISNA(MATCH(776,Engine!$C$2:$C$1199,0)),"",INDEX('Compliance Database'!$J$2:$J$1199,MATCH(776,Engine!$C$2:$C$1199,0)))</f>
        <v/>
      </c>
      <c r="K789" s="7" t="str">
        <f>IF(ISNA(MATCH(776,Engine!$C$2:$C$1199,0)),"",INDEX('Compliance Database'!$K$2:$K$1199,MATCH(776,Engine!$C$2:$C$1199,0)))</f>
        <v/>
      </c>
      <c r="L789" s="7" t="str">
        <f>IF(ISNA(MATCH(776,Engine!$C$2:$C$1199,0)),"",INDEX('Compliance Database'!$L$2:$L$1199,MATCH(776,Engine!$C$2:$C$1199,0)))</f>
        <v/>
      </c>
      <c r="M789" s="7" t="str">
        <f>IF(ISNA(MATCH(776,Engine!$C$2:$C$1199,0)),"",INDEX('Compliance Database'!$M$2:$M$1199,MATCH(776,Engine!$C$2:$C$1199,0)))</f>
        <v/>
      </c>
      <c r="N789" s="7" t="str">
        <f>IF(ISNA(MATCH(776,Engine!$C$2:$C$1199,0)),"",INDEX('Compliance Database'!$N$2:$N$1199,MATCH(776,Engine!$C$2:$C$1199,0)))</f>
        <v/>
      </c>
      <c r="O789" s="7" t="str">
        <f>IF(ISNA(MATCH(776,Engine!$C$2:$C$1199,0)),"",INDEX('Compliance Database'!$O$2:$O$1199,MATCH(776,Engine!$C$2:$C$1199,0)))</f>
        <v/>
      </c>
      <c r="P789" s="6" t="str">
        <f>IF(ISNA(MATCH(776,Engine!$C$2:$C$1199,0)),"",HYPERLINK("#Acts!A"&amp;INDEX('Compliance Database'!$P$2:$P$1199,MATCH(776,Engine!$C$2:$C$1199,0)),"Go to Act"))</f>
        <v/>
      </c>
    </row>
    <row r="790" spans="1:16" ht="172.95" customHeight="1" x14ac:dyDescent="0.3">
      <c r="A790" s="6" t="str">
        <f>IF(ISNA(MATCH(777,Engine!$C$2:$C$1199,0)),"",INDEX('Compliance Database'!$A$2:$A$1199,MATCH(777,Engine!$C$2:$C$1199,0)))</f>
        <v/>
      </c>
      <c r="B790" s="6" t="str">
        <f>IF(ISNA(MATCH(777,Engine!$C$2:$C$1199,0)),"",INDEX('Compliance Database'!$B$2:$B$1199,MATCH(777,Engine!$C$2:$C$1199,0)))</f>
        <v/>
      </c>
      <c r="C790" s="6" t="str">
        <f>IF(ISNA(MATCH(777,Engine!$C$2:$C$1199,0)),"",INDEX('Compliance Database'!$C$2:$C$1199,MATCH(777,Engine!$C$2:$C$1199,0)))</f>
        <v/>
      </c>
      <c r="D790" s="7" t="str">
        <f>IF(ISNA(MATCH(777,Engine!$C$2:$C$1199,0)),"",INDEX('Compliance Database'!$D$2:$D$1199,MATCH(777,Engine!$C$2:$C$1199,0)))</f>
        <v/>
      </c>
      <c r="E790" s="6" t="str">
        <f>IF(ISNA(MATCH(777,Engine!$C$2:$C$1199,0)),"",INDEX('Compliance Database'!$E$2:$E$1199,MATCH(777,Engine!$C$2:$C$1199,0)))</f>
        <v/>
      </c>
      <c r="F790" s="6" t="str">
        <f>IF(ISNA(MATCH(777,Engine!$C$2:$C$1199,0)),"",INDEX('Compliance Database'!$F$2:$F$1199,MATCH(777,Engine!$C$2:$C$1199,0)))</f>
        <v/>
      </c>
      <c r="G790" s="6" t="str">
        <f>IF(ISNA(MATCH(777,Engine!$C$2:$C$1199,0)),"",INDEX('Compliance Database'!$G$2:$G$1199,MATCH(777,Engine!$C$2:$C$1199,0)))</f>
        <v/>
      </c>
      <c r="H790" s="7" t="str">
        <f>IF(ISNA(MATCH(777,Engine!$C$2:$C$1199,0)),"",INDEX('Compliance Database'!$H$2:$H$1199,MATCH(777,Engine!$C$2:$C$1199,0)))</f>
        <v/>
      </c>
      <c r="I790" s="7" t="str">
        <f>IF(ISNA(MATCH(777,Engine!$C$2:$C$1199,0)),"",INDEX('Compliance Database'!$I$2:$I$1199,MATCH(777,Engine!$C$2:$C$1199,0)))</f>
        <v/>
      </c>
      <c r="J790" s="6" t="str">
        <f>IF(ISNA(MATCH(777,Engine!$C$2:$C$1199,0)),"",INDEX('Compliance Database'!$J$2:$J$1199,MATCH(777,Engine!$C$2:$C$1199,0)))</f>
        <v/>
      </c>
      <c r="K790" s="7" t="str">
        <f>IF(ISNA(MATCH(777,Engine!$C$2:$C$1199,0)),"",INDEX('Compliance Database'!$K$2:$K$1199,MATCH(777,Engine!$C$2:$C$1199,0)))</f>
        <v/>
      </c>
      <c r="L790" s="7" t="str">
        <f>IF(ISNA(MATCH(777,Engine!$C$2:$C$1199,0)),"",INDEX('Compliance Database'!$L$2:$L$1199,MATCH(777,Engine!$C$2:$C$1199,0)))</f>
        <v/>
      </c>
      <c r="M790" s="7" t="str">
        <f>IF(ISNA(MATCH(777,Engine!$C$2:$C$1199,0)),"",INDEX('Compliance Database'!$M$2:$M$1199,MATCH(777,Engine!$C$2:$C$1199,0)))</f>
        <v/>
      </c>
      <c r="N790" s="7" t="str">
        <f>IF(ISNA(MATCH(777,Engine!$C$2:$C$1199,0)),"",INDEX('Compliance Database'!$N$2:$N$1199,MATCH(777,Engine!$C$2:$C$1199,0)))</f>
        <v/>
      </c>
      <c r="O790" s="7" t="str">
        <f>IF(ISNA(MATCH(777,Engine!$C$2:$C$1199,0)),"",INDEX('Compliance Database'!$O$2:$O$1199,MATCH(777,Engine!$C$2:$C$1199,0)))</f>
        <v/>
      </c>
      <c r="P790" s="6" t="str">
        <f>IF(ISNA(MATCH(777,Engine!$C$2:$C$1199,0)),"",HYPERLINK("#Acts!A"&amp;INDEX('Compliance Database'!$P$2:$P$1199,MATCH(777,Engine!$C$2:$C$1199,0)),"Go to Act"))</f>
        <v/>
      </c>
    </row>
    <row r="791" spans="1:16" ht="172.95" customHeight="1" x14ac:dyDescent="0.3">
      <c r="A791" s="6" t="str">
        <f>IF(ISNA(MATCH(778,Engine!$C$2:$C$1199,0)),"",INDEX('Compliance Database'!$A$2:$A$1199,MATCH(778,Engine!$C$2:$C$1199,0)))</f>
        <v/>
      </c>
      <c r="B791" s="6" t="str">
        <f>IF(ISNA(MATCH(778,Engine!$C$2:$C$1199,0)),"",INDEX('Compliance Database'!$B$2:$B$1199,MATCH(778,Engine!$C$2:$C$1199,0)))</f>
        <v/>
      </c>
      <c r="C791" s="6" t="str">
        <f>IF(ISNA(MATCH(778,Engine!$C$2:$C$1199,0)),"",INDEX('Compliance Database'!$C$2:$C$1199,MATCH(778,Engine!$C$2:$C$1199,0)))</f>
        <v/>
      </c>
      <c r="D791" s="7" t="str">
        <f>IF(ISNA(MATCH(778,Engine!$C$2:$C$1199,0)),"",INDEX('Compliance Database'!$D$2:$D$1199,MATCH(778,Engine!$C$2:$C$1199,0)))</f>
        <v/>
      </c>
      <c r="E791" s="6" t="str">
        <f>IF(ISNA(MATCH(778,Engine!$C$2:$C$1199,0)),"",INDEX('Compliance Database'!$E$2:$E$1199,MATCH(778,Engine!$C$2:$C$1199,0)))</f>
        <v/>
      </c>
      <c r="F791" s="6" t="str">
        <f>IF(ISNA(MATCH(778,Engine!$C$2:$C$1199,0)),"",INDEX('Compliance Database'!$F$2:$F$1199,MATCH(778,Engine!$C$2:$C$1199,0)))</f>
        <v/>
      </c>
      <c r="G791" s="6" t="str">
        <f>IF(ISNA(MATCH(778,Engine!$C$2:$C$1199,0)),"",INDEX('Compliance Database'!$G$2:$G$1199,MATCH(778,Engine!$C$2:$C$1199,0)))</f>
        <v/>
      </c>
      <c r="H791" s="7" t="str">
        <f>IF(ISNA(MATCH(778,Engine!$C$2:$C$1199,0)),"",INDEX('Compliance Database'!$H$2:$H$1199,MATCH(778,Engine!$C$2:$C$1199,0)))</f>
        <v/>
      </c>
      <c r="I791" s="7" t="str">
        <f>IF(ISNA(MATCH(778,Engine!$C$2:$C$1199,0)),"",INDEX('Compliance Database'!$I$2:$I$1199,MATCH(778,Engine!$C$2:$C$1199,0)))</f>
        <v/>
      </c>
      <c r="J791" s="6" t="str">
        <f>IF(ISNA(MATCH(778,Engine!$C$2:$C$1199,0)),"",INDEX('Compliance Database'!$J$2:$J$1199,MATCH(778,Engine!$C$2:$C$1199,0)))</f>
        <v/>
      </c>
      <c r="K791" s="7" t="str">
        <f>IF(ISNA(MATCH(778,Engine!$C$2:$C$1199,0)),"",INDEX('Compliance Database'!$K$2:$K$1199,MATCH(778,Engine!$C$2:$C$1199,0)))</f>
        <v/>
      </c>
      <c r="L791" s="7" t="str">
        <f>IF(ISNA(MATCH(778,Engine!$C$2:$C$1199,0)),"",INDEX('Compliance Database'!$L$2:$L$1199,MATCH(778,Engine!$C$2:$C$1199,0)))</f>
        <v/>
      </c>
      <c r="M791" s="7" t="str">
        <f>IF(ISNA(MATCH(778,Engine!$C$2:$C$1199,0)),"",INDEX('Compliance Database'!$M$2:$M$1199,MATCH(778,Engine!$C$2:$C$1199,0)))</f>
        <v/>
      </c>
      <c r="N791" s="7" t="str">
        <f>IF(ISNA(MATCH(778,Engine!$C$2:$C$1199,0)),"",INDEX('Compliance Database'!$N$2:$N$1199,MATCH(778,Engine!$C$2:$C$1199,0)))</f>
        <v/>
      </c>
      <c r="O791" s="7" t="str">
        <f>IF(ISNA(MATCH(778,Engine!$C$2:$C$1199,0)),"",INDEX('Compliance Database'!$O$2:$O$1199,MATCH(778,Engine!$C$2:$C$1199,0)))</f>
        <v/>
      </c>
      <c r="P791" s="6" t="str">
        <f>IF(ISNA(MATCH(778,Engine!$C$2:$C$1199,0)),"",HYPERLINK("#Acts!A"&amp;INDEX('Compliance Database'!$P$2:$P$1199,MATCH(778,Engine!$C$2:$C$1199,0)),"Go to Act"))</f>
        <v/>
      </c>
    </row>
    <row r="792" spans="1:16" ht="172.95" customHeight="1" x14ac:dyDescent="0.3">
      <c r="A792" s="6" t="str">
        <f>IF(ISNA(MATCH(779,Engine!$C$2:$C$1199,0)),"",INDEX('Compliance Database'!$A$2:$A$1199,MATCH(779,Engine!$C$2:$C$1199,0)))</f>
        <v/>
      </c>
      <c r="B792" s="6" t="str">
        <f>IF(ISNA(MATCH(779,Engine!$C$2:$C$1199,0)),"",INDEX('Compliance Database'!$B$2:$B$1199,MATCH(779,Engine!$C$2:$C$1199,0)))</f>
        <v/>
      </c>
      <c r="C792" s="6" t="str">
        <f>IF(ISNA(MATCH(779,Engine!$C$2:$C$1199,0)),"",INDEX('Compliance Database'!$C$2:$C$1199,MATCH(779,Engine!$C$2:$C$1199,0)))</f>
        <v/>
      </c>
      <c r="D792" s="7" t="str">
        <f>IF(ISNA(MATCH(779,Engine!$C$2:$C$1199,0)),"",INDEX('Compliance Database'!$D$2:$D$1199,MATCH(779,Engine!$C$2:$C$1199,0)))</f>
        <v/>
      </c>
      <c r="E792" s="6" t="str">
        <f>IF(ISNA(MATCH(779,Engine!$C$2:$C$1199,0)),"",INDEX('Compliance Database'!$E$2:$E$1199,MATCH(779,Engine!$C$2:$C$1199,0)))</f>
        <v/>
      </c>
      <c r="F792" s="6" t="str">
        <f>IF(ISNA(MATCH(779,Engine!$C$2:$C$1199,0)),"",INDEX('Compliance Database'!$F$2:$F$1199,MATCH(779,Engine!$C$2:$C$1199,0)))</f>
        <v/>
      </c>
      <c r="G792" s="6" t="str">
        <f>IF(ISNA(MATCH(779,Engine!$C$2:$C$1199,0)),"",INDEX('Compliance Database'!$G$2:$G$1199,MATCH(779,Engine!$C$2:$C$1199,0)))</f>
        <v/>
      </c>
      <c r="H792" s="7" t="str">
        <f>IF(ISNA(MATCH(779,Engine!$C$2:$C$1199,0)),"",INDEX('Compliance Database'!$H$2:$H$1199,MATCH(779,Engine!$C$2:$C$1199,0)))</f>
        <v/>
      </c>
      <c r="I792" s="7" t="str">
        <f>IF(ISNA(MATCH(779,Engine!$C$2:$C$1199,0)),"",INDEX('Compliance Database'!$I$2:$I$1199,MATCH(779,Engine!$C$2:$C$1199,0)))</f>
        <v/>
      </c>
      <c r="J792" s="6" t="str">
        <f>IF(ISNA(MATCH(779,Engine!$C$2:$C$1199,0)),"",INDEX('Compliance Database'!$J$2:$J$1199,MATCH(779,Engine!$C$2:$C$1199,0)))</f>
        <v/>
      </c>
      <c r="K792" s="7" t="str">
        <f>IF(ISNA(MATCH(779,Engine!$C$2:$C$1199,0)),"",INDEX('Compliance Database'!$K$2:$K$1199,MATCH(779,Engine!$C$2:$C$1199,0)))</f>
        <v/>
      </c>
      <c r="L792" s="7" t="str">
        <f>IF(ISNA(MATCH(779,Engine!$C$2:$C$1199,0)),"",INDEX('Compliance Database'!$L$2:$L$1199,MATCH(779,Engine!$C$2:$C$1199,0)))</f>
        <v/>
      </c>
      <c r="M792" s="7" t="str">
        <f>IF(ISNA(MATCH(779,Engine!$C$2:$C$1199,0)),"",INDEX('Compliance Database'!$M$2:$M$1199,MATCH(779,Engine!$C$2:$C$1199,0)))</f>
        <v/>
      </c>
      <c r="N792" s="7" t="str">
        <f>IF(ISNA(MATCH(779,Engine!$C$2:$C$1199,0)),"",INDEX('Compliance Database'!$N$2:$N$1199,MATCH(779,Engine!$C$2:$C$1199,0)))</f>
        <v/>
      </c>
      <c r="O792" s="7" t="str">
        <f>IF(ISNA(MATCH(779,Engine!$C$2:$C$1199,0)),"",INDEX('Compliance Database'!$O$2:$O$1199,MATCH(779,Engine!$C$2:$C$1199,0)))</f>
        <v/>
      </c>
      <c r="P792" s="6" t="str">
        <f>IF(ISNA(MATCH(779,Engine!$C$2:$C$1199,0)),"",HYPERLINK("#Acts!A"&amp;INDEX('Compliance Database'!$P$2:$P$1199,MATCH(779,Engine!$C$2:$C$1199,0)),"Go to Act"))</f>
        <v/>
      </c>
    </row>
    <row r="793" spans="1:16" ht="172.95" customHeight="1" x14ac:dyDescent="0.3">
      <c r="A793" s="6" t="str">
        <f>IF(ISNA(MATCH(780,Engine!$C$2:$C$1199,0)),"",INDEX('Compliance Database'!$A$2:$A$1199,MATCH(780,Engine!$C$2:$C$1199,0)))</f>
        <v/>
      </c>
      <c r="B793" s="6" t="str">
        <f>IF(ISNA(MATCH(780,Engine!$C$2:$C$1199,0)),"",INDEX('Compliance Database'!$B$2:$B$1199,MATCH(780,Engine!$C$2:$C$1199,0)))</f>
        <v/>
      </c>
      <c r="C793" s="6" t="str">
        <f>IF(ISNA(MATCH(780,Engine!$C$2:$C$1199,0)),"",INDEX('Compliance Database'!$C$2:$C$1199,MATCH(780,Engine!$C$2:$C$1199,0)))</f>
        <v/>
      </c>
      <c r="D793" s="7" t="str">
        <f>IF(ISNA(MATCH(780,Engine!$C$2:$C$1199,0)),"",INDEX('Compliance Database'!$D$2:$D$1199,MATCH(780,Engine!$C$2:$C$1199,0)))</f>
        <v/>
      </c>
      <c r="E793" s="6" t="str">
        <f>IF(ISNA(MATCH(780,Engine!$C$2:$C$1199,0)),"",INDEX('Compliance Database'!$E$2:$E$1199,MATCH(780,Engine!$C$2:$C$1199,0)))</f>
        <v/>
      </c>
      <c r="F793" s="6" t="str">
        <f>IF(ISNA(MATCH(780,Engine!$C$2:$C$1199,0)),"",INDEX('Compliance Database'!$F$2:$F$1199,MATCH(780,Engine!$C$2:$C$1199,0)))</f>
        <v/>
      </c>
      <c r="G793" s="6" t="str">
        <f>IF(ISNA(MATCH(780,Engine!$C$2:$C$1199,0)),"",INDEX('Compliance Database'!$G$2:$G$1199,MATCH(780,Engine!$C$2:$C$1199,0)))</f>
        <v/>
      </c>
      <c r="H793" s="7" t="str">
        <f>IF(ISNA(MATCH(780,Engine!$C$2:$C$1199,0)),"",INDEX('Compliance Database'!$H$2:$H$1199,MATCH(780,Engine!$C$2:$C$1199,0)))</f>
        <v/>
      </c>
      <c r="I793" s="7" t="str">
        <f>IF(ISNA(MATCH(780,Engine!$C$2:$C$1199,0)),"",INDEX('Compliance Database'!$I$2:$I$1199,MATCH(780,Engine!$C$2:$C$1199,0)))</f>
        <v/>
      </c>
      <c r="J793" s="6" t="str">
        <f>IF(ISNA(MATCH(780,Engine!$C$2:$C$1199,0)),"",INDEX('Compliance Database'!$J$2:$J$1199,MATCH(780,Engine!$C$2:$C$1199,0)))</f>
        <v/>
      </c>
      <c r="K793" s="7" t="str">
        <f>IF(ISNA(MATCH(780,Engine!$C$2:$C$1199,0)),"",INDEX('Compliance Database'!$K$2:$K$1199,MATCH(780,Engine!$C$2:$C$1199,0)))</f>
        <v/>
      </c>
      <c r="L793" s="7" t="str">
        <f>IF(ISNA(MATCH(780,Engine!$C$2:$C$1199,0)),"",INDEX('Compliance Database'!$L$2:$L$1199,MATCH(780,Engine!$C$2:$C$1199,0)))</f>
        <v/>
      </c>
      <c r="M793" s="7" t="str">
        <f>IF(ISNA(MATCH(780,Engine!$C$2:$C$1199,0)),"",INDEX('Compliance Database'!$M$2:$M$1199,MATCH(780,Engine!$C$2:$C$1199,0)))</f>
        <v/>
      </c>
      <c r="N793" s="7" t="str">
        <f>IF(ISNA(MATCH(780,Engine!$C$2:$C$1199,0)),"",INDEX('Compliance Database'!$N$2:$N$1199,MATCH(780,Engine!$C$2:$C$1199,0)))</f>
        <v/>
      </c>
      <c r="O793" s="7" t="str">
        <f>IF(ISNA(MATCH(780,Engine!$C$2:$C$1199,0)),"",INDEX('Compliance Database'!$O$2:$O$1199,MATCH(780,Engine!$C$2:$C$1199,0)))</f>
        <v/>
      </c>
      <c r="P793" s="6" t="str">
        <f>IF(ISNA(MATCH(780,Engine!$C$2:$C$1199,0)),"",HYPERLINK("#Acts!A"&amp;INDEX('Compliance Database'!$P$2:$P$1199,MATCH(780,Engine!$C$2:$C$1199,0)),"Go to Act"))</f>
        <v/>
      </c>
    </row>
    <row r="794" spans="1:16" ht="172.95" customHeight="1" x14ac:dyDescent="0.3">
      <c r="A794" s="6" t="str">
        <f>IF(ISNA(MATCH(781,Engine!$C$2:$C$1199,0)),"",INDEX('Compliance Database'!$A$2:$A$1199,MATCH(781,Engine!$C$2:$C$1199,0)))</f>
        <v/>
      </c>
      <c r="B794" s="6" t="str">
        <f>IF(ISNA(MATCH(781,Engine!$C$2:$C$1199,0)),"",INDEX('Compliance Database'!$B$2:$B$1199,MATCH(781,Engine!$C$2:$C$1199,0)))</f>
        <v/>
      </c>
      <c r="C794" s="6" t="str">
        <f>IF(ISNA(MATCH(781,Engine!$C$2:$C$1199,0)),"",INDEX('Compliance Database'!$C$2:$C$1199,MATCH(781,Engine!$C$2:$C$1199,0)))</f>
        <v/>
      </c>
      <c r="D794" s="7" t="str">
        <f>IF(ISNA(MATCH(781,Engine!$C$2:$C$1199,0)),"",INDEX('Compliance Database'!$D$2:$D$1199,MATCH(781,Engine!$C$2:$C$1199,0)))</f>
        <v/>
      </c>
      <c r="E794" s="6" t="str">
        <f>IF(ISNA(MATCH(781,Engine!$C$2:$C$1199,0)),"",INDEX('Compliance Database'!$E$2:$E$1199,MATCH(781,Engine!$C$2:$C$1199,0)))</f>
        <v/>
      </c>
      <c r="F794" s="6" t="str">
        <f>IF(ISNA(MATCH(781,Engine!$C$2:$C$1199,0)),"",INDEX('Compliance Database'!$F$2:$F$1199,MATCH(781,Engine!$C$2:$C$1199,0)))</f>
        <v/>
      </c>
      <c r="G794" s="6" t="str">
        <f>IF(ISNA(MATCH(781,Engine!$C$2:$C$1199,0)),"",INDEX('Compliance Database'!$G$2:$G$1199,MATCH(781,Engine!$C$2:$C$1199,0)))</f>
        <v/>
      </c>
      <c r="H794" s="7" t="str">
        <f>IF(ISNA(MATCH(781,Engine!$C$2:$C$1199,0)),"",INDEX('Compliance Database'!$H$2:$H$1199,MATCH(781,Engine!$C$2:$C$1199,0)))</f>
        <v/>
      </c>
      <c r="I794" s="7" t="str">
        <f>IF(ISNA(MATCH(781,Engine!$C$2:$C$1199,0)),"",INDEX('Compliance Database'!$I$2:$I$1199,MATCH(781,Engine!$C$2:$C$1199,0)))</f>
        <v/>
      </c>
      <c r="J794" s="6" t="str">
        <f>IF(ISNA(MATCH(781,Engine!$C$2:$C$1199,0)),"",INDEX('Compliance Database'!$J$2:$J$1199,MATCH(781,Engine!$C$2:$C$1199,0)))</f>
        <v/>
      </c>
      <c r="K794" s="7" t="str">
        <f>IF(ISNA(MATCH(781,Engine!$C$2:$C$1199,0)),"",INDEX('Compliance Database'!$K$2:$K$1199,MATCH(781,Engine!$C$2:$C$1199,0)))</f>
        <v/>
      </c>
      <c r="L794" s="7" t="str">
        <f>IF(ISNA(MATCH(781,Engine!$C$2:$C$1199,0)),"",INDEX('Compliance Database'!$L$2:$L$1199,MATCH(781,Engine!$C$2:$C$1199,0)))</f>
        <v/>
      </c>
      <c r="M794" s="7" t="str">
        <f>IF(ISNA(MATCH(781,Engine!$C$2:$C$1199,0)),"",INDEX('Compliance Database'!$M$2:$M$1199,MATCH(781,Engine!$C$2:$C$1199,0)))</f>
        <v/>
      </c>
      <c r="N794" s="7" t="str">
        <f>IF(ISNA(MATCH(781,Engine!$C$2:$C$1199,0)),"",INDEX('Compliance Database'!$N$2:$N$1199,MATCH(781,Engine!$C$2:$C$1199,0)))</f>
        <v/>
      </c>
      <c r="O794" s="7" t="str">
        <f>IF(ISNA(MATCH(781,Engine!$C$2:$C$1199,0)),"",INDEX('Compliance Database'!$O$2:$O$1199,MATCH(781,Engine!$C$2:$C$1199,0)))</f>
        <v/>
      </c>
      <c r="P794" s="6" t="str">
        <f>IF(ISNA(MATCH(781,Engine!$C$2:$C$1199,0)),"",HYPERLINK("#Acts!A"&amp;INDEX('Compliance Database'!$P$2:$P$1199,MATCH(781,Engine!$C$2:$C$1199,0)),"Go to Act"))</f>
        <v/>
      </c>
    </row>
    <row r="795" spans="1:16" ht="172.95" customHeight="1" x14ac:dyDescent="0.3">
      <c r="A795" s="6" t="str">
        <f>IF(ISNA(MATCH(782,Engine!$C$2:$C$1199,0)),"",INDEX('Compliance Database'!$A$2:$A$1199,MATCH(782,Engine!$C$2:$C$1199,0)))</f>
        <v/>
      </c>
      <c r="B795" s="6" t="str">
        <f>IF(ISNA(MATCH(782,Engine!$C$2:$C$1199,0)),"",INDEX('Compliance Database'!$B$2:$B$1199,MATCH(782,Engine!$C$2:$C$1199,0)))</f>
        <v/>
      </c>
      <c r="C795" s="6" t="str">
        <f>IF(ISNA(MATCH(782,Engine!$C$2:$C$1199,0)),"",INDEX('Compliance Database'!$C$2:$C$1199,MATCH(782,Engine!$C$2:$C$1199,0)))</f>
        <v/>
      </c>
      <c r="D795" s="7" t="str">
        <f>IF(ISNA(MATCH(782,Engine!$C$2:$C$1199,0)),"",INDEX('Compliance Database'!$D$2:$D$1199,MATCH(782,Engine!$C$2:$C$1199,0)))</f>
        <v/>
      </c>
      <c r="E795" s="6" t="str">
        <f>IF(ISNA(MATCH(782,Engine!$C$2:$C$1199,0)),"",INDEX('Compliance Database'!$E$2:$E$1199,MATCH(782,Engine!$C$2:$C$1199,0)))</f>
        <v/>
      </c>
      <c r="F795" s="6" t="str">
        <f>IF(ISNA(MATCH(782,Engine!$C$2:$C$1199,0)),"",INDEX('Compliance Database'!$F$2:$F$1199,MATCH(782,Engine!$C$2:$C$1199,0)))</f>
        <v/>
      </c>
      <c r="G795" s="6" t="str">
        <f>IF(ISNA(MATCH(782,Engine!$C$2:$C$1199,0)),"",INDEX('Compliance Database'!$G$2:$G$1199,MATCH(782,Engine!$C$2:$C$1199,0)))</f>
        <v/>
      </c>
      <c r="H795" s="7" t="str">
        <f>IF(ISNA(MATCH(782,Engine!$C$2:$C$1199,0)),"",INDEX('Compliance Database'!$H$2:$H$1199,MATCH(782,Engine!$C$2:$C$1199,0)))</f>
        <v/>
      </c>
      <c r="I795" s="7" t="str">
        <f>IF(ISNA(MATCH(782,Engine!$C$2:$C$1199,0)),"",INDEX('Compliance Database'!$I$2:$I$1199,MATCH(782,Engine!$C$2:$C$1199,0)))</f>
        <v/>
      </c>
      <c r="J795" s="6" t="str">
        <f>IF(ISNA(MATCH(782,Engine!$C$2:$C$1199,0)),"",INDEX('Compliance Database'!$J$2:$J$1199,MATCH(782,Engine!$C$2:$C$1199,0)))</f>
        <v/>
      </c>
      <c r="K795" s="7" t="str">
        <f>IF(ISNA(MATCH(782,Engine!$C$2:$C$1199,0)),"",INDEX('Compliance Database'!$K$2:$K$1199,MATCH(782,Engine!$C$2:$C$1199,0)))</f>
        <v/>
      </c>
      <c r="L795" s="7" t="str">
        <f>IF(ISNA(MATCH(782,Engine!$C$2:$C$1199,0)),"",INDEX('Compliance Database'!$L$2:$L$1199,MATCH(782,Engine!$C$2:$C$1199,0)))</f>
        <v/>
      </c>
      <c r="M795" s="7" t="str">
        <f>IF(ISNA(MATCH(782,Engine!$C$2:$C$1199,0)),"",INDEX('Compliance Database'!$M$2:$M$1199,MATCH(782,Engine!$C$2:$C$1199,0)))</f>
        <v/>
      </c>
      <c r="N795" s="7" t="str">
        <f>IF(ISNA(MATCH(782,Engine!$C$2:$C$1199,0)),"",INDEX('Compliance Database'!$N$2:$N$1199,MATCH(782,Engine!$C$2:$C$1199,0)))</f>
        <v/>
      </c>
      <c r="O795" s="7" t="str">
        <f>IF(ISNA(MATCH(782,Engine!$C$2:$C$1199,0)),"",INDEX('Compliance Database'!$O$2:$O$1199,MATCH(782,Engine!$C$2:$C$1199,0)))</f>
        <v/>
      </c>
      <c r="P795" s="6" t="str">
        <f>IF(ISNA(MATCH(782,Engine!$C$2:$C$1199,0)),"",HYPERLINK("#Acts!A"&amp;INDEX('Compliance Database'!$P$2:$P$1199,MATCH(782,Engine!$C$2:$C$1199,0)),"Go to Act"))</f>
        <v/>
      </c>
    </row>
    <row r="796" spans="1:16" ht="172.95" customHeight="1" x14ac:dyDescent="0.3">
      <c r="A796" s="6" t="str">
        <f>IF(ISNA(MATCH(783,Engine!$C$2:$C$1199,0)),"",INDEX('Compliance Database'!$A$2:$A$1199,MATCH(783,Engine!$C$2:$C$1199,0)))</f>
        <v/>
      </c>
      <c r="B796" s="6" t="str">
        <f>IF(ISNA(MATCH(783,Engine!$C$2:$C$1199,0)),"",INDEX('Compliance Database'!$B$2:$B$1199,MATCH(783,Engine!$C$2:$C$1199,0)))</f>
        <v/>
      </c>
      <c r="C796" s="6" t="str">
        <f>IF(ISNA(MATCH(783,Engine!$C$2:$C$1199,0)),"",INDEX('Compliance Database'!$C$2:$C$1199,MATCH(783,Engine!$C$2:$C$1199,0)))</f>
        <v/>
      </c>
      <c r="D796" s="7" t="str">
        <f>IF(ISNA(MATCH(783,Engine!$C$2:$C$1199,0)),"",INDEX('Compliance Database'!$D$2:$D$1199,MATCH(783,Engine!$C$2:$C$1199,0)))</f>
        <v/>
      </c>
      <c r="E796" s="6" t="str">
        <f>IF(ISNA(MATCH(783,Engine!$C$2:$C$1199,0)),"",INDEX('Compliance Database'!$E$2:$E$1199,MATCH(783,Engine!$C$2:$C$1199,0)))</f>
        <v/>
      </c>
      <c r="F796" s="6" t="str">
        <f>IF(ISNA(MATCH(783,Engine!$C$2:$C$1199,0)),"",INDEX('Compliance Database'!$F$2:$F$1199,MATCH(783,Engine!$C$2:$C$1199,0)))</f>
        <v/>
      </c>
      <c r="G796" s="6" t="str">
        <f>IF(ISNA(MATCH(783,Engine!$C$2:$C$1199,0)),"",INDEX('Compliance Database'!$G$2:$G$1199,MATCH(783,Engine!$C$2:$C$1199,0)))</f>
        <v/>
      </c>
      <c r="H796" s="7" t="str">
        <f>IF(ISNA(MATCH(783,Engine!$C$2:$C$1199,0)),"",INDEX('Compliance Database'!$H$2:$H$1199,MATCH(783,Engine!$C$2:$C$1199,0)))</f>
        <v/>
      </c>
      <c r="I796" s="7" t="str">
        <f>IF(ISNA(MATCH(783,Engine!$C$2:$C$1199,0)),"",INDEX('Compliance Database'!$I$2:$I$1199,MATCH(783,Engine!$C$2:$C$1199,0)))</f>
        <v/>
      </c>
      <c r="J796" s="6" t="str">
        <f>IF(ISNA(MATCH(783,Engine!$C$2:$C$1199,0)),"",INDEX('Compliance Database'!$J$2:$J$1199,MATCH(783,Engine!$C$2:$C$1199,0)))</f>
        <v/>
      </c>
      <c r="K796" s="7" t="str">
        <f>IF(ISNA(MATCH(783,Engine!$C$2:$C$1199,0)),"",INDEX('Compliance Database'!$K$2:$K$1199,MATCH(783,Engine!$C$2:$C$1199,0)))</f>
        <v/>
      </c>
      <c r="L796" s="7" t="str">
        <f>IF(ISNA(MATCH(783,Engine!$C$2:$C$1199,0)),"",INDEX('Compliance Database'!$L$2:$L$1199,MATCH(783,Engine!$C$2:$C$1199,0)))</f>
        <v/>
      </c>
      <c r="M796" s="7" t="str">
        <f>IF(ISNA(MATCH(783,Engine!$C$2:$C$1199,0)),"",INDEX('Compliance Database'!$M$2:$M$1199,MATCH(783,Engine!$C$2:$C$1199,0)))</f>
        <v/>
      </c>
      <c r="N796" s="7" t="str">
        <f>IF(ISNA(MATCH(783,Engine!$C$2:$C$1199,0)),"",INDEX('Compliance Database'!$N$2:$N$1199,MATCH(783,Engine!$C$2:$C$1199,0)))</f>
        <v/>
      </c>
      <c r="O796" s="7" t="str">
        <f>IF(ISNA(MATCH(783,Engine!$C$2:$C$1199,0)),"",INDEX('Compliance Database'!$O$2:$O$1199,MATCH(783,Engine!$C$2:$C$1199,0)))</f>
        <v/>
      </c>
      <c r="P796" s="6" t="str">
        <f>IF(ISNA(MATCH(783,Engine!$C$2:$C$1199,0)),"",HYPERLINK("#Acts!A"&amp;INDEX('Compliance Database'!$P$2:$P$1199,MATCH(783,Engine!$C$2:$C$1199,0)),"Go to Act"))</f>
        <v/>
      </c>
    </row>
    <row r="797" spans="1:16" ht="172.95" customHeight="1" x14ac:dyDescent="0.3">
      <c r="A797" s="6" t="str">
        <f>IF(ISNA(MATCH(784,Engine!$C$2:$C$1199,0)),"",INDEX('Compliance Database'!$A$2:$A$1199,MATCH(784,Engine!$C$2:$C$1199,0)))</f>
        <v/>
      </c>
      <c r="B797" s="6" t="str">
        <f>IF(ISNA(MATCH(784,Engine!$C$2:$C$1199,0)),"",INDEX('Compliance Database'!$B$2:$B$1199,MATCH(784,Engine!$C$2:$C$1199,0)))</f>
        <v/>
      </c>
      <c r="C797" s="6" t="str">
        <f>IF(ISNA(MATCH(784,Engine!$C$2:$C$1199,0)),"",INDEX('Compliance Database'!$C$2:$C$1199,MATCH(784,Engine!$C$2:$C$1199,0)))</f>
        <v/>
      </c>
      <c r="D797" s="7" t="str">
        <f>IF(ISNA(MATCH(784,Engine!$C$2:$C$1199,0)),"",INDEX('Compliance Database'!$D$2:$D$1199,MATCH(784,Engine!$C$2:$C$1199,0)))</f>
        <v/>
      </c>
      <c r="E797" s="6" t="str">
        <f>IF(ISNA(MATCH(784,Engine!$C$2:$C$1199,0)),"",INDEX('Compliance Database'!$E$2:$E$1199,MATCH(784,Engine!$C$2:$C$1199,0)))</f>
        <v/>
      </c>
      <c r="F797" s="6" t="str">
        <f>IF(ISNA(MATCH(784,Engine!$C$2:$C$1199,0)),"",INDEX('Compliance Database'!$F$2:$F$1199,MATCH(784,Engine!$C$2:$C$1199,0)))</f>
        <v/>
      </c>
      <c r="G797" s="6" t="str">
        <f>IF(ISNA(MATCH(784,Engine!$C$2:$C$1199,0)),"",INDEX('Compliance Database'!$G$2:$G$1199,MATCH(784,Engine!$C$2:$C$1199,0)))</f>
        <v/>
      </c>
      <c r="H797" s="7" t="str">
        <f>IF(ISNA(MATCH(784,Engine!$C$2:$C$1199,0)),"",INDEX('Compliance Database'!$H$2:$H$1199,MATCH(784,Engine!$C$2:$C$1199,0)))</f>
        <v/>
      </c>
      <c r="I797" s="7" t="str">
        <f>IF(ISNA(MATCH(784,Engine!$C$2:$C$1199,0)),"",INDEX('Compliance Database'!$I$2:$I$1199,MATCH(784,Engine!$C$2:$C$1199,0)))</f>
        <v/>
      </c>
      <c r="J797" s="6" t="str">
        <f>IF(ISNA(MATCH(784,Engine!$C$2:$C$1199,0)),"",INDEX('Compliance Database'!$J$2:$J$1199,MATCH(784,Engine!$C$2:$C$1199,0)))</f>
        <v/>
      </c>
      <c r="K797" s="7" t="str">
        <f>IF(ISNA(MATCH(784,Engine!$C$2:$C$1199,0)),"",INDEX('Compliance Database'!$K$2:$K$1199,MATCH(784,Engine!$C$2:$C$1199,0)))</f>
        <v/>
      </c>
      <c r="L797" s="7" t="str">
        <f>IF(ISNA(MATCH(784,Engine!$C$2:$C$1199,0)),"",INDEX('Compliance Database'!$L$2:$L$1199,MATCH(784,Engine!$C$2:$C$1199,0)))</f>
        <v/>
      </c>
      <c r="M797" s="7" t="str">
        <f>IF(ISNA(MATCH(784,Engine!$C$2:$C$1199,0)),"",INDEX('Compliance Database'!$M$2:$M$1199,MATCH(784,Engine!$C$2:$C$1199,0)))</f>
        <v/>
      </c>
      <c r="N797" s="7" t="str">
        <f>IF(ISNA(MATCH(784,Engine!$C$2:$C$1199,0)),"",INDEX('Compliance Database'!$N$2:$N$1199,MATCH(784,Engine!$C$2:$C$1199,0)))</f>
        <v/>
      </c>
      <c r="O797" s="7" t="str">
        <f>IF(ISNA(MATCH(784,Engine!$C$2:$C$1199,0)),"",INDEX('Compliance Database'!$O$2:$O$1199,MATCH(784,Engine!$C$2:$C$1199,0)))</f>
        <v/>
      </c>
      <c r="P797" s="6" t="str">
        <f>IF(ISNA(MATCH(784,Engine!$C$2:$C$1199,0)),"",HYPERLINK("#Acts!A"&amp;INDEX('Compliance Database'!$P$2:$P$1199,MATCH(784,Engine!$C$2:$C$1199,0)),"Go to Act"))</f>
        <v/>
      </c>
    </row>
    <row r="798" spans="1:16" ht="172.95" customHeight="1" x14ac:dyDescent="0.3">
      <c r="A798" s="6" t="str">
        <f>IF(ISNA(MATCH(785,Engine!$C$2:$C$1199,0)),"",INDEX('Compliance Database'!$A$2:$A$1199,MATCH(785,Engine!$C$2:$C$1199,0)))</f>
        <v/>
      </c>
      <c r="B798" s="6" t="str">
        <f>IF(ISNA(MATCH(785,Engine!$C$2:$C$1199,0)),"",INDEX('Compliance Database'!$B$2:$B$1199,MATCH(785,Engine!$C$2:$C$1199,0)))</f>
        <v/>
      </c>
      <c r="C798" s="6" t="str">
        <f>IF(ISNA(MATCH(785,Engine!$C$2:$C$1199,0)),"",INDEX('Compliance Database'!$C$2:$C$1199,MATCH(785,Engine!$C$2:$C$1199,0)))</f>
        <v/>
      </c>
      <c r="D798" s="7" t="str">
        <f>IF(ISNA(MATCH(785,Engine!$C$2:$C$1199,0)),"",INDEX('Compliance Database'!$D$2:$D$1199,MATCH(785,Engine!$C$2:$C$1199,0)))</f>
        <v/>
      </c>
      <c r="E798" s="6" t="str">
        <f>IF(ISNA(MATCH(785,Engine!$C$2:$C$1199,0)),"",INDEX('Compliance Database'!$E$2:$E$1199,MATCH(785,Engine!$C$2:$C$1199,0)))</f>
        <v/>
      </c>
      <c r="F798" s="6" t="str">
        <f>IF(ISNA(MATCH(785,Engine!$C$2:$C$1199,0)),"",INDEX('Compliance Database'!$F$2:$F$1199,MATCH(785,Engine!$C$2:$C$1199,0)))</f>
        <v/>
      </c>
      <c r="G798" s="6" t="str">
        <f>IF(ISNA(MATCH(785,Engine!$C$2:$C$1199,0)),"",INDEX('Compliance Database'!$G$2:$G$1199,MATCH(785,Engine!$C$2:$C$1199,0)))</f>
        <v/>
      </c>
      <c r="H798" s="7" t="str">
        <f>IF(ISNA(MATCH(785,Engine!$C$2:$C$1199,0)),"",INDEX('Compliance Database'!$H$2:$H$1199,MATCH(785,Engine!$C$2:$C$1199,0)))</f>
        <v/>
      </c>
      <c r="I798" s="7" t="str">
        <f>IF(ISNA(MATCH(785,Engine!$C$2:$C$1199,0)),"",INDEX('Compliance Database'!$I$2:$I$1199,MATCH(785,Engine!$C$2:$C$1199,0)))</f>
        <v/>
      </c>
      <c r="J798" s="6" t="str">
        <f>IF(ISNA(MATCH(785,Engine!$C$2:$C$1199,0)),"",INDEX('Compliance Database'!$J$2:$J$1199,MATCH(785,Engine!$C$2:$C$1199,0)))</f>
        <v/>
      </c>
      <c r="K798" s="7" t="str">
        <f>IF(ISNA(MATCH(785,Engine!$C$2:$C$1199,0)),"",INDEX('Compliance Database'!$K$2:$K$1199,MATCH(785,Engine!$C$2:$C$1199,0)))</f>
        <v/>
      </c>
      <c r="L798" s="7" t="str">
        <f>IF(ISNA(MATCH(785,Engine!$C$2:$C$1199,0)),"",INDEX('Compliance Database'!$L$2:$L$1199,MATCH(785,Engine!$C$2:$C$1199,0)))</f>
        <v/>
      </c>
      <c r="M798" s="7" t="str">
        <f>IF(ISNA(MATCH(785,Engine!$C$2:$C$1199,0)),"",INDEX('Compliance Database'!$M$2:$M$1199,MATCH(785,Engine!$C$2:$C$1199,0)))</f>
        <v/>
      </c>
      <c r="N798" s="7" t="str">
        <f>IF(ISNA(MATCH(785,Engine!$C$2:$C$1199,0)),"",INDEX('Compliance Database'!$N$2:$N$1199,MATCH(785,Engine!$C$2:$C$1199,0)))</f>
        <v/>
      </c>
      <c r="O798" s="7" t="str">
        <f>IF(ISNA(MATCH(785,Engine!$C$2:$C$1199,0)),"",INDEX('Compliance Database'!$O$2:$O$1199,MATCH(785,Engine!$C$2:$C$1199,0)))</f>
        <v/>
      </c>
      <c r="P798" s="6" t="str">
        <f>IF(ISNA(MATCH(785,Engine!$C$2:$C$1199,0)),"",HYPERLINK("#Acts!A"&amp;INDEX('Compliance Database'!$P$2:$P$1199,MATCH(785,Engine!$C$2:$C$1199,0)),"Go to Act"))</f>
        <v/>
      </c>
    </row>
    <row r="799" spans="1:16" ht="172.95" customHeight="1" x14ac:dyDescent="0.3">
      <c r="A799" s="6" t="str">
        <f>IF(ISNA(MATCH(786,Engine!$C$2:$C$1199,0)),"",INDEX('Compliance Database'!$A$2:$A$1199,MATCH(786,Engine!$C$2:$C$1199,0)))</f>
        <v/>
      </c>
      <c r="B799" s="6" t="str">
        <f>IF(ISNA(MATCH(786,Engine!$C$2:$C$1199,0)),"",INDEX('Compliance Database'!$B$2:$B$1199,MATCH(786,Engine!$C$2:$C$1199,0)))</f>
        <v/>
      </c>
      <c r="C799" s="6" t="str">
        <f>IF(ISNA(MATCH(786,Engine!$C$2:$C$1199,0)),"",INDEX('Compliance Database'!$C$2:$C$1199,MATCH(786,Engine!$C$2:$C$1199,0)))</f>
        <v/>
      </c>
      <c r="D799" s="7" t="str">
        <f>IF(ISNA(MATCH(786,Engine!$C$2:$C$1199,0)),"",INDEX('Compliance Database'!$D$2:$D$1199,MATCH(786,Engine!$C$2:$C$1199,0)))</f>
        <v/>
      </c>
      <c r="E799" s="6" t="str">
        <f>IF(ISNA(MATCH(786,Engine!$C$2:$C$1199,0)),"",INDEX('Compliance Database'!$E$2:$E$1199,MATCH(786,Engine!$C$2:$C$1199,0)))</f>
        <v/>
      </c>
      <c r="F799" s="6" t="str">
        <f>IF(ISNA(MATCH(786,Engine!$C$2:$C$1199,0)),"",INDEX('Compliance Database'!$F$2:$F$1199,MATCH(786,Engine!$C$2:$C$1199,0)))</f>
        <v/>
      </c>
      <c r="G799" s="6" t="str">
        <f>IF(ISNA(MATCH(786,Engine!$C$2:$C$1199,0)),"",INDEX('Compliance Database'!$G$2:$G$1199,MATCH(786,Engine!$C$2:$C$1199,0)))</f>
        <v/>
      </c>
      <c r="H799" s="7" t="str">
        <f>IF(ISNA(MATCH(786,Engine!$C$2:$C$1199,0)),"",INDEX('Compliance Database'!$H$2:$H$1199,MATCH(786,Engine!$C$2:$C$1199,0)))</f>
        <v/>
      </c>
      <c r="I799" s="7" t="str">
        <f>IF(ISNA(MATCH(786,Engine!$C$2:$C$1199,0)),"",INDEX('Compliance Database'!$I$2:$I$1199,MATCH(786,Engine!$C$2:$C$1199,0)))</f>
        <v/>
      </c>
      <c r="J799" s="6" t="str">
        <f>IF(ISNA(MATCH(786,Engine!$C$2:$C$1199,0)),"",INDEX('Compliance Database'!$J$2:$J$1199,MATCH(786,Engine!$C$2:$C$1199,0)))</f>
        <v/>
      </c>
      <c r="K799" s="7" t="str">
        <f>IF(ISNA(MATCH(786,Engine!$C$2:$C$1199,0)),"",INDEX('Compliance Database'!$K$2:$K$1199,MATCH(786,Engine!$C$2:$C$1199,0)))</f>
        <v/>
      </c>
      <c r="L799" s="7" t="str">
        <f>IF(ISNA(MATCH(786,Engine!$C$2:$C$1199,0)),"",INDEX('Compliance Database'!$L$2:$L$1199,MATCH(786,Engine!$C$2:$C$1199,0)))</f>
        <v/>
      </c>
      <c r="M799" s="7" t="str">
        <f>IF(ISNA(MATCH(786,Engine!$C$2:$C$1199,0)),"",INDEX('Compliance Database'!$M$2:$M$1199,MATCH(786,Engine!$C$2:$C$1199,0)))</f>
        <v/>
      </c>
      <c r="N799" s="7" t="str">
        <f>IF(ISNA(MATCH(786,Engine!$C$2:$C$1199,0)),"",INDEX('Compliance Database'!$N$2:$N$1199,MATCH(786,Engine!$C$2:$C$1199,0)))</f>
        <v/>
      </c>
      <c r="O799" s="7" t="str">
        <f>IF(ISNA(MATCH(786,Engine!$C$2:$C$1199,0)),"",INDEX('Compliance Database'!$O$2:$O$1199,MATCH(786,Engine!$C$2:$C$1199,0)))</f>
        <v/>
      </c>
      <c r="P799" s="6" t="str">
        <f>IF(ISNA(MATCH(786,Engine!$C$2:$C$1199,0)),"",HYPERLINK("#Acts!A"&amp;INDEX('Compliance Database'!$P$2:$P$1199,MATCH(786,Engine!$C$2:$C$1199,0)),"Go to Act"))</f>
        <v/>
      </c>
    </row>
    <row r="800" spans="1:16" ht="172.95" customHeight="1" x14ac:dyDescent="0.3">
      <c r="A800" s="6" t="str">
        <f>IF(ISNA(MATCH(787,Engine!$C$2:$C$1199,0)),"",INDEX('Compliance Database'!$A$2:$A$1199,MATCH(787,Engine!$C$2:$C$1199,0)))</f>
        <v/>
      </c>
      <c r="B800" s="6" t="str">
        <f>IF(ISNA(MATCH(787,Engine!$C$2:$C$1199,0)),"",INDEX('Compliance Database'!$B$2:$B$1199,MATCH(787,Engine!$C$2:$C$1199,0)))</f>
        <v/>
      </c>
      <c r="C800" s="6" t="str">
        <f>IF(ISNA(MATCH(787,Engine!$C$2:$C$1199,0)),"",INDEX('Compliance Database'!$C$2:$C$1199,MATCH(787,Engine!$C$2:$C$1199,0)))</f>
        <v/>
      </c>
      <c r="D800" s="7" t="str">
        <f>IF(ISNA(MATCH(787,Engine!$C$2:$C$1199,0)),"",INDEX('Compliance Database'!$D$2:$D$1199,MATCH(787,Engine!$C$2:$C$1199,0)))</f>
        <v/>
      </c>
      <c r="E800" s="6" t="str">
        <f>IF(ISNA(MATCH(787,Engine!$C$2:$C$1199,0)),"",INDEX('Compliance Database'!$E$2:$E$1199,MATCH(787,Engine!$C$2:$C$1199,0)))</f>
        <v/>
      </c>
      <c r="F800" s="6" t="str">
        <f>IF(ISNA(MATCH(787,Engine!$C$2:$C$1199,0)),"",INDEX('Compliance Database'!$F$2:$F$1199,MATCH(787,Engine!$C$2:$C$1199,0)))</f>
        <v/>
      </c>
      <c r="G800" s="6" t="str">
        <f>IF(ISNA(MATCH(787,Engine!$C$2:$C$1199,0)),"",INDEX('Compliance Database'!$G$2:$G$1199,MATCH(787,Engine!$C$2:$C$1199,0)))</f>
        <v/>
      </c>
      <c r="H800" s="7" t="str">
        <f>IF(ISNA(MATCH(787,Engine!$C$2:$C$1199,0)),"",INDEX('Compliance Database'!$H$2:$H$1199,MATCH(787,Engine!$C$2:$C$1199,0)))</f>
        <v/>
      </c>
      <c r="I800" s="7" t="str">
        <f>IF(ISNA(MATCH(787,Engine!$C$2:$C$1199,0)),"",INDEX('Compliance Database'!$I$2:$I$1199,MATCH(787,Engine!$C$2:$C$1199,0)))</f>
        <v/>
      </c>
      <c r="J800" s="6" t="str">
        <f>IF(ISNA(MATCH(787,Engine!$C$2:$C$1199,0)),"",INDEX('Compliance Database'!$J$2:$J$1199,MATCH(787,Engine!$C$2:$C$1199,0)))</f>
        <v/>
      </c>
      <c r="K800" s="7" t="str">
        <f>IF(ISNA(MATCH(787,Engine!$C$2:$C$1199,0)),"",INDEX('Compliance Database'!$K$2:$K$1199,MATCH(787,Engine!$C$2:$C$1199,0)))</f>
        <v/>
      </c>
      <c r="L800" s="7" t="str">
        <f>IF(ISNA(MATCH(787,Engine!$C$2:$C$1199,0)),"",INDEX('Compliance Database'!$L$2:$L$1199,MATCH(787,Engine!$C$2:$C$1199,0)))</f>
        <v/>
      </c>
      <c r="M800" s="7" t="str">
        <f>IF(ISNA(MATCH(787,Engine!$C$2:$C$1199,0)),"",INDEX('Compliance Database'!$M$2:$M$1199,MATCH(787,Engine!$C$2:$C$1199,0)))</f>
        <v/>
      </c>
      <c r="N800" s="7" t="str">
        <f>IF(ISNA(MATCH(787,Engine!$C$2:$C$1199,0)),"",INDEX('Compliance Database'!$N$2:$N$1199,MATCH(787,Engine!$C$2:$C$1199,0)))</f>
        <v/>
      </c>
      <c r="O800" s="7" t="str">
        <f>IF(ISNA(MATCH(787,Engine!$C$2:$C$1199,0)),"",INDEX('Compliance Database'!$O$2:$O$1199,MATCH(787,Engine!$C$2:$C$1199,0)))</f>
        <v/>
      </c>
      <c r="P800" s="6" t="str">
        <f>IF(ISNA(MATCH(787,Engine!$C$2:$C$1199,0)),"",HYPERLINK("#Acts!A"&amp;INDEX('Compliance Database'!$P$2:$P$1199,MATCH(787,Engine!$C$2:$C$1199,0)),"Go to Act"))</f>
        <v/>
      </c>
    </row>
    <row r="801" spans="1:16" ht="172.95" customHeight="1" x14ac:dyDescent="0.3">
      <c r="A801" s="6" t="str">
        <f>IF(ISNA(MATCH(788,Engine!$C$2:$C$1199,0)),"",INDEX('Compliance Database'!$A$2:$A$1199,MATCH(788,Engine!$C$2:$C$1199,0)))</f>
        <v/>
      </c>
      <c r="B801" s="6" t="str">
        <f>IF(ISNA(MATCH(788,Engine!$C$2:$C$1199,0)),"",INDEX('Compliance Database'!$B$2:$B$1199,MATCH(788,Engine!$C$2:$C$1199,0)))</f>
        <v/>
      </c>
      <c r="C801" s="6" t="str">
        <f>IF(ISNA(MATCH(788,Engine!$C$2:$C$1199,0)),"",INDEX('Compliance Database'!$C$2:$C$1199,MATCH(788,Engine!$C$2:$C$1199,0)))</f>
        <v/>
      </c>
      <c r="D801" s="7" t="str">
        <f>IF(ISNA(MATCH(788,Engine!$C$2:$C$1199,0)),"",INDEX('Compliance Database'!$D$2:$D$1199,MATCH(788,Engine!$C$2:$C$1199,0)))</f>
        <v/>
      </c>
      <c r="E801" s="6" t="str">
        <f>IF(ISNA(MATCH(788,Engine!$C$2:$C$1199,0)),"",INDEX('Compliance Database'!$E$2:$E$1199,MATCH(788,Engine!$C$2:$C$1199,0)))</f>
        <v/>
      </c>
      <c r="F801" s="6" t="str">
        <f>IF(ISNA(MATCH(788,Engine!$C$2:$C$1199,0)),"",INDEX('Compliance Database'!$F$2:$F$1199,MATCH(788,Engine!$C$2:$C$1199,0)))</f>
        <v/>
      </c>
      <c r="G801" s="6" t="str">
        <f>IF(ISNA(MATCH(788,Engine!$C$2:$C$1199,0)),"",INDEX('Compliance Database'!$G$2:$G$1199,MATCH(788,Engine!$C$2:$C$1199,0)))</f>
        <v/>
      </c>
      <c r="H801" s="7" t="str">
        <f>IF(ISNA(MATCH(788,Engine!$C$2:$C$1199,0)),"",INDEX('Compliance Database'!$H$2:$H$1199,MATCH(788,Engine!$C$2:$C$1199,0)))</f>
        <v/>
      </c>
      <c r="I801" s="7" t="str">
        <f>IF(ISNA(MATCH(788,Engine!$C$2:$C$1199,0)),"",INDEX('Compliance Database'!$I$2:$I$1199,MATCH(788,Engine!$C$2:$C$1199,0)))</f>
        <v/>
      </c>
      <c r="J801" s="6" t="str">
        <f>IF(ISNA(MATCH(788,Engine!$C$2:$C$1199,0)),"",INDEX('Compliance Database'!$J$2:$J$1199,MATCH(788,Engine!$C$2:$C$1199,0)))</f>
        <v/>
      </c>
      <c r="K801" s="7" t="str">
        <f>IF(ISNA(MATCH(788,Engine!$C$2:$C$1199,0)),"",INDEX('Compliance Database'!$K$2:$K$1199,MATCH(788,Engine!$C$2:$C$1199,0)))</f>
        <v/>
      </c>
      <c r="L801" s="7" t="str">
        <f>IF(ISNA(MATCH(788,Engine!$C$2:$C$1199,0)),"",INDEX('Compliance Database'!$L$2:$L$1199,MATCH(788,Engine!$C$2:$C$1199,0)))</f>
        <v/>
      </c>
      <c r="M801" s="7" t="str">
        <f>IF(ISNA(MATCH(788,Engine!$C$2:$C$1199,0)),"",INDEX('Compliance Database'!$M$2:$M$1199,MATCH(788,Engine!$C$2:$C$1199,0)))</f>
        <v/>
      </c>
      <c r="N801" s="7" t="str">
        <f>IF(ISNA(MATCH(788,Engine!$C$2:$C$1199,0)),"",INDEX('Compliance Database'!$N$2:$N$1199,MATCH(788,Engine!$C$2:$C$1199,0)))</f>
        <v/>
      </c>
      <c r="O801" s="7" t="str">
        <f>IF(ISNA(MATCH(788,Engine!$C$2:$C$1199,0)),"",INDEX('Compliance Database'!$O$2:$O$1199,MATCH(788,Engine!$C$2:$C$1199,0)))</f>
        <v/>
      </c>
      <c r="P801" s="6" t="str">
        <f>IF(ISNA(MATCH(788,Engine!$C$2:$C$1199,0)),"",HYPERLINK("#Acts!A"&amp;INDEX('Compliance Database'!$P$2:$P$1199,MATCH(788,Engine!$C$2:$C$1199,0)),"Go to Act"))</f>
        <v/>
      </c>
    </row>
    <row r="802" spans="1:16" ht="172.95" customHeight="1" x14ac:dyDescent="0.3">
      <c r="A802" s="6" t="str">
        <f>IF(ISNA(MATCH(789,Engine!$C$2:$C$1199,0)),"",INDEX('Compliance Database'!$A$2:$A$1199,MATCH(789,Engine!$C$2:$C$1199,0)))</f>
        <v/>
      </c>
      <c r="B802" s="6" t="str">
        <f>IF(ISNA(MATCH(789,Engine!$C$2:$C$1199,0)),"",INDEX('Compliance Database'!$B$2:$B$1199,MATCH(789,Engine!$C$2:$C$1199,0)))</f>
        <v/>
      </c>
      <c r="C802" s="6" t="str">
        <f>IF(ISNA(MATCH(789,Engine!$C$2:$C$1199,0)),"",INDEX('Compliance Database'!$C$2:$C$1199,MATCH(789,Engine!$C$2:$C$1199,0)))</f>
        <v/>
      </c>
      <c r="D802" s="7" t="str">
        <f>IF(ISNA(MATCH(789,Engine!$C$2:$C$1199,0)),"",INDEX('Compliance Database'!$D$2:$D$1199,MATCH(789,Engine!$C$2:$C$1199,0)))</f>
        <v/>
      </c>
      <c r="E802" s="6" t="str">
        <f>IF(ISNA(MATCH(789,Engine!$C$2:$C$1199,0)),"",INDEX('Compliance Database'!$E$2:$E$1199,MATCH(789,Engine!$C$2:$C$1199,0)))</f>
        <v/>
      </c>
      <c r="F802" s="6" t="str">
        <f>IF(ISNA(MATCH(789,Engine!$C$2:$C$1199,0)),"",INDEX('Compliance Database'!$F$2:$F$1199,MATCH(789,Engine!$C$2:$C$1199,0)))</f>
        <v/>
      </c>
      <c r="G802" s="6" t="str">
        <f>IF(ISNA(MATCH(789,Engine!$C$2:$C$1199,0)),"",INDEX('Compliance Database'!$G$2:$G$1199,MATCH(789,Engine!$C$2:$C$1199,0)))</f>
        <v/>
      </c>
      <c r="H802" s="7" t="str">
        <f>IF(ISNA(MATCH(789,Engine!$C$2:$C$1199,0)),"",INDEX('Compliance Database'!$H$2:$H$1199,MATCH(789,Engine!$C$2:$C$1199,0)))</f>
        <v/>
      </c>
      <c r="I802" s="7" t="str">
        <f>IF(ISNA(MATCH(789,Engine!$C$2:$C$1199,0)),"",INDEX('Compliance Database'!$I$2:$I$1199,MATCH(789,Engine!$C$2:$C$1199,0)))</f>
        <v/>
      </c>
      <c r="J802" s="6" t="str">
        <f>IF(ISNA(MATCH(789,Engine!$C$2:$C$1199,0)),"",INDEX('Compliance Database'!$J$2:$J$1199,MATCH(789,Engine!$C$2:$C$1199,0)))</f>
        <v/>
      </c>
      <c r="K802" s="7" t="str">
        <f>IF(ISNA(MATCH(789,Engine!$C$2:$C$1199,0)),"",INDEX('Compliance Database'!$K$2:$K$1199,MATCH(789,Engine!$C$2:$C$1199,0)))</f>
        <v/>
      </c>
      <c r="L802" s="7" t="str">
        <f>IF(ISNA(MATCH(789,Engine!$C$2:$C$1199,0)),"",INDEX('Compliance Database'!$L$2:$L$1199,MATCH(789,Engine!$C$2:$C$1199,0)))</f>
        <v/>
      </c>
      <c r="M802" s="7" t="str">
        <f>IF(ISNA(MATCH(789,Engine!$C$2:$C$1199,0)),"",INDEX('Compliance Database'!$M$2:$M$1199,MATCH(789,Engine!$C$2:$C$1199,0)))</f>
        <v/>
      </c>
      <c r="N802" s="7" t="str">
        <f>IF(ISNA(MATCH(789,Engine!$C$2:$C$1199,0)),"",INDEX('Compliance Database'!$N$2:$N$1199,MATCH(789,Engine!$C$2:$C$1199,0)))</f>
        <v/>
      </c>
      <c r="O802" s="7" t="str">
        <f>IF(ISNA(MATCH(789,Engine!$C$2:$C$1199,0)),"",INDEX('Compliance Database'!$O$2:$O$1199,MATCH(789,Engine!$C$2:$C$1199,0)))</f>
        <v/>
      </c>
      <c r="P802" s="6" t="str">
        <f>IF(ISNA(MATCH(789,Engine!$C$2:$C$1199,0)),"",HYPERLINK("#Acts!A"&amp;INDEX('Compliance Database'!$P$2:$P$1199,MATCH(789,Engine!$C$2:$C$1199,0)),"Go to Act"))</f>
        <v/>
      </c>
    </row>
    <row r="803" spans="1:16" ht="172.95" customHeight="1" x14ac:dyDescent="0.3">
      <c r="A803" s="6" t="str">
        <f>IF(ISNA(MATCH(790,Engine!$C$2:$C$1199,0)),"",INDEX('Compliance Database'!$A$2:$A$1199,MATCH(790,Engine!$C$2:$C$1199,0)))</f>
        <v/>
      </c>
      <c r="B803" s="6" t="str">
        <f>IF(ISNA(MATCH(790,Engine!$C$2:$C$1199,0)),"",INDEX('Compliance Database'!$B$2:$B$1199,MATCH(790,Engine!$C$2:$C$1199,0)))</f>
        <v/>
      </c>
      <c r="C803" s="6" t="str">
        <f>IF(ISNA(MATCH(790,Engine!$C$2:$C$1199,0)),"",INDEX('Compliance Database'!$C$2:$C$1199,MATCH(790,Engine!$C$2:$C$1199,0)))</f>
        <v/>
      </c>
      <c r="D803" s="7" t="str">
        <f>IF(ISNA(MATCH(790,Engine!$C$2:$C$1199,0)),"",INDEX('Compliance Database'!$D$2:$D$1199,MATCH(790,Engine!$C$2:$C$1199,0)))</f>
        <v/>
      </c>
      <c r="E803" s="6" t="str">
        <f>IF(ISNA(MATCH(790,Engine!$C$2:$C$1199,0)),"",INDEX('Compliance Database'!$E$2:$E$1199,MATCH(790,Engine!$C$2:$C$1199,0)))</f>
        <v/>
      </c>
      <c r="F803" s="6" t="str">
        <f>IF(ISNA(MATCH(790,Engine!$C$2:$C$1199,0)),"",INDEX('Compliance Database'!$F$2:$F$1199,MATCH(790,Engine!$C$2:$C$1199,0)))</f>
        <v/>
      </c>
      <c r="G803" s="6" t="str">
        <f>IF(ISNA(MATCH(790,Engine!$C$2:$C$1199,0)),"",INDEX('Compliance Database'!$G$2:$G$1199,MATCH(790,Engine!$C$2:$C$1199,0)))</f>
        <v/>
      </c>
      <c r="H803" s="7" t="str">
        <f>IF(ISNA(MATCH(790,Engine!$C$2:$C$1199,0)),"",INDEX('Compliance Database'!$H$2:$H$1199,MATCH(790,Engine!$C$2:$C$1199,0)))</f>
        <v/>
      </c>
      <c r="I803" s="7" t="str">
        <f>IF(ISNA(MATCH(790,Engine!$C$2:$C$1199,0)),"",INDEX('Compliance Database'!$I$2:$I$1199,MATCH(790,Engine!$C$2:$C$1199,0)))</f>
        <v/>
      </c>
      <c r="J803" s="6" t="str">
        <f>IF(ISNA(MATCH(790,Engine!$C$2:$C$1199,0)),"",INDEX('Compliance Database'!$J$2:$J$1199,MATCH(790,Engine!$C$2:$C$1199,0)))</f>
        <v/>
      </c>
      <c r="K803" s="7" t="str">
        <f>IF(ISNA(MATCH(790,Engine!$C$2:$C$1199,0)),"",INDEX('Compliance Database'!$K$2:$K$1199,MATCH(790,Engine!$C$2:$C$1199,0)))</f>
        <v/>
      </c>
      <c r="L803" s="7" t="str">
        <f>IF(ISNA(MATCH(790,Engine!$C$2:$C$1199,0)),"",INDEX('Compliance Database'!$L$2:$L$1199,MATCH(790,Engine!$C$2:$C$1199,0)))</f>
        <v/>
      </c>
      <c r="M803" s="7" t="str">
        <f>IF(ISNA(MATCH(790,Engine!$C$2:$C$1199,0)),"",INDEX('Compliance Database'!$M$2:$M$1199,MATCH(790,Engine!$C$2:$C$1199,0)))</f>
        <v/>
      </c>
      <c r="N803" s="7" t="str">
        <f>IF(ISNA(MATCH(790,Engine!$C$2:$C$1199,0)),"",INDEX('Compliance Database'!$N$2:$N$1199,MATCH(790,Engine!$C$2:$C$1199,0)))</f>
        <v/>
      </c>
      <c r="O803" s="7" t="str">
        <f>IF(ISNA(MATCH(790,Engine!$C$2:$C$1199,0)),"",INDEX('Compliance Database'!$O$2:$O$1199,MATCH(790,Engine!$C$2:$C$1199,0)))</f>
        <v/>
      </c>
      <c r="P803" s="6" t="str">
        <f>IF(ISNA(MATCH(790,Engine!$C$2:$C$1199,0)),"",HYPERLINK("#Acts!A"&amp;INDEX('Compliance Database'!$P$2:$P$1199,MATCH(790,Engine!$C$2:$C$1199,0)),"Go to Act"))</f>
        <v/>
      </c>
    </row>
    <row r="804" spans="1:16" ht="172.95" customHeight="1" x14ac:dyDescent="0.3">
      <c r="A804" s="6" t="str">
        <f>IF(ISNA(MATCH(791,Engine!$C$2:$C$1199,0)),"",INDEX('Compliance Database'!$A$2:$A$1199,MATCH(791,Engine!$C$2:$C$1199,0)))</f>
        <v/>
      </c>
      <c r="B804" s="6" t="str">
        <f>IF(ISNA(MATCH(791,Engine!$C$2:$C$1199,0)),"",INDEX('Compliance Database'!$B$2:$B$1199,MATCH(791,Engine!$C$2:$C$1199,0)))</f>
        <v/>
      </c>
      <c r="C804" s="6" t="str">
        <f>IF(ISNA(MATCH(791,Engine!$C$2:$C$1199,0)),"",INDEX('Compliance Database'!$C$2:$C$1199,MATCH(791,Engine!$C$2:$C$1199,0)))</f>
        <v/>
      </c>
      <c r="D804" s="7" t="str">
        <f>IF(ISNA(MATCH(791,Engine!$C$2:$C$1199,0)),"",INDEX('Compliance Database'!$D$2:$D$1199,MATCH(791,Engine!$C$2:$C$1199,0)))</f>
        <v/>
      </c>
      <c r="E804" s="6" t="str">
        <f>IF(ISNA(MATCH(791,Engine!$C$2:$C$1199,0)),"",INDEX('Compliance Database'!$E$2:$E$1199,MATCH(791,Engine!$C$2:$C$1199,0)))</f>
        <v/>
      </c>
      <c r="F804" s="6" t="str">
        <f>IF(ISNA(MATCH(791,Engine!$C$2:$C$1199,0)),"",INDEX('Compliance Database'!$F$2:$F$1199,MATCH(791,Engine!$C$2:$C$1199,0)))</f>
        <v/>
      </c>
      <c r="G804" s="6" t="str">
        <f>IF(ISNA(MATCH(791,Engine!$C$2:$C$1199,0)),"",INDEX('Compliance Database'!$G$2:$G$1199,MATCH(791,Engine!$C$2:$C$1199,0)))</f>
        <v/>
      </c>
      <c r="H804" s="7" t="str">
        <f>IF(ISNA(MATCH(791,Engine!$C$2:$C$1199,0)),"",INDEX('Compliance Database'!$H$2:$H$1199,MATCH(791,Engine!$C$2:$C$1199,0)))</f>
        <v/>
      </c>
      <c r="I804" s="7" t="str">
        <f>IF(ISNA(MATCH(791,Engine!$C$2:$C$1199,0)),"",INDEX('Compliance Database'!$I$2:$I$1199,MATCH(791,Engine!$C$2:$C$1199,0)))</f>
        <v/>
      </c>
      <c r="J804" s="6" t="str">
        <f>IF(ISNA(MATCH(791,Engine!$C$2:$C$1199,0)),"",INDEX('Compliance Database'!$J$2:$J$1199,MATCH(791,Engine!$C$2:$C$1199,0)))</f>
        <v/>
      </c>
      <c r="K804" s="7" t="str">
        <f>IF(ISNA(MATCH(791,Engine!$C$2:$C$1199,0)),"",INDEX('Compliance Database'!$K$2:$K$1199,MATCH(791,Engine!$C$2:$C$1199,0)))</f>
        <v/>
      </c>
      <c r="L804" s="7" t="str">
        <f>IF(ISNA(MATCH(791,Engine!$C$2:$C$1199,0)),"",INDEX('Compliance Database'!$L$2:$L$1199,MATCH(791,Engine!$C$2:$C$1199,0)))</f>
        <v/>
      </c>
      <c r="M804" s="7" t="str">
        <f>IF(ISNA(MATCH(791,Engine!$C$2:$C$1199,0)),"",INDEX('Compliance Database'!$M$2:$M$1199,MATCH(791,Engine!$C$2:$C$1199,0)))</f>
        <v/>
      </c>
      <c r="N804" s="7" t="str">
        <f>IF(ISNA(MATCH(791,Engine!$C$2:$C$1199,0)),"",INDEX('Compliance Database'!$N$2:$N$1199,MATCH(791,Engine!$C$2:$C$1199,0)))</f>
        <v/>
      </c>
      <c r="O804" s="7" t="str">
        <f>IF(ISNA(MATCH(791,Engine!$C$2:$C$1199,0)),"",INDEX('Compliance Database'!$O$2:$O$1199,MATCH(791,Engine!$C$2:$C$1199,0)))</f>
        <v/>
      </c>
      <c r="P804" s="6" t="str">
        <f>IF(ISNA(MATCH(791,Engine!$C$2:$C$1199,0)),"",HYPERLINK("#Acts!A"&amp;INDEX('Compliance Database'!$P$2:$P$1199,MATCH(791,Engine!$C$2:$C$1199,0)),"Go to Act"))</f>
        <v/>
      </c>
    </row>
    <row r="805" spans="1:16" ht="172.95" customHeight="1" x14ac:dyDescent="0.3">
      <c r="A805" s="6" t="str">
        <f>IF(ISNA(MATCH(792,Engine!$C$2:$C$1199,0)),"",INDEX('Compliance Database'!$A$2:$A$1199,MATCH(792,Engine!$C$2:$C$1199,0)))</f>
        <v/>
      </c>
      <c r="B805" s="6" t="str">
        <f>IF(ISNA(MATCH(792,Engine!$C$2:$C$1199,0)),"",INDEX('Compliance Database'!$B$2:$B$1199,MATCH(792,Engine!$C$2:$C$1199,0)))</f>
        <v/>
      </c>
      <c r="C805" s="6" t="str">
        <f>IF(ISNA(MATCH(792,Engine!$C$2:$C$1199,0)),"",INDEX('Compliance Database'!$C$2:$C$1199,MATCH(792,Engine!$C$2:$C$1199,0)))</f>
        <v/>
      </c>
      <c r="D805" s="7" t="str">
        <f>IF(ISNA(MATCH(792,Engine!$C$2:$C$1199,0)),"",INDEX('Compliance Database'!$D$2:$D$1199,MATCH(792,Engine!$C$2:$C$1199,0)))</f>
        <v/>
      </c>
      <c r="E805" s="6" t="str">
        <f>IF(ISNA(MATCH(792,Engine!$C$2:$C$1199,0)),"",INDEX('Compliance Database'!$E$2:$E$1199,MATCH(792,Engine!$C$2:$C$1199,0)))</f>
        <v/>
      </c>
      <c r="F805" s="6" t="str">
        <f>IF(ISNA(MATCH(792,Engine!$C$2:$C$1199,0)),"",INDEX('Compliance Database'!$F$2:$F$1199,MATCH(792,Engine!$C$2:$C$1199,0)))</f>
        <v/>
      </c>
      <c r="G805" s="6" t="str">
        <f>IF(ISNA(MATCH(792,Engine!$C$2:$C$1199,0)),"",INDEX('Compliance Database'!$G$2:$G$1199,MATCH(792,Engine!$C$2:$C$1199,0)))</f>
        <v/>
      </c>
      <c r="H805" s="7" t="str">
        <f>IF(ISNA(MATCH(792,Engine!$C$2:$C$1199,0)),"",INDEX('Compliance Database'!$H$2:$H$1199,MATCH(792,Engine!$C$2:$C$1199,0)))</f>
        <v/>
      </c>
      <c r="I805" s="7" t="str">
        <f>IF(ISNA(MATCH(792,Engine!$C$2:$C$1199,0)),"",INDEX('Compliance Database'!$I$2:$I$1199,MATCH(792,Engine!$C$2:$C$1199,0)))</f>
        <v/>
      </c>
      <c r="J805" s="6" t="str">
        <f>IF(ISNA(MATCH(792,Engine!$C$2:$C$1199,0)),"",INDEX('Compliance Database'!$J$2:$J$1199,MATCH(792,Engine!$C$2:$C$1199,0)))</f>
        <v/>
      </c>
      <c r="K805" s="7" t="str">
        <f>IF(ISNA(MATCH(792,Engine!$C$2:$C$1199,0)),"",INDEX('Compliance Database'!$K$2:$K$1199,MATCH(792,Engine!$C$2:$C$1199,0)))</f>
        <v/>
      </c>
      <c r="L805" s="7" t="str">
        <f>IF(ISNA(MATCH(792,Engine!$C$2:$C$1199,0)),"",INDEX('Compliance Database'!$L$2:$L$1199,MATCH(792,Engine!$C$2:$C$1199,0)))</f>
        <v/>
      </c>
      <c r="M805" s="7" t="str">
        <f>IF(ISNA(MATCH(792,Engine!$C$2:$C$1199,0)),"",INDEX('Compliance Database'!$M$2:$M$1199,MATCH(792,Engine!$C$2:$C$1199,0)))</f>
        <v/>
      </c>
      <c r="N805" s="7" t="str">
        <f>IF(ISNA(MATCH(792,Engine!$C$2:$C$1199,0)),"",INDEX('Compliance Database'!$N$2:$N$1199,MATCH(792,Engine!$C$2:$C$1199,0)))</f>
        <v/>
      </c>
      <c r="O805" s="7" t="str">
        <f>IF(ISNA(MATCH(792,Engine!$C$2:$C$1199,0)),"",INDEX('Compliance Database'!$O$2:$O$1199,MATCH(792,Engine!$C$2:$C$1199,0)))</f>
        <v/>
      </c>
      <c r="P805" s="6" t="str">
        <f>IF(ISNA(MATCH(792,Engine!$C$2:$C$1199,0)),"",HYPERLINK("#Acts!A"&amp;INDEX('Compliance Database'!$P$2:$P$1199,MATCH(792,Engine!$C$2:$C$1199,0)),"Go to Act"))</f>
        <v/>
      </c>
    </row>
    <row r="806" spans="1:16" ht="172.95" customHeight="1" x14ac:dyDescent="0.3">
      <c r="A806" s="6" t="str">
        <f>IF(ISNA(MATCH(793,Engine!$C$2:$C$1199,0)),"",INDEX('Compliance Database'!$A$2:$A$1199,MATCH(793,Engine!$C$2:$C$1199,0)))</f>
        <v/>
      </c>
      <c r="B806" s="6" t="str">
        <f>IF(ISNA(MATCH(793,Engine!$C$2:$C$1199,0)),"",INDEX('Compliance Database'!$B$2:$B$1199,MATCH(793,Engine!$C$2:$C$1199,0)))</f>
        <v/>
      </c>
      <c r="C806" s="6" t="str">
        <f>IF(ISNA(MATCH(793,Engine!$C$2:$C$1199,0)),"",INDEX('Compliance Database'!$C$2:$C$1199,MATCH(793,Engine!$C$2:$C$1199,0)))</f>
        <v/>
      </c>
      <c r="D806" s="7" t="str">
        <f>IF(ISNA(MATCH(793,Engine!$C$2:$C$1199,0)),"",INDEX('Compliance Database'!$D$2:$D$1199,MATCH(793,Engine!$C$2:$C$1199,0)))</f>
        <v/>
      </c>
      <c r="E806" s="6" t="str">
        <f>IF(ISNA(MATCH(793,Engine!$C$2:$C$1199,0)),"",INDEX('Compliance Database'!$E$2:$E$1199,MATCH(793,Engine!$C$2:$C$1199,0)))</f>
        <v/>
      </c>
      <c r="F806" s="6" t="str">
        <f>IF(ISNA(MATCH(793,Engine!$C$2:$C$1199,0)),"",INDEX('Compliance Database'!$F$2:$F$1199,MATCH(793,Engine!$C$2:$C$1199,0)))</f>
        <v/>
      </c>
      <c r="G806" s="6" t="str">
        <f>IF(ISNA(MATCH(793,Engine!$C$2:$C$1199,0)),"",INDEX('Compliance Database'!$G$2:$G$1199,MATCH(793,Engine!$C$2:$C$1199,0)))</f>
        <v/>
      </c>
      <c r="H806" s="7" t="str">
        <f>IF(ISNA(MATCH(793,Engine!$C$2:$C$1199,0)),"",INDEX('Compliance Database'!$H$2:$H$1199,MATCH(793,Engine!$C$2:$C$1199,0)))</f>
        <v/>
      </c>
      <c r="I806" s="7" t="str">
        <f>IF(ISNA(MATCH(793,Engine!$C$2:$C$1199,0)),"",INDEX('Compliance Database'!$I$2:$I$1199,MATCH(793,Engine!$C$2:$C$1199,0)))</f>
        <v/>
      </c>
      <c r="J806" s="6" t="str">
        <f>IF(ISNA(MATCH(793,Engine!$C$2:$C$1199,0)),"",INDEX('Compliance Database'!$J$2:$J$1199,MATCH(793,Engine!$C$2:$C$1199,0)))</f>
        <v/>
      </c>
      <c r="K806" s="7" t="str">
        <f>IF(ISNA(MATCH(793,Engine!$C$2:$C$1199,0)),"",INDEX('Compliance Database'!$K$2:$K$1199,MATCH(793,Engine!$C$2:$C$1199,0)))</f>
        <v/>
      </c>
      <c r="L806" s="7" t="str">
        <f>IF(ISNA(MATCH(793,Engine!$C$2:$C$1199,0)),"",INDEX('Compliance Database'!$L$2:$L$1199,MATCH(793,Engine!$C$2:$C$1199,0)))</f>
        <v/>
      </c>
      <c r="M806" s="7" t="str">
        <f>IF(ISNA(MATCH(793,Engine!$C$2:$C$1199,0)),"",INDEX('Compliance Database'!$M$2:$M$1199,MATCH(793,Engine!$C$2:$C$1199,0)))</f>
        <v/>
      </c>
      <c r="N806" s="7" t="str">
        <f>IF(ISNA(MATCH(793,Engine!$C$2:$C$1199,0)),"",INDEX('Compliance Database'!$N$2:$N$1199,MATCH(793,Engine!$C$2:$C$1199,0)))</f>
        <v/>
      </c>
      <c r="O806" s="7" t="str">
        <f>IF(ISNA(MATCH(793,Engine!$C$2:$C$1199,0)),"",INDEX('Compliance Database'!$O$2:$O$1199,MATCH(793,Engine!$C$2:$C$1199,0)))</f>
        <v/>
      </c>
      <c r="P806" s="6" t="str">
        <f>IF(ISNA(MATCH(793,Engine!$C$2:$C$1199,0)),"",HYPERLINK("#Acts!A"&amp;INDEX('Compliance Database'!$P$2:$P$1199,MATCH(793,Engine!$C$2:$C$1199,0)),"Go to Act"))</f>
        <v/>
      </c>
    </row>
    <row r="807" spans="1:16" ht="172.95" customHeight="1" x14ac:dyDescent="0.3">
      <c r="A807" s="6" t="str">
        <f>IF(ISNA(MATCH(794,Engine!$C$2:$C$1199,0)),"",INDEX('Compliance Database'!$A$2:$A$1199,MATCH(794,Engine!$C$2:$C$1199,0)))</f>
        <v/>
      </c>
      <c r="B807" s="6" t="str">
        <f>IF(ISNA(MATCH(794,Engine!$C$2:$C$1199,0)),"",INDEX('Compliance Database'!$B$2:$B$1199,MATCH(794,Engine!$C$2:$C$1199,0)))</f>
        <v/>
      </c>
      <c r="C807" s="6" t="str">
        <f>IF(ISNA(MATCH(794,Engine!$C$2:$C$1199,0)),"",INDEX('Compliance Database'!$C$2:$C$1199,MATCH(794,Engine!$C$2:$C$1199,0)))</f>
        <v/>
      </c>
      <c r="D807" s="7" t="str">
        <f>IF(ISNA(MATCH(794,Engine!$C$2:$C$1199,0)),"",INDEX('Compliance Database'!$D$2:$D$1199,MATCH(794,Engine!$C$2:$C$1199,0)))</f>
        <v/>
      </c>
      <c r="E807" s="6" t="str">
        <f>IF(ISNA(MATCH(794,Engine!$C$2:$C$1199,0)),"",INDEX('Compliance Database'!$E$2:$E$1199,MATCH(794,Engine!$C$2:$C$1199,0)))</f>
        <v/>
      </c>
      <c r="F807" s="6" t="str">
        <f>IF(ISNA(MATCH(794,Engine!$C$2:$C$1199,0)),"",INDEX('Compliance Database'!$F$2:$F$1199,MATCH(794,Engine!$C$2:$C$1199,0)))</f>
        <v/>
      </c>
      <c r="G807" s="6" t="str">
        <f>IF(ISNA(MATCH(794,Engine!$C$2:$C$1199,0)),"",INDEX('Compliance Database'!$G$2:$G$1199,MATCH(794,Engine!$C$2:$C$1199,0)))</f>
        <v/>
      </c>
      <c r="H807" s="7" t="str">
        <f>IF(ISNA(MATCH(794,Engine!$C$2:$C$1199,0)),"",INDEX('Compliance Database'!$H$2:$H$1199,MATCH(794,Engine!$C$2:$C$1199,0)))</f>
        <v/>
      </c>
      <c r="I807" s="7" t="str">
        <f>IF(ISNA(MATCH(794,Engine!$C$2:$C$1199,0)),"",INDEX('Compliance Database'!$I$2:$I$1199,MATCH(794,Engine!$C$2:$C$1199,0)))</f>
        <v/>
      </c>
      <c r="J807" s="6" t="str">
        <f>IF(ISNA(MATCH(794,Engine!$C$2:$C$1199,0)),"",INDEX('Compliance Database'!$J$2:$J$1199,MATCH(794,Engine!$C$2:$C$1199,0)))</f>
        <v/>
      </c>
      <c r="K807" s="7" t="str">
        <f>IF(ISNA(MATCH(794,Engine!$C$2:$C$1199,0)),"",INDEX('Compliance Database'!$K$2:$K$1199,MATCH(794,Engine!$C$2:$C$1199,0)))</f>
        <v/>
      </c>
      <c r="L807" s="7" t="str">
        <f>IF(ISNA(MATCH(794,Engine!$C$2:$C$1199,0)),"",INDEX('Compliance Database'!$L$2:$L$1199,MATCH(794,Engine!$C$2:$C$1199,0)))</f>
        <v/>
      </c>
      <c r="M807" s="7" t="str">
        <f>IF(ISNA(MATCH(794,Engine!$C$2:$C$1199,0)),"",INDEX('Compliance Database'!$M$2:$M$1199,MATCH(794,Engine!$C$2:$C$1199,0)))</f>
        <v/>
      </c>
      <c r="N807" s="7" t="str">
        <f>IF(ISNA(MATCH(794,Engine!$C$2:$C$1199,0)),"",INDEX('Compliance Database'!$N$2:$N$1199,MATCH(794,Engine!$C$2:$C$1199,0)))</f>
        <v/>
      </c>
      <c r="O807" s="7" t="str">
        <f>IF(ISNA(MATCH(794,Engine!$C$2:$C$1199,0)),"",INDEX('Compliance Database'!$O$2:$O$1199,MATCH(794,Engine!$C$2:$C$1199,0)))</f>
        <v/>
      </c>
      <c r="P807" s="6" t="str">
        <f>IF(ISNA(MATCH(794,Engine!$C$2:$C$1199,0)),"",HYPERLINK("#Acts!A"&amp;INDEX('Compliance Database'!$P$2:$P$1199,MATCH(794,Engine!$C$2:$C$1199,0)),"Go to Act"))</f>
        <v/>
      </c>
    </row>
    <row r="808" spans="1:16" ht="172.95" customHeight="1" x14ac:dyDescent="0.3">
      <c r="A808" s="6" t="str">
        <f>IF(ISNA(MATCH(795,Engine!$C$2:$C$1199,0)),"",INDEX('Compliance Database'!$A$2:$A$1199,MATCH(795,Engine!$C$2:$C$1199,0)))</f>
        <v/>
      </c>
      <c r="B808" s="6" t="str">
        <f>IF(ISNA(MATCH(795,Engine!$C$2:$C$1199,0)),"",INDEX('Compliance Database'!$B$2:$B$1199,MATCH(795,Engine!$C$2:$C$1199,0)))</f>
        <v/>
      </c>
      <c r="C808" s="6" t="str">
        <f>IF(ISNA(MATCH(795,Engine!$C$2:$C$1199,0)),"",INDEX('Compliance Database'!$C$2:$C$1199,MATCH(795,Engine!$C$2:$C$1199,0)))</f>
        <v/>
      </c>
      <c r="D808" s="7" t="str">
        <f>IF(ISNA(MATCH(795,Engine!$C$2:$C$1199,0)),"",INDEX('Compliance Database'!$D$2:$D$1199,MATCH(795,Engine!$C$2:$C$1199,0)))</f>
        <v/>
      </c>
      <c r="E808" s="6" t="str">
        <f>IF(ISNA(MATCH(795,Engine!$C$2:$C$1199,0)),"",INDEX('Compliance Database'!$E$2:$E$1199,MATCH(795,Engine!$C$2:$C$1199,0)))</f>
        <v/>
      </c>
      <c r="F808" s="6" t="str">
        <f>IF(ISNA(MATCH(795,Engine!$C$2:$C$1199,0)),"",INDEX('Compliance Database'!$F$2:$F$1199,MATCH(795,Engine!$C$2:$C$1199,0)))</f>
        <v/>
      </c>
      <c r="G808" s="6" t="str">
        <f>IF(ISNA(MATCH(795,Engine!$C$2:$C$1199,0)),"",INDEX('Compliance Database'!$G$2:$G$1199,MATCH(795,Engine!$C$2:$C$1199,0)))</f>
        <v/>
      </c>
      <c r="H808" s="7" t="str">
        <f>IF(ISNA(MATCH(795,Engine!$C$2:$C$1199,0)),"",INDEX('Compliance Database'!$H$2:$H$1199,MATCH(795,Engine!$C$2:$C$1199,0)))</f>
        <v/>
      </c>
      <c r="I808" s="7" t="str">
        <f>IF(ISNA(MATCH(795,Engine!$C$2:$C$1199,0)),"",INDEX('Compliance Database'!$I$2:$I$1199,MATCH(795,Engine!$C$2:$C$1199,0)))</f>
        <v/>
      </c>
      <c r="J808" s="6" t="str">
        <f>IF(ISNA(MATCH(795,Engine!$C$2:$C$1199,0)),"",INDEX('Compliance Database'!$J$2:$J$1199,MATCH(795,Engine!$C$2:$C$1199,0)))</f>
        <v/>
      </c>
      <c r="K808" s="7" t="str">
        <f>IF(ISNA(MATCH(795,Engine!$C$2:$C$1199,0)),"",INDEX('Compliance Database'!$K$2:$K$1199,MATCH(795,Engine!$C$2:$C$1199,0)))</f>
        <v/>
      </c>
      <c r="L808" s="7" t="str">
        <f>IF(ISNA(MATCH(795,Engine!$C$2:$C$1199,0)),"",INDEX('Compliance Database'!$L$2:$L$1199,MATCH(795,Engine!$C$2:$C$1199,0)))</f>
        <v/>
      </c>
      <c r="M808" s="7" t="str">
        <f>IF(ISNA(MATCH(795,Engine!$C$2:$C$1199,0)),"",INDEX('Compliance Database'!$M$2:$M$1199,MATCH(795,Engine!$C$2:$C$1199,0)))</f>
        <v/>
      </c>
      <c r="N808" s="7" t="str">
        <f>IF(ISNA(MATCH(795,Engine!$C$2:$C$1199,0)),"",INDEX('Compliance Database'!$N$2:$N$1199,MATCH(795,Engine!$C$2:$C$1199,0)))</f>
        <v/>
      </c>
      <c r="O808" s="7" t="str">
        <f>IF(ISNA(MATCH(795,Engine!$C$2:$C$1199,0)),"",INDEX('Compliance Database'!$O$2:$O$1199,MATCH(795,Engine!$C$2:$C$1199,0)))</f>
        <v/>
      </c>
      <c r="P808" s="6" t="str">
        <f>IF(ISNA(MATCH(795,Engine!$C$2:$C$1199,0)),"",HYPERLINK("#Acts!A"&amp;INDEX('Compliance Database'!$P$2:$P$1199,MATCH(795,Engine!$C$2:$C$1199,0)),"Go to Act"))</f>
        <v/>
      </c>
    </row>
    <row r="809" spans="1:16" ht="172.95" customHeight="1" x14ac:dyDescent="0.3">
      <c r="A809" s="6" t="str">
        <f>IF(ISNA(MATCH(796,Engine!$C$2:$C$1199,0)),"",INDEX('Compliance Database'!$A$2:$A$1199,MATCH(796,Engine!$C$2:$C$1199,0)))</f>
        <v/>
      </c>
      <c r="B809" s="6" t="str">
        <f>IF(ISNA(MATCH(796,Engine!$C$2:$C$1199,0)),"",INDEX('Compliance Database'!$B$2:$B$1199,MATCH(796,Engine!$C$2:$C$1199,0)))</f>
        <v/>
      </c>
      <c r="C809" s="6" t="str">
        <f>IF(ISNA(MATCH(796,Engine!$C$2:$C$1199,0)),"",INDEX('Compliance Database'!$C$2:$C$1199,MATCH(796,Engine!$C$2:$C$1199,0)))</f>
        <v/>
      </c>
      <c r="D809" s="7" t="str">
        <f>IF(ISNA(MATCH(796,Engine!$C$2:$C$1199,0)),"",INDEX('Compliance Database'!$D$2:$D$1199,MATCH(796,Engine!$C$2:$C$1199,0)))</f>
        <v/>
      </c>
      <c r="E809" s="6" t="str">
        <f>IF(ISNA(MATCH(796,Engine!$C$2:$C$1199,0)),"",INDEX('Compliance Database'!$E$2:$E$1199,MATCH(796,Engine!$C$2:$C$1199,0)))</f>
        <v/>
      </c>
      <c r="F809" s="6" t="str">
        <f>IF(ISNA(MATCH(796,Engine!$C$2:$C$1199,0)),"",INDEX('Compliance Database'!$F$2:$F$1199,MATCH(796,Engine!$C$2:$C$1199,0)))</f>
        <v/>
      </c>
      <c r="G809" s="6" t="str">
        <f>IF(ISNA(MATCH(796,Engine!$C$2:$C$1199,0)),"",INDEX('Compliance Database'!$G$2:$G$1199,MATCH(796,Engine!$C$2:$C$1199,0)))</f>
        <v/>
      </c>
      <c r="H809" s="7" t="str">
        <f>IF(ISNA(MATCH(796,Engine!$C$2:$C$1199,0)),"",INDEX('Compliance Database'!$H$2:$H$1199,MATCH(796,Engine!$C$2:$C$1199,0)))</f>
        <v/>
      </c>
      <c r="I809" s="7" t="str">
        <f>IF(ISNA(MATCH(796,Engine!$C$2:$C$1199,0)),"",INDEX('Compliance Database'!$I$2:$I$1199,MATCH(796,Engine!$C$2:$C$1199,0)))</f>
        <v/>
      </c>
      <c r="J809" s="6" t="str">
        <f>IF(ISNA(MATCH(796,Engine!$C$2:$C$1199,0)),"",INDEX('Compliance Database'!$J$2:$J$1199,MATCH(796,Engine!$C$2:$C$1199,0)))</f>
        <v/>
      </c>
      <c r="K809" s="7" t="str">
        <f>IF(ISNA(MATCH(796,Engine!$C$2:$C$1199,0)),"",INDEX('Compliance Database'!$K$2:$K$1199,MATCH(796,Engine!$C$2:$C$1199,0)))</f>
        <v/>
      </c>
      <c r="L809" s="7" t="str">
        <f>IF(ISNA(MATCH(796,Engine!$C$2:$C$1199,0)),"",INDEX('Compliance Database'!$L$2:$L$1199,MATCH(796,Engine!$C$2:$C$1199,0)))</f>
        <v/>
      </c>
      <c r="M809" s="7" t="str">
        <f>IF(ISNA(MATCH(796,Engine!$C$2:$C$1199,0)),"",INDEX('Compliance Database'!$M$2:$M$1199,MATCH(796,Engine!$C$2:$C$1199,0)))</f>
        <v/>
      </c>
      <c r="N809" s="7" t="str">
        <f>IF(ISNA(MATCH(796,Engine!$C$2:$C$1199,0)),"",INDEX('Compliance Database'!$N$2:$N$1199,MATCH(796,Engine!$C$2:$C$1199,0)))</f>
        <v/>
      </c>
      <c r="O809" s="7" t="str">
        <f>IF(ISNA(MATCH(796,Engine!$C$2:$C$1199,0)),"",INDEX('Compliance Database'!$O$2:$O$1199,MATCH(796,Engine!$C$2:$C$1199,0)))</f>
        <v/>
      </c>
      <c r="P809" s="6" t="str">
        <f>IF(ISNA(MATCH(796,Engine!$C$2:$C$1199,0)),"",HYPERLINK("#Acts!A"&amp;INDEX('Compliance Database'!$P$2:$P$1199,MATCH(796,Engine!$C$2:$C$1199,0)),"Go to Act"))</f>
        <v/>
      </c>
    </row>
    <row r="810" spans="1:16" ht="172.95" customHeight="1" x14ac:dyDescent="0.3">
      <c r="A810" s="6" t="str">
        <f>IF(ISNA(MATCH(797,Engine!$C$2:$C$1199,0)),"",INDEX('Compliance Database'!$A$2:$A$1199,MATCH(797,Engine!$C$2:$C$1199,0)))</f>
        <v/>
      </c>
      <c r="B810" s="6" t="str">
        <f>IF(ISNA(MATCH(797,Engine!$C$2:$C$1199,0)),"",INDEX('Compliance Database'!$B$2:$B$1199,MATCH(797,Engine!$C$2:$C$1199,0)))</f>
        <v/>
      </c>
      <c r="C810" s="6" t="str">
        <f>IF(ISNA(MATCH(797,Engine!$C$2:$C$1199,0)),"",INDEX('Compliance Database'!$C$2:$C$1199,MATCH(797,Engine!$C$2:$C$1199,0)))</f>
        <v/>
      </c>
      <c r="D810" s="7" t="str">
        <f>IF(ISNA(MATCH(797,Engine!$C$2:$C$1199,0)),"",INDEX('Compliance Database'!$D$2:$D$1199,MATCH(797,Engine!$C$2:$C$1199,0)))</f>
        <v/>
      </c>
      <c r="E810" s="6" t="str">
        <f>IF(ISNA(MATCH(797,Engine!$C$2:$C$1199,0)),"",INDEX('Compliance Database'!$E$2:$E$1199,MATCH(797,Engine!$C$2:$C$1199,0)))</f>
        <v/>
      </c>
      <c r="F810" s="6" t="str">
        <f>IF(ISNA(MATCH(797,Engine!$C$2:$C$1199,0)),"",INDEX('Compliance Database'!$F$2:$F$1199,MATCH(797,Engine!$C$2:$C$1199,0)))</f>
        <v/>
      </c>
      <c r="G810" s="6" t="str">
        <f>IF(ISNA(MATCH(797,Engine!$C$2:$C$1199,0)),"",INDEX('Compliance Database'!$G$2:$G$1199,MATCH(797,Engine!$C$2:$C$1199,0)))</f>
        <v/>
      </c>
      <c r="H810" s="7" t="str">
        <f>IF(ISNA(MATCH(797,Engine!$C$2:$C$1199,0)),"",INDEX('Compliance Database'!$H$2:$H$1199,MATCH(797,Engine!$C$2:$C$1199,0)))</f>
        <v/>
      </c>
      <c r="I810" s="7" t="str">
        <f>IF(ISNA(MATCH(797,Engine!$C$2:$C$1199,0)),"",INDEX('Compliance Database'!$I$2:$I$1199,MATCH(797,Engine!$C$2:$C$1199,0)))</f>
        <v/>
      </c>
      <c r="J810" s="6" t="str">
        <f>IF(ISNA(MATCH(797,Engine!$C$2:$C$1199,0)),"",INDEX('Compliance Database'!$J$2:$J$1199,MATCH(797,Engine!$C$2:$C$1199,0)))</f>
        <v/>
      </c>
      <c r="K810" s="7" t="str">
        <f>IF(ISNA(MATCH(797,Engine!$C$2:$C$1199,0)),"",INDEX('Compliance Database'!$K$2:$K$1199,MATCH(797,Engine!$C$2:$C$1199,0)))</f>
        <v/>
      </c>
      <c r="L810" s="7" t="str">
        <f>IF(ISNA(MATCH(797,Engine!$C$2:$C$1199,0)),"",INDEX('Compliance Database'!$L$2:$L$1199,MATCH(797,Engine!$C$2:$C$1199,0)))</f>
        <v/>
      </c>
      <c r="M810" s="7" t="str">
        <f>IF(ISNA(MATCH(797,Engine!$C$2:$C$1199,0)),"",INDEX('Compliance Database'!$M$2:$M$1199,MATCH(797,Engine!$C$2:$C$1199,0)))</f>
        <v/>
      </c>
      <c r="N810" s="7" t="str">
        <f>IF(ISNA(MATCH(797,Engine!$C$2:$C$1199,0)),"",INDEX('Compliance Database'!$N$2:$N$1199,MATCH(797,Engine!$C$2:$C$1199,0)))</f>
        <v/>
      </c>
      <c r="O810" s="7" t="str">
        <f>IF(ISNA(MATCH(797,Engine!$C$2:$C$1199,0)),"",INDEX('Compliance Database'!$O$2:$O$1199,MATCH(797,Engine!$C$2:$C$1199,0)))</f>
        <v/>
      </c>
      <c r="P810" s="6" t="str">
        <f>IF(ISNA(MATCH(797,Engine!$C$2:$C$1199,0)),"",HYPERLINK("#Acts!A"&amp;INDEX('Compliance Database'!$P$2:$P$1199,MATCH(797,Engine!$C$2:$C$1199,0)),"Go to Act"))</f>
        <v/>
      </c>
    </row>
    <row r="811" spans="1:16" ht="172.95" customHeight="1" x14ac:dyDescent="0.3">
      <c r="A811" s="6" t="str">
        <f>IF(ISNA(MATCH(798,Engine!$C$2:$C$1199,0)),"",INDEX('Compliance Database'!$A$2:$A$1199,MATCH(798,Engine!$C$2:$C$1199,0)))</f>
        <v/>
      </c>
      <c r="B811" s="6" t="str">
        <f>IF(ISNA(MATCH(798,Engine!$C$2:$C$1199,0)),"",INDEX('Compliance Database'!$B$2:$B$1199,MATCH(798,Engine!$C$2:$C$1199,0)))</f>
        <v/>
      </c>
      <c r="C811" s="6" t="str">
        <f>IF(ISNA(MATCH(798,Engine!$C$2:$C$1199,0)),"",INDEX('Compliance Database'!$C$2:$C$1199,MATCH(798,Engine!$C$2:$C$1199,0)))</f>
        <v/>
      </c>
      <c r="D811" s="7" t="str">
        <f>IF(ISNA(MATCH(798,Engine!$C$2:$C$1199,0)),"",INDEX('Compliance Database'!$D$2:$D$1199,MATCH(798,Engine!$C$2:$C$1199,0)))</f>
        <v/>
      </c>
      <c r="E811" s="6" t="str">
        <f>IF(ISNA(MATCH(798,Engine!$C$2:$C$1199,0)),"",INDEX('Compliance Database'!$E$2:$E$1199,MATCH(798,Engine!$C$2:$C$1199,0)))</f>
        <v/>
      </c>
      <c r="F811" s="6" t="str">
        <f>IF(ISNA(MATCH(798,Engine!$C$2:$C$1199,0)),"",INDEX('Compliance Database'!$F$2:$F$1199,MATCH(798,Engine!$C$2:$C$1199,0)))</f>
        <v/>
      </c>
      <c r="G811" s="6" t="str">
        <f>IF(ISNA(MATCH(798,Engine!$C$2:$C$1199,0)),"",INDEX('Compliance Database'!$G$2:$G$1199,MATCH(798,Engine!$C$2:$C$1199,0)))</f>
        <v/>
      </c>
      <c r="H811" s="7" t="str">
        <f>IF(ISNA(MATCH(798,Engine!$C$2:$C$1199,0)),"",INDEX('Compliance Database'!$H$2:$H$1199,MATCH(798,Engine!$C$2:$C$1199,0)))</f>
        <v/>
      </c>
      <c r="I811" s="7" t="str">
        <f>IF(ISNA(MATCH(798,Engine!$C$2:$C$1199,0)),"",INDEX('Compliance Database'!$I$2:$I$1199,MATCH(798,Engine!$C$2:$C$1199,0)))</f>
        <v/>
      </c>
      <c r="J811" s="6" t="str">
        <f>IF(ISNA(MATCH(798,Engine!$C$2:$C$1199,0)),"",INDEX('Compliance Database'!$J$2:$J$1199,MATCH(798,Engine!$C$2:$C$1199,0)))</f>
        <v/>
      </c>
      <c r="K811" s="7" t="str">
        <f>IF(ISNA(MATCH(798,Engine!$C$2:$C$1199,0)),"",INDEX('Compliance Database'!$K$2:$K$1199,MATCH(798,Engine!$C$2:$C$1199,0)))</f>
        <v/>
      </c>
      <c r="L811" s="7" t="str">
        <f>IF(ISNA(MATCH(798,Engine!$C$2:$C$1199,0)),"",INDEX('Compliance Database'!$L$2:$L$1199,MATCH(798,Engine!$C$2:$C$1199,0)))</f>
        <v/>
      </c>
      <c r="M811" s="7" t="str">
        <f>IF(ISNA(MATCH(798,Engine!$C$2:$C$1199,0)),"",INDEX('Compliance Database'!$M$2:$M$1199,MATCH(798,Engine!$C$2:$C$1199,0)))</f>
        <v/>
      </c>
      <c r="N811" s="7" t="str">
        <f>IF(ISNA(MATCH(798,Engine!$C$2:$C$1199,0)),"",INDEX('Compliance Database'!$N$2:$N$1199,MATCH(798,Engine!$C$2:$C$1199,0)))</f>
        <v/>
      </c>
      <c r="O811" s="7" t="str">
        <f>IF(ISNA(MATCH(798,Engine!$C$2:$C$1199,0)),"",INDEX('Compliance Database'!$O$2:$O$1199,MATCH(798,Engine!$C$2:$C$1199,0)))</f>
        <v/>
      </c>
      <c r="P811" s="6" t="str">
        <f>IF(ISNA(MATCH(798,Engine!$C$2:$C$1199,0)),"",HYPERLINK("#Acts!A"&amp;INDEX('Compliance Database'!$P$2:$P$1199,MATCH(798,Engine!$C$2:$C$1199,0)),"Go to Act"))</f>
        <v/>
      </c>
    </row>
    <row r="812" spans="1:16" ht="172.95" customHeight="1" x14ac:dyDescent="0.3">
      <c r="A812" s="6" t="str">
        <f>IF(ISNA(MATCH(799,Engine!$C$2:$C$1199,0)),"",INDEX('Compliance Database'!$A$2:$A$1199,MATCH(799,Engine!$C$2:$C$1199,0)))</f>
        <v/>
      </c>
      <c r="B812" s="6" t="str">
        <f>IF(ISNA(MATCH(799,Engine!$C$2:$C$1199,0)),"",INDEX('Compliance Database'!$B$2:$B$1199,MATCH(799,Engine!$C$2:$C$1199,0)))</f>
        <v/>
      </c>
      <c r="C812" s="6" t="str">
        <f>IF(ISNA(MATCH(799,Engine!$C$2:$C$1199,0)),"",INDEX('Compliance Database'!$C$2:$C$1199,MATCH(799,Engine!$C$2:$C$1199,0)))</f>
        <v/>
      </c>
      <c r="D812" s="7" t="str">
        <f>IF(ISNA(MATCH(799,Engine!$C$2:$C$1199,0)),"",INDEX('Compliance Database'!$D$2:$D$1199,MATCH(799,Engine!$C$2:$C$1199,0)))</f>
        <v/>
      </c>
      <c r="E812" s="6" t="str">
        <f>IF(ISNA(MATCH(799,Engine!$C$2:$C$1199,0)),"",INDEX('Compliance Database'!$E$2:$E$1199,MATCH(799,Engine!$C$2:$C$1199,0)))</f>
        <v/>
      </c>
      <c r="F812" s="6" t="str">
        <f>IF(ISNA(MATCH(799,Engine!$C$2:$C$1199,0)),"",INDEX('Compliance Database'!$F$2:$F$1199,MATCH(799,Engine!$C$2:$C$1199,0)))</f>
        <v/>
      </c>
      <c r="G812" s="6" t="str">
        <f>IF(ISNA(MATCH(799,Engine!$C$2:$C$1199,0)),"",INDEX('Compliance Database'!$G$2:$G$1199,MATCH(799,Engine!$C$2:$C$1199,0)))</f>
        <v/>
      </c>
      <c r="H812" s="7" t="str">
        <f>IF(ISNA(MATCH(799,Engine!$C$2:$C$1199,0)),"",INDEX('Compliance Database'!$H$2:$H$1199,MATCH(799,Engine!$C$2:$C$1199,0)))</f>
        <v/>
      </c>
      <c r="I812" s="7" t="str">
        <f>IF(ISNA(MATCH(799,Engine!$C$2:$C$1199,0)),"",INDEX('Compliance Database'!$I$2:$I$1199,MATCH(799,Engine!$C$2:$C$1199,0)))</f>
        <v/>
      </c>
      <c r="J812" s="6" t="str">
        <f>IF(ISNA(MATCH(799,Engine!$C$2:$C$1199,0)),"",INDEX('Compliance Database'!$J$2:$J$1199,MATCH(799,Engine!$C$2:$C$1199,0)))</f>
        <v/>
      </c>
      <c r="K812" s="7" t="str">
        <f>IF(ISNA(MATCH(799,Engine!$C$2:$C$1199,0)),"",INDEX('Compliance Database'!$K$2:$K$1199,MATCH(799,Engine!$C$2:$C$1199,0)))</f>
        <v/>
      </c>
      <c r="L812" s="7" t="str">
        <f>IF(ISNA(MATCH(799,Engine!$C$2:$C$1199,0)),"",INDEX('Compliance Database'!$L$2:$L$1199,MATCH(799,Engine!$C$2:$C$1199,0)))</f>
        <v/>
      </c>
      <c r="M812" s="7" t="str">
        <f>IF(ISNA(MATCH(799,Engine!$C$2:$C$1199,0)),"",INDEX('Compliance Database'!$M$2:$M$1199,MATCH(799,Engine!$C$2:$C$1199,0)))</f>
        <v/>
      </c>
      <c r="N812" s="7" t="str">
        <f>IF(ISNA(MATCH(799,Engine!$C$2:$C$1199,0)),"",INDEX('Compliance Database'!$N$2:$N$1199,MATCH(799,Engine!$C$2:$C$1199,0)))</f>
        <v/>
      </c>
      <c r="O812" s="7" t="str">
        <f>IF(ISNA(MATCH(799,Engine!$C$2:$C$1199,0)),"",INDEX('Compliance Database'!$O$2:$O$1199,MATCH(799,Engine!$C$2:$C$1199,0)))</f>
        <v/>
      </c>
      <c r="P812" s="6" t="str">
        <f>IF(ISNA(MATCH(799,Engine!$C$2:$C$1199,0)),"",HYPERLINK("#Acts!A"&amp;INDEX('Compliance Database'!$P$2:$P$1199,MATCH(799,Engine!$C$2:$C$1199,0)),"Go to Act"))</f>
        <v/>
      </c>
    </row>
    <row r="813" spans="1:16" ht="172.95" customHeight="1" x14ac:dyDescent="0.3">
      <c r="A813" s="6" t="str">
        <f>IF(ISNA(MATCH(800,Engine!$C$2:$C$1199,0)),"",INDEX('Compliance Database'!$A$2:$A$1199,MATCH(800,Engine!$C$2:$C$1199,0)))</f>
        <v/>
      </c>
      <c r="B813" s="6" t="str">
        <f>IF(ISNA(MATCH(800,Engine!$C$2:$C$1199,0)),"",INDEX('Compliance Database'!$B$2:$B$1199,MATCH(800,Engine!$C$2:$C$1199,0)))</f>
        <v/>
      </c>
      <c r="C813" s="6" t="str">
        <f>IF(ISNA(MATCH(800,Engine!$C$2:$C$1199,0)),"",INDEX('Compliance Database'!$C$2:$C$1199,MATCH(800,Engine!$C$2:$C$1199,0)))</f>
        <v/>
      </c>
      <c r="D813" s="7" t="str">
        <f>IF(ISNA(MATCH(800,Engine!$C$2:$C$1199,0)),"",INDEX('Compliance Database'!$D$2:$D$1199,MATCH(800,Engine!$C$2:$C$1199,0)))</f>
        <v/>
      </c>
      <c r="E813" s="6" t="str">
        <f>IF(ISNA(MATCH(800,Engine!$C$2:$C$1199,0)),"",INDEX('Compliance Database'!$E$2:$E$1199,MATCH(800,Engine!$C$2:$C$1199,0)))</f>
        <v/>
      </c>
      <c r="F813" s="6" t="str">
        <f>IF(ISNA(MATCH(800,Engine!$C$2:$C$1199,0)),"",INDEX('Compliance Database'!$F$2:$F$1199,MATCH(800,Engine!$C$2:$C$1199,0)))</f>
        <v/>
      </c>
      <c r="G813" s="6" t="str">
        <f>IF(ISNA(MATCH(800,Engine!$C$2:$C$1199,0)),"",INDEX('Compliance Database'!$G$2:$G$1199,MATCH(800,Engine!$C$2:$C$1199,0)))</f>
        <v/>
      </c>
      <c r="H813" s="7" t="str">
        <f>IF(ISNA(MATCH(800,Engine!$C$2:$C$1199,0)),"",INDEX('Compliance Database'!$H$2:$H$1199,MATCH(800,Engine!$C$2:$C$1199,0)))</f>
        <v/>
      </c>
      <c r="I813" s="7" t="str">
        <f>IF(ISNA(MATCH(800,Engine!$C$2:$C$1199,0)),"",INDEX('Compliance Database'!$I$2:$I$1199,MATCH(800,Engine!$C$2:$C$1199,0)))</f>
        <v/>
      </c>
      <c r="J813" s="6" t="str">
        <f>IF(ISNA(MATCH(800,Engine!$C$2:$C$1199,0)),"",INDEX('Compliance Database'!$J$2:$J$1199,MATCH(800,Engine!$C$2:$C$1199,0)))</f>
        <v/>
      </c>
      <c r="K813" s="7" t="str">
        <f>IF(ISNA(MATCH(800,Engine!$C$2:$C$1199,0)),"",INDEX('Compliance Database'!$K$2:$K$1199,MATCH(800,Engine!$C$2:$C$1199,0)))</f>
        <v/>
      </c>
      <c r="L813" s="7" t="str">
        <f>IF(ISNA(MATCH(800,Engine!$C$2:$C$1199,0)),"",INDEX('Compliance Database'!$L$2:$L$1199,MATCH(800,Engine!$C$2:$C$1199,0)))</f>
        <v/>
      </c>
      <c r="M813" s="7" t="str">
        <f>IF(ISNA(MATCH(800,Engine!$C$2:$C$1199,0)),"",INDEX('Compliance Database'!$M$2:$M$1199,MATCH(800,Engine!$C$2:$C$1199,0)))</f>
        <v/>
      </c>
      <c r="N813" s="7" t="str">
        <f>IF(ISNA(MATCH(800,Engine!$C$2:$C$1199,0)),"",INDEX('Compliance Database'!$N$2:$N$1199,MATCH(800,Engine!$C$2:$C$1199,0)))</f>
        <v/>
      </c>
      <c r="O813" s="7" t="str">
        <f>IF(ISNA(MATCH(800,Engine!$C$2:$C$1199,0)),"",INDEX('Compliance Database'!$O$2:$O$1199,MATCH(800,Engine!$C$2:$C$1199,0)))</f>
        <v/>
      </c>
      <c r="P813" s="6" t="str">
        <f>IF(ISNA(MATCH(800,Engine!$C$2:$C$1199,0)),"",HYPERLINK("#Acts!A"&amp;INDEX('Compliance Database'!$P$2:$P$1199,MATCH(800,Engine!$C$2:$C$1199,0)),"Go to Act"))</f>
        <v/>
      </c>
    </row>
    <row r="814" spans="1:16" ht="172.95" customHeight="1" x14ac:dyDescent="0.3">
      <c r="A814" s="6" t="str">
        <f>IF(ISNA(MATCH(801,Engine!$C$2:$C$1199,0)),"",INDEX('Compliance Database'!$A$2:$A$1199,MATCH(801,Engine!$C$2:$C$1199,0)))</f>
        <v/>
      </c>
      <c r="B814" s="6" t="str">
        <f>IF(ISNA(MATCH(801,Engine!$C$2:$C$1199,0)),"",INDEX('Compliance Database'!$B$2:$B$1199,MATCH(801,Engine!$C$2:$C$1199,0)))</f>
        <v/>
      </c>
      <c r="C814" s="6" t="str">
        <f>IF(ISNA(MATCH(801,Engine!$C$2:$C$1199,0)),"",INDEX('Compliance Database'!$C$2:$C$1199,MATCH(801,Engine!$C$2:$C$1199,0)))</f>
        <v/>
      </c>
      <c r="D814" s="7" t="str">
        <f>IF(ISNA(MATCH(801,Engine!$C$2:$C$1199,0)),"",INDEX('Compliance Database'!$D$2:$D$1199,MATCH(801,Engine!$C$2:$C$1199,0)))</f>
        <v/>
      </c>
      <c r="E814" s="6" t="str">
        <f>IF(ISNA(MATCH(801,Engine!$C$2:$C$1199,0)),"",INDEX('Compliance Database'!$E$2:$E$1199,MATCH(801,Engine!$C$2:$C$1199,0)))</f>
        <v/>
      </c>
      <c r="F814" s="6" t="str">
        <f>IF(ISNA(MATCH(801,Engine!$C$2:$C$1199,0)),"",INDEX('Compliance Database'!$F$2:$F$1199,MATCH(801,Engine!$C$2:$C$1199,0)))</f>
        <v/>
      </c>
      <c r="G814" s="6" t="str">
        <f>IF(ISNA(MATCH(801,Engine!$C$2:$C$1199,0)),"",INDEX('Compliance Database'!$G$2:$G$1199,MATCH(801,Engine!$C$2:$C$1199,0)))</f>
        <v/>
      </c>
      <c r="H814" s="7" t="str">
        <f>IF(ISNA(MATCH(801,Engine!$C$2:$C$1199,0)),"",INDEX('Compliance Database'!$H$2:$H$1199,MATCH(801,Engine!$C$2:$C$1199,0)))</f>
        <v/>
      </c>
      <c r="I814" s="7" t="str">
        <f>IF(ISNA(MATCH(801,Engine!$C$2:$C$1199,0)),"",INDEX('Compliance Database'!$I$2:$I$1199,MATCH(801,Engine!$C$2:$C$1199,0)))</f>
        <v/>
      </c>
      <c r="J814" s="6" t="str">
        <f>IF(ISNA(MATCH(801,Engine!$C$2:$C$1199,0)),"",INDEX('Compliance Database'!$J$2:$J$1199,MATCH(801,Engine!$C$2:$C$1199,0)))</f>
        <v/>
      </c>
      <c r="K814" s="7" t="str">
        <f>IF(ISNA(MATCH(801,Engine!$C$2:$C$1199,0)),"",INDEX('Compliance Database'!$K$2:$K$1199,MATCH(801,Engine!$C$2:$C$1199,0)))</f>
        <v/>
      </c>
      <c r="L814" s="7" t="str">
        <f>IF(ISNA(MATCH(801,Engine!$C$2:$C$1199,0)),"",INDEX('Compliance Database'!$L$2:$L$1199,MATCH(801,Engine!$C$2:$C$1199,0)))</f>
        <v/>
      </c>
      <c r="M814" s="7" t="str">
        <f>IF(ISNA(MATCH(801,Engine!$C$2:$C$1199,0)),"",INDEX('Compliance Database'!$M$2:$M$1199,MATCH(801,Engine!$C$2:$C$1199,0)))</f>
        <v/>
      </c>
      <c r="N814" s="7" t="str">
        <f>IF(ISNA(MATCH(801,Engine!$C$2:$C$1199,0)),"",INDEX('Compliance Database'!$N$2:$N$1199,MATCH(801,Engine!$C$2:$C$1199,0)))</f>
        <v/>
      </c>
      <c r="O814" s="7" t="str">
        <f>IF(ISNA(MATCH(801,Engine!$C$2:$C$1199,0)),"",INDEX('Compliance Database'!$O$2:$O$1199,MATCH(801,Engine!$C$2:$C$1199,0)))</f>
        <v/>
      </c>
      <c r="P814" s="6" t="str">
        <f>IF(ISNA(MATCH(801,Engine!$C$2:$C$1199,0)),"",HYPERLINK("#Acts!A"&amp;INDEX('Compliance Database'!$P$2:$P$1199,MATCH(801,Engine!$C$2:$C$1199,0)),"Go to Act"))</f>
        <v/>
      </c>
    </row>
    <row r="815" spans="1:16" ht="172.95" customHeight="1" x14ac:dyDescent="0.3">
      <c r="A815" s="6" t="str">
        <f>IF(ISNA(MATCH(802,Engine!$C$2:$C$1199,0)),"",INDEX('Compliance Database'!$A$2:$A$1199,MATCH(802,Engine!$C$2:$C$1199,0)))</f>
        <v/>
      </c>
      <c r="B815" s="6" t="str">
        <f>IF(ISNA(MATCH(802,Engine!$C$2:$C$1199,0)),"",INDEX('Compliance Database'!$B$2:$B$1199,MATCH(802,Engine!$C$2:$C$1199,0)))</f>
        <v/>
      </c>
      <c r="C815" s="6" t="str">
        <f>IF(ISNA(MATCH(802,Engine!$C$2:$C$1199,0)),"",INDEX('Compliance Database'!$C$2:$C$1199,MATCH(802,Engine!$C$2:$C$1199,0)))</f>
        <v/>
      </c>
      <c r="D815" s="7" t="str">
        <f>IF(ISNA(MATCH(802,Engine!$C$2:$C$1199,0)),"",INDEX('Compliance Database'!$D$2:$D$1199,MATCH(802,Engine!$C$2:$C$1199,0)))</f>
        <v/>
      </c>
      <c r="E815" s="6" t="str">
        <f>IF(ISNA(MATCH(802,Engine!$C$2:$C$1199,0)),"",INDEX('Compliance Database'!$E$2:$E$1199,MATCH(802,Engine!$C$2:$C$1199,0)))</f>
        <v/>
      </c>
      <c r="F815" s="6" t="str">
        <f>IF(ISNA(MATCH(802,Engine!$C$2:$C$1199,0)),"",INDEX('Compliance Database'!$F$2:$F$1199,MATCH(802,Engine!$C$2:$C$1199,0)))</f>
        <v/>
      </c>
      <c r="G815" s="6" t="str">
        <f>IF(ISNA(MATCH(802,Engine!$C$2:$C$1199,0)),"",INDEX('Compliance Database'!$G$2:$G$1199,MATCH(802,Engine!$C$2:$C$1199,0)))</f>
        <v/>
      </c>
      <c r="H815" s="7" t="str">
        <f>IF(ISNA(MATCH(802,Engine!$C$2:$C$1199,0)),"",INDEX('Compliance Database'!$H$2:$H$1199,MATCH(802,Engine!$C$2:$C$1199,0)))</f>
        <v/>
      </c>
      <c r="I815" s="7" t="str">
        <f>IF(ISNA(MATCH(802,Engine!$C$2:$C$1199,0)),"",INDEX('Compliance Database'!$I$2:$I$1199,MATCH(802,Engine!$C$2:$C$1199,0)))</f>
        <v/>
      </c>
      <c r="J815" s="6" t="str">
        <f>IF(ISNA(MATCH(802,Engine!$C$2:$C$1199,0)),"",INDEX('Compliance Database'!$J$2:$J$1199,MATCH(802,Engine!$C$2:$C$1199,0)))</f>
        <v/>
      </c>
      <c r="K815" s="7" t="str">
        <f>IF(ISNA(MATCH(802,Engine!$C$2:$C$1199,0)),"",INDEX('Compliance Database'!$K$2:$K$1199,MATCH(802,Engine!$C$2:$C$1199,0)))</f>
        <v/>
      </c>
      <c r="L815" s="7" t="str">
        <f>IF(ISNA(MATCH(802,Engine!$C$2:$C$1199,0)),"",INDEX('Compliance Database'!$L$2:$L$1199,MATCH(802,Engine!$C$2:$C$1199,0)))</f>
        <v/>
      </c>
      <c r="M815" s="7" t="str">
        <f>IF(ISNA(MATCH(802,Engine!$C$2:$C$1199,0)),"",INDEX('Compliance Database'!$M$2:$M$1199,MATCH(802,Engine!$C$2:$C$1199,0)))</f>
        <v/>
      </c>
      <c r="N815" s="7" t="str">
        <f>IF(ISNA(MATCH(802,Engine!$C$2:$C$1199,0)),"",INDEX('Compliance Database'!$N$2:$N$1199,MATCH(802,Engine!$C$2:$C$1199,0)))</f>
        <v/>
      </c>
      <c r="O815" s="7" t="str">
        <f>IF(ISNA(MATCH(802,Engine!$C$2:$C$1199,0)),"",INDEX('Compliance Database'!$O$2:$O$1199,MATCH(802,Engine!$C$2:$C$1199,0)))</f>
        <v/>
      </c>
      <c r="P815" s="6" t="str">
        <f>IF(ISNA(MATCH(802,Engine!$C$2:$C$1199,0)),"",HYPERLINK("#Acts!A"&amp;INDEX('Compliance Database'!$P$2:$P$1199,MATCH(802,Engine!$C$2:$C$1199,0)),"Go to Act"))</f>
        <v/>
      </c>
    </row>
    <row r="816" spans="1:16" ht="172.95" customHeight="1" x14ac:dyDescent="0.3">
      <c r="A816" s="6" t="str">
        <f>IF(ISNA(MATCH(803,Engine!$C$2:$C$1199,0)),"",INDEX('Compliance Database'!$A$2:$A$1199,MATCH(803,Engine!$C$2:$C$1199,0)))</f>
        <v/>
      </c>
      <c r="B816" s="6" t="str">
        <f>IF(ISNA(MATCH(803,Engine!$C$2:$C$1199,0)),"",INDEX('Compliance Database'!$B$2:$B$1199,MATCH(803,Engine!$C$2:$C$1199,0)))</f>
        <v/>
      </c>
      <c r="C816" s="6" t="str">
        <f>IF(ISNA(MATCH(803,Engine!$C$2:$C$1199,0)),"",INDEX('Compliance Database'!$C$2:$C$1199,MATCH(803,Engine!$C$2:$C$1199,0)))</f>
        <v/>
      </c>
      <c r="D816" s="7" t="str">
        <f>IF(ISNA(MATCH(803,Engine!$C$2:$C$1199,0)),"",INDEX('Compliance Database'!$D$2:$D$1199,MATCH(803,Engine!$C$2:$C$1199,0)))</f>
        <v/>
      </c>
      <c r="E816" s="6" t="str">
        <f>IF(ISNA(MATCH(803,Engine!$C$2:$C$1199,0)),"",INDEX('Compliance Database'!$E$2:$E$1199,MATCH(803,Engine!$C$2:$C$1199,0)))</f>
        <v/>
      </c>
      <c r="F816" s="6" t="str">
        <f>IF(ISNA(MATCH(803,Engine!$C$2:$C$1199,0)),"",INDEX('Compliance Database'!$F$2:$F$1199,MATCH(803,Engine!$C$2:$C$1199,0)))</f>
        <v/>
      </c>
      <c r="G816" s="6" t="str">
        <f>IF(ISNA(MATCH(803,Engine!$C$2:$C$1199,0)),"",INDEX('Compliance Database'!$G$2:$G$1199,MATCH(803,Engine!$C$2:$C$1199,0)))</f>
        <v/>
      </c>
      <c r="H816" s="7" t="str">
        <f>IF(ISNA(MATCH(803,Engine!$C$2:$C$1199,0)),"",INDEX('Compliance Database'!$H$2:$H$1199,MATCH(803,Engine!$C$2:$C$1199,0)))</f>
        <v/>
      </c>
      <c r="I816" s="7" t="str">
        <f>IF(ISNA(MATCH(803,Engine!$C$2:$C$1199,0)),"",INDEX('Compliance Database'!$I$2:$I$1199,MATCH(803,Engine!$C$2:$C$1199,0)))</f>
        <v/>
      </c>
      <c r="J816" s="6" t="str">
        <f>IF(ISNA(MATCH(803,Engine!$C$2:$C$1199,0)),"",INDEX('Compliance Database'!$J$2:$J$1199,MATCH(803,Engine!$C$2:$C$1199,0)))</f>
        <v/>
      </c>
      <c r="K816" s="7" t="str">
        <f>IF(ISNA(MATCH(803,Engine!$C$2:$C$1199,0)),"",INDEX('Compliance Database'!$K$2:$K$1199,MATCH(803,Engine!$C$2:$C$1199,0)))</f>
        <v/>
      </c>
      <c r="L816" s="7" t="str">
        <f>IF(ISNA(MATCH(803,Engine!$C$2:$C$1199,0)),"",INDEX('Compliance Database'!$L$2:$L$1199,MATCH(803,Engine!$C$2:$C$1199,0)))</f>
        <v/>
      </c>
      <c r="M816" s="7" t="str">
        <f>IF(ISNA(MATCH(803,Engine!$C$2:$C$1199,0)),"",INDEX('Compliance Database'!$M$2:$M$1199,MATCH(803,Engine!$C$2:$C$1199,0)))</f>
        <v/>
      </c>
      <c r="N816" s="7" t="str">
        <f>IF(ISNA(MATCH(803,Engine!$C$2:$C$1199,0)),"",INDEX('Compliance Database'!$N$2:$N$1199,MATCH(803,Engine!$C$2:$C$1199,0)))</f>
        <v/>
      </c>
      <c r="O816" s="7" t="str">
        <f>IF(ISNA(MATCH(803,Engine!$C$2:$C$1199,0)),"",INDEX('Compliance Database'!$O$2:$O$1199,MATCH(803,Engine!$C$2:$C$1199,0)))</f>
        <v/>
      </c>
      <c r="P816" s="6" t="str">
        <f>IF(ISNA(MATCH(803,Engine!$C$2:$C$1199,0)),"",HYPERLINK("#Acts!A"&amp;INDEX('Compliance Database'!$P$2:$P$1199,MATCH(803,Engine!$C$2:$C$1199,0)),"Go to Act"))</f>
        <v/>
      </c>
    </row>
    <row r="817" spans="1:16" ht="172.95" customHeight="1" x14ac:dyDescent="0.3">
      <c r="A817" s="6" t="str">
        <f>IF(ISNA(MATCH(804,Engine!$C$2:$C$1199,0)),"",INDEX('Compliance Database'!$A$2:$A$1199,MATCH(804,Engine!$C$2:$C$1199,0)))</f>
        <v/>
      </c>
      <c r="B817" s="6" t="str">
        <f>IF(ISNA(MATCH(804,Engine!$C$2:$C$1199,0)),"",INDEX('Compliance Database'!$B$2:$B$1199,MATCH(804,Engine!$C$2:$C$1199,0)))</f>
        <v/>
      </c>
      <c r="C817" s="6" t="str">
        <f>IF(ISNA(MATCH(804,Engine!$C$2:$C$1199,0)),"",INDEX('Compliance Database'!$C$2:$C$1199,MATCH(804,Engine!$C$2:$C$1199,0)))</f>
        <v/>
      </c>
      <c r="D817" s="7" t="str">
        <f>IF(ISNA(MATCH(804,Engine!$C$2:$C$1199,0)),"",INDEX('Compliance Database'!$D$2:$D$1199,MATCH(804,Engine!$C$2:$C$1199,0)))</f>
        <v/>
      </c>
      <c r="E817" s="6" t="str">
        <f>IF(ISNA(MATCH(804,Engine!$C$2:$C$1199,0)),"",INDEX('Compliance Database'!$E$2:$E$1199,MATCH(804,Engine!$C$2:$C$1199,0)))</f>
        <v/>
      </c>
      <c r="F817" s="6" t="str">
        <f>IF(ISNA(MATCH(804,Engine!$C$2:$C$1199,0)),"",INDEX('Compliance Database'!$F$2:$F$1199,MATCH(804,Engine!$C$2:$C$1199,0)))</f>
        <v/>
      </c>
      <c r="G817" s="6" t="str">
        <f>IF(ISNA(MATCH(804,Engine!$C$2:$C$1199,0)),"",INDEX('Compliance Database'!$G$2:$G$1199,MATCH(804,Engine!$C$2:$C$1199,0)))</f>
        <v/>
      </c>
      <c r="H817" s="7" t="str">
        <f>IF(ISNA(MATCH(804,Engine!$C$2:$C$1199,0)),"",INDEX('Compliance Database'!$H$2:$H$1199,MATCH(804,Engine!$C$2:$C$1199,0)))</f>
        <v/>
      </c>
      <c r="I817" s="7" t="str">
        <f>IF(ISNA(MATCH(804,Engine!$C$2:$C$1199,0)),"",INDEX('Compliance Database'!$I$2:$I$1199,MATCH(804,Engine!$C$2:$C$1199,0)))</f>
        <v/>
      </c>
      <c r="J817" s="6" t="str">
        <f>IF(ISNA(MATCH(804,Engine!$C$2:$C$1199,0)),"",INDEX('Compliance Database'!$J$2:$J$1199,MATCH(804,Engine!$C$2:$C$1199,0)))</f>
        <v/>
      </c>
      <c r="K817" s="7" t="str">
        <f>IF(ISNA(MATCH(804,Engine!$C$2:$C$1199,0)),"",INDEX('Compliance Database'!$K$2:$K$1199,MATCH(804,Engine!$C$2:$C$1199,0)))</f>
        <v/>
      </c>
      <c r="L817" s="7" t="str">
        <f>IF(ISNA(MATCH(804,Engine!$C$2:$C$1199,0)),"",INDEX('Compliance Database'!$L$2:$L$1199,MATCH(804,Engine!$C$2:$C$1199,0)))</f>
        <v/>
      </c>
      <c r="M817" s="7" t="str">
        <f>IF(ISNA(MATCH(804,Engine!$C$2:$C$1199,0)),"",INDEX('Compliance Database'!$M$2:$M$1199,MATCH(804,Engine!$C$2:$C$1199,0)))</f>
        <v/>
      </c>
      <c r="N817" s="7" t="str">
        <f>IF(ISNA(MATCH(804,Engine!$C$2:$C$1199,0)),"",INDEX('Compliance Database'!$N$2:$N$1199,MATCH(804,Engine!$C$2:$C$1199,0)))</f>
        <v/>
      </c>
      <c r="O817" s="7" t="str">
        <f>IF(ISNA(MATCH(804,Engine!$C$2:$C$1199,0)),"",INDEX('Compliance Database'!$O$2:$O$1199,MATCH(804,Engine!$C$2:$C$1199,0)))</f>
        <v/>
      </c>
      <c r="P817" s="6" t="str">
        <f>IF(ISNA(MATCH(804,Engine!$C$2:$C$1199,0)),"",HYPERLINK("#Acts!A"&amp;INDEX('Compliance Database'!$P$2:$P$1199,MATCH(804,Engine!$C$2:$C$1199,0)),"Go to Act"))</f>
        <v/>
      </c>
    </row>
    <row r="818" spans="1:16" ht="172.95" customHeight="1" x14ac:dyDescent="0.3">
      <c r="A818" s="6" t="str">
        <f>IF(ISNA(MATCH(805,Engine!$C$2:$C$1199,0)),"",INDEX('Compliance Database'!$A$2:$A$1199,MATCH(805,Engine!$C$2:$C$1199,0)))</f>
        <v/>
      </c>
      <c r="B818" s="6" t="str">
        <f>IF(ISNA(MATCH(805,Engine!$C$2:$C$1199,0)),"",INDEX('Compliance Database'!$B$2:$B$1199,MATCH(805,Engine!$C$2:$C$1199,0)))</f>
        <v/>
      </c>
      <c r="C818" s="6" t="str">
        <f>IF(ISNA(MATCH(805,Engine!$C$2:$C$1199,0)),"",INDEX('Compliance Database'!$C$2:$C$1199,MATCH(805,Engine!$C$2:$C$1199,0)))</f>
        <v/>
      </c>
      <c r="D818" s="7" t="str">
        <f>IF(ISNA(MATCH(805,Engine!$C$2:$C$1199,0)),"",INDEX('Compliance Database'!$D$2:$D$1199,MATCH(805,Engine!$C$2:$C$1199,0)))</f>
        <v/>
      </c>
      <c r="E818" s="6" t="str">
        <f>IF(ISNA(MATCH(805,Engine!$C$2:$C$1199,0)),"",INDEX('Compliance Database'!$E$2:$E$1199,MATCH(805,Engine!$C$2:$C$1199,0)))</f>
        <v/>
      </c>
      <c r="F818" s="6" t="str">
        <f>IF(ISNA(MATCH(805,Engine!$C$2:$C$1199,0)),"",INDEX('Compliance Database'!$F$2:$F$1199,MATCH(805,Engine!$C$2:$C$1199,0)))</f>
        <v/>
      </c>
      <c r="G818" s="6" t="str">
        <f>IF(ISNA(MATCH(805,Engine!$C$2:$C$1199,0)),"",INDEX('Compliance Database'!$G$2:$G$1199,MATCH(805,Engine!$C$2:$C$1199,0)))</f>
        <v/>
      </c>
      <c r="H818" s="7" t="str">
        <f>IF(ISNA(MATCH(805,Engine!$C$2:$C$1199,0)),"",INDEX('Compliance Database'!$H$2:$H$1199,MATCH(805,Engine!$C$2:$C$1199,0)))</f>
        <v/>
      </c>
      <c r="I818" s="7" t="str">
        <f>IF(ISNA(MATCH(805,Engine!$C$2:$C$1199,0)),"",INDEX('Compliance Database'!$I$2:$I$1199,MATCH(805,Engine!$C$2:$C$1199,0)))</f>
        <v/>
      </c>
      <c r="J818" s="6" t="str">
        <f>IF(ISNA(MATCH(805,Engine!$C$2:$C$1199,0)),"",INDEX('Compliance Database'!$J$2:$J$1199,MATCH(805,Engine!$C$2:$C$1199,0)))</f>
        <v/>
      </c>
      <c r="K818" s="7" t="str">
        <f>IF(ISNA(MATCH(805,Engine!$C$2:$C$1199,0)),"",INDEX('Compliance Database'!$K$2:$K$1199,MATCH(805,Engine!$C$2:$C$1199,0)))</f>
        <v/>
      </c>
      <c r="L818" s="7" t="str">
        <f>IF(ISNA(MATCH(805,Engine!$C$2:$C$1199,0)),"",INDEX('Compliance Database'!$L$2:$L$1199,MATCH(805,Engine!$C$2:$C$1199,0)))</f>
        <v/>
      </c>
      <c r="M818" s="7" t="str">
        <f>IF(ISNA(MATCH(805,Engine!$C$2:$C$1199,0)),"",INDEX('Compliance Database'!$M$2:$M$1199,MATCH(805,Engine!$C$2:$C$1199,0)))</f>
        <v/>
      </c>
      <c r="N818" s="7" t="str">
        <f>IF(ISNA(MATCH(805,Engine!$C$2:$C$1199,0)),"",INDEX('Compliance Database'!$N$2:$N$1199,MATCH(805,Engine!$C$2:$C$1199,0)))</f>
        <v/>
      </c>
      <c r="O818" s="7" t="str">
        <f>IF(ISNA(MATCH(805,Engine!$C$2:$C$1199,0)),"",INDEX('Compliance Database'!$O$2:$O$1199,MATCH(805,Engine!$C$2:$C$1199,0)))</f>
        <v/>
      </c>
      <c r="P818" s="6" t="str">
        <f>IF(ISNA(MATCH(805,Engine!$C$2:$C$1199,0)),"",HYPERLINK("#Acts!A"&amp;INDEX('Compliance Database'!$P$2:$P$1199,MATCH(805,Engine!$C$2:$C$1199,0)),"Go to Act"))</f>
        <v/>
      </c>
    </row>
    <row r="819" spans="1:16" ht="172.95" customHeight="1" x14ac:dyDescent="0.3">
      <c r="A819" s="6" t="str">
        <f>IF(ISNA(MATCH(806,Engine!$C$2:$C$1199,0)),"",INDEX('Compliance Database'!$A$2:$A$1199,MATCH(806,Engine!$C$2:$C$1199,0)))</f>
        <v/>
      </c>
      <c r="B819" s="6" t="str">
        <f>IF(ISNA(MATCH(806,Engine!$C$2:$C$1199,0)),"",INDEX('Compliance Database'!$B$2:$B$1199,MATCH(806,Engine!$C$2:$C$1199,0)))</f>
        <v/>
      </c>
      <c r="C819" s="6" t="str">
        <f>IF(ISNA(MATCH(806,Engine!$C$2:$C$1199,0)),"",INDEX('Compliance Database'!$C$2:$C$1199,MATCH(806,Engine!$C$2:$C$1199,0)))</f>
        <v/>
      </c>
      <c r="D819" s="7" t="str">
        <f>IF(ISNA(MATCH(806,Engine!$C$2:$C$1199,0)),"",INDEX('Compliance Database'!$D$2:$D$1199,MATCH(806,Engine!$C$2:$C$1199,0)))</f>
        <v/>
      </c>
      <c r="E819" s="6" t="str">
        <f>IF(ISNA(MATCH(806,Engine!$C$2:$C$1199,0)),"",INDEX('Compliance Database'!$E$2:$E$1199,MATCH(806,Engine!$C$2:$C$1199,0)))</f>
        <v/>
      </c>
      <c r="F819" s="6" t="str">
        <f>IF(ISNA(MATCH(806,Engine!$C$2:$C$1199,0)),"",INDEX('Compliance Database'!$F$2:$F$1199,MATCH(806,Engine!$C$2:$C$1199,0)))</f>
        <v/>
      </c>
      <c r="G819" s="6" t="str">
        <f>IF(ISNA(MATCH(806,Engine!$C$2:$C$1199,0)),"",INDEX('Compliance Database'!$G$2:$G$1199,MATCH(806,Engine!$C$2:$C$1199,0)))</f>
        <v/>
      </c>
      <c r="H819" s="7" t="str">
        <f>IF(ISNA(MATCH(806,Engine!$C$2:$C$1199,0)),"",INDEX('Compliance Database'!$H$2:$H$1199,MATCH(806,Engine!$C$2:$C$1199,0)))</f>
        <v/>
      </c>
      <c r="I819" s="7" t="str">
        <f>IF(ISNA(MATCH(806,Engine!$C$2:$C$1199,0)),"",INDEX('Compliance Database'!$I$2:$I$1199,MATCH(806,Engine!$C$2:$C$1199,0)))</f>
        <v/>
      </c>
      <c r="J819" s="6" t="str">
        <f>IF(ISNA(MATCH(806,Engine!$C$2:$C$1199,0)),"",INDEX('Compliance Database'!$J$2:$J$1199,MATCH(806,Engine!$C$2:$C$1199,0)))</f>
        <v/>
      </c>
      <c r="K819" s="7" t="str">
        <f>IF(ISNA(MATCH(806,Engine!$C$2:$C$1199,0)),"",INDEX('Compliance Database'!$K$2:$K$1199,MATCH(806,Engine!$C$2:$C$1199,0)))</f>
        <v/>
      </c>
      <c r="L819" s="7" t="str">
        <f>IF(ISNA(MATCH(806,Engine!$C$2:$C$1199,0)),"",INDEX('Compliance Database'!$L$2:$L$1199,MATCH(806,Engine!$C$2:$C$1199,0)))</f>
        <v/>
      </c>
      <c r="M819" s="7" t="str">
        <f>IF(ISNA(MATCH(806,Engine!$C$2:$C$1199,0)),"",INDEX('Compliance Database'!$M$2:$M$1199,MATCH(806,Engine!$C$2:$C$1199,0)))</f>
        <v/>
      </c>
      <c r="N819" s="7" t="str">
        <f>IF(ISNA(MATCH(806,Engine!$C$2:$C$1199,0)),"",INDEX('Compliance Database'!$N$2:$N$1199,MATCH(806,Engine!$C$2:$C$1199,0)))</f>
        <v/>
      </c>
      <c r="O819" s="7" t="str">
        <f>IF(ISNA(MATCH(806,Engine!$C$2:$C$1199,0)),"",INDEX('Compliance Database'!$O$2:$O$1199,MATCH(806,Engine!$C$2:$C$1199,0)))</f>
        <v/>
      </c>
      <c r="P819" s="6" t="str">
        <f>IF(ISNA(MATCH(806,Engine!$C$2:$C$1199,0)),"",HYPERLINK("#Acts!A"&amp;INDEX('Compliance Database'!$P$2:$P$1199,MATCH(806,Engine!$C$2:$C$1199,0)),"Go to Act"))</f>
        <v/>
      </c>
    </row>
    <row r="820" spans="1:16" ht="172.95" customHeight="1" x14ac:dyDescent="0.3">
      <c r="A820" s="6" t="str">
        <f>IF(ISNA(MATCH(807,Engine!$C$2:$C$1199,0)),"",INDEX('Compliance Database'!$A$2:$A$1199,MATCH(807,Engine!$C$2:$C$1199,0)))</f>
        <v/>
      </c>
      <c r="B820" s="6" t="str">
        <f>IF(ISNA(MATCH(807,Engine!$C$2:$C$1199,0)),"",INDEX('Compliance Database'!$B$2:$B$1199,MATCH(807,Engine!$C$2:$C$1199,0)))</f>
        <v/>
      </c>
      <c r="C820" s="6" t="str">
        <f>IF(ISNA(MATCH(807,Engine!$C$2:$C$1199,0)),"",INDEX('Compliance Database'!$C$2:$C$1199,MATCH(807,Engine!$C$2:$C$1199,0)))</f>
        <v/>
      </c>
      <c r="D820" s="7" t="str">
        <f>IF(ISNA(MATCH(807,Engine!$C$2:$C$1199,0)),"",INDEX('Compliance Database'!$D$2:$D$1199,MATCH(807,Engine!$C$2:$C$1199,0)))</f>
        <v/>
      </c>
      <c r="E820" s="6" t="str">
        <f>IF(ISNA(MATCH(807,Engine!$C$2:$C$1199,0)),"",INDEX('Compliance Database'!$E$2:$E$1199,MATCH(807,Engine!$C$2:$C$1199,0)))</f>
        <v/>
      </c>
      <c r="F820" s="6" t="str">
        <f>IF(ISNA(MATCH(807,Engine!$C$2:$C$1199,0)),"",INDEX('Compliance Database'!$F$2:$F$1199,MATCH(807,Engine!$C$2:$C$1199,0)))</f>
        <v/>
      </c>
      <c r="G820" s="6" t="str">
        <f>IF(ISNA(MATCH(807,Engine!$C$2:$C$1199,0)),"",INDEX('Compliance Database'!$G$2:$G$1199,MATCH(807,Engine!$C$2:$C$1199,0)))</f>
        <v/>
      </c>
      <c r="H820" s="7" t="str">
        <f>IF(ISNA(MATCH(807,Engine!$C$2:$C$1199,0)),"",INDEX('Compliance Database'!$H$2:$H$1199,MATCH(807,Engine!$C$2:$C$1199,0)))</f>
        <v/>
      </c>
      <c r="I820" s="7" t="str">
        <f>IF(ISNA(MATCH(807,Engine!$C$2:$C$1199,0)),"",INDEX('Compliance Database'!$I$2:$I$1199,MATCH(807,Engine!$C$2:$C$1199,0)))</f>
        <v/>
      </c>
      <c r="J820" s="6" t="str">
        <f>IF(ISNA(MATCH(807,Engine!$C$2:$C$1199,0)),"",INDEX('Compliance Database'!$J$2:$J$1199,MATCH(807,Engine!$C$2:$C$1199,0)))</f>
        <v/>
      </c>
      <c r="K820" s="7" t="str">
        <f>IF(ISNA(MATCH(807,Engine!$C$2:$C$1199,0)),"",INDEX('Compliance Database'!$K$2:$K$1199,MATCH(807,Engine!$C$2:$C$1199,0)))</f>
        <v/>
      </c>
      <c r="L820" s="7" t="str">
        <f>IF(ISNA(MATCH(807,Engine!$C$2:$C$1199,0)),"",INDEX('Compliance Database'!$L$2:$L$1199,MATCH(807,Engine!$C$2:$C$1199,0)))</f>
        <v/>
      </c>
      <c r="M820" s="7" t="str">
        <f>IF(ISNA(MATCH(807,Engine!$C$2:$C$1199,0)),"",INDEX('Compliance Database'!$M$2:$M$1199,MATCH(807,Engine!$C$2:$C$1199,0)))</f>
        <v/>
      </c>
      <c r="N820" s="7" t="str">
        <f>IF(ISNA(MATCH(807,Engine!$C$2:$C$1199,0)),"",INDEX('Compliance Database'!$N$2:$N$1199,MATCH(807,Engine!$C$2:$C$1199,0)))</f>
        <v/>
      </c>
      <c r="O820" s="7" t="str">
        <f>IF(ISNA(MATCH(807,Engine!$C$2:$C$1199,0)),"",INDEX('Compliance Database'!$O$2:$O$1199,MATCH(807,Engine!$C$2:$C$1199,0)))</f>
        <v/>
      </c>
      <c r="P820" s="6" t="str">
        <f>IF(ISNA(MATCH(807,Engine!$C$2:$C$1199,0)),"",HYPERLINK("#Acts!A"&amp;INDEX('Compliance Database'!$P$2:$P$1199,MATCH(807,Engine!$C$2:$C$1199,0)),"Go to Act"))</f>
        <v/>
      </c>
    </row>
    <row r="821" spans="1:16" ht="172.95" customHeight="1" x14ac:dyDescent="0.3">
      <c r="A821" s="6" t="str">
        <f>IF(ISNA(MATCH(808,Engine!$C$2:$C$1199,0)),"",INDEX('Compliance Database'!$A$2:$A$1199,MATCH(808,Engine!$C$2:$C$1199,0)))</f>
        <v/>
      </c>
      <c r="B821" s="6" t="str">
        <f>IF(ISNA(MATCH(808,Engine!$C$2:$C$1199,0)),"",INDEX('Compliance Database'!$B$2:$B$1199,MATCH(808,Engine!$C$2:$C$1199,0)))</f>
        <v/>
      </c>
      <c r="C821" s="6" t="str">
        <f>IF(ISNA(MATCH(808,Engine!$C$2:$C$1199,0)),"",INDEX('Compliance Database'!$C$2:$C$1199,MATCH(808,Engine!$C$2:$C$1199,0)))</f>
        <v/>
      </c>
      <c r="D821" s="7" t="str">
        <f>IF(ISNA(MATCH(808,Engine!$C$2:$C$1199,0)),"",INDEX('Compliance Database'!$D$2:$D$1199,MATCH(808,Engine!$C$2:$C$1199,0)))</f>
        <v/>
      </c>
      <c r="E821" s="6" t="str">
        <f>IF(ISNA(MATCH(808,Engine!$C$2:$C$1199,0)),"",INDEX('Compliance Database'!$E$2:$E$1199,MATCH(808,Engine!$C$2:$C$1199,0)))</f>
        <v/>
      </c>
      <c r="F821" s="6" t="str">
        <f>IF(ISNA(MATCH(808,Engine!$C$2:$C$1199,0)),"",INDEX('Compliance Database'!$F$2:$F$1199,MATCH(808,Engine!$C$2:$C$1199,0)))</f>
        <v/>
      </c>
      <c r="G821" s="6" t="str">
        <f>IF(ISNA(MATCH(808,Engine!$C$2:$C$1199,0)),"",INDEX('Compliance Database'!$G$2:$G$1199,MATCH(808,Engine!$C$2:$C$1199,0)))</f>
        <v/>
      </c>
      <c r="H821" s="7" t="str">
        <f>IF(ISNA(MATCH(808,Engine!$C$2:$C$1199,0)),"",INDEX('Compliance Database'!$H$2:$H$1199,MATCH(808,Engine!$C$2:$C$1199,0)))</f>
        <v/>
      </c>
      <c r="I821" s="7" t="str">
        <f>IF(ISNA(MATCH(808,Engine!$C$2:$C$1199,0)),"",INDEX('Compliance Database'!$I$2:$I$1199,MATCH(808,Engine!$C$2:$C$1199,0)))</f>
        <v/>
      </c>
      <c r="J821" s="6" t="str">
        <f>IF(ISNA(MATCH(808,Engine!$C$2:$C$1199,0)),"",INDEX('Compliance Database'!$J$2:$J$1199,MATCH(808,Engine!$C$2:$C$1199,0)))</f>
        <v/>
      </c>
      <c r="K821" s="7" t="str">
        <f>IF(ISNA(MATCH(808,Engine!$C$2:$C$1199,0)),"",INDEX('Compliance Database'!$K$2:$K$1199,MATCH(808,Engine!$C$2:$C$1199,0)))</f>
        <v/>
      </c>
      <c r="L821" s="7" t="str">
        <f>IF(ISNA(MATCH(808,Engine!$C$2:$C$1199,0)),"",INDEX('Compliance Database'!$L$2:$L$1199,MATCH(808,Engine!$C$2:$C$1199,0)))</f>
        <v/>
      </c>
      <c r="M821" s="7" t="str">
        <f>IF(ISNA(MATCH(808,Engine!$C$2:$C$1199,0)),"",INDEX('Compliance Database'!$M$2:$M$1199,MATCH(808,Engine!$C$2:$C$1199,0)))</f>
        <v/>
      </c>
      <c r="N821" s="7" t="str">
        <f>IF(ISNA(MATCH(808,Engine!$C$2:$C$1199,0)),"",INDEX('Compliance Database'!$N$2:$N$1199,MATCH(808,Engine!$C$2:$C$1199,0)))</f>
        <v/>
      </c>
      <c r="O821" s="7" t="str">
        <f>IF(ISNA(MATCH(808,Engine!$C$2:$C$1199,0)),"",INDEX('Compliance Database'!$O$2:$O$1199,MATCH(808,Engine!$C$2:$C$1199,0)))</f>
        <v/>
      </c>
      <c r="P821" s="6" t="str">
        <f>IF(ISNA(MATCH(808,Engine!$C$2:$C$1199,0)),"",HYPERLINK("#Acts!A"&amp;INDEX('Compliance Database'!$P$2:$P$1199,MATCH(808,Engine!$C$2:$C$1199,0)),"Go to Act"))</f>
        <v/>
      </c>
    </row>
    <row r="822" spans="1:16" ht="172.95" customHeight="1" x14ac:dyDescent="0.3">
      <c r="A822" s="6" t="str">
        <f>IF(ISNA(MATCH(809,Engine!$C$2:$C$1199,0)),"",INDEX('Compliance Database'!$A$2:$A$1199,MATCH(809,Engine!$C$2:$C$1199,0)))</f>
        <v/>
      </c>
      <c r="B822" s="6" t="str">
        <f>IF(ISNA(MATCH(809,Engine!$C$2:$C$1199,0)),"",INDEX('Compliance Database'!$B$2:$B$1199,MATCH(809,Engine!$C$2:$C$1199,0)))</f>
        <v/>
      </c>
      <c r="C822" s="6" t="str">
        <f>IF(ISNA(MATCH(809,Engine!$C$2:$C$1199,0)),"",INDEX('Compliance Database'!$C$2:$C$1199,MATCH(809,Engine!$C$2:$C$1199,0)))</f>
        <v/>
      </c>
      <c r="D822" s="7" t="str">
        <f>IF(ISNA(MATCH(809,Engine!$C$2:$C$1199,0)),"",INDEX('Compliance Database'!$D$2:$D$1199,MATCH(809,Engine!$C$2:$C$1199,0)))</f>
        <v/>
      </c>
      <c r="E822" s="6" t="str">
        <f>IF(ISNA(MATCH(809,Engine!$C$2:$C$1199,0)),"",INDEX('Compliance Database'!$E$2:$E$1199,MATCH(809,Engine!$C$2:$C$1199,0)))</f>
        <v/>
      </c>
      <c r="F822" s="6" t="str">
        <f>IF(ISNA(MATCH(809,Engine!$C$2:$C$1199,0)),"",INDEX('Compliance Database'!$F$2:$F$1199,MATCH(809,Engine!$C$2:$C$1199,0)))</f>
        <v/>
      </c>
      <c r="G822" s="6" t="str">
        <f>IF(ISNA(MATCH(809,Engine!$C$2:$C$1199,0)),"",INDEX('Compliance Database'!$G$2:$G$1199,MATCH(809,Engine!$C$2:$C$1199,0)))</f>
        <v/>
      </c>
      <c r="H822" s="7" t="str">
        <f>IF(ISNA(MATCH(809,Engine!$C$2:$C$1199,0)),"",INDEX('Compliance Database'!$H$2:$H$1199,MATCH(809,Engine!$C$2:$C$1199,0)))</f>
        <v/>
      </c>
      <c r="I822" s="7" t="str">
        <f>IF(ISNA(MATCH(809,Engine!$C$2:$C$1199,0)),"",INDEX('Compliance Database'!$I$2:$I$1199,MATCH(809,Engine!$C$2:$C$1199,0)))</f>
        <v/>
      </c>
      <c r="J822" s="6" t="str">
        <f>IF(ISNA(MATCH(809,Engine!$C$2:$C$1199,0)),"",INDEX('Compliance Database'!$J$2:$J$1199,MATCH(809,Engine!$C$2:$C$1199,0)))</f>
        <v/>
      </c>
      <c r="K822" s="7" t="str">
        <f>IF(ISNA(MATCH(809,Engine!$C$2:$C$1199,0)),"",INDEX('Compliance Database'!$K$2:$K$1199,MATCH(809,Engine!$C$2:$C$1199,0)))</f>
        <v/>
      </c>
      <c r="L822" s="7" t="str">
        <f>IF(ISNA(MATCH(809,Engine!$C$2:$C$1199,0)),"",INDEX('Compliance Database'!$L$2:$L$1199,MATCH(809,Engine!$C$2:$C$1199,0)))</f>
        <v/>
      </c>
      <c r="M822" s="7" t="str">
        <f>IF(ISNA(MATCH(809,Engine!$C$2:$C$1199,0)),"",INDEX('Compliance Database'!$M$2:$M$1199,MATCH(809,Engine!$C$2:$C$1199,0)))</f>
        <v/>
      </c>
      <c r="N822" s="7" t="str">
        <f>IF(ISNA(MATCH(809,Engine!$C$2:$C$1199,0)),"",INDEX('Compliance Database'!$N$2:$N$1199,MATCH(809,Engine!$C$2:$C$1199,0)))</f>
        <v/>
      </c>
      <c r="O822" s="7" t="str">
        <f>IF(ISNA(MATCH(809,Engine!$C$2:$C$1199,0)),"",INDEX('Compliance Database'!$O$2:$O$1199,MATCH(809,Engine!$C$2:$C$1199,0)))</f>
        <v/>
      </c>
      <c r="P822" s="6" t="str">
        <f>IF(ISNA(MATCH(809,Engine!$C$2:$C$1199,0)),"",HYPERLINK("#Acts!A"&amp;INDEX('Compliance Database'!$P$2:$P$1199,MATCH(809,Engine!$C$2:$C$1199,0)),"Go to Act"))</f>
        <v/>
      </c>
    </row>
    <row r="823" spans="1:16" ht="172.95" customHeight="1" x14ac:dyDescent="0.3">
      <c r="A823" s="6" t="str">
        <f>IF(ISNA(MATCH(810,Engine!$C$2:$C$1199,0)),"",INDEX('Compliance Database'!$A$2:$A$1199,MATCH(810,Engine!$C$2:$C$1199,0)))</f>
        <v/>
      </c>
      <c r="B823" s="6" t="str">
        <f>IF(ISNA(MATCH(810,Engine!$C$2:$C$1199,0)),"",INDEX('Compliance Database'!$B$2:$B$1199,MATCH(810,Engine!$C$2:$C$1199,0)))</f>
        <v/>
      </c>
      <c r="C823" s="6" t="str">
        <f>IF(ISNA(MATCH(810,Engine!$C$2:$C$1199,0)),"",INDEX('Compliance Database'!$C$2:$C$1199,MATCH(810,Engine!$C$2:$C$1199,0)))</f>
        <v/>
      </c>
      <c r="D823" s="7" t="str">
        <f>IF(ISNA(MATCH(810,Engine!$C$2:$C$1199,0)),"",INDEX('Compliance Database'!$D$2:$D$1199,MATCH(810,Engine!$C$2:$C$1199,0)))</f>
        <v/>
      </c>
      <c r="E823" s="6" t="str">
        <f>IF(ISNA(MATCH(810,Engine!$C$2:$C$1199,0)),"",INDEX('Compliance Database'!$E$2:$E$1199,MATCH(810,Engine!$C$2:$C$1199,0)))</f>
        <v/>
      </c>
      <c r="F823" s="6" t="str">
        <f>IF(ISNA(MATCH(810,Engine!$C$2:$C$1199,0)),"",INDEX('Compliance Database'!$F$2:$F$1199,MATCH(810,Engine!$C$2:$C$1199,0)))</f>
        <v/>
      </c>
      <c r="G823" s="6" t="str">
        <f>IF(ISNA(MATCH(810,Engine!$C$2:$C$1199,0)),"",INDEX('Compliance Database'!$G$2:$G$1199,MATCH(810,Engine!$C$2:$C$1199,0)))</f>
        <v/>
      </c>
      <c r="H823" s="7" t="str">
        <f>IF(ISNA(MATCH(810,Engine!$C$2:$C$1199,0)),"",INDEX('Compliance Database'!$H$2:$H$1199,MATCH(810,Engine!$C$2:$C$1199,0)))</f>
        <v/>
      </c>
      <c r="I823" s="7" t="str">
        <f>IF(ISNA(MATCH(810,Engine!$C$2:$C$1199,0)),"",INDEX('Compliance Database'!$I$2:$I$1199,MATCH(810,Engine!$C$2:$C$1199,0)))</f>
        <v/>
      </c>
      <c r="J823" s="6" t="str">
        <f>IF(ISNA(MATCH(810,Engine!$C$2:$C$1199,0)),"",INDEX('Compliance Database'!$J$2:$J$1199,MATCH(810,Engine!$C$2:$C$1199,0)))</f>
        <v/>
      </c>
      <c r="K823" s="7" t="str">
        <f>IF(ISNA(MATCH(810,Engine!$C$2:$C$1199,0)),"",INDEX('Compliance Database'!$K$2:$K$1199,MATCH(810,Engine!$C$2:$C$1199,0)))</f>
        <v/>
      </c>
      <c r="L823" s="7" t="str">
        <f>IF(ISNA(MATCH(810,Engine!$C$2:$C$1199,0)),"",INDEX('Compliance Database'!$L$2:$L$1199,MATCH(810,Engine!$C$2:$C$1199,0)))</f>
        <v/>
      </c>
      <c r="M823" s="7" t="str">
        <f>IF(ISNA(MATCH(810,Engine!$C$2:$C$1199,0)),"",INDEX('Compliance Database'!$M$2:$M$1199,MATCH(810,Engine!$C$2:$C$1199,0)))</f>
        <v/>
      </c>
      <c r="N823" s="7" t="str">
        <f>IF(ISNA(MATCH(810,Engine!$C$2:$C$1199,0)),"",INDEX('Compliance Database'!$N$2:$N$1199,MATCH(810,Engine!$C$2:$C$1199,0)))</f>
        <v/>
      </c>
      <c r="O823" s="7" t="str">
        <f>IF(ISNA(MATCH(810,Engine!$C$2:$C$1199,0)),"",INDEX('Compliance Database'!$O$2:$O$1199,MATCH(810,Engine!$C$2:$C$1199,0)))</f>
        <v/>
      </c>
      <c r="P823" s="6" t="str">
        <f>IF(ISNA(MATCH(810,Engine!$C$2:$C$1199,0)),"",HYPERLINK("#Acts!A"&amp;INDEX('Compliance Database'!$P$2:$P$1199,MATCH(810,Engine!$C$2:$C$1199,0)),"Go to Act"))</f>
        <v/>
      </c>
    </row>
    <row r="824" spans="1:16" ht="172.95" customHeight="1" x14ac:dyDescent="0.3">
      <c r="A824" s="6" t="str">
        <f>IF(ISNA(MATCH(811,Engine!$C$2:$C$1199,0)),"",INDEX('Compliance Database'!$A$2:$A$1199,MATCH(811,Engine!$C$2:$C$1199,0)))</f>
        <v/>
      </c>
      <c r="B824" s="6" t="str">
        <f>IF(ISNA(MATCH(811,Engine!$C$2:$C$1199,0)),"",INDEX('Compliance Database'!$B$2:$B$1199,MATCH(811,Engine!$C$2:$C$1199,0)))</f>
        <v/>
      </c>
      <c r="C824" s="6" t="str">
        <f>IF(ISNA(MATCH(811,Engine!$C$2:$C$1199,0)),"",INDEX('Compliance Database'!$C$2:$C$1199,MATCH(811,Engine!$C$2:$C$1199,0)))</f>
        <v/>
      </c>
      <c r="D824" s="7" t="str">
        <f>IF(ISNA(MATCH(811,Engine!$C$2:$C$1199,0)),"",INDEX('Compliance Database'!$D$2:$D$1199,MATCH(811,Engine!$C$2:$C$1199,0)))</f>
        <v/>
      </c>
      <c r="E824" s="6" t="str">
        <f>IF(ISNA(MATCH(811,Engine!$C$2:$C$1199,0)),"",INDEX('Compliance Database'!$E$2:$E$1199,MATCH(811,Engine!$C$2:$C$1199,0)))</f>
        <v/>
      </c>
      <c r="F824" s="6" t="str">
        <f>IF(ISNA(MATCH(811,Engine!$C$2:$C$1199,0)),"",INDEX('Compliance Database'!$F$2:$F$1199,MATCH(811,Engine!$C$2:$C$1199,0)))</f>
        <v/>
      </c>
      <c r="G824" s="6" t="str">
        <f>IF(ISNA(MATCH(811,Engine!$C$2:$C$1199,0)),"",INDEX('Compliance Database'!$G$2:$G$1199,MATCH(811,Engine!$C$2:$C$1199,0)))</f>
        <v/>
      </c>
      <c r="H824" s="7" t="str">
        <f>IF(ISNA(MATCH(811,Engine!$C$2:$C$1199,0)),"",INDEX('Compliance Database'!$H$2:$H$1199,MATCH(811,Engine!$C$2:$C$1199,0)))</f>
        <v/>
      </c>
      <c r="I824" s="7" t="str">
        <f>IF(ISNA(MATCH(811,Engine!$C$2:$C$1199,0)),"",INDEX('Compliance Database'!$I$2:$I$1199,MATCH(811,Engine!$C$2:$C$1199,0)))</f>
        <v/>
      </c>
      <c r="J824" s="6" t="str">
        <f>IF(ISNA(MATCH(811,Engine!$C$2:$C$1199,0)),"",INDEX('Compliance Database'!$J$2:$J$1199,MATCH(811,Engine!$C$2:$C$1199,0)))</f>
        <v/>
      </c>
      <c r="K824" s="7" t="str">
        <f>IF(ISNA(MATCH(811,Engine!$C$2:$C$1199,0)),"",INDEX('Compliance Database'!$K$2:$K$1199,MATCH(811,Engine!$C$2:$C$1199,0)))</f>
        <v/>
      </c>
      <c r="L824" s="7" t="str">
        <f>IF(ISNA(MATCH(811,Engine!$C$2:$C$1199,0)),"",INDEX('Compliance Database'!$L$2:$L$1199,MATCH(811,Engine!$C$2:$C$1199,0)))</f>
        <v/>
      </c>
      <c r="M824" s="7" t="str">
        <f>IF(ISNA(MATCH(811,Engine!$C$2:$C$1199,0)),"",INDEX('Compliance Database'!$M$2:$M$1199,MATCH(811,Engine!$C$2:$C$1199,0)))</f>
        <v/>
      </c>
      <c r="N824" s="7" t="str">
        <f>IF(ISNA(MATCH(811,Engine!$C$2:$C$1199,0)),"",INDEX('Compliance Database'!$N$2:$N$1199,MATCH(811,Engine!$C$2:$C$1199,0)))</f>
        <v/>
      </c>
      <c r="O824" s="7" t="str">
        <f>IF(ISNA(MATCH(811,Engine!$C$2:$C$1199,0)),"",INDEX('Compliance Database'!$O$2:$O$1199,MATCH(811,Engine!$C$2:$C$1199,0)))</f>
        <v/>
      </c>
      <c r="P824" s="6" t="str">
        <f>IF(ISNA(MATCH(811,Engine!$C$2:$C$1199,0)),"",HYPERLINK("#Acts!A"&amp;INDEX('Compliance Database'!$P$2:$P$1199,MATCH(811,Engine!$C$2:$C$1199,0)),"Go to Act"))</f>
        <v/>
      </c>
    </row>
    <row r="825" spans="1:16" ht="172.95" customHeight="1" x14ac:dyDescent="0.3">
      <c r="A825" s="6" t="str">
        <f>IF(ISNA(MATCH(812,Engine!$C$2:$C$1199,0)),"",INDEX('Compliance Database'!$A$2:$A$1199,MATCH(812,Engine!$C$2:$C$1199,0)))</f>
        <v/>
      </c>
      <c r="B825" s="6" t="str">
        <f>IF(ISNA(MATCH(812,Engine!$C$2:$C$1199,0)),"",INDEX('Compliance Database'!$B$2:$B$1199,MATCH(812,Engine!$C$2:$C$1199,0)))</f>
        <v/>
      </c>
      <c r="C825" s="6" t="str">
        <f>IF(ISNA(MATCH(812,Engine!$C$2:$C$1199,0)),"",INDEX('Compliance Database'!$C$2:$C$1199,MATCH(812,Engine!$C$2:$C$1199,0)))</f>
        <v/>
      </c>
      <c r="D825" s="7" t="str">
        <f>IF(ISNA(MATCH(812,Engine!$C$2:$C$1199,0)),"",INDEX('Compliance Database'!$D$2:$D$1199,MATCH(812,Engine!$C$2:$C$1199,0)))</f>
        <v/>
      </c>
      <c r="E825" s="6" t="str">
        <f>IF(ISNA(MATCH(812,Engine!$C$2:$C$1199,0)),"",INDEX('Compliance Database'!$E$2:$E$1199,MATCH(812,Engine!$C$2:$C$1199,0)))</f>
        <v/>
      </c>
      <c r="F825" s="6" t="str">
        <f>IF(ISNA(MATCH(812,Engine!$C$2:$C$1199,0)),"",INDEX('Compliance Database'!$F$2:$F$1199,MATCH(812,Engine!$C$2:$C$1199,0)))</f>
        <v/>
      </c>
      <c r="G825" s="6" t="str">
        <f>IF(ISNA(MATCH(812,Engine!$C$2:$C$1199,0)),"",INDEX('Compliance Database'!$G$2:$G$1199,MATCH(812,Engine!$C$2:$C$1199,0)))</f>
        <v/>
      </c>
      <c r="H825" s="7" t="str">
        <f>IF(ISNA(MATCH(812,Engine!$C$2:$C$1199,0)),"",INDEX('Compliance Database'!$H$2:$H$1199,MATCH(812,Engine!$C$2:$C$1199,0)))</f>
        <v/>
      </c>
      <c r="I825" s="7" t="str">
        <f>IF(ISNA(MATCH(812,Engine!$C$2:$C$1199,0)),"",INDEX('Compliance Database'!$I$2:$I$1199,MATCH(812,Engine!$C$2:$C$1199,0)))</f>
        <v/>
      </c>
      <c r="J825" s="6" t="str">
        <f>IF(ISNA(MATCH(812,Engine!$C$2:$C$1199,0)),"",INDEX('Compliance Database'!$J$2:$J$1199,MATCH(812,Engine!$C$2:$C$1199,0)))</f>
        <v/>
      </c>
      <c r="K825" s="7" t="str">
        <f>IF(ISNA(MATCH(812,Engine!$C$2:$C$1199,0)),"",INDEX('Compliance Database'!$K$2:$K$1199,MATCH(812,Engine!$C$2:$C$1199,0)))</f>
        <v/>
      </c>
      <c r="L825" s="7" t="str">
        <f>IF(ISNA(MATCH(812,Engine!$C$2:$C$1199,0)),"",INDEX('Compliance Database'!$L$2:$L$1199,MATCH(812,Engine!$C$2:$C$1199,0)))</f>
        <v/>
      </c>
      <c r="M825" s="7" t="str">
        <f>IF(ISNA(MATCH(812,Engine!$C$2:$C$1199,0)),"",INDEX('Compliance Database'!$M$2:$M$1199,MATCH(812,Engine!$C$2:$C$1199,0)))</f>
        <v/>
      </c>
      <c r="N825" s="7" t="str">
        <f>IF(ISNA(MATCH(812,Engine!$C$2:$C$1199,0)),"",INDEX('Compliance Database'!$N$2:$N$1199,MATCH(812,Engine!$C$2:$C$1199,0)))</f>
        <v/>
      </c>
      <c r="O825" s="7" t="str">
        <f>IF(ISNA(MATCH(812,Engine!$C$2:$C$1199,0)),"",INDEX('Compliance Database'!$O$2:$O$1199,MATCH(812,Engine!$C$2:$C$1199,0)))</f>
        <v/>
      </c>
      <c r="P825" s="6" t="str">
        <f>IF(ISNA(MATCH(812,Engine!$C$2:$C$1199,0)),"",HYPERLINK("#Acts!A"&amp;INDEX('Compliance Database'!$P$2:$P$1199,MATCH(812,Engine!$C$2:$C$1199,0)),"Go to Act"))</f>
        <v/>
      </c>
    </row>
    <row r="826" spans="1:16" ht="172.95" customHeight="1" x14ac:dyDescent="0.3">
      <c r="A826" s="6" t="str">
        <f>IF(ISNA(MATCH(813,Engine!$C$2:$C$1199,0)),"",INDEX('Compliance Database'!$A$2:$A$1199,MATCH(813,Engine!$C$2:$C$1199,0)))</f>
        <v/>
      </c>
      <c r="B826" s="6" t="str">
        <f>IF(ISNA(MATCH(813,Engine!$C$2:$C$1199,0)),"",INDEX('Compliance Database'!$B$2:$B$1199,MATCH(813,Engine!$C$2:$C$1199,0)))</f>
        <v/>
      </c>
      <c r="C826" s="6" t="str">
        <f>IF(ISNA(MATCH(813,Engine!$C$2:$C$1199,0)),"",INDEX('Compliance Database'!$C$2:$C$1199,MATCH(813,Engine!$C$2:$C$1199,0)))</f>
        <v/>
      </c>
      <c r="D826" s="7" t="str">
        <f>IF(ISNA(MATCH(813,Engine!$C$2:$C$1199,0)),"",INDEX('Compliance Database'!$D$2:$D$1199,MATCH(813,Engine!$C$2:$C$1199,0)))</f>
        <v/>
      </c>
      <c r="E826" s="6" t="str">
        <f>IF(ISNA(MATCH(813,Engine!$C$2:$C$1199,0)),"",INDEX('Compliance Database'!$E$2:$E$1199,MATCH(813,Engine!$C$2:$C$1199,0)))</f>
        <v/>
      </c>
      <c r="F826" s="6" t="str">
        <f>IF(ISNA(MATCH(813,Engine!$C$2:$C$1199,0)),"",INDEX('Compliance Database'!$F$2:$F$1199,MATCH(813,Engine!$C$2:$C$1199,0)))</f>
        <v/>
      </c>
      <c r="G826" s="6" t="str">
        <f>IF(ISNA(MATCH(813,Engine!$C$2:$C$1199,0)),"",INDEX('Compliance Database'!$G$2:$G$1199,MATCH(813,Engine!$C$2:$C$1199,0)))</f>
        <v/>
      </c>
      <c r="H826" s="7" t="str">
        <f>IF(ISNA(MATCH(813,Engine!$C$2:$C$1199,0)),"",INDEX('Compliance Database'!$H$2:$H$1199,MATCH(813,Engine!$C$2:$C$1199,0)))</f>
        <v/>
      </c>
      <c r="I826" s="7" t="str">
        <f>IF(ISNA(MATCH(813,Engine!$C$2:$C$1199,0)),"",INDEX('Compliance Database'!$I$2:$I$1199,MATCH(813,Engine!$C$2:$C$1199,0)))</f>
        <v/>
      </c>
      <c r="J826" s="6" t="str">
        <f>IF(ISNA(MATCH(813,Engine!$C$2:$C$1199,0)),"",INDEX('Compliance Database'!$J$2:$J$1199,MATCH(813,Engine!$C$2:$C$1199,0)))</f>
        <v/>
      </c>
      <c r="K826" s="7" t="str">
        <f>IF(ISNA(MATCH(813,Engine!$C$2:$C$1199,0)),"",INDEX('Compliance Database'!$K$2:$K$1199,MATCH(813,Engine!$C$2:$C$1199,0)))</f>
        <v/>
      </c>
      <c r="L826" s="7" t="str">
        <f>IF(ISNA(MATCH(813,Engine!$C$2:$C$1199,0)),"",INDEX('Compliance Database'!$L$2:$L$1199,MATCH(813,Engine!$C$2:$C$1199,0)))</f>
        <v/>
      </c>
      <c r="M826" s="7" t="str">
        <f>IF(ISNA(MATCH(813,Engine!$C$2:$C$1199,0)),"",INDEX('Compliance Database'!$M$2:$M$1199,MATCH(813,Engine!$C$2:$C$1199,0)))</f>
        <v/>
      </c>
      <c r="N826" s="7" t="str">
        <f>IF(ISNA(MATCH(813,Engine!$C$2:$C$1199,0)),"",INDEX('Compliance Database'!$N$2:$N$1199,MATCH(813,Engine!$C$2:$C$1199,0)))</f>
        <v/>
      </c>
      <c r="O826" s="7" t="str">
        <f>IF(ISNA(MATCH(813,Engine!$C$2:$C$1199,0)),"",INDEX('Compliance Database'!$O$2:$O$1199,MATCH(813,Engine!$C$2:$C$1199,0)))</f>
        <v/>
      </c>
      <c r="P826" s="6" t="str">
        <f>IF(ISNA(MATCH(813,Engine!$C$2:$C$1199,0)),"",HYPERLINK("#Acts!A"&amp;INDEX('Compliance Database'!$P$2:$P$1199,MATCH(813,Engine!$C$2:$C$1199,0)),"Go to Act"))</f>
        <v/>
      </c>
    </row>
    <row r="827" spans="1:16" ht="172.95" customHeight="1" x14ac:dyDescent="0.3">
      <c r="A827" s="6" t="str">
        <f>IF(ISNA(MATCH(814,Engine!$C$2:$C$1199,0)),"",INDEX('Compliance Database'!$A$2:$A$1199,MATCH(814,Engine!$C$2:$C$1199,0)))</f>
        <v/>
      </c>
      <c r="B827" s="6" t="str">
        <f>IF(ISNA(MATCH(814,Engine!$C$2:$C$1199,0)),"",INDEX('Compliance Database'!$B$2:$B$1199,MATCH(814,Engine!$C$2:$C$1199,0)))</f>
        <v/>
      </c>
      <c r="C827" s="6" t="str">
        <f>IF(ISNA(MATCH(814,Engine!$C$2:$C$1199,0)),"",INDEX('Compliance Database'!$C$2:$C$1199,MATCH(814,Engine!$C$2:$C$1199,0)))</f>
        <v/>
      </c>
      <c r="D827" s="7" t="str">
        <f>IF(ISNA(MATCH(814,Engine!$C$2:$C$1199,0)),"",INDEX('Compliance Database'!$D$2:$D$1199,MATCH(814,Engine!$C$2:$C$1199,0)))</f>
        <v/>
      </c>
      <c r="E827" s="6" t="str">
        <f>IF(ISNA(MATCH(814,Engine!$C$2:$C$1199,0)),"",INDEX('Compliance Database'!$E$2:$E$1199,MATCH(814,Engine!$C$2:$C$1199,0)))</f>
        <v/>
      </c>
      <c r="F827" s="6" t="str">
        <f>IF(ISNA(MATCH(814,Engine!$C$2:$C$1199,0)),"",INDEX('Compliance Database'!$F$2:$F$1199,MATCH(814,Engine!$C$2:$C$1199,0)))</f>
        <v/>
      </c>
      <c r="G827" s="6" t="str">
        <f>IF(ISNA(MATCH(814,Engine!$C$2:$C$1199,0)),"",INDEX('Compliance Database'!$G$2:$G$1199,MATCH(814,Engine!$C$2:$C$1199,0)))</f>
        <v/>
      </c>
      <c r="H827" s="7" t="str">
        <f>IF(ISNA(MATCH(814,Engine!$C$2:$C$1199,0)),"",INDEX('Compliance Database'!$H$2:$H$1199,MATCH(814,Engine!$C$2:$C$1199,0)))</f>
        <v/>
      </c>
      <c r="I827" s="7" t="str">
        <f>IF(ISNA(MATCH(814,Engine!$C$2:$C$1199,0)),"",INDEX('Compliance Database'!$I$2:$I$1199,MATCH(814,Engine!$C$2:$C$1199,0)))</f>
        <v/>
      </c>
      <c r="J827" s="6" t="str">
        <f>IF(ISNA(MATCH(814,Engine!$C$2:$C$1199,0)),"",INDEX('Compliance Database'!$J$2:$J$1199,MATCH(814,Engine!$C$2:$C$1199,0)))</f>
        <v/>
      </c>
      <c r="K827" s="7" t="str">
        <f>IF(ISNA(MATCH(814,Engine!$C$2:$C$1199,0)),"",INDEX('Compliance Database'!$K$2:$K$1199,MATCH(814,Engine!$C$2:$C$1199,0)))</f>
        <v/>
      </c>
      <c r="L827" s="7" t="str">
        <f>IF(ISNA(MATCH(814,Engine!$C$2:$C$1199,0)),"",INDEX('Compliance Database'!$L$2:$L$1199,MATCH(814,Engine!$C$2:$C$1199,0)))</f>
        <v/>
      </c>
      <c r="M827" s="7" t="str">
        <f>IF(ISNA(MATCH(814,Engine!$C$2:$C$1199,0)),"",INDEX('Compliance Database'!$M$2:$M$1199,MATCH(814,Engine!$C$2:$C$1199,0)))</f>
        <v/>
      </c>
      <c r="N827" s="7" t="str">
        <f>IF(ISNA(MATCH(814,Engine!$C$2:$C$1199,0)),"",INDEX('Compliance Database'!$N$2:$N$1199,MATCH(814,Engine!$C$2:$C$1199,0)))</f>
        <v/>
      </c>
      <c r="O827" s="7" t="str">
        <f>IF(ISNA(MATCH(814,Engine!$C$2:$C$1199,0)),"",INDEX('Compliance Database'!$O$2:$O$1199,MATCH(814,Engine!$C$2:$C$1199,0)))</f>
        <v/>
      </c>
      <c r="P827" s="6" t="str">
        <f>IF(ISNA(MATCH(814,Engine!$C$2:$C$1199,0)),"",HYPERLINK("#Acts!A"&amp;INDEX('Compliance Database'!$P$2:$P$1199,MATCH(814,Engine!$C$2:$C$1199,0)),"Go to Act"))</f>
        <v/>
      </c>
    </row>
    <row r="828" spans="1:16" ht="172.95" customHeight="1" x14ac:dyDescent="0.3">
      <c r="A828" s="6" t="str">
        <f>IF(ISNA(MATCH(815,Engine!$C$2:$C$1199,0)),"",INDEX('Compliance Database'!$A$2:$A$1199,MATCH(815,Engine!$C$2:$C$1199,0)))</f>
        <v/>
      </c>
      <c r="B828" s="6" t="str">
        <f>IF(ISNA(MATCH(815,Engine!$C$2:$C$1199,0)),"",INDEX('Compliance Database'!$B$2:$B$1199,MATCH(815,Engine!$C$2:$C$1199,0)))</f>
        <v/>
      </c>
      <c r="C828" s="6" t="str">
        <f>IF(ISNA(MATCH(815,Engine!$C$2:$C$1199,0)),"",INDEX('Compliance Database'!$C$2:$C$1199,MATCH(815,Engine!$C$2:$C$1199,0)))</f>
        <v/>
      </c>
      <c r="D828" s="7" t="str">
        <f>IF(ISNA(MATCH(815,Engine!$C$2:$C$1199,0)),"",INDEX('Compliance Database'!$D$2:$D$1199,MATCH(815,Engine!$C$2:$C$1199,0)))</f>
        <v/>
      </c>
      <c r="E828" s="6" t="str">
        <f>IF(ISNA(MATCH(815,Engine!$C$2:$C$1199,0)),"",INDEX('Compliance Database'!$E$2:$E$1199,MATCH(815,Engine!$C$2:$C$1199,0)))</f>
        <v/>
      </c>
      <c r="F828" s="6" t="str">
        <f>IF(ISNA(MATCH(815,Engine!$C$2:$C$1199,0)),"",INDEX('Compliance Database'!$F$2:$F$1199,MATCH(815,Engine!$C$2:$C$1199,0)))</f>
        <v/>
      </c>
      <c r="G828" s="6" t="str">
        <f>IF(ISNA(MATCH(815,Engine!$C$2:$C$1199,0)),"",INDEX('Compliance Database'!$G$2:$G$1199,MATCH(815,Engine!$C$2:$C$1199,0)))</f>
        <v/>
      </c>
      <c r="H828" s="7" t="str">
        <f>IF(ISNA(MATCH(815,Engine!$C$2:$C$1199,0)),"",INDEX('Compliance Database'!$H$2:$H$1199,MATCH(815,Engine!$C$2:$C$1199,0)))</f>
        <v/>
      </c>
      <c r="I828" s="7" t="str">
        <f>IF(ISNA(MATCH(815,Engine!$C$2:$C$1199,0)),"",INDEX('Compliance Database'!$I$2:$I$1199,MATCH(815,Engine!$C$2:$C$1199,0)))</f>
        <v/>
      </c>
      <c r="J828" s="6" t="str">
        <f>IF(ISNA(MATCH(815,Engine!$C$2:$C$1199,0)),"",INDEX('Compliance Database'!$J$2:$J$1199,MATCH(815,Engine!$C$2:$C$1199,0)))</f>
        <v/>
      </c>
      <c r="K828" s="7" t="str">
        <f>IF(ISNA(MATCH(815,Engine!$C$2:$C$1199,0)),"",INDEX('Compliance Database'!$K$2:$K$1199,MATCH(815,Engine!$C$2:$C$1199,0)))</f>
        <v/>
      </c>
      <c r="L828" s="7" t="str">
        <f>IF(ISNA(MATCH(815,Engine!$C$2:$C$1199,0)),"",INDEX('Compliance Database'!$L$2:$L$1199,MATCH(815,Engine!$C$2:$C$1199,0)))</f>
        <v/>
      </c>
      <c r="M828" s="7" t="str">
        <f>IF(ISNA(MATCH(815,Engine!$C$2:$C$1199,0)),"",INDEX('Compliance Database'!$M$2:$M$1199,MATCH(815,Engine!$C$2:$C$1199,0)))</f>
        <v/>
      </c>
      <c r="N828" s="7" t="str">
        <f>IF(ISNA(MATCH(815,Engine!$C$2:$C$1199,0)),"",INDEX('Compliance Database'!$N$2:$N$1199,MATCH(815,Engine!$C$2:$C$1199,0)))</f>
        <v/>
      </c>
      <c r="O828" s="7" t="str">
        <f>IF(ISNA(MATCH(815,Engine!$C$2:$C$1199,0)),"",INDEX('Compliance Database'!$O$2:$O$1199,MATCH(815,Engine!$C$2:$C$1199,0)))</f>
        <v/>
      </c>
      <c r="P828" s="6" t="str">
        <f>IF(ISNA(MATCH(815,Engine!$C$2:$C$1199,0)),"",HYPERLINK("#Acts!A"&amp;INDEX('Compliance Database'!$P$2:$P$1199,MATCH(815,Engine!$C$2:$C$1199,0)),"Go to Act"))</f>
        <v/>
      </c>
    </row>
    <row r="829" spans="1:16" ht="172.95" customHeight="1" x14ac:dyDescent="0.3">
      <c r="A829" s="6" t="str">
        <f>IF(ISNA(MATCH(816,Engine!$C$2:$C$1199,0)),"",INDEX('Compliance Database'!$A$2:$A$1199,MATCH(816,Engine!$C$2:$C$1199,0)))</f>
        <v/>
      </c>
      <c r="B829" s="6" t="str">
        <f>IF(ISNA(MATCH(816,Engine!$C$2:$C$1199,0)),"",INDEX('Compliance Database'!$B$2:$B$1199,MATCH(816,Engine!$C$2:$C$1199,0)))</f>
        <v/>
      </c>
      <c r="C829" s="6" t="str">
        <f>IF(ISNA(MATCH(816,Engine!$C$2:$C$1199,0)),"",INDEX('Compliance Database'!$C$2:$C$1199,MATCH(816,Engine!$C$2:$C$1199,0)))</f>
        <v/>
      </c>
      <c r="D829" s="7" t="str">
        <f>IF(ISNA(MATCH(816,Engine!$C$2:$C$1199,0)),"",INDEX('Compliance Database'!$D$2:$D$1199,MATCH(816,Engine!$C$2:$C$1199,0)))</f>
        <v/>
      </c>
      <c r="E829" s="6" t="str">
        <f>IF(ISNA(MATCH(816,Engine!$C$2:$C$1199,0)),"",INDEX('Compliance Database'!$E$2:$E$1199,MATCH(816,Engine!$C$2:$C$1199,0)))</f>
        <v/>
      </c>
      <c r="F829" s="6" t="str">
        <f>IF(ISNA(MATCH(816,Engine!$C$2:$C$1199,0)),"",INDEX('Compliance Database'!$F$2:$F$1199,MATCH(816,Engine!$C$2:$C$1199,0)))</f>
        <v/>
      </c>
      <c r="G829" s="6" t="str">
        <f>IF(ISNA(MATCH(816,Engine!$C$2:$C$1199,0)),"",INDEX('Compliance Database'!$G$2:$G$1199,MATCH(816,Engine!$C$2:$C$1199,0)))</f>
        <v/>
      </c>
      <c r="H829" s="7" t="str">
        <f>IF(ISNA(MATCH(816,Engine!$C$2:$C$1199,0)),"",INDEX('Compliance Database'!$H$2:$H$1199,MATCH(816,Engine!$C$2:$C$1199,0)))</f>
        <v/>
      </c>
      <c r="I829" s="7" t="str">
        <f>IF(ISNA(MATCH(816,Engine!$C$2:$C$1199,0)),"",INDEX('Compliance Database'!$I$2:$I$1199,MATCH(816,Engine!$C$2:$C$1199,0)))</f>
        <v/>
      </c>
      <c r="J829" s="6" t="str">
        <f>IF(ISNA(MATCH(816,Engine!$C$2:$C$1199,0)),"",INDEX('Compliance Database'!$J$2:$J$1199,MATCH(816,Engine!$C$2:$C$1199,0)))</f>
        <v/>
      </c>
      <c r="K829" s="7" t="str">
        <f>IF(ISNA(MATCH(816,Engine!$C$2:$C$1199,0)),"",INDEX('Compliance Database'!$K$2:$K$1199,MATCH(816,Engine!$C$2:$C$1199,0)))</f>
        <v/>
      </c>
      <c r="L829" s="7" t="str">
        <f>IF(ISNA(MATCH(816,Engine!$C$2:$C$1199,0)),"",INDEX('Compliance Database'!$L$2:$L$1199,MATCH(816,Engine!$C$2:$C$1199,0)))</f>
        <v/>
      </c>
      <c r="M829" s="7" t="str">
        <f>IF(ISNA(MATCH(816,Engine!$C$2:$C$1199,0)),"",INDEX('Compliance Database'!$M$2:$M$1199,MATCH(816,Engine!$C$2:$C$1199,0)))</f>
        <v/>
      </c>
      <c r="N829" s="7" t="str">
        <f>IF(ISNA(MATCH(816,Engine!$C$2:$C$1199,0)),"",INDEX('Compliance Database'!$N$2:$N$1199,MATCH(816,Engine!$C$2:$C$1199,0)))</f>
        <v/>
      </c>
      <c r="O829" s="7" t="str">
        <f>IF(ISNA(MATCH(816,Engine!$C$2:$C$1199,0)),"",INDEX('Compliance Database'!$O$2:$O$1199,MATCH(816,Engine!$C$2:$C$1199,0)))</f>
        <v/>
      </c>
      <c r="P829" s="6" t="str">
        <f>IF(ISNA(MATCH(816,Engine!$C$2:$C$1199,0)),"",HYPERLINK("#Acts!A"&amp;INDEX('Compliance Database'!$P$2:$P$1199,MATCH(816,Engine!$C$2:$C$1199,0)),"Go to Act"))</f>
        <v/>
      </c>
    </row>
    <row r="830" spans="1:16" ht="172.95" customHeight="1" x14ac:dyDescent="0.3">
      <c r="A830" s="6" t="str">
        <f>IF(ISNA(MATCH(817,Engine!$C$2:$C$1199,0)),"",INDEX('Compliance Database'!$A$2:$A$1199,MATCH(817,Engine!$C$2:$C$1199,0)))</f>
        <v/>
      </c>
      <c r="B830" s="6" t="str">
        <f>IF(ISNA(MATCH(817,Engine!$C$2:$C$1199,0)),"",INDEX('Compliance Database'!$B$2:$B$1199,MATCH(817,Engine!$C$2:$C$1199,0)))</f>
        <v/>
      </c>
      <c r="C830" s="6" t="str">
        <f>IF(ISNA(MATCH(817,Engine!$C$2:$C$1199,0)),"",INDEX('Compliance Database'!$C$2:$C$1199,MATCH(817,Engine!$C$2:$C$1199,0)))</f>
        <v/>
      </c>
      <c r="D830" s="7" t="str">
        <f>IF(ISNA(MATCH(817,Engine!$C$2:$C$1199,0)),"",INDEX('Compliance Database'!$D$2:$D$1199,MATCH(817,Engine!$C$2:$C$1199,0)))</f>
        <v/>
      </c>
      <c r="E830" s="6" t="str">
        <f>IF(ISNA(MATCH(817,Engine!$C$2:$C$1199,0)),"",INDEX('Compliance Database'!$E$2:$E$1199,MATCH(817,Engine!$C$2:$C$1199,0)))</f>
        <v/>
      </c>
      <c r="F830" s="6" t="str">
        <f>IF(ISNA(MATCH(817,Engine!$C$2:$C$1199,0)),"",INDEX('Compliance Database'!$F$2:$F$1199,MATCH(817,Engine!$C$2:$C$1199,0)))</f>
        <v/>
      </c>
      <c r="G830" s="6" t="str">
        <f>IF(ISNA(MATCH(817,Engine!$C$2:$C$1199,0)),"",INDEX('Compliance Database'!$G$2:$G$1199,MATCH(817,Engine!$C$2:$C$1199,0)))</f>
        <v/>
      </c>
      <c r="H830" s="7" t="str">
        <f>IF(ISNA(MATCH(817,Engine!$C$2:$C$1199,0)),"",INDEX('Compliance Database'!$H$2:$H$1199,MATCH(817,Engine!$C$2:$C$1199,0)))</f>
        <v/>
      </c>
      <c r="I830" s="7" t="str">
        <f>IF(ISNA(MATCH(817,Engine!$C$2:$C$1199,0)),"",INDEX('Compliance Database'!$I$2:$I$1199,MATCH(817,Engine!$C$2:$C$1199,0)))</f>
        <v/>
      </c>
      <c r="J830" s="6" t="str">
        <f>IF(ISNA(MATCH(817,Engine!$C$2:$C$1199,0)),"",INDEX('Compliance Database'!$J$2:$J$1199,MATCH(817,Engine!$C$2:$C$1199,0)))</f>
        <v/>
      </c>
      <c r="K830" s="7" t="str">
        <f>IF(ISNA(MATCH(817,Engine!$C$2:$C$1199,0)),"",INDEX('Compliance Database'!$K$2:$K$1199,MATCH(817,Engine!$C$2:$C$1199,0)))</f>
        <v/>
      </c>
      <c r="L830" s="7" t="str">
        <f>IF(ISNA(MATCH(817,Engine!$C$2:$C$1199,0)),"",INDEX('Compliance Database'!$L$2:$L$1199,MATCH(817,Engine!$C$2:$C$1199,0)))</f>
        <v/>
      </c>
      <c r="M830" s="7" t="str">
        <f>IF(ISNA(MATCH(817,Engine!$C$2:$C$1199,0)),"",INDEX('Compliance Database'!$M$2:$M$1199,MATCH(817,Engine!$C$2:$C$1199,0)))</f>
        <v/>
      </c>
      <c r="N830" s="7" t="str">
        <f>IF(ISNA(MATCH(817,Engine!$C$2:$C$1199,0)),"",INDEX('Compliance Database'!$N$2:$N$1199,MATCH(817,Engine!$C$2:$C$1199,0)))</f>
        <v/>
      </c>
      <c r="O830" s="7" t="str">
        <f>IF(ISNA(MATCH(817,Engine!$C$2:$C$1199,0)),"",INDEX('Compliance Database'!$O$2:$O$1199,MATCH(817,Engine!$C$2:$C$1199,0)))</f>
        <v/>
      </c>
      <c r="P830" s="6" t="str">
        <f>IF(ISNA(MATCH(817,Engine!$C$2:$C$1199,0)),"",HYPERLINK("#Acts!A"&amp;INDEX('Compliance Database'!$P$2:$P$1199,MATCH(817,Engine!$C$2:$C$1199,0)),"Go to Act"))</f>
        <v/>
      </c>
    </row>
    <row r="831" spans="1:16" ht="172.95" customHeight="1" x14ac:dyDescent="0.3">
      <c r="A831" s="6" t="str">
        <f>IF(ISNA(MATCH(818,Engine!$C$2:$C$1199,0)),"",INDEX('Compliance Database'!$A$2:$A$1199,MATCH(818,Engine!$C$2:$C$1199,0)))</f>
        <v/>
      </c>
      <c r="B831" s="6" t="str">
        <f>IF(ISNA(MATCH(818,Engine!$C$2:$C$1199,0)),"",INDEX('Compliance Database'!$B$2:$B$1199,MATCH(818,Engine!$C$2:$C$1199,0)))</f>
        <v/>
      </c>
      <c r="C831" s="6" t="str">
        <f>IF(ISNA(MATCH(818,Engine!$C$2:$C$1199,0)),"",INDEX('Compliance Database'!$C$2:$C$1199,MATCH(818,Engine!$C$2:$C$1199,0)))</f>
        <v/>
      </c>
      <c r="D831" s="7" t="str">
        <f>IF(ISNA(MATCH(818,Engine!$C$2:$C$1199,0)),"",INDEX('Compliance Database'!$D$2:$D$1199,MATCH(818,Engine!$C$2:$C$1199,0)))</f>
        <v/>
      </c>
      <c r="E831" s="6" t="str">
        <f>IF(ISNA(MATCH(818,Engine!$C$2:$C$1199,0)),"",INDEX('Compliance Database'!$E$2:$E$1199,MATCH(818,Engine!$C$2:$C$1199,0)))</f>
        <v/>
      </c>
      <c r="F831" s="6" t="str">
        <f>IF(ISNA(MATCH(818,Engine!$C$2:$C$1199,0)),"",INDEX('Compliance Database'!$F$2:$F$1199,MATCH(818,Engine!$C$2:$C$1199,0)))</f>
        <v/>
      </c>
      <c r="G831" s="6" t="str">
        <f>IF(ISNA(MATCH(818,Engine!$C$2:$C$1199,0)),"",INDEX('Compliance Database'!$G$2:$G$1199,MATCH(818,Engine!$C$2:$C$1199,0)))</f>
        <v/>
      </c>
      <c r="H831" s="7" t="str">
        <f>IF(ISNA(MATCH(818,Engine!$C$2:$C$1199,0)),"",INDEX('Compliance Database'!$H$2:$H$1199,MATCH(818,Engine!$C$2:$C$1199,0)))</f>
        <v/>
      </c>
      <c r="I831" s="7" t="str">
        <f>IF(ISNA(MATCH(818,Engine!$C$2:$C$1199,0)),"",INDEX('Compliance Database'!$I$2:$I$1199,MATCH(818,Engine!$C$2:$C$1199,0)))</f>
        <v/>
      </c>
      <c r="J831" s="6" t="str">
        <f>IF(ISNA(MATCH(818,Engine!$C$2:$C$1199,0)),"",INDEX('Compliance Database'!$J$2:$J$1199,MATCH(818,Engine!$C$2:$C$1199,0)))</f>
        <v/>
      </c>
      <c r="K831" s="7" t="str">
        <f>IF(ISNA(MATCH(818,Engine!$C$2:$C$1199,0)),"",INDEX('Compliance Database'!$K$2:$K$1199,MATCH(818,Engine!$C$2:$C$1199,0)))</f>
        <v/>
      </c>
      <c r="L831" s="7" t="str">
        <f>IF(ISNA(MATCH(818,Engine!$C$2:$C$1199,0)),"",INDEX('Compliance Database'!$L$2:$L$1199,MATCH(818,Engine!$C$2:$C$1199,0)))</f>
        <v/>
      </c>
      <c r="M831" s="7" t="str">
        <f>IF(ISNA(MATCH(818,Engine!$C$2:$C$1199,0)),"",INDEX('Compliance Database'!$M$2:$M$1199,MATCH(818,Engine!$C$2:$C$1199,0)))</f>
        <v/>
      </c>
      <c r="N831" s="7" t="str">
        <f>IF(ISNA(MATCH(818,Engine!$C$2:$C$1199,0)),"",INDEX('Compliance Database'!$N$2:$N$1199,MATCH(818,Engine!$C$2:$C$1199,0)))</f>
        <v/>
      </c>
      <c r="O831" s="7" t="str">
        <f>IF(ISNA(MATCH(818,Engine!$C$2:$C$1199,0)),"",INDEX('Compliance Database'!$O$2:$O$1199,MATCH(818,Engine!$C$2:$C$1199,0)))</f>
        <v/>
      </c>
      <c r="P831" s="6" t="str">
        <f>IF(ISNA(MATCH(818,Engine!$C$2:$C$1199,0)),"",HYPERLINK("#Acts!A"&amp;INDEX('Compliance Database'!$P$2:$P$1199,MATCH(818,Engine!$C$2:$C$1199,0)),"Go to Act"))</f>
        <v/>
      </c>
    </row>
    <row r="832" spans="1:16" ht="172.95" customHeight="1" x14ac:dyDescent="0.3">
      <c r="A832" s="6" t="str">
        <f>IF(ISNA(MATCH(819,Engine!$C$2:$C$1199,0)),"",INDEX('Compliance Database'!$A$2:$A$1199,MATCH(819,Engine!$C$2:$C$1199,0)))</f>
        <v/>
      </c>
      <c r="B832" s="6" t="str">
        <f>IF(ISNA(MATCH(819,Engine!$C$2:$C$1199,0)),"",INDEX('Compliance Database'!$B$2:$B$1199,MATCH(819,Engine!$C$2:$C$1199,0)))</f>
        <v/>
      </c>
      <c r="C832" s="6" t="str">
        <f>IF(ISNA(MATCH(819,Engine!$C$2:$C$1199,0)),"",INDEX('Compliance Database'!$C$2:$C$1199,MATCH(819,Engine!$C$2:$C$1199,0)))</f>
        <v/>
      </c>
      <c r="D832" s="7" t="str">
        <f>IF(ISNA(MATCH(819,Engine!$C$2:$C$1199,0)),"",INDEX('Compliance Database'!$D$2:$D$1199,MATCH(819,Engine!$C$2:$C$1199,0)))</f>
        <v/>
      </c>
      <c r="E832" s="6" t="str">
        <f>IF(ISNA(MATCH(819,Engine!$C$2:$C$1199,0)),"",INDEX('Compliance Database'!$E$2:$E$1199,MATCH(819,Engine!$C$2:$C$1199,0)))</f>
        <v/>
      </c>
      <c r="F832" s="6" t="str">
        <f>IF(ISNA(MATCH(819,Engine!$C$2:$C$1199,0)),"",INDEX('Compliance Database'!$F$2:$F$1199,MATCH(819,Engine!$C$2:$C$1199,0)))</f>
        <v/>
      </c>
      <c r="G832" s="6" t="str">
        <f>IF(ISNA(MATCH(819,Engine!$C$2:$C$1199,0)),"",INDEX('Compliance Database'!$G$2:$G$1199,MATCH(819,Engine!$C$2:$C$1199,0)))</f>
        <v/>
      </c>
      <c r="H832" s="7" t="str">
        <f>IF(ISNA(MATCH(819,Engine!$C$2:$C$1199,0)),"",INDEX('Compliance Database'!$H$2:$H$1199,MATCH(819,Engine!$C$2:$C$1199,0)))</f>
        <v/>
      </c>
      <c r="I832" s="7" t="str">
        <f>IF(ISNA(MATCH(819,Engine!$C$2:$C$1199,0)),"",INDEX('Compliance Database'!$I$2:$I$1199,MATCH(819,Engine!$C$2:$C$1199,0)))</f>
        <v/>
      </c>
      <c r="J832" s="6" t="str">
        <f>IF(ISNA(MATCH(819,Engine!$C$2:$C$1199,0)),"",INDEX('Compliance Database'!$J$2:$J$1199,MATCH(819,Engine!$C$2:$C$1199,0)))</f>
        <v/>
      </c>
      <c r="K832" s="7" t="str">
        <f>IF(ISNA(MATCH(819,Engine!$C$2:$C$1199,0)),"",INDEX('Compliance Database'!$K$2:$K$1199,MATCH(819,Engine!$C$2:$C$1199,0)))</f>
        <v/>
      </c>
      <c r="L832" s="7" t="str">
        <f>IF(ISNA(MATCH(819,Engine!$C$2:$C$1199,0)),"",INDEX('Compliance Database'!$L$2:$L$1199,MATCH(819,Engine!$C$2:$C$1199,0)))</f>
        <v/>
      </c>
      <c r="M832" s="7" t="str">
        <f>IF(ISNA(MATCH(819,Engine!$C$2:$C$1199,0)),"",INDEX('Compliance Database'!$M$2:$M$1199,MATCH(819,Engine!$C$2:$C$1199,0)))</f>
        <v/>
      </c>
      <c r="N832" s="7" t="str">
        <f>IF(ISNA(MATCH(819,Engine!$C$2:$C$1199,0)),"",INDEX('Compliance Database'!$N$2:$N$1199,MATCH(819,Engine!$C$2:$C$1199,0)))</f>
        <v/>
      </c>
      <c r="O832" s="7" t="str">
        <f>IF(ISNA(MATCH(819,Engine!$C$2:$C$1199,0)),"",INDEX('Compliance Database'!$O$2:$O$1199,MATCH(819,Engine!$C$2:$C$1199,0)))</f>
        <v/>
      </c>
      <c r="P832" s="6" t="str">
        <f>IF(ISNA(MATCH(819,Engine!$C$2:$C$1199,0)),"",HYPERLINK("#Acts!A"&amp;INDEX('Compliance Database'!$P$2:$P$1199,MATCH(819,Engine!$C$2:$C$1199,0)),"Go to Act"))</f>
        <v/>
      </c>
    </row>
    <row r="833" spans="1:16" ht="172.95" customHeight="1" x14ac:dyDescent="0.3">
      <c r="A833" s="6" t="str">
        <f>IF(ISNA(MATCH(820,Engine!$C$2:$C$1199,0)),"",INDEX('Compliance Database'!$A$2:$A$1199,MATCH(820,Engine!$C$2:$C$1199,0)))</f>
        <v/>
      </c>
      <c r="B833" s="6" t="str">
        <f>IF(ISNA(MATCH(820,Engine!$C$2:$C$1199,0)),"",INDEX('Compliance Database'!$B$2:$B$1199,MATCH(820,Engine!$C$2:$C$1199,0)))</f>
        <v/>
      </c>
      <c r="C833" s="6" t="str">
        <f>IF(ISNA(MATCH(820,Engine!$C$2:$C$1199,0)),"",INDEX('Compliance Database'!$C$2:$C$1199,MATCH(820,Engine!$C$2:$C$1199,0)))</f>
        <v/>
      </c>
      <c r="D833" s="7" t="str">
        <f>IF(ISNA(MATCH(820,Engine!$C$2:$C$1199,0)),"",INDEX('Compliance Database'!$D$2:$D$1199,MATCH(820,Engine!$C$2:$C$1199,0)))</f>
        <v/>
      </c>
      <c r="E833" s="6" t="str">
        <f>IF(ISNA(MATCH(820,Engine!$C$2:$C$1199,0)),"",INDEX('Compliance Database'!$E$2:$E$1199,MATCH(820,Engine!$C$2:$C$1199,0)))</f>
        <v/>
      </c>
      <c r="F833" s="6" t="str">
        <f>IF(ISNA(MATCH(820,Engine!$C$2:$C$1199,0)),"",INDEX('Compliance Database'!$F$2:$F$1199,MATCH(820,Engine!$C$2:$C$1199,0)))</f>
        <v/>
      </c>
      <c r="G833" s="6" t="str">
        <f>IF(ISNA(MATCH(820,Engine!$C$2:$C$1199,0)),"",INDEX('Compliance Database'!$G$2:$G$1199,MATCH(820,Engine!$C$2:$C$1199,0)))</f>
        <v/>
      </c>
      <c r="H833" s="7" t="str">
        <f>IF(ISNA(MATCH(820,Engine!$C$2:$C$1199,0)),"",INDEX('Compliance Database'!$H$2:$H$1199,MATCH(820,Engine!$C$2:$C$1199,0)))</f>
        <v/>
      </c>
      <c r="I833" s="7" t="str">
        <f>IF(ISNA(MATCH(820,Engine!$C$2:$C$1199,0)),"",INDEX('Compliance Database'!$I$2:$I$1199,MATCH(820,Engine!$C$2:$C$1199,0)))</f>
        <v/>
      </c>
      <c r="J833" s="6" t="str">
        <f>IF(ISNA(MATCH(820,Engine!$C$2:$C$1199,0)),"",INDEX('Compliance Database'!$J$2:$J$1199,MATCH(820,Engine!$C$2:$C$1199,0)))</f>
        <v/>
      </c>
      <c r="K833" s="7" t="str">
        <f>IF(ISNA(MATCH(820,Engine!$C$2:$C$1199,0)),"",INDEX('Compliance Database'!$K$2:$K$1199,MATCH(820,Engine!$C$2:$C$1199,0)))</f>
        <v/>
      </c>
      <c r="L833" s="7" t="str">
        <f>IF(ISNA(MATCH(820,Engine!$C$2:$C$1199,0)),"",INDEX('Compliance Database'!$L$2:$L$1199,MATCH(820,Engine!$C$2:$C$1199,0)))</f>
        <v/>
      </c>
      <c r="M833" s="7" t="str">
        <f>IF(ISNA(MATCH(820,Engine!$C$2:$C$1199,0)),"",INDEX('Compliance Database'!$M$2:$M$1199,MATCH(820,Engine!$C$2:$C$1199,0)))</f>
        <v/>
      </c>
      <c r="N833" s="7" t="str">
        <f>IF(ISNA(MATCH(820,Engine!$C$2:$C$1199,0)),"",INDEX('Compliance Database'!$N$2:$N$1199,MATCH(820,Engine!$C$2:$C$1199,0)))</f>
        <v/>
      </c>
      <c r="O833" s="7" t="str">
        <f>IF(ISNA(MATCH(820,Engine!$C$2:$C$1199,0)),"",INDEX('Compliance Database'!$O$2:$O$1199,MATCH(820,Engine!$C$2:$C$1199,0)))</f>
        <v/>
      </c>
      <c r="P833" s="6" t="str">
        <f>IF(ISNA(MATCH(820,Engine!$C$2:$C$1199,0)),"",HYPERLINK("#Acts!A"&amp;INDEX('Compliance Database'!$P$2:$P$1199,MATCH(820,Engine!$C$2:$C$1199,0)),"Go to Act"))</f>
        <v/>
      </c>
    </row>
    <row r="834" spans="1:16" ht="172.95" customHeight="1" x14ac:dyDescent="0.3">
      <c r="A834" s="6" t="str">
        <f>IF(ISNA(MATCH(821,Engine!$C$2:$C$1199,0)),"",INDEX('Compliance Database'!$A$2:$A$1199,MATCH(821,Engine!$C$2:$C$1199,0)))</f>
        <v/>
      </c>
      <c r="B834" s="6" t="str">
        <f>IF(ISNA(MATCH(821,Engine!$C$2:$C$1199,0)),"",INDEX('Compliance Database'!$B$2:$B$1199,MATCH(821,Engine!$C$2:$C$1199,0)))</f>
        <v/>
      </c>
      <c r="C834" s="6" t="str">
        <f>IF(ISNA(MATCH(821,Engine!$C$2:$C$1199,0)),"",INDEX('Compliance Database'!$C$2:$C$1199,MATCH(821,Engine!$C$2:$C$1199,0)))</f>
        <v/>
      </c>
      <c r="D834" s="7" t="str">
        <f>IF(ISNA(MATCH(821,Engine!$C$2:$C$1199,0)),"",INDEX('Compliance Database'!$D$2:$D$1199,MATCH(821,Engine!$C$2:$C$1199,0)))</f>
        <v/>
      </c>
      <c r="E834" s="6" t="str">
        <f>IF(ISNA(MATCH(821,Engine!$C$2:$C$1199,0)),"",INDEX('Compliance Database'!$E$2:$E$1199,MATCH(821,Engine!$C$2:$C$1199,0)))</f>
        <v/>
      </c>
      <c r="F834" s="6" t="str">
        <f>IF(ISNA(MATCH(821,Engine!$C$2:$C$1199,0)),"",INDEX('Compliance Database'!$F$2:$F$1199,MATCH(821,Engine!$C$2:$C$1199,0)))</f>
        <v/>
      </c>
      <c r="G834" s="6" t="str">
        <f>IF(ISNA(MATCH(821,Engine!$C$2:$C$1199,0)),"",INDEX('Compliance Database'!$G$2:$G$1199,MATCH(821,Engine!$C$2:$C$1199,0)))</f>
        <v/>
      </c>
      <c r="H834" s="7" t="str">
        <f>IF(ISNA(MATCH(821,Engine!$C$2:$C$1199,0)),"",INDEX('Compliance Database'!$H$2:$H$1199,MATCH(821,Engine!$C$2:$C$1199,0)))</f>
        <v/>
      </c>
      <c r="I834" s="7" t="str">
        <f>IF(ISNA(MATCH(821,Engine!$C$2:$C$1199,0)),"",INDEX('Compliance Database'!$I$2:$I$1199,MATCH(821,Engine!$C$2:$C$1199,0)))</f>
        <v/>
      </c>
      <c r="J834" s="6" t="str">
        <f>IF(ISNA(MATCH(821,Engine!$C$2:$C$1199,0)),"",INDEX('Compliance Database'!$J$2:$J$1199,MATCH(821,Engine!$C$2:$C$1199,0)))</f>
        <v/>
      </c>
      <c r="K834" s="7" t="str">
        <f>IF(ISNA(MATCH(821,Engine!$C$2:$C$1199,0)),"",INDEX('Compliance Database'!$K$2:$K$1199,MATCH(821,Engine!$C$2:$C$1199,0)))</f>
        <v/>
      </c>
      <c r="L834" s="7" t="str">
        <f>IF(ISNA(MATCH(821,Engine!$C$2:$C$1199,0)),"",INDEX('Compliance Database'!$L$2:$L$1199,MATCH(821,Engine!$C$2:$C$1199,0)))</f>
        <v/>
      </c>
      <c r="M834" s="7" t="str">
        <f>IF(ISNA(MATCH(821,Engine!$C$2:$C$1199,0)),"",INDEX('Compliance Database'!$M$2:$M$1199,MATCH(821,Engine!$C$2:$C$1199,0)))</f>
        <v/>
      </c>
      <c r="N834" s="7" t="str">
        <f>IF(ISNA(MATCH(821,Engine!$C$2:$C$1199,0)),"",INDEX('Compliance Database'!$N$2:$N$1199,MATCH(821,Engine!$C$2:$C$1199,0)))</f>
        <v/>
      </c>
      <c r="O834" s="7" t="str">
        <f>IF(ISNA(MATCH(821,Engine!$C$2:$C$1199,0)),"",INDEX('Compliance Database'!$O$2:$O$1199,MATCH(821,Engine!$C$2:$C$1199,0)))</f>
        <v/>
      </c>
      <c r="P834" s="6" t="str">
        <f>IF(ISNA(MATCH(821,Engine!$C$2:$C$1199,0)),"",HYPERLINK("#Acts!A"&amp;INDEX('Compliance Database'!$P$2:$P$1199,MATCH(821,Engine!$C$2:$C$1199,0)),"Go to Act"))</f>
        <v/>
      </c>
    </row>
    <row r="835" spans="1:16" ht="172.95" customHeight="1" x14ac:dyDescent="0.3">
      <c r="A835" s="6" t="str">
        <f>IF(ISNA(MATCH(822,Engine!$C$2:$C$1199,0)),"",INDEX('Compliance Database'!$A$2:$A$1199,MATCH(822,Engine!$C$2:$C$1199,0)))</f>
        <v/>
      </c>
      <c r="B835" s="6" t="str">
        <f>IF(ISNA(MATCH(822,Engine!$C$2:$C$1199,0)),"",INDEX('Compliance Database'!$B$2:$B$1199,MATCH(822,Engine!$C$2:$C$1199,0)))</f>
        <v/>
      </c>
      <c r="C835" s="6" t="str">
        <f>IF(ISNA(MATCH(822,Engine!$C$2:$C$1199,0)),"",INDEX('Compliance Database'!$C$2:$C$1199,MATCH(822,Engine!$C$2:$C$1199,0)))</f>
        <v/>
      </c>
      <c r="D835" s="7" t="str">
        <f>IF(ISNA(MATCH(822,Engine!$C$2:$C$1199,0)),"",INDEX('Compliance Database'!$D$2:$D$1199,MATCH(822,Engine!$C$2:$C$1199,0)))</f>
        <v/>
      </c>
      <c r="E835" s="6" t="str">
        <f>IF(ISNA(MATCH(822,Engine!$C$2:$C$1199,0)),"",INDEX('Compliance Database'!$E$2:$E$1199,MATCH(822,Engine!$C$2:$C$1199,0)))</f>
        <v/>
      </c>
      <c r="F835" s="6" t="str">
        <f>IF(ISNA(MATCH(822,Engine!$C$2:$C$1199,0)),"",INDEX('Compliance Database'!$F$2:$F$1199,MATCH(822,Engine!$C$2:$C$1199,0)))</f>
        <v/>
      </c>
      <c r="G835" s="6" t="str">
        <f>IF(ISNA(MATCH(822,Engine!$C$2:$C$1199,0)),"",INDEX('Compliance Database'!$G$2:$G$1199,MATCH(822,Engine!$C$2:$C$1199,0)))</f>
        <v/>
      </c>
      <c r="H835" s="7" t="str">
        <f>IF(ISNA(MATCH(822,Engine!$C$2:$C$1199,0)),"",INDEX('Compliance Database'!$H$2:$H$1199,MATCH(822,Engine!$C$2:$C$1199,0)))</f>
        <v/>
      </c>
      <c r="I835" s="7" t="str">
        <f>IF(ISNA(MATCH(822,Engine!$C$2:$C$1199,0)),"",INDEX('Compliance Database'!$I$2:$I$1199,MATCH(822,Engine!$C$2:$C$1199,0)))</f>
        <v/>
      </c>
      <c r="J835" s="6" t="str">
        <f>IF(ISNA(MATCH(822,Engine!$C$2:$C$1199,0)),"",INDEX('Compliance Database'!$J$2:$J$1199,MATCH(822,Engine!$C$2:$C$1199,0)))</f>
        <v/>
      </c>
      <c r="K835" s="7" t="str">
        <f>IF(ISNA(MATCH(822,Engine!$C$2:$C$1199,0)),"",INDEX('Compliance Database'!$K$2:$K$1199,MATCH(822,Engine!$C$2:$C$1199,0)))</f>
        <v/>
      </c>
      <c r="L835" s="7" t="str">
        <f>IF(ISNA(MATCH(822,Engine!$C$2:$C$1199,0)),"",INDEX('Compliance Database'!$L$2:$L$1199,MATCH(822,Engine!$C$2:$C$1199,0)))</f>
        <v/>
      </c>
      <c r="M835" s="7" t="str">
        <f>IF(ISNA(MATCH(822,Engine!$C$2:$C$1199,0)),"",INDEX('Compliance Database'!$M$2:$M$1199,MATCH(822,Engine!$C$2:$C$1199,0)))</f>
        <v/>
      </c>
      <c r="N835" s="7" t="str">
        <f>IF(ISNA(MATCH(822,Engine!$C$2:$C$1199,0)),"",INDEX('Compliance Database'!$N$2:$N$1199,MATCH(822,Engine!$C$2:$C$1199,0)))</f>
        <v/>
      </c>
      <c r="O835" s="7" t="str">
        <f>IF(ISNA(MATCH(822,Engine!$C$2:$C$1199,0)),"",INDEX('Compliance Database'!$O$2:$O$1199,MATCH(822,Engine!$C$2:$C$1199,0)))</f>
        <v/>
      </c>
      <c r="P835" s="6" t="str">
        <f>IF(ISNA(MATCH(822,Engine!$C$2:$C$1199,0)),"",HYPERLINK("#Acts!A"&amp;INDEX('Compliance Database'!$P$2:$P$1199,MATCH(822,Engine!$C$2:$C$1199,0)),"Go to Act"))</f>
        <v/>
      </c>
    </row>
    <row r="836" spans="1:16" ht="172.95" customHeight="1" x14ac:dyDescent="0.3">
      <c r="A836" s="6" t="str">
        <f>IF(ISNA(MATCH(823,Engine!$C$2:$C$1199,0)),"",INDEX('Compliance Database'!$A$2:$A$1199,MATCH(823,Engine!$C$2:$C$1199,0)))</f>
        <v/>
      </c>
      <c r="B836" s="6" t="str">
        <f>IF(ISNA(MATCH(823,Engine!$C$2:$C$1199,0)),"",INDEX('Compliance Database'!$B$2:$B$1199,MATCH(823,Engine!$C$2:$C$1199,0)))</f>
        <v/>
      </c>
      <c r="C836" s="6" t="str">
        <f>IF(ISNA(MATCH(823,Engine!$C$2:$C$1199,0)),"",INDEX('Compliance Database'!$C$2:$C$1199,MATCH(823,Engine!$C$2:$C$1199,0)))</f>
        <v/>
      </c>
      <c r="D836" s="7" t="str">
        <f>IF(ISNA(MATCH(823,Engine!$C$2:$C$1199,0)),"",INDEX('Compliance Database'!$D$2:$D$1199,MATCH(823,Engine!$C$2:$C$1199,0)))</f>
        <v/>
      </c>
      <c r="E836" s="6" t="str">
        <f>IF(ISNA(MATCH(823,Engine!$C$2:$C$1199,0)),"",INDEX('Compliance Database'!$E$2:$E$1199,MATCH(823,Engine!$C$2:$C$1199,0)))</f>
        <v/>
      </c>
      <c r="F836" s="6" t="str">
        <f>IF(ISNA(MATCH(823,Engine!$C$2:$C$1199,0)),"",INDEX('Compliance Database'!$F$2:$F$1199,MATCH(823,Engine!$C$2:$C$1199,0)))</f>
        <v/>
      </c>
      <c r="G836" s="6" t="str">
        <f>IF(ISNA(MATCH(823,Engine!$C$2:$C$1199,0)),"",INDEX('Compliance Database'!$G$2:$G$1199,MATCH(823,Engine!$C$2:$C$1199,0)))</f>
        <v/>
      </c>
      <c r="H836" s="7" t="str">
        <f>IF(ISNA(MATCH(823,Engine!$C$2:$C$1199,0)),"",INDEX('Compliance Database'!$H$2:$H$1199,MATCH(823,Engine!$C$2:$C$1199,0)))</f>
        <v/>
      </c>
      <c r="I836" s="7" t="str">
        <f>IF(ISNA(MATCH(823,Engine!$C$2:$C$1199,0)),"",INDEX('Compliance Database'!$I$2:$I$1199,MATCH(823,Engine!$C$2:$C$1199,0)))</f>
        <v/>
      </c>
      <c r="J836" s="6" t="str">
        <f>IF(ISNA(MATCH(823,Engine!$C$2:$C$1199,0)),"",INDEX('Compliance Database'!$J$2:$J$1199,MATCH(823,Engine!$C$2:$C$1199,0)))</f>
        <v/>
      </c>
      <c r="K836" s="7" t="str">
        <f>IF(ISNA(MATCH(823,Engine!$C$2:$C$1199,0)),"",INDEX('Compliance Database'!$K$2:$K$1199,MATCH(823,Engine!$C$2:$C$1199,0)))</f>
        <v/>
      </c>
      <c r="L836" s="7" t="str">
        <f>IF(ISNA(MATCH(823,Engine!$C$2:$C$1199,0)),"",INDEX('Compliance Database'!$L$2:$L$1199,MATCH(823,Engine!$C$2:$C$1199,0)))</f>
        <v/>
      </c>
      <c r="M836" s="7" t="str">
        <f>IF(ISNA(MATCH(823,Engine!$C$2:$C$1199,0)),"",INDEX('Compliance Database'!$M$2:$M$1199,MATCH(823,Engine!$C$2:$C$1199,0)))</f>
        <v/>
      </c>
      <c r="N836" s="7" t="str">
        <f>IF(ISNA(MATCH(823,Engine!$C$2:$C$1199,0)),"",INDEX('Compliance Database'!$N$2:$N$1199,MATCH(823,Engine!$C$2:$C$1199,0)))</f>
        <v/>
      </c>
      <c r="O836" s="7" t="str">
        <f>IF(ISNA(MATCH(823,Engine!$C$2:$C$1199,0)),"",INDEX('Compliance Database'!$O$2:$O$1199,MATCH(823,Engine!$C$2:$C$1199,0)))</f>
        <v/>
      </c>
      <c r="P836" s="6" t="str">
        <f>IF(ISNA(MATCH(823,Engine!$C$2:$C$1199,0)),"",HYPERLINK("#Acts!A"&amp;INDEX('Compliance Database'!$P$2:$P$1199,MATCH(823,Engine!$C$2:$C$1199,0)),"Go to Act"))</f>
        <v/>
      </c>
    </row>
    <row r="837" spans="1:16" ht="172.95" customHeight="1" x14ac:dyDescent="0.3">
      <c r="A837" s="6" t="str">
        <f>IF(ISNA(MATCH(824,Engine!$C$2:$C$1199,0)),"",INDEX('Compliance Database'!$A$2:$A$1199,MATCH(824,Engine!$C$2:$C$1199,0)))</f>
        <v/>
      </c>
      <c r="B837" s="6" t="str">
        <f>IF(ISNA(MATCH(824,Engine!$C$2:$C$1199,0)),"",INDEX('Compliance Database'!$B$2:$B$1199,MATCH(824,Engine!$C$2:$C$1199,0)))</f>
        <v/>
      </c>
      <c r="C837" s="6" t="str">
        <f>IF(ISNA(MATCH(824,Engine!$C$2:$C$1199,0)),"",INDEX('Compliance Database'!$C$2:$C$1199,MATCH(824,Engine!$C$2:$C$1199,0)))</f>
        <v/>
      </c>
      <c r="D837" s="7" t="str">
        <f>IF(ISNA(MATCH(824,Engine!$C$2:$C$1199,0)),"",INDEX('Compliance Database'!$D$2:$D$1199,MATCH(824,Engine!$C$2:$C$1199,0)))</f>
        <v/>
      </c>
      <c r="E837" s="6" t="str">
        <f>IF(ISNA(MATCH(824,Engine!$C$2:$C$1199,0)),"",INDEX('Compliance Database'!$E$2:$E$1199,MATCH(824,Engine!$C$2:$C$1199,0)))</f>
        <v/>
      </c>
      <c r="F837" s="6" t="str">
        <f>IF(ISNA(MATCH(824,Engine!$C$2:$C$1199,0)),"",INDEX('Compliance Database'!$F$2:$F$1199,MATCH(824,Engine!$C$2:$C$1199,0)))</f>
        <v/>
      </c>
      <c r="G837" s="6" t="str">
        <f>IF(ISNA(MATCH(824,Engine!$C$2:$C$1199,0)),"",INDEX('Compliance Database'!$G$2:$G$1199,MATCH(824,Engine!$C$2:$C$1199,0)))</f>
        <v/>
      </c>
      <c r="H837" s="7" t="str">
        <f>IF(ISNA(MATCH(824,Engine!$C$2:$C$1199,0)),"",INDEX('Compliance Database'!$H$2:$H$1199,MATCH(824,Engine!$C$2:$C$1199,0)))</f>
        <v/>
      </c>
      <c r="I837" s="7" t="str">
        <f>IF(ISNA(MATCH(824,Engine!$C$2:$C$1199,0)),"",INDEX('Compliance Database'!$I$2:$I$1199,MATCH(824,Engine!$C$2:$C$1199,0)))</f>
        <v/>
      </c>
      <c r="J837" s="6" t="str">
        <f>IF(ISNA(MATCH(824,Engine!$C$2:$C$1199,0)),"",INDEX('Compliance Database'!$J$2:$J$1199,MATCH(824,Engine!$C$2:$C$1199,0)))</f>
        <v/>
      </c>
      <c r="K837" s="7" t="str">
        <f>IF(ISNA(MATCH(824,Engine!$C$2:$C$1199,0)),"",INDEX('Compliance Database'!$K$2:$K$1199,MATCH(824,Engine!$C$2:$C$1199,0)))</f>
        <v/>
      </c>
      <c r="L837" s="7" t="str">
        <f>IF(ISNA(MATCH(824,Engine!$C$2:$C$1199,0)),"",INDEX('Compliance Database'!$L$2:$L$1199,MATCH(824,Engine!$C$2:$C$1199,0)))</f>
        <v/>
      </c>
      <c r="M837" s="7" t="str">
        <f>IF(ISNA(MATCH(824,Engine!$C$2:$C$1199,0)),"",INDEX('Compliance Database'!$M$2:$M$1199,MATCH(824,Engine!$C$2:$C$1199,0)))</f>
        <v/>
      </c>
      <c r="N837" s="7" t="str">
        <f>IF(ISNA(MATCH(824,Engine!$C$2:$C$1199,0)),"",INDEX('Compliance Database'!$N$2:$N$1199,MATCH(824,Engine!$C$2:$C$1199,0)))</f>
        <v/>
      </c>
      <c r="O837" s="7" t="str">
        <f>IF(ISNA(MATCH(824,Engine!$C$2:$C$1199,0)),"",INDEX('Compliance Database'!$O$2:$O$1199,MATCH(824,Engine!$C$2:$C$1199,0)))</f>
        <v/>
      </c>
      <c r="P837" s="6" t="str">
        <f>IF(ISNA(MATCH(824,Engine!$C$2:$C$1199,0)),"",HYPERLINK("#Acts!A"&amp;INDEX('Compliance Database'!$P$2:$P$1199,MATCH(824,Engine!$C$2:$C$1199,0)),"Go to Act"))</f>
        <v/>
      </c>
    </row>
    <row r="838" spans="1:16" ht="172.95" customHeight="1" x14ac:dyDescent="0.3">
      <c r="A838" s="6" t="str">
        <f>IF(ISNA(MATCH(825,Engine!$C$2:$C$1199,0)),"",INDEX('Compliance Database'!$A$2:$A$1199,MATCH(825,Engine!$C$2:$C$1199,0)))</f>
        <v/>
      </c>
      <c r="B838" s="6" t="str">
        <f>IF(ISNA(MATCH(825,Engine!$C$2:$C$1199,0)),"",INDEX('Compliance Database'!$B$2:$B$1199,MATCH(825,Engine!$C$2:$C$1199,0)))</f>
        <v/>
      </c>
      <c r="C838" s="6" t="str">
        <f>IF(ISNA(MATCH(825,Engine!$C$2:$C$1199,0)),"",INDEX('Compliance Database'!$C$2:$C$1199,MATCH(825,Engine!$C$2:$C$1199,0)))</f>
        <v/>
      </c>
      <c r="D838" s="7" t="str">
        <f>IF(ISNA(MATCH(825,Engine!$C$2:$C$1199,0)),"",INDEX('Compliance Database'!$D$2:$D$1199,MATCH(825,Engine!$C$2:$C$1199,0)))</f>
        <v/>
      </c>
      <c r="E838" s="6" t="str">
        <f>IF(ISNA(MATCH(825,Engine!$C$2:$C$1199,0)),"",INDEX('Compliance Database'!$E$2:$E$1199,MATCH(825,Engine!$C$2:$C$1199,0)))</f>
        <v/>
      </c>
      <c r="F838" s="6" t="str">
        <f>IF(ISNA(MATCH(825,Engine!$C$2:$C$1199,0)),"",INDEX('Compliance Database'!$F$2:$F$1199,MATCH(825,Engine!$C$2:$C$1199,0)))</f>
        <v/>
      </c>
      <c r="G838" s="6" t="str">
        <f>IF(ISNA(MATCH(825,Engine!$C$2:$C$1199,0)),"",INDEX('Compliance Database'!$G$2:$G$1199,MATCH(825,Engine!$C$2:$C$1199,0)))</f>
        <v/>
      </c>
      <c r="H838" s="7" t="str">
        <f>IF(ISNA(MATCH(825,Engine!$C$2:$C$1199,0)),"",INDEX('Compliance Database'!$H$2:$H$1199,MATCH(825,Engine!$C$2:$C$1199,0)))</f>
        <v/>
      </c>
      <c r="I838" s="7" t="str">
        <f>IF(ISNA(MATCH(825,Engine!$C$2:$C$1199,0)),"",INDEX('Compliance Database'!$I$2:$I$1199,MATCH(825,Engine!$C$2:$C$1199,0)))</f>
        <v/>
      </c>
      <c r="J838" s="6" t="str">
        <f>IF(ISNA(MATCH(825,Engine!$C$2:$C$1199,0)),"",INDEX('Compliance Database'!$J$2:$J$1199,MATCH(825,Engine!$C$2:$C$1199,0)))</f>
        <v/>
      </c>
      <c r="K838" s="7" t="str">
        <f>IF(ISNA(MATCH(825,Engine!$C$2:$C$1199,0)),"",INDEX('Compliance Database'!$K$2:$K$1199,MATCH(825,Engine!$C$2:$C$1199,0)))</f>
        <v/>
      </c>
      <c r="L838" s="7" t="str">
        <f>IF(ISNA(MATCH(825,Engine!$C$2:$C$1199,0)),"",INDEX('Compliance Database'!$L$2:$L$1199,MATCH(825,Engine!$C$2:$C$1199,0)))</f>
        <v/>
      </c>
      <c r="M838" s="7" t="str">
        <f>IF(ISNA(MATCH(825,Engine!$C$2:$C$1199,0)),"",INDEX('Compliance Database'!$M$2:$M$1199,MATCH(825,Engine!$C$2:$C$1199,0)))</f>
        <v/>
      </c>
      <c r="N838" s="7" t="str">
        <f>IF(ISNA(MATCH(825,Engine!$C$2:$C$1199,0)),"",INDEX('Compliance Database'!$N$2:$N$1199,MATCH(825,Engine!$C$2:$C$1199,0)))</f>
        <v/>
      </c>
      <c r="O838" s="7" t="str">
        <f>IF(ISNA(MATCH(825,Engine!$C$2:$C$1199,0)),"",INDEX('Compliance Database'!$O$2:$O$1199,MATCH(825,Engine!$C$2:$C$1199,0)))</f>
        <v/>
      </c>
      <c r="P838" s="6" t="str">
        <f>IF(ISNA(MATCH(825,Engine!$C$2:$C$1199,0)),"",HYPERLINK("#Acts!A"&amp;INDEX('Compliance Database'!$P$2:$P$1199,MATCH(825,Engine!$C$2:$C$1199,0)),"Go to Act"))</f>
        <v/>
      </c>
    </row>
    <row r="839" spans="1:16" ht="172.95" customHeight="1" x14ac:dyDescent="0.3">
      <c r="A839" s="6" t="str">
        <f>IF(ISNA(MATCH(826,Engine!$C$2:$C$1199,0)),"",INDEX('Compliance Database'!$A$2:$A$1199,MATCH(826,Engine!$C$2:$C$1199,0)))</f>
        <v/>
      </c>
      <c r="B839" s="6" t="str">
        <f>IF(ISNA(MATCH(826,Engine!$C$2:$C$1199,0)),"",INDEX('Compliance Database'!$B$2:$B$1199,MATCH(826,Engine!$C$2:$C$1199,0)))</f>
        <v/>
      </c>
      <c r="C839" s="6" t="str">
        <f>IF(ISNA(MATCH(826,Engine!$C$2:$C$1199,0)),"",INDEX('Compliance Database'!$C$2:$C$1199,MATCH(826,Engine!$C$2:$C$1199,0)))</f>
        <v/>
      </c>
      <c r="D839" s="7" t="str">
        <f>IF(ISNA(MATCH(826,Engine!$C$2:$C$1199,0)),"",INDEX('Compliance Database'!$D$2:$D$1199,MATCH(826,Engine!$C$2:$C$1199,0)))</f>
        <v/>
      </c>
      <c r="E839" s="6" t="str">
        <f>IF(ISNA(MATCH(826,Engine!$C$2:$C$1199,0)),"",INDEX('Compliance Database'!$E$2:$E$1199,MATCH(826,Engine!$C$2:$C$1199,0)))</f>
        <v/>
      </c>
      <c r="F839" s="6" t="str">
        <f>IF(ISNA(MATCH(826,Engine!$C$2:$C$1199,0)),"",INDEX('Compliance Database'!$F$2:$F$1199,MATCH(826,Engine!$C$2:$C$1199,0)))</f>
        <v/>
      </c>
      <c r="G839" s="6" t="str">
        <f>IF(ISNA(MATCH(826,Engine!$C$2:$C$1199,0)),"",INDEX('Compliance Database'!$G$2:$G$1199,MATCH(826,Engine!$C$2:$C$1199,0)))</f>
        <v/>
      </c>
      <c r="H839" s="7" t="str">
        <f>IF(ISNA(MATCH(826,Engine!$C$2:$C$1199,0)),"",INDEX('Compliance Database'!$H$2:$H$1199,MATCH(826,Engine!$C$2:$C$1199,0)))</f>
        <v/>
      </c>
      <c r="I839" s="7" t="str">
        <f>IF(ISNA(MATCH(826,Engine!$C$2:$C$1199,0)),"",INDEX('Compliance Database'!$I$2:$I$1199,MATCH(826,Engine!$C$2:$C$1199,0)))</f>
        <v/>
      </c>
      <c r="J839" s="6" t="str">
        <f>IF(ISNA(MATCH(826,Engine!$C$2:$C$1199,0)),"",INDEX('Compliance Database'!$J$2:$J$1199,MATCH(826,Engine!$C$2:$C$1199,0)))</f>
        <v/>
      </c>
      <c r="K839" s="7" t="str">
        <f>IF(ISNA(MATCH(826,Engine!$C$2:$C$1199,0)),"",INDEX('Compliance Database'!$K$2:$K$1199,MATCH(826,Engine!$C$2:$C$1199,0)))</f>
        <v/>
      </c>
      <c r="L839" s="7" t="str">
        <f>IF(ISNA(MATCH(826,Engine!$C$2:$C$1199,0)),"",INDEX('Compliance Database'!$L$2:$L$1199,MATCH(826,Engine!$C$2:$C$1199,0)))</f>
        <v/>
      </c>
      <c r="M839" s="7" t="str">
        <f>IF(ISNA(MATCH(826,Engine!$C$2:$C$1199,0)),"",INDEX('Compliance Database'!$M$2:$M$1199,MATCH(826,Engine!$C$2:$C$1199,0)))</f>
        <v/>
      </c>
      <c r="N839" s="7" t="str">
        <f>IF(ISNA(MATCH(826,Engine!$C$2:$C$1199,0)),"",INDEX('Compliance Database'!$N$2:$N$1199,MATCH(826,Engine!$C$2:$C$1199,0)))</f>
        <v/>
      </c>
      <c r="O839" s="7" t="str">
        <f>IF(ISNA(MATCH(826,Engine!$C$2:$C$1199,0)),"",INDEX('Compliance Database'!$O$2:$O$1199,MATCH(826,Engine!$C$2:$C$1199,0)))</f>
        <v/>
      </c>
      <c r="P839" s="6" t="str">
        <f>IF(ISNA(MATCH(826,Engine!$C$2:$C$1199,0)),"",HYPERLINK("#Acts!A"&amp;INDEX('Compliance Database'!$P$2:$P$1199,MATCH(826,Engine!$C$2:$C$1199,0)),"Go to Act"))</f>
        <v/>
      </c>
    </row>
    <row r="840" spans="1:16" ht="172.95" customHeight="1" x14ac:dyDescent="0.3">
      <c r="A840" s="6" t="str">
        <f>IF(ISNA(MATCH(827,Engine!$C$2:$C$1199,0)),"",INDEX('Compliance Database'!$A$2:$A$1199,MATCH(827,Engine!$C$2:$C$1199,0)))</f>
        <v/>
      </c>
      <c r="B840" s="6" t="str">
        <f>IF(ISNA(MATCH(827,Engine!$C$2:$C$1199,0)),"",INDEX('Compliance Database'!$B$2:$B$1199,MATCH(827,Engine!$C$2:$C$1199,0)))</f>
        <v/>
      </c>
      <c r="C840" s="6" t="str">
        <f>IF(ISNA(MATCH(827,Engine!$C$2:$C$1199,0)),"",INDEX('Compliance Database'!$C$2:$C$1199,MATCH(827,Engine!$C$2:$C$1199,0)))</f>
        <v/>
      </c>
      <c r="D840" s="7" t="str">
        <f>IF(ISNA(MATCH(827,Engine!$C$2:$C$1199,0)),"",INDEX('Compliance Database'!$D$2:$D$1199,MATCH(827,Engine!$C$2:$C$1199,0)))</f>
        <v/>
      </c>
      <c r="E840" s="6" t="str">
        <f>IF(ISNA(MATCH(827,Engine!$C$2:$C$1199,0)),"",INDEX('Compliance Database'!$E$2:$E$1199,MATCH(827,Engine!$C$2:$C$1199,0)))</f>
        <v/>
      </c>
      <c r="F840" s="6" t="str">
        <f>IF(ISNA(MATCH(827,Engine!$C$2:$C$1199,0)),"",INDEX('Compliance Database'!$F$2:$F$1199,MATCH(827,Engine!$C$2:$C$1199,0)))</f>
        <v/>
      </c>
      <c r="G840" s="6" t="str">
        <f>IF(ISNA(MATCH(827,Engine!$C$2:$C$1199,0)),"",INDEX('Compliance Database'!$G$2:$G$1199,MATCH(827,Engine!$C$2:$C$1199,0)))</f>
        <v/>
      </c>
      <c r="H840" s="7" t="str">
        <f>IF(ISNA(MATCH(827,Engine!$C$2:$C$1199,0)),"",INDEX('Compliance Database'!$H$2:$H$1199,MATCH(827,Engine!$C$2:$C$1199,0)))</f>
        <v/>
      </c>
      <c r="I840" s="7" t="str">
        <f>IF(ISNA(MATCH(827,Engine!$C$2:$C$1199,0)),"",INDEX('Compliance Database'!$I$2:$I$1199,MATCH(827,Engine!$C$2:$C$1199,0)))</f>
        <v/>
      </c>
      <c r="J840" s="6" t="str">
        <f>IF(ISNA(MATCH(827,Engine!$C$2:$C$1199,0)),"",INDEX('Compliance Database'!$J$2:$J$1199,MATCH(827,Engine!$C$2:$C$1199,0)))</f>
        <v/>
      </c>
      <c r="K840" s="7" t="str">
        <f>IF(ISNA(MATCH(827,Engine!$C$2:$C$1199,0)),"",INDEX('Compliance Database'!$K$2:$K$1199,MATCH(827,Engine!$C$2:$C$1199,0)))</f>
        <v/>
      </c>
      <c r="L840" s="7" t="str">
        <f>IF(ISNA(MATCH(827,Engine!$C$2:$C$1199,0)),"",INDEX('Compliance Database'!$L$2:$L$1199,MATCH(827,Engine!$C$2:$C$1199,0)))</f>
        <v/>
      </c>
      <c r="M840" s="7" t="str">
        <f>IF(ISNA(MATCH(827,Engine!$C$2:$C$1199,0)),"",INDEX('Compliance Database'!$M$2:$M$1199,MATCH(827,Engine!$C$2:$C$1199,0)))</f>
        <v/>
      </c>
      <c r="N840" s="7" t="str">
        <f>IF(ISNA(MATCH(827,Engine!$C$2:$C$1199,0)),"",INDEX('Compliance Database'!$N$2:$N$1199,MATCH(827,Engine!$C$2:$C$1199,0)))</f>
        <v/>
      </c>
      <c r="O840" s="7" t="str">
        <f>IF(ISNA(MATCH(827,Engine!$C$2:$C$1199,0)),"",INDEX('Compliance Database'!$O$2:$O$1199,MATCH(827,Engine!$C$2:$C$1199,0)))</f>
        <v/>
      </c>
      <c r="P840" s="6" t="str">
        <f>IF(ISNA(MATCH(827,Engine!$C$2:$C$1199,0)),"",HYPERLINK("#Acts!A"&amp;INDEX('Compliance Database'!$P$2:$P$1199,MATCH(827,Engine!$C$2:$C$1199,0)),"Go to Act"))</f>
        <v/>
      </c>
    </row>
    <row r="841" spans="1:16" ht="172.95" customHeight="1" x14ac:dyDescent="0.3">
      <c r="A841" s="6" t="str">
        <f>IF(ISNA(MATCH(828,Engine!$C$2:$C$1199,0)),"",INDEX('Compliance Database'!$A$2:$A$1199,MATCH(828,Engine!$C$2:$C$1199,0)))</f>
        <v/>
      </c>
      <c r="B841" s="6" t="str">
        <f>IF(ISNA(MATCH(828,Engine!$C$2:$C$1199,0)),"",INDEX('Compliance Database'!$B$2:$B$1199,MATCH(828,Engine!$C$2:$C$1199,0)))</f>
        <v/>
      </c>
      <c r="C841" s="6" t="str">
        <f>IF(ISNA(MATCH(828,Engine!$C$2:$C$1199,0)),"",INDEX('Compliance Database'!$C$2:$C$1199,MATCH(828,Engine!$C$2:$C$1199,0)))</f>
        <v/>
      </c>
      <c r="D841" s="7" t="str">
        <f>IF(ISNA(MATCH(828,Engine!$C$2:$C$1199,0)),"",INDEX('Compliance Database'!$D$2:$D$1199,MATCH(828,Engine!$C$2:$C$1199,0)))</f>
        <v/>
      </c>
      <c r="E841" s="6" t="str">
        <f>IF(ISNA(MATCH(828,Engine!$C$2:$C$1199,0)),"",INDEX('Compliance Database'!$E$2:$E$1199,MATCH(828,Engine!$C$2:$C$1199,0)))</f>
        <v/>
      </c>
      <c r="F841" s="6" t="str">
        <f>IF(ISNA(MATCH(828,Engine!$C$2:$C$1199,0)),"",INDEX('Compliance Database'!$F$2:$F$1199,MATCH(828,Engine!$C$2:$C$1199,0)))</f>
        <v/>
      </c>
      <c r="G841" s="6" t="str">
        <f>IF(ISNA(MATCH(828,Engine!$C$2:$C$1199,0)),"",INDEX('Compliance Database'!$G$2:$G$1199,MATCH(828,Engine!$C$2:$C$1199,0)))</f>
        <v/>
      </c>
      <c r="H841" s="7" t="str">
        <f>IF(ISNA(MATCH(828,Engine!$C$2:$C$1199,0)),"",INDEX('Compliance Database'!$H$2:$H$1199,MATCH(828,Engine!$C$2:$C$1199,0)))</f>
        <v/>
      </c>
      <c r="I841" s="7" t="str">
        <f>IF(ISNA(MATCH(828,Engine!$C$2:$C$1199,0)),"",INDEX('Compliance Database'!$I$2:$I$1199,MATCH(828,Engine!$C$2:$C$1199,0)))</f>
        <v/>
      </c>
      <c r="J841" s="6" t="str">
        <f>IF(ISNA(MATCH(828,Engine!$C$2:$C$1199,0)),"",INDEX('Compliance Database'!$J$2:$J$1199,MATCH(828,Engine!$C$2:$C$1199,0)))</f>
        <v/>
      </c>
      <c r="K841" s="7" t="str">
        <f>IF(ISNA(MATCH(828,Engine!$C$2:$C$1199,0)),"",INDEX('Compliance Database'!$K$2:$K$1199,MATCH(828,Engine!$C$2:$C$1199,0)))</f>
        <v/>
      </c>
      <c r="L841" s="7" t="str">
        <f>IF(ISNA(MATCH(828,Engine!$C$2:$C$1199,0)),"",INDEX('Compliance Database'!$L$2:$L$1199,MATCH(828,Engine!$C$2:$C$1199,0)))</f>
        <v/>
      </c>
      <c r="M841" s="7" t="str">
        <f>IF(ISNA(MATCH(828,Engine!$C$2:$C$1199,0)),"",INDEX('Compliance Database'!$M$2:$M$1199,MATCH(828,Engine!$C$2:$C$1199,0)))</f>
        <v/>
      </c>
      <c r="N841" s="7" t="str">
        <f>IF(ISNA(MATCH(828,Engine!$C$2:$C$1199,0)),"",INDEX('Compliance Database'!$N$2:$N$1199,MATCH(828,Engine!$C$2:$C$1199,0)))</f>
        <v/>
      </c>
      <c r="O841" s="7" t="str">
        <f>IF(ISNA(MATCH(828,Engine!$C$2:$C$1199,0)),"",INDEX('Compliance Database'!$O$2:$O$1199,MATCH(828,Engine!$C$2:$C$1199,0)))</f>
        <v/>
      </c>
      <c r="P841" s="6" t="str">
        <f>IF(ISNA(MATCH(828,Engine!$C$2:$C$1199,0)),"",HYPERLINK("#Acts!A"&amp;INDEX('Compliance Database'!$P$2:$P$1199,MATCH(828,Engine!$C$2:$C$1199,0)),"Go to Act"))</f>
        <v/>
      </c>
    </row>
    <row r="842" spans="1:16" ht="172.95" customHeight="1" x14ac:dyDescent="0.3">
      <c r="A842" s="6" t="str">
        <f>IF(ISNA(MATCH(829,Engine!$C$2:$C$1199,0)),"",INDEX('Compliance Database'!$A$2:$A$1199,MATCH(829,Engine!$C$2:$C$1199,0)))</f>
        <v/>
      </c>
      <c r="B842" s="6" t="str">
        <f>IF(ISNA(MATCH(829,Engine!$C$2:$C$1199,0)),"",INDEX('Compliance Database'!$B$2:$B$1199,MATCH(829,Engine!$C$2:$C$1199,0)))</f>
        <v/>
      </c>
      <c r="C842" s="6" t="str">
        <f>IF(ISNA(MATCH(829,Engine!$C$2:$C$1199,0)),"",INDEX('Compliance Database'!$C$2:$C$1199,MATCH(829,Engine!$C$2:$C$1199,0)))</f>
        <v/>
      </c>
      <c r="D842" s="7" t="str">
        <f>IF(ISNA(MATCH(829,Engine!$C$2:$C$1199,0)),"",INDEX('Compliance Database'!$D$2:$D$1199,MATCH(829,Engine!$C$2:$C$1199,0)))</f>
        <v/>
      </c>
      <c r="E842" s="6" t="str">
        <f>IF(ISNA(MATCH(829,Engine!$C$2:$C$1199,0)),"",INDEX('Compliance Database'!$E$2:$E$1199,MATCH(829,Engine!$C$2:$C$1199,0)))</f>
        <v/>
      </c>
      <c r="F842" s="6" t="str">
        <f>IF(ISNA(MATCH(829,Engine!$C$2:$C$1199,0)),"",INDEX('Compliance Database'!$F$2:$F$1199,MATCH(829,Engine!$C$2:$C$1199,0)))</f>
        <v/>
      </c>
      <c r="G842" s="6" t="str">
        <f>IF(ISNA(MATCH(829,Engine!$C$2:$C$1199,0)),"",INDEX('Compliance Database'!$G$2:$G$1199,MATCH(829,Engine!$C$2:$C$1199,0)))</f>
        <v/>
      </c>
      <c r="H842" s="7" t="str">
        <f>IF(ISNA(MATCH(829,Engine!$C$2:$C$1199,0)),"",INDEX('Compliance Database'!$H$2:$H$1199,MATCH(829,Engine!$C$2:$C$1199,0)))</f>
        <v/>
      </c>
      <c r="I842" s="7" t="str">
        <f>IF(ISNA(MATCH(829,Engine!$C$2:$C$1199,0)),"",INDEX('Compliance Database'!$I$2:$I$1199,MATCH(829,Engine!$C$2:$C$1199,0)))</f>
        <v/>
      </c>
      <c r="J842" s="6" t="str">
        <f>IF(ISNA(MATCH(829,Engine!$C$2:$C$1199,0)),"",INDEX('Compliance Database'!$J$2:$J$1199,MATCH(829,Engine!$C$2:$C$1199,0)))</f>
        <v/>
      </c>
      <c r="K842" s="7" t="str">
        <f>IF(ISNA(MATCH(829,Engine!$C$2:$C$1199,0)),"",INDEX('Compliance Database'!$K$2:$K$1199,MATCH(829,Engine!$C$2:$C$1199,0)))</f>
        <v/>
      </c>
      <c r="L842" s="7" t="str">
        <f>IF(ISNA(MATCH(829,Engine!$C$2:$C$1199,0)),"",INDEX('Compliance Database'!$L$2:$L$1199,MATCH(829,Engine!$C$2:$C$1199,0)))</f>
        <v/>
      </c>
      <c r="M842" s="7" t="str">
        <f>IF(ISNA(MATCH(829,Engine!$C$2:$C$1199,0)),"",INDEX('Compliance Database'!$M$2:$M$1199,MATCH(829,Engine!$C$2:$C$1199,0)))</f>
        <v/>
      </c>
      <c r="N842" s="7" t="str">
        <f>IF(ISNA(MATCH(829,Engine!$C$2:$C$1199,0)),"",INDEX('Compliance Database'!$N$2:$N$1199,MATCH(829,Engine!$C$2:$C$1199,0)))</f>
        <v/>
      </c>
      <c r="O842" s="7" t="str">
        <f>IF(ISNA(MATCH(829,Engine!$C$2:$C$1199,0)),"",INDEX('Compliance Database'!$O$2:$O$1199,MATCH(829,Engine!$C$2:$C$1199,0)))</f>
        <v/>
      </c>
      <c r="P842" s="6" t="str">
        <f>IF(ISNA(MATCH(829,Engine!$C$2:$C$1199,0)),"",HYPERLINK("#Acts!A"&amp;INDEX('Compliance Database'!$P$2:$P$1199,MATCH(829,Engine!$C$2:$C$1199,0)),"Go to Act"))</f>
        <v/>
      </c>
    </row>
    <row r="843" spans="1:16" ht="172.95" customHeight="1" x14ac:dyDescent="0.3">
      <c r="A843" s="6" t="str">
        <f>IF(ISNA(MATCH(830,Engine!$C$2:$C$1199,0)),"",INDEX('Compliance Database'!$A$2:$A$1199,MATCH(830,Engine!$C$2:$C$1199,0)))</f>
        <v/>
      </c>
      <c r="B843" s="6" t="str">
        <f>IF(ISNA(MATCH(830,Engine!$C$2:$C$1199,0)),"",INDEX('Compliance Database'!$B$2:$B$1199,MATCH(830,Engine!$C$2:$C$1199,0)))</f>
        <v/>
      </c>
      <c r="C843" s="6" t="str">
        <f>IF(ISNA(MATCH(830,Engine!$C$2:$C$1199,0)),"",INDEX('Compliance Database'!$C$2:$C$1199,MATCH(830,Engine!$C$2:$C$1199,0)))</f>
        <v/>
      </c>
      <c r="D843" s="7" t="str">
        <f>IF(ISNA(MATCH(830,Engine!$C$2:$C$1199,0)),"",INDEX('Compliance Database'!$D$2:$D$1199,MATCH(830,Engine!$C$2:$C$1199,0)))</f>
        <v/>
      </c>
      <c r="E843" s="6" t="str">
        <f>IF(ISNA(MATCH(830,Engine!$C$2:$C$1199,0)),"",INDEX('Compliance Database'!$E$2:$E$1199,MATCH(830,Engine!$C$2:$C$1199,0)))</f>
        <v/>
      </c>
      <c r="F843" s="6" t="str">
        <f>IF(ISNA(MATCH(830,Engine!$C$2:$C$1199,0)),"",INDEX('Compliance Database'!$F$2:$F$1199,MATCH(830,Engine!$C$2:$C$1199,0)))</f>
        <v/>
      </c>
      <c r="G843" s="6" t="str">
        <f>IF(ISNA(MATCH(830,Engine!$C$2:$C$1199,0)),"",INDEX('Compliance Database'!$G$2:$G$1199,MATCH(830,Engine!$C$2:$C$1199,0)))</f>
        <v/>
      </c>
      <c r="H843" s="7" t="str">
        <f>IF(ISNA(MATCH(830,Engine!$C$2:$C$1199,0)),"",INDEX('Compliance Database'!$H$2:$H$1199,MATCH(830,Engine!$C$2:$C$1199,0)))</f>
        <v/>
      </c>
      <c r="I843" s="7" t="str">
        <f>IF(ISNA(MATCH(830,Engine!$C$2:$C$1199,0)),"",INDEX('Compliance Database'!$I$2:$I$1199,MATCH(830,Engine!$C$2:$C$1199,0)))</f>
        <v/>
      </c>
      <c r="J843" s="6" t="str">
        <f>IF(ISNA(MATCH(830,Engine!$C$2:$C$1199,0)),"",INDEX('Compliance Database'!$J$2:$J$1199,MATCH(830,Engine!$C$2:$C$1199,0)))</f>
        <v/>
      </c>
      <c r="K843" s="7" t="str">
        <f>IF(ISNA(MATCH(830,Engine!$C$2:$C$1199,0)),"",INDEX('Compliance Database'!$K$2:$K$1199,MATCH(830,Engine!$C$2:$C$1199,0)))</f>
        <v/>
      </c>
      <c r="L843" s="7" t="str">
        <f>IF(ISNA(MATCH(830,Engine!$C$2:$C$1199,0)),"",INDEX('Compliance Database'!$L$2:$L$1199,MATCH(830,Engine!$C$2:$C$1199,0)))</f>
        <v/>
      </c>
      <c r="M843" s="7" t="str">
        <f>IF(ISNA(MATCH(830,Engine!$C$2:$C$1199,0)),"",INDEX('Compliance Database'!$M$2:$M$1199,MATCH(830,Engine!$C$2:$C$1199,0)))</f>
        <v/>
      </c>
      <c r="N843" s="7" t="str">
        <f>IF(ISNA(MATCH(830,Engine!$C$2:$C$1199,0)),"",INDEX('Compliance Database'!$N$2:$N$1199,MATCH(830,Engine!$C$2:$C$1199,0)))</f>
        <v/>
      </c>
      <c r="O843" s="7" t="str">
        <f>IF(ISNA(MATCH(830,Engine!$C$2:$C$1199,0)),"",INDEX('Compliance Database'!$O$2:$O$1199,MATCH(830,Engine!$C$2:$C$1199,0)))</f>
        <v/>
      </c>
      <c r="P843" s="6" t="str">
        <f>IF(ISNA(MATCH(830,Engine!$C$2:$C$1199,0)),"",HYPERLINK("#Acts!A"&amp;INDEX('Compliance Database'!$P$2:$P$1199,MATCH(830,Engine!$C$2:$C$1199,0)),"Go to Act"))</f>
        <v/>
      </c>
    </row>
    <row r="844" spans="1:16" ht="172.95" customHeight="1" x14ac:dyDescent="0.3">
      <c r="A844" s="6" t="str">
        <f>IF(ISNA(MATCH(831,Engine!$C$2:$C$1199,0)),"",INDEX('Compliance Database'!$A$2:$A$1199,MATCH(831,Engine!$C$2:$C$1199,0)))</f>
        <v/>
      </c>
      <c r="B844" s="6" t="str">
        <f>IF(ISNA(MATCH(831,Engine!$C$2:$C$1199,0)),"",INDEX('Compliance Database'!$B$2:$B$1199,MATCH(831,Engine!$C$2:$C$1199,0)))</f>
        <v/>
      </c>
      <c r="C844" s="6" t="str">
        <f>IF(ISNA(MATCH(831,Engine!$C$2:$C$1199,0)),"",INDEX('Compliance Database'!$C$2:$C$1199,MATCH(831,Engine!$C$2:$C$1199,0)))</f>
        <v/>
      </c>
      <c r="D844" s="7" t="str">
        <f>IF(ISNA(MATCH(831,Engine!$C$2:$C$1199,0)),"",INDEX('Compliance Database'!$D$2:$D$1199,MATCH(831,Engine!$C$2:$C$1199,0)))</f>
        <v/>
      </c>
      <c r="E844" s="6" t="str">
        <f>IF(ISNA(MATCH(831,Engine!$C$2:$C$1199,0)),"",INDEX('Compliance Database'!$E$2:$E$1199,MATCH(831,Engine!$C$2:$C$1199,0)))</f>
        <v/>
      </c>
      <c r="F844" s="6" t="str">
        <f>IF(ISNA(MATCH(831,Engine!$C$2:$C$1199,0)),"",INDEX('Compliance Database'!$F$2:$F$1199,MATCH(831,Engine!$C$2:$C$1199,0)))</f>
        <v/>
      </c>
      <c r="G844" s="6" t="str">
        <f>IF(ISNA(MATCH(831,Engine!$C$2:$C$1199,0)),"",INDEX('Compliance Database'!$G$2:$G$1199,MATCH(831,Engine!$C$2:$C$1199,0)))</f>
        <v/>
      </c>
      <c r="H844" s="7" t="str">
        <f>IF(ISNA(MATCH(831,Engine!$C$2:$C$1199,0)),"",INDEX('Compliance Database'!$H$2:$H$1199,MATCH(831,Engine!$C$2:$C$1199,0)))</f>
        <v/>
      </c>
      <c r="I844" s="7" t="str">
        <f>IF(ISNA(MATCH(831,Engine!$C$2:$C$1199,0)),"",INDEX('Compliance Database'!$I$2:$I$1199,MATCH(831,Engine!$C$2:$C$1199,0)))</f>
        <v/>
      </c>
      <c r="J844" s="6" t="str">
        <f>IF(ISNA(MATCH(831,Engine!$C$2:$C$1199,0)),"",INDEX('Compliance Database'!$J$2:$J$1199,MATCH(831,Engine!$C$2:$C$1199,0)))</f>
        <v/>
      </c>
      <c r="K844" s="7" t="str">
        <f>IF(ISNA(MATCH(831,Engine!$C$2:$C$1199,0)),"",INDEX('Compliance Database'!$K$2:$K$1199,MATCH(831,Engine!$C$2:$C$1199,0)))</f>
        <v/>
      </c>
      <c r="L844" s="7" t="str">
        <f>IF(ISNA(MATCH(831,Engine!$C$2:$C$1199,0)),"",INDEX('Compliance Database'!$L$2:$L$1199,MATCH(831,Engine!$C$2:$C$1199,0)))</f>
        <v/>
      </c>
      <c r="M844" s="7" t="str">
        <f>IF(ISNA(MATCH(831,Engine!$C$2:$C$1199,0)),"",INDEX('Compliance Database'!$M$2:$M$1199,MATCH(831,Engine!$C$2:$C$1199,0)))</f>
        <v/>
      </c>
      <c r="N844" s="7" t="str">
        <f>IF(ISNA(MATCH(831,Engine!$C$2:$C$1199,0)),"",INDEX('Compliance Database'!$N$2:$N$1199,MATCH(831,Engine!$C$2:$C$1199,0)))</f>
        <v/>
      </c>
      <c r="O844" s="7" t="str">
        <f>IF(ISNA(MATCH(831,Engine!$C$2:$C$1199,0)),"",INDEX('Compliance Database'!$O$2:$O$1199,MATCH(831,Engine!$C$2:$C$1199,0)))</f>
        <v/>
      </c>
      <c r="P844" s="6" t="str">
        <f>IF(ISNA(MATCH(831,Engine!$C$2:$C$1199,0)),"",HYPERLINK("#Acts!A"&amp;INDEX('Compliance Database'!$P$2:$P$1199,MATCH(831,Engine!$C$2:$C$1199,0)),"Go to Act"))</f>
        <v/>
      </c>
    </row>
    <row r="845" spans="1:16" ht="172.95" customHeight="1" x14ac:dyDescent="0.3">
      <c r="A845" s="6" t="str">
        <f>IF(ISNA(MATCH(832,Engine!$C$2:$C$1199,0)),"",INDEX('Compliance Database'!$A$2:$A$1199,MATCH(832,Engine!$C$2:$C$1199,0)))</f>
        <v/>
      </c>
      <c r="B845" s="6" t="str">
        <f>IF(ISNA(MATCH(832,Engine!$C$2:$C$1199,0)),"",INDEX('Compliance Database'!$B$2:$B$1199,MATCH(832,Engine!$C$2:$C$1199,0)))</f>
        <v/>
      </c>
      <c r="C845" s="6" t="str">
        <f>IF(ISNA(MATCH(832,Engine!$C$2:$C$1199,0)),"",INDEX('Compliance Database'!$C$2:$C$1199,MATCH(832,Engine!$C$2:$C$1199,0)))</f>
        <v/>
      </c>
      <c r="D845" s="7" t="str">
        <f>IF(ISNA(MATCH(832,Engine!$C$2:$C$1199,0)),"",INDEX('Compliance Database'!$D$2:$D$1199,MATCH(832,Engine!$C$2:$C$1199,0)))</f>
        <v/>
      </c>
      <c r="E845" s="6" t="str">
        <f>IF(ISNA(MATCH(832,Engine!$C$2:$C$1199,0)),"",INDEX('Compliance Database'!$E$2:$E$1199,MATCH(832,Engine!$C$2:$C$1199,0)))</f>
        <v/>
      </c>
      <c r="F845" s="6" t="str">
        <f>IF(ISNA(MATCH(832,Engine!$C$2:$C$1199,0)),"",INDEX('Compliance Database'!$F$2:$F$1199,MATCH(832,Engine!$C$2:$C$1199,0)))</f>
        <v/>
      </c>
      <c r="G845" s="6" t="str">
        <f>IF(ISNA(MATCH(832,Engine!$C$2:$C$1199,0)),"",INDEX('Compliance Database'!$G$2:$G$1199,MATCH(832,Engine!$C$2:$C$1199,0)))</f>
        <v/>
      </c>
      <c r="H845" s="7" t="str">
        <f>IF(ISNA(MATCH(832,Engine!$C$2:$C$1199,0)),"",INDEX('Compliance Database'!$H$2:$H$1199,MATCH(832,Engine!$C$2:$C$1199,0)))</f>
        <v/>
      </c>
      <c r="I845" s="7" t="str">
        <f>IF(ISNA(MATCH(832,Engine!$C$2:$C$1199,0)),"",INDEX('Compliance Database'!$I$2:$I$1199,MATCH(832,Engine!$C$2:$C$1199,0)))</f>
        <v/>
      </c>
      <c r="J845" s="6" t="str">
        <f>IF(ISNA(MATCH(832,Engine!$C$2:$C$1199,0)),"",INDEX('Compliance Database'!$J$2:$J$1199,MATCH(832,Engine!$C$2:$C$1199,0)))</f>
        <v/>
      </c>
      <c r="K845" s="7" t="str">
        <f>IF(ISNA(MATCH(832,Engine!$C$2:$C$1199,0)),"",INDEX('Compliance Database'!$K$2:$K$1199,MATCH(832,Engine!$C$2:$C$1199,0)))</f>
        <v/>
      </c>
      <c r="L845" s="7" t="str">
        <f>IF(ISNA(MATCH(832,Engine!$C$2:$C$1199,0)),"",INDEX('Compliance Database'!$L$2:$L$1199,MATCH(832,Engine!$C$2:$C$1199,0)))</f>
        <v/>
      </c>
      <c r="M845" s="7" t="str">
        <f>IF(ISNA(MATCH(832,Engine!$C$2:$C$1199,0)),"",INDEX('Compliance Database'!$M$2:$M$1199,MATCH(832,Engine!$C$2:$C$1199,0)))</f>
        <v/>
      </c>
      <c r="N845" s="7" t="str">
        <f>IF(ISNA(MATCH(832,Engine!$C$2:$C$1199,0)),"",INDEX('Compliance Database'!$N$2:$N$1199,MATCH(832,Engine!$C$2:$C$1199,0)))</f>
        <v/>
      </c>
      <c r="O845" s="7" t="str">
        <f>IF(ISNA(MATCH(832,Engine!$C$2:$C$1199,0)),"",INDEX('Compliance Database'!$O$2:$O$1199,MATCH(832,Engine!$C$2:$C$1199,0)))</f>
        <v/>
      </c>
      <c r="P845" s="6" t="str">
        <f>IF(ISNA(MATCH(832,Engine!$C$2:$C$1199,0)),"",HYPERLINK("#Acts!A"&amp;INDEX('Compliance Database'!$P$2:$P$1199,MATCH(832,Engine!$C$2:$C$1199,0)),"Go to Act"))</f>
        <v/>
      </c>
    </row>
    <row r="846" spans="1:16" ht="172.95" customHeight="1" x14ac:dyDescent="0.3">
      <c r="A846" s="6" t="str">
        <f>IF(ISNA(MATCH(833,Engine!$C$2:$C$1199,0)),"",INDEX('Compliance Database'!$A$2:$A$1199,MATCH(833,Engine!$C$2:$C$1199,0)))</f>
        <v/>
      </c>
      <c r="B846" s="6" t="str">
        <f>IF(ISNA(MATCH(833,Engine!$C$2:$C$1199,0)),"",INDEX('Compliance Database'!$B$2:$B$1199,MATCH(833,Engine!$C$2:$C$1199,0)))</f>
        <v/>
      </c>
      <c r="C846" s="6" t="str">
        <f>IF(ISNA(MATCH(833,Engine!$C$2:$C$1199,0)),"",INDEX('Compliance Database'!$C$2:$C$1199,MATCH(833,Engine!$C$2:$C$1199,0)))</f>
        <v/>
      </c>
      <c r="D846" s="7" t="str">
        <f>IF(ISNA(MATCH(833,Engine!$C$2:$C$1199,0)),"",INDEX('Compliance Database'!$D$2:$D$1199,MATCH(833,Engine!$C$2:$C$1199,0)))</f>
        <v/>
      </c>
      <c r="E846" s="6" t="str">
        <f>IF(ISNA(MATCH(833,Engine!$C$2:$C$1199,0)),"",INDEX('Compliance Database'!$E$2:$E$1199,MATCH(833,Engine!$C$2:$C$1199,0)))</f>
        <v/>
      </c>
      <c r="F846" s="6" t="str">
        <f>IF(ISNA(MATCH(833,Engine!$C$2:$C$1199,0)),"",INDEX('Compliance Database'!$F$2:$F$1199,MATCH(833,Engine!$C$2:$C$1199,0)))</f>
        <v/>
      </c>
      <c r="G846" s="6" t="str">
        <f>IF(ISNA(MATCH(833,Engine!$C$2:$C$1199,0)),"",INDEX('Compliance Database'!$G$2:$G$1199,MATCH(833,Engine!$C$2:$C$1199,0)))</f>
        <v/>
      </c>
      <c r="H846" s="7" t="str">
        <f>IF(ISNA(MATCH(833,Engine!$C$2:$C$1199,0)),"",INDEX('Compliance Database'!$H$2:$H$1199,MATCH(833,Engine!$C$2:$C$1199,0)))</f>
        <v/>
      </c>
      <c r="I846" s="7" t="str">
        <f>IF(ISNA(MATCH(833,Engine!$C$2:$C$1199,0)),"",INDEX('Compliance Database'!$I$2:$I$1199,MATCH(833,Engine!$C$2:$C$1199,0)))</f>
        <v/>
      </c>
      <c r="J846" s="6" t="str">
        <f>IF(ISNA(MATCH(833,Engine!$C$2:$C$1199,0)),"",INDEX('Compliance Database'!$J$2:$J$1199,MATCH(833,Engine!$C$2:$C$1199,0)))</f>
        <v/>
      </c>
      <c r="K846" s="7" t="str">
        <f>IF(ISNA(MATCH(833,Engine!$C$2:$C$1199,0)),"",INDEX('Compliance Database'!$K$2:$K$1199,MATCH(833,Engine!$C$2:$C$1199,0)))</f>
        <v/>
      </c>
      <c r="L846" s="7" t="str">
        <f>IF(ISNA(MATCH(833,Engine!$C$2:$C$1199,0)),"",INDEX('Compliance Database'!$L$2:$L$1199,MATCH(833,Engine!$C$2:$C$1199,0)))</f>
        <v/>
      </c>
      <c r="M846" s="7" t="str">
        <f>IF(ISNA(MATCH(833,Engine!$C$2:$C$1199,0)),"",INDEX('Compliance Database'!$M$2:$M$1199,MATCH(833,Engine!$C$2:$C$1199,0)))</f>
        <v/>
      </c>
      <c r="N846" s="7" t="str">
        <f>IF(ISNA(MATCH(833,Engine!$C$2:$C$1199,0)),"",INDEX('Compliance Database'!$N$2:$N$1199,MATCH(833,Engine!$C$2:$C$1199,0)))</f>
        <v/>
      </c>
      <c r="O846" s="7" t="str">
        <f>IF(ISNA(MATCH(833,Engine!$C$2:$C$1199,0)),"",INDEX('Compliance Database'!$O$2:$O$1199,MATCH(833,Engine!$C$2:$C$1199,0)))</f>
        <v/>
      </c>
      <c r="P846" s="6" t="str">
        <f>IF(ISNA(MATCH(833,Engine!$C$2:$C$1199,0)),"",HYPERLINK("#Acts!A"&amp;INDEX('Compliance Database'!$P$2:$P$1199,MATCH(833,Engine!$C$2:$C$1199,0)),"Go to Act"))</f>
        <v/>
      </c>
    </row>
    <row r="847" spans="1:16" ht="172.95" customHeight="1" x14ac:dyDescent="0.3">
      <c r="A847" s="6" t="str">
        <f>IF(ISNA(MATCH(834,Engine!$C$2:$C$1199,0)),"",INDEX('Compliance Database'!$A$2:$A$1199,MATCH(834,Engine!$C$2:$C$1199,0)))</f>
        <v/>
      </c>
      <c r="B847" s="6" t="str">
        <f>IF(ISNA(MATCH(834,Engine!$C$2:$C$1199,0)),"",INDEX('Compliance Database'!$B$2:$B$1199,MATCH(834,Engine!$C$2:$C$1199,0)))</f>
        <v/>
      </c>
      <c r="C847" s="6" t="str">
        <f>IF(ISNA(MATCH(834,Engine!$C$2:$C$1199,0)),"",INDEX('Compliance Database'!$C$2:$C$1199,MATCH(834,Engine!$C$2:$C$1199,0)))</f>
        <v/>
      </c>
      <c r="D847" s="7" t="str">
        <f>IF(ISNA(MATCH(834,Engine!$C$2:$C$1199,0)),"",INDEX('Compliance Database'!$D$2:$D$1199,MATCH(834,Engine!$C$2:$C$1199,0)))</f>
        <v/>
      </c>
      <c r="E847" s="6" t="str">
        <f>IF(ISNA(MATCH(834,Engine!$C$2:$C$1199,0)),"",INDEX('Compliance Database'!$E$2:$E$1199,MATCH(834,Engine!$C$2:$C$1199,0)))</f>
        <v/>
      </c>
      <c r="F847" s="6" t="str">
        <f>IF(ISNA(MATCH(834,Engine!$C$2:$C$1199,0)),"",INDEX('Compliance Database'!$F$2:$F$1199,MATCH(834,Engine!$C$2:$C$1199,0)))</f>
        <v/>
      </c>
      <c r="G847" s="6" t="str">
        <f>IF(ISNA(MATCH(834,Engine!$C$2:$C$1199,0)),"",INDEX('Compliance Database'!$G$2:$G$1199,MATCH(834,Engine!$C$2:$C$1199,0)))</f>
        <v/>
      </c>
      <c r="H847" s="7" t="str">
        <f>IF(ISNA(MATCH(834,Engine!$C$2:$C$1199,0)),"",INDEX('Compliance Database'!$H$2:$H$1199,MATCH(834,Engine!$C$2:$C$1199,0)))</f>
        <v/>
      </c>
      <c r="I847" s="7" t="str">
        <f>IF(ISNA(MATCH(834,Engine!$C$2:$C$1199,0)),"",INDEX('Compliance Database'!$I$2:$I$1199,MATCH(834,Engine!$C$2:$C$1199,0)))</f>
        <v/>
      </c>
      <c r="J847" s="6" t="str">
        <f>IF(ISNA(MATCH(834,Engine!$C$2:$C$1199,0)),"",INDEX('Compliance Database'!$J$2:$J$1199,MATCH(834,Engine!$C$2:$C$1199,0)))</f>
        <v/>
      </c>
      <c r="K847" s="7" t="str">
        <f>IF(ISNA(MATCH(834,Engine!$C$2:$C$1199,0)),"",INDEX('Compliance Database'!$K$2:$K$1199,MATCH(834,Engine!$C$2:$C$1199,0)))</f>
        <v/>
      </c>
      <c r="L847" s="7" t="str">
        <f>IF(ISNA(MATCH(834,Engine!$C$2:$C$1199,0)),"",INDEX('Compliance Database'!$L$2:$L$1199,MATCH(834,Engine!$C$2:$C$1199,0)))</f>
        <v/>
      </c>
      <c r="M847" s="7" t="str">
        <f>IF(ISNA(MATCH(834,Engine!$C$2:$C$1199,0)),"",INDEX('Compliance Database'!$M$2:$M$1199,MATCH(834,Engine!$C$2:$C$1199,0)))</f>
        <v/>
      </c>
      <c r="N847" s="7" t="str">
        <f>IF(ISNA(MATCH(834,Engine!$C$2:$C$1199,0)),"",INDEX('Compliance Database'!$N$2:$N$1199,MATCH(834,Engine!$C$2:$C$1199,0)))</f>
        <v/>
      </c>
      <c r="O847" s="7" t="str">
        <f>IF(ISNA(MATCH(834,Engine!$C$2:$C$1199,0)),"",INDEX('Compliance Database'!$O$2:$O$1199,MATCH(834,Engine!$C$2:$C$1199,0)))</f>
        <v/>
      </c>
      <c r="P847" s="6" t="str">
        <f>IF(ISNA(MATCH(834,Engine!$C$2:$C$1199,0)),"",HYPERLINK("#Acts!A"&amp;INDEX('Compliance Database'!$P$2:$P$1199,MATCH(834,Engine!$C$2:$C$1199,0)),"Go to Act"))</f>
        <v/>
      </c>
    </row>
    <row r="848" spans="1:16" ht="172.95" customHeight="1" x14ac:dyDescent="0.3">
      <c r="A848" s="6" t="str">
        <f>IF(ISNA(MATCH(835,Engine!$C$2:$C$1199,0)),"",INDEX('Compliance Database'!$A$2:$A$1199,MATCH(835,Engine!$C$2:$C$1199,0)))</f>
        <v/>
      </c>
      <c r="B848" s="6" t="str">
        <f>IF(ISNA(MATCH(835,Engine!$C$2:$C$1199,0)),"",INDEX('Compliance Database'!$B$2:$B$1199,MATCH(835,Engine!$C$2:$C$1199,0)))</f>
        <v/>
      </c>
      <c r="C848" s="6" t="str">
        <f>IF(ISNA(MATCH(835,Engine!$C$2:$C$1199,0)),"",INDEX('Compliance Database'!$C$2:$C$1199,MATCH(835,Engine!$C$2:$C$1199,0)))</f>
        <v/>
      </c>
      <c r="D848" s="7" t="str">
        <f>IF(ISNA(MATCH(835,Engine!$C$2:$C$1199,0)),"",INDEX('Compliance Database'!$D$2:$D$1199,MATCH(835,Engine!$C$2:$C$1199,0)))</f>
        <v/>
      </c>
      <c r="E848" s="6" t="str">
        <f>IF(ISNA(MATCH(835,Engine!$C$2:$C$1199,0)),"",INDEX('Compliance Database'!$E$2:$E$1199,MATCH(835,Engine!$C$2:$C$1199,0)))</f>
        <v/>
      </c>
      <c r="F848" s="6" t="str">
        <f>IF(ISNA(MATCH(835,Engine!$C$2:$C$1199,0)),"",INDEX('Compliance Database'!$F$2:$F$1199,MATCH(835,Engine!$C$2:$C$1199,0)))</f>
        <v/>
      </c>
      <c r="G848" s="6" t="str">
        <f>IF(ISNA(MATCH(835,Engine!$C$2:$C$1199,0)),"",INDEX('Compliance Database'!$G$2:$G$1199,MATCH(835,Engine!$C$2:$C$1199,0)))</f>
        <v/>
      </c>
      <c r="H848" s="7" t="str">
        <f>IF(ISNA(MATCH(835,Engine!$C$2:$C$1199,0)),"",INDEX('Compliance Database'!$H$2:$H$1199,MATCH(835,Engine!$C$2:$C$1199,0)))</f>
        <v/>
      </c>
      <c r="I848" s="7" t="str">
        <f>IF(ISNA(MATCH(835,Engine!$C$2:$C$1199,0)),"",INDEX('Compliance Database'!$I$2:$I$1199,MATCH(835,Engine!$C$2:$C$1199,0)))</f>
        <v/>
      </c>
      <c r="J848" s="6" t="str">
        <f>IF(ISNA(MATCH(835,Engine!$C$2:$C$1199,0)),"",INDEX('Compliance Database'!$J$2:$J$1199,MATCH(835,Engine!$C$2:$C$1199,0)))</f>
        <v/>
      </c>
      <c r="K848" s="7" t="str">
        <f>IF(ISNA(MATCH(835,Engine!$C$2:$C$1199,0)),"",INDEX('Compliance Database'!$K$2:$K$1199,MATCH(835,Engine!$C$2:$C$1199,0)))</f>
        <v/>
      </c>
      <c r="L848" s="7" t="str">
        <f>IF(ISNA(MATCH(835,Engine!$C$2:$C$1199,0)),"",INDEX('Compliance Database'!$L$2:$L$1199,MATCH(835,Engine!$C$2:$C$1199,0)))</f>
        <v/>
      </c>
      <c r="M848" s="7" t="str">
        <f>IF(ISNA(MATCH(835,Engine!$C$2:$C$1199,0)),"",INDEX('Compliance Database'!$M$2:$M$1199,MATCH(835,Engine!$C$2:$C$1199,0)))</f>
        <v/>
      </c>
      <c r="N848" s="7" t="str">
        <f>IF(ISNA(MATCH(835,Engine!$C$2:$C$1199,0)),"",INDEX('Compliance Database'!$N$2:$N$1199,MATCH(835,Engine!$C$2:$C$1199,0)))</f>
        <v/>
      </c>
      <c r="O848" s="7" t="str">
        <f>IF(ISNA(MATCH(835,Engine!$C$2:$C$1199,0)),"",INDEX('Compliance Database'!$O$2:$O$1199,MATCH(835,Engine!$C$2:$C$1199,0)))</f>
        <v/>
      </c>
      <c r="P848" s="6" t="str">
        <f>IF(ISNA(MATCH(835,Engine!$C$2:$C$1199,0)),"",HYPERLINK("#Acts!A"&amp;INDEX('Compliance Database'!$P$2:$P$1199,MATCH(835,Engine!$C$2:$C$1199,0)),"Go to Act"))</f>
        <v/>
      </c>
    </row>
    <row r="849" spans="1:16" ht="172.95" customHeight="1" x14ac:dyDescent="0.3">
      <c r="A849" s="6" t="str">
        <f>IF(ISNA(MATCH(836,Engine!$C$2:$C$1199,0)),"",INDEX('Compliance Database'!$A$2:$A$1199,MATCH(836,Engine!$C$2:$C$1199,0)))</f>
        <v/>
      </c>
      <c r="B849" s="6" t="str">
        <f>IF(ISNA(MATCH(836,Engine!$C$2:$C$1199,0)),"",INDEX('Compliance Database'!$B$2:$B$1199,MATCH(836,Engine!$C$2:$C$1199,0)))</f>
        <v/>
      </c>
      <c r="C849" s="6" t="str">
        <f>IF(ISNA(MATCH(836,Engine!$C$2:$C$1199,0)),"",INDEX('Compliance Database'!$C$2:$C$1199,MATCH(836,Engine!$C$2:$C$1199,0)))</f>
        <v/>
      </c>
      <c r="D849" s="7" t="str">
        <f>IF(ISNA(MATCH(836,Engine!$C$2:$C$1199,0)),"",INDEX('Compliance Database'!$D$2:$D$1199,MATCH(836,Engine!$C$2:$C$1199,0)))</f>
        <v/>
      </c>
      <c r="E849" s="6" t="str">
        <f>IF(ISNA(MATCH(836,Engine!$C$2:$C$1199,0)),"",INDEX('Compliance Database'!$E$2:$E$1199,MATCH(836,Engine!$C$2:$C$1199,0)))</f>
        <v/>
      </c>
      <c r="F849" s="6" t="str">
        <f>IF(ISNA(MATCH(836,Engine!$C$2:$C$1199,0)),"",INDEX('Compliance Database'!$F$2:$F$1199,MATCH(836,Engine!$C$2:$C$1199,0)))</f>
        <v/>
      </c>
      <c r="G849" s="6" t="str">
        <f>IF(ISNA(MATCH(836,Engine!$C$2:$C$1199,0)),"",INDEX('Compliance Database'!$G$2:$G$1199,MATCH(836,Engine!$C$2:$C$1199,0)))</f>
        <v/>
      </c>
      <c r="H849" s="7" t="str">
        <f>IF(ISNA(MATCH(836,Engine!$C$2:$C$1199,0)),"",INDEX('Compliance Database'!$H$2:$H$1199,MATCH(836,Engine!$C$2:$C$1199,0)))</f>
        <v/>
      </c>
      <c r="I849" s="7" t="str">
        <f>IF(ISNA(MATCH(836,Engine!$C$2:$C$1199,0)),"",INDEX('Compliance Database'!$I$2:$I$1199,MATCH(836,Engine!$C$2:$C$1199,0)))</f>
        <v/>
      </c>
      <c r="J849" s="6" t="str">
        <f>IF(ISNA(MATCH(836,Engine!$C$2:$C$1199,0)),"",INDEX('Compliance Database'!$J$2:$J$1199,MATCH(836,Engine!$C$2:$C$1199,0)))</f>
        <v/>
      </c>
      <c r="K849" s="7" t="str">
        <f>IF(ISNA(MATCH(836,Engine!$C$2:$C$1199,0)),"",INDEX('Compliance Database'!$K$2:$K$1199,MATCH(836,Engine!$C$2:$C$1199,0)))</f>
        <v/>
      </c>
      <c r="L849" s="7" t="str">
        <f>IF(ISNA(MATCH(836,Engine!$C$2:$C$1199,0)),"",INDEX('Compliance Database'!$L$2:$L$1199,MATCH(836,Engine!$C$2:$C$1199,0)))</f>
        <v/>
      </c>
      <c r="M849" s="7" t="str">
        <f>IF(ISNA(MATCH(836,Engine!$C$2:$C$1199,0)),"",INDEX('Compliance Database'!$M$2:$M$1199,MATCH(836,Engine!$C$2:$C$1199,0)))</f>
        <v/>
      </c>
      <c r="N849" s="7" t="str">
        <f>IF(ISNA(MATCH(836,Engine!$C$2:$C$1199,0)),"",INDEX('Compliance Database'!$N$2:$N$1199,MATCH(836,Engine!$C$2:$C$1199,0)))</f>
        <v/>
      </c>
      <c r="O849" s="7" t="str">
        <f>IF(ISNA(MATCH(836,Engine!$C$2:$C$1199,0)),"",INDEX('Compliance Database'!$O$2:$O$1199,MATCH(836,Engine!$C$2:$C$1199,0)))</f>
        <v/>
      </c>
      <c r="P849" s="6" t="str">
        <f>IF(ISNA(MATCH(836,Engine!$C$2:$C$1199,0)),"",HYPERLINK("#Acts!A"&amp;INDEX('Compliance Database'!$P$2:$P$1199,MATCH(836,Engine!$C$2:$C$1199,0)),"Go to Act"))</f>
        <v/>
      </c>
    </row>
    <row r="850" spans="1:16" ht="172.95" customHeight="1" x14ac:dyDescent="0.3">
      <c r="A850" s="6" t="str">
        <f>IF(ISNA(MATCH(837,Engine!$C$2:$C$1199,0)),"",INDEX('Compliance Database'!$A$2:$A$1199,MATCH(837,Engine!$C$2:$C$1199,0)))</f>
        <v/>
      </c>
      <c r="B850" s="6" t="str">
        <f>IF(ISNA(MATCH(837,Engine!$C$2:$C$1199,0)),"",INDEX('Compliance Database'!$B$2:$B$1199,MATCH(837,Engine!$C$2:$C$1199,0)))</f>
        <v/>
      </c>
      <c r="C850" s="6" t="str">
        <f>IF(ISNA(MATCH(837,Engine!$C$2:$C$1199,0)),"",INDEX('Compliance Database'!$C$2:$C$1199,MATCH(837,Engine!$C$2:$C$1199,0)))</f>
        <v/>
      </c>
      <c r="D850" s="7" t="str">
        <f>IF(ISNA(MATCH(837,Engine!$C$2:$C$1199,0)),"",INDEX('Compliance Database'!$D$2:$D$1199,MATCH(837,Engine!$C$2:$C$1199,0)))</f>
        <v/>
      </c>
      <c r="E850" s="6" t="str">
        <f>IF(ISNA(MATCH(837,Engine!$C$2:$C$1199,0)),"",INDEX('Compliance Database'!$E$2:$E$1199,MATCH(837,Engine!$C$2:$C$1199,0)))</f>
        <v/>
      </c>
      <c r="F850" s="6" t="str">
        <f>IF(ISNA(MATCH(837,Engine!$C$2:$C$1199,0)),"",INDEX('Compliance Database'!$F$2:$F$1199,MATCH(837,Engine!$C$2:$C$1199,0)))</f>
        <v/>
      </c>
      <c r="G850" s="6" t="str">
        <f>IF(ISNA(MATCH(837,Engine!$C$2:$C$1199,0)),"",INDEX('Compliance Database'!$G$2:$G$1199,MATCH(837,Engine!$C$2:$C$1199,0)))</f>
        <v/>
      </c>
      <c r="H850" s="7" t="str">
        <f>IF(ISNA(MATCH(837,Engine!$C$2:$C$1199,0)),"",INDEX('Compliance Database'!$H$2:$H$1199,MATCH(837,Engine!$C$2:$C$1199,0)))</f>
        <v/>
      </c>
      <c r="I850" s="7" t="str">
        <f>IF(ISNA(MATCH(837,Engine!$C$2:$C$1199,0)),"",INDEX('Compliance Database'!$I$2:$I$1199,MATCH(837,Engine!$C$2:$C$1199,0)))</f>
        <v/>
      </c>
      <c r="J850" s="6" t="str">
        <f>IF(ISNA(MATCH(837,Engine!$C$2:$C$1199,0)),"",INDEX('Compliance Database'!$J$2:$J$1199,MATCH(837,Engine!$C$2:$C$1199,0)))</f>
        <v/>
      </c>
      <c r="K850" s="7" t="str">
        <f>IF(ISNA(MATCH(837,Engine!$C$2:$C$1199,0)),"",INDEX('Compliance Database'!$K$2:$K$1199,MATCH(837,Engine!$C$2:$C$1199,0)))</f>
        <v/>
      </c>
      <c r="L850" s="7" t="str">
        <f>IF(ISNA(MATCH(837,Engine!$C$2:$C$1199,0)),"",INDEX('Compliance Database'!$L$2:$L$1199,MATCH(837,Engine!$C$2:$C$1199,0)))</f>
        <v/>
      </c>
      <c r="M850" s="7" t="str">
        <f>IF(ISNA(MATCH(837,Engine!$C$2:$C$1199,0)),"",INDEX('Compliance Database'!$M$2:$M$1199,MATCH(837,Engine!$C$2:$C$1199,0)))</f>
        <v/>
      </c>
      <c r="N850" s="7" t="str">
        <f>IF(ISNA(MATCH(837,Engine!$C$2:$C$1199,0)),"",INDEX('Compliance Database'!$N$2:$N$1199,MATCH(837,Engine!$C$2:$C$1199,0)))</f>
        <v/>
      </c>
      <c r="O850" s="7" t="str">
        <f>IF(ISNA(MATCH(837,Engine!$C$2:$C$1199,0)),"",INDEX('Compliance Database'!$O$2:$O$1199,MATCH(837,Engine!$C$2:$C$1199,0)))</f>
        <v/>
      </c>
      <c r="P850" s="6" t="str">
        <f>IF(ISNA(MATCH(837,Engine!$C$2:$C$1199,0)),"",HYPERLINK("#Acts!A"&amp;INDEX('Compliance Database'!$P$2:$P$1199,MATCH(837,Engine!$C$2:$C$1199,0)),"Go to Act"))</f>
        <v/>
      </c>
    </row>
    <row r="851" spans="1:16" ht="172.95" customHeight="1" x14ac:dyDescent="0.3">
      <c r="A851" s="6" t="str">
        <f>IF(ISNA(MATCH(838,Engine!$C$2:$C$1199,0)),"",INDEX('Compliance Database'!$A$2:$A$1199,MATCH(838,Engine!$C$2:$C$1199,0)))</f>
        <v/>
      </c>
      <c r="B851" s="6" t="str">
        <f>IF(ISNA(MATCH(838,Engine!$C$2:$C$1199,0)),"",INDEX('Compliance Database'!$B$2:$B$1199,MATCH(838,Engine!$C$2:$C$1199,0)))</f>
        <v/>
      </c>
      <c r="C851" s="6" t="str">
        <f>IF(ISNA(MATCH(838,Engine!$C$2:$C$1199,0)),"",INDEX('Compliance Database'!$C$2:$C$1199,MATCH(838,Engine!$C$2:$C$1199,0)))</f>
        <v/>
      </c>
      <c r="D851" s="7" t="str">
        <f>IF(ISNA(MATCH(838,Engine!$C$2:$C$1199,0)),"",INDEX('Compliance Database'!$D$2:$D$1199,MATCH(838,Engine!$C$2:$C$1199,0)))</f>
        <v/>
      </c>
      <c r="E851" s="6" t="str">
        <f>IF(ISNA(MATCH(838,Engine!$C$2:$C$1199,0)),"",INDEX('Compliance Database'!$E$2:$E$1199,MATCH(838,Engine!$C$2:$C$1199,0)))</f>
        <v/>
      </c>
      <c r="F851" s="6" t="str">
        <f>IF(ISNA(MATCH(838,Engine!$C$2:$C$1199,0)),"",INDEX('Compliance Database'!$F$2:$F$1199,MATCH(838,Engine!$C$2:$C$1199,0)))</f>
        <v/>
      </c>
      <c r="G851" s="6" t="str">
        <f>IF(ISNA(MATCH(838,Engine!$C$2:$C$1199,0)),"",INDEX('Compliance Database'!$G$2:$G$1199,MATCH(838,Engine!$C$2:$C$1199,0)))</f>
        <v/>
      </c>
      <c r="H851" s="7" t="str">
        <f>IF(ISNA(MATCH(838,Engine!$C$2:$C$1199,0)),"",INDEX('Compliance Database'!$H$2:$H$1199,MATCH(838,Engine!$C$2:$C$1199,0)))</f>
        <v/>
      </c>
      <c r="I851" s="7" t="str">
        <f>IF(ISNA(MATCH(838,Engine!$C$2:$C$1199,0)),"",INDEX('Compliance Database'!$I$2:$I$1199,MATCH(838,Engine!$C$2:$C$1199,0)))</f>
        <v/>
      </c>
      <c r="J851" s="6" t="str">
        <f>IF(ISNA(MATCH(838,Engine!$C$2:$C$1199,0)),"",INDEX('Compliance Database'!$J$2:$J$1199,MATCH(838,Engine!$C$2:$C$1199,0)))</f>
        <v/>
      </c>
      <c r="K851" s="7" t="str">
        <f>IF(ISNA(MATCH(838,Engine!$C$2:$C$1199,0)),"",INDEX('Compliance Database'!$K$2:$K$1199,MATCH(838,Engine!$C$2:$C$1199,0)))</f>
        <v/>
      </c>
      <c r="L851" s="7" t="str">
        <f>IF(ISNA(MATCH(838,Engine!$C$2:$C$1199,0)),"",INDEX('Compliance Database'!$L$2:$L$1199,MATCH(838,Engine!$C$2:$C$1199,0)))</f>
        <v/>
      </c>
      <c r="M851" s="7" t="str">
        <f>IF(ISNA(MATCH(838,Engine!$C$2:$C$1199,0)),"",INDEX('Compliance Database'!$M$2:$M$1199,MATCH(838,Engine!$C$2:$C$1199,0)))</f>
        <v/>
      </c>
      <c r="N851" s="7" t="str">
        <f>IF(ISNA(MATCH(838,Engine!$C$2:$C$1199,0)),"",INDEX('Compliance Database'!$N$2:$N$1199,MATCH(838,Engine!$C$2:$C$1199,0)))</f>
        <v/>
      </c>
      <c r="O851" s="7" t="str">
        <f>IF(ISNA(MATCH(838,Engine!$C$2:$C$1199,0)),"",INDEX('Compliance Database'!$O$2:$O$1199,MATCH(838,Engine!$C$2:$C$1199,0)))</f>
        <v/>
      </c>
      <c r="P851" s="6" t="str">
        <f>IF(ISNA(MATCH(838,Engine!$C$2:$C$1199,0)),"",HYPERLINK("#Acts!A"&amp;INDEX('Compliance Database'!$P$2:$P$1199,MATCH(838,Engine!$C$2:$C$1199,0)),"Go to Act"))</f>
        <v/>
      </c>
    </row>
    <row r="852" spans="1:16" ht="172.95" customHeight="1" x14ac:dyDescent="0.3">
      <c r="A852" s="6" t="str">
        <f>IF(ISNA(MATCH(839,Engine!$C$2:$C$1199,0)),"",INDEX('Compliance Database'!$A$2:$A$1199,MATCH(839,Engine!$C$2:$C$1199,0)))</f>
        <v/>
      </c>
      <c r="B852" s="6" t="str">
        <f>IF(ISNA(MATCH(839,Engine!$C$2:$C$1199,0)),"",INDEX('Compliance Database'!$B$2:$B$1199,MATCH(839,Engine!$C$2:$C$1199,0)))</f>
        <v/>
      </c>
      <c r="C852" s="6" t="str">
        <f>IF(ISNA(MATCH(839,Engine!$C$2:$C$1199,0)),"",INDEX('Compliance Database'!$C$2:$C$1199,MATCH(839,Engine!$C$2:$C$1199,0)))</f>
        <v/>
      </c>
      <c r="D852" s="7" t="str">
        <f>IF(ISNA(MATCH(839,Engine!$C$2:$C$1199,0)),"",INDEX('Compliance Database'!$D$2:$D$1199,MATCH(839,Engine!$C$2:$C$1199,0)))</f>
        <v/>
      </c>
      <c r="E852" s="6" t="str">
        <f>IF(ISNA(MATCH(839,Engine!$C$2:$C$1199,0)),"",INDEX('Compliance Database'!$E$2:$E$1199,MATCH(839,Engine!$C$2:$C$1199,0)))</f>
        <v/>
      </c>
      <c r="F852" s="6" t="str">
        <f>IF(ISNA(MATCH(839,Engine!$C$2:$C$1199,0)),"",INDEX('Compliance Database'!$F$2:$F$1199,MATCH(839,Engine!$C$2:$C$1199,0)))</f>
        <v/>
      </c>
      <c r="G852" s="6" t="str">
        <f>IF(ISNA(MATCH(839,Engine!$C$2:$C$1199,0)),"",INDEX('Compliance Database'!$G$2:$G$1199,MATCH(839,Engine!$C$2:$C$1199,0)))</f>
        <v/>
      </c>
      <c r="H852" s="7" t="str">
        <f>IF(ISNA(MATCH(839,Engine!$C$2:$C$1199,0)),"",INDEX('Compliance Database'!$H$2:$H$1199,MATCH(839,Engine!$C$2:$C$1199,0)))</f>
        <v/>
      </c>
      <c r="I852" s="7" t="str">
        <f>IF(ISNA(MATCH(839,Engine!$C$2:$C$1199,0)),"",INDEX('Compliance Database'!$I$2:$I$1199,MATCH(839,Engine!$C$2:$C$1199,0)))</f>
        <v/>
      </c>
      <c r="J852" s="6" t="str">
        <f>IF(ISNA(MATCH(839,Engine!$C$2:$C$1199,0)),"",INDEX('Compliance Database'!$J$2:$J$1199,MATCH(839,Engine!$C$2:$C$1199,0)))</f>
        <v/>
      </c>
      <c r="K852" s="7" t="str">
        <f>IF(ISNA(MATCH(839,Engine!$C$2:$C$1199,0)),"",INDEX('Compliance Database'!$K$2:$K$1199,MATCH(839,Engine!$C$2:$C$1199,0)))</f>
        <v/>
      </c>
      <c r="L852" s="7" t="str">
        <f>IF(ISNA(MATCH(839,Engine!$C$2:$C$1199,0)),"",INDEX('Compliance Database'!$L$2:$L$1199,MATCH(839,Engine!$C$2:$C$1199,0)))</f>
        <v/>
      </c>
      <c r="M852" s="7" t="str">
        <f>IF(ISNA(MATCH(839,Engine!$C$2:$C$1199,0)),"",INDEX('Compliance Database'!$M$2:$M$1199,MATCH(839,Engine!$C$2:$C$1199,0)))</f>
        <v/>
      </c>
      <c r="N852" s="7" t="str">
        <f>IF(ISNA(MATCH(839,Engine!$C$2:$C$1199,0)),"",INDEX('Compliance Database'!$N$2:$N$1199,MATCH(839,Engine!$C$2:$C$1199,0)))</f>
        <v/>
      </c>
      <c r="O852" s="7" t="str">
        <f>IF(ISNA(MATCH(839,Engine!$C$2:$C$1199,0)),"",INDEX('Compliance Database'!$O$2:$O$1199,MATCH(839,Engine!$C$2:$C$1199,0)))</f>
        <v/>
      </c>
      <c r="P852" s="6" t="str">
        <f>IF(ISNA(MATCH(839,Engine!$C$2:$C$1199,0)),"",HYPERLINK("#Acts!A"&amp;INDEX('Compliance Database'!$P$2:$P$1199,MATCH(839,Engine!$C$2:$C$1199,0)),"Go to Act"))</f>
        <v/>
      </c>
    </row>
    <row r="853" spans="1:16" ht="172.95" customHeight="1" x14ac:dyDescent="0.3">
      <c r="A853" s="6" t="str">
        <f>IF(ISNA(MATCH(840,Engine!$C$2:$C$1199,0)),"",INDEX('Compliance Database'!$A$2:$A$1199,MATCH(840,Engine!$C$2:$C$1199,0)))</f>
        <v/>
      </c>
      <c r="B853" s="6" t="str">
        <f>IF(ISNA(MATCH(840,Engine!$C$2:$C$1199,0)),"",INDEX('Compliance Database'!$B$2:$B$1199,MATCH(840,Engine!$C$2:$C$1199,0)))</f>
        <v/>
      </c>
      <c r="C853" s="6" t="str">
        <f>IF(ISNA(MATCH(840,Engine!$C$2:$C$1199,0)),"",INDEX('Compliance Database'!$C$2:$C$1199,MATCH(840,Engine!$C$2:$C$1199,0)))</f>
        <v/>
      </c>
      <c r="D853" s="7" t="str">
        <f>IF(ISNA(MATCH(840,Engine!$C$2:$C$1199,0)),"",INDEX('Compliance Database'!$D$2:$D$1199,MATCH(840,Engine!$C$2:$C$1199,0)))</f>
        <v/>
      </c>
      <c r="E853" s="6" t="str">
        <f>IF(ISNA(MATCH(840,Engine!$C$2:$C$1199,0)),"",INDEX('Compliance Database'!$E$2:$E$1199,MATCH(840,Engine!$C$2:$C$1199,0)))</f>
        <v/>
      </c>
      <c r="F853" s="6" t="str">
        <f>IF(ISNA(MATCH(840,Engine!$C$2:$C$1199,0)),"",INDEX('Compliance Database'!$F$2:$F$1199,MATCH(840,Engine!$C$2:$C$1199,0)))</f>
        <v/>
      </c>
      <c r="G853" s="6" t="str">
        <f>IF(ISNA(MATCH(840,Engine!$C$2:$C$1199,0)),"",INDEX('Compliance Database'!$G$2:$G$1199,MATCH(840,Engine!$C$2:$C$1199,0)))</f>
        <v/>
      </c>
      <c r="H853" s="7" t="str">
        <f>IF(ISNA(MATCH(840,Engine!$C$2:$C$1199,0)),"",INDEX('Compliance Database'!$H$2:$H$1199,MATCH(840,Engine!$C$2:$C$1199,0)))</f>
        <v/>
      </c>
      <c r="I853" s="7" t="str">
        <f>IF(ISNA(MATCH(840,Engine!$C$2:$C$1199,0)),"",INDEX('Compliance Database'!$I$2:$I$1199,MATCH(840,Engine!$C$2:$C$1199,0)))</f>
        <v/>
      </c>
      <c r="J853" s="6" t="str">
        <f>IF(ISNA(MATCH(840,Engine!$C$2:$C$1199,0)),"",INDEX('Compliance Database'!$J$2:$J$1199,MATCH(840,Engine!$C$2:$C$1199,0)))</f>
        <v/>
      </c>
      <c r="K853" s="7" t="str">
        <f>IF(ISNA(MATCH(840,Engine!$C$2:$C$1199,0)),"",INDEX('Compliance Database'!$K$2:$K$1199,MATCH(840,Engine!$C$2:$C$1199,0)))</f>
        <v/>
      </c>
      <c r="L853" s="7" t="str">
        <f>IF(ISNA(MATCH(840,Engine!$C$2:$C$1199,0)),"",INDEX('Compliance Database'!$L$2:$L$1199,MATCH(840,Engine!$C$2:$C$1199,0)))</f>
        <v/>
      </c>
      <c r="M853" s="7" t="str">
        <f>IF(ISNA(MATCH(840,Engine!$C$2:$C$1199,0)),"",INDEX('Compliance Database'!$M$2:$M$1199,MATCH(840,Engine!$C$2:$C$1199,0)))</f>
        <v/>
      </c>
      <c r="N853" s="7" t="str">
        <f>IF(ISNA(MATCH(840,Engine!$C$2:$C$1199,0)),"",INDEX('Compliance Database'!$N$2:$N$1199,MATCH(840,Engine!$C$2:$C$1199,0)))</f>
        <v/>
      </c>
      <c r="O853" s="7" t="str">
        <f>IF(ISNA(MATCH(840,Engine!$C$2:$C$1199,0)),"",INDEX('Compliance Database'!$O$2:$O$1199,MATCH(840,Engine!$C$2:$C$1199,0)))</f>
        <v/>
      </c>
      <c r="P853" s="6" t="str">
        <f>IF(ISNA(MATCH(840,Engine!$C$2:$C$1199,0)),"",HYPERLINK("#Acts!A"&amp;INDEX('Compliance Database'!$P$2:$P$1199,MATCH(840,Engine!$C$2:$C$1199,0)),"Go to Act"))</f>
        <v/>
      </c>
    </row>
    <row r="854" spans="1:16" ht="172.95" customHeight="1" x14ac:dyDescent="0.3">
      <c r="A854" s="6" t="str">
        <f>IF(ISNA(MATCH(841,Engine!$C$2:$C$1199,0)),"",INDEX('Compliance Database'!$A$2:$A$1199,MATCH(841,Engine!$C$2:$C$1199,0)))</f>
        <v/>
      </c>
      <c r="B854" s="6" t="str">
        <f>IF(ISNA(MATCH(841,Engine!$C$2:$C$1199,0)),"",INDEX('Compliance Database'!$B$2:$B$1199,MATCH(841,Engine!$C$2:$C$1199,0)))</f>
        <v/>
      </c>
      <c r="C854" s="6" t="str">
        <f>IF(ISNA(MATCH(841,Engine!$C$2:$C$1199,0)),"",INDEX('Compliance Database'!$C$2:$C$1199,MATCH(841,Engine!$C$2:$C$1199,0)))</f>
        <v/>
      </c>
      <c r="D854" s="7" t="str">
        <f>IF(ISNA(MATCH(841,Engine!$C$2:$C$1199,0)),"",INDEX('Compliance Database'!$D$2:$D$1199,MATCH(841,Engine!$C$2:$C$1199,0)))</f>
        <v/>
      </c>
      <c r="E854" s="6" t="str">
        <f>IF(ISNA(MATCH(841,Engine!$C$2:$C$1199,0)),"",INDEX('Compliance Database'!$E$2:$E$1199,MATCH(841,Engine!$C$2:$C$1199,0)))</f>
        <v/>
      </c>
      <c r="F854" s="6" t="str">
        <f>IF(ISNA(MATCH(841,Engine!$C$2:$C$1199,0)),"",INDEX('Compliance Database'!$F$2:$F$1199,MATCH(841,Engine!$C$2:$C$1199,0)))</f>
        <v/>
      </c>
      <c r="G854" s="6" t="str">
        <f>IF(ISNA(MATCH(841,Engine!$C$2:$C$1199,0)),"",INDEX('Compliance Database'!$G$2:$G$1199,MATCH(841,Engine!$C$2:$C$1199,0)))</f>
        <v/>
      </c>
      <c r="H854" s="7" t="str">
        <f>IF(ISNA(MATCH(841,Engine!$C$2:$C$1199,0)),"",INDEX('Compliance Database'!$H$2:$H$1199,MATCH(841,Engine!$C$2:$C$1199,0)))</f>
        <v/>
      </c>
      <c r="I854" s="7" t="str">
        <f>IF(ISNA(MATCH(841,Engine!$C$2:$C$1199,0)),"",INDEX('Compliance Database'!$I$2:$I$1199,MATCH(841,Engine!$C$2:$C$1199,0)))</f>
        <v/>
      </c>
      <c r="J854" s="6" t="str">
        <f>IF(ISNA(MATCH(841,Engine!$C$2:$C$1199,0)),"",INDEX('Compliance Database'!$J$2:$J$1199,MATCH(841,Engine!$C$2:$C$1199,0)))</f>
        <v/>
      </c>
      <c r="K854" s="7" t="str">
        <f>IF(ISNA(MATCH(841,Engine!$C$2:$C$1199,0)),"",INDEX('Compliance Database'!$K$2:$K$1199,MATCH(841,Engine!$C$2:$C$1199,0)))</f>
        <v/>
      </c>
      <c r="L854" s="7" t="str">
        <f>IF(ISNA(MATCH(841,Engine!$C$2:$C$1199,0)),"",INDEX('Compliance Database'!$L$2:$L$1199,MATCH(841,Engine!$C$2:$C$1199,0)))</f>
        <v/>
      </c>
      <c r="M854" s="7" t="str">
        <f>IF(ISNA(MATCH(841,Engine!$C$2:$C$1199,0)),"",INDEX('Compliance Database'!$M$2:$M$1199,MATCH(841,Engine!$C$2:$C$1199,0)))</f>
        <v/>
      </c>
      <c r="N854" s="7" t="str">
        <f>IF(ISNA(MATCH(841,Engine!$C$2:$C$1199,0)),"",INDEX('Compliance Database'!$N$2:$N$1199,MATCH(841,Engine!$C$2:$C$1199,0)))</f>
        <v/>
      </c>
      <c r="O854" s="7" t="str">
        <f>IF(ISNA(MATCH(841,Engine!$C$2:$C$1199,0)),"",INDEX('Compliance Database'!$O$2:$O$1199,MATCH(841,Engine!$C$2:$C$1199,0)))</f>
        <v/>
      </c>
      <c r="P854" s="6" t="str">
        <f>IF(ISNA(MATCH(841,Engine!$C$2:$C$1199,0)),"",HYPERLINK("#Acts!A"&amp;INDEX('Compliance Database'!$P$2:$P$1199,MATCH(841,Engine!$C$2:$C$1199,0)),"Go to Act"))</f>
        <v/>
      </c>
    </row>
    <row r="855" spans="1:16" ht="172.95" customHeight="1" x14ac:dyDescent="0.3">
      <c r="A855" s="6" t="str">
        <f>IF(ISNA(MATCH(842,Engine!$C$2:$C$1199,0)),"",INDEX('Compliance Database'!$A$2:$A$1199,MATCH(842,Engine!$C$2:$C$1199,0)))</f>
        <v/>
      </c>
      <c r="B855" s="6" t="str">
        <f>IF(ISNA(MATCH(842,Engine!$C$2:$C$1199,0)),"",INDEX('Compliance Database'!$B$2:$B$1199,MATCH(842,Engine!$C$2:$C$1199,0)))</f>
        <v/>
      </c>
      <c r="C855" s="6" t="str">
        <f>IF(ISNA(MATCH(842,Engine!$C$2:$C$1199,0)),"",INDEX('Compliance Database'!$C$2:$C$1199,MATCH(842,Engine!$C$2:$C$1199,0)))</f>
        <v/>
      </c>
      <c r="D855" s="7" t="str">
        <f>IF(ISNA(MATCH(842,Engine!$C$2:$C$1199,0)),"",INDEX('Compliance Database'!$D$2:$D$1199,MATCH(842,Engine!$C$2:$C$1199,0)))</f>
        <v/>
      </c>
      <c r="E855" s="6" t="str">
        <f>IF(ISNA(MATCH(842,Engine!$C$2:$C$1199,0)),"",INDEX('Compliance Database'!$E$2:$E$1199,MATCH(842,Engine!$C$2:$C$1199,0)))</f>
        <v/>
      </c>
      <c r="F855" s="6" t="str">
        <f>IF(ISNA(MATCH(842,Engine!$C$2:$C$1199,0)),"",INDEX('Compliance Database'!$F$2:$F$1199,MATCH(842,Engine!$C$2:$C$1199,0)))</f>
        <v/>
      </c>
      <c r="G855" s="6" t="str">
        <f>IF(ISNA(MATCH(842,Engine!$C$2:$C$1199,0)),"",INDEX('Compliance Database'!$G$2:$G$1199,MATCH(842,Engine!$C$2:$C$1199,0)))</f>
        <v/>
      </c>
      <c r="H855" s="7" t="str">
        <f>IF(ISNA(MATCH(842,Engine!$C$2:$C$1199,0)),"",INDEX('Compliance Database'!$H$2:$H$1199,MATCH(842,Engine!$C$2:$C$1199,0)))</f>
        <v/>
      </c>
      <c r="I855" s="7" t="str">
        <f>IF(ISNA(MATCH(842,Engine!$C$2:$C$1199,0)),"",INDEX('Compliance Database'!$I$2:$I$1199,MATCH(842,Engine!$C$2:$C$1199,0)))</f>
        <v/>
      </c>
      <c r="J855" s="6" t="str">
        <f>IF(ISNA(MATCH(842,Engine!$C$2:$C$1199,0)),"",INDEX('Compliance Database'!$J$2:$J$1199,MATCH(842,Engine!$C$2:$C$1199,0)))</f>
        <v/>
      </c>
      <c r="K855" s="7" t="str">
        <f>IF(ISNA(MATCH(842,Engine!$C$2:$C$1199,0)),"",INDEX('Compliance Database'!$K$2:$K$1199,MATCH(842,Engine!$C$2:$C$1199,0)))</f>
        <v/>
      </c>
      <c r="L855" s="7" t="str">
        <f>IF(ISNA(MATCH(842,Engine!$C$2:$C$1199,0)),"",INDEX('Compliance Database'!$L$2:$L$1199,MATCH(842,Engine!$C$2:$C$1199,0)))</f>
        <v/>
      </c>
      <c r="M855" s="7" t="str">
        <f>IF(ISNA(MATCH(842,Engine!$C$2:$C$1199,0)),"",INDEX('Compliance Database'!$M$2:$M$1199,MATCH(842,Engine!$C$2:$C$1199,0)))</f>
        <v/>
      </c>
      <c r="N855" s="7" t="str">
        <f>IF(ISNA(MATCH(842,Engine!$C$2:$C$1199,0)),"",INDEX('Compliance Database'!$N$2:$N$1199,MATCH(842,Engine!$C$2:$C$1199,0)))</f>
        <v/>
      </c>
      <c r="O855" s="7" t="str">
        <f>IF(ISNA(MATCH(842,Engine!$C$2:$C$1199,0)),"",INDEX('Compliance Database'!$O$2:$O$1199,MATCH(842,Engine!$C$2:$C$1199,0)))</f>
        <v/>
      </c>
      <c r="P855" s="6" t="str">
        <f>IF(ISNA(MATCH(842,Engine!$C$2:$C$1199,0)),"",HYPERLINK("#Acts!A"&amp;INDEX('Compliance Database'!$P$2:$P$1199,MATCH(842,Engine!$C$2:$C$1199,0)),"Go to Act"))</f>
        <v/>
      </c>
    </row>
    <row r="856" spans="1:16" ht="172.95" customHeight="1" x14ac:dyDescent="0.3">
      <c r="A856" s="6" t="str">
        <f>IF(ISNA(MATCH(843,Engine!$C$2:$C$1199,0)),"",INDEX('Compliance Database'!$A$2:$A$1199,MATCH(843,Engine!$C$2:$C$1199,0)))</f>
        <v/>
      </c>
      <c r="B856" s="6" t="str">
        <f>IF(ISNA(MATCH(843,Engine!$C$2:$C$1199,0)),"",INDEX('Compliance Database'!$B$2:$B$1199,MATCH(843,Engine!$C$2:$C$1199,0)))</f>
        <v/>
      </c>
      <c r="C856" s="6" t="str">
        <f>IF(ISNA(MATCH(843,Engine!$C$2:$C$1199,0)),"",INDEX('Compliance Database'!$C$2:$C$1199,MATCH(843,Engine!$C$2:$C$1199,0)))</f>
        <v/>
      </c>
      <c r="D856" s="7" t="str">
        <f>IF(ISNA(MATCH(843,Engine!$C$2:$C$1199,0)),"",INDEX('Compliance Database'!$D$2:$D$1199,MATCH(843,Engine!$C$2:$C$1199,0)))</f>
        <v/>
      </c>
      <c r="E856" s="6" t="str">
        <f>IF(ISNA(MATCH(843,Engine!$C$2:$C$1199,0)),"",INDEX('Compliance Database'!$E$2:$E$1199,MATCH(843,Engine!$C$2:$C$1199,0)))</f>
        <v/>
      </c>
      <c r="F856" s="6" t="str">
        <f>IF(ISNA(MATCH(843,Engine!$C$2:$C$1199,0)),"",INDEX('Compliance Database'!$F$2:$F$1199,MATCH(843,Engine!$C$2:$C$1199,0)))</f>
        <v/>
      </c>
      <c r="G856" s="6" t="str">
        <f>IF(ISNA(MATCH(843,Engine!$C$2:$C$1199,0)),"",INDEX('Compliance Database'!$G$2:$G$1199,MATCH(843,Engine!$C$2:$C$1199,0)))</f>
        <v/>
      </c>
      <c r="H856" s="7" t="str">
        <f>IF(ISNA(MATCH(843,Engine!$C$2:$C$1199,0)),"",INDEX('Compliance Database'!$H$2:$H$1199,MATCH(843,Engine!$C$2:$C$1199,0)))</f>
        <v/>
      </c>
      <c r="I856" s="7" t="str">
        <f>IF(ISNA(MATCH(843,Engine!$C$2:$C$1199,0)),"",INDEX('Compliance Database'!$I$2:$I$1199,MATCH(843,Engine!$C$2:$C$1199,0)))</f>
        <v/>
      </c>
      <c r="J856" s="6" t="str">
        <f>IF(ISNA(MATCH(843,Engine!$C$2:$C$1199,0)),"",INDEX('Compliance Database'!$J$2:$J$1199,MATCH(843,Engine!$C$2:$C$1199,0)))</f>
        <v/>
      </c>
      <c r="K856" s="7" t="str">
        <f>IF(ISNA(MATCH(843,Engine!$C$2:$C$1199,0)),"",INDEX('Compliance Database'!$K$2:$K$1199,MATCH(843,Engine!$C$2:$C$1199,0)))</f>
        <v/>
      </c>
      <c r="L856" s="7" t="str">
        <f>IF(ISNA(MATCH(843,Engine!$C$2:$C$1199,0)),"",INDEX('Compliance Database'!$L$2:$L$1199,MATCH(843,Engine!$C$2:$C$1199,0)))</f>
        <v/>
      </c>
      <c r="M856" s="7" t="str">
        <f>IF(ISNA(MATCH(843,Engine!$C$2:$C$1199,0)),"",INDEX('Compliance Database'!$M$2:$M$1199,MATCH(843,Engine!$C$2:$C$1199,0)))</f>
        <v/>
      </c>
      <c r="N856" s="7" t="str">
        <f>IF(ISNA(MATCH(843,Engine!$C$2:$C$1199,0)),"",INDEX('Compliance Database'!$N$2:$N$1199,MATCH(843,Engine!$C$2:$C$1199,0)))</f>
        <v/>
      </c>
      <c r="O856" s="7" t="str">
        <f>IF(ISNA(MATCH(843,Engine!$C$2:$C$1199,0)),"",INDEX('Compliance Database'!$O$2:$O$1199,MATCH(843,Engine!$C$2:$C$1199,0)))</f>
        <v/>
      </c>
      <c r="P856" s="6" t="str">
        <f>IF(ISNA(MATCH(843,Engine!$C$2:$C$1199,0)),"",HYPERLINK("#Acts!A"&amp;INDEX('Compliance Database'!$P$2:$P$1199,MATCH(843,Engine!$C$2:$C$1199,0)),"Go to Act"))</f>
        <v/>
      </c>
    </row>
    <row r="857" spans="1:16" ht="172.95" customHeight="1" x14ac:dyDescent="0.3">
      <c r="A857" s="6" t="str">
        <f>IF(ISNA(MATCH(844,Engine!$C$2:$C$1199,0)),"",INDEX('Compliance Database'!$A$2:$A$1199,MATCH(844,Engine!$C$2:$C$1199,0)))</f>
        <v/>
      </c>
      <c r="B857" s="6" t="str">
        <f>IF(ISNA(MATCH(844,Engine!$C$2:$C$1199,0)),"",INDEX('Compliance Database'!$B$2:$B$1199,MATCH(844,Engine!$C$2:$C$1199,0)))</f>
        <v/>
      </c>
      <c r="C857" s="6" t="str">
        <f>IF(ISNA(MATCH(844,Engine!$C$2:$C$1199,0)),"",INDEX('Compliance Database'!$C$2:$C$1199,MATCH(844,Engine!$C$2:$C$1199,0)))</f>
        <v/>
      </c>
      <c r="D857" s="7" t="str">
        <f>IF(ISNA(MATCH(844,Engine!$C$2:$C$1199,0)),"",INDEX('Compliance Database'!$D$2:$D$1199,MATCH(844,Engine!$C$2:$C$1199,0)))</f>
        <v/>
      </c>
      <c r="E857" s="6" t="str">
        <f>IF(ISNA(MATCH(844,Engine!$C$2:$C$1199,0)),"",INDEX('Compliance Database'!$E$2:$E$1199,MATCH(844,Engine!$C$2:$C$1199,0)))</f>
        <v/>
      </c>
      <c r="F857" s="6" t="str">
        <f>IF(ISNA(MATCH(844,Engine!$C$2:$C$1199,0)),"",INDEX('Compliance Database'!$F$2:$F$1199,MATCH(844,Engine!$C$2:$C$1199,0)))</f>
        <v/>
      </c>
      <c r="G857" s="6" t="str">
        <f>IF(ISNA(MATCH(844,Engine!$C$2:$C$1199,0)),"",INDEX('Compliance Database'!$G$2:$G$1199,MATCH(844,Engine!$C$2:$C$1199,0)))</f>
        <v/>
      </c>
      <c r="H857" s="7" t="str">
        <f>IF(ISNA(MATCH(844,Engine!$C$2:$C$1199,0)),"",INDEX('Compliance Database'!$H$2:$H$1199,MATCH(844,Engine!$C$2:$C$1199,0)))</f>
        <v/>
      </c>
      <c r="I857" s="7" t="str">
        <f>IF(ISNA(MATCH(844,Engine!$C$2:$C$1199,0)),"",INDEX('Compliance Database'!$I$2:$I$1199,MATCH(844,Engine!$C$2:$C$1199,0)))</f>
        <v/>
      </c>
      <c r="J857" s="6" t="str">
        <f>IF(ISNA(MATCH(844,Engine!$C$2:$C$1199,0)),"",INDEX('Compliance Database'!$J$2:$J$1199,MATCH(844,Engine!$C$2:$C$1199,0)))</f>
        <v/>
      </c>
      <c r="K857" s="7" t="str">
        <f>IF(ISNA(MATCH(844,Engine!$C$2:$C$1199,0)),"",INDEX('Compliance Database'!$K$2:$K$1199,MATCH(844,Engine!$C$2:$C$1199,0)))</f>
        <v/>
      </c>
      <c r="L857" s="7" t="str">
        <f>IF(ISNA(MATCH(844,Engine!$C$2:$C$1199,0)),"",INDEX('Compliance Database'!$L$2:$L$1199,MATCH(844,Engine!$C$2:$C$1199,0)))</f>
        <v/>
      </c>
      <c r="M857" s="7" t="str">
        <f>IF(ISNA(MATCH(844,Engine!$C$2:$C$1199,0)),"",INDEX('Compliance Database'!$M$2:$M$1199,MATCH(844,Engine!$C$2:$C$1199,0)))</f>
        <v/>
      </c>
      <c r="N857" s="7" t="str">
        <f>IF(ISNA(MATCH(844,Engine!$C$2:$C$1199,0)),"",INDEX('Compliance Database'!$N$2:$N$1199,MATCH(844,Engine!$C$2:$C$1199,0)))</f>
        <v/>
      </c>
      <c r="O857" s="7" t="str">
        <f>IF(ISNA(MATCH(844,Engine!$C$2:$C$1199,0)),"",INDEX('Compliance Database'!$O$2:$O$1199,MATCH(844,Engine!$C$2:$C$1199,0)))</f>
        <v/>
      </c>
      <c r="P857" s="6" t="str">
        <f>IF(ISNA(MATCH(844,Engine!$C$2:$C$1199,0)),"",HYPERLINK("#Acts!A"&amp;INDEX('Compliance Database'!$P$2:$P$1199,MATCH(844,Engine!$C$2:$C$1199,0)),"Go to Act"))</f>
        <v/>
      </c>
    </row>
    <row r="858" spans="1:16" ht="172.95" customHeight="1" x14ac:dyDescent="0.3">
      <c r="A858" s="6" t="str">
        <f>IF(ISNA(MATCH(845,Engine!$C$2:$C$1199,0)),"",INDEX('Compliance Database'!$A$2:$A$1199,MATCH(845,Engine!$C$2:$C$1199,0)))</f>
        <v/>
      </c>
      <c r="B858" s="6" t="str">
        <f>IF(ISNA(MATCH(845,Engine!$C$2:$C$1199,0)),"",INDEX('Compliance Database'!$B$2:$B$1199,MATCH(845,Engine!$C$2:$C$1199,0)))</f>
        <v/>
      </c>
      <c r="C858" s="6" t="str">
        <f>IF(ISNA(MATCH(845,Engine!$C$2:$C$1199,0)),"",INDEX('Compliance Database'!$C$2:$C$1199,MATCH(845,Engine!$C$2:$C$1199,0)))</f>
        <v/>
      </c>
      <c r="D858" s="7" t="str">
        <f>IF(ISNA(MATCH(845,Engine!$C$2:$C$1199,0)),"",INDEX('Compliance Database'!$D$2:$D$1199,MATCH(845,Engine!$C$2:$C$1199,0)))</f>
        <v/>
      </c>
      <c r="E858" s="6" t="str">
        <f>IF(ISNA(MATCH(845,Engine!$C$2:$C$1199,0)),"",INDEX('Compliance Database'!$E$2:$E$1199,MATCH(845,Engine!$C$2:$C$1199,0)))</f>
        <v/>
      </c>
      <c r="F858" s="6" t="str">
        <f>IF(ISNA(MATCH(845,Engine!$C$2:$C$1199,0)),"",INDEX('Compliance Database'!$F$2:$F$1199,MATCH(845,Engine!$C$2:$C$1199,0)))</f>
        <v/>
      </c>
      <c r="G858" s="6" t="str">
        <f>IF(ISNA(MATCH(845,Engine!$C$2:$C$1199,0)),"",INDEX('Compliance Database'!$G$2:$G$1199,MATCH(845,Engine!$C$2:$C$1199,0)))</f>
        <v/>
      </c>
      <c r="H858" s="7" t="str">
        <f>IF(ISNA(MATCH(845,Engine!$C$2:$C$1199,0)),"",INDEX('Compliance Database'!$H$2:$H$1199,MATCH(845,Engine!$C$2:$C$1199,0)))</f>
        <v/>
      </c>
      <c r="I858" s="7" t="str">
        <f>IF(ISNA(MATCH(845,Engine!$C$2:$C$1199,0)),"",INDEX('Compliance Database'!$I$2:$I$1199,MATCH(845,Engine!$C$2:$C$1199,0)))</f>
        <v/>
      </c>
      <c r="J858" s="6" t="str">
        <f>IF(ISNA(MATCH(845,Engine!$C$2:$C$1199,0)),"",INDEX('Compliance Database'!$J$2:$J$1199,MATCH(845,Engine!$C$2:$C$1199,0)))</f>
        <v/>
      </c>
      <c r="K858" s="7" t="str">
        <f>IF(ISNA(MATCH(845,Engine!$C$2:$C$1199,0)),"",INDEX('Compliance Database'!$K$2:$K$1199,MATCH(845,Engine!$C$2:$C$1199,0)))</f>
        <v/>
      </c>
      <c r="L858" s="7" t="str">
        <f>IF(ISNA(MATCH(845,Engine!$C$2:$C$1199,0)),"",INDEX('Compliance Database'!$L$2:$L$1199,MATCH(845,Engine!$C$2:$C$1199,0)))</f>
        <v/>
      </c>
      <c r="M858" s="7" t="str">
        <f>IF(ISNA(MATCH(845,Engine!$C$2:$C$1199,0)),"",INDEX('Compliance Database'!$M$2:$M$1199,MATCH(845,Engine!$C$2:$C$1199,0)))</f>
        <v/>
      </c>
      <c r="N858" s="7" t="str">
        <f>IF(ISNA(MATCH(845,Engine!$C$2:$C$1199,0)),"",INDEX('Compliance Database'!$N$2:$N$1199,MATCH(845,Engine!$C$2:$C$1199,0)))</f>
        <v/>
      </c>
      <c r="O858" s="7" t="str">
        <f>IF(ISNA(MATCH(845,Engine!$C$2:$C$1199,0)),"",INDEX('Compliance Database'!$O$2:$O$1199,MATCH(845,Engine!$C$2:$C$1199,0)))</f>
        <v/>
      </c>
      <c r="P858" s="6" t="str">
        <f>IF(ISNA(MATCH(845,Engine!$C$2:$C$1199,0)),"",HYPERLINK("#Acts!A"&amp;INDEX('Compliance Database'!$P$2:$P$1199,MATCH(845,Engine!$C$2:$C$1199,0)),"Go to Act"))</f>
        <v/>
      </c>
    </row>
    <row r="859" spans="1:16" ht="172.95" customHeight="1" x14ac:dyDescent="0.3">
      <c r="A859" s="6" t="str">
        <f>IF(ISNA(MATCH(846,Engine!$C$2:$C$1199,0)),"",INDEX('Compliance Database'!$A$2:$A$1199,MATCH(846,Engine!$C$2:$C$1199,0)))</f>
        <v/>
      </c>
      <c r="B859" s="6" t="str">
        <f>IF(ISNA(MATCH(846,Engine!$C$2:$C$1199,0)),"",INDEX('Compliance Database'!$B$2:$B$1199,MATCH(846,Engine!$C$2:$C$1199,0)))</f>
        <v/>
      </c>
      <c r="C859" s="6" t="str">
        <f>IF(ISNA(MATCH(846,Engine!$C$2:$C$1199,0)),"",INDEX('Compliance Database'!$C$2:$C$1199,MATCH(846,Engine!$C$2:$C$1199,0)))</f>
        <v/>
      </c>
      <c r="D859" s="7" t="str">
        <f>IF(ISNA(MATCH(846,Engine!$C$2:$C$1199,0)),"",INDEX('Compliance Database'!$D$2:$D$1199,MATCH(846,Engine!$C$2:$C$1199,0)))</f>
        <v/>
      </c>
      <c r="E859" s="6" t="str">
        <f>IF(ISNA(MATCH(846,Engine!$C$2:$C$1199,0)),"",INDEX('Compliance Database'!$E$2:$E$1199,MATCH(846,Engine!$C$2:$C$1199,0)))</f>
        <v/>
      </c>
      <c r="F859" s="6" t="str">
        <f>IF(ISNA(MATCH(846,Engine!$C$2:$C$1199,0)),"",INDEX('Compliance Database'!$F$2:$F$1199,MATCH(846,Engine!$C$2:$C$1199,0)))</f>
        <v/>
      </c>
      <c r="G859" s="6" t="str">
        <f>IF(ISNA(MATCH(846,Engine!$C$2:$C$1199,0)),"",INDEX('Compliance Database'!$G$2:$G$1199,MATCH(846,Engine!$C$2:$C$1199,0)))</f>
        <v/>
      </c>
      <c r="H859" s="7" t="str">
        <f>IF(ISNA(MATCH(846,Engine!$C$2:$C$1199,0)),"",INDEX('Compliance Database'!$H$2:$H$1199,MATCH(846,Engine!$C$2:$C$1199,0)))</f>
        <v/>
      </c>
      <c r="I859" s="7" t="str">
        <f>IF(ISNA(MATCH(846,Engine!$C$2:$C$1199,0)),"",INDEX('Compliance Database'!$I$2:$I$1199,MATCH(846,Engine!$C$2:$C$1199,0)))</f>
        <v/>
      </c>
      <c r="J859" s="6" t="str">
        <f>IF(ISNA(MATCH(846,Engine!$C$2:$C$1199,0)),"",INDEX('Compliance Database'!$J$2:$J$1199,MATCH(846,Engine!$C$2:$C$1199,0)))</f>
        <v/>
      </c>
      <c r="K859" s="7" t="str">
        <f>IF(ISNA(MATCH(846,Engine!$C$2:$C$1199,0)),"",INDEX('Compliance Database'!$K$2:$K$1199,MATCH(846,Engine!$C$2:$C$1199,0)))</f>
        <v/>
      </c>
      <c r="L859" s="7" t="str">
        <f>IF(ISNA(MATCH(846,Engine!$C$2:$C$1199,0)),"",INDEX('Compliance Database'!$L$2:$L$1199,MATCH(846,Engine!$C$2:$C$1199,0)))</f>
        <v/>
      </c>
      <c r="M859" s="7" t="str">
        <f>IF(ISNA(MATCH(846,Engine!$C$2:$C$1199,0)),"",INDEX('Compliance Database'!$M$2:$M$1199,MATCH(846,Engine!$C$2:$C$1199,0)))</f>
        <v/>
      </c>
      <c r="N859" s="7" t="str">
        <f>IF(ISNA(MATCH(846,Engine!$C$2:$C$1199,0)),"",INDEX('Compliance Database'!$N$2:$N$1199,MATCH(846,Engine!$C$2:$C$1199,0)))</f>
        <v/>
      </c>
      <c r="O859" s="7" t="str">
        <f>IF(ISNA(MATCH(846,Engine!$C$2:$C$1199,0)),"",INDEX('Compliance Database'!$O$2:$O$1199,MATCH(846,Engine!$C$2:$C$1199,0)))</f>
        <v/>
      </c>
      <c r="P859" s="6" t="str">
        <f>IF(ISNA(MATCH(846,Engine!$C$2:$C$1199,0)),"",HYPERLINK("#Acts!A"&amp;INDEX('Compliance Database'!$P$2:$P$1199,MATCH(846,Engine!$C$2:$C$1199,0)),"Go to Act"))</f>
        <v/>
      </c>
    </row>
    <row r="860" spans="1:16" ht="172.95" customHeight="1" x14ac:dyDescent="0.3">
      <c r="A860" s="6" t="str">
        <f>IF(ISNA(MATCH(847,Engine!$C$2:$C$1199,0)),"",INDEX('Compliance Database'!$A$2:$A$1199,MATCH(847,Engine!$C$2:$C$1199,0)))</f>
        <v/>
      </c>
      <c r="B860" s="6" t="str">
        <f>IF(ISNA(MATCH(847,Engine!$C$2:$C$1199,0)),"",INDEX('Compliance Database'!$B$2:$B$1199,MATCH(847,Engine!$C$2:$C$1199,0)))</f>
        <v/>
      </c>
      <c r="C860" s="6" t="str">
        <f>IF(ISNA(MATCH(847,Engine!$C$2:$C$1199,0)),"",INDEX('Compliance Database'!$C$2:$C$1199,MATCH(847,Engine!$C$2:$C$1199,0)))</f>
        <v/>
      </c>
      <c r="D860" s="7" t="str">
        <f>IF(ISNA(MATCH(847,Engine!$C$2:$C$1199,0)),"",INDEX('Compliance Database'!$D$2:$D$1199,MATCH(847,Engine!$C$2:$C$1199,0)))</f>
        <v/>
      </c>
      <c r="E860" s="6" t="str">
        <f>IF(ISNA(MATCH(847,Engine!$C$2:$C$1199,0)),"",INDEX('Compliance Database'!$E$2:$E$1199,MATCH(847,Engine!$C$2:$C$1199,0)))</f>
        <v/>
      </c>
      <c r="F860" s="6" t="str">
        <f>IF(ISNA(MATCH(847,Engine!$C$2:$C$1199,0)),"",INDEX('Compliance Database'!$F$2:$F$1199,MATCH(847,Engine!$C$2:$C$1199,0)))</f>
        <v/>
      </c>
      <c r="G860" s="6" t="str">
        <f>IF(ISNA(MATCH(847,Engine!$C$2:$C$1199,0)),"",INDEX('Compliance Database'!$G$2:$G$1199,MATCH(847,Engine!$C$2:$C$1199,0)))</f>
        <v/>
      </c>
      <c r="H860" s="7" t="str">
        <f>IF(ISNA(MATCH(847,Engine!$C$2:$C$1199,0)),"",INDEX('Compliance Database'!$H$2:$H$1199,MATCH(847,Engine!$C$2:$C$1199,0)))</f>
        <v/>
      </c>
      <c r="I860" s="7" t="str">
        <f>IF(ISNA(MATCH(847,Engine!$C$2:$C$1199,0)),"",INDEX('Compliance Database'!$I$2:$I$1199,MATCH(847,Engine!$C$2:$C$1199,0)))</f>
        <v/>
      </c>
      <c r="J860" s="6" t="str">
        <f>IF(ISNA(MATCH(847,Engine!$C$2:$C$1199,0)),"",INDEX('Compliance Database'!$J$2:$J$1199,MATCH(847,Engine!$C$2:$C$1199,0)))</f>
        <v/>
      </c>
      <c r="K860" s="7" t="str">
        <f>IF(ISNA(MATCH(847,Engine!$C$2:$C$1199,0)),"",INDEX('Compliance Database'!$K$2:$K$1199,MATCH(847,Engine!$C$2:$C$1199,0)))</f>
        <v/>
      </c>
      <c r="L860" s="7" t="str">
        <f>IF(ISNA(MATCH(847,Engine!$C$2:$C$1199,0)),"",INDEX('Compliance Database'!$L$2:$L$1199,MATCH(847,Engine!$C$2:$C$1199,0)))</f>
        <v/>
      </c>
      <c r="M860" s="7" t="str">
        <f>IF(ISNA(MATCH(847,Engine!$C$2:$C$1199,0)),"",INDEX('Compliance Database'!$M$2:$M$1199,MATCH(847,Engine!$C$2:$C$1199,0)))</f>
        <v/>
      </c>
      <c r="N860" s="7" t="str">
        <f>IF(ISNA(MATCH(847,Engine!$C$2:$C$1199,0)),"",INDEX('Compliance Database'!$N$2:$N$1199,MATCH(847,Engine!$C$2:$C$1199,0)))</f>
        <v/>
      </c>
      <c r="O860" s="7" t="str">
        <f>IF(ISNA(MATCH(847,Engine!$C$2:$C$1199,0)),"",INDEX('Compliance Database'!$O$2:$O$1199,MATCH(847,Engine!$C$2:$C$1199,0)))</f>
        <v/>
      </c>
      <c r="P860" s="6" t="str">
        <f>IF(ISNA(MATCH(847,Engine!$C$2:$C$1199,0)),"",HYPERLINK("#Acts!A"&amp;INDEX('Compliance Database'!$P$2:$P$1199,MATCH(847,Engine!$C$2:$C$1199,0)),"Go to Act"))</f>
        <v/>
      </c>
    </row>
    <row r="861" spans="1:16" ht="172.95" customHeight="1" x14ac:dyDescent="0.3">
      <c r="A861" s="6" t="str">
        <f>IF(ISNA(MATCH(848,Engine!$C$2:$C$1199,0)),"",INDEX('Compliance Database'!$A$2:$A$1199,MATCH(848,Engine!$C$2:$C$1199,0)))</f>
        <v/>
      </c>
      <c r="B861" s="6" t="str">
        <f>IF(ISNA(MATCH(848,Engine!$C$2:$C$1199,0)),"",INDEX('Compliance Database'!$B$2:$B$1199,MATCH(848,Engine!$C$2:$C$1199,0)))</f>
        <v/>
      </c>
      <c r="C861" s="6" t="str">
        <f>IF(ISNA(MATCH(848,Engine!$C$2:$C$1199,0)),"",INDEX('Compliance Database'!$C$2:$C$1199,MATCH(848,Engine!$C$2:$C$1199,0)))</f>
        <v/>
      </c>
      <c r="D861" s="7" t="str">
        <f>IF(ISNA(MATCH(848,Engine!$C$2:$C$1199,0)),"",INDEX('Compliance Database'!$D$2:$D$1199,MATCH(848,Engine!$C$2:$C$1199,0)))</f>
        <v/>
      </c>
      <c r="E861" s="6" t="str">
        <f>IF(ISNA(MATCH(848,Engine!$C$2:$C$1199,0)),"",INDEX('Compliance Database'!$E$2:$E$1199,MATCH(848,Engine!$C$2:$C$1199,0)))</f>
        <v/>
      </c>
      <c r="F861" s="6" t="str">
        <f>IF(ISNA(MATCH(848,Engine!$C$2:$C$1199,0)),"",INDEX('Compliance Database'!$F$2:$F$1199,MATCH(848,Engine!$C$2:$C$1199,0)))</f>
        <v/>
      </c>
      <c r="G861" s="6" t="str">
        <f>IF(ISNA(MATCH(848,Engine!$C$2:$C$1199,0)),"",INDEX('Compliance Database'!$G$2:$G$1199,MATCH(848,Engine!$C$2:$C$1199,0)))</f>
        <v/>
      </c>
      <c r="H861" s="7" t="str">
        <f>IF(ISNA(MATCH(848,Engine!$C$2:$C$1199,0)),"",INDEX('Compliance Database'!$H$2:$H$1199,MATCH(848,Engine!$C$2:$C$1199,0)))</f>
        <v/>
      </c>
      <c r="I861" s="7" t="str">
        <f>IF(ISNA(MATCH(848,Engine!$C$2:$C$1199,0)),"",INDEX('Compliance Database'!$I$2:$I$1199,MATCH(848,Engine!$C$2:$C$1199,0)))</f>
        <v/>
      </c>
      <c r="J861" s="6" t="str">
        <f>IF(ISNA(MATCH(848,Engine!$C$2:$C$1199,0)),"",INDEX('Compliance Database'!$J$2:$J$1199,MATCH(848,Engine!$C$2:$C$1199,0)))</f>
        <v/>
      </c>
      <c r="K861" s="7" t="str">
        <f>IF(ISNA(MATCH(848,Engine!$C$2:$C$1199,0)),"",INDEX('Compliance Database'!$K$2:$K$1199,MATCH(848,Engine!$C$2:$C$1199,0)))</f>
        <v/>
      </c>
      <c r="L861" s="7" t="str">
        <f>IF(ISNA(MATCH(848,Engine!$C$2:$C$1199,0)),"",INDEX('Compliance Database'!$L$2:$L$1199,MATCH(848,Engine!$C$2:$C$1199,0)))</f>
        <v/>
      </c>
      <c r="M861" s="7" t="str">
        <f>IF(ISNA(MATCH(848,Engine!$C$2:$C$1199,0)),"",INDEX('Compliance Database'!$M$2:$M$1199,MATCH(848,Engine!$C$2:$C$1199,0)))</f>
        <v/>
      </c>
      <c r="N861" s="7" t="str">
        <f>IF(ISNA(MATCH(848,Engine!$C$2:$C$1199,0)),"",INDEX('Compliance Database'!$N$2:$N$1199,MATCH(848,Engine!$C$2:$C$1199,0)))</f>
        <v/>
      </c>
      <c r="O861" s="7" t="str">
        <f>IF(ISNA(MATCH(848,Engine!$C$2:$C$1199,0)),"",INDEX('Compliance Database'!$O$2:$O$1199,MATCH(848,Engine!$C$2:$C$1199,0)))</f>
        <v/>
      </c>
      <c r="P861" s="6" t="str">
        <f>IF(ISNA(MATCH(848,Engine!$C$2:$C$1199,0)),"",HYPERLINK("#Acts!A"&amp;INDEX('Compliance Database'!$P$2:$P$1199,MATCH(848,Engine!$C$2:$C$1199,0)),"Go to Act"))</f>
        <v/>
      </c>
    </row>
    <row r="862" spans="1:16" ht="172.95" customHeight="1" x14ac:dyDescent="0.3">
      <c r="A862" s="6" t="str">
        <f>IF(ISNA(MATCH(849,Engine!$C$2:$C$1199,0)),"",INDEX('Compliance Database'!$A$2:$A$1199,MATCH(849,Engine!$C$2:$C$1199,0)))</f>
        <v/>
      </c>
      <c r="B862" s="6" t="str">
        <f>IF(ISNA(MATCH(849,Engine!$C$2:$C$1199,0)),"",INDEX('Compliance Database'!$B$2:$B$1199,MATCH(849,Engine!$C$2:$C$1199,0)))</f>
        <v/>
      </c>
      <c r="C862" s="6" t="str">
        <f>IF(ISNA(MATCH(849,Engine!$C$2:$C$1199,0)),"",INDEX('Compliance Database'!$C$2:$C$1199,MATCH(849,Engine!$C$2:$C$1199,0)))</f>
        <v/>
      </c>
      <c r="D862" s="7" t="str">
        <f>IF(ISNA(MATCH(849,Engine!$C$2:$C$1199,0)),"",INDEX('Compliance Database'!$D$2:$D$1199,MATCH(849,Engine!$C$2:$C$1199,0)))</f>
        <v/>
      </c>
      <c r="E862" s="6" t="str">
        <f>IF(ISNA(MATCH(849,Engine!$C$2:$C$1199,0)),"",INDEX('Compliance Database'!$E$2:$E$1199,MATCH(849,Engine!$C$2:$C$1199,0)))</f>
        <v/>
      </c>
      <c r="F862" s="6" t="str">
        <f>IF(ISNA(MATCH(849,Engine!$C$2:$C$1199,0)),"",INDEX('Compliance Database'!$F$2:$F$1199,MATCH(849,Engine!$C$2:$C$1199,0)))</f>
        <v/>
      </c>
      <c r="G862" s="6" t="str">
        <f>IF(ISNA(MATCH(849,Engine!$C$2:$C$1199,0)),"",INDEX('Compliance Database'!$G$2:$G$1199,MATCH(849,Engine!$C$2:$C$1199,0)))</f>
        <v/>
      </c>
      <c r="H862" s="7" t="str">
        <f>IF(ISNA(MATCH(849,Engine!$C$2:$C$1199,0)),"",INDEX('Compliance Database'!$H$2:$H$1199,MATCH(849,Engine!$C$2:$C$1199,0)))</f>
        <v/>
      </c>
      <c r="I862" s="7" t="str">
        <f>IF(ISNA(MATCH(849,Engine!$C$2:$C$1199,0)),"",INDEX('Compliance Database'!$I$2:$I$1199,MATCH(849,Engine!$C$2:$C$1199,0)))</f>
        <v/>
      </c>
      <c r="J862" s="6" t="str">
        <f>IF(ISNA(MATCH(849,Engine!$C$2:$C$1199,0)),"",INDEX('Compliance Database'!$J$2:$J$1199,MATCH(849,Engine!$C$2:$C$1199,0)))</f>
        <v/>
      </c>
      <c r="K862" s="7" t="str">
        <f>IF(ISNA(MATCH(849,Engine!$C$2:$C$1199,0)),"",INDEX('Compliance Database'!$K$2:$K$1199,MATCH(849,Engine!$C$2:$C$1199,0)))</f>
        <v/>
      </c>
      <c r="L862" s="7" t="str">
        <f>IF(ISNA(MATCH(849,Engine!$C$2:$C$1199,0)),"",INDEX('Compliance Database'!$L$2:$L$1199,MATCH(849,Engine!$C$2:$C$1199,0)))</f>
        <v/>
      </c>
      <c r="M862" s="7" t="str">
        <f>IF(ISNA(MATCH(849,Engine!$C$2:$C$1199,0)),"",INDEX('Compliance Database'!$M$2:$M$1199,MATCH(849,Engine!$C$2:$C$1199,0)))</f>
        <v/>
      </c>
      <c r="N862" s="7" t="str">
        <f>IF(ISNA(MATCH(849,Engine!$C$2:$C$1199,0)),"",INDEX('Compliance Database'!$N$2:$N$1199,MATCH(849,Engine!$C$2:$C$1199,0)))</f>
        <v/>
      </c>
      <c r="O862" s="7" t="str">
        <f>IF(ISNA(MATCH(849,Engine!$C$2:$C$1199,0)),"",INDEX('Compliance Database'!$O$2:$O$1199,MATCH(849,Engine!$C$2:$C$1199,0)))</f>
        <v/>
      </c>
      <c r="P862" s="6" t="str">
        <f>IF(ISNA(MATCH(849,Engine!$C$2:$C$1199,0)),"",HYPERLINK("#Acts!A"&amp;INDEX('Compliance Database'!$P$2:$P$1199,MATCH(849,Engine!$C$2:$C$1199,0)),"Go to Act"))</f>
        <v/>
      </c>
    </row>
    <row r="863" spans="1:16" ht="172.95" customHeight="1" x14ac:dyDescent="0.3">
      <c r="A863" s="6" t="str">
        <f>IF(ISNA(MATCH(850,Engine!$C$2:$C$1199,0)),"",INDEX('Compliance Database'!$A$2:$A$1199,MATCH(850,Engine!$C$2:$C$1199,0)))</f>
        <v/>
      </c>
      <c r="B863" s="6" t="str">
        <f>IF(ISNA(MATCH(850,Engine!$C$2:$C$1199,0)),"",INDEX('Compliance Database'!$B$2:$B$1199,MATCH(850,Engine!$C$2:$C$1199,0)))</f>
        <v/>
      </c>
      <c r="C863" s="6" t="str">
        <f>IF(ISNA(MATCH(850,Engine!$C$2:$C$1199,0)),"",INDEX('Compliance Database'!$C$2:$C$1199,MATCH(850,Engine!$C$2:$C$1199,0)))</f>
        <v/>
      </c>
      <c r="D863" s="7" t="str">
        <f>IF(ISNA(MATCH(850,Engine!$C$2:$C$1199,0)),"",INDEX('Compliance Database'!$D$2:$D$1199,MATCH(850,Engine!$C$2:$C$1199,0)))</f>
        <v/>
      </c>
      <c r="E863" s="6" t="str">
        <f>IF(ISNA(MATCH(850,Engine!$C$2:$C$1199,0)),"",INDEX('Compliance Database'!$E$2:$E$1199,MATCH(850,Engine!$C$2:$C$1199,0)))</f>
        <v/>
      </c>
      <c r="F863" s="6" t="str">
        <f>IF(ISNA(MATCH(850,Engine!$C$2:$C$1199,0)),"",INDEX('Compliance Database'!$F$2:$F$1199,MATCH(850,Engine!$C$2:$C$1199,0)))</f>
        <v/>
      </c>
      <c r="G863" s="6" t="str">
        <f>IF(ISNA(MATCH(850,Engine!$C$2:$C$1199,0)),"",INDEX('Compliance Database'!$G$2:$G$1199,MATCH(850,Engine!$C$2:$C$1199,0)))</f>
        <v/>
      </c>
      <c r="H863" s="7" t="str">
        <f>IF(ISNA(MATCH(850,Engine!$C$2:$C$1199,0)),"",INDEX('Compliance Database'!$H$2:$H$1199,MATCH(850,Engine!$C$2:$C$1199,0)))</f>
        <v/>
      </c>
      <c r="I863" s="7" t="str">
        <f>IF(ISNA(MATCH(850,Engine!$C$2:$C$1199,0)),"",INDEX('Compliance Database'!$I$2:$I$1199,MATCH(850,Engine!$C$2:$C$1199,0)))</f>
        <v/>
      </c>
      <c r="J863" s="6" t="str">
        <f>IF(ISNA(MATCH(850,Engine!$C$2:$C$1199,0)),"",INDEX('Compliance Database'!$J$2:$J$1199,MATCH(850,Engine!$C$2:$C$1199,0)))</f>
        <v/>
      </c>
      <c r="K863" s="7" t="str">
        <f>IF(ISNA(MATCH(850,Engine!$C$2:$C$1199,0)),"",INDEX('Compliance Database'!$K$2:$K$1199,MATCH(850,Engine!$C$2:$C$1199,0)))</f>
        <v/>
      </c>
      <c r="L863" s="7" t="str">
        <f>IF(ISNA(MATCH(850,Engine!$C$2:$C$1199,0)),"",INDEX('Compliance Database'!$L$2:$L$1199,MATCH(850,Engine!$C$2:$C$1199,0)))</f>
        <v/>
      </c>
      <c r="M863" s="7" t="str">
        <f>IF(ISNA(MATCH(850,Engine!$C$2:$C$1199,0)),"",INDEX('Compliance Database'!$M$2:$M$1199,MATCH(850,Engine!$C$2:$C$1199,0)))</f>
        <v/>
      </c>
      <c r="N863" s="7" t="str">
        <f>IF(ISNA(MATCH(850,Engine!$C$2:$C$1199,0)),"",INDEX('Compliance Database'!$N$2:$N$1199,MATCH(850,Engine!$C$2:$C$1199,0)))</f>
        <v/>
      </c>
      <c r="O863" s="7" t="str">
        <f>IF(ISNA(MATCH(850,Engine!$C$2:$C$1199,0)),"",INDEX('Compliance Database'!$O$2:$O$1199,MATCH(850,Engine!$C$2:$C$1199,0)))</f>
        <v/>
      </c>
      <c r="P863" s="6" t="str">
        <f>IF(ISNA(MATCH(850,Engine!$C$2:$C$1199,0)),"",HYPERLINK("#Acts!A"&amp;INDEX('Compliance Database'!$P$2:$P$1199,MATCH(850,Engine!$C$2:$C$1199,0)),"Go to Act"))</f>
        <v/>
      </c>
    </row>
    <row r="864" spans="1:16" ht="172.95" customHeight="1" x14ac:dyDescent="0.3">
      <c r="A864" s="6" t="str">
        <f>IF(ISNA(MATCH(851,Engine!$C$2:$C$1199,0)),"",INDEX('Compliance Database'!$A$2:$A$1199,MATCH(851,Engine!$C$2:$C$1199,0)))</f>
        <v/>
      </c>
      <c r="B864" s="6" t="str">
        <f>IF(ISNA(MATCH(851,Engine!$C$2:$C$1199,0)),"",INDEX('Compliance Database'!$B$2:$B$1199,MATCH(851,Engine!$C$2:$C$1199,0)))</f>
        <v/>
      </c>
      <c r="C864" s="6" t="str">
        <f>IF(ISNA(MATCH(851,Engine!$C$2:$C$1199,0)),"",INDEX('Compliance Database'!$C$2:$C$1199,MATCH(851,Engine!$C$2:$C$1199,0)))</f>
        <v/>
      </c>
      <c r="D864" s="7" t="str">
        <f>IF(ISNA(MATCH(851,Engine!$C$2:$C$1199,0)),"",INDEX('Compliance Database'!$D$2:$D$1199,MATCH(851,Engine!$C$2:$C$1199,0)))</f>
        <v/>
      </c>
      <c r="E864" s="6" t="str">
        <f>IF(ISNA(MATCH(851,Engine!$C$2:$C$1199,0)),"",INDEX('Compliance Database'!$E$2:$E$1199,MATCH(851,Engine!$C$2:$C$1199,0)))</f>
        <v/>
      </c>
      <c r="F864" s="6" t="str">
        <f>IF(ISNA(MATCH(851,Engine!$C$2:$C$1199,0)),"",INDEX('Compliance Database'!$F$2:$F$1199,MATCH(851,Engine!$C$2:$C$1199,0)))</f>
        <v/>
      </c>
      <c r="G864" s="6" t="str">
        <f>IF(ISNA(MATCH(851,Engine!$C$2:$C$1199,0)),"",INDEX('Compliance Database'!$G$2:$G$1199,MATCH(851,Engine!$C$2:$C$1199,0)))</f>
        <v/>
      </c>
      <c r="H864" s="7" t="str">
        <f>IF(ISNA(MATCH(851,Engine!$C$2:$C$1199,0)),"",INDEX('Compliance Database'!$H$2:$H$1199,MATCH(851,Engine!$C$2:$C$1199,0)))</f>
        <v/>
      </c>
      <c r="I864" s="7" t="str">
        <f>IF(ISNA(MATCH(851,Engine!$C$2:$C$1199,0)),"",INDEX('Compliance Database'!$I$2:$I$1199,MATCH(851,Engine!$C$2:$C$1199,0)))</f>
        <v/>
      </c>
      <c r="J864" s="6" t="str">
        <f>IF(ISNA(MATCH(851,Engine!$C$2:$C$1199,0)),"",INDEX('Compliance Database'!$J$2:$J$1199,MATCH(851,Engine!$C$2:$C$1199,0)))</f>
        <v/>
      </c>
      <c r="K864" s="7" t="str">
        <f>IF(ISNA(MATCH(851,Engine!$C$2:$C$1199,0)),"",INDEX('Compliance Database'!$K$2:$K$1199,MATCH(851,Engine!$C$2:$C$1199,0)))</f>
        <v/>
      </c>
      <c r="L864" s="7" t="str">
        <f>IF(ISNA(MATCH(851,Engine!$C$2:$C$1199,0)),"",INDEX('Compliance Database'!$L$2:$L$1199,MATCH(851,Engine!$C$2:$C$1199,0)))</f>
        <v/>
      </c>
      <c r="M864" s="7" t="str">
        <f>IF(ISNA(MATCH(851,Engine!$C$2:$C$1199,0)),"",INDEX('Compliance Database'!$M$2:$M$1199,MATCH(851,Engine!$C$2:$C$1199,0)))</f>
        <v/>
      </c>
      <c r="N864" s="7" t="str">
        <f>IF(ISNA(MATCH(851,Engine!$C$2:$C$1199,0)),"",INDEX('Compliance Database'!$N$2:$N$1199,MATCH(851,Engine!$C$2:$C$1199,0)))</f>
        <v/>
      </c>
      <c r="O864" s="7" t="str">
        <f>IF(ISNA(MATCH(851,Engine!$C$2:$C$1199,0)),"",INDEX('Compliance Database'!$O$2:$O$1199,MATCH(851,Engine!$C$2:$C$1199,0)))</f>
        <v/>
      </c>
      <c r="P864" s="6" t="str">
        <f>IF(ISNA(MATCH(851,Engine!$C$2:$C$1199,0)),"",HYPERLINK("#Acts!A"&amp;INDEX('Compliance Database'!$P$2:$P$1199,MATCH(851,Engine!$C$2:$C$1199,0)),"Go to Act"))</f>
        <v/>
      </c>
    </row>
    <row r="865" spans="1:16" ht="172.95" customHeight="1" x14ac:dyDescent="0.3">
      <c r="A865" s="6" t="str">
        <f>IF(ISNA(MATCH(852,Engine!$C$2:$C$1199,0)),"",INDEX('Compliance Database'!$A$2:$A$1199,MATCH(852,Engine!$C$2:$C$1199,0)))</f>
        <v/>
      </c>
      <c r="B865" s="6" t="str">
        <f>IF(ISNA(MATCH(852,Engine!$C$2:$C$1199,0)),"",INDEX('Compliance Database'!$B$2:$B$1199,MATCH(852,Engine!$C$2:$C$1199,0)))</f>
        <v/>
      </c>
      <c r="C865" s="6" t="str">
        <f>IF(ISNA(MATCH(852,Engine!$C$2:$C$1199,0)),"",INDEX('Compliance Database'!$C$2:$C$1199,MATCH(852,Engine!$C$2:$C$1199,0)))</f>
        <v/>
      </c>
      <c r="D865" s="7" t="str">
        <f>IF(ISNA(MATCH(852,Engine!$C$2:$C$1199,0)),"",INDEX('Compliance Database'!$D$2:$D$1199,MATCH(852,Engine!$C$2:$C$1199,0)))</f>
        <v/>
      </c>
      <c r="E865" s="6" t="str">
        <f>IF(ISNA(MATCH(852,Engine!$C$2:$C$1199,0)),"",INDEX('Compliance Database'!$E$2:$E$1199,MATCH(852,Engine!$C$2:$C$1199,0)))</f>
        <v/>
      </c>
      <c r="F865" s="6" t="str">
        <f>IF(ISNA(MATCH(852,Engine!$C$2:$C$1199,0)),"",INDEX('Compliance Database'!$F$2:$F$1199,MATCH(852,Engine!$C$2:$C$1199,0)))</f>
        <v/>
      </c>
      <c r="G865" s="6" t="str">
        <f>IF(ISNA(MATCH(852,Engine!$C$2:$C$1199,0)),"",INDEX('Compliance Database'!$G$2:$G$1199,MATCH(852,Engine!$C$2:$C$1199,0)))</f>
        <v/>
      </c>
      <c r="H865" s="7" t="str">
        <f>IF(ISNA(MATCH(852,Engine!$C$2:$C$1199,0)),"",INDEX('Compliance Database'!$H$2:$H$1199,MATCH(852,Engine!$C$2:$C$1199,0)))</f>
        <v/>
      </c>
      <c r="I865" s="7" t="str">
        <f>IF(ISNA(MATCH(852,Engine!$C$2:$C$1199,0)),"",INDEX('Compliance Database'!$I$2:$I$1199,MATCH(852,Engine!$C$2:$C$1199,0)))</f>
        <v/>
      </c>
      <c r="J865" s="6" t="str">
        <f>IF(ISNA(MATCH(852,Engine!$C$2:$C$1199,0)),"",INDEX('Compliance Database'!$J$2:$J$1199,MATCH(852,Engine!$C$2:$C$1199,0)))</f>
        <v/>
      </c>
      <c r="K865" s="7" t="str">
        <f>IF(ISNA(MATCH(852,Engine!$C$2:$C$1199,0)),"",INDEX('Compliance Database'!$K$2:$K$1199,MATCH(852,Engine!$C$2:$C$1199,0)))</f>
        <v/>
      </c>
      <c r="L865" s="7" t="str">
        <f>IF(ISNA(MATCH(852,Engine!$C$2:$C$1199,0)),"",INDEX('Compliance Database'!$L$2:$L$1199,MATCH(852,Engine!$C$2:$C$1199,0)))</f>
        <v/>
      </c>
      <c r="M865" s="7" t="str">
        <f>IF(ISNA(MATCH(852,Engine!$C$2:$C$1199,0)),"",INDEX('Compliance Database'!$M$2:$M$1199,MATCH(852,Engine!$C$2:$C$1199,0)))</f>
        <v/>
      </c>
      <c r="N865" s="7" t="str">
        <f>IF(ISNA(MATCH(852,Engine!$C$2:$C$1199,0)),"",INDEX('Compliance Database'!$N$2:$N$1199,MATCH(852,Engine!$C$2:$C$1199,0)))</f>
        <v/>
      </c>
      <c r="O865" s="7" t="str">
        <f>IF(ISNA(MATCH(852,Engine!$C$2:$C$1199,0)),"",INDEX('Compliance Database'!$O$2:$O$1199,MATCH(852,Engine!$C$2:$C$1199,0)))</f>
        <v/>
      </c>
      <c r="P865" s="6" t="str">
        <f>IF(ISNA(MATCH(852,Engine!$C$2:$C$1199,0)),"",HYPERLINK("#Acts!A"&amp;INDEX('Compliance Database'!$P$2:$P$1199,MATCH(852,Engine!$C$2:$C$1199,0)),"Go to Act"))</f>
        <v/>
      </c>
    </row>
    <row r="866" spans="1:16" ht="172.95" customHeight="1" x14ac:dyDescent="0.3">
      <c r="A866" s="6" t="str">
        <f>IF(ISNA(MATCH(853,Engine!$C$2:$C$1199,0)),"",INDEX('Compliance Database'!$A$2:$A$1199,MATCH(853,Engine!$C$2:$C$1199,0)))</f>
        <v/>
      </c>
      <c r="B866" s="6" t="str">
        <f>IF(ISNA(MATCH(853,Engine!$C$2:$C$1199,0)),"",INDEX('Compliance Database'!$B$2:$B$1199,MATCH(853,Engine!$C$2:$C$1199,0)))</f>
        <v/>
      </c>
      <c r="C866" s="6" t="str">
        <f>IF(ISNA(MATCH(853,Engine!$C$2:$C$1199,0)),"",INDEX('Compliance Database'!$C$2:$C$1199,MATCH(853,Engine!$C$2:$C$1199,0)))</f>
        <v/>
      </c>
      <c r="D866" s="7" t="str">
        <f>IF(ISNA(MATCH(853,Engine!$C$2:$C$1199,0)),"",INDEX('Compliance Database'!$D$2:$D$1199,MATCH(853,Engine!$C$2:$C$1199,0)))</f>
        <v/>
      </c>
      <c r="E866" s="6" t="str">
        <f>IF(ISNA(MATCH(853,Engine!$C$2:$C$1199,0)),"",INDEX('Compliance Database'!$E$2:$E$1199,MATCH(853,Engine!$C$2:$C$1199,0)))</f>
        <v/>
      </c>
      <c r="F866" s="6" t="str">
        <f>IF(ISNA(MATCH(853,Engine!$C$2:$C$1199,0)),"",INDEX('Compliance Database'!$F$2:$F$1199,MATCH(853,Engine!$C$2:$C$1199,0)))</f>
        <v/>
      </c>
      <c r="G866" s="6" t="str">
        <f>IF(ISNA(MATCH(853,Engine!$C$2:$C$1199,0)),"",INDEX('Compliance Database'!$G$2:$G$1199,MATCH(853,Engine!$C$2:$C$1199,0)))</f>
        <v/>
      </c>
      <c r="H866" s="7" t="str">
        <f>IF(ISNA(MATCH(853,Engine!$C$2:$C$1199,0)),"",INDEX('Compliance Database'!$H$2:$H$1199,MATCH(853,Engine!$C$2:$C$1199,0)))</f>
        <v/>
      </c>
      <c r="I866" s="7" t="str">
        <f>IF(ISNA(MATCH(853,Engine!$C$2:$C$1199,0)),"",INDEX('Compliance Database'!$I$2:$I$1199,MATCH(853,Engine!$C$2:$C$1199,0)))</f>
        <v/>
      </c>
      <c r="J866" s="6" t="str">
        <f>IF(ISNA(MATCH(853,Engine!$C$2:$C$1199,0)),"",INDEX('Compliance Database'!$J$2:$J$1199,MATCH(853,Engine!$C$2:$C$1199,0)))</f>
        <v/>
      </c>
      <c r="K866" s="7" t="str">
        <f>IF(ISNA(MATCH(853,Engine!$C$2:$C$1199,0)),"",INDEX('Compliance Database'!$K$2:$K$1199,MATCH(853,Engine!$C$2:$C$1199,0)))</f>
        <v/>
      </c>
      <c r="L866" s="7" t="str">
        <f>IF(ISNA(MATCH(853,Engine!$C$2:$C$1199,0)),"",INDEX('Compliance Database'!$L$2:$L$1199,MATCH(853,Engine!$C$2:$C$1199,0)))</f>
        <v/>
      </c>
      <c r="M866" s="7" t="str">
        <f>IF(ISNA(MATCH(853,Engine!$C$2:$C$1199,0)),"",INDEX('Compliance Database'!$M$2:$M$1199,MATCH(853,Engine!$C$2:$C$1199,0)))</f>
        <v/>
      </c>
      <c r="N866" s="7" t="str">
        <f>IF(ISNA(MATCH(853,Engine!$C$2:$C$1199,0)),"",INDEX('Compliance Database'!$N$2:$N$1199,MATCH(853,Engine!$C$2:$C$1199,0)))</f>
        <v/>
      </c>
      <c r="O866" s="7" t="str">
        <f>IF(ISNA(MATCH(853,Engine!$C$2:$C$1199,0)),"",INDEX('Compliance Database'!$O$2:$O$1199,MATCH(853,Engine!$C$2:$C$1199,0)))</f>
        <v/>
      </c>
      <c r="P866" s="6" t="str">
        <f>IF(ISNA(MATCH(853,Engine!$C$2:$C$1199,0)),"",HYPERLINK("#Acts!A"&amp;INDEX('Compliance Database'!$P$2:$P$1199,MATCH(853,Engine!$C$2:$C$1199,0)),"Go to Act"))</f>
        <v/>
      </c>
    </row>
    <row r="867" spans="1:16" ht="172.95" customHeight="1" x14ac:dyDescent="0.3">
      <c r="A867" s="6" t="str">
        <f>IF(ISNA(MATCH(854,Engine!$C$2:$C$1199,0)),"",INDEX('Compliance Database'!$A$2:$A$1199,MATCH(854,Engine!$C$2:$C$1199,0)))</f>
        <v/>
      </c>
      <c r="B867" s="6" t="str">
        <f>IF(ISNA(MATCH(854,Engine!$C$2:$C$1199,0)),"",INDEX('Compliance Database'!$B$2:$B$1199,MATCH(854,Engine!$C$2:$C$1199,0)))</f>
        <v/>
      </c>
      <c r="C867" s="6" t="str">
        <f>IF(ISNA(MATCH(854,Engine!$C$2:$C$1199,0)),"",INDEX('Compliance Database'!$C$2:$C$1199,MATCH(854,Engine!$C$2:$C$1199,0)))</f>
        <v/>
      </c>
      <c r="D867" s="7" t="str">
        <f>IF(ISNA(MATCH(854,Engine!$C$2:$C$1199,0)),"",INDEX('Compliance Database'!$D$2:$D$1199,MATCH(854,Engine!$C$2:$C$1199,0)))</f>
        <v/>
      </c>
      <c r="E867" s="6" t="str">
        <f>IF(ISNA(MATCH(854,Engine!$C$2:$C$1199,0)),"",INDEX('Compliance Database'!$E$2:$E$1199,MATCH(854,Engine!$C$2:$C$1199,0)))</f>
        <v/>
      </c>
      <c r="F867" s="6" t="str">
        <f>IF(ISNA(MATCH(854,Engine!$C$2:$C$1199,0)),"",INDEX('Compliance Database'!$F$2:$F$1199,MATCH(854,Engine!$C$2:$C$1199,0)))</f>
        <v/>
      </c>
      <c r="G867" s="6" t="str">
        <f>IF(ISNA(MATCH(854,Engine!$C$2:$C$1199,0)),"",INDEX('Compliance Database'!$G$2:$G$1199,MATCH(854,Engine!$C$2:$C$1199,0)))</f>
        <v/>
      </c>
      <c r="H867" s="7" t="str">
        <f>IF(ISNA(MATCH(854,Engine!$C$2:$C$1199,0)),"",INDEX('Compliance Database'!$H$2:$H$1199,MATCH(854,Engine!$C$2:$C$1199,0)))</f>
        <v/>
      </c>
      <c r="I867" s="7" t="str">
        <f>IF(ISNA(MATCH(854,Engine!$C$2:$C$1199,0)),"",INDEX('Compliance Database'!$I$2:$I$1199,MATCH(854,Engine!$C$2:$C$1199,0)))</f>
        <v/>
      </c>
      <c r="J867" s="6" t="str">
        <f>IF(ISNA(MATCH(854,Engine!$C$2:$C$1199,0)),"",INDEX('Compliance Database'!$J$2:$J$1199,MATCH(854,Engine!$C$2:$C$1199,0)))</f>
        <v/>
      </c>
      <c r="K867" s="7" t="str">
        <f>IF(ISNA(MATCH(854,Engine!$C$2:$C$1199,0)),"",INDEX('Compliance Database'!$K$2:$K$1199,MATCH(854,Engine!$C$2:$C$1199,0)))</f>
        <v/>
      </c>
      <c r="L867" s="7" t="str">
        <f>IF(ISNA(MATCH(854,Engine!$C$2:$C$1199,0)),"",INDEX('Compliance Database'!$L$2:$L$1199,MATCH(854,Engine!$C$2:$C$1199,0)))</f>
        <v/>
      </c>
      <c r="M867" s="7" t="str">
        <f>IF(ISNA(MATCH(854,Engine!$C$2:$C$1199,0)),"",INDEX('Compliance Database'!$M$2:$M$1199,MATCH(854,Engine!$C$2:$C$1199,0)))</f>
        <v/>
      </c>
      <c r="N867" s="7" t="str">
        <f>IF(ISNA(MATCH(854,Engine!$C$2:$C$1199,0)),"",INDEX('Compliance Database'!$N$2:$N$1199,MATCH(854,Engine!$C$2:$C$1199,0)))</f>
        <v/>
      </c>
      <c r="O867" s="7" t="str">
        <f>IF(ISNA(MATCH(854,Engine!$C$2:$C$1199,0)),"",INDEX('Compliance Database'!$O$2:$O$1199,MATCH(854,Engine!$C$2:$C$1199,0)))</f>
        <v/>
      </c>
      <c r="P867" s="6" t="str">
        <f>IF(ISNA(MATCH(854,Engine!$C$2:$C$1199,0)),"",HYPERLINK("#Acts!A"&amp;INDEX('Compliance Database'!$P$2:$P$1199,MATCH(854,Engine!$C$2:$C$1199,0)),"Go to Act"))</f>
        <v/>
      </c>
    </row>
    <row r="868" spans="1:16" ht="172.95" customHeight="1" x14ac:dyDescent="0.3">
      <c r="A868" s="6" t="str">
        <f>IF(ISNA(MATCH(855,Engine!$C$2:$C$1199,0)),"",INDEX('Compliance Database'!$A$2:$A$1199,MATCH(855,Engine!$C$2:$C$1199,0)))</f>
        <v/>
      </c>
      <c r="B868" s="6" t="str">
        <f>IF(ISNA(MATCH(855,Engine!$C$2:$C$1199,0)),"",INDEX('Compliance Database'!$B$2:$B$1199,MATCH(855,Engine!$C$2:$C$1199,0)))</f>
        <v/>
      </c>
      <c r="C868" s="6" t="str">
        <f>IF(ISNA(MATCH(855,Engine!$C$2:$C$1199,0)),"",INDEX('Compliance Database'!$C$2:$C$1199,MATCH(855,Engine!$C$2:$C$1199,0)))</f>
        <v/>
      </c>
      <c r="D868" s="7" t="str">
        <f>IF(ISNA(MATCH(855,Engine!$C$2:$C$1199,0)),"",INDEX('Compliance Database'!$D$2:$D$1199,MATCH(855,Engine!$C$2:$C$1199,0)))</f>
        <v/>
      </c>
      <c r="E868" s="6" t="str">
        <f>IF(ISNA(MATCH(855,Engine!$C$2:$C$1199,0)),"",INDEX('Compliance Database'!$E$2:$E$1199,MATCH(855,Engine!$C$2:$C$1199,0)))</f>
        <v/>
      </c>
      <c r="F868" s="6" t="str">
        <f>IF(ISNA(MATCH(855,Engine!$C$2:$C$1199,0)),"",INDEX('Compliance Database'!$F$2:$F$1199,MATCH(855,Engine!$C$2:$C$1199,0)))</f>
        <v/>
      </c>
      <c r="G868" s="6" t="str">
        <f>IF(ISNA(MATCH(855,Engine!$C$2:$C$1199,0)),"",INDEX('Compliance Database'!$G$2:$G$1199,MATCH(855,Engine!$C$2:$C$1199,0)))</f>
        <v/>
      </c>
      <c r="H868" s="7" t="str">
        <f>IF(ISNA(MATCH(855,Engine!$C$2:$C$1199,0)),"",INDEX('Compliance Database'!$H$2:$H$1199,MATCH(855,Engine!$C$2:$C$1199,0)))</f>
        <v/>
      </c>
      <c r="I868" s="7" t="str">
        <f>IF(ISNA(MATCH(855,Engine!$C$2:$C$1199,0)),"",INDEX('Compliance Database'!$I$2:$I$1199,MATCH(855,Engine!$C$2:$C$1199,0)))</f>
        <v/>
      </c>
      <c r="J868" s="6" t="str">
        <f>IF(ISNA(MATCH(855,Engine!$C$2:$C$1199,0)),"",INDEX('Compliance Database'!$J$2:$J$1199,MATCH(855,Engine!$C$2:$C$1199,0)))</f>
        <v/>
      </c>
      <c r="K868" s="7" t="str">
        <f>IF(ISNA(MATCH(855,Engine!$C$2:$C$1199,0)),"",INDEX('Compliance Database'!$K$2:$K$1199,MATCH(855,Engine!$C$2:$C$1199,0)))</f>
        <v/>
      </c>
      <c r="L868" s="7" t="str">
        <f>IF(ISNA(MATCH(855,Engine!$C$2:$C$1199,0)),"",INDEX('Compliance Database'!$L$2:$L$1199,MATCH(855,Engine!$C$2:$C$1199,0)))</f>
        <v/>
      </c>
      <c r="M868" s="7" t="str">
        <f>IF(ISNA(MATCH(855,Engine!$C$2:$C$1199,0)),"",INDEX('Compliance Database'!$M$2:$M$1199,MATCH(855,Engine!$C$2:$C$1199,0)))</f>
        <v/>
      </c>
      <c r="N868" s="7" t="str">
        <f>IF(ISNA(MATCH(855,Engine!$C$2:$C$1199,0)),"",INDEX('Compliance Database'!$N$2:$N$1199,MATCH(855,Engine!$C$2:$C$1199,0)))</f>
        <v/>
      </c>
      <c r="O868" s="7" t="str">
        <f>IF(ISNA(MATCH(855,Engine!$C$2:$C$1199,0)),"",INDEX('Compliance Database'!$O$2:$O$1199,MATCH(855,Engine!$C$2:$C$1199,0)))</f>
        <v/>
      </c>
      <c r="P868" s="6" t="str">
        <f>IF(ISNA(MATCH(855,Engine!$C$2:$C$1199,0)),"",HYPERLINK("#Acts!A"&amp;INDEX('Compliance Database'!$P$2:$P$1199,MATCH(855,Engine!$C$2:$C$1199,0)),"Go to Act"))</f>
        <v/>
      </c>
    </row>
    <row r="869" spans="1:16" ht="172.95" customHeight="1" x14ac:dyDescent="0.3">
      <c r="A869" s="6" t="str">
        <f>IF(ISNA(MATCH(856,Engine!$C$2:$C$1199,0)),"",INDEX('Compliance Database'!$A$2:$A$1199,MATCH(856,Engine!$C$2:$C$1199,0)))</f>
        <v/>
      </c>
      <c r="B869" s="6" t="str">
        <f>IF(ISNA(MATCH(856,Engine!$C$2:$C$1199,0)),"",INDEX('Compliance Database'!$B$2:$B$1199,MATCH(856,Engine!$C$2:$C$1199,0)))</f>
        <v/>
      </c>
      <c r="C869" s="6" t="str">
        <f>IF(ISNA(MATCH(856,Engine!$C$2:$C$1199,0)),"",INDEX('Compliance Database'!$C$2:$C$1199,MATCH(856,Engine!$C$2:$C$1199,0)))</f>
        <v/>
      </c>
      <c r="D869" s="7" t="str">
        <f>IF(ISNA(MATCH(856,Engine!$C$2:$C$1199,0)),"",INDEX('Compliance Database'!$D$2:$D$1199,MATCH(856,Engine!$C$2:$C$1199,0)))</f>
        <v/>
      </c>
      <c r="E869" s="6" t="str">
        <f>IF(ISNA(MATCH(856,Engine!$C$2:$C$1199,0)),"",INDEX('Compliance Database'!$E$2:$E$1199,MATCH(856,Engine!$C$2:$C$1199,0)))</f>
        <v/>
      </c>
      <c r="F869" s="6" t="str">
        <f>IF(ISNA(MATCH(856,Engine!$C$2:$C$1199,0)),"",INDEX('Compliance Database'!$F$2:$F$1199,MATCH(856,Engine!$C$2:$C$1199,0)))</f>
        <v/>
      </c>
      <c r="G869" s="6" t="str">
        <f>IF(ISNA(MATCH(856,Engine!$C$2:$C$1199,0)),"",INDEX('Compliance Database'!$G$2:$G$1199,MATCH(856,Engine!$C$2:$C$1199,0)))</f>
        <v/>
      </c>
      <c r="H869" s="7" t="str">
        <f>IF(ISNA(MATCH(856,Engine!$C$2:$C$1199,0)),"",INDEX('Compliance Database'!$H$2:$H$1199,MATCH(856,Engine!$C$2:$C$1199,0)))</f>
        <v/>
      </c>
      <c r="I869" s="7" t="str">
        <f>IF(ISNA(MATCH(856,Engine!$C$2:$C$1199,0)),"",INDEX('Compliance Database'!$I$2:$I$1199,MATCH(856,Engine!$C$2:$C$1199,0)))</f>
        <v/>
      </c>
      <c r="J869" s="6" t="str">
        <f>IF(ISNA(MATCH(856,Engine!$C$2:$C$1199,0)),"",INDEX('Compliance Database'!$J$2:$J$1199,MATCH(856,Engine!$C$2:$C$1199,0)))</f>
        <v/>
      </c>
      <c r="K869" s="7" t="str">
        <f>IF(ISNA(MATCH(856,Engine!$C$2:$C$1199,0)),"",INDEX('Compliance Database'!$K$2:$K$1199,MATCH(856,Engine!$C$2:$C$1199,0)))</f>
        <v/>
      </c>
      <c r="L869" s="7" t="str">
        <f>IF(ISNA(MATCH(856,Engine!$C$2:$C$1199,0)),"",INDEX('Compliance Database'!$L$2:$L$1199,MATCH(856,Engine!$C$2:$C$1199,0)))</f>
        <v/>
      </c>
      <c r="M869" s="7" t="str">
        <f>IF(ISNA(MATCH(856,Engine!$C$2:$C$1199,0)),"",INDEX('Compliance Database'!$M$2:$M$1199,MATCH(856,Engine!$C$2:$C$1199,0)))</f>
        <v/>
      </c>
      <c r="N869" s="7" t="str">
        <f>IF(ISNA(MATCH(856,Engine!$C$2:$C$1199,0)),"",INDEX('Compliance Database'!$N$2:$N$1199,MATCH(856,Engine!$C$2:$C$1199,0)))</f>
        <v/>
      </c>
      <c r="O869" s="7" t="str">
        <f>IF(ISNA(MATCH(856,Engine!$C$2:$C$1199,0)),"",INDEX('Compliance Database'!$O$2:$O$1199,MATCH(856,Engine!$C$2:$C$1199,0)))</f>
        <v/>
      </c>
      <c r="P869" s="6" t="str">
        <f>IF(ISNA(MATCH(856,Engine!$C$2:$C$1199,0)),"",HYPERLINK("#Acts!A"&amp;INDEX('Compliance Database'!$P$2:$P$1199,MATCH(856,Engine!$C$2:$C$1199,0)),"Go to Act"))</f>
        <v/>
      </c>
    </row>
    <row r="870" spans="1:16" ht="172.95" customHeight="1" x14ac:dyDescent="0.3">
      <c r="A870" s="6" t="str">
        <f>IF(ISNA(MATCH(857,Engine!$C$2:$C$1199,0)),"",INDEX('Compliance Database'!$A$2:$A$1199,MATCH(857,Engine!$C$2:$C$1199,0)))</f>
        <v/>
      </c>
      <c r="B870" s="6" t="str">
        <f>IF(ISNA(MATCH(857,Engine!$C$2:$C$1199,0)),"",INDEX('Compliance Database'!$B$2:$B$1199,MATCH(857,Engine!$C$2:$C$1199,0)))</f>
        <v/>
      </c>
      <c r="C870" s="6" t="str">
        <f>IF(ISNA(MATCH(857,Engine!$C$2:$C$1199,0)),"",INDEX('Compliance Database'!$C$2:$C$1199,MATCH(857,Engine!$C$2:$C$1199,0)))</f>
        <v/>
      </c>
      <c r="D870" s="7" t="str">
        <f>IF(ISNA(MATCH(857,Engine!$C$2:$C$1199,0)),"",INDEX('Compliance Database'!$D$2:$D$1199,MATCH(857,Engine!$C$2:$C$1199,0)))</f>
        <v/>
      </c>
      <c r="E870" s="6" t="str">
        <f>IF(ISNA(MATCH(857,Engine!$C$2:$C$1199,0)),"",INDEX('Compliance Database'!$E$2:$E$1199,MATCH(857,Engine!$C$2:$C$1199,0)))</f>
        <v/>
      </c>
      <c r="F870" s="6" t="str">
        <f>IF(ISNA(MATCH(857,Engine!$C$2:$C$1199,0)),"",INDEX('Compliance Database'!$F$2:$F$1199,MATCH(857,Engine!$C$2:$C$1199,0)))</f>
        <v/>
      </c>
      <c r="G870" s="6" t="str">
        <f>IF(ISNA(MATCH(857,Engine!$C$2:$C$1199,0)),"",INDEX('Compliance Database'!$G$2:$G$1199,MATCH(857,Engine!$C$2:$C$1199,0)))</f>
        <v/>
      </c>
      <c r="H870" s="7" t="str">
        <f>IF(ISNA(MATCH(857,Engine!$C$2:$C$1199,0)),"",INDEX('Compliance Database'!$H$2:$H$1199,MATCH(857,Engine!$C$2:$C$1199,0)))</f>
        <v/>
      </c>
      <c r="I870" s="7" t="str">
        <f>IF(ISNA(MATCH(857,Engine!$C$2:$C$1199,0)),"",INDEX('Compliance Database'!$I$2:$I$1199,MATCH(857,Engine!$C$2:$C$1199,0)))</f>
        <v/>
      </c>
      <c r="J870" s="6" t="str">
        <f>IF(ISNA(MATCH(857,Engine!$C$2:$C$1199,0)),"",INDEX('Compliance Database'!$J$2:$J$1199,MATCH(857,Engine!$C$2:$C$1199,0)))</f>
        <v/>
      </c>
      <c r="K870" s="7" t="str">
        <f>IF(ISNA(MATCH(857,Engine!$C$2:$C$1199,0)),"",INDEX('Compliance Database'!$K$2:$K$1199,MATCH(857,Engine!$C$2:$C$1199,0)))</f>
        <v/>
      </c>
      <c r="L870" s="7" t="str">
        <f>IF(ISNA(MATCH(857,Engine!$C$2:$C$1199,0)),"",INDEX('Compliance Database'!$L$2:$L$1199,MATCH(857,Engine!$C$2:$C$1199,0)))</f>
        <v/>
      </c>
      <c r="M870" s="7" t="str">
        <f>IF(ISNA(MATCH(857,Engine!$C$2:$C$1199,0)),"",INDEX('Compliance Database'!$M$2:$M$1199,MATCH(857,Engine!$C$2:$C$1199,0)))</f>
        <v/>
      </c>
      <c r="N870" s="7" t="str">
        <f>IF(ISNA(MATCH(857,Engine!$C$2:$C$1199,0)),"",INDEX('Compliance Database'!$N$2:$N$1199,MATCH(857,Engine!$C$2:$C$1199,0)))</f>
        <v/>
      </c>
      <c r="O870" s="7" t="str">
        <f>IF(ISNA(MATCH(857,Engine!$C$2:$C$1199,0)),"",INDEX('Compliance Database'!$O$2:$O$1199,MATCH(857,Engine!$C$2:$C$1199,0)))</f>
        <v/>
      </c>
      <c r="P870" s="6" t="str">
        <f>IF(ISNA(MATCH(857,Engine!$C$2:$C$1199,0)),"",HYPERLINK("#Acts!A"&amp;INDEX('Compliance Database'!$P$2:$P$1199,MATCH(857,Engine!$C$2:$C$1199,0)),"Go to Act"))</f>
        <v/>
      </c>
    </row>
    <row r="871" spans="1:16" ht="172.95" customHeight="1" x14ac:dyDescent="0.3">
      <c r="A871" s="6" t="str">
        <f>IF(ISNA(MATCH(858,Engine!$C$2:$C$1199,0)),"",INDEX('Compliance Database'!$A$2:$A$1199,MATCH(858,Engine!$C$2:$C$1199,0)))</f>
        <v/>
      </c>
      <c r="B871" s="6" t="str">
        <f>IF(ISNA(MATCH(858,Engine!$C$2:$C$1199,0)),"",INDEX('Compliance Database'!$B$2:$B$1199,MATCH(858,Engine!$C$2:$C$1199,0)))</f>
        <v/>
      </c>
      <c r="C871" s="6" t="str">
        <f>IF(ISNA(MATCH(858,Engine!$C$2:$C$1199,0)),"",INDEX('Compliance Database'!$C$2:$C$1199,MATCH(858,Engine!$C$2:$C$1199,0)))</f>
        <v/>
      </c>
      <c r="D871" s="7" t="str">
        <f>IF(ISNA(MATCH(858,Engine!$C$2:$C$1199,0)),"",INDEX('Compliance Database'!$D$2:$D$1199,MATCH(858,Engine!$C$2:$C$1199,0)))</f>
        <v/>
      </c>
      <c r="E871" s="6" t="str">
        <f>IF(ISNA(MATCH(858,Engine!$C$2:$C$1199,0)),"",INDEX('Compliance Database'!$E$2:$E$1199,MATCH(858,Engine!$C$2:$C$1199,0)))</f>
        <v/>
      </c>
      <c r="F871" s="6" t="str">
        <f>IF(ISNA(MATCH(858,Engine!$C$2:$C$1199,0)),"",INDEX('Compliance Database'!$F$2:$F$1199,MATCH(858,Engine!$C$2:$C$1199,0)))</f>
        <v/>
      </c>
      <c r="G871" s="6" t="str">
        <f>IF(ISNA(MATCH(858,Engine!$C$2:$C$1199,0)),"",INDEX('Compliance Database'!$G$2:$G$1199,MATCH(858,Engine!$C$2:$C$1199,0)))</f>
        <v/>
      </c>
      <c r="H871" s="7" t="str">
        <f>IF(ISNA(MATCH(858,Engine!$C$2:$C$1199,0)),"",INDEX('Compliance Database'!$H$2:$H$1199,MATCH(858,Engine!$C$2:$C$1199,0)))</f>
        <v/>
      </c>
      <c r="I871" s="7" t="str">
        <f>IF(ISNA(MATCH(858,Engine!$C$2:$C$1199,0)),"",INDEX('Compliance Database'!$I$2:$I$1199,MATCH(858,Engine!$C$2:$C$1199,0)))</f>
        <v/>
      </c>
      <c r="J871" s="6" t="str">
        <f>IF(ISNA(MATCH(858,Engine!$C$2:$C$1199,0)),"",INDEX('Compliance Database'!$J$2:$J$1199,MATCH(858,Engine!$C$2:$C$1199,0)))</f>
        <v/>
      </c>
      <c r="K871" s="7" t="str">
        <f>IF(ISNA(MATCH(858,Engine!$C$2:$C$1199,0)),"",INDEX('Compliance Database'!$K$2:$K$1199,MATCH(858,Engine!$C$2:$C$1199,0)))</f>
        <v/>
      </c>
      <c r="L871" s="7" t="str">
        <f>IF(ISNA(MATCH(858,Engine!$C$2:$C$1199,0)),"",INDEX('Compliance Database'!$L$2:$L$1199,MATCH(858,Engine!$C$2:$C$1199,0)))</f>
        <v/>
      </c>
      <c r="M871" s="7" t="str">
        <f>IF(ISNA(MATCH(858,Engine!$C$2:$C$1199,0)),"",INDEX('Compliance Database'!$M$2:$M$1199,MATCH(858,Engine!$C$2:$C$1199,0)))</f>
        <v/>
      </c>
      <c r="N871" s="7" t="str">
        <f>IF(ISNA(MATCH(858,Engine!$C$2:$C$1199,0)),"",INDEX('Compliance Database'!$N$2:$N$1199,MATCH(858,Engine!$C$2:$C$1199,0)))</f>
        <v/>
      </c>
      <c r="O871" s="7" t="str">
        <f>IF(ISNA(MATCH(858,Engine!$C$2:$C$1199,0)),"",INDEX('Compliance Database'!$O$2:$O$1199,MATCH(858,Engine!$C$2:$C$1199,0)))</f>
        <v/>
      </c>
      <c r="P871" s="6" t="str">
        <f>IF(ISNA(MATCH(858,Engine!$C$2:$C$1199,0)),"",HYPERLINK("#Acts!A"&amp;INDEX('Compliance Database'!$P$2:$P$1199,MATCH(858,Engine!$C$2:$C$1199,0)),"Go to Act"))</f>
        <v/>
      </c>
    </row>
    <row r="872" spans="1:16" ht="172.95" customHeight="1" x14ac:dyDescent="0.3">
      <c r="A872" s="6" t="str">
        <f>IF(ISNA(MATCH(859,Engine!$C$2:$C$1199,0)),"",INDEX('Compliance Database'!$A$2:$A$1199,MATCH(859,Engine!$C$2:$C$1199,0)))</f>
        <v/>
      </c>
      <c r="B872" s="6" t="str">
        <f>IF(ISNA(MATCH(859,Engine!$C$2:$C$1199,0)),"",INDEX('Compliance Database'!$B$2:$B$1199,MATCH(859,Engine!$C$2:$C$1199,0)))</f>
        <v/>
      </c>
      <c r="C872" s="6" t="str">
        <f>IF(ISNA(MATCH(859,Engine!$C$2:$C$1199,0)),"",INDEX('Compliance Database'!$C$2:$C$1199,MATCH(859,Engine!$C$2:$C$1199,0)))</f>
        <v/>
      </c>
      <c r="D872" s="7" t="str">
        <f>IF(ISNA(MATCH(859,Engine!$C$2:$C$1199,0)),"",INDEX('Compliance Database'!$D$2:$D$1199,MATCH(859,Engine!$C$2:$C$1199,0)))</f>
        <v/>
      </c>
      <c r="E872" s="6" t="str">
        <f>IF(ISNA(MATCH(859,Engine!$C$2:$C$1199,0)),"",INDEX('Compliance Database'!$E$2:$E$1199,MATCH(859,Engine!$C$2:$C$1199,0)))</f>
        <v/>
      </c>
      <c r="F872" s="6" t="str">
        <f>IF(ISNA(MATCH(859,Engine!$C$2:$C$1199,0)),"",INDEX('Compliance Database'!$F$2:$F$1199,MATCH(859,Engine!$C$2:$C$1199,0)))</f>
        <v/>
      </c>
      <c r="G872" s="6" t="str">
        <f>IF(ISNA(MATCH(859,Engine!$C$2:$C$1199,0)),"",INDEX('Compliance Database'!$G$2:$G$1199,MATCH(859,Engine!$C$2:$C$1199,0)))</f>
        <v/>
      </c>
      <c r="H872" s="7" t="str">
        <f>IF(ISNA(MATCH(859,Engine!$C$2:$C$1199,0)),"",INDEX('Compliance Database'!$H$2:$H$1199,MATCH(859,Engine!$C$2:$C$1199,0)))</f>
        <v/>
      </c>
      <c r="I872" s="7" t="str">
        <f>IF(ISNA(MATCH(859,Engine!$C$2:$C$1199,0)),"",INDEX('Compliance Database'!$I$2:$I$1199,MATCH(859,Engine!$C$2:$C$1199,0)))</f>
        <v/>
      </c>
      <c r="J872" s="6" t="str">
        <f>IF(ISNA(MATCH(859,Engine!$C$2:$C$1199,0)),"",INDEX('Compliance Database'!$J$2:$J$1199,MATCH(859,Engine!$C$2:$C$1199,0)))</f>
        <v/>
      </c>
      <c r="K872" s="7" t="str">
        <f>IF(ISNA(MATCH(859,Engine!$C$2:$C$1199,0)),"",INDEX('Compliance Database'!$K$2:$K$1199,MATCH(859,Engine!$C$2:$C$1199,0)))</f>
        <v/>
      </c>
      <c r="L872" s="7" t="str">
        <f>IF(ISNA(MATCH(859,Engine!$C$2:$C$1199,0)),"",INDEX('Compliance Database'!$L$2:$L$1199,MATCH(859,Engine!$C$2:$C$1199,0)))</f>
        <v/>
      </c>
      <c r="M872" s="7" t="str">
        <f>IF(ISNA(MATCH(859,Engine!$C$2:$C$1199,0)),"",INDEX('Compliance Database'!$M$2:$M$1199,MATCH(859,Engine!$C$2:$C$1199,0)))</f>
        <v/>
      </c>
      <c r="N872" s="7" t="str">
        <f>IF(ISNA(MATCH(859,Engine!$C$2:$C$1199,0)),"",INDEX('Compliance Database'!$N$2:$N$1199,MATCH(859,Engine!$C$2:$C$1199,0)))</f>
        <v/>
      </c>
      <c r="O872" s="7" t="str">
        <f>IF(ISNA(MATCH(859,Engine!$C$2:$C$1199,0)),"",INDEX('Compliance Database'!$O$2:$O$1199,MATCH(859,Engine!$C$2:$C$1199,0)))</f>
        <v/>
      </c>
      <c r="P872" s="6" t="str">
        <f>IF(ISNA(MATCH(859,Engine!$C$2:$C$1199,0)),"",HYPERLINK("#Acts!A"&amp;INDEX('Compliance Database'!$P$2:$P$1199,MATCH(859,Engine!$C$2:$C$1199,0)),"Go to Act"))</f>
        <v/>
      </c>
    </row>
    <row r="873" spans="1:16" ht="172.95" customHeight="1" x14ac:dyDescent="0.3">
      <c r="A873" s="6" t="str">
        <f>IF(ISNA(MATCH(860,Engine!$C$2:$C$1199,0)),"",INDEX('Compliance Database'!$A$2:$A$1199,MATCH(860,Engine!$C$2:$C$1199,0)))</f>
        <v/>
      </c>
      <c r="B873" s="6" t="str">
        <f>IF(ISNA(MATCH(860,Engine!$C$2:$C$1199,0)),"",INDEX('Compliance Database'!$B$2:$B$1199,MATCH(860,Engine!$C$2:$C$1199,0)))</f>
        <v/>
      </c>
      <c r="C873" s="6" t="str">
        <f>IF(ISNA(MATCH(860,Engine!$C$2:$C$1199,0)),"",INDEX('Compliance Database'!$C$2:$C$1199,MATCH(860,Engine!$C$2:$C$1199,0)))</f>
        <v/>
      </c>
      <c r="D873" s="7" t="str">
        <f>IF(ISNA(MATCH(860,Engine!$C$2:$C$1199,0)),"",INDEX('Compliance Database'!$D$2:$D$1199,MATCH(860,Engine!$C$2:$C$1199,0)))</f>
        <v/>
      </c>
      <c r="E873" s="6" t="str">
        <f>IF(ISNA(MATCH(860,Engine!$C$2:$C$1199,0)),"",INDEX('Compliance Database'!$E$2:$E$1199,MATCH(860,Engine!$C$2:$C$1199,0)))</f>
        <v/>
      </c>
      <c r="F873" s="6" t="str">
        <f>IF(ISNA(MATCH(860,Engine!$C$2:$C$1199,0)),"",INDEX('Compliance Database'!$F$2:$F$1199,MATCH(860,Engine!$C$2:$C$1199,0)))</f>
        <v/>
      </c>
      <c r="G873" s="6" t="str">
        <f>IF(ISNA(MATCH(860,Engine!$C$2:$C$1199,0)),"",INDEX('Compliance Database'!$G$2:$G$1199,MATCH(860,Engine!$C$2:$C$1199,0)))</f>
        <v/>
      </c>
      <c r="H873" s="7" t="str">
        <f>IF(ISNA(MATCH(860,Engine!$C$2:$C$1199,0)),"",INDEX('Compliance Database'!$H$2:$H$1199,MATCH(860,Engine!$C$2:$C$1199,0)))</f>
        <v/>
      </c>
      <c r="I873" s="7" t="str">
        <f>IF(ISNA(MATCH(860,Engine!$C$2:$C$1199,0)),"",INDEX('Compliance Database'!$I$2:$I$1199,MATCH(860,Engine!$C$2:$C$1199,0)))</f>
        <v/>
      </c>
      <c r="J873" s="6" t="str">
        <f>IF(ISNA(MATCH(860,Engine!$C$2:$C$1199,0)),"",INDEX('Compliance Database'!$J$2:$J$1199,MATCH(860,Engine!$C$2:$C$1199,0)))</f>
        <v/>
      </c>
      <c r="K873" s="7" t="str">
        <f>IF(ISNA(MATCH(860,Engine!$C$2:$C$1199,0)),"",INDEX('Compliance Database'!$K$2:$K$1199,MATCH(860,Engine!$C$2:$C$1199,0)))</f>
        <v/>
      </c>
      <c r="L873" s="7" t="str">
        <f>IF(ISNA(MATCH(860,Engine!$C$2:$C$1199,0)),"",INDEX('Compliance Database'!$L$2:$L$1199,MATCH(860,Engine!$C$2:$C$1199,0)))</f>
        <v/>
      </c>
      <c r="M873" s="7" t="str">
        <f>IF(ISNA(MATCH(860,Engine!$C$2:$C$1199,0)),"",INDEX('Compliance Database'!$M$2:$M$1199,MATCH(860,Engine!$C$2:$C$1199,0)))</f>
        <v/>
      </c>
      <c r="N873" s="7" t="str">
        <f>IF(ISNA(MATCH(860,Engine!$C$2:$C$1199,0)),"",INDEX('Compliance Database'!$N$2:$N$1199,MATCH(860,Engine!$C$2:$C$1199,0)))</f>
        <v/>
      </c>
      <c r="O873" s="7" t="str">
        <f>IF(ISNA(MATCH(860,Engine!$C$2:$C$1199,0)),"",INDEX('Compliance Database'!$O$2:$O$1199,MATCH(860,Engine!$C$2:$C$1199,0)))</f>
        <v/>
      </c>
      <c r="P873" s="6" t="str">
        <f>IF(ISNA(MATCH(860,Engine!$C$2:$C$1199,0)),"",HYPERLINK("#Acts!A"&amp;INDEX('Compliance Database'!$P$2:$P$1199,MATCH(860,Engine!$C$2:$C$1199,0)),"Go to Act"))</f>
        <v/>
      </c>
    </row>
    <row r="874" spans="1:16" ht="172.95" customHeight="1" x14ac:dyDescent="0.3">
      <c r="A874" s="6" t="str">
        <f>IF(ISNA(MATCH(861,Engine!$C$2:$C$1199,0)),"",INDEX('Compliance Database'!$A$2:$A$1199,MATCH(861,Engine!$C$2:$C$1199,0)))</f>
        <v/>
      </c>
      <c r="B874" s="6" t="str">
        <f>IF(ISNA(MATCH(861,Engine!$C$2:$C$1199,0)),"",INDEX('Compliance Database'!$B$2:$B$1199,MATCH(861,Engine!$C$2:$C$1199,0)))</f>
        <v/>
      </c>
      <c r="C874" s="6" t="str">
        <f>IF(ISNA(MATCH(861,Engine!$C$2:$C$1199,0)),"",INDEX('Compliance Database'!$C$2:$C$1199,MATCH(861,Engine!$C$2:$C$1199,0)))</f>
        <v/>
      </c>
      <c r="D874" s="7" t="str">
        <f>IF(ISNA(MATCH(861,Engine!$C$2:$C$1199,0)),"",INDEX('Compliance Database'!$D$2:$D$1199,MATCH(861,Engine!$C$2:$C$1199,0)))</f>
        <v/>
      </c>
      <c r="E874" s="6" t="str">
        <f>IF(ISNA(MATCH(861,Engine!$C$2:$C$1199,0)),"",INDEX('Compliance Database'!$E$2:$E$1199,MATCH(861,Engine!$C$2:$C$1199,0)))</f>
        <v/>
      </c>
      <c r="F874" s="6" t="str">
        <f>IF(ISNA(MATCH(861,Engine!$C$2:$C$1199,0)),"",INDEX('Compliance Database'!$F$2:$F$1199,MATCH(861,Engine!$C$2:$C$1199,0)))</f>
        <v/>
      </c>
      <c r="G874" s="6" t="str">
        <f>IF(ISNA(MATCH(861,Engine!$C$2:$C$1199,0)),"",INDEX('Compliance Database'!$G$2:$G$1199,MATCH(861,Engine!$C$2:$C$1199,0)))</f>
        <v/>
      </c>
      <c r="H874" s="7" t="str">
        <f>IF(ISNA(MATCH(861,Engine!$C$2:$C$1199,0)),"",INDEX('Compliance Database'!$H$2:$H$1199,MATCH(861,Engine!$C$2:$C$1199,0)))</f>
        <v/>
      </c>
      <c r="I874" s="7" t="str">
        <f>IF(ISNA(MATCH(861,Engine!$C$2:$C$1199,0)),"",INDEX('Compliance Database'!$I$2:$I$1199,MATCH(861,Engine!$C$2:$C$1199,0)))</f>
        <v/>
      </c>
      <c r="J874" s="6" t="str">
        <f>IF(ISNA(MATCH(861,Engine!$C$2:$C$1199,0)),"",INDEX('Compliance Database'!$J$2:$J$1199,MATCH(861,Engine!$C$2:$C$1199,0)))</f>
        <v/>
      </c>
      <c r="K874" s="7" t="str">
        <f>IF(ISNA(MATCH(861,Engine!$C$2:$C$1199,0)),"",INDEX('Compliance Database'!$K$2:$K$1199,MATCH(861,Engine!$C$2:$C$1199,0)))</f>
        <v/>
      </c>
      <c r="L874" s="7" t="str">
        <f>IF(ISNA(MATCH(861,Engine!$C$2:$C$1199,0)),"",INDEX('Compliance Database'!$L$2:$L$1199,MATCH(861,Engine!$C$2:$C$1199,0)))</f>
        <v/>
      </c>
      <c r="M874" s="7" t="str">
        <f>IF(ISNA(MATCH(861,Engine!$C$2:$C$1199,0)),"",INDEX('Compliance Database'!$M$2:$M$1199,MATCH(861,Engine!$C$2:$C$1199,0)))</f>
        <v/>
      </c>
      <c r="N874" s="7" t="str">
        <f>IF(ISNA(MATCH(861,Engine!$C$2:$C$1199,0)),"",INDEX('Compliance Database'!$N$2:$N$1199,MATCH(861,Engine!$C$2:$C$1199,0)))</f>
        <v/>
      </c>
      <c r="O874" s="7" t="str">
        <f>IF(ISNA(MATCH(861,Engine!$C$2:$C$1199,0)),"",INDEX('Compliance Database'!$O$2:$O$1199,MATCH(861,Engine!$C$2:$C$1199,0)))</f>
        <v/>
      </c>
      <c r="P874" s="6" t="str">
        <f>IF(ISNA(MATCH(861,Engine!$C$2:$C$1199,0)),"",HYPERLINK("#Acts!A"&amp;INDEX('Compliance Database'!$P$2:$P$1199,MATCH(861,Engine!$C$2:$C$1199,0)),"Go to Act"))</f>
        <v/>
      </c>
    </row>
    <row r="875" spans="1:16" ht="172.95" customHeight="1" x14ac:dyDescent="0.3">
      <c r="A875" s="6" t="str">
        <f>IF(ISNA(MATCH(862,Engine!$C$2:$C$1199,0)),"",INDEX('Compliance Database'!$A$2:$A$1199,MATCH(862,Engine!$C$2:$C$1199,0)))</f>
        <v/>
      </c>
      <c r="B875" s="6" t="str">
        <f>IF(ISNA(MATCH(862,Engine!$C$2:$C$1199,0)),"",INDEX('Compliance Database'!$B$2:$B$1199,MATCH(862,Engine!$C$2:$C$1199,0)))</f>
        <v/>
      </c>
      <c r="C875" s="6" t="str">
        <f>IF(ISNA(MATCH(862,Engine!$C$2:$C$1199,0)),"",INDEX('Compliance Database'!$C$2:$C$1199,MATCH(862,Engine!$C$2:$C$1199,0)))</f>
        <v/>
      </c>
      <c r="D875" s="7" t="str">
        <f>IF(ISNA(MATCH(862,Engine!$C$2:$C$1199,0)),"",INDEX('Compliance Database'!$D$2:$D$1199,MATCH(862,Engine!$C$2:$C$1199,0)))</f>
        <v/>
      </c>
      <c r="E875" s="6" t="str">
        <f>IF(ISNA(MATCH(862,Engine!$C$2:$C$1199,0)),"",INDEX('Compliance Database'!$E$2:$E$1199,MATCH(862,Engine!$C$2:$C$1199,0)))</f>
        <v/>
      </c>
      <c r="F875" s="6" t="str">
        <f>IF(ISNA(MATCH(862,Engine!$C$2:$C$1199,0)),"",INDEX('Compliance Database'!$F$2:$F$1199,MATCH(862,Engine!$C$2:$C$1199,0)))</f>
        <v/>
      </c>
      <c r="G875" s="6" t="str">
        <f>IF(ISNA(MATCH(862,Engine!$C$2:$C$1199,0)),"",INDEX('Compliance Database'!$G$2:$G$1199,MATCH(862,Engine!$C$2:$C$1199,0)))</f>
        <v/>
      </c>
      <c r="H875" s="7" t="str">
        <f>IF(ISNA(MATCH(862,Engine!$C$2:$C$1199,0)),"",INDEX('Compliance Database'!$H$2:$H$1199,MATCH(862,Engine!$C$2:$C$1199,0)))</f>
        <v/>
      </c>
      <c r="I875" s="7" t="str">
        <f>IF(ISNA(MATCH(862,Engine!$C$2:$C$1199,0)),"",INDEX('Compliance Database'!$I$2:$I$1199,MATCH(862,Engine!$C$2:$C$1199,0)))</f>
        <v/>
      </c>
      <c r="J875" s="6" t="str">
        <f>IF(ISNA(MATCH(862,Engine!$C$2:$C$1199,0)),"",INDEX('Compliance Database'!$J$2:$J$1199,MATCH(862,Engine!$C$2:$C$1199,0)))</f>
        <v/>
      </c>
      <c r="K875" s="7" t="str">
        <f>IF(ISNA(MATCH(862,Engine!$C$2:$C$1199,0)),"",INDEX('Compliance Database'!$K$2:$K$1199,MATCH(862,Engine!$C$2:$C$1199,0)))</f>
        <v/>
      </c>
      <c r="L875" s="7" t="str">
        <f>IF(ISNA(MATCH(862,Engine!$C$2:$C$1199,0)),"",INDEX('Compliance Database'!$L$2:$L$1199,MATCH(862,Engine!$C$2:$C$1199,0)))</f>
        <v/>
      </c>
      <c r="M875" s="7" t="str">
        <f>IF(ISNA(MATCH(862,Engine!$C$2:$C$1199,0)),"",INDEX('Compliance Database'!$M$2:$M$1199,MATCH(862,Engine!$C$2:$C$1199,0)))</f>
        <v/>
      </c>
      <c r="N875" s="7" t="str">
        <f>IF(ISNA(MATCH(862,Engine!$C$2:$C$1199,0)),"",INDEX('Compliance Database'!$N$2:$N$1199,MATCH(862,Engine!$C$2:$C$1199,0)))</f>
        <v/>
      </c>
      <c r="O875" s="7" t="str">
        <f>IF(ISNA(MATCH(862,Engine!$C$2:$C$1199,0)),"",INDEX('Compliance Database'!$O$2:$O$1199,MATCH(862,Engine!$C$2:$C$1199,0)))</f>
        <v/>
      </c>
      <c r="P875" s="6" t="str">
        <f>IF(ISNA(MATCH(862,Engine!$C$2:$C$1199,0)),"",HYPERLINK("#Acts!A"&amp;INDEX('Compliance Database'!$P$2:$P$1199,MATCH(862,Engine!$C$2:$C$1199,0)),"Go to Act"))</f>
        <v/>
      </c>
    </row>
    <row r="876" spans="1:16" ht="172.95" customHeight="1" x14ac:dyDescent="0.3">
      <c r="A876" s="6" t="str">
        <f>IF(ISNA(MATCH(863,Engine!$C$2:$C$1199,0)),"",INDEX('Compliance Database'!$A$2:$A$1199,MATCH(863,Engine!$C$2:$C$1199,0)))</f>
        <v/>
      </c>
      <c r="B876" s="6" t="str">
        <f>IF(ISNA(MATCH(863,Engine!$C$2:$C$1199,0)),"",INDEX('Compliance Database'!$B$2:$B$1199,MATCH(863,Engine!$C$2:$C$1199,0)))</f>
        <v/>
      </c>
      <c r="C876" s="6" t="str">
        <f>IF(ISNA(MATCH(863,Engine!$C$2:$C$1199,0)),"",INDEX('Compliance Database'!$C$2:$C$1199,MATCH(863,Engine!$C$2:$C$1199,0)))</f>
        <v/>
      </c>
      <c r="D876" s="7" t="str">
        <f>IF(ISNA(MATCH(863,Engine!$C$2:$C$1199,0)),"",INDEX('Compliance Database'!$D$2:$D$1199,MATCH(863,Engine!$C$2:$C$1199,0)))</f>
        <v/>
      </c>
      <c r="E876" s="6" t="str">
        <f>IF(ISNA(MATCH(863,Engine!$C$2:$C$1199,0)),"",INDEX('Compliance Database'!$E$2:$E$1199,MATCH(863,Engine!$C$2:$C$1199,0)))</f>
        <v/>
      </c>
      <c r="F876" s="6" t="str">
        <f>IF(ISNA(MATCH(863,Engine!$C$2:$C$1199,0)),"",INDEX('Compliance Database'!$F$2:$F$1199,MATCH(863,Engine!$C$2:$C$1199,0)))</f>
        <v/>
      </c>
      <c r="G876" s="6" t="str">
        <f>IF(ISNA(MATCH(863,Engine!$C$2:$C$1199,0)),"",INDEX('Compliance Database'!$G$2:$G$1199,MATCH(863,Engine!$C$2:$C$1199,0)))</f>
        <v/>
      </c>
      <c r="H876" s="7" t="str">
        <f>IF(ISNA(MATCH(863,Engine!$C$2:$C$1199,0)),"",INDEX('Compliance Database'!$H$2:$H$1199,MATCH(863,Engine!$C$2:$C$1199,0)))</f>
        <v/>
      </c>
      <c r="I876" s="7" t="str">
        <f>IF(ISNA(MATCH(863,Engine!$C$2:$C$1199,0)),"",INDEX('Compliance Database'!$I$2:$I$1199,MATCH(863,Engine!$C$2:$C$1199,0)))</f>
        <v/>
      </c>
      <c r="J876" s="6" t="str">
        <f>IF(ISNA(MATCH(863,Engine!$C$2:$C$1199,0)),"",INDEX('Compliance Database'!$J$2:$J$1199,MATCH(863,Engine!$C$2:$C$1199,0)))</f>
        <v/>
      </c>
      <c r="K876" s="7" t="str">
        <f>IF(ISNA(MATCH(863,Engine!$C$2:$C$1199,0)),"",INDEX('Compliance Database'!$K$2:$K$1199,MATCH(863,Engine!$C$2:$C$1199,0)))</f>
        <v/>
      </c>
      <c r="L876" s="7" t="str">
        <f>IF(ISNA(MATCH(863,Engine!$C$2:$C$1199,0)),"",INDEX('Compliance Database'!$L$2:$L$1199,MATCH(863,Engine!$C$2:$C$1199,0)))</f>
        <v/>
      </c>
      <c r="M876" s="7" t="str">
        <f>IF(ISNA(MATCH(863,Engine!$C$2:$C$1199,0)),"",INDEX('Compliance Database'!$M$2:$M$1199,MATCH(863,Engine!$C$2:$C$1199,0)))</f>
        <v/>
      </c>
      <c r="N876" s="7" t="str">
        <f>IF(ISNA(MATCH(863,Engine!$C$2:$C$1199,0)),"",INDEX('Compliance Database'!$N$2:$N$1199,MATCH(863,Engine!$C$2:$C$1199,0)))</f>
        <v/>
      </c>
      <c r="O876" s="7" t="str">
        <f>IF(ISNA(MATCH(863,Engine!$C$2:$C$1199,0)),"",INDEX('Compliance Database'!$O$2:$O$1199,MATCH(863,Engine!$C$2:$C$1199,0)))</f>
        <v/>
      </c>
      <c r="P876" s="6" t="str">
        <f>IF(ISNA(MATCH(863,Engine!$C$2:$C$1199,0)),"",HYPERLINK("#Acts!A"&amp;INDEX('Compliance Database'!$P$2:$P$1199,MATCH(863,Engine!$C$2:$C$1199,0)),"Go to Act"))</f>
        <v/>
      </c>
    </row>
    <row r="877" spans="1:16" ht="172.95" customHeight="1" x14ac:dyDescent="0.3">
      <c r="A877" s="6" t="str">
        <f>IF(ISNA(MATCH(864,Engine!$C$2:$C$1199,0)),"",INDEX('Compliance Database'!$A$2:$A$1199,MATCH(864,Engine!$C$2:$C$1199,0)))</f>
        <v/>
      </c>
      <c r="B877" s="6" t="str">
        <f>IF(ISNA(MATCH(864,Engine!$C$2:$C$1199,0)),"",INDEX('Compliance Database'!$B$2:$B$1199,MATCH(864,Engine!$C$2:$C$1199,0)))</f>
        <v/>
      </c>
      <c r="C877" s="6" t="str">
        <f>IF(ISNA(MATCH(864,Engine!$C$2:$C$1199,0)),"",INDEX('Compliance Database'!$C$2:$C$1199,MATCH(864,Engine!$C$2:$C$1199,0)))</f>
        <v/>
      </c>
      <c r="D877" s="7" t="str">
        <f>IF(ISNA(MATCH(864,Engine!$C$2:$C$1199,0)),"",INDEX('Compliance Database'!$D$2:$D$1199,MATCH(864,Engine!$C$2:$C$1199,0)))</f>
        <v/>
      </c>
      <c r="E877" s="6" t="str">
        <f>IF(ISNA(MATCH(864,Engine!$C$2:$C$1199,0)),"",INDEX('Compliance Database'!$E$2:$E$1199,MATCH(864,Engine!$C$2:$C$1199,0)))</f>
        <v/>
      </c>
      <c r="F877" s="6" t="str">
        <f>IF(ISNA(MATCH(864,Engine!$C$2:$C$1199,0)),"",INDEX('Compliance Database'!$F$2:$F$1199,MATCH(864,Engine!$C$2:$C$1199,0)))</f>
        <v/>
      </c>
      <c r="G877" s="6" t="str">
        <f>IF(ISNA(MATCH(864,Engine!$C$2:$C$1199,0)),"",INDEX('Compliance Database'!$G$2:$G$1199,MATCH(864,Engine!$C$2:$C$1199,0)))</f>
        <v/>
      </c>
      <c r="H877" s="7" t="str">
        <f>IF(ISNA(MATCH(864,Engine!$C$2:$C$1199,0)),"",INDEX('Compliance Database'!$H$2:$H$1199,MATCH(864,Engine!$C$2:$C$1199,0)))</f>
        <v/>
      </c>
      <c r="I877" s="7" t="str">
        <f>IF(ISNA(MATCH(864,Engine!$C$2:$C$1199,0)),"",INDEX('Compliance Database'!$I$2:$I$1199,MATCH(864,Engine!$C$2:$C$1199,0)))</f>
        <v/>
      </c>
      <c r="J877" s="6" t="str">
        <f>IF(ISNA(MATCH(864,Engine!$C$2:$C$1199,0)),"",INDEX('Compliance Database'!$J$2:$J$1199,MATCH(864,Engine!$C$2:$C$1199,0)))</f>
        <v/>
      </c>
      <c r="K877" s="7" t="str">
        <f>IF(ISNA(MATCH(864,Engine!$C$2:$C$1199,0)),"",INDEX('Compliance Database'!$K$2:$K$1199,MATCH(864,Engine!$C$2:$C$1199,0)))</f>
        <v/>
      </c>
      <c r="L877" s="7" t="str">
        <f>IF(ISNA(MATCH(864,Engine!$C$2:$C$1199,0)),"",INDEX('Compliance Database'!$L$2:$L$1199,MATCH(864,Engine!$C$2:$C$1199,0)))</f>
        <v/>
      </c>
      <c r="M877" s="7" t="str">
        <f>IF(ISNA(MATCH(864,Engine!$C$2:$C$1199,0)),"",INDEX('Compliance Database'!$M$2:$M$1199,MATCH(864,Engine!$C$2:$C$1199,0)))</f>
        <v/>
      </c>
      <c r="N877" s="7" t="str">
        <f>IF(ISNA(MATCH(864,Engine!$C$2:$C$1199,0)),"",INDEX('Compliance Database'!$N$2:$N$1199,MATCH(864,Engine!$C$2:$C$1199,0)))</f>
        <v/>
      </c>
      <c r="O877" s="7" t="str">
        <f>IF(ISNA(MATCH(864,Engine!$C$2:$C$1199,0)),"",INDEX('Compliance Database'!$O$2:$O$1199,MATCH(864,Engine!$C$2:$C$1199,0)))</f>
        <v/>
      </c>
      <c r="P877" s="6" t="str">
        <f>IF(ISNA(MATCH(864,Engine!$C$2:$C$1199,0)),"",HYPERLINK("#Acts!A"&amp;INDEX('Compliance Database'!$P$2:$P$1199,MATCH(864,Engine!$C$2:$C$1199,0)),"Go to Act"))</f>
        <v/>
      </c>
    </row>
    <row r="878" spans="1:16" ht="172.95" customHeight="1" x14ac:dyDescent="0.3">
      <c r="A878" s="6" t="str">
        <f>IF(ISNA(MATCH(865,Engine!$C$2:$C$1199,0)),"",INDEX('Compliance Database'!$A$2:$A$1199,MATCH(865,Engine!$C$2:$C$1199,0)))</f>
        <v/>
      </c>
      <c r="B878" s="6" t="str">
        <f>IF(ISNA(MATCH(865,Engine!$C$2:$C$1199,0)),"",INDEX('Compliance Database'!$B$2:$B$1199,MATCH(865,Engine!$C$2:$C$1199,0)))</f>
        <v/>
      </c>
      <c r="C878" s="6" t="str">
        <f>IF(ISNA(MATCH(865,Engine!$C$2:$C$1199,0)),"",INDEX('Compliance Database'!$C$2:$C$1199,MATCH(865,Engine!$C$2:$C$1199,0)))</f>
        <v/>
      </c>
      <c r="D878" s="7" t="str">
        <f>IF(ISNA(MATCH(865,Engine!$C$2:$C$1199,0)),"",INDEX('Compliance Database'!$D$2:$D$1199,MATCH(865,Engine!$C$2:$C$1199,0)))</f>
        <v/>
      </c>
      <c r="E878" s="6" t="str">
        <f>IF(ISNA(MATCH(865,Engine!$C$2:$C$1199,0)),"",INDEX('Compliance Database'!$E$2:$E$1199,MATCH(865,Engine!$C$2:$C$1199,0)))</f>
        <v/>
      </c>
      <c r="F878" s="6" t="str">
        <f>IF(ISNA(MATCH(865,Engine!$C$2:$C$1199,0)),"",INDEX('Compliance Database'!$F$2:$F$1199,MATCH(865,Engine!$C$2:$C$1199,0)))</f>
        <v/>
      </c>
      <c r="G878" s="6" t="str">
        <f>IF(ISNA(MATCH(865,Engine!$C$2:$C$1199,0)),"",INDEX('Compliance Database'!$G$2:$G$1199,MATCH(865,Engine!$C$2:$C$1199,0)))</f>
        <v/>
      </c>
      <c r="H878" s="7" t="str">
        <f>IF(ISNA(MATCH(865,Engine!$C$2:$C$1199,0)),"",INDEX('Compliance Database'!$H$2:$H$1199,MATCH(865,Engine!$C$2:$C$1199,0)))</f>
        <v/>
      </c>
      <c r="I878" s="7" t="str">
        <f>IF(ISNA(MATCH(865,Engine!$C$2:$C$1199,0)),"",INDEX('Compliance Database'!$I$2:$I$1199,MATCH(865,Engine!$C$2:$C$1199,0)))</f>
        <v/>
      </c>
      <c r="J878" s="6" t="str">
        <f>IF(ISNA(MATCH(865,Engine!$C$2:$C$1199,0)),"",INDEX('Compliance Database'!$J$2:$J$1199,MATCH(865,Engine!$C$2:$C$1199,0)))</f>
        <v/>
      </c>
      <c r="K878" s="7" t="str">
        <f>IF(ISNA(MATCH(865,Engine!$C$2:$C$1199,0)),"",INDEX('Compliance Database'!$K$2:$K$1199,MATCH(865,Engine!$C$2:$C$1199,0)))</f>
        <v/>
      </c>
      <c r="L878" s="7" t="str">
        <f>IF(ISNA(MATCH(865,Engine!$C$2:$C$1199,0)),"",INDEX('Compliance Database'!$L$2:$L$1199,MATCH(865,Engine!$C$2:$C$1199,0)))</f>
        <v/>
      </c>
      <c r="M878" s="7" t="str">
        <f>IF(ISNA(MATCH(865,Engine!$C$2:$C$1199,0)),"",INDEX('Compliance Database'!$M$2:$M$1199,MATCH(865,Engine!$C$2:$C$1199,0)))</f>
        <v/>
      </c>
      <c r="N878" s="7" t="str">
        <f>IF(ISNA(MATCH(865,Engine!$C$2:$C$1199,0)),"",INDEX('Compliance Database'!$N$2:$N$1199,MATCH(865,Engine!$C$2:$C$1199,0)))</f>
        <v/>
      </c>
      <c r="O878" s="7" t="str">
        <f>IF(ISNA(MATCH(865,Engine!$C$2:$C$1199,0)),"",INDEX('Compliance Database'!$O$2:$O$1199,MATCH(865,Engine!$C$2:$C$1199,0)))</f>
        <v/>
      </c>
      <c r="P878" s="6" t="str">
        <f>IF(ISNA(MATCH(865,Engine!$C$2:$C$1199,0)),"",HYPERLINK("#Acts!A"&amp;INDEX('Compliance Database'!$P$2:$P$1199,MATCH(865,Engine!$C$2:$C$1199,0)),"Go to Act"))</f>
        <v/>
      </c>
    </row>
    <row r="879" spans="1:16" ht="172.95" customHeight="1" x14ac:dyDescent="0.3">
      <c r="A879" s="6" t="str">
        <f>IF(ISNA(MATCH(866,Engine!$C$2:$C$1199,0)),"",INDEX('Compliance Database'!$A$2:$A$1199,MATCH(866,Engine!$C$2:$C$1199,0)))</f>
        <v/>
      </c>
      <c r="B879" s="6" t="str">
        <f>IF(ISNA(MATCH(866,Engine!$C$2:$C$1199,0)),"",INDEX('Compliance Database'!$B$2:$B$1199,MATCH(866,Engine!$C$2:$C$1199,0)))</f>
        <v/>
      </c>
      <c r="C879" s="6" t="str">
        <f>IF(ISNA(MATCH(866,Engine!$C$2:$C$1199,0)),"",INDEX('Compliance Database'!$C$2:$C$1199,MATCH(866,Engine!$C$2:$C$1199,0)))</f>
        <v/>
      </c>
      <c r="D879" s="7" t="str">
        <f>IF(ISNA(MATCH(866,Engine!$C$2:$C$1199,0)),"",INDEX('Compliance Database'!$D$2:$D$1199,MATCH(866,Engine!$C$2:$C$1199,0)))</f>
        <v/>
      </c>
      <c r="E879" s="6" t="str">
        <f>IF(ISNA(MATCH(866,Engine!$C$2:$C$1199,0)),"",INDEX('Compliance Database'!$E$2:$E$1199,MATCH(866,Engine!$C$2:$C$1199,0)))</f>
        <v/>
      </c>
      <c r="F879" s="6" t="str">
        <f>IF(ISNA(MATCH(866,Engine!$C$2:$C$1199,0)),"",INDEX('Compliance Database'!$F$2:$F$1199,MATCH(866,Engine!$C$2:$C$1199,0)))</f>
        <v/>
      </c>
      <c r="G879" s="6" t="str">
        <f>IF(ISNA(MATCH(866,Engine!$C$2:$C$1199,0)),"",INDEX('Compliance Database'!$G$2:$G$1199,MATCH(866,Engine!$C$2:$C$1199,0)))</f>
        <v/>
      </c>
      <c r="H879" s="7" t="str">
        <f>IF(ISNA(MATCH(866,Engine!$C$2:$C$1199,0)),"",INDEX('Compliance Database'!$H$2:$H$1199,MATCH(866,Engine!$C$2:$C$1199,0)))</f>
        <v/>
      </c>
      <c r="I879" s="7" t="str">
        <f>IF(ISNA(MATCH(866,Engine!$C$2:$C$1199,0)),"",INDEX('Compliance Database'!$I$2:$I$1199,MATCH(866,Engine!$C$2:$C$1199,0)))</f>
        <v/>
      </c>
      <c r="J879" s="6" t="str">
        <f>IF(ISNA(MATCH(866,Engine!$C$2:$C$1199,0)),"",INDEX('Compliance Database'!$J$2:$J$1199,MATCH(866,Engine!$C$2:$C$1199,0)))</f>
        <v/>
      </c>
      <c r="K879" s="7" t="str">
        <f>IF(ISNA(MATCH(866,Engine!$C$2:$C$1199,0)),"",INDEX('Compliance Database'!$K$2:$K$1199,MATCH(866,Engine!$C$2:$C$1199,0)))</f>
        <v/>
      </c>
      <c r="L879" s="7" t="str">
        <f>IF(ISNA(MATCH(866,Engine!$C$2:$C$1199,0)),"",INDEX('Compliance Database'!$L$2:$L$1199,MATCH(866,Engine!$C$2:$C$1199,0)))</f>
        <v/>
      </c>
      <c r="M879" s="7" t="str">
        <f>IF(ISNA(MATCH(866,Engine!$C$2:$C$1199,0)),"",INDEX('Compliance Database'!$M$2:$M$1199,MATCH(866,Engine!$C$2:$C$1199,0)))</f>
        <v/>
      </c>
      <c r="N879" s="7" t="str">
        <f>IF(ISNA(MATCH(866,Engine!$C$2:$C$1199,0)),"",INDEX('Compliance Database'!$N$2:$N$1199,MATCH(866,Engine!$C$2:$C$1199,0)))</f>
        <v/>
      </c>
      <c r="O879" s="7" t="str">
        <f>IF(ISNA(MATCH(866,Engine!$C$2:$C$1199,0)),"",INDEX('Compliance Database'!$O$2:$O$1199,MATCH(866,Engine!$C$2:$C$1199,0)))</f>
        <v/>
      </c>
      <c r="P879" s="6" t="str">
        <f>IF(ISNA(MATCH(866,Engine!$C$2:$C$1199,0)),"",HYPERLINK("#Acts!A"&amp;INDEX('Compliance Database'!$P$2:$P$1199,MATCH(866,Engine!$C$2:$C$1199,0)),"Go to Act"))</f>
        <v/>
      </c>
    </row>
    <row r="880" spans="1:16" ht="172.95" customHeight="1" x14ac:dyDescent="0.3">
      <c r="A880" s="6" t="str">
        <f>IF(ISNA(MATCH(867,Engine!$C$2:$C$1199,0)),"",INDEX('Compliance Database'!$A$2:$A$1199,MATCH(867,Engine!$C$2:$C$1199,0)))</f>
        <v/>
      </c>
      <c r="B880" s="6" t="str">
        <f>IF(ISNA(MATCH(867,Engine!$C$2:$C$1199,0)),"",INDEX('Compliance Database'!$B$2:$B$1199,MATCH(867,Engine!$C$2:$C$1199,0)))</f>
        <v/>
      </c>
      <c r="C880" s="6" t="str">
        <f>IF(ISNA(MATCH(867,Engine!$C$2:$C$1199,0)),"",INDEX('Compliance Database'!$C$2:$C$1199,MATCH(867,Engine!$C$2:$C$1199,0)))</f>
        <v/>
      </c>
      <c r="D880" s="7" t="str">
        <f>IF(ISNA(MATCH(867,Engine!$C$2:$C$1199,0)),"",INDEX('Compliance Database'!$D$2:$D$1199,MATCH(867,Engine!$C$2:$C$1199,0)))</f>
        <v/>
      </c>
      <c r="E880" s="6" t="str">
        <f>IF(ISNA(MATCH(867,Engine!$C$2:$C$1199,0)),"",INDEX('Compliance Database'!$E$2:$E$1199,MATCH(867,Engine!$C$2:$C$1199,0)))</f>
        <v/>
      </c>
      <c r="F880" s="6" t="str">
        <f>IF(ISNA(MATCH(867,Engine!$C$2:$C$1199,0)),"",INDEX('Compliance Database'!$F$2:$F$1199,MATCH(867,Engine!$C$2:$C$1199,0)))</f>
        <v/>
      </c>
      <c r="G880" s="6" t="str">
        <f>IF(ISNA(MATCH(867,Engine!$C$2:$C$1199,0)),"",INDEX('Compliance Database'!$G$2:$G$1199,MATCH(867,Engine!$C$2:$C$1199,0)))</f>
        <v/>
      </c>
      <c r="H880" s="7" t="str">
        <f>IF(ISNA(MATCH(867,Engine!$C$2:$C$1199,0)),"",INDEX('Compliance Database'!$H$2:$H$1199,MATCH(867,Engine!$C$2:$C$1199,0)))</f>
        <v/>
      </c>
      <c r="I880" s="7" t="str">
        <f>IF(ISNA(MATCH(867,Engine!$C$2:$C$1199,0)),"",INDEX('Compliance Database'!$I$2:$I$1199,MATCH(867,Engine!$C$2:$C$1199,0)))</f>
        <v/>
      </c>
      <c r="J880" s="6" t="str">
        <f>IF(ISNA(MATCH(867,Engine!$C$2:$C$1199,0)),"",INDEX('Compliance Database'!$J$2:$J$1199,MATCH(867,Engine!$C$2:$C$1199,0)))</f>
        <v/>
      </c>
      <c r="K880" s="7" t="str">
        <f>IF(ISNA(MATCH(867,Engine!$C$2:$C$1199,0)),"",INDEX('Compliance Database'!$K$2:$K$1199,MATCH(867,Engine!$C$2:$C$1199,0)))</f>
        <v/>
      </c>
      <c r="L880" s="7" t="str">
        <f>IF(ISNA(MATCH(867,Engine!$C$2:$C$1199,0)),"",INDEX('Compliance Database'!$L$2:$L$1199,MATCH(867,Engine!$C$2:$C$1199,0)))</f>
        <v/>
      </c>
      <c r="M880" s="7" t="str">
        <f>IF(ISNA(MATCH(867,Engine!$C$2:$C$1199,0)),"",INDEX('Compliance Database'!$M$2:$M$1199,MATCH(867,Engine!$C$2:$C$1199,0)))</f>
        <v/>
      </c>
      <c r="N880" s="7" t="str">
        <f>IF(ISNA(MATCH(867,Engine!$C$2:$C$1199,0)),"",INDEX('Compliance Database'!$N$2:$N$1199,MATCH(867,Engine!$C$2:$C$1199,0)))</f>
        <v/>
      </c>
      <c r="O880" s="7" t="str">
        <f>IF(ISNA(MATCH(867,Engine!$C$2:$C$1199,0)),"",INDEX('Compliance Database'!$O$2:$O$1199,MATCH(867,Engine!$C$2:$C$1199,0)))</f>
        <v/>
      </c>
      <c r="P880" s="6" t="str">
        <f>IF(ISNA(MATCH(867,Engine!$C$2:$C$1199,0)),"",HYPERLINK("#Acts!A"&amp;INDEX('Compliance Database'!$P$2:$P$1199,MATCH(867,Engine!$C$2:$C$1199,0)),"Go to Act"))</f>
        <v/>
      </c>
    </row>
    <row r="881" spans="1:16" ht="172.95" customHeight="1" x14ac:dyDescent="0.3">
      <c r="A881" s="6" t="str">
        <f>IF(ISNA(MATCH(868,Engine!$C$2:$C$1199,0)),"",INDEX('Compliance Database'!$A$2:$A$1199,MATCH(868,Engine!$C$2:$C$1199,0)))</f>
        <v/>
      </c>
      <c r="B881" s="6" t="str">
        <f>IF(ISNA(MATCH(868,Engine!$C$2:$C$1199,0)),"",INDEX('Compliance Database'!$B$2:$B$1199,MATCH(868,Engine!$C$2:$C$1199,0)))</f>
        <v/>
      </c>
      <c r="C881" s="6" t="str">
        <f>IF(ISNA(MATCH(868,Engine!$C$2:$C$1199,0)),"",INDEX('Compliance Database'!$C$2:$C$1199,MATCH(868,Engine!$C$2:$C$1199,0)))</f>
        <v/>
      </c>
      <c r="D881" s="7" t="str">
        <f>IF(ISNA(MATCH(868,Engine!$C$2:$C$1199,0)),"",INDEX('Compliance Database'!$D$2:$D$1199,MATCH(868,Engine!$C$2:$C$1199,0)))</f>
        <v/>
      </c>
      <c r="E881" s="6" t="str">
        <f>IF(ISNA(MATCH(868,Engine!$C$2:$C$1199,0)),"",INDEX('Compliance Database'!$E$2:$E$1199,MATCH(868,Engine!$C$2:$C$1199,0)))</f>
        <v/>
      </c>
      <c r="F881" s="6" t="str">
        <f>IF(ISNA(MATCH(868,Engine!$C$2:$C$1199,0)),"",INDEX('Compliance Database'!$F$2:$F$1199,MATCH(868,Engine!$C$2:$C$1199,0)))</f>
        <v/>
      </c>
      <c r="G881" s="6" t="str">
        <f>IF(ISNA(MATCH(868,Engine!$C$2:$C$1199,0)),"",INDEX('Compliance Database'!$G$2:$G$1199,MATCH(868,Engine!$C$2:$C$1199,0)))</f>
        <v/>
      </c>
      <c r="H881" s="7" t="str">
        <f>IF(ISNA(MATCH(868,Engine!$C$2:$C$1199,0)),"",INDEX('Compliance Database'!$H$2:$H$1199,MATCH(868,Engine!$C$2:$C$1199,0)))</f>
        <v/>
      </c>
      <c r="I881" s="7" t="str">
        <f>IF(ISNA(MATCH(868,Engine!$C$2:$C$1199,0)),"",INDEX('Compliance Database'!$I$2:$I$1199,MATCH(868,Engine!$C$2:$C$1199,0)))</f>
        <v/>
      </c>
      <c r="J881" s="6" t="str">
        <f>IF(ISNA(MATCH(868,Engine!$C$2:$C$1199,0)),"",INDEX('Compliance Database'!$J$2:$J$1199,MATCH(868,Engine!$C$2:$C$1199,0)))</f>
        <v/>
      </c>
      <c r="K881" s="7" t="str">
        <f>IF(ISNA(MATCH(868,Engine!$C$2:$C$1199,0)),"",INDEX('Compliance Database'!$K$2:$K$1199,MATCH(868,Engine!$C$2:$C$1199,0)))</f>
        <v/>
      </c>
      <c r="L881" s="7" t="str">
        <f>IF(ISNA(MATCH(868,Engine!$C$2:$C$1199,0)),"",INDEX('Compliance Database'!$L$2:$L$1199,MATCH(868,Engine!$C$2:$C$1199,0)))</f>
        <v/>
      </c>
      <c r="M881" s="7" t="str">
        <f>IF(ISNA(MATCH(868,Engine!$C$2:$C$1199,0)),"",INDEX('Compliance Database'!$M$2:$M$1199,MATCH(868,Engine!$C$2:$C$1199,0)))</f>
        <v/>
      </c>
      <c r="N881" s="7" t="str">
        <f>IF(ISNA(MATCH(868,Engine!$C$2:$C$1199,0)),"",INDEX('Compliance Database'!$N$2:$N$1199,MATCH(868,Engine!$C$2:$C$1199,0)))</f>
        <v/>
      </c>
      <c r="O881" s="7" t="str">
        <f>IF(ISNA(MATCH(868,Engine!$C$2:$C$1199,0)),"",INDEX('Compliance Database'!$O$2:$O$1199,MATCH(868,Engine!$C$2:$C$1199,0)))</f>
        <v/>
      </c>
      <c r="P881" s="6" t="str">
        <f>IF(ISNA(MATCH(868,Engine!$C$2:$C$1199,0)),"",HYPERLINK("#Acts!A"&amp;INDEX('Compliance Database'!$P$2:$P$1199,MATCH(868,Engine!$C$2:$C$1199,0)),"Go to Act"))</f>
        <v/>
      </c>
    </row>
    <row r="882" spans="1:16" ht="172.95" customHeight="1" x14ac:dyDescent="0.3">
      <c r="A882" s="6" t="str">
        <f>IF(ISNA(MATCH(869,Engine!$C$2:$C$1199,0)),"",INDEX('Compliance Database'!$A$2:$A$1199,MATCH(869,Engine!$C$2:$C$1199,0)))</f>
        <v/>
      </c>
      <c r="B882" s="6" t="str">
        <f>IF(ISNA(MATCH(869,Engine!$C$2:$C$1199,0)),"",INDEX('Compliance Database'!$B$2:$B$1199,MATCH(869,Engine!$C$2:$C$1199,0)))</f>
        <v/>
      </c>
      <c r="C882" s="6" t="str">
        <f>IF(ISNA(MATCH(869,Engine!$C$2:$C$1199,0)),"",INDEX('Compliance Database'!$C$2:$C$1199,MATCH(869,Engine!$C$2:$C$1199,0)))</f>
        <v/>
      </c>
      <c r="D882" s="7" t="str">
        <f>IF(ISNA(MATCH(869,Engine!$C$2:$C$1199,0)),"",INDEX('Compliance Database'!$D$2:$D$1199,MATCH(869,Engine!$C$2:$C$1199,0)))</f>
        <v/>
      </c>
      <c r="E882" s="6" t="str">
        <f>IF(ISNA(MATCH(869,Engine!$C$2:$C$1199,0)),"",INDEX('Compliance Database'!$E$2:$E$1199,MATCH(869,Engine!$C$2:$C$1199,0)))</f>
        <v/>
      </c>
      <c r="F882" s="6" t="str">
        <f>IF(ISNA(MATCH(869,Engine!$C$2:$C$1199,0)),"",INDEX('Compliance Database'!$F$2:$F$1199,MATCH(869,Engine!$C$2:$C$1199,0)))</f>
        <v/>
      </c>
      <c r="G882" s="6" t="str">
        <f>IF(ISNA(MATCH(869,Engine!$C$2:$C$1199,0)),"",INDEX('Compliance Database'!$G$2:$G$1199,MATCH(869,Engine!$C$2:$C$1199,0)))</f>
        <v/>
      </c>
      <c r="H882" s="7" t="str">
        <f>IF(ISNA(MATCH(869,Engine!$C$2:$C$1199,0)),"",INDEX('Compliance Database'!$H$2:$H$1199,MATCH(869,Engine!$C$2:$C$1199,0)))</f>
        <v/>
      </c>
      <c r="I882" s="7" t="str">
        <f>IF(ISNA(MATCH(869,Engine!$C$2:$C$1199,0)),"",INDEX('Compliance Database'!$I$2:$I$1199,MATCH(869,Engine!$C$2:$C$1199,0)))</f>
        <v/>
      </c>
      <c r="J882" s="6" t="str">
        <f>IF(ISNA(MATCH(869,Engine!$C$2:$C$1199,0)),"",INDEX('Compliance Database'!$J$2:$J$1199,MATCH(869,Engine!$C$2:$C$1199,0)))</f>
        <v/>
      </c>
      <c r="K882" s="7" t="str">
        <f>IF(ISNA(MATCH(869,Engine!$C$2:$C$1199,0)),"",INDEX('Compliance Database'!$K$2:$K$1199,MATCH(869,Engine!$C$2:$C$1199,0)))</f>
        <v/>
      </c>
      <c r="L882" s="7" t="str">
        <f>IF(ISNA(MATCH(869,Engine!$C$2:$C$1199,0)),"",INDEX('Compliance Database'!$L$2:$L$1199,MATCH(869,Engine!$C$2:$C$1199,0)))</f>
        <v/>
      </c>
      <c r="M882" s="7" t="str">
        <f>IF(ISNA(MATCH(869,Engine!$C$2:$C$1199,0)),"",INDEX('Compliance Database'!$M$2:$M$1199,MATCH(869,Engine!$C$2:$C$1199,0)))</f>
        <v/>
      </c>
      <c r="N882" s="7" t="str">
        <f>IF(ISNA(MATCH(869,Engine!$C$2:$C$1199,0)),"",INDEX('Compliance Database'!$N$2:$N$1199,MATCH(869,Engine!$C$2:$C$1199,0)))</f>
        <v/>
      </c>
      <c r="O882" s="7" t="str">
        <f>IF(ISNA(MATCH(869,Engine!$C$2:$C$1199,0)),"",INDEX('Compliance Database'!$O$2:$O$1199,MATCH(869,Engine!$C$2:$C$1199,0)))</f>
        <v/>
      </c>
      <c r="P882" s="6" t="str">
        <f>IF(ISNA(MATCH(869,Engine!$C$2:$C$1199,0)),"",HYPERLINK("#Acts!A"&amp;INDEX('Compliance Database'!$P$2:$P$1199,MATCH(869,Engine!$C$2:$C$1199,0)),"Go to Act"))</f>
        <v/>
      </c>
    </row>
    <row r="883" spans="1:16" ht="172.95" customHeight="1" x14ac:dyDescent="0.3">
      <c r="A883" s="6" t="str">
        <f>IF(ISNA(MATCH(870,Engine!$C$2:$C$1199,0)),"",INDEX('Compliance Database'!$A$2:$A$1199,MATCH(870,Engine!$C$2:$C$1199,0)))</f>
        <v/>
      </c>
      <c r="B883" s="6" t="str">
        <f>IF(ISNA(MATCH(870,Engine!$C$2:$C$1199,0)),"",INDEX('Compliance Database'!$B$2:$B$1199,MATCH(870,Engine!$C$2:$C$1199,0)))</f>
        <v/>
      </c>
      <c r="C883" s="6" t="str">
        <f>IF(ISNA(MATCH(870,Engine!$C$2:$C$1199,0)),"",INDEX('Compliance Database'!$C$2:$C$1199,MATCH(870,Engine!$C$2:$C$1199,0)))</f>
        <v/>
      </c>
      <c r="D883" s="7" t="str">
        <f>IF(ISNA(MATCH(870,Engine!$C$2:$C$1199,0)),"",INDEX('Compliance Database'!$D$2:$D$1199,MATCH(870,Engine!$C$2:$C$1199,0)))</f>
        <v/>
      </c>
      <c r="E883" s="6" t="str">
        <f>IF(ISNA(MATCH(870,Engine!$C$2:$C$1199,0)),"",INDEX('Compliance Database'!$E$2:$E$1199,MATCH(870,Engine!$C$2:$C$1199,0)))</f>
        <v/>
      </c>
      <c r="F883" s="6" t="str">
        <f>IF(ISNA(MATCH(870,Engine!$C$2:$C$1199,0)),"",INDEX('Compliance Database'!$F$2:$F$1199,MATCH(870,Engine!$C$2:$C$1199,0)))</f>
        <v/>
      </c>
      <c r="G883" s="6" t="str">
        <f>IF(ISNA(MATCH(870,Engine!$C$2:$C$1199,0)),"",INDEX('Compliance Database'!$G$2:$G$1199,MATCH(870,Engine!$C$2:$C$1199,0)))</f>
        <v/>
      </c>
      <c r="H883" s="7" t="str">
        <f>IF(ISNA(MATCH(870,Engine!$C$2:$C$1199,0)),"",INDEX('Compliance Database'!$H$2:$H$1199,MATCH(870,Engine!$C$2:$C$1199,0)))</f>
        <v/>
      </c>
      <c r="I883" s="7" t="str">
        <f>IF(ISNA(MATCH(870,Engine!$C$2:$C$1199,0)),"",INDEX('Compliance Database'!$I$2:$I$1199,MATCH(870,Engine!$C$2:$C$1199,0)))</f>
        <v/>
      </c>
      <c r="J883" s="6" t="str">
        <f>IF(ISNA(MATCH(870,Engine!$C$2:$C$1199,0)),"",INDEX('Compliance Database'!$J$2:$J$1199,MATCH(870,Engine!$C$2:$C$1199,0)))</f>
        <v/>
      </c>
      <c r="K883" s="7" t="str">
        <f>IF(ISNA(MATCH(870,Engine!$C$2:$C$1199,0)),"",INDEX('Compliance Database'!$K$2:$K$1199,MATCH(870,Engine!$C$2:$C$1199,0)))</f>
        <v/>
      </c>
      <c r="L883" s="7" t="str">
        <f>IF(ISNA(MATCH(870,Engine!$C$2:$C$1199,0)),"",INDEX('Compliance Database'!$L$2:$L$1199,MATCH(870,Engine!$C$2:$C$1199,0)))</f>
        <v/>
      </c>
      <c r="M883" s="7" t="str">
        <f>IF(ISNA(MATCH(870,Engine!$C$2:$C$1199,0)),"",INDEX('Compliance Database'!$M$2:$M$1199,MATCH(870,Engine!$C$2:$C$1199,0)))</f>
        <v/>
      </c>
      <c r="N883" s="7" t="str">
        <f>IF(ISNA(MATCH(870,Engine!$C$2:$C$1199,0)),"",INDEX('Compliance Database'!$N$2:$N$1199,MATCH(870,Engine!$C$2:$C$1199,0)))</f>
        <v/>
      </c>
      <c r="O883" s="7" t="str">
        <f>IF(ISNA(MATCH(870,Engine!$C$2:$C$1199,0)),"",INDEX('Compliance Database'!$O$2:$O$1199,MATCH(870,Engine!$C$2:$C$1199,0)))</f>
        <v/>
      </c>
      <c r="P883" s="6" t="str">
        <f>IF(ISNA(MATCH(870,Engine!$C$2:$C$1199,0)),"",HYPERLINK("#Acts!A"&amp;INDEX('Compliance Database'!$P$2:$P$1199,MATCH(870,Engine!$C$2:$C$1199,0)),"Go to Act"))</f>
        <v/>
      </c>
    </row>
    <row r="884" spans="1:16" ht="172.95" customHeight="1" x14ac:dyDescent="0.3">
      <c r="A884" s="6" t="str">
        <f>IF(ISNA(MATCH(871,Engine!$C$2:$C$1199,0)),"",INDEX('Compliance Database'!$A$2:$A$1199,MATCH(871,Engine!$C$2:$C$1199,0)))</f>
        <v/>
      </c>
      <c r="B884" s="6" t="str">
        <f>IF(ISNA(MATCH(871,Engine!$C$2:$C$1199,0)),"",INDEX('Compliance Database'!$B$2:$B$1199,MATCH(871,Engine!$C$2:$C$1199,0)))</f>
        <v/>
      </c>
      <c r="C884" s="6" t="str">
        <f>IF(ISNA(MATCH(871,Engine!$C$2:$C$1199,0)),"",INDEX('Compliance Database'!$C$2:$C$1199,MATCH(871,Engine!$C$2:$C$1199,0)))</f>
        <v/>
      </c>
      <c r="D884" s="7" t="str">
        <f>IF(ISNA(MATCH(871,Engine!$C$2:$C$1199,0)),"",INDEX('Compliance Database'!$D$2:$D$1199,MATCH(871,Engine!$C$2:$C$1199,0)))</f>
        <v/>
      </c>
      <c r="E884" s="6" t="str">
        <f>IF(ISNA(MATCH(871,Engine!$C$2:$C$1199,0)),"",INDEX('Compliance Database'!$E$2:$E$1199,MATCH(871,Engine!$C$2:$C$1199,0)))</f>
        <v/>
      </c>
      <c r="F884" s="6" t="str">
        <f>IF(ISNA(MATCH(871,Engine!$C$2:$C$1199,0)),"",INDEX('Compliance Database'!$F$2:$F$1199,MATCH(871,Engine!$C$2:$C$1199,0)))</f>
        <v/>
      </c>
      <c r="G884" s="6" t="str">
        <f>IF(ISNA(MATCH(871,Engine!$C$2:$C$1199,0)),"",INDEX('Compliance Database'!$G$2:$G$1199,MATCH(871,Engine!$C$2:$C$1199,0)))</f>
        <v/>
      </c>
      <c r="H884" s="7" t="str">
        <f>IF(ISNA(MATCH(871,Engine!$C$2:$C$1199,0)),"",INDEX('Compliance Database'!$H$2:$H$1199,MATCH(871,Engine!$C$2:$C$1199,0)))</f>
        <v/>
      </c>
      <c r="I884" s="7" t="str">
        <f>IF(ISNA(MATCH(871,Engine!$C$2:$C$1199,0)),"",INDEX('Compliance Database'!$I$2:$I$1199,MATCH(871,Engine!$C$2:$C$1199,0)))</f>
        <v/>
      </c>
      <c r="J884" s="6" t="str">
        <f>IF(ISNA(MATCH(871,Engine!$C$2:$C$1199,0)),"",INDEX('Compliance Database'!$J$2:$J$1199,MATCH(871,Engine!$C$2:$C$1199,0)))</f>
        <v/>
      </c>
      <c r="K884" s="7" t="str">
        <f>IF(ISNA(MATCH(871,Engine!$C$2:$C$1199,0)),"",INDEX('Compliance Database'!$K$2:$K$1199,MATCH(871,Engine!$C$2:$C$1199,0)))</f>
        <v/>
      </c>
      <c r="L884" s="7" t="str">
        <f>IF(ISNA(MATCH(871,Engine!$C$2:$C$1199,0)),"",INDEX('Compliance Database'!$L$2:$L$1199,MATCH(871,Engine!$C$2:$C$1199,0)))</f>
        <v/>
      </c>
      <c r="M884" s="7" t="str">
        <f>IF(ISNA(MATCH(871,Engine!$C$2:$C$1199,0)),"",INDEX('Compliance Database'!$M$2:$M$1199,MATCH(871,Engine!$C$2:$C$1199,0)))</f>
        <v/>
      </c>
      <c r="N884" s="7" t="str">
        <f>IF(ISNA(MATCH(871,Engine!$C$2:$C$1199,0)),"",INDEX('Compliance Database'!$N$2:$N$1199,MATCH(871,Engine!$C$2:$C$1199,0)))</f>
        <v/>
      </c>
      <c r="O884" s="7" t="str">
        <f>IF(ISNA(MATCH(871,Engine!$C$2:$C$1199,0)),"",INDEX('Compliance Database'!$O$2:$O$1199,MATCH(871,Engine!$C$2:$C$1199,0)))</f>
        <v/>
      </c>
      <c r="P884" s="6" t="str">
        <f>IF(ISNA(MATCH(871,Engine!$C$2:$C$1199,0)),"",HYPERLINK("#Acts!A"&amp;INDEX('Compliance Database'!$P$2:$P$1199,MATCH(871,Engine!$C$2:$C$1199,0)),"Go to Act"))</f>
        <v/>
      </c>
    </row>
    <row r="885" spans="1:16" ht="172.95" customHeight="1" x14ac:dyDescent="0.3">
      <c r="A885" s="6" t="str">
        <f>IF(ISNA(MATCH(872,Engine!$C$2:$C$1199,0)),"",INDEX('Compliance Database'!$A$2:$A$1199,MATCH(872,Engine!$C$2:$C$1199,0)))</f>
        <v/>
      </c>
      <c r="B885" s="6" t="str">
        <f>IF(ISNA(MATCH(872,Engine!$C$2:$C$1199,0)),"",INDEX('Compliance Database'!$B$2:$B$1199,MATCH(872,Engine!$C$2:$C$1199,0)))</f>
        <v/>
      </c>
      <c r="C885" s="6" t="str">
        <f>IF(ISNA(MATCH(872,Engine!$C$2:$C$1199,0)),"",INDEX('Compliance Database'!$C$2:$C$1199,MATCH(872,Engine!$C$2:$C$1199,0)))</f>
        <v/>
      </c>
      <c r="D885" s="7" t="str">
        <f>IF(ISNA(MATCH(872,Engine!$C$2:$C$1199,0)),"",INDEX('Compliance Database'!$D$2:$D$1199,MATCH(872,Engine!$C$2:$C$1199,0)))</f>
        <v/>
      </c>
      <c r="E885" s="6" t="str">
        <f>IF(ISNA(MATCH(872,Engine!$C$2:$C$1199,0)),"",INDEX('Compliance Database'!$E$2:$E$1199,MATCH(872,Engine!$C$2:$C$1199,0)))</f>
        <v/>
      </c>
      <c r="F885" s="6" t="str">
        <f>IF(ISNA(MATCH(872,Engine!$C$2:$C$1199,0)),"",INDEX('Compliance Database'!$F$2:$F$1199,MATCH(872,Engine!$C$2:$C$1199,0)))</f>
        <v/>
      </c>
      <c r="G885" s="6" t="str">
        <f>IF(ISNA(MATCH(872,Engine!$C$2:$C$1199,0)),"",INDEX('Compliance Database'!$G$2:$G$1199,MATCH(872,Engine!$C$2:$C$1199,0)))</f>
        <v/>
      </c>
      <c r="H885" s="7" t="str">
        <f>IF(ISNA(MATCH(872,Engine!$C$2:$C$1199,0)),"",INDEX('Compliance Database'!$H$2:$H$1199,MATCH(872,Engine!$C$2:$C$1199,0)))</f>
        <v/>
      </c>
      <c r="I885" s="7" t="str">
        <f>IF(ISNA(MATCH(872,Engine!$C$2:$C$1199,0)),"",INDEX('Compliance Database'!$I$2:$I$1199,MATCH(872,Engine!$C$2:$C$1199,0)))</f>
        <v/>
      </c>
      <c r="J885" s="6" t="str">
        <f>IF(ISNA(MATCH(872,Engine!$C$2:$C$1199,0)),"",INDEX('Compliance Database'!$J$2:$J$1199,MATCH(872,Engine!$C$2:$C$1199,0)))</f>
        <v/>
      </c>
      <c r="K885" s="7" t="str">
        <f>IF(ISNA(MATCH(872,Engine!$C$2:$C$1199,0)),"",INDEX('Compliance Database'!$K$2:$K$1199,MATCH(872,Engine!$C$2:$C$1199,0)))</f>
        <v/>
      </c>
      <c r="L885" s="7" t="str">
        <f>IF(ISNA(MATCH(872,Engine!$C$2:$C$1199,0)),"",INDEX('Compliance Database'!$L$2:$L$1199,MATCH(872,Engine!$C$2:$C$1199,0)))</f>
        <v/>
      </c>
      <c r="M885" s="7" t="str">
        <f>IF(ISNA(MATCH(872,Engine!$C$2:$C$1199,0)),"",INDEX('Compliance Database'!$M$2:$M$1199,MATCH(872,Engine!$C$2:$C$1199,0)))</f>
        <v/>
      </c>
      <c r="N885" s="7" t="str">
        <f>IF(ISNA(MATCH(872,Engine!$C$2:$C$1199,0)),"",INDEX('Compliance Database'!$N$2:$N$1199,MATCH(872,Engine!$C$2:$C$1199,0)))</f>
        <v/>
      </c>
      <c r="O885" s="7" t="str">
        <f>IF(ISNA(MATCH(872,Engine!$C$2:$C$1199,0)),"",INDEX('Compliance Database'!$O$2:$O$1199,MATCH(872,Engine!$C$2:$C$1199,0)))</f>
        <v/>
      </c>
      <c r="P885" s="6" t="str">
        <f>IF(ISNA(MATCH(872,Engine!$C$2:$C$1199,0)),"",HYPERLINK("#Acts!A"&amp;INDEX('Compliance Database'!$P$2:$P$1199,MATCH(872,Engine!$C$2:$C$1199,0)),"Go to Act"))</f>
        <v/>
      </c>
    </row>
    <row r="886" spans="1:16" ht="172.95" customHeight="1" x14ac:dyDescent="0.3">
      <c r="A886" s="6" t="str">
        <f>IF(ISNA(MATCH(873,Engine!$C$2:$C$1199,0)),"",INDEX('Compliance Database'!$A$2:$A$1199,MATCH(873,Engine!$C$2:$C$1199,0)))</f>
        <v/>
      </c>
      <c r="B886" s="6" t="str">
        <f>IF(ISNA(MATCH(873,Engine!$C$2:$C$1199,0)),"",INDEX('Compliance Database'!$B$2:$B$1199,MATCH(873,Engine!$C$2:$C$1199,0)))</f>
        <v/>
      </c>
      <c r="C886" s="6" t="str">
        <f>IF(ISNA(MATCH(873,Engine!$C$2:$C$1199,0)),"",INDEX('Compliance Database'!$C$2:$C$1199,MATCH(873,Engine!$C$2:$C$1199,0)))</f>
        <v/>
      </c>
      <c r="D886" s="7" t="str">
        <f>IF(ISNA(MATCH(873,Engine!$C$2:$C$1199,0)),"",INDEX('Compliance Database'!$D$2:$D$1199,MATCH(873,Engine!$C$2:$C$1199,0)))</f>
        <v/>
      </c>
      <c r="E886" s="6" t="str">
        <f>IF(ISNA(MATCH(873,Engine!$C$2:$C$1199,0)),"",INDEX('Compliance Database'!$E$2:$E$1199,MATCH(873,Engine!$C$2:$C$1199,0)))</f>
        <v/>
      </c>
      <c r="F886" s="6" t="str">
        <f>IF(ISNA(MATCH(873,Engine!$C$2:$C$1199,0)),"",INDEX('Compliance Database'!$F$2:$F$1199,MATCH(873,Engine!$C$2:$C$1199,0)))</f>
        <v/>
      </c>
      <c r="G886" s="6" t="str">
        <f>IF(ISNA(MATCH(873,Engine!$C$2:$C$1199,0)),"",INDEX('Compliance Database'!$G$2:$G$1199,MATCH(873,Engine!$C$2:$C$1199,0)))</f>
        <v/>
      </c>
      <c r="H886" s="7" t="str">
        <f>IF(ISNA(MATCH(873,Engine!$C$2:$C$1199,0)),"",INDEX('Compliance Database'!$H$2:$H$1199,MATCH(873,Engine!$C$2:$C$1199,0)))</f>
        <v/>
      </c>
      <c r="I886" s="7" t="str">
        <f>IF(ISNA(MATCH(873,Engine!$C$2:$C$1199,0)),"",INDEX('Compliance Database'!$I$2:$I$1199,MATCH(873,Engine!$C$2:$C$1199,0)))</f>
        <v/>
      </c>
      <c r="J886" s="6" t="str">
        <f>IF(ISNA(MATCH(873,Engine!$C$2:$C$1199,0)),"",INDEX('Compliance Database'!$J$2:$J$1199,MATCH(873,Engine!$C$2:$C$1199,0)))</f>
        <v/>
      </c>
      <c r="K886" s="7" t="str">
        <f>IF(ISNA(MATCH(873,Engine!$C$2:$C$1199,0)),"",INDEX('Compliance Database'!$K$2:$K$1199,MATCH(873,Engine!$C$2:$C$1199,0)))</f>
        <v/>
      </c>
      <c r="L886" s="7" t="str">
        <f>IF(ISNA(MATCH(873,Engine!$C$2:$C$1199,0)),"",INDEX('Compliance Database'!$L$2:$L$1199,MATCH(873,Engine!$C$2:$C$1199,0)))</f>
        <v/>
      </c>
      <c r="M886" s="7" t="str">
        <f>IF(ISNA(MATCH(873,Engine!$C$2:$C$1199,0)),"",INDEX('Compliance Database'!$M$2:$M$1199,MATCH(873,Engine!$C$2:$C$1199,0)))</f>
        <v/>
      </c>
      <c r="N886" s="7" t="str">
        <f>IF(ISNA(MATCH(873,Engine!$C$2:$C$1199,0)),"",INDEX('Compliance Database'!$N$2:$N$1199,MATCH(873,Engine!$C$2:$C$1199,0)))</f>
        <v/>
      </c>
      <c r="O886" s="7" t="str">
        <f>IF(ISNA(MATCH(873,Engine!$C$2:$C$1199,0)),"",INDEX('Compliance Database'!$O$2:$O$1199,MATCH(873,Engine!$C$2:$C$1199,0)))</f>
        <v/>
      </c>
      <c r="P886" s="6" t="str">
        <f>IF(ISNA(MATCH(873,Engine!$C$2:$C$1199,0)),"",HYPERLINK("#Acts!A"&amp;INDEX('Compliance Database'!$P$2:$P$1199,MATCH(873,Engine!$C$2:$C$1199,0)),"Go to Act"))</f>
        <v/>
      </c>
    </row>
    <row r="887" spans="1:16" ht="172.95" customHeight="1" x14ac:dyDescent="0.3">
      <c r="A887" s="6" t="str">
        <f>IF(ISNA(MATCH(874,Engine!$C$2:$C$1199,0)),"",INDEX('Compliance Database'!$A$2:$A$1199,MATCH(874,Engine!$C$2:$C$1199,0)))</f>
        <v/>
      </c>
      <c r="B887" s="6" t="str">
        <f>IF(ISNA(MATCH(874,Engine!$C$2:$C$1199,0)),"",INDEX('Compliance Database'!$B$2:$B$1199,MATCH(874,Engine!$C$2:$C$1199,0)))</f>
        <v/>
      </c>
      <c r="C887" s="6" t="str">
        <f>IF(ISNA(MATCH(874,Engine!$C$2:$C$1199,0)),"",INDEX('Compliance Database'!$C$2:$C$1199,MATCH(874,Engine!$C$2:$C$1199,0)))</f>
        <v/>
      </c>
      <c r="D887" s="7" t="str">
        <f>IF(ISNA(MATCH(874,Engine!$C$2:$C$1199,0)),"",INDEX('Compliance Database'!$D$2:$D$1199,MATCH(874,Engine!$C$2:$C$1199,0)))</f>
        <v/>
      </c>
      <c r="E887" s="6" t="str">
        <f>IF(ISNA(MATCH(874,Engine!$C$2:$C$1199,0)),"",INDEX('Compliance Database'!$E$2:$E$1199,MATCH(874,Engine!$C$2:$C$1199,0)))</f>
        <v/>
      </c>
      <c r="F887" s="6" t="str">
        <f>IF(ISNA(MATCH(874,Engine!$C$2:$C$1199,0)),"",INDEX('Compliance Database'!$F$2:$F$1199,MATCH(874,Engine!$C$2:$C$1199,0)))</f>
        <v/>
      </c>
      <c r="G887" s="6" t="str">
        <f>IF(ISNA(MATCH(874,Engine!$C$2:$C$1199,0)),"",INDEX('Compliance Database'!$G$2:$G$1199,MATCH(874,Engine!$C$2:$C$1199,0)))</f>
        <v/>
      </c>
      <c r="H887" s="7" t="str">
        <f>IF(ISNA(MATCH(874,Engine!$C$2:$C$1199,0)),"",INDEX('Compliance Database'!$H$2:$H$1199,MATCH(874,Engine!$C$2:$C$1199,0)))</f>
        <v/>
      </c>
      <c r="I887" s="7" t="str">
        <f>IF(ISNA(MATCH(874,Engine!$C$2:$C$1199,0)),"",INDEX('Compliance Database'!$I$2:$I$1199,MATCH(874,Engine!$C$2:$C$1199,0)))</f>
        <v/>
      </c>
      <c r="J887" s="6" t="str">
        <f>IF(ISNA(MATCH(874,Engine!$C$2:$C$1199,0)),"",INDEX('Compliance Database'!$J$2:$J$1199,MATCH(874,Engine!$C$2:$C$1199,0)))</f>
        <v/>
      </c>
      <c r="K887" s="7" t="str">
        <f>IF(ISNA(MATCH(874,Engine!$C$2:$C$1199,0)),"",INDEX('Compliance Database'!$K$2:$K$1199,MATCH(874,Engine!$C$2:$C$1199,0)))</f>
        <v/>
      </c>
      <c r="L887" s="7" t="str">
        <f>IF(ISNA(MATCH(874,Engine!$C$2:$C$1199,0)),"",INDEX('Compliance Database'!$L$2:$L$1199,MATCH(874,Engine!$C$2:$C$1199,0)))</f>
        <v/>
      </c>
      <c r="M887" s="7" t="str">
        <f>IF(ISNA(MATCH(874,Engine!$C$2:$C$1199,0)),"",INDEX('Compliance Database'!$M$2:$M$1199,MATCH(874,Engine!$C$2:$C$1199,0)))</f>
        <v/>
      </c>
      <c r="N887" s="7" t="str">
        <f>IF(ISNA(MATCH(874,Engine!$C$2:$C$1199,0)),"",INDEX('Compliance Database'!$N$2:$N$1199,MATCH(874,Engine!$C$2:$C$1199,0)))</f>
        <v/>
      </c>
      <c r="O887" s="7" t="str">
        <f>IF(ISNA(MATCH(874,Engine!$C$2:$C$1199,0)),"",INDEX('Compliance Database'!$O$2:$O$1199,MATCH(874,Engine!$C$2:$C$1199,0)))</f>
        <v/>
      </c>
      <c r="P887" s="6" t="str">
        <f>IF(ISNA(MATCH(874,Engine!$C$2:$C$1199,0)),"",HYPERLINK("#Acts!A"&amp;INDEX('Compliance Database'!$P$2:$P$1199,MATCH(874,Engine!$C$2:$C$1199,0)),"Go to Act"))</f>
        <v/>
      </c>
    </row>
    <row r="888" spans="1:16" ht="172.95" customHeight="1" x14ac:dyDescent="0.3">
      <c r="A888" s="6" t="str">
        <f>IF(ISNA(MATCH(875,Engine!$C$2:$C$1199,0)),"",INDEX('Compliance Database'!$A$2:$A$1199,MATCH(875,Engine!$C$2:$C$1199,0)))</f>
        <v/>
      </c>
      <c r="B888" s="6" t="str">
        <f>IF(ISNA(MATCH(875,Engine!$C$2:$C$1199,0)),"",INDEX('Compliance Database'!$B$2:$B$1199,MATCH(875,Engine!$C$2:$C$1199,0)))</f>
        <v/>
      </c>
      <c r="C888" s="6" t="str">
        <f>IF(ISNA(MATCH(875,Engine!$C$2:$C$1199,0)),"",INDEX('Compliance Database'!$C$2:$C$1199,MATCH(875,Engine!$C$2:$C$1199,0)))</f>
        <v/>
      </c>
      <c r="D888" s="7" t="str">
        <f>IF(ISNA(MATCH(875,Engine!$C$2:$C$1199,0)),"",INDEX('Compliance Database'!$D$2:$D$1199,MATCH(875,Engine!$C$2:$C$1199,0)))</f>
        <v/>
      </c>
      <c r="E888" s="6" t="str">
        <f>IF(ISNA(MATCH(875,Engine!$C$2:$C$1199,0)),"",INDEX('Compliance Database'!$E$2:$E$1199,MATCH(875,Engine!$C$2:$C$1199,0)))</f>
        <v/>
      </c>
      <c r="F888" s="6" t="str">
        <f>IF(ISNA(MATCH(875,Engine!$C$2:$C$1199,0)),"",INDEX('Compliance Database'!$F$2:$F$1199,MATCH(875,Engine!$C$2:$C$1199,0)))</f>
        <v/>
      </c>
      <c r="G888" s="6" t="str">
        <f>IF(ISNA(MATCH(875,Engine!$C$2:$C$1199,0)),"",INDEX('Compliance Database'!$G$2:$G$1199,MATCH(875,Engine!$C$2:$C$1199,0)))</f>
        <v/>
      </c>
      <c r="H888" s="7" t="str">
        <f>IF(ISNA(MATCH(875,Engine!$C$2:$C$1199,0)),"",INDEX('Compliance Database'!$H$2:$H$1199,MATCH(875,Engine!$C$2:$C$1199,0)))</f>
        <v/>
      </c>
      <c r="I888" s="7" t="str">
        <f>IF(ISNA(MATCH(875,Engine!$C$2:$C$1199,0)),"",INDEX('Compliance Database'!$I$2:$I$1199,MATCH(875,Engine!$C$2:$C$1199,0)))</f>
        <v/>
      </c>
      <c r="J888" s="6" t="str">
        <f>IF(ISNA(MATCH(875,Engine!$C$2:$C$1199,0)),"",INDEX('Compliance Database'!$J$2:$J$1199,MATCH(875,Engine!$C$2:$C$1199,0)))</f>
        <v/>
      </c>
      <c r="K888" s="7" t="str">
        <f>IF(ISNA(MATCH(875,Engine!$C$2:$C$1199,0)),"",INDEX('Compliance Database'!$K$2:$K$1199,MATCH(875,Engine!$C$2:$C$1199,0)))</f>
        <v/>
      </c>
      <c r="L888" s="7" t="str">
        <f>IF(ISNA(MATCH(875,Engine!$C$2:$C$1199,0)),"",INDEX('Compliance Database'!$L$2:$L$1199,MATCH(875,Engine!$C$2:$C$1199,0)))</f>
        <v/>
      </c>
      <c r="M888" s="7" t="str">
        <f>IF(ISNA(MATCH(875,Engine!$C$2:$C$1199,0)),"",INDEX('Compliance Database'!$M$2:$M$1199,MATCH(875,Engine!$C$2:$C$1199,0)))</f>
        <v/>
      </c>
      <c r="N888" s="7" t="str">
        <f>IF(ISNA(MATCH(875,Engine!$C$2:$C$1199,0)),"",INDEX('Compliance Database'!$N$2:$N$1199,MATCH(875,Engine!$C$2:$C$1199,0)))</f>
        <v/>
      </c>
      <c r="O888" s="7" t="str">
        <f>IF(ISNA(MATCH(875,Engine!$C$2:$C$1199,0)),"",INDEX('Compliance Database'!$O$2:$O$1199,MATCH(875,Engine!$C$2:$C$1199,0)))</f>
        <v/>
      </c>
      <c r="P888" s="6" t="str">
        <f>IF(ISNA(MATCH(875,Engine!$C$2:$C$1199,0)),"",HYPERLINK("#Acts!A"&amp;INDEX('Compliance Database'!$P$2:$P$1199,MATCH(875,Engine!$C$2:$C$1199,0)),"Go to Act"))</f>
        <v/>
      </c>
    </row>
    <row r="889" spans="1:16" ht="172.95" customHeight="1" x14ac:dyDescent="0.3">
      <c r="A889" s="6" t="str">
        <f>IF(ISNA(MATCH(876,Engine!$C$2:$C$1199,0)),"",INDEX('Compliance Database'!$A$2:$A$1199,MATCH(876,Engine!$C$2:$C$1199,0)))</f>
        <v/>
      </c>
      <c r="B889" s="6" t="str">
        <f>IF(ISNA(MATCH(876,Engine!$C$2:$C$1199,0)),"",INDEX('Compliance Database'!$B$2:$B$1199,MATCH(876,Engine!$C$2:$C$1199,0)))</f>
        <v/>
      </c>
      <c r="C889" s="6" t="str">
        <f>IF(ISNA(MATCH(876,Engine!$C$2:$C$1199,0)),"",INDEX('Compliance Database'!$C$2:$C$1199,MATCH(876,Engine!$C$2:$C$1199,0)))</f>
        <v/>
      </c>
      <c r="D889" s="7" t="str">
        <f>IF(ISNA(MATCH(876,Engine!$C$2:$C$1199,0)),"",INDEX('Compliance Database'!$D$2:$D$1199,MATCH(876,Engine!$C$2:$C$1199,0)))</f>
        <v/>
      </c>
      <c r="E889" s="6" t="str">
        <f>IF(ISNA(MATCH(876,Engine!$C$2:$C$1199,0)),"",INDEX('Compliance Database'!$E$2:$E$1199,MATCH(876,Engine!$C$2:$C$1199,0)))</f>
        <v/>
      </c>
      <c r="F889" s="6" t="str">
        <f>IF(ISNA(MATCH(876,Engine!$C$2:$C$1199,0)),"",INDEX('Compliance Database'!$F$2:$F$1199,MATCH(876,Engine!$C$2:$C$1199,0)))</f>
        <v/>
      </c>
      <c r="G889" s="6" t="str">
        <f>IF(ISNA(MATCH(876,Engine!$C$2:$C$1199,0)),"",INDEX('Compliance Database'!$G$2:$G$1199,MATCH(876,Engine!$C$2:$C$1199,0)))</f>
        <v/>
      </c>
      <c r="H889" s="7" t="str">
        <f>IF(ISNA(MATCH(876,Engine!$C$2:$C$1199,0)),"",INDEX('Compliance Database'!$H$2:$H$1199,MATCH(876,Engine!$C$2:$C$1199,0)))</f>
        <v/>
      </c>
      <c r="I889" s="7" t="str">
        <f>IF(ISNA(MATCH(876,Engine!$C$2:$C$1199,0)),"",INDEX('Compliance Database'!$I$2:$I$1199,MATCH(876,Engine!$C$2:$C$1199,0)))</f>
        <v/>
      </c>
      <c r="J889" s="6" t="str">
        <f>IF(ISNA(MATCH(876,Engine!$C$2:$C$1199,0)),"",INDEX('Compliance Database'!$J$2:$J$1199,MATCH(876,Engine!$C$2:$C$1199,0)))</f>
        <v/>
      </c>
      <c r="K889" s="7" t="str">
        <f>IF(ISNA(MATCH(876,Engine!$C$2:$C$1199,0)),"",INDEX('Compliance Database'!$K$2:$K$1199,MATCH(876,Engine!$C$2:$C$1199,0)))</f>
        <v/>
      </c>
      <c r="L889" s="7" t="str">
        <f>IF(ISNA(MATCH(876,Engine!$C$2:$C$1199,0)),"",INDEX('Compliance Database'!$L$2:$L$1199,MATCH(876,Engine!$C$2:$C$1199,0)))</f>
        <v/>
      </c>
      <c r="M889" s="7" t="str">
        <f>IF(ISNA(MATCH(876,Engine!$C$2:$C$1199,0)),"",INDEX('Compliance Database'!$M$2:$M$1199,MATCH(876,Engine!$C$2:$C$1199,0)))</f>
        <v/>
      </c>
      <c r="N889" s="7" t="str">
        <f>IF(ISNA(MATCH(876,Engine!$C$2:$C$1199,0)),"",INDEX('Compliance Database'!$N$2:$N$1199,MATCH(876,Engine!$C$2:$C$1199,0)))</f>
        <v/>
      </c>
      <c r="O889" s="7" t="str">
        <f>IF(ISNA(MATCH(876,Engine!$C$2:$C$1199,0)),"",INDEX('Compliance Database'!$O$2:$O$1199,MATCH(876,Engine!$C$2:$C$1199,0)))</f>
        <v/>
      </c>
      <c r="P889" s="6" t="str">
        <f>IF(ISNA(MATCH(876,Engine!$C$2:$C$1199,0)),"",HYPERLINK("#Acts!A"&amp;INDEX('Compliance Database'!$P$2:$P$1199,MATCH(876,Engine!$C$2:$C$1199,0)),"Go to Act"))</f>
        <v/>
      </c>
    </row>
    <row r="890" spans="1:16" ht="172.95" customHeight="1" x14ac:dyDescent="0.3">
      <c r="A890" s="6" t="str">
        <f>IF(ISNA(MATCH(877,Engine!$C$2:$C$1199,0)),"",INDEX('Compliance Database'!$A$2:$A$1199,MATCH(877,Engine!$C$2:$C$1199,0)))</f>
        <v/>
      </c>
      <c r="B890" s="6" t="str">
        <f>IF(ISNA(MATCH(877,Engine!$C$2:$C$1199,0)),"",INDEX('Compliance Database'!$B$2:$B$1199,MATCH(877,Engine!$C$2:$C$1199,0)))</f>
        <v/>
      </c>
      <c r="C890" s="6" t="str">
        <f>IF(ISNA(MATCH(877,Engine!$C$2:$C$1199,0)),"",INDEX('Compliance Database'!$C$2:$C$1199,MATCH(877,Engine!$C$2:$C$1199,0)))</f>
        <v/>
      </c>
      <c r="D890" s="7" t="str">
        <f>IF(ISNA(MATCH(877,Engine!$C$2:$C$1199,0)),"",INDEX('Compliance Database'!$D$2:$D$1199,MATCH(877,Engine!$C$2:$C$1199,0)))</f>
        <v/>
      </c>
      <c r="E890" s="6" t="str">
        <f>IF(ISNA(MATCH(877,Engine!$C$2:$C$1199,0)),"",INDEX('Compliance Database'!$E$2:$E$1199,MATCH(877,Engine!$C$2:$C$1199,0)))</f>
        <v/>
      </c>
      <c r="F890" s="6" t="str">
        <f>IF(ISNA(MATCH(877,Engine!$C$2:$C$1199,0)),"",INDEX('Compliance Database'!$F$2:$F$1199,MATCH(877,Engine!$C$2:$C$1199,0)))</f>
        <v/>
      </c>
      <c r="G890" s="6" t="str">
        <f>IF(ISNA(MATCH(877,Engine!$C$2:$C$1199,0)),"",INDEX('Compliance Database'!$G$2:$G$1199,MATCH(877,Engine!$C$2:$C$1199,0)))</f>
        <v/>
      </c>
      <c r="H890" s="7" t="str">
        <f>IF(ISNA(MATCH(877,Engine!$C$2:$C$1199,0)),"",INDEX('Compliance Database'!$H$2:$H$1199,MATCH(877,Engine!$C$2:$C$1199,0)))</f>
        <v/>
      </c>
      <c r="I890" s="7" t="str">
        <f>IF(ISNA(MATCH(877,Engine!$C$2:$C$1199,0)),"",INDEX('Compliance Database'!$I$2:$I$1199,MATCH(877,Engine!$C$2:$C$1199,0)))</f>
        <v/>
      </c>
      <c r="J890" s="6" t="str">
        <f>IF(ISNA(MATCH(877,Engine!$C$2:$C$1199,0)),"",INDEX('Compliance Database'!$J$2:$J$1199,MATCH(877,Engine!$C$2:$C$1199,0)))</f>
        <v/>
      </c>
      <c r="K890" s="7" t="str">
        <f>IF(ISNA(MATCH(877,Engine!$C$2:$C$1199,0)),"",INDEX('Compliance Database'!$K$2:$K$1199,MATCH(877,Engine!$C$2:$C$1199,0)))</f>
        <v/>
      </c>
      <c r="L890" s="7" t="str">
        <f>IF(ISNA(MATCH(877,Engine!$C$2:$C$1199,0)),"",INDEX('Compliance Database'!$L$2:$L$1199,MATCH(877,Engine!$C$2:$C$1199,0)))</f>
        <v/>
      </c>
      <c r="M890" s="7" t="str">
        <f>IF(ISNA(MATCH(877,Engine!$C$2:$C$1199,0)),"",INDEX('Compliance Database'!$M$2:$M$1199,MATCH(877,Engine!$C$2:$C$1199,0)))</f>
        <v/>
      </c>
      <c r="N890" s="7" t="str">
        <f>IF(ISNA(MATCH(877,Engine!$C$2:$C$1199,0)),"",INDEX('Compliance Database'!$N$2:$N$1199,MATCH(877,Engine!$C$2:$C$1199,0)))</f>
        <v/>
      </c>
      <c r="O890" s="7" t="str">
        <f>IF(ISNA(MATCH(877,Engine!$C$2:$C$1199,0)),"",INDEX('Compliance Database'!$O$2:$O$1199,MATCH(877,Engine!$C$2:$C$1199,0)))</f>
        <v/>
      </c>
      <c r="P890" s="6" t="str">
        <f>IF(ISNA(MATCH(877,Engine!$C$2:$C$1199,0)),"",HYPERLINK("#Acts!A"&amp;INDEX('Compliance Database'!$P$2:$P$1199,MATCH(877,Engine!$C$2:$C$1199,0)),"Go to Act"))</f>
        <v/>
      </c>
    </row>
    <row r="891" spans="1:16" ht="172.95" customHeight="1" x14ac:dyDescent="0.3">
      <c r="A891" s="6" t="str">
        <f>IF(ISNA(MATCH(878,Engine!$C$2:$C$1199,0)),"",INDEX('Compliance Database'!$A$2:$A$1199,MATCH(878,Engine!$C$2:$C$1199,0)))</f>
        <v/>
      </c>
      <c r="B891" s="6" t="str">
        <f>IF(ISNA(MATCH(878,Engine!$C$2:$C$1199,0)),"",INDEX('Compliance Database'!$B$2:$B$1199,MATCH(878,Engine!$C$2:$C$1199,0)))</f>
        <v/>
      </c>
      <c r="C891" s="6" t="str">
        <f>IF(ISNA(MATCH(878,Engine!$C$2:$C$1199,0)),"",INDEX('Compliance Database'!$C$2:$C$1199,MATCH(878,Engine!$C$2:$C$1199,0)))</f>
        <v/>
      </c>
      <c r="D891" s="7" t="str">
        <f>IF(ISNA(MATCH(878,Engine!$C$2:$C$1199,0)),"",INDEX('Compliance Database'!$D$2:$D$1199,MATCH(878,Engine!$C$2:$C$1199,0)))</f>
        <v/>
      </c>
      <c r="E891" s="6" t="str">
        <f>IF(ISNA(MATCH(878,Engine!$C$2:$C$1199,0)),"",INDEX('Compliance Database'!$E$2:$E$1199,MATCH(878,Engine!$C$2:$C$1199,0)))</f>
        <v/>
      </c>
      <c r="F891" s="6" t="str">
        <f>IF(ISNA(MATCH(878,Engine!$C$2:$C$1199,0)),"",INDEX('Compliance Database'!$F$2:$F$1199,MATCH(878,Engine!$C$2:$C$1199,0)))</f>
        <v/>
      </c>
      <c r="G891" s="6" t="str">
        <f>IF(ISNA(MATCH(878,Engine!$C$2:$C$1199,0)),"",INDEX('Compliance Database'!$G$2:$G$1199,MATCH(878,Engine!$C$2:$C$1199,0)))</f>
        <v/>
      </c>
      <c r="H891" s="7" t="str">
        <f>IF(ISNA(MATCH(878,Engine!$C$2:$C$1199,0)),"",INDEX('Compliance Database'!$H$2:$H$1199,MATCH(878,Engine!$C$2:$C$1199,0)))</f>
        <v/>
      </c>
      <c r="I891" s="7" t="str">
        <f>IF(ISNA(MATCH(878,Engine!$C$2:$C$1199,0)),"",INDEX('Compliance Database'!$I$2:$I$1199,MATCH(878,Engine!$C$2:$C$1199,0)))</f>
        <v/>
      </c>
      <c r="J891" s="6" t="str">
        <f>IF(ISNA(MATCH(878,Engine!$C$2:$C$1199,0)),"",INDEX('Compliance Database'!$J$2:$J$1199,MATCH(878,Engine!$C$2:$C$1199,0)))</f>
        <v/>
      </c>
      <c r="K891" s="7" t="str">
        <f>IF(ISNA(MATCH(878,Engine!$C$2:$C$1199,0)),"",INDEX('Compliance Database'!$K$2:$K$1199,MATCH(878,Engine!$C$2:$C$1199,0)))</f>
        <v/>
      </c>
      <c r="L891" s="7" t="str">
        <f>IF(ISNA(MATCH(878,Engine!$C$2:$C$1199,0)),"",INDEX('Compliance Database'!$L$2:$L$1199,MATCH(878,Engine!$C$2:$C$1199,0)))</f>
        <v/>
      </c>
      <c r="M891" s="7" t="str">
        <f>IF(ISNA(MATCH(878,Engine!$C$2:$C$1199,0)),"",INDEX('Compliance Database'!$M$2:$M$1199,MATCH(878,Engine!$C$2:$C$1199,0)))</f>
        <v/>
      </c>
      <c r="N891" s="7" t="str">
        <f>IF(ISNA(MATCH(878,Engine!$C$2:$C$1199,0)),"",INDEX('Compliance Database'!$N$2:$N$1199,MATCH(878,Engine!$C$2:$C$1199,0)))</f>
        <v/>
      </c>
      <c r="O891" s="7" t="str">
        <f>IF(ISNA(MATCH(878,Engine!$C$2:$C$1199,0)),"",INDEX('Compliance Database'!$O$2:$O$1199,MATCH(878,Engine!$C$2:$C$1199,0)))</f>
        <v/>
      </c>
      <c r="P891" s="6" t="str">
        <f>IF(ISNA(MATCH(878,Engine!$C$2:$C$1199,0)),"",HYPERLINK("#Acts!A"&amp;INDEX('Compliance Database'!$P$2:$P$1199,MATCH(878,Engine!$C$2:$C$1199,0)),"Go to Act"))</f>
        <v/>
      </c>
    </row>
    <row r="892" spans="1:16" ht="172.95" customHeight="1" x14ac:dyDescent="0.3">
      <c r="A892" s="6" t="str">
        <f>IF(ISNA(MATCH(879,Engine!$C$2:$C$1199,0)),"",INDEX('Compliance Database'!$A$2:$A$1199,MATCH(879,Engine!$C$2:$C$1199,0)))</f>
        <v/>
      </c>
      <c r="B892" s="6" t="str">
        <f>IF(ISNA(MATCH(879,Engine!$C$2:$C$1199,0)),"",INDEX('Compliance Database'!$B$2:$B$1199,MATCH(879,Engine!$C$2:$C$1199,0)))</f>
        <v/>
      </c>
      <c r="C892" s="6" t="str">
        <f>IF(ISNA(MATCH(879,Engine!$C$2:$C$1199,0)),"",INDEX('Compliance Database'!$C$2:$C$1199,MATCH(879,Engine!$C$2:$C$1199,0)))</f>
        <v/>
      </c>
      <c r="D892" s="7" t="str">
        <f>IF(ISNA(MATCH(879,Engine!$C$2:$C$1199,0)),"",INDEX('Compliance Database'!$D$2:$D$1199,MATCH(879,Engine!$C$2:$C$1199,0)))</f>
        <v/>
      </c>
      <c r="E892" s="6" t="str">
        <f>IF(ISNA(MATCH(879,Engine!$C$2:$C$1199,0)),"",INDEX('Compliance Database'!$E$2:$E$1199,MATCH(879,Engine!$C$2:$C$1199,0)))</f>
        <v/>
      </c>
      <c r="F892" s="6" t="str">
        <f>IF(ISNA(MATCH(879,Engine!$C$2:$C$1199,0)),"",INDEX('Compliance Database'!$F$2:$F$1199,MATCH(879,Engine!$C$2:$C$1199,0)))</f>
        <v/>
      </c>
      <c r="G892" s="6" t="str">
        <f>IF(ISNA(MATCH(879,Engine!$C$2:$C$1199,0)),"",INDEX('Compliance Database'!$G$2:$G$1199,MATCH(879,Engine!$C$2:$C$1199,0)))</f>
        <v/>
      </c>
      <c r="H892" s="7" t="str">
        <f>IF(ISNA(MATCH(879,Engine!$C$2:$C$1199,0)),"",INDEX('Compliance Database'!$H$2:$H$1199,MATCH(879,Engine!$C$2:$C$1199,0)))</f>
        <v/>
      </c>
      <c r="I892" s="7" t="str">
        <f>IF(ISNA(MATCH(879,Engine!$C$2:$C$1199,0)),"",INDEX('Compliance Database'!$I$2:$I$1199,MATCH(879,Engine!$C$2:$C$1199,0)))</f>
        <v/>
      </c>
      <c r="J892" s="6" t="str">
        <f>IF(ISNA(MATCH(879,Engine!$C$2:$C$1199,0)),"",INDEX('Compliance Database'!$J$2:$J$1199,MATCH(879,Engine!$C$2:$C$1199,0)))</f>
        <v/>
      </c>
      <c r="K892" s="7" t="str">
        <f>IF(ISNA(MATCH(879,Engine!$C$2:$C$1199,0)),"",INDEX('Compliance Database'!$K$2:$K$1199,MATCH(879,Engine!$C$2:$C$1199,0)))</f>
        <v/>
      </c>
      <c r="L892" s="7" t="str">
        <f>IF(ISNA(MATCH(879,Engine!$C$2:$C$1199,0)),"",INDEX('Compliance Database'!$L$2:$L$1199,MATCH(879,Engine!$C$2:$C$1199,0)))</f>
        <v/>
      </c>
      <c r="M892" s="7" t="str">
        <f>IF(ISNA(MATCH(879,Engine!$C$2:$C$1199,0)),"",INDEX('Compliance Database'!$M$2:$M$1199,MATCH(879,Engine!$C$2:$C$1199,0)))</f>
        <v/>
      </c>
      <c r="N892" s="7" t="str">
        <f>IF(ISNA(MATCH(879,Engine!$C$2:$C$1199,0)),"",INDEX('Compliance Database'!$N$2:$N$1199,MATCH(879,Engine!$C$2:$C$1199,0)))</f>
        <v/>
      </c>
      <c r="O892" s="7" t="str">
        <f>IF(ISNA(MATCH(879,Engine!$C$2:$C$1199,0)),"",INDEX('Compliance Database'!$O$2:$O$1199,MATCH(879,Engine!$C$2:$C$1199,0)))</f>
        <v/>
      </c>
      <c r="P892" s="6" t="str">
        <f>IF(ISNA(MATCH(879,Engine!$C$2:$C$1199,0)),"",HYPERLINK("#Acts!A"&amp;INDEX('Compliance Database'!$P$2:$P$1199,MATCH(879,Engine!$C$2:$C$1199,0)),"Go to Act"))</f>
        <v/>
      </c>
    </row>
    <row r="893" spans="1:16" ht="172.95" customHeight="1" x14ac:dyDescent="0.3">
      <c r="A893" s="6" t="str">
        <f>IF(ISNA(MATCH(880,Engine!$C$2:$C$1199,0)),"",INDEX('Compliance Database'!$A$2:$A$1199,MATCH(880,Engine!$C$2:$C$1199,0)))</f>
        <v/>
      </c>
      <c r="B893" s="6" t="str">
        <f>IF(ISNA(MATCH(880,Engine!$C$2:$C$1199,0)),"",INDEX('Compliance Database'!$B$2:$B$1199,MATCH(880,Engine!$C$2:$C$1199,0)))</f>
        <v/>
      </c>
      <c r="C893" s="6" t="str">
        <f>IF(ISNA(MATCH(880,Engine!$C$2:$C$1199,0)),"",INDEX('Compliance Database'!$C$2:$C$1199,MATCH(880,Engine!$C$2:$C$1199,0)))</f>
        <v/>
      </c>
      <c r="D893" s="7" t="str">
        <f>IF(ISNA(MATCH(880,Engine!$C$2:$C$1199,0)),"",INDEX('Compliance Database'!$D$2:$D$1199,MATCH(880,Engine!$C$2:$C$1199,0)))</f>
        <v/>
      </c>
      <c r="E893" s="6" t="str">
        <f>IF(ISNA(MATCH(880,Engine!$C$2:$C$1199,0)),"",INDEX('Compliance Database'!$E$2:$E$1199,MATCH(880,Engine!$C$2:$C$1199,0)))</f>
        <v/>
      </c>
      <c r="F893" s="6" t="str">
        <f>IF(ISNA(MATCH(880,Engine!$C$2:$C$1199,0)),"",INDEX('Compliance Database'!$F$2:$F$1199,MATCH(880,Engine!$C$2:$C$1199,0)))</f>
        <v/>
      </c>
      <c r="G893" s="6" t="str">
        <f>IF(ISNA(MATCH(880,Engine!$C$2:$C$1199,0)),"",INDEX('Compliance Database'!$G$2:$G$1199,MATCH(880,Engine!$C$2:$C$1199,0)))</f>
        <v/>
      </c>
      <c r="H893" s="7" t="str">
        <f>IF(ISNA(MATCH(880,Engine!$C$2:$C$1199,0)),"",INDEX('Compliance Database'!$H$2:$H$1199,MATCH(880,Engine!$C$2:$C$1199,0)))</f>
        <v/>
      </c>
      <c r="I893" s="7" t="str">
        <f>IF(ISNA(MATCH(880,Engine!$C$2:$C$1199,0)),"",INDEX('Compliance Database'!$I$2:$I$1199,MATCH(880,Engine!$C$2:$C$1199,0)))</f>
        <v/>
      </c>
      <c r="J893" s="6" t="str">
        <f>IF(ISNA(MATCH(880,Engine!$C$2:$C$1199,0)),"",INDEX('Compliance Database'!$J$2:$J$1199,MATCH(880,Engine!$C$2:$C$1199,0)))</f>
        <v/>
      </c>
      <c r="K893" s="7" t="str">
        <f>IF(ISNA(MATCH(880,Engine!$C$2:$C$1199,0)),"",INDEX('Compliance Database'!$K$2:$K$1199,MATCH(880,Engine!$C$2:$C$1199,0)))</f>
        <v/>
      </c>
      <c r="L893" s="7" t="str">
        <f>IF(ISNA(MATCH(880,Engine!$C$2:$C$1199,0)),"",INDEX('Compliance Database'!$L$2:$L$1199,MATCH(880,Engine!$C$2:$C$1199,0)))</f>
        <v/>
      </c>
      <c r="M893" s="7" t="str">
        <f>IF(ISNA(MATCH(880,Engine!$C$2:$C$1199,0)),"",INDEX('Compliance Database'!$M$2:$M$1199,MATCH(880,Engine!$C$2:$C$1199,0)))</f>
        <v/>
      </c>
      <c r="N893" s="7" t="str">
        <f>IF(ISNA(MATCH(880,Engine!$C$2:$C$1199,0)),"",INDEX('Compliance Database'!$N$2:$N$1199,MATCH(880,Engine!$C$2:$C$1199,0)))</f>
        <v/>
      </c>
      <c r="O893" s="7" t="str">
        <f>IF(ISNA(MATCH(880,Engine!$C$2:$C$1199,0)),"",INDEX('Compliance Database'!$O$2:$O$1199,MATCH(880,Engine!$C$2:$C$1199,0)))</f>
        <v/>
      </c>
      <c r="P893" s="6" t="str">
        <f>IF(ISNA(MATCH(880,Engine!$C$2:$C$1199,0)),"",HYPERLINK("#Acts!A"&amp;INDEX('Compliance Database'!$P$2:$P$1199,MATCH(880,Engine!$C$2:$C$1199,0)),"Go to Act"))</f>
        <v/>
      </c>
    </row>
    <row r="894" spans="1:16" ht="172.95" customHeight="1" x14ac:dyDescent="0.3">
      <c r="A894" s="6" t="str">
        <f>IF(ISNA(MATCH(881,Engine!$C$2:$C$1199,0)),"",INDEX('Compliance Database'!$A$2:$A$1199,MATCH(881,Engine!$C$2:$C$1199,0)))</f>
        <v/>
      </c>
      <c r="B894" s="6" t="str">
        <f>IF(ISNA(MATCH(881,Engine!$C$2:$C$1199,0)),"",INDEX('Compliance Database'!$B$2:$B$1199,MATCH(881,Engine!$C$2:$C$1199,0)))</f>
        <v/>
      </c>
      <c r="C894" s="6" t="str">
        <f>IF(ISNA(MATCH(881,Engine!$C$2:$C$1199,0)),"",INDEX('Compliance Database'!$C$2:$C$1199,MATCH(881,Engine!$C$2:$C$1199,0)))</f>
        <v/>
      </c>
      <c r="D894" s="7" t="str">
        <f>IF(ISNA(MATCH(881,Engine!$C$2:$C$1199,0)),"",INDEX('Compliance Database'!$D$2:$D$1199,MATCH(881,Engine!$C$2:$C$1199,0)))</f>
        <v/>
      </c>
      <c r="E894" s="6" t="str">
        <f>IF(ISNA(MATCH(881,Engine!$C$2:$C$1199,0)),"",INDEX('Compliance Database'!$E$2:$E$1199,MATCH(881,Engine!$C$2:$C$1199,0)))</f>
        <v/>
      </c>
      <c r="F894" s="6" t="str">
        <f>IF(ISNA(MATCH(881,Engine!$C$2:$C$1199,0)),"",INDEX('Compliance Database'!$F$2:$F$1199,MATCH(881,Engine!$C$2:$C$1199,0)))</f>
        <v/>
      </c>
      <c r="G894" s="6" t="str">
        <f>IF(ISNA(MATCH(881,Engine!$C$2:$C$1199,0)),"",INDEX('Compliance Database'!$G$2:$G$1199,MATCH(881,Engine!$C$2:$C$1199,0)))</f>
        <v/>
      </c>
      <c r="H894" s="7" t="str">
        <f>IF(ISNA(MATCH(881,Engine!$C$2:$C$1199,0)),"",INDEX('Compliance Database'!$H$2:$H$1199,MATCH(881,Engine!$C$2:$C$1199,0)))</f>
        <v/>
      </c>
      <c r="I894" s="7" t="str">
        <f>IF(ISNA(MATCH(881,Engine!$C$2:$C$1199,0)),"",INDEX('Compliance Database'!$I$2:$I$1199,MATCH(881,Engine!$C$2:$C$1199,0)))</f>
        <v/>
      </c>
      <c r="J894" s="6" t="str">
        <f>IF(ISNA(MATCH(881,Engine!$C$2:$C$1199,0)),"",INDEX('Compliance Database'!$J$2:$J$1199,MATCH(881,Engine!$C$2:$C$1199,0)))</f>
        <v/>
      </c>
      <c r="K894" s="7" t="str">
        <f>IF(ISNA(MATCH(881,Engine!$C$2:$C$1199,0)),"",INDEX('Compliance Database'!$K$2:$K$1199,MATCH(881,Engine!$C$2:$C$1199,0)))</f>
        <v/>
      </c>
      <c r="L894" s="7" t="str">
        <f>IF(ISNA(MATCH(881,Engine!$C$2:$C$1199,0)),"",INDEX('Compliance Database'!$L$2:$L$1199,MATCH(881,Engine!$C$2:$C$1199,0)))</f>
        <v/>
      </c>
      <c r="M894" s="7" t="str">
        <f>IF(ISNA(MATCH(881,Engine!$C$2:$C$1199,0)),"",INDEX('Compliance Database'!$M$2:$M$1199,MATCH(881,Engine!$C$2:$C$1199,0)))</f>
        <v/>
      </c>
      <c r="N894" s="7" t="str">
        <f>IF(ISNA(MATCH(881,Engine!$C$2:$C$1199,0)),"",INDEX('Compliance Database'!$N$2:$N$1199,MATCH(881,Engine!$C$2:$C$1199,0)))</f>
        <v/>
      </c>
      <c r="O894" s="7" t="str">
        <f>IF(ISNA(MATCH(881,Engine!$C$2:$C$1199,0)),"",INDEX('Compliance Database'!$O$2:$O$1199,MATCH(881,Engine!$C$2:$C$1199,0)))</f>
        <v/>
      </c>
      <c r="P894" s="6" t="str">
        <f>IF(ISNA(MATCH(881,Engine!$C$2:$C$1199,0)),"",HYPERLINK("#Acts!A"&amp;INDEX('Compliance Database'!$P$2:$P$1199,MATCH(881,Engine!$C$2:$C$1199,0)),"Go to Act"))</f>
        <v/>
      </c>
    </row>
    <row r="895" spans="1:16" ht="172.95" customHeight="1" x14ac:dyDescent="0.3">
      <c r="A895" s="6" t="str">
        <f>IF(ISNA(MATCH(882,Engine!$C$2:$C$1199,0)),"",INDEX('Compliance Database'!$A$2:$A$1199,MATCH(882,Engine!$C$2:$C$1199,0)))</f>
        <v/>
      </c>
      <c r="B895" s="6" t="str">
        <f>IF(ISNA(MATCH(882,Engine!$C$2:$C$1199,0)),"",INDEX('Compliance Database'!$B$2:$B$1199,MATCH(882,Engine!$C$2:$C$1199,0)))</f>
        <v/>
      </c>
      <c r="C895" s="6" t="str">
        <f>IF(ISNA(MATCH(882,Engine!$C$2:$C$1199,0)),"",INDEX('Compliance Database'!$C$2:$C$1199,MATCH(882,Engine!$C$2:$C$1199,0)))</f>
        <v/>
      </c>
      <c r="D895" s="7" t="str">
        <f>IF(ISNA(MATCH(882,Engine!$C$2:$C$1199,0)),"",INDEX('Compliance Database'!$D$2:$D$1199,MATCH(882,Engine!$C$2:$C$1199,0)))</f>
        <v/>
      </c>
      <c r="E895" s="6" t="str">
        <f>IF(ISNA(MATCH(882,Engine!$C$2:$C$1199,0)),"",INDEX('Compliance Database'!$E$2:$E$1199,MATCH(882,Engine!$C$2:$C$1199,0)))</f>
        <v/>
      </c>
      <c r="F895" s="6" t="str">
        <f>IF(ISNA(MATCH(882,Engine!$C$2:$C$1199,0)),"",INDEX('Compliance Database'!$F$2:$F$1199,MATCH(882,Engine!$C$2:$C$1199,0)))</f>
        <v/>
      </c>
      <c r="G895" s="6" t="str">
        <f>IF(ISNA(MATCH(882,Engine!$C$2:$C$1199,0)),"",INDEX('Compliance Database'!$G$2:$G$1199,MATCH(882,Engine!$C$2:$C$1199,0)))</f>
        <v/>
      </c>
      <c r="H895" s="7" t="str">
        <f>IF(ISNA(MATCH(882,Engine!$C$2:$C$1199,0)),"",INDEX('Compliance Database'!$H$2:$H$1199,MATCH(882,Engine!$C$2:$C$1199,0)))</f>
        <v/>
      </c>
      <c r="I895" s="7" t="str">
        <f>IF(ISNA(MATCH(882,Engine!$C$2:$C$1199,0)),"",INDEX('Compliance Database'!$I$2:$I$1199,MATCH(882,Engine!$C$2:$C$1199,0)))</f>
        <v/>
      </c>
      <c r="J895" s="6" t="str">
        <f>IF(ISNA(MATCH(882,Engine!$C$2:$C$1199,0)),"",INDEX('Compliance Database'!$J$2:$J$1199,MATCH(882,Engine!$C$2:$C$1199,0)))</f>
        <v/>
      </c>
      <c r="K895" s="7" t="str">
        <f>IF(ISNA(MATCH(882,Engine!$C$2:$C$1199,0)),"",INDEX('Compliance Database'!$K$2:$K$1199,MATCH(882,Engine!$C$2:$C$1199,0)))</f>
        <v/>
      </c>
      <c r="L895" s="7" t="str">
        <f>IF(ISNA(MATCH(882,Engine!$C$2:$C$1199,0)),"",INDEX('Compliance Database'!$L$2:$L$1199,MATCH(882,Engine!$C$2:$C$1199,0)))</f>
        <v/>
      </c>
      <c r="M895" s="7" t="str">
        <f>IF(ISNA(MATCH(882,Engine!$C$2:$C$1199,0)),"",INDEX('Compliance Database'!$M$2:$M$1199,MATCH(882,Engine!$C$2:$C$1199,0)))</f>
        <v/>
      </c>
      <c r="N895" s="7" t="str">
        <f>IF(ISNA(MATCH(882,Engine!$C$2:$C$1199,0)),"",INDEX('Compliance Database'!$N$2:$N$1199,MATCH(882,Engine!$C$2:$C$1199,0)))</f>
        <v/>
      </c>
      <c r="O895" s="7" t="str">
        <f>IF(ISNA(MATCH(882,Engine!$C$2:$C$1199,0)),"",INDEX('Compliance Database'!$O$2:$O$1199,MATCH(882,Engine!$C$2:$C$1199,0)))</f>
        <v/>
      </c>
      <c r="P895" s="6" t="str">
        <f>IF(ISNA(MATCH(882,Engine!$C$2:$C$1199,0)),"",HYPERLINK("#Acts!A"&amp;INDEX('Compliance Database'!$P$2:$P$1199,MATCH(882,Engine!$C$2:$C$1199,0)),"Go to Act"))</f>
        <v/>
      </c>
    </row>
    <row r="896" spans="1:16" ht="172.95" customHeight="1" x14ac:dyDescent="0.3">
      <c r="A896" s="6" t="str">
        <f>IF(ISNA(MATCH(883,Engine!$C$2:$C$1199,0)),"",INDEX('Compliance Database'!$A$2:$A$1199,MATCH(883,Engine!$C$2:$C$1199,0)))</f>
        <v/>
      </c>
      <c r="B896" s="6" t="str">
        <f>IF(ISNA(MATCH(883,Engine!$C$2:$C$1199,0)),"",INDEX('Compliance Database'!$B$2:$B$1199,MATCH(883,Engine!$C$2:$C$1199,0)))</f>
        <v/>
      </c>
      <c r="C896" s="6" t="str">
        <f>IF(ISNA(MATCH(883,Engine!$C$2:$C$1199,0)),"",INDEX('Compliance Database'!$C$2:$C$1199,MATCH(883,Engine!$C$2:$C$1199,0)))</f>
        <v/>
      </c>
      <c r="D896" s="7" t="str">
        <f>IF(ISNA(MATCH(883,Engine!$C$2:$C$1199,0)),"",INDEX('Compliance Database'!$D$2:$D$1199,MATCH(883,Engine!$C$2:$C$1199,0)))</f>
        <v/>
      </c>
      <c r="E896" s="6" t="str">
        <f>IF(ISNA(MATCH(883,Engine!$C$2:$C$1199,0)),"",INDEX('Compliance Database'!$E$2:$E$1199,MATCH(883,Engine!$C$2:$C$1199,0)))</f>
        <v/>
      </c>
      <c r="F896" s="6" t="str">
        <f>IF(ISNA(MATCH(883,Engine!$C$2:$C$1199,0)),"",INDEX('Compliance Database'!$F$2:$F$1199,MATCH(883,Engine!$C$2:$C$1199,0)))</f>
        <v/>
      </c>
      <c r="G896" s="6" t="str">
        <f>IF(ISNA(MATCH(883,Engine!$C$2:$C$1199,0)),"",INDEX('Compliance Database'!$G$2:$G$1199,MATCH(883,Engine!$C$2:$C$1199,0)))</f>
        <v/>
      </c>
      <c r="H896" s="7" t="str">
        <f>IF(ISNA(MATCH(883,Engine!$C$2:$C$1199,0)),"",INDEX('Compliance Database'!$H$2:$H$1199,MATCH(883,Engine!$C$2:$C$1199,0)))</f>
        <v/>
      </c>
      <c r="I896" s="7" t="str">
        <f>IF(ISNA(MATCH(883,Engine!$C$2:$C$1199,0)),"",INDEX('Compliance Database'!$I$2:$I$1199,MATCH(883,Engine!$C$2:$C$1199,0)))</f>
        <v/>
      </c>
      <c r="J896" s="6" t="str">
        <f>IF(ISNA(MATCH(883,Engine!$C$2:$C$1199,0)),"",INDEX('Compliance Database'!$J$2:$J$1199,MATCH(883,Engine!$C$2:$C$1199,0)))</f>
        <v/>
      </c>
      <c r="K896" s="7" t="str">
        <f>IF(ISNA(MATCH(883,Engine!$C$2:$C$1199,0)),"",INDEX('Compliance Database'!$K$2:$K$1199,MATCH(883,Engine!$C$2:$C$1199,0)))</f>
        <v/>
      </c>
      <c r="L896" s="7" t="str">
        <f>IF(ISNA(MATCH(883,Engine!$C$2:$C$1199,0)),"",INDEX('Compliance Database'!$L$2:$L$1199,MATCH(883,Engine!$C$2:$C$1199,0)))</f>
        <v/>
      </c>
      <c r="M896" s="7" t="str">
        <f>IF(ISNA(MATCH(883,Engine!$C$2:$C$1199,0)),"",INDEX('Compliance Database'!$M$2:$M$1199,MATCH(883,Engine!$C$2:$C$1199,0)))</f>
        <v/>
      </c>
      <c r="N896" s="7" t="str">
        <f>IF(ISNA(MATCH(883,Engine!$C$2:$C$1199,0)),"",INDEX('Compliance Database'!$N$2:$N$1199,MATCH(883,Engine!$C$2:$C$1199,0)))</f>
        <v/>
      </c>
      <c r="O896" s="7" t="str">
        <f>IF(ISNA(MATCH(883,Engine!$C$2:$C$1199,0)),"",INDEX('Compliance Database'!$O$2:$O$1199,MATCH(883,Engine!$C$2:$C$1199,0)))</f>
        <v/>
      </c>
      <c r="P896" s="6" t="str">
        <f>IF(ISNA(MATCH(883,Engine!$C$2:$C$1199,0)),"",HYPERLINK("#Acts!A"&amp;INDEX('Compliance Database'!$P$2:$P$1199,MATCH(883,Engine!$C$2:$C$1199,0)),"Go to Act"))</f>
        <v/>
      </c>
    </row>
    <row r="897" spans="1:16" ht="172.95" customHeight="1" x14ac:dyDescent="0.3">
      <c r="A897" s="6" t="str">
        <f>IF(ISNA(MATCH(884,Engine!$C$2:$C$1199,0)),"",INDEX('Compliance Database'!$A$2:$A$1199,MATCH(884,Engine!$C$2:$C$1199,0)))</f>
        <v/>
      </c>
      <c r="B897" s="6" t="str">
        <f>IF(ISNA(MATCH(884,Engine!$C$2:$C$1199,0)),"",INDEX('Compliance Database'!$B$2:$B$1199,MATCH(884,Engine!$C$2:$C$1199,0)))</f>
        <v/>
      </c>
      <c r="C897" s="6" t="str">
        <f>IF(ISNA(MATCH(884,Engine!$C$2:$C$1199,0)),"",INDEX('Compliance Database'!$C$2:$C$1199,MATCH(884,Engine!$C$2:$C$1199,0)))</f>
        <v/>
      </c>
      <c r="D897" s="7" t="str">
        <f>IF(ISNA(MATCH(884,Engine!$C$2:$C$1199,0)),"",INDEX('Compliance Database'!$D$2:$D$1199,MATCH(884,Engine!$C$2:$C$1199,0)))</f>
        <v/>
      </c>
      <c r="E897" s="6" t="str">
        <f>IF(ISNA(MATCH(884,Engine!$C$2:$C$1199,0)),"",INDEX('Compliance Database'!$E$2:$E$1199,MATCH(884,Engine!$C$2:$C$1199,0)))</f>
        <v/>
      </c>
      <c r="F897" s="6" t="str">
        <f>IF(ISNA(MATCH(884,Engine!$C$2:$C$1199,0)),"",INDEX('Compliance Database'!$F$2:$F$1199,MATCH(884,Engine!$C$2:$C$1199,0)))</f>
        <v/>
      </c>
      <c r="G897" s="6" t="str">
        <f>IF(ISNA(MATCH(884,Engine!$C$2:$C$1199,0)),"",INDEX('Compliance Database'!$G$2:$G$1199,MATCH(884,Engine!$C$2:$C$1199,0)))</f>
        <v/>
      </c>
      <c r="H897" s="7" t="str">
        <f>IF(ISNA(MATCH(884,Engine!$C$2:$C$1199,0)),"",INDEX('Compliance Database'!$H$2:$H$1199,MATCH(884,Engine!$C$2:$C$1199,0)))</f>
        <v/>
      </c>
      <c r="I897" s="7" t="str">
        <f>IF(ISNA(MATCH(884,Engine!$C$2:$C$1199,0)),"",INDEX('Compliance Database'!$I$2:$I$1199,MATCH(884,Engine!$C$2:$C$1199,0)))</f>
        <v/>
      </c>
      <c r="J897" s="6" t="str">
        <f>IF(ISNA(MATCH(884,Engine!$C$2:$C$1199,0)),"",INDEX('Compliance Database'!$J$2:$J$1199,MATCH(884,Engine!$C$2:$C$1199,0)))</f>
        <v/>
      </c>
      <c r="K897" s="7" t="str">
        <f>IF(ISNA(MATCH(884,Engine!$C$2:$C$1199,0)),"",INDEX('Compliance Database'!$K$2:$K$1199,MATCH(884,Engine!$C$2:$C$1199,0)))</f>
        <v/>
      </c>
      <c r="L897" s="7" t="str">
        <f>IF(ISNA(MATCH(884,Engine!$C$2:$C$1199,0)),"",INDEX('Compliance Database'!$L$2:$L$1199,MATCH(884,Engine!$C$2:$C$1199,0)))</f>
        <v/>
      </c>
      <c r="M897" s="7" t="str">
        <f>IF(ISNA(MATCH(884,Engine!$C$2:$C$1199,0)),"",INDEX('Compliance Database'!$M$2:$M$1199,MATCH(884,Engine!$C$2:$C$1199,0)))</f>
        <v/>
      </c>
      <c r="N897" s="7" t="str">
        <f>IF(ISNA(MATCH(884,Engine!$C$2:$C$1199,0)),"",INDEX('Compliance Database'!$N$2:$N$1199,MATCH(884,Engine!$C$2:$C$1199,0)))</f>
        <v/>
      </c>
      <c r="O897" s="7" t="str">
        <f>IF(ISNA(MATCH(884,Engine!$C$2:$C$1199,0)),"",INDEX('Compliance Database'!$O$2:$O$1199,MATCH(884,Engine!$C$2:$C$1199,0)))</f>
        <v/>
      </c>
      <c r="P897" s="6" t="str">
        <f>IF(ISNA(MATCH(884,Engine!$C$2:$C$1199,0)),"",HYPERLINK("#Acts!A"&amp;INDEX('Compliance Database'!$P$2:$P$1199,MATCH(884,Engine!$C$2:$C$1199,0)),"Go to Act"))</f>
        <v/>
      </c>
    </row>
    <row r="898" spans="1:16" ht="172.95" customHeight="1" x14ac:dyDescent="0.3">
      <c r="A898" s="6" t="str">
        <f>IF(ISNA(MATCH(885,Engine!$C$2:$C$1199,0)),"",INDEX('Compliance Database'!$A$2:$A$1199,MATCH(885,Engine!$C$2:$C$1199,0)))</f>
        <v/>
      </c>
      <c r="B898" s="6" t="str">
        <f>IF(ISNA(MATCH(885,Engine!$C$2:$C$1199,0)),"",INDEX('Compliance Database'!$B$2:$B$1199,MATCH(885,Engine!$C$2:$C$1199,0)))</f>
        <v/>
      </c>
      <c r="C898" s="6" t="str">
        <f>IF(ISNA(MATCH(885,Engine!$C$2:$C$1199,0)),"",INDEX('Compliance Database'!$C$2:$C$1199,MATCH(885,Engine!$C$2:$C$1199,0)))</f>
        <v/>
      </c>
      <c r="D898" s="7" t="str">
        <f>IF(ISNA(MATCH(885,Engine!$C$2:$C$1199,0)),"",INDEX('Compliance Database'!$D$2:$D$1199,MATCH(885,Engine!$C$2:$C$1199,0)))</f>
        <v/>
      </c>
      <c r="E898" s="6" t="str">
        <f>IF(ISNA(MATCH(885,Engine!$C$2:$C$1199,0)),"",INDEX('Compliance Database'!$E$2:$E$1199,MATCH(885,Engine!$C$2:$C$1199,0)))</f>
        <v/>
      </c>
      <c r="F898" s="6" t="str">
        <f>IF(ISNA(MATCH(885,Engine!$C$2:$C$1199,0)),"",INDEX('Compliance Database'!$F$2:$F$1199,MATCH(885,Engine!$C$2:$C$1199,0)))</f>
        <v/>
      </c>
      <c r="G898" s="6" t="str">
        <f>IF(ISNA(MATCH(885,Engine!$C$2:$C$1199,0)),"",INDEX('Compliance Database'!$G$2:$G$1199,MATCH(885,Engine!$C$2:$C$1199,0)))</f>
        <v/>
      </c>
      <c r="H898" s="7" t="str">
        <f>IF(ISNA(MATCH(885,Engine!$C$2:$C$1199,0)),"",INDEX('Compliance Database'!$H$2:$H$1199,MATCH(885,Engine!$C$2:$C$1199,0)))</f>
        <v/>
      </c>
      <c r="I898" s="7" t="str">
        <f>IF(ISNA(MATCH(885,Engine!$C$2:$C$1199,0)),"",INDEX('Compliance Database'!$I$2:$I$1199,MATCH(885,Engine!$C$2:$C$1199,0)))</f>
        <v/>
      </c>
      <c r="J898" s="6" t="str">
        <f>IF(ISNA(MATCH(885,Engine!$C$2:$C$1199,0)),"",INDEX('Compliance Database'!$J$2:$J$1199,MATCH(885,Engine!$C$2:$C$1199,0)))</f>
        <v/>
      </c>
      <c r="K898" s="7" t="str">
        <f>IF(ISNA(MATCH(885,Engine!$C$2:$C$1199,0)),"",INDEX('Compliance Database'!$K$2:$K$1199,MATCH(885,Engine!$C$2:$C$1199,0)))</f>
        <v/>
      </c>
      <c r="L898" s="7" t="str">
        <f>IF(ISNA(MATCH(885,Engine!$C$2:$C$1199,0)),"",INDEX('Compliance Database'!$L$2:$L$1199,MATCH(885,Engine!$C$2:$C$1199,0)))</f>
        <v/>
      </c>
      <c r="M898" s="7" t="str">
        <f>IF(ISNA(MATCH(885,Engine!$C$2:$C$1199,0)),"",INDEX('Compliance Database'!$M$2:$M$1199,MATCH(885,Engine!$C$2:$C$1199,0)))</f>
        <v/>
      </c>
      <c r="N898" s="7" t="str">
        <f>IF(ISNA(MATCH(885,Engine!$C$2:$C$1199,0)),"",INDEX('Compliance Database'!$N$2:$N$1199,MATCH(885,Engine!$C$2:$C$1199,0)))</f>
        <v/>
      </c>
      <c r="O898" s="7" t="str">
        <f>IF(ISNA(MATCH(885,Engine!$C$2:$C$1199,0)),"",INDEX('Compliance Database'!$O$2:$O$1199,MATCH(885,Engine!$C$2:$C$1199,0)))</f>
        <v/>
      </c>
      <c r="P898" s="6" t="str">
        <f>IF(ISNA(MATCH(885,Engine!$C$2:$C$1199,0)),"",HYPERLINK("#Acts!A"&amp;INDEX('Compliance Database'!$P$2:$P$1199,MATCH(885,Engine!$C$2:$C$1199,0)),"Go to Act"))</f>
        <v/>
      </c>
    </row>
    <row r="899" spans="1:16" ht="172.95" customHeight="1" x14ac:dyDescent="0.3">
      <c r="A899" s="6" t="str">
        <f>IF(ISNA(MATCH(886,Engine!$C$2:$C$1199,0)),"",INDEX('Compliance Database'!$A$2:$A$1199,MATCH(886,Engine!$C$2:$C$1199,0)))</f>
        <v/>
      </c>
      <c r="B899" s="6" t="str">
        <f>IF(ISNA(MATCH(886,Engine!$C$2:$C$1199,0)),"",INDEX('Compliance Database'!$B$2:$B$1199,MATCH(886,Engine!$C$2:$C$1199,0)))</f>
        <v/>
      </c>
      <c r="C899" s="6" t="str">
        <f>IF(ISNA(MATCH(886,Engine!$C$2:$C$1199,0)),"",INDEX('Compliance Database'!$C$2:$C$1199,MATCH(886,Engine!$C$2:$C$1199,0)))</f>
        <v/>
      </c>
      <c r="D899" s="7" t="str">
        <f>IF(ISNA(MATCH(886,Engine!$C$2:$C$1199,0)),"",INDEX('Compliance Database'!$D$2:$D$1199,MATCH(886,Engine!$C$2:$C$1199,0)))</f>
        <v/>
      </c>
      <c r="E899" s="6" t="str">
        <f>IF(ISNA(MATCH(886,Engine!$C$2:$C$1199,0)),"",INDEX('Compliance Database'!$E$2:$E$1199,MATCH(886,Engine!$C$2:$C$1199,0)))</f>
        <v/>
      </c>
      <c r="F899" s="6" t="str">
        <f>IF(ISNA(MATCH(886,Engine!$C$2:$C$1199,0)),"",INDEX('Compliance Database'!$F$2:$F$1199,MATCH(886,Engine!$C$2:$C$1199,0)))</f>
        <v/>
      </c>
      <c r="G899" s="6" t="str">
        <f>IF(ISNA(MATCH(886,Engine!$C$2:$C$1199,0)),"",INDEX('Compliance Database'!$G$2:$G$1199,MATCH(886,Engine!$C$2:$C$1199,0)))</f>
        <v/>
      </c>
      <c r="H899" s="7" t="str">
        <f>IF(ISNA(MATCH(886,Engine!$C$2:$C$1199,0)),"",INDEX('Compliance Database'!$H$2:$H$1199,MATCH(886,Engine!$C$2:$C$1199,0)))</f>
        <v/>
      </c>
      <c r="I899" s="7" t="str">
        <f>IF(ISNA(MATCH(886,Engine!$C$2:$C$1199,0)),"",INDEX('Compliance Database'!$I$2:$I$1199,MATCH(886,Engine!$C$2:$C$1199,0)))</f>
        <v/>
      </c>
      <c r="J899" s="6" t="str">
        <f>IF(ISNA(MATCH(886,Engine!$C$2:$C$1199,0)),"",INDEX('Compliance Database'!$J$2:$J$1199,MATCH(886,Engine!$C$2:$C$1199,0)))</f>
        <v/>
      </c>
      <c r="K899" s="7" t="str">
        <f>IF(ISNA(MATCH(886,Engine!$C$2:$C$1199,0)),"",INDEX('Compliance Database'!$K$2:$K$1199,MATCH(886,Engine!$C$2:$C$1199,0)))</f>
        <v/>
      </c>
      <c r="L899" s="7" t="str">
        <f>IF(ISNA(MATCH(886,Engine!$C$2:$C$1199,0)),"",INDEX('Compliance Database'!$L$2:$L$1199,MATCH(886,Engine!$C$2:$C$1199,0)))</f>
        <v/>
      </c>
      <c r="M899" s="7" t="str">
        <f>IF(ISNA(MATCH(886,Engine!$C$2:$C$1199,0)),"",INDEX('Compliance Database'!$M$2:$M$1199,MATCH(886,Engine!$C$2:$C$1199,0)))</f>
        <v/>
      </c>
      <c r="N899" s="7" t="str">
        <f>IF(ISNA(MATCH(886,Engine!$C$2:$C$1199,0)),"",INDEX('Compliance Database'!$N$2:$N$1199,MATCH(886,Engine!$C$2:$C$1199,0)))</f>
        <v/>
      </c>
      <c r="O899" s="7" t="str">
        <f>IF(ISNA(MATCH(886,Engine!$C$2:$C$1199,0)),"",INDEX('Compliance Database'!$O$2:$O$1199,MATCH(886,Engine!$C$2:$C$1199,0)))</f>
        <v/>
      </c>
      <c r="P899" s="6" t="str">
        <f>IF(ISNA(MATCH(886,Engine!$C$2:$C$1199,0)),"",HYPERLINK("#Acts!A"&amp;INDEX('Compliance Database'!$P$2:$P$1199,MATCH(886,Engine!$C$2:$C$1199,0)),"Go to Act"))</f>
        <v/>
      </c>
    </row>
    <row r="900" spans="1:16" ht="172.95" customHeight="1" x14ac:dyDescent="0.3">
      <c r="A900" s="6" t="str">
        <f>IF(ISNA(MATCH(887,Engine!$C$2:$C$1199,0)),"",INDEX('Compliance Database'!$A$2:$A$1199,MATCH(887,Engine!$C$2:$C$1199,0)))</f>
        <v/>
      </c>
      <c r="B900" s="6" t="str">
        <f>IF(ISNA(MATCH(887,Engine!$C$2:$C$1199,0)),"",INDEX('Compliance Database'!$B$2:$B$1199,MATCH(887,Engine!$C$2:$C$1199,0)))</f>
        <v/>
      </c>
      <c r="C900" s="6" t="str">
        <f>IF(ISNA(MATCH(887,Engine!$C$2:$C$1199,0)),"",INDEX('Compliance Database'!$C$2:$C$1199,MATCH(887,Engine!$C$2:$C$1199,0)))</f>
        <v/>
      </c>
      <c r="D900" s="7" t="str">
        <f>IF(ISNA(MATCH(887,Engine!$C$2:$C$1199,0)),"",INDEX('Compliance Database'!$D$2:$D$1199,MATCH(887,Engine!$C$2:$C$1199,0)))</f>
        <v/>
      </c>
      <c r="E900" s="6" t="str">
        <f>IF(ISNA(MATCH(887,Engine!$C$2:$C$1199,0)),"",INDEX('Compliance Database'!$E$2:$E$1199,MATCH(887,Engine!$C$2:$C$1199,0)))</f>
        <v/>
      </c>
      <c r="F900" s="6" t="str">
        <f>IF(ISNA(MATCH(887,Engine!$C$2:$C$1199,0)),"",INDEX('Compliance Database'!$F$2:$F$1199,MATCH(887,Engine!$C$2:$C$1199,0)))</f>
        <v/>
      </c>
      <c r="G900" s="6" t="str">
        <f>IF(ISNA(MATCH(887,Engine!$C$2:$C$1199,0)),"",INDEX('Compliance Database'!$G$2:$G$1199,MATCH(887,Engine!$C$2:$C$1199,0)))</f>
        <v/>
      </c>
      <c r="H900" s="7" t="str">
        <f>IF(ISNA(MATCH(887,Engine!$C$2:$C$1199,0)),"",INDEX('Compliance Database'!$H$2:$H$1199,MATCH(887,Engine!$C$2:$C$1199,0)))</f>
        <v/>
      </c>
      <c r="I900" s="7" t="str">
        <f>IF(ISNA(MATCH(887,Engine!$C$2:$C$1199,0)),"",INDEX('Compliance Database'!$I$2:$I$1199,MATCH(887,Engine!$C$2:$C$1199,0)))</f>
        <v/>
      </c>
      <c r="J900" s="6" t="str">
        <f>IF(ISNA(MATCH(887,Engine!$C$2:$C$1199,0)),"",INDEX('Compliance Database'!$J$2:$J$1199,MATCH(887,Engine!$C$2:$C$1199,0)))</f>
        <v/>
      </c>
      <c r="K900" s="7" t="str">
        <f>IF(ISNA(MATCH(887,Engine!$C$2:$C$1199,0)),"",INDEX('Compliance Database'!$K$2:$K$1199,MATCH(887,Engine!$C$2:$C$1199,0)))</f>
        <v/>
      </c>
      <c r="L900" s="7" t="str">
        <f>IF(ISNA(MATCH(887,Engine!$C$2:$C$1199,0)),"",INDEX('Compliance Database'!$L$2:$L$1199,MATCH(887,Engine!$C$2:$C$1199,0)))</f>
        <v/>
      </c>
      <c r="M900" s="7" t="str">
        <f>IF(ISNA(MATCH(887,Engine!$C$2:$C$1199,0)),"",INDEX('Compliance Database'!$M$2:$M$1199,MATCH(887,Engine!$C$2:$C$1199,0)))</f>
        <v/>
      </c>
      <c r="N900" s="7" t="str">
        <f>IF(ISNA(MATCH(887,Engine!$C$2:$C$1199,0)),"",INDEX('Compliance Database'!$N$2:$N$1199,MATCH(887,Engine!$C$2:$C$1199,0)))</f>
        <v/>
      </c>
      <c r="O900" s="7" t="str">
        <f>IF(ISNA(MATCH(887,Engine!$C$2:$C$1199,0)),"",INDEX('Compliance Database'!$O$2:$O$1199,MATCH(887,Engine!$C$2:$C$1199,0)))</f>
        <v/>
      </c>
      <c r="P900" s="6" t="str">
        <f>IF(ISNA(MATCH(887,Engine!$C$2:$C$1199,0)),"",HYPERLINK("#Acts!A"&amp;INDEX('Compliance Database'!$P$2:$P$1199,MATCH(887,Engine!$C$2:$C$1199,0)),"Go to Act"))</f>
        <v/>
      </c>
    </row>
    <row r="901" spans="1:16" ht="172.95" customHeight="1" x14ac:dyDescent="0.3">
      <c r="A901" s="6" t="str">
        <f>IF(ISNA(MATCH(888,Engine!$C$2:$C$1199,0)),"",INDEX('Compliance Database'!$A$2:$A$1199,MATCH(888,Engine!$C$2:$C$1199,0)))</f>
        <v/>
      </c>
      <c r="B901" s="6" t="str">
        <f>IF(ISNA(MATCH(888,Engine!$C$2:$C$1199,0)),"",INDEX('Compliance Database'!$B$2:$B$1199,MATCH(888,Engine!$C$2:$C$1199,0)))</f>
        <v/>
      </c>
      <c r="C901" s="6" t="str">
        <f>IF(ISNA(MATCH(888,Engine!$C$2:$C$1199,0)),"",INDEX('Compliance Database'!$C$2:$C$1199,MATCH(888,Engine!$C$2:$C$1199,0)))</f>
        <v/>
      </c>
      <c r="D901" s="7" t="str">
        <f>IF(ISNA(MATCH(888,Engine!$C$2:$C$1199,0)),"",INDEX('Compliance Database'!$D$2:$D$1199,MATCH(888,Engine!$C$2:$C$1199,0)))</f>
        <v/>
      </c>
      <c r="E901" s="6" t="str">
        <f>IF(ISNA(MATCH(888,Engine!$C$2:$C$1199,0)),"",INDEX('Compliance Database'!$E$2:$E$1199,MATCH(888,Engine!$C$2:$C$1199,0)))</f>
        <v/>
      </c>
      <c r="F901" s="6" t="str">
        <f>IF(ISNA(MATCH(888,Engine!$C$2:$C$1199,0)),"",INDEX('Compliance Database'!$F$2:$F$1199,MATCH(888,Engine!$C$2:$C$1199,0)))</f>
        <v/>
      </c>
      <c r="G901" s="6" t="str">
        <f>IF(ISNA(MATCH(888,Engine!$C$2:$C$1199,0)),"",INDEX('Compliance Database'!$G$2:$G$1199,MATCH(888,Engine!$C$2:$C$1199,0)))</f>
        <v/>
      </c>
      <c r="H901" s="7" t="str">
        <f>IF(ISNA(MATCH(888,Engine!$C$2:$C$1199,0)),"",INDEX('Compliance Database'!$H$2:$H$1199,MATCH(888,Engine!$C$2:$C$1199,0)))</f>
        <v/>
      </c>
      <c r="I901" s="7" t="str">
        <f>IF(ISNA(MATCH(888,Engine!$C$2:$C$1199,0)),"",INDEX('Compliance Database'!$I$2:$I$1199,MATCH(888,Engine!$C$2:$C$1199,0)))</f>
        <v/>
      </c>
      <c r="J901" s="6" t="str">
        <f>IF(ISNA(MATCH(888,Engine!$C$2:$C$1199,0)),"",INDEX('Compliance Database'!$J$2:$J$1199,MATCH(888,Engine!$C$2:$C$1199,0)))</f>
        <v/>
      </c>
      <c r="K901" s="7" t="str">
        <f>IF(ISNA(MATCH(888,Engine!$C$2:$C$1199,0)),"",INDEX('Compliance Database'!$K$2:$K$1199,MATCH(888,Engine!$C$2:$C$1199,0)))</f>
        <v/>
      </c>
      <c r="L901" s="7" t="str">
        <f>IF(ISNA(MATCH(888,Engine!$C$2:$C$1199,0)),"",INDEX('Compliance Database'!$L$2:$L$1199,MATCH(888,Engine!$C$2:$C$1199,0)))</f>
        <v/>
      </c>
      <c r="M901" s="7" t="str">
        <f>IF(ISNA(MATCH(888,Engine!$C$2:$C$1199,0)),"",INDEX('Compliance Database'!$M$2:$M$1199,MATCH(888,Engine!$C$2:$C$1199,0)))</f>
        <v/>
      </c>
      <c r="N901" s="7" t="str">
        <f>IF(ISNA(MATCH(888,Engine!$C$2:$C$1199,0)),"",INDEX('Compliance Database'!$N$2:$N$1199,MATCH(888,Engine!$C$2:$C$1199,0)))</f>
        <v/>
      </c>
      <c r="O901" s="7" t="str">
        <f>IF(ISNA(MATCH(888,Engine!$C$2:$C$1199,0)),"",INDEX('Compliance Database'!$O$2:$O$1199,MATCH(888,Engine!$C$2:$C$1199,0)))</f>
        <v/>
      </c>
      <c r="P901" s="6" t="str">
        <f>IF(ISNA(MATCH(888,Engine!$C$2:$C$1199,0)),"",HYPERLINK("#Acts!A"&amp;INDEX('Compliance Database'!$P$2:$P$1199,MATCH(888,Engine!$C$2:$C$1199,0)),"Go to Act"))</f>
        <v/>
      </c>
    </row>
    <row r="902" spans="1:16" ht="172.95" customHeight="1" x14ac:dyDescent="0.3">
      <c r="A902" s="6" t="str">
        <f>IF(ISNA(MATCH(889,Engine!$C$2:$C$1199,0)),"",INDEX('Compliance Database'!$A$2:$A$1199,MATCH(889,Engine!$C$2:$C$1199,0)))</f>
        <v/>
      </c>
      <c r="B902" s="6" t="str">
        <f>IF(ISNA(MATCH(889,Engine!$C$2:$C$1199,0)),"",INDEX('Compliance Database'!$B$2:$B$1199,MATCH(889,Engine!$C$2:$C$1199,0)))</f>
        <v/>
      </c>
      <c r="C902" s="6" t="str">
        <f>IF(ISNA(MATCH(889,Engine!$C$2:$C$1199,0)),"",INDEX('Compliance Database'!$C$2:$C$1199,MATCH(889,Engine!$C$2:$C$1199,0)))</f>
        <v/>
      </c>
      <c r="D902" s="7" t="str">
        <f>IF(ISNA(MATCH(889,Engine!$C$2:$C$1199,0)),"",INDEX('Compliance Database'!$D$2:$D$1199,MATCH(889,Engine!$C$2:$C$1199,0)))</f>
        <v/>
      </c>
      <c r="E902" s="6" t="str">
        <f>IF(ISNA(MATCH(889,Engine!$C$2:$C$1199,0)),"",INDEX('Compliance Database'!$E$2:$E$1199,MATCH(889,Engine!$C$2:$C$1199,0)))</f>
        <v/>
      </c>
      <c r="F902" s="6" t="str">
        <f>IF(ISNA(MATCH(889,Engine!$C$2:$C$1199,0)),"",INDEX('Compliance Database'!$F$2:$F$1199,MATCH(889,Engine!$C$2:$C$1199,0)))</f>
        <v/>
      </c>
      <c r="G902" s="6" t="str">
        <f>IF(ISNA(MATCH(889,Engine!$C$2:$C$1199,0)),"",INDEX('Compliance Database'!$G$2:$G$1199,MATCH(889,Engine!$C$2:$C$1199,0)))</f>
        <v/>
      </c>
      <c r="H902" s="7" t="str">
        <f>IF(ISNA(MATCH(889,Engine!$C$2:$C$1199,0)),"",INDEX('Compliance Database'!$H$2:$H$1199,MATCH(889,Engine!$C$2:$C$1199,0)))</f>
        <v/>
      </c>
      <c r="I902" s="7" t="str">
        <f>IF(ISNA(MATCH(889,Engine!$C$2:$C$1199,0)),"",INDEX('Compliance Database'!$I$2:$I$1199,MATCH(889,Engine!$C$2:$C$1199,0)))</f>
        <v/>
      </c>
      <c r="J902" s="6" t="str">
        <f>IF(ISNA(MATCH(889,Engine!$C$2:$C$1199,0)),"",INDEX('Compliance Database'!$J$2:$J$1199,MATCH(889,Engine!$C$2:$C$1199,0)))</f>
        <v/>
      </c>
      <c r="K902" s="7" t="str">
        <f>IF(ISNA(MATCH(889,Engine!$C$2:$C$1199,0)),"",INDEX('Compliance Database'!$K$2:$K$1199,MATCH(889,Engine!$C$2:$C$1199,0)))</f>
        <v/>
      </c>
      <c r="L902" s="7" t="str">
        <f>IF(ISNA(MATCH(889,Engine!$C$2:$C$1199,0)),"",INDEX('Compliance Database'!$L$2:$L$1199,MATCH(889,Engine!$C$2:$C$1199,0)))</f>
        <v/>
      </c>
      <c r="M902" s="7" t="str">
        <f>IF(ISNA(MATCH(889,Engine!$C$2:$C$1199,0)),"",INDEX('Compliance Database'!$M$2:$M$1199,MATCH(889,Engine!$C$2:$C$1199,0)))</f>
        <v/>
      </c>
      <c r="N902" s="7" t="str">
        <f>IF(ISNA(MATCH(889,Engine!$C$2:$C$1199,0)),"",INDEX('Compliance Database'!$N$2:$N$1199,MATCH(889,Engine!$C$2:$C$1199,0)))</f>
        <v/>
      </c>
      <c r="O902" s="7" t="str">
        <f>IF(ISNA(MATCH(889,Engine!$C$2:$C$1199,0)),"",INDEX('Compliance Database'!$O$2:$O$1199,MATCH(889,Engine!$C$2:$C$1199,0)))</f>
        <v/>
      </c>
      <c r="P902" s="6" t="str">
        <f>IF(ISNA(MATCH(889,Engine!$C$2:$C$1199,0)),"",HYPERLINK("#Acts!A"&amp;INDEX('Compliance Database'!$P$2:$P$1199,MATCH(889,Engine!$C$2:$C$1199,0)),"Go to Act"))</f>
        <v/>
      </c>
    </row>
    <row r="903" spans="1:16" ht="172.95" customHeight="1" x14ac:dyDescent="0.3">
      <c r="A903" s="6" t="str">
        <f>IF(ISNA(MATCH(890,Engine!$C$2:$C$1199,0)),"",INDEX('Compliance Database'!$A$2:$A$1199,MATCH(890,Engine!$C$2:$C$1199,0)))</f>
        <v/>
      </c>
      <c r="B903" s="6" t="str">
        <f>IF(ISNA(MATCH(890,Engine!$C$2:$C$1199,0)),"",INDEX('Compliance Database'!$B$2:$B$1199,MATCH(890,Engine!$C$2:$C$1199,0)))</f>
        <v/>
      </c>
      <c r="C903" s="6" t="str">
        <f>IF(ISNA(MATCH(890,Engine!$C$2:$C$1199,0)),"",INDEX('Compliance Database'!$C$2:$C$1199,MATCH(890,Engine!$C$2:$C$1199,0)))</f>
        <v/>
      </c>
      <c r="D903" s="7" t="str">
        <f>IF(ISNA(MATCH(890,Engine!$C$2:$C$1199,0)),"",INDEX('Compliance Database'!$D$2:$D$1199,MATCH(890,Engine!$C$2:$C$1199,0)))</f>
        <v/>
      </c>
      <c r="E903" s="6" t="str">
        <f>IF(ISNA(MATCH(890,Engine!$C$2:$C$1199,0)),"",INDEX('Compliance Database'!$E$2:$E$1199,MATCH(890,Engine!$C$2:$C$1199,0)))</f>
        <v/>
      </c>
      <c r="F903" s="6" t="str">
        <f>IF(ISNA(MATCH(890,Engine!$C$2:$C$1199,0)),"",INDEX('Compliance Database'!$F$2:$F$1199,MATCH(890,Engine!$C$2:$C$1199,0)))</f>
        <v/>
      </c>
      <c r="G903" s="6" t="str">
        <f>IF(ISNA(MATCH(890,Engine!$C$2:$C$1199,0)),"",INDEX('Compliance Database'!$G$2:$G$1199,MATCH(890,Engine!$C$2:$C$1199,0)))</f>
        <v/>
      </c>
      <c r="H903" s="7" t="str">
        <f>IF(ISNA(MATCH(890,Engine!$C$2:$C$1199,0)),"",INDEX('Compliance Database'!$H$2:$H$1199,MATCH(890,Engine!$C$2:$C$1199,0)))</f>
        <v/>
      </c>
      <c r="I903" s="7" t="str">
        <f>IF(ISNA(MATCH(890,Engine!$C$2:$C$1199,0)),"",INDEX('Compliance Database'!$I$2:$I$1199,MATCH(890,Engine!$C$2:$C$1199,0)))</f>
        <v/>
      </c>
      <c r="J903" s="6" t="str">
        <f>IF(ISNA(MATCH(890,Engine!$C$2:$C$1199,0)),"",INDEX('Compliance Database'!$J$2:$J$1199,MATCH(890,Engine!$C$2:$C$1199,0)))</f>
        <v/>
      </c>
      <c r="K903" s="7" t="str">
        <f>IF(ISNA(MATCH(890,Engine!$C$2:$C$1199,0)),"",INDEX('Compliance Database'!$K$2:$K$1199,MATCH(890,Engine!$C$2:$C$1199,0)))</f>
        <v/>
      </c>
      <c r="L903" s="7" t="str">
        <f>IF(ISNA(MATCH(890,Engine!$C$2:$C$1199,0)),"",INDEX('Compliance Database'!$L$2:$L$1199,MATCH(890,Engine!$C$2:$C$1199,0)))</f>
        <v/>
      </c>
      <c r="M903" s="7" t="str">
        <f>IF(ISNA(MATCH(890,Engine!$C$2:$C$1199,0)),"",INDEX('Compliance Database'!$M$2:$M$1199,MATCH(890,Engine!$C$2:$C$1199,0)))</f>
        <v/>
      </c>
      <c r="N903" s="7" t="str">
        <f>IF(ISNA(MATCH(890,Engine!$C$2:$C$1199,0)),"",INDEX('Compliance Database'!$N$2:$N$1199,MATCH(890,Engine!$C$2:$C$1199,0)))</f>
        <v/>
      </c>
      <c r="O903" s="7" t="str">
        <f>IF(ISNA(MATCH(890,Engine!$C$2:$C$1199,0)),"",INDEX('Compliance Database'!$O$2:$O$1199,MATCH(890,Engine!$C$2:$C$1199,0)))</f>
        <v/>
      </c>
      <c r="P903" s="6" t="str">
        <f>IF(ISNA(MATCH(890,Engine!$C$2:$C$1199,0)),"",HYPERLINK("#Acts!A"&amp;INDEX('Compliance Database'!$P$2:$P$1199,MATCH(890,Engine!$C$2:$C$1199,0)),"Go to Act"))</f>
        <v/>
      </c>
    </row>
    <row r="904" spans="1:16" ht="172.95" customHeight="1" x14ac:dyDescent="0.3">
      <c r="A904" s="6" t="str">
        <f>IF(ISNA(MATCH(891,Engine!$C$2:$C$1199,0)),"",INDEX('Compliance Database'!$A$2:$A$1199,MATCH(891,Engine!$C$2:$C$1199,0)))</f>
        <v/>
      </c>
      <c r="B904" s="6" t="str">
        <f>IF(ISNA(MATCH(891,Engine!$C$2:$C$1199,0)),"",INDEX('Compliance Database'!$B$2:$B$1199,MATCH(891,Engine!$C$2:$C$1199,0)))</f>
        <v/>
      </c>
      <c r="C904" s="6" t="str">
        <f>IF(ISNA(MATCH(891,Engine!$C$2:$C$1199,0)),"",INDEX('Compliance Database'!$C$2:$C$1199,MATCH(891,Engine!$C$2:$C$1199,0)))</f>
        <v/>
      </c>
      <c r="D904" s="7" t="str">
        <f>IF(ISNA(MATCH(891,Engine!$C$2:$C$1199,0)),"",INDEX('Compliance Database'!$D$2:$D$1199,MATCH(891,Engine!$C$2:$C$1199,0)))</f>
        <v/>
      </c>
      <c r="E904" s="6" t="str">
        <f>IF(ISNA(MATCH(891,Engine!$C$2:$C$1199,0)),"",INDEX('Compliance Database'!$E$2:$E$1199,MATCH(891,Engine!$C$2:$C$1199,0)))</f>
        <v/>
      </c>
      <c r="F904" s="6" t="str">
        <f>IF(ISNA(MATCH(891,Engine!$C$2:$C$1199,0)),"",INDEX('Compliance Database'!$F$2:$F$1199,MATCH(891,Engine!$C$2:$C$1199,0)))</f>
        <v/>
      </c>
      <c r="G904" s="6" t="str">
        <f>IF(ISNA(MATCH(891,Engine!$C$2:$C$1199,0)),"",INDEX('Compliance Database'!$G$2:$G$1199,MATCH(891,Engine!$C$2:$C$1199,0)))</f>
        <v/>
      </c>
      <c r="H904" s="7" t="str">
        <f>IF(ISNA(MATCH(891,Engine!$C$2:$C$1199,0)),"",INDEX('Compliance Database'!$H$2:$H$1199,MATCH(891,Engine!$C$2:$C$1199,0)))</f>
        <v/>
      </c>
      <c r="I904" s="7" t="str">
        <f>IF(ISNA(MATCH(891,Engine!$C$2:$C$1199,0)),"",INDEX('Compliance Database'!$I$2:$I$1199,MATCH(891,Engine!$C$2:$C$1199,0)))</f>
        <v/>
      </c>
      <c r="J904" s="6" t="str">
        <f>IF(ISNA(MATCH(891,Engine!$C$2:$C$1199,0)),"",INDEX('Compliance Database'!$J$2:$J$1199,MATCH(891,Engine!$C$2:$C$1199,0)))</f>
        <v/>
      </c>
      <c r="K904" s="7" t="str">
        <f>IF(ISNA(MATCH(891,Engine!$C$2:$C$1199,0)),"",INDEX('Compliance Database'!$K$2:$K$1199,MATCH(891,Engine!$C$2:$C$1199,0)))</f>
        <v/>
      </c>
      <c r="L904" s="7" t="str">
        <f>IF(ISNA(MATCH(891,Engine!$C$2:$C$1199,0)),"",INDEX('Compliance Database'!$L$2:$L$1199,MATCH(891,Engine!$C$2:$C$1199,0)))</f>
        <v/>
      </c>
      <c r="M904" s="7" t="str">
        <f>IF(ISNA(MATCH(891,Engine!$C$2:$C$1199,0)),"",INDEX('Compliance Database'!$M$2:$M$1199,MATCH(891,Engine!$C$2:$C$1199,0)))</f>
        <v/>
      </c>
      <c r="N904" s="7" t="str">
        <f>IF(ISNA(MATCH(891,Engine!$C$2:$C$1199,0)),"",INDEX('Compliance Database'!$N$2:$N$1199,MATCH(891,Engine!$C$2:$C$1199,0)))</f>
        <v/>
      </c>
      <c r="O904" s="7" t="str">
        <f>IF(ISNA(MATCH(891,Engine!$C$2:$C$1199,0)),"",INDEX('Compliance Database'!$O$2:$O$1199,MATCH(891,Engine!$C$2:$C$1199,0)))</f>
        <v/>
      </c>
      <c r="P904" s="6" t="str">
        <f>IF(ISNA(MATCH(891,Engine!$C$2:$C$1199,0)),"",HYPERLINK("#Acts!A"&amp;INDEX('Compliance Database'!$P$2:$P$1199,MATCH(891,Engine!$C$2:$C$1199,0)),"Go to Act"))</f>
        <v/>
      </c>
    </row>
    <row r="905" spans="1:16" ht="172.95" customHeight="1" x14ac:dyDescent="0.3">
      <c r="A905" s="6" t="str">
        <f>IF(ISNA(MATCH(892,Engine!$C$2:$C$1199,0)),"",INDEX('Compliance Database'!$A$2:$A$1199,MATCH(892,Engine!$C$2:$C$1199,0)))</f>
        <v/>
      </c>
      <c r="B905" s="6" t="str">
        <f>IF(ISNA(MATCH(892,Engine!$C$2:$C$1199,0)),"",INDEX('Compliance Database'!$B$2:$B$1199,MATCH(892,Engine!$C$2:$C$1199,0)))</f>
        <v/>
      </c>
      <c r="C905" s="6" t="str">
        <f>IF(ISNA(MATCH(892,Engine!$C$2:$C$1199,0)),"",INDEX('Compliance Database'!$C$2:$C$1199,MATCH(892,Engine!$C$2:$C$1199,0)))</f>
        <v/>
      </c>
      <c r="D905" s="7" t="str">
        <f>IF(ISNA(MATCH(892,Engine!$C$2:$C$1199,0)),"",INDEX('Compliance Database'!$D$2:$D$1199,MATCH(892,Engine!$C$2:$C$1199,0)))</f>
        <v/>
      </c>
      <c r="E905" s="6" t="str">
        <f>IF(ISNA(MATCH(892,Engine!$C$2:$C$1199,0)),"",INDEX('Compliance Database'!$E$2:$E$1199,MATCH(892,Engine!$C$2:$C$1199,0)))</f>
        <v/>
      </c>
      <c r="F905" s="6" t="str">
        <f>IF(ISNA(MATCH(892,Engine!$C$2:$C$1199,0)),"",INDEX('Compliance Database'!$F$2:$F$1199,MATCH(892,Engine!$C$2:$C$1199,0)))</f>
        <v/>
      </c>
      <c r="G905" s="6" t="str">
        <f>IF(ISNA(MATCH(892,Engine!$C$2:$C$1199,0)),"",INDEX('Compliance Database'!$G$2:$G$1199,MATCH(892,Engine!$C$2:$C$1199,0)))</f>
        <v/>
      </c>
      <c r="H905" s="7" t="str">
        <f>IF(ISNA(MATCH(892,Engine!$C$2:$C$1199,0)),"",INDEX('Compliance Database'!$H$2:$H$1199,MATCH(892,Engine!$C$2:$C$1199,0)))</f>
        <v/>
      </c>
      <c r="I905" s="7" t="str">
        <f>IF(ISNA(MATCH(892,Engine!$C$2:$C$1199,0)),"",INDEX('Compliance Database'!$I$2:$I$1199,MATCH(892,Engine!$C$2:$C$1199,0)))</f>
        <v/>
      </c>
      <c r="J905" s="6" t="str">
        <f>IF(ISNA(MATCH(892,Engine!$C$2:$C$1199,0)),"",INDEX('Compliance Database'!$J$2:$J$1199,MATCH(892,Engine!$C$2:$C$1199,0)))</f>
        <v/>
      </c>
      <c r="K905" s="7" t="str">
        <f>IF(ISNA(MATCH(892,Engine!$C$2:$C$1199,0)),"",INDEX('Compliance Database'!$K$2:$K$1199,MATCH(892,Engine!$C$2:$C$1199,0)))</f>
        <v/>
      </c>
      <c r="L905" s="7" t="str">
        <f>IF(ISNA(MATCH(892,Engine!$C$2:$C$1199,0)),"",INDEX('Compliance Database'!$L$2:$L$1199,MATCH(892,Engine!$C$2:$C$1199,0)))</f>
        <v/>
      </c>
      <c r="M905" s="7" t="str">
        <f>IF(ISNA(MATCH(892,Engine!$C$2:$C$1199,0)),"",INDEX('Compliance Database'!$M$2:$M$1199,MATCH(892,Engine!$C$2:$C$1199,0)))</f>
        <v/>
      </c>
      <c r="N905" s="7" t="str">
        <f>IF(ISNA(MATCH(892,Engine!$C$2:$C$1199,0)),"",INDEX('Compliance Database'!$N$2:$N$1199,MATCH(892,Engine!$C$2:$C$1199,0)))</f>
        <v/>
      </c>
      <c r="O905" s="7" t="str">
        <f>IF(ISNA(MATCH(892,Engine!$C$2:$C$1199,0)),"",INDEX('Compliance Database'!$O$2:$O$1199,MATCH(892,Engine!$C$2:$C$1199,0)))</f>
        <v/>
      </c>
      <c r="P905" s="6" t="str">
        <f>IF(ISNA(MATCH(892,Engine!$C$2:$C$1199,0)),"",HYPERLINK("#Acts!A"&amp;INDEX('Compliance Database'!$P$2:$P$1199,MATCH(892,Engine!$C$2:$C$1199,0)),"Go to Act"))</f>
        <v/>
      </c>
    </row>
    <row r="906" spans="1:16" ht="172.95" customHeight="1" x14ac:dyDescent="0.3">
      <c r="A906" s="6" t="str">
        <f>IF(ISNA(MATCH(893,Engine!$C$2:$C$1199,0)),"",INDEX('Compliance Database'!$A$2:$A$1199,MATCH(893,Engine!$C$2:$C$1199,0)))</f>
        <v/>
      </c>
      <c r="B906" s="6" t="str">
        <f>IF(ISNA(MATCH(893,Engine!$C$2:$C$1199,0)),"",INDEX('Compliance Database'!$B$2:$B$1199,MATCH(893,Engine!$C$2:$C$1199,0)))</f>
        <v/>
      </c>
      <c r="C906" s="6" t="str">
        <f>IF(ISNA(MATCH(893,Engine!$C$2:$C$1199,0)),"",INDEX('Compliance Database'!$C$2:$C$1199,MATCH(893,Engine!$C$2:$C$1199,0)))</f>
        <v/>
      </c>
      <c r="D906" s="7" t="str">
        <f>IF(ISNA(MATCH(893,Engine!$C$2:$C$1199,0)),"",INDEX('Compliance Database'!$D$2:$D$1199,MATCH(893,Engine!$C$2:$C$1199,0)))</f>
        <v/>
      </c>
      <c r="E906" s="6" t="str">
        <f>IF(ISNA(MATCH(893,Engine!$C$2:$C$1199,0)),"",INDEX('Compliance Database'!$E$2:$E$1199,MATCH(893,Engine!$C$2:$C$1199,0)))</f>
        <v/>
      </c>
      <c r="F906" s="6" t="str">
        <f>IF(ISNA(MATCH(893,Engine!$C$2:$C$1199,0)),"",INDEX('Compliance Database'!$F$2:$F$1199,MATCH(893,Engine!$C$2:$C$1199,0)))</f>
        <v/>
      </c>
      <c r="G906" s="6" t="str">
        <f>IF(ISNA(MATCH(893,Engine!$C$2:$C$1199,0)),"",INDEX('Compliance Database'!$G$2:$G$1199,MATCH(893,Engine!$C$2:$C$1199,0)))</f>
        <v/>
      </c>
      <c r="H906" s="7" t="str">
        <f>IF(ISNA(MATCH(893,Engine!$C$2:$C$1199,0)),"",INDEX('Compliance Database'!$H$2:$H$1199,MATCH(893,Engine!$C$2:$C$1199,0)))</f>
        <v/>
      </c>
      <c r="I906" s="7" t="str">
        <f>IF(ISNA(MATCH(893,Engine!$C$2:$C$1199,0)),"",INDEX('Compliance Database'!$I$2:$I$1199,MATCH(893,Engine!$C$2:$C$1199,0)))</f>
        <v/>
      </c>
      <c r="J906" s="6" t="str">
        <f>IF(ISNA(MATCH(893,Engine!$C$2:$C$1199,0)),"",INDEX('Compliance Database'!$J$2:$J$1199,MATCH(893,Engine!$C$2:$C$1199,0)))</f>
        <v/>
      </c>
      <c r="K906" s="7" t="str">
        <f>IF(ISNA(MATCH(893,Engine!$C$2:$C$1199,0)),"",INDEX('Compliance Database'!$K$2:$K$1199,MATCH(893,Engine!$C$2:$C$1199,0)))</f>
        <v/>
      </c>
      <c r="L906" s="7" t="str">
        <f>IF(ISNA(MATCH(893,Engine!$C$2:$C$1199,0)),"",INDEX('Compliance Database'!$L$2:$L$1199,MATCH(893,Engine!$C$2:$C$1199,0)))</f>
        <v/>
      </c>
      <c r="M906" s="7" t="str">
        <f>IF(ISNA(MATCH(893,Engine!$C$2:$C$1199,0)),"",INDEX('Compliance Database'!$M$2:$M$1199,MATCH(893,Engine!$C$2:$C$1199,0)))</f>
        <v/>
      </c>
      <c r="N906" s="7" t="str">
        <f>IF(ISNA(MATCH(893,Engine!$C$2:$C$1199,0)),"",INDEX('Compliance Database'!$N$2:$N$1199,MATCH(893,Engine!$C$2:$C$1199,0)))</f>
        <v/>
      </c>
      <c r="O906" s="7" t="str">
        <f>IF(ISNA(MATCH(893,Engine!$C$2:$C$1199,0)),"",INDEX('Compliance Database'!$O$2:$O$1199,MATCH(893,Engine!$C$2:$C$1199,0)))</f>
        <v/>
      </c>
      <c r="P906" s="6" t="str">
        <f>IF(ISNA(MATCH(893,Engine!$C$2:$C$1199,0)),"",HYPERLINK("#Acts!A"&amp;INDEX('Compliance Database'!$P$2:$P$1199,MATCH(893,Engine!$C$2:$C$1199,0)),"Go to Act"))</f>
        <v/>
      </c>
    </row>
    <row r="907" spans="1:16" ht="172.95" customHeight="1" x14ac:dyDescent="0.3">
      <c r="A907" s="6" t="str">
        <f>IF(ISNA(MATCH(894,Engine!$C$2:$C$1199,0)),"",INDEX('Compliance Database'!$A$2:$A$1199,MATCH(894,Engine!$C$2:$C$1199,0)))</f>
        <v/>
      </c>
      <c r="B907" s="6" t="str">
        <f>IF(ISNA(MATCH(894,Engine!$C$2:$C$1199,0)),"",INDEX('Compliance Database'!$B$2:$B$1199,MATCH(894,Engine!$C$2:$C$1199,0)))</f>
        <v/>
      </c>
      <c r="C907" s="6" t="str">
        <f>IF(ISNA(MATCH(894,Engine!$C$2:$C$1199,0)),"",INDEX('Compliance Database'!$C$2:$C$1199,MATCH(894,Engine!$C$2:$C$1199,0)))</f>
        <v/>
      </c>
      <c r="D907" s="7" t="str">
        <f>IF(ISNA(MATCH(894,Engine!$C$2:$C$1199,0)),"",INDEX('Compliance Database'!$D$2:$D$1199,MATCH(894,Engine!$C$2:$C$1199,0)))</f>
        <v/>
      </c>
      <c r="E907" s="6" t="str">
        <f>IF(ISNA(MATCH(894,Engine!$C$2:$C$1199,0)),"",INDEX('Compliance Database'!$E$2:$E$1199,MATCH(894,Engine!$C$2:$C$1199,0)))</f>
        <v/>
      </c>
      <c r="F907" s="6" t="str">
        <f>IF(ISNA(MATCH(894,Engine!$C$2:$C$1199,0)),"",INDEX('Compliance Database'!$F$2:$F$1199,MATCH(894,Engine!$C$2:$C$1199,0)))</f>
        <v/>
      </c>
      <c r="G907" s="6" t="str">
        <f>IF(ISNA(MATCH(894,Engine!$C$2:$C$1199,0)),"",INDEX('Compliance Database'!$G$2:$G$1199,MATCH(894,Engine!$C$2:$C$1199,0)))</f>
        <v/>
      </c>
      <c r="H907" s="7" t="str">
        <f>IF(ISNA(MATCH(894,Engine!$C$2:$C$1199,0)),"",INDEX('Compliance Database'!$H$2:$H$1199,MATCH(894,Engine!$C$2:$C$1199,0)))</f>
        <v/>
      </c>
      <c r="I907" s="7" t="str">
        <f>IF(ISNA(MATCH(894,Engine!$C$2:$C$1199,0)),"",INDEX('Compliance Database'!$I$2:$I$1199,MATCH(894,Engine!$C$2:$C$1199,0)))</f>
        <v/>
      </c>
      <c r="J907" s="6" t="str">
        <f>IF(ISNA(MATCH(894,Engine!$C$2:$C$1199,0)),"",INDEX('Compliance Database'!$J$2:$J$1199,MATCH(894,Engine!$C$2:$C$1199,0)))</f>
        <v/>
      </c>
      <c r="K907" s="7" t="str">
        <f>IF(ISNA(MATCH(894,Engine!$C$2:$C$1199,0)),"",INDEX('Compliance Database'!$K$2:$K$1199,MATCH(894,Engine!$C$2:$C$1199,0)))</f>
        <v/>
      </c>
      <c r="L907" s="7" t="str">
        <f>IF(ISNA(MATCH(894,Engine!$C$2:$C$1199,0)),"",INDEX('Compliance Database'!$L$2:$L$1199,MATCH(894,Engine!$C$2:$C$1199,0)))</f>
        <v/>
      </c>
      <c r="M907" s="7" t="str">
        <f>IF(ISNA(MATCH(894,Engine!$C$2:$C$1199,0)),"",INDEX('Compliance Database'!$M$2:$M$1199,MATCH(894,Engine!$C$2:$C$1199,0)))</f>
        <v/>
      </c>
      <c r="N907" s="7" t="str">
        <f>IF(ISNA(MATCH(894,Engine!$C$2:$C$1199,0)),"",INDEX('Compliance Database'!$N$2:$N$1199,MATCH(894,Engine!$C$2:$C$1199,0)))</f>
        <v/>
      </c>
      <c r="O907" s="7" t="str">
        <f>IF(ISNA(MATCH(894,Engine!$C$2:$C$1199,0)),"",INDEX('Compliance Database'!$O$2:$O$1199,MATCH(894,Engine!$C$2:$C$1199,0)))</f>
        <v/>
      </c>
      <c r="P907" s="6" t="str">
        <f>IF(ISNA(MATCH(894,Engine!$C$2:$C$1199,0)),"",HYPERLINK("#Acts!A"&amp;INDEX('Compliance Database'!$P$2:$P$1199,MATCH(894,Engine!$C$2:$C$1199,0)),"Go to Act"))</f>
        <v/>
      </c>
    </row>
    <row r="908" spans="1:16" ht="172.95" customHeight="1" x14ac:dyDescent="0.3">
      <c r="A908" s="6" t="str">
        <f>IF(ISNA(MATCH(895,Engine!$C$2:$C$1199,0)),"",INDEX('Compliance Database'!$A$2:$A$1199,MATCH(895,Engine!$C$2:$C$1199,0)))</f>
        <v/>
      </c>
      <c r="B908" s="6" t="str">
        <f>IF(ISNA(MATCH(895,Engine!$C$2:$C$1199,0)),"",INDEX('Compliance Database'!$B$2:$B$1199,MATCH(895,Engine!$C$2:$C$1199,0)))</f>
        <v/>
      </c>
      <c r="C908" s="6" t="str">
        <f>IF(ISNA(MATCH(895,Engine!$C$2:$C$1199,0)),"",INDEX('Compliance Database'!$C$2:$C$1199,MATCH(895,Engine!$C$2:$C$1199,0)))</f>
        <v/>
      </c>
      <c r="D908" s="7" t="str">
        <f>IF(ISNA(MATCH(895,Engine!$C$2:$C$1199,0)),"",INDEX('Compliance Database'!$D$2:$D$1199,MATCH(895,Engine!$C$2:$C$1199,0)))</f>
        <v/>
      </c>
      <c r="E908" s="6" t="str">
        <f>IF(ISNA(MATCH(895,Engine!$C$2:$C$1199,0)),"",INDEX('Compliance Database'!$E$2:$E$1199,MATCH(895,Engine!$C$2:$C$1199,0)))</f>
        <v/>
      </c>
      <c r="F908" s="6" t="str">
        <f>IF(ISNA(MATCH(895,Engine!$C$2:$C$1199,0)),"",INDEX('Compliance Database'!$F$2:$F$1199,MATCH(895,Engine!$C$2:$C$1199,0)))</f>
        <v/>
      </c>
      <c r="G908" s="6" t="str">
        <f>IF(ISNA(MATCH(895,Engine!$C$2:$C$1199,0)),"",INDEX('Compliance Database'!$G$2:$G$1199,MATCH(895,Engine!$C$2:$C$1199,0)))</f>
        <v/>
      </c>
      <c r="H908" s="7" t="str">
        <f>IF(ISNA(MATCH(895,Engine!$C$2:$C$1199,0)),"",INDEX('Compliance Database'!$H$2:$H$1199,MATCH(895,Engine!$C$2:$C$1199,0)))</f>
        <v/>
      </c>
      <c r="I908" s="7" t="str">
        <f>IF(ISNA(MATCH(895,Engine!$C$2:$C$1199,0)),"",INDEX('Compliance Database'!$I$2:$I$1199,MATCH(895,Engine!$C$2:$C$1199,0)))</f>
        <v/>
      </c>
      <c r="J908" s="6" t="str">
        <f>IF(ISNA(MATCH(895,Engine!$C$2:$C$1199,0)),"",INDEX('Compliance Database'!$J$2:$J$1199,MATCH(895,Engine!$C$2:$C$1199,0)))</f>
        <v/>
      </c>
      <c r="K908" s="7" t="str">
        <f>IF(ISNA(MATCH(895,Engine!$C$2:$C$1199,0)),"",INDEX('Compliance Database'!$K$2:$K$1199,MATCH(895,Engine!$C$2:$C$1199,0)))</f>
        <v/>
      </c>
      <c r="L908" s="7" t="str">
        <f>IF(ISNA(MATCH(895,Engine!$C$2:$C$1199,0)),"",INDEX('Compliance Database'!$L$2:$L$1199,MATCH(895,Engine!$C$2:$C$1199,0)))</f>
        <v/>
      </c>
      <c r="M908" s="7" t="str">
        <f>IF(ISNA(MATCH(895,Engine!$C$2:$C$1199,0)),"",INDEX('Compliance Database'!$M$2:$M$1199,MATCH(895,Engine!$C$2:$C$1199,0)))</f>
        <v/>
      </c>
      <c r="N908" s="7" t="str">
        <f>IF(ISNA(MATCH(895,Engine!$C$2:$C$1199,0)),"",INDEX('Compliance Database'!$N$2:$N$1199,MATCH(895,Engine!$C$2:$C$1199,0)))</f>
        <v/>
      </c>
      <c r="O908" s="7" t="str">
        <f>IF(ISNA(MATCH(895,Engine!$C$2:$C$1199,0)),"",INDEX('Compliance Database'!$O$2:$O$1199,MATCH(895,Engine!$C$2:$C$1199,0)))</f>
        <v/>
      </c>
      <c r="P908" s="6" t="str">
        <f>IF(ISNA(MATCH(895,Engine!$C$2:$C$1199,0)),"",HYPERLINK("#Acts!A"&amp;INDEX('Compliance Database'!$P$2:$P$1199,MATCH(895,Engine!$C$2:$C$1199,0)),"Go to Act"))</f>
        <v/>
      </c>
    </row>
    <row r="909" spans="1:16" ht="172.95" customHeight="1" x14ac:dyDescent="0.3">
      <c r="A909" s="6" t="str">
        <f>IF(ISNA(MATCH(896,Engine!$C$2:$C$1199,0)),"",INDEX('Compliance Database'!$A$2:$A$1199,MATCH(896,Engine!$C$2:$C$1199,0)))</f>
        <v/>
      </c>
      <c r="B909" s="6" t="str">
        <f>IF(ISNA(MATCH(896,Engine!$C$2:$C$1199,0)),"",INDEX('Compliance Database'!$B$2:$B$1199,MATCH(896,Engine!$C$2:$C$1199,0)))</f>
        <v/>
      </c>
      <c r="C909" s="6" t="str">
        <f>IF(ISNA(MATCH(896,Engine!$C$2:$C$1199,0)),"",INDEX('Compliance Database'!$C$2:$C$1199,MATCH(896,Engine!$C$2:$C$1199,0)))</f>
        <v/>
      </c>
      <c r="D909" s="7" t="str">
        <f>IF(ISNA(MATCH(896,Engine!$C$2:$C$1199,0)),"",INDEX('Compliance Database'!$D$2:$D$1199,MATCH(896,Engine!$C$2:$C$1199,0)))</f>
        <v/>
      </c>
      <c r="E909" s="6" t="str">
        <f>IF(ISNA(MATCH(896,Engine!$C$2:$C$1199,0)),"",INDEX('Compliance Database'!$E$2:$E$1199,MATCH(896,Engine!$C$2:$C$1199,0)))</f>
        <v/>
      </c>
      <c r="F909" s="6" t="str">
        <f>IF(ISNA(MATCH(896,Engine!$C$2:$C$1199,0)),"",INDEX('Compliance Database'!$F$2:$F$1199,MATCH(896,Engine!$C$2:$C$1199,0)))</f>
        <v/>
      </c>
      <c r="G909" s="6" t="str">
        <f>IF(ISNA(MATCH(896,Engine!$C$2:$C$1199,0)),"",INDEX('Compliance Database'!$G$2:$G$1199,MATCH(896,Engine!$C$2:$C$1199,0)))</f>
        <v/>
      </c>
      <c r="H909" s="7" t="str">
        <f>IF(ISNA(MATCH(896,Engine!$C$2:$C$1199,0)),"",INDEX('Compliance Database'!$H$2:$H$1199,MATCH(896,Engine!$C$2:$C$1199,0)))</f>
        <v/>
      </c>
      <c r="I909" s="7" t="str">
        <f>IF(ISNA(MATCH(896,Engine!$C$2:$C$1199,0)),"",INDEX('Compliance Database'!$I$2:$I$1199,MATCH(896,Engine!$C$2:$C$1199,0)))</f>
        <v/>
      </c>
      <c r="J909" s="6" t="str">
        <f>IF(ISNA(MATCH(896,Engine!$C$2:$C$1199,0)),"",INDEX('Compliance Database'!$J$2:$J$1199,MATCH(896,Engine!$C$2:$C$1199,0)))</f>
        <v/>
      </c>
      <c r="K909" s="7" t="str">
        <f>IF(ISNA(MATCH(896,Engine!$C$2:$C$1199,0)),"",INDEX('Compliance Database'!$K$2:$K$1199,MATCH(896,Engine!$C$2:$C$1199,0)))</f>
        <v/>
      </c>
      <c r="L909" s="7" t="str">
        <f>IF(ISNA(MATCH(896,Engine!$C$2:$C$1199,0)),"",INDEX('Compliance Database'!$L$2:$L$1199,MATCH(896,Engine!$C$2:$C$1199,0)))</f>
        <v/>
      </c>
      <c r="M909" s="7" t="str">
        <f>IF(ISNA(MATCH(896,Engine!$C$2:$C$1199,0)),"",INDEX('Compliance Database'!$M$2:$M$1199,MATCH(896,Engine!$C$2:$C$1199,0)))</f>
        <v/>
      </c>
      <c r="N909" s="7" t="str">
        <f>IF(ISNA(MATCH(896,Engine!$C$2:$C$1199,0)),"",INDEX('Compliance Database'!$N$2:$N$1199,MATCH(896,Engine!$C$2:$C$1199,0)))</f>
        <v/>
      </c>
      <c r="O909" s="7" t="str">
        <f>IF(ISNA(MATCH(896,Engine!$C$2:$C$1199,0)),"",INDEX('Compliance Database'!$O$2:$O$1199,MATCH(896,Engine!$C$2:$C$1199,0)))</f>
        <v/>
      </c>
      <c r="P909" s="6" t="str">
        <f>IF(ISNA(MATCH(896,Engine!$C$2:$C$1199,0)),"",HYPERLINK("#Acts!A"&amp;INDEX('Compliance Database'!$P$2:$P$1199,MATCH(896,Engine!$C$2:$C$1199,0)),"Go to Act"))</f>
        <v/>
      </c>
    </row>
    <row r="910" spans="1:16" ht="172.95" customHeight="1" x14ac:dyDescent="0.3">
      <c r="A910" s="6" t="str">
        <f>IF(ISNA(MATCH(897,Engine!$C$2:$C$1199,0)),"",INDEX('Compliance Database'!$A$2:$A$1199,MATCH(897,Engine!$C$2:$C$1199,0)))</f>
        <v/>
      </c>
      <c r="B910" s="6" t="str">
        <f>IF(ISNA(MATCH(897,Engine!$C$2:$C$1199,0)),"",INDEX('Compliance Database'!$B$2:$B$1199,MATCH(897,Engine!$C$2:$C$1199,0)))</f>
        <v/>
      </c>
      <c r="C910" s="6" t="str">
        <f>IF(ISNA(MATCH(897,Engine!$C$2:$C$1199,0)),"",INDEX('Compliance Database'!$C$2:$C$1199,MATCH(897,Engine!$C$2:$C$1199,0)))</f>
        <v/>
      </c>
      <c r="D910" s="7" t="str">
        <f>IF(ISNA(MATCH(897,Engine!$C$2:$C$1199,0)),"",INDEX('Compliance Database'!$D$2:$D$1199,MATCH(897,Engine!$C$2:$C$1199,0)))</f>
        <v/>
      </c>
      <c r="E910" s="6" t="str">
        <f>IF(ISNA(MATCH(897,Engine!$C$2:$C$1199,0)),"",INDEX('Compliance Database'!$E$2:$E$1199,MATCH(897,Engine!$C$2:$C$1199,0)))</f>
        <v/>
      </c>
      <c r="F910" s="6" t="str">
        <f>IF(ISNA(MATCH(897,Engine!$C$2:$C$1199,0)),"",INDEX('Compliance Database'!$F$2:$F$1199,MATCH(897,Engine!$C$2:$C$1199,0)))</f>
        <v/>
      </c>
      <c r="G910" s="6" t="str">
        <f>IF(ISNA(MATCH(897,Engine!$C$2:$C$1199,0)),"",INDEX('Compliance Database'!$G$2:$G$1199,MATCH(897,Engine!$C$2:$C$1199,0)))</f>
        <v/>
      </c>
      <c r="H910" s="7" t="str">
        <f>IF(ISNA(MATCH(897,Engine!$C$2:$C$1199,0)),"",INDEX('Compliance Database'!$H$2:$H$1199,MATCH(897,Engine!$C$2:$C$1199,0)))</f>
        <v/>
      </c>
      <c r="I910" s="7" t="str">
        <f>IF(ISNA(MATCH(897,Engine!$C$2:$C$1199,0)),"",INDEX('Compliance Database'!$I$2:$I$1199,MATCH(897,Engine!$C$2:$C$1199,0)))</f>
        <v/>
      </c>
      <c r="J910" s="6" t="str">
        <f>IF(ISNA(MATCH(897,Engine!$C$2:$C$1199,0)),"",INDEX('Compliance Database'!$J$2:$J$1199,MATCH(897,Engine!$C$2:$C$1199,0)))</f>
        <v/>
      </c>
      <c r="K910" s="7" t="str">
        <f>IF(ISNA(MATCH(897,Engine!$C$2:$C$1199,0)),"",INDEX('Compliance Database'!$K$2:$K$1199,MATCH(897,Engine!$C$2:$C$1199,0)))</f>
        <v/>
      </c>
      <c r="L910" s="7" t="str">
        <f>IF(ISNA(MATCH(897,Engine!$C$2:$C$1199,0)),"",INDEX('Compliance Database'!$L$2:$L$1199,MATCH(897,Engine!$C$2:$C$1199,0)))</f>
        <v/>
      </c>
      <c r="M910" s="7" t="str">
        <f>IF(ISNA(MATCH(897,Engine!$C$2:$C$1199,0)),"",INDEX('Compliance Database'!$M$2:$M$1199,MATCH(897,Engine!$C$2:$C$1199,0)))</f>
        <v/>
      </c>
      <c r="N910" s="7" t="str">
        <f>IF(ISNA(MATCH(897,Engine!$C$2:$C$1199,0)),"",INDEX('Compliance Database'!$N$2:$N$1199,MATCH(897,Engine!$C$2:$C$1199,0)))</f>
        <v/>
      </c>
      <c r="O910" s="7" t="str">
        <f>IF(ISNA(MATCH(897,Engine!$C$2:$C$1199,0)),"",INDEX('Compliance Database'!$O$2:$O$1199,MATCH(897,Engine!$C$2:$C$1199,0)))</f>
        <v/>
      </c>
      <c r="P910" s="6" t="str">
        <f>IF(ISNA(MATCH(897,Engine!$C$2:$C$1199,0)),"",HYPERLINK("#Acts!A"&amp;INDEX('Compliance Database'!$P$2:$P$1199,MATCH(897,Engine!$C$2:$C$1199,0)),"Go to Act"))</f>
        <v/>
      </c>
    </row>
    <row r="911" spans="1:16" ht="172.95" customHeight="1" x14ac:dyDescent="0.3">
      <c r="A911" s="6" t="str">
        <f>IF(ISNA(MATCH(898,Engine!$C$2:$C$1199,0)),"",INDEX('Compliance Database'!$A$2:$A$1199,MATCH(898,Engine!$C$2:$C$1199,0)))</f>
        <v/>
      </c>
      <c r="B911" s="6" t="str">
        <f>IF(ISNA(MATCH(898,Engine!$C$2:$C$1199,0)),"",INDEX('Compliance Database'!$B$2:$B$1199,MATCH(898,Engine!$C$2:$C$1199,0)))</f>
        <v/>
      </c>
      <c r="C911" s="6" t="str">
        <f>IF(ISNA(MATCH(898,Engine!$C$2:$C$1199,0)),"",INDEX('Compliance Database'!$C$2:$C$1199,MATCH(898,Engine!$C$2:$C$1199,0)))</f>
        <v/>
      </c>
      <c r="D911" s="7" t="str">
        <f>IF(ISNA(MATCH(898,Engine!$C$2:$C$1199,0)),"",INDEX('Compliance Database'!$D$2:$D$1199,MATCH(898,Engine!$C$2:$C$1199,0)))</f>
        <v/>
      </c>
      <c r="E911" s="6" t="str">
        <f>IF(ISNA(MATCH(898,Engine!$C$2:$C$1199,0)),"",INDEX('Compliance Database'!$E$2:$E$1199,MATCH(898,Engine!$C$2:$C$1199,0)))</f>
        <v/>
      </c>
      <c r="F911" s="6" t="str">
        <f>IF(ISNA(MATCH(898,Engine!$C$2:$C$1199,0)),"",INDEX('Compliance Database'!$F$2:$F$1199,MATCH(898,Engine!$C$2:$C$1199,0)))</f>
        <v/>
      </c>
      <c r="G911" s="6" t="str">
        <f>IF(ISNA(MATCH(898,Engine!$C$2:$C$1199,0)),"",INDEX('Compliance Database'!$G$2:$G$1199,MATCH(898,Engine!$C$2:$C$1199,0)))</f>
        <v/>
      </c>
      <c r="H911" s="7" t="str">
        <f>IF(ISNA(MATCH(898,Engine!$C$2:$C$1199,0)),"",INDEX('Compliance Database'!$H$2:$H$1199,MATCH(898,Engine!$C$2:$C$1199,0)))</f>
        <v/>
      </c>
      <c r="I911" s="7" t="str">
        <f>IF(ISNA(MATCH(898,Engine!$C$2:$C$1199,0)),"",INDEX('Compliance Database'!$I$2:$I$1199,MATCH(898,Engine!$C$2:$C$1199,0)))</f>
        <v/>
      </c>
      <c r="J911" s="6" t="str">
        <f>IF(ISNA(MATCH(898,Engine!$C$2:$C$1199,0)),"",INDEX('Compliance Database'!$J$2:$J$1199,MATCH(898,Engine!$C$2:$C$1199,0)))</f>
        <v/>
      </c>
      <c r="K911" s="7" t="str">
        <f>IF(ISNA(MATCH(898,Engine!$C$2:$C$1199,0)),"",INDEX('Compliance Database'!$K$2:$K$1199,MATCH(898,Engine!$C$2:$C$1199,0)))</f>
        <v/>
      </c>
      <c r="L911" s="7" t="str">
        <f>IF(ISNA(MATCH(898,Engine!$C$2:$C$1199,0)),"",INDEX('Compliance Database'!$L$2:$L$1199,MATCH(898,Engine!$C$2:$C$1199,0)))</f>
        <v/>
      </c>
      <c r="M911" s="7" t="str">
        <f>IF(ISNA(MATCH(898,Engine!$C$2:$C$1199,0)),"",INDEX('Compliance Database'!$M$2:$M$1199,MATCH(898,Engine!$C$2:$C$1199,0)))</f>
        <v/>
      </c>
      <c r="N911" s="7" t="str">
        <f>IF(ISNA(MATCH(898,Engine!$C$2:$C$1199,0)),"",INDEX('Compliance Database'!$N$2:$N$1199,MATCH(898,Engine!$C$2:$C$1199,0)))</f>
        <v/>
      </c>
      <c r="O911" s="7" t="str">
        <f>IF(ISNA(MATCH(898,Engine!$C$2:$C$1199,0)),"",INDEX('Compliance Database'!$O$2:$O$1199,MATCH(898,Engine!$C$2:$C$1199,0)))</f>
        <v/>
      </c>
      <c r="P911" s="6" t="str">
        <f>IF(ISNA(MATCH(898,Engine!$C$2:$C$1199,0)),"",HYPERLINK("#Acts!A"&amp;INDEX('Compliance Database'!$P$2:$P$1199,MATCH(898,Engine!$C$2:$C$1199,0)),"Go to Act"))</f>
        <v/>
      </c>
    </row>
    <row r="912" spans="1:16" ht="172.95" customHeight="1" x14ac:dyDescent="0.3">
      <c r="A912" s="6" t="str">
        <f>IF(ISNA(MATCH(899,Engine!$C$2:$C$1199,0)),"",INDEX('Compliance Database'!$A$2:$A$1199,MATCH(899,Engine!$C$2:$C$1199,0)))</f>
        <v/>
      </c>
      <c r="B912" s="6" t="str">
        <f>IF(ISNA(MATCH(899,Engine!$C$2:$C$1199,0)),"",INDEX('Compliance Database'!$B$2:$B$1199,MATCH(899,Engine!$C$2:$C$1199,0)))</f>
        <v/>
      </c>
      <c r="C912" s="6" t="str">
        <f>IF(ISNA(MATCH(899,Engine!$C$2:$C$1199,0)),"",INDEX('Compliance Database'!$C$2:$C$1199,MATCH(899,Engine!$C$2:$C$1199,0)))</f>
        <v/>
      </c>
      <c r="D912" s="7" t="str">
        <f>IF(ISNA(MATCH(899,Engine!$C$2:$C$1199,0)),"",INDEX('Compliance Database'!$D$2:$D$1199,MATCH(899,Engine!$C$2:$C$1199,0)))</f>
        <v/>
      </c>
      <c r="E912" s="6" t="str">
        <f>IF(ISNA(MATCH(899,Engine!$C$2:$C$1199,0)),"",INDEX('Compliance Database'!$E$2:$E$1199,MATCH(899,Engine!$C$2:$C$1199,0)))</f>
        <v/>
      </c>
      <c r="F912" s="6" t="str">
        <f>IF(ISNA(MATCH(899,Engine!$C$2:$C$1199,0)),"",INDEX('Compliance Database'!$F$2:$F$1199,MATCH(899,Engine!$C$2:$C$1199,0)))</f>
        <v/>
      </c>
      <c r="G912" s="6" t="str">
        <f>IF(ISNA(MATCH(899,Engine!$C$2:$C$1199,0)),"",INDEX('Compliance Database'!$G$2:$G$1199,MATCH(899,Engine!$C$2:$C$1199,0)))</f>
        <v/>
      </c>
      <c r="H912" s="7" t="str">
        <f>IF(ISNA(MATCH(899,Engine!$C$2:$C$1199,0)),"",INDEX('Compliance Database'!$H$2:$H$1199,MATCH(899,Engine!$C$2:$C$1199,0)))</f>
        <v/>
      </c>
      <c r="I912" s="7" t="str">
        <f>IF(ISNA(MATCH(899,Engine!$C$2:$C$1199,0)),"",INDEX('Compliance Database'!$I$2:$I$1199,MATCH(899,Engine!$C$2:$C$1199,0)))</f>
        <v/>
      </c>
      <c r="J912" s="6" t="str">
        <f>IF(ISNA(MATCH(899,Engine!$C$2:$C$1199,0)),"",INDEX('Compliance Database'!$J$2:$J$1199,MATCH(899,Engine!$C$2:$C$1199,0)))</f>
        <v/>
      </c>
      <c r="K912" s="7" t="str">
        <f>IF(ISNA(MATCH(899,Engine!$C$2:$C$1199,0)),"",INDEX('Compliance Database'!$K$2:$K$1199,MATCH(899,Engine!$C$2:$C$1199,0)))</f>
        <v/>
      </c>
      <c r="L912" s="7" t="str">
        <f>IF(ISNA(MATCH(899,Engine!$C$2:$C$1199,0)),"",INDEX('Compliance Database'!$L$2:$L$1199,MATCH(899,Engine!$C$2:$C$1199,0)))</f>
        <v/>
      </c>
      <c r="M912" s="7" t="str">
        <f>IF(ISNA(MATCH(899,Engine!$C$2:$C$1199,0)),"",INDEX('Compliance Database'!$M$2:$M$1199,MATCH(899,Engine!$C$2:$C$1199,0)))</f>
        <v/>
      </c>
      <c r="N912" s="7" t="str">
        <f>IF(ISNA(MATCH(899,Engine!$C$2:$C$1199,0)),"",INDEX('Compliance Database'!$N$2:$N$1199,MATCH(899,Engine!$C$2:$C$1199,0)))</f>
        <v/>
      </c>
      <c r="O912" s="7" t="str">
        <f>IF(ISNA(MATCH(899,Engine!$C$2:$C$1199,0)),"",INDEX('Compliance Database'!$O$2:$O$1199,MATCH(899,Engine!$C$2:$C$1199,0)))</f>
        <v/>
      </c>
      <c r="P912" s="6" t="str">
        <f>IF(ISNA(MATCH(899,Engine!$C$2:$C$1199,0)),"",HYPERLINK("#Acts!A"&amp;INDEX('Compliance Database'!$P$2:$P$1199,MATCH(899,Engine!$C$2:$C$1199,0)),"Go to Act"))</f>
        <v/>
      </c>
    </row>
    <row r="913" spans="1:16" ht="172.95" customHeight="1" x14ac:dyDescent="0.3">
      <c r="A913" s="6" t="str">
        <f>IF(ISNA(MATCH(900,Engine!$C$2:$C$1199,0)),"",INDEX('Compliance Database'!$A$2:$A$1199,MATCH(900,Engine!$C$2:$C$1199,0)))</f>
        <v/>
      </c>
      <c r="B913" s="6" t="str">
        <f>IF(ISNA(MATCH(900,Engine!$C$2:$C$1199,0)),"",INDEX('Compliance Database'!$B$2:$B$1199,MATCH(900,Engine!$C$2:$C$1199,0)))</f>
        <v/>
      </c>
      <c r="C913" s="6" t="str">
        <f>IF(ISNA(MATCH(900,Engine!$C$2:$C$1199,0)),"",INDEX('Compliance Database'!$C$2:$C$1199,MATCH(900,Engine!$C$2:$C$1199,0)))</f>
        <v/>
      </c>
      <c r="D913" s="7" t="str">
        <f>IF(ISNA(MATCH(900,Engine!$C$2:$C$1199,0)),"",INDEX('Compliance Database'!$D$2:$D$1199,MATCH(900,Engine!$C$2:$C$1199,0)))</f>
        <v/>
      </c>
      <c r="E913" s="6" t="str">
        <f>IF(ISNA(MATCH(900,Engine!$C$2:$C$1199,0)),"",INDEX('Compliance Database'!$E$2:$E$1199,MATCH(900,Engine!$C$2:$C$1199,0)))</f>
        <v/>
      </c>
      <c r="F913" s="6" t="str">
        <f>IF(ISNA(MATCH(900,Engine!$C$2:$C$1199,0)),"",INDEX('Compliance Database'!$F$2:$F$1199,MATCH(900,Engine!$C$2:$C$1199,0)))</f>
        <v/>
      </c>
      <c r="G913" s="6" t="str">
        <f>IF(ISNA(MATCH(900,Engine!$C$2:$C$1199,0)),"",INDEX('Compliance Database'!$G$2:$G$1199,MATCH(900,Engine!$C$2:$C$1199,0)))</f>
        <v/>
      </c>
      <c r="H913" s="7" t="str">
        <f>IF(ISNA(MATCH(900,Engine!$C$2:$C$1199,0)),"",INDEX('Compliance Database'!$H$2:$H$1199,MATCH(900,Engine!$C$2:$C$1199,0)))</f>
        <v/>
      </c>
      <c r="I913" s="7" t="str">
        <f>IF(ISNA(MATCH(900,Engine!$C$2:$C$1199,0)),"",INDEX('Compliance Database'!$I$2:$I$1199,MATCH(900,Engine!$C$2:$C$1199,0)))</f>
        <v/>
      </c>
      <c r="J913" s="6" t="str">
        <f>IF(ISNA(MATCH(900,Engine!$C$2:$C$1199,0)),"",INDEX('Compliance Database'!$J$2:$J$1199,MATCH(900,Engine!$C$2:$C$1199,0)))</f>
        <v/>
      </c>
      <c r="K913" s="7" t="str">
        <f>IF(ISNA(MATCH(900,Engine!$C$2:$C$1199,0)),"",INDEX('Compliance Database'!$K$2:$K$1199,MATCH(900,Engine!$C$2:$C$1199,0)))</f>
        <v/>
      </c>
      <c r="L913" s="7" t="str">
        <f>IF(ISNA(MATCH(900,Engine!$C$2:$C$1199,0)),"",INDEX('Compliance Database'!$L$2:$L$1199,MATCH(900,Engine!$C$2:$C$1199,0)))</f>
        <v/>
      </c>
      <c r="M913" s="7" t="str">
        <f>IF(ISNA(MATCH(900,Engine!$C$2:$C$1199,0)),"",INDEX('Compliance Database'!$M$2:$M$1199,MATCH(900,Engine!$C$2:$C$1199,0)))</f>
        <v/>
      </c>
      <c r="N913" s="7" t="str">
        <f>IF(ISNA(MATCH(900,Engine!$C$2:$C$1199,0)),"",INDEX('Compliance Database'!$N$2:$N$1199,MATCH(900,Engine!$C$2:$C$1199,0)))</f>
        <v/>
      </c>
      <c r="O913" s="7" t="str">
        <f>IF(ISNA(MATCH(900,Engine!$C$2:$C$1199,0)),"",INDEX('Compliance Database'!$O$2:$O$1199,MATCH(900,Engine!$C$2:$C$1199,0)))</f>
        <v/>
      </c>
      <c r="P913" s="6" t="str">
        <f>IF(ISNA(MATCH(900,Engine!$C$2:$C$1199,0)),"",HYPERLINK("#Acts!A"&amp;INDEX('Compliance Database'!$P$2:$P$1199,MATCH(900,Engine!$C$2:$C$1199,0)),"Go to Act"))</f>
        <v/>
      </c>
    </row>
    <row r="914" spans="1:16" ht="172.95" customHeight="1" x14ac:dyDescent="0.3">
      <c r="A914" s="6" t="str">
        <f>IF(ISNA(MATCH(901,Engine!$C$2:$C$1199,0)),"",INDEX('Compliance Database'!$A$2:$A$1199,MATCH(901,Engine!$C$2:$C$1199,0)))</f>
        <v/>
      </c>
      <c r="B914" s="6" t="str">
        <f>IF(ISNA(MATCH(901,Engine!$C$2:$C$1199,0)),"",INDEX('Compliance Database'!$B$2:$B$1199,MATCH(901,Engine!$C$2:$C$1199,0)))</f>
        <v/>
      </c>
      <c r="C914" s="6" t="str">
        <f>IF(ISNA(MATCH(901,Engine!$C$2:$C$1199,0)),"",INDEX('Compliance Database'!$C$2:$C$1199,MATCH(901,Engine!$C$2:$C$1199,0)))</f>
        <v/>
      </c>
      <c r="D914" s="7" t="str">
        <f>IF(ISNA(MATCH(901,Engine!$C$2:$C$1199,0)),"",INDEX('Compliance Database'!$D$2:$D$1199,MATCH(901,Engine!$C$2:$C$1199,0)))</f>
        <v/>
      </c>
      <c r="E914" s="6" t="str">
        <f>IF(ISNA(MATCH(901,Engine!$C$2:$C$1199,0)),"",INDEX('Compliance Database'!$E$2:$E$1199,MATCH(901,Engine!$C$2:$C$1199,0)))</f>
        <v/>
      </c>
      <c r="F914" s="6" t="str">
        <f>IF(ISNA(MATCH(901,Engine!$C$2:$C$1199,0)),"",INDEX('Compliance Database'!$F$2:$F$1199,MATCH(901,Engine!$C$2:$C$1199,0)))</f>
        <v/>
      </c>
      <c r="G914" s="6" t="str">
        <f>IF(ISNA(MATCH(901,Engine!$C$2:$C$1199,0)),"",INDEX('Compliance Database'!$G$2:$G$1199,MATCH(901,Engine!$C$2:$C$1199,0)))</f>
        <v/>
      </c>
      <c r="H914" s="7" t="str">
        <f>IF(ISNA(MATCH(901,Engine!$C$2:$C$1199,0)),"",INDEX('Compliance Database'!$H$2:$H$1199,MATCH(901,Engine!$C$2:$C$1199,0)))</f>
        <v/>
      </c>
      <c r="I914" s="7" t="str">
        <f>IF(ISNA(MATCH(901,Engine!$C$2:$C$1199,0)),"",INDEX('Compliance Database'!$I$2:$I$1199,MATCH(901,Engine!$C$2:$C$1199,0)))</f>
        <v/>
      </c>
      <c r="J914" s="6" t="str">
        <f>IF(ISNA(MATCH(901,Engine!$C$2:$C$1199,0)),"",INDEX('Compliance Database'!$J$2:$J$1199,MATCH(901,Engine!$C$2:$C$1199,0)))</f>
        <v/>
      </c>
      <c r="K914" s="7" t="str">
        <f>IF(ISNA(MATCH(901,Engine!$C$2:$C$1199,0)),"",INDEX('Compliance Database'!$K$2:$K$1199,MATCH(901,Engine!$C$2:$C$1199,0)))</f>
        <v/>
      </c>
      <c r="L914" s="7" t="str">
        <f>IF(ISNA(MATCH(901,Engine!$C$2:$C$1199,0)),"",INDEX('Compliance Database'!$L$2:$L$1199,MATCH(901,Engine!$C$2:$C$1199,0)))</f>
        <v/>
      </c>
      <c r="M914" s="7" t="str">
        <f>IF(ISNA(MATCH(901,Engine!$C$2:$C$1199,0)),"",INDEX('Compliance Database'!$M$2:$M$1199,MATCH(901,Engine!$C$2:$C$1199,0)))</f>
        <v/>
      </c>
      <c r="N914" s="7" t="str">
        <f>IF(ISNA(MATCH(901,Engine!$C$2:$C$1199,0)),"",INDEX('Compliance Database'!$N$2:$N$1199,MATCH(901,Engine!$C$2:$C$1199,0)))</f>
        <v/>
      </c>
      <c r="O914" s="7" t="str">
        <f>IF(ISNA(MATCH(901,Engine!$C$2:$C$1199,0)),"",INDEX('Compliance Database'!$O$2:$O$1199,MATCH(901,Engine!$C$2:$C$1199,0)))</f>
        <v/>
      </c>
      <c r="P914" s="6" t="str">
        <f>IF(ISNA(MATCH(901,Engine!$C$2:$C$1199,0)),"",HYPERLINK("#Acts!A"&amp;INDEX('Compliance Database'!$P$2:$P$1199,MATCH(901,Engine!$C$2:$C$1199,0)),"Go to Act"))</f>
        <v/>
      </c>
    </row>
    <row r="915" spans="1:16" ht="172.95" customHeight="1" x14ac:dyDescent="0.3">
      <c r="A915" s="6" t="str">
        <f>IF(ISNA(MATCH(902,Engine!$C$2:$C$1199,0)),"",INDEX('Compliance Database'!$A$2:$A$1199,MATCH(902,Engine!$C$2:$C$1199,0)))</f>
        <v/>
      </c>
      <c r="B915" s="6" t="str">
        <f>IF(ISNA(MATCH(902,Engine!$C$2:$C$1199,0)),"",INDEX('Compliance Database'!$B$2:$B$1199,MATCH(902,Engine!$C$2:$C$1199,0)))</f>
        <v/>
      </c>
      <c r="C915" s="6" t="str">
        <f>IF(ISNA(MATCH(902,Engine!$C$2:$C$1199,0)),"",INDEX('Compliance Database'!$C$2:$C$1199,MATCH(902,Engine!$C$2:$C$1199,0)))</f>
        <v/>
      </c>
      <c r="D915" s="7" t="str">
        <f>IF(ISNA(MATCH(902,Engine!$C$2:$C$1199,0)),"",INDEX('Compliance Database'!$D$2:$D$1199,MATCH(902,Engine!$C$2:$C$1199,0)))</f>
        <v/>
      </c>
      <c r="E915" s="6" t="str">
        <f>IF(ISNA(MATCH(902,Engine!$C$2:$C$1199,0)),"",INDEX('Compliance Database'!$E$2:$E$1199,MATCH(902,Engine!$C$2:$C$1199,0)))</f>
        <v/>
      </c>
      <c r="F915" s="6" t="str">
        <f>IF(ISNA(MATCH(902,Engine!$C$2:$C$1199,0)),"",INDEX('Compliance Database'!$F$2:$F$1199,MATCH(902,Engine!$C$2:$C$1199,0)))</f>
        <v/>
      </c>
      <c r="G915" s="6" t="str">
        <f>IF(ISNA(MATCH(902,Engine!$C$2:$C$1199,0)),"",INDEX('Compliance Database'!$G$2:$G$1199,MATCH(902,Engine!$C$2:$C$1199,0)))</f>
        <v/>
      </c>
      <c r="H915" s="7" t="str">
        <f>IF(ISNA(MATCH(902,Engine!$C$2:$C$1199,0)),"",INDEX('Compliance Database'!$H$2:$H$1199,MATCH(902,Engine!$C$2:$C$1199,0)))</f>
        <v/>
      </c>
      <c r="I915" s="7" t="str">
        <f>IF(ISNA(MATCH(902,Engine!$C$2:$C$1199,0)),"",INDEX('Compliance Database'!$I$2:$I$1199,MATCH(902,Engine!$C$2:$C$1199,0)))</f>
        <v/>
      </c>
      <c r="J915" s="6" t="str">
        <f>IF(ISNA(MATCH(902,Engine!$C$2:$C$1199,0)),"",INDEX('Compliance Database'!$J$2:$J$1199,MATCH(902,Engine!$C$2:$C$1199,0)))</f>
        <v/>
      </c>
      <c r="K915" s="7" t="str">
        <f>IF(ISNA(MATCH(902,Engine!$C$2:$C$1199,0)),"",INDEX('Compliance Database'!$K$2:$K$1199,MATCH(902,Engine!$C$2:$C$1199,0)))</f>
        <v/>
      </c>
      <c r="L915" s="7" t="str">
        <f>IF(ISNA(MATCH(902,Engine!$C$2:$C$1199,0)),"",INDEX('Compliance Database'!$L$2:$L$1199,MATCH(902,Engine!$C$2:$C$1199,0)))</f>
        <v/>
      </c>
      <c r="M915" s="7" t="str">
        <f>IF(ISNA(MATCH(902,Engine!$C$2:$C$1199,0)),"",INDEX('Compliance Database'!$M$2:$M$1199,MATCH(902,Engine!$C$2:$C$1199,0)))</f>
        <v/>
      </c>
      <c r="N915" s="7" t="str">
        <f>IF(ISNA(MATCH(902,Engine!$C$2:$C$1199,0)),"",INDEX('Compliance Database'!$N$2:$N$1199,MATCH(902,Engine!$C$2:$C$1199,0)))</f>
        <v/>
      </c>
      <c r="O915" s="7" t="str">
        <f>IF(ISNA(MATCH(902,Engine!$C$2:$C$1199,0)),"",INDEX('Compliance Database'!$O$2:$O$1199,MATCH(902,Engine!$C$2:$C$1199,0)))</f>
        <v/>
      </c>
      <c r="P915" s="6" t="str">
        <f>IF(ISNA(MATCH(902,Engine!$C$2:$C$1199,0)),"",HYPERLINK("#Acts!A"&amp;INDEX('Compliance Database'!$P$2:$P$1199,MATCH(902,Engine!$C$2:$C$1199,0)),"Go to Act"))</f>
        <v/>
      </c>
    </row>
    <row r="916" spans="1:16" ht="172.95" customHeight="1" x14ac:dyDescent="0.3">
      <c r="A916" s="6" t="str">
        <f>IF(ISNA(MATCH(903,Engine!$C$2:$C$1199,0)),"",INDEX('Compliance Database'!$A$2:$A$1199,MATCH(903,Engine!$C$2:$C$1199,0)))</f>
        <v/>
      </c>
      <c r="B916" s="6" t="str">
        <f>IF(ISNA(MATCH(903,Engine!$C$2:$C$1199,0)),"",INDEX('Compliance Database'!$B$2:$B$1199,MATCH(903,Engine!$C$2:$C$1199,0)))</f>
        <v/>
      </c>
      <c r="C916" s="6" t="str">
        <f>IF(ISNA(MATCH(903,Engine!$C$2:$C$1199,0)),"",INDEX('Compliance Database'!$C$2:$C$1199,MATCH(903,Engine!$C$2:$C$1199,0)))</f>
        <v/>
      </c>
      <c r="D916" s="7" t="str">
        <f>IF(ISNA(MATCH(903,Engine!$C$2:$C$1199,0)),"",INDEX('Compliance Database'!$D$2:$D$1199,MATCH(903,Engine!$C$2:$C$1199,0)))</f>
        <v/>
      </c>
      <c r="E916" s="6" t="str">
        <f>IF(ISNA(MATCH(903,Engine!$C$2:$C$1199,0)),"",INDEX('Compliance Database'!$E$2:$E$1199,MATCH(903,Engine!$C$2:$C$1199,0)))</f>
        <v/>
      </c>
      <c r="F916" s="6" t="str">
        <f>IF(ISNA(MATCH(903,Engine!$C$2:$C$1199,0)),"",INDEX('Compliance Database'!$F$2:$F$1199,MATCH(903,Engine!$C$2:$C$1199,0)))</f>
        <v/>
      </c>
      <c r="G916" s="6" t="str">
        <f>IF(ISNA(MATCH(903,Engine!$C$2:$C$1199,0)),"",INDEX('Compliance Database'!$G$2:$G$1199,MATCH(903,Engine!$C$2:$C$1199,0)))</f>
        <v/>
      </c>
      <c r="H916" s="7" t="str">
        <f>IF(ISNA(MATCH(903,Engine!$C$2:$C$1199,0)),"",INDEX('Compliance Database'!$H$2:$H$1199,MATCH(903,Engine!$C$2:$C$1199,0)))</f>
        <v/>
      </c>
      <c r="I916" s="7" t="str">
        <f>IF(ISNA(MATCH(903,Engine!$C$2:$C$1199,0)),"",INDEX('Compliance Database'!$I$2:$I$1199,MATCH(903,Engine!$C$2:$C$1199,0)))</f>
        <v/>
      </c>
      <c r="J916" s="6" t="str">
        <f>IF(ISNA(MATCH(903,Engine!$C$2:$C$1199,0)),"",INDEX('Compliance Database'!$J$2:$J$1199,MATCH(903,Engine!$C$2:$C$1199,0)))</f>
        <v/>
      </c>
      <c r="K916" s="7" t="str">
        <f>IF(ISNA(MATCH(903,Engine!$C$2:$C$1199,0)),"",INDEX('Compliance Database'!$K$2:$K$1199,MATCH(903,Engine!$C$2:$C$1199,0)))</f>
        <v/>
      </c>
      <c r="L916" s="7" t="str">
        <f>IF(ISNA(MATCH(903,Engine!$C$2:$C$1199,0)),"",INDEX('Compliance Database'!$L$2:$L$1199,MATCH(903,Engine!$C$2:$C$1199,0)))</f>
        <v/>
      </c>
      <c r="M916" s="7" t="str">
        <f>IF(ISNA(MATCH(903,Engine!$C$2:$C$1199,0)),"",INDEX('Compliance Database'!$M$2:$M$1199,MATCH(903,Engine!$C$2:$C$1199,0)))</f>
        <v/>
      </c>
      <c r="N916" s="7" t="str">
        <f>IF(ISNA(MATCH(903,Engine!$C$2:$C$1199,0)),"",INDEX('Compliance Database'!$N$2:$N$1199,MATCH(903,Engine!$C$2:$C$1199,0)))</f>
        <v/>
      </c>
      <c r="O916" s="7" t="str">
        <f>IF(ISNA(MATCH(903,Engine!$C$2:$C$1199,0)),"",INDEX('Compliance Database'!$O$2:$O$1199,MATCH(903,Engine!$C$2:$C$1199,0)))</f>
        <v/>
      </c>
      <c r="P916" s="6" t="str">
        <f>IF(ISNA(MATCH(903,Engine!$C$2:$C$1199,0)),"",HYPERLINK("#Acts!A"&amp;INDEX('Compliance Database'!$P$2:$P$1199,MATCH(903,Engine!$C$2:$C$1199,0)),"Go to Act"))</f>
        <v/>
      </c>
    </row>
    <row r="917" spans="1:16" ht="172.95" customHeight="1" x14ac:dyDescent="0.3">
      <c r="A917" s="6" t="str">
        <f>IF(ISNA(MATCH(904,Engine!$C$2:$C$1199,0)),"",INDEX('Compliance Database'!$A$2:$A$1199,MATCH(904,Engine!$C$2:$C$1199,0)))</f>
        <v/>
      </c>
      <c r="B917" s="6" t="str">
        <f>IF(ISNA(MATCH(904,Engine!$C$2:$C$1199,0)),"",INDEX('Compliance Database'!$B$2:$B$1199,MATCH(904,Engine!$C$2:$C$1199,0)))</f>
        <v/>
      </c>
      <c r="C917" s="6" t="str">
        <f>IF(ISNA(MATCH(904,Engine!$C$2:$C$1199,0)),"",INDEX('Compliance Database'!$C$2:$C$1199,MATCH(904,Engine!$C$2:$C$1199,0)))</f>
        <v/>
      </c>
      <c r="D917" s="7" t="str">
        <f>IF(ISNA(MATCH(904,Engine!$C$2:$C$1199,0)),"",INDEX('Compliance Database'!$D$2:$D$1199,MATCH(904,Engine!$C$2:$C$1199,0)))</f>
        <v/>
      </c>
      <c r="E917" s="6" t="str">
        <f>IF(ISNA(MATCH(904,Engine!$C$2:$C$1199,0)),"",INDEX('Compliance Database'!$E$2:$E$1199,MATCH(904,Engine!$C$2:$C$1199,0)))</f>
        <v/>
      </c>
      <c r="F917" s="6" t="str">
        <f>IF(ISNA(MATCH(904,Engine!$C$2:$C$1199,0)),"",INDEX('Compliance Database'!$F$2:$F$1199,MATCH(904,Engine!$C$2:$C$1199,0)))</f>
        <v/>
      </c>
      <c r="G917" s="6" t="str">
        <f>IF(ISNA(MATCH(904,Engine!$C$2:$C$1199,0)),"",INDEX('Compliance Database'!$G$2:$G$1199,MATCH(904,Engine!$C$2:$C$1199,0)))</f>
        <v/>
      </c>
      <c r="H917" s="7" t="str">
        <f>IF(ISNA(MATCH(904,Engine!$C$2:$C$1199,0)),"",INDEX('Compliance Database'!$H$2:$H$1199,MATCH(904,Engine!$C$2:$C$1199,0)))</f>
        <v/>
      </c>
      <c r="I917" s="7" t="str">
        <f>IF(ISNA(MATCH(904,Engine!$C$2:$C$1199,0)),"",INDEX('Compliance Database'!$I$2:$I$1199,MATCH(904,Engine!$C$2:$C$1199,0)))</f>
        <v/>
      </c>
      <c r="J917" s="6" t="str">
        <f>IF(ISNA(MATCH(904,Engine!$C$2:$C$1199,0)),"",INDEX('Compliance Database'!$J$2:$J$1199,MATCH(904,Engine!$C$2:$C$1199,0)))</f>
        <v/>
      </c>
      <c r="K917" s="7" t="str">
        <f>IF(ISNA(MATCH(904,Engine!$C$2:$C$1199,0)),"",INDEX('Compliance Database'!$K$2:$K$1199,MATCH(904,Engine!$C$2:$C$1199,0)))</f>
        <v/>
      </c>
      <c r="L917" s="7" t="str">
        <f>IF(ISNA(MATCH(904,Engine!$C$2:$C$1199,0)),"",INDEX('Compliance Database'!$L$2:$L$1199,MATCH(904,Engine!$C$2:$C$1199,0)))</f>
        <v/>
      </c>
      <c r="M917" s="7" t="str">
        <f>IF(ISNA(MATCH(904,Engine!$C$2:$C$1199,0)),"",INDEX('Compliance Database'!$M$2:$M$1199,MATCH(904,Engine!$C$2:$C$1199,0)))</f>
        <v/>
      </c>
      <c r="N917" s="7" t="str">
        <f>IF(ISNA(MATCH(904,Engine!$C$2:$C$1199,0)),"",INDEX('Compliance Database'!$N$2:$N$1199,MATCH(904,Engine!$C$2:$C$1199,0)))</f>
        <v/>
      </c>
      <c r="O917" s="7" t="str">
        <f>IF(ISNA(MATCH(904,Engine!$C$2:$C$1199,0)),"",INDEX('Compliance Database'!$O$2:$O$1199,MATCH(904,Engine!$C$2:$C$1199,0)))</f>
        <v/>
      </c>
      <c r="P917" s="6" t="str">
        <f>IF(ISNA(MATCH(904,Engine!$C$2:$C$1199,0)),"",HYPERLINK("#Acts!A"&amp;INDEX('Compliance Database'!$P$2:$P$1199,MATCH(904,Engine!$C$2:$C$1199,0)),"Go to Act"))</f>
        <v/>
      </c>
    </row>
    <row r="918" spans="1:16" ht="172.95" customHeight="1" x14ac:dyDescent="0.3">
      <c r="A918" s="6" t="str">
        <f>IF(ISNA(MATCH(905,Engine!$C$2:$C$1199,0)),"",INDEX('Compliance Database'!$A$2:$A$1199,MATCH(905,Engine!$C$2:$C$1199,0)))</f>
        <v/>
      </c>
      <c r="B918" s="6" t="str">
        <f>IF(ISNA(MATCH(905,Engine!$C$2:$C$1199,0)),"",INDEX('Compliance Database'!$B$2:$B$1199,MATCH(905,Engine!$C$2:$C$1199,0)))</f>
        <v/>
      </c>
      <c r="C918" s="6" t="str">
        <f>IF(ISNA(MATCH(905,Engine!$C$2:$C$1199,0)),"",INDEX('Compliance Database'!$C$2:$C$1199,MATCH(905,Engine!$C$2:$C$1199,0)))</f>
        <v/>
      </c>
      <c r="D918" s="7" t="str">
        <f>IF(ISNA(MATCH(905,Engine!$C$2:$C$1199,0)),"",INDEX('Compliance Database'!$D$2:$D$1199,MATCH(905,Engine!$C$2:$C$1199,0)))</f>
        <v/>
      </c>
      <c r="E918" s="6" t="str">
        <f>IF(ISNA(MATCH(905,Engine!$C$2:$C$1199,0)),"",INDEX('Compliance Database'!$E$2:$E$1199,MATCH(905,Engine!$C$2:$C$1199,0)))</f>
        <v/>
      </c>
      <c r="F918" s="6" t="str">
        <f>IF(ISNA(MATCH(905,Engine!$C$2:$C$1199,0)),"",INDEX('Compliance Database'!$F$2:$F$1199,MATCH(905,Engine!$C$2:$C$1199,0)))</f>
        <v/>
      </c>
      <c r="G918" s="6" t="str">
        <f>IF(ISNA(MATCH(905,Engine!$C$2:$C$1199,0)),"",INDEX('Compliance Database'!$G$2:$G$1199,MATCH(905,Engine!$C$2:$C$1199,0)))</f>
        <v/>
      </c>
      <c r="H918" s="7" t="str">
        <f>IF(ISNA(MATCH(905,Engine!$C$2:$C$1199,0)),"",INDEX('Compliance Database'!$H$2:$H$1199,MATCH(905,Engine!$C$2:$C$1199,0)))</f>
        <v/>
      </c>
      <c r="I918" s="7" t="str">
        <f>IF(ISNA(MATCH(905,Engine!$C$2:$C$1199,0)),"",INDEX('Compliance Database'!$I$2:$I$1199,MATCH(905,Engine!$C$2:$C$1199,0)))</f>
        <v/>
      </c>
      <c r="J918" s="6" t="str">
        <f>IF(ISNA(MATCH(905,Engine!$C$2:$C$1199,0)),"",INDEX('Compliance Database'!$J$2:$J$1199,MATCH(905,Engine!$C$2:$C$1199,0)))</f>
        <v/>
      </c>
      <c r="K918" s="7" t="str">
        <f>IF(ISNA(MATCH(905,Engine!$C$2:$C$1199,0)),"",INDEX('Compliance Database'!$K$2:$K$1199,MATCH(905,Engine!$C$2:$C$1199,0)))</f>
        <v/>
      </c>
      <c r="L918" s="7" t="str">
        <f>IF(ISNA(MATCH(905,Engine!$C$2:$C$1199,0)),"",INDEX('Compliance Database'!$L$2:$L$1199,MATCH(905,Engine!$C$2:$C$1199,0)))</f>
        <v/>
      </c>
      <c r="M918" s="7" t="str">
        <f>IF(ISNA(MATCH(905,Engine!$C$2:$C$1199,0)),"",INDEX('Compliance Database'!$M$2:$M$1199,MATCH(905,Engine!$C$2:$C$1199,0)))</f>
        <v/>
      </c>
      <c r="N918" s="7" t="str">
        <f>IF(ISNA(MATCH(905,Engine!$C$2:$C$1199,0)),"",INDEX('Compliance Database'!$N$2:$N$1199,MATCH(905,Engine!$C$2:$C$1199,0)))</f>
        <v/>
      </c>
      <c r="O918" s="7" t="str">
        <f>IF(ISNA(MATCH(905,Engine!$C$2:$C$1199,0)),"",INDEX('Compliance Database'!$O$2:$O$1199,MATCH(905,Engine!$C$2:$C$1199,0)))</f>
        <v/>
      </c>
      <c r="P918" s="6" t="str">
        <f>IF(ISNA(MATCH(905,Engine!$C$2:$C$1199,0)),"",HYPERLINK("#Acts!A"&amp;INDEX('Compliance Database'!$P$2:$P$1199,MATCH(905,Engine!$C$2:$C$1199,0)),"Go to Act"))</f>
        <v/>
      </c>
    </row>
    <row r="919" spans="1:16" ht="172.95" customHeight="1" x14ac:dyDescent="0.3">
      <c r="A919" s="6" t="str">
        <f>IF(ISNA(MATCH(906,Engine!$C$2:$C$1199,0)),"",INDEX('Compliance Database'!$A$2:$A$1199,MATCH(906,Engine!$C$2:$C$1199,0)))</f>
        <v/>
      </c>
      <c r="B919" s="6" t="str">
        <f>IF(ISNA(MATCH(906,Engine!$C$2:$C$1199,0)),"",INDEX('Compliance Database'!$B$2:$B$1199,MATCH(906,Engine!$C$2:$C$1199,0)))</f>
        <v/>
      </c>
      <c r="C919" s="6" t="str">
        <f>IF(ISNA(MATCH(906,Engine!$C$2:$C$1199,0)),"",INDEX('Compliance Database'!$C$2:$C$1199,MATCH(906,Engine!$C$2:$C$1199,0)))</f>
        <v/>
      </c>
      <c r="D919" s="7" t="str">
        <f>IF(ISNA(MATCH(906,Engine!$C$2:$C$1199,0)),"",INDEX('Compliance Database'!$D$2:$D$1199,MATCH(906,Engine!$C$2:$C$1199,0)))</f>
        <v/>
      </c>
      <c r="E919" s="6" t="str">
        <f>IF(ISNA(MATCH(906,Engine!$C$2:$C$1199,0)),"",INDEX('Compliance Database'!$E$2:$E$1199,MATCH(906,Engine!$C$2:$C$1199,0)))</f>
        <v/>
      </c>
      <c r="F919" s="6" t="str">
        <f>IF(ISNA(MATCH(906,Engine!$C$2:$C$1199,0)),"",INDEX('Compliance Database'!$F$2:$F$1199,MATCH(906,Engine!$C$2:$C$1199,0)))</f>
        <v/>
      </c>
      <c r="G919" s="6" t="str">
        <f>IF(ISNA(MATCH(906,Engine!$C$2:$C$1199,0)),"",INDEX('Compliance Database'!$G$2:$G$1199,MATCH(906,Engine!$C$2:$C$1199,0)))</f>
        <v/>
      </c>
      <c r="H919" s="7" t="str">
        <f>IF(ISNA(MATCH(906,Engine!$C$2:$C$1199,0)),"",INDEX('Compliance Database'!$H$2:$H$1199,MATCH(906,Engine!$C$2:$C$1199,0)))</f>
        <v/>
      </c>
      <c r="I919" s="7" t="str">
        <f>IF(ISNA(MATCH(906,Engine!$C$2:$C$1199,0)),"",INDEX('Compliance Database'!$I$2:$I$1199,MATCH(906,Engine!$C$2:$C$1199,0)))</f>
        <v/>
      </c>
      <c r="J919" s="6" t="str">
        <f>IF(ISNA(MATCH(906,Engine!$C$2:$C$1199,0)),"",INDEX('Compliance Database'!$J$2:$J$1199,MATCH(906,Engine!$C$2:$C$1199,0)))</f>
        <v/>
      </c>
      <c r="K919" s="7" t="str">
        <f>IF(ISNA(MATCH(906,Engine!$C$2:$C$1199,0)),"",INDEX('Compliance Database'!$K$2:$K$1199,MATCH(906,Engine!$C$2:$C$1199,0)))</f>
        <v/>
      </c>
      <c r="L919" s="7" t="str">
        <f>IF(ISNA(MATCH(906,Engine!$C$2:$C$1199,0)),"",INDEX('Compliance Database'!$L$2:$L$1199,MATCH(906,Engine!$C$2:$C$1199,0)))</f>
        <v/>
      </c>
      <c r="M919" s="7" t="str">
        <f>IF(ISNA(MATCH(906,Engine!$C$2:$C$1199,0)),"",INDEX('Compliance Database'!$M$2:$M$1199,MATCH(906,Engine!$C$2:$C$1199,0)))</f>
        <v/>
      </c>
      <c r="N919" s="7" t="str">
        <f>IF(ISNA(MATCH(906,Engine!$C$2:$C$1199,0)),"",INDEX('Compliance Database'!$N$2:$N$1199,MATCH(906,Engine!$C$2:$C$1199,0)))</f>
        <v/>
      </c>
      <c r="O919" s="7" t="str">
        <f>IF(ISNA(MATCH(906,Engine!$C$2:$C$1199,0)),"",INDEX('Compliance Database'!$O$2:$O$1199,MATCH(906,Engine!$C$2:$C$1199,0)))</f>
        <v/>
      </c>
      <c r="P919" s="6" t="str">
        <f>IF(ISNA(MATCH(906,Engine!$C$2:$C$1199,0)),"",HYPERLINK("#Acts!A"&amp;INDEX('Compliance Database'!$P$2:$P$1199,MATCH(906,Engine!$C$2:$C$1199,0)),"Go to Act"))</f>
        <v/>
      </c>
    </row>
    <row r="920" spans="1:16" ht="172.95" customHeight="1" x14ac:dyDescent="0.3">
      <c r="A920" s="6" t="str">
        <f>IF(ISNA(MATCH(907,Engine!$C$2:$C$1199,0)),"",INDEX('Compliance Database'!$A$2:$A$1199,MATCH(907,Engine!$C$2:$C$1199,0)))</f>
        <v/>
      </c>
      <c r="B920" s="6" t="str">
        <f>IF(ISNA(MATCH(907,Engine!$C$2:$C$1199,0)),"",INDEX('Compliance Database'!$B$2:$B$1199,MATCH(907,Engine!$C$2:$C$1199,0)))</f>
        <v/>
      </c>
      <c r="C920" s="6" t="str">
        <f>IF(ISNA(MATCH(907,Engine!$C$2:$C$1199,0)),"",INDEX('Compliance Database'!$C$2:$C$1199,MATCH(907,Engine!$C$2:$C$1199,0)))</f>
        <v/>
      </c>
      <c r="D920" s="7" t="str">
        <f>IF(ISNA(MATCH(907,Engine!$C$2:$C$1199,0)),"",INDEX('Compliance Database'!$D$2:$D$1199,MATCH(907,Engine!$C$2:$C$1199,0)))</f>
        <v/>
      </c>
      <c r="E920" s="6" t="str">
        <f>IF(ISNA(MATCH(907,Engine!$C$2:$C$1199,0)),"",INDEX('Compliance Database'!$E$2:$E$1199,MATCH(907,Engine!$C$2:$C$1199,0)))</f>
        <v/>
      </c>
      <c r="F920" s="6" t="str">
        <f>IF(ISNA(MATCH(907,Engine!$C$2:$C$1199,0)),"",INDEX('Compliance Database'!$F$2:$F$1199,MATCH(907,Engine!$C$2:$C$1199,0)))</f>
        <v/>
      </c>
      <c r="G920" s="6" t="str">
        <f>IF(ISNA(MATCH(907,Engine!$C$2:$C$1199,0)),"",INDEX('Compliance Database'!$G$2:$G$1199,MATCH(907,Engine!$C$2:$C$1199,0)))</f>
        <v/>
      </c>
      <c r="H920" s="7" t="str">
        <f>IF(ISNA(MATCH(907,Engine!$C$2:$C$1199,0)),"",INDEX('Compliance Database'!$H$2:$H$1199,MATCH(907,Engine!$C$2:$C$1199,0)))</f>
        <v/>
      </c>
      <c r="I920" s="7" t="str">
        <f>IF(ISNA(MATCH(907,Engine!$C$2:$C$1199,0)),"",INDEX('Compliance Database'!$I$2:$I$1199,MATCH(907,Engine!$C$2:$C$1199,0)))</f>
        <v/>
      </c>
      <c r="J920" s="6" t="str">
        <f>IF(ISNA(MATCH(907,Engine!$C$2:$C$1199,0)),"",INDEX('Compliance Database'!$J$2:$J$1199,MATCH(907,Engine!$C$2:$C$1199,0)))</f>
        <v/>
      </c>
      <c r="K920" s="7" t="str">
        <f>IF(ISNA(MATCH(907,Engine!$C$2:$C$1199,0)),"",INDEX('Compliance Database'!$K$2:$K$1199,MATCH(907,Engine!$C$2:$C$1199,0)))</f>
        <v/>
      </c>
      <c r="L920" s="7" t="str">
        <f>IF(ISNA(MATCH(907,Engine!$C$2:$C$1199,0)),"",INDEX('Compliance Database'!$L$2:$L$1199,MATCH(907,Engine!$C$2:$C$1199,0)))</f>
        <v/>
      </c>
      <c r="M920" s="7" t="str">
        <f>IF(ISNA(MATCH(907,Engine!$C$2:$C$1199,0)),"",INDEX('Compliance Database'!$M$2:$M$1199,MATCH(907,Engine!$C$2:$C$1199,0)))</f>
        <v/>
      </c>
      <c r="N920" s="7" t="str">
        <f>IF(ISNA(MATCH(907,Engine!$C$2:$C$1199,0)),"",INDEX('Compliance Database'!$N$2:$N$1199,MATCH(907,Engine!$C$2:$C$1199,0)))</f>
        <v/>
      </c>
      <c r="O920" s="7" t="str">
        <f>IF(ISNA(MATCH(907,Engine!$C$2:$C$1199,0)),"",INDEX('Compliance Database'!$O$2:$O$1199,MATCH(907,Engine!$C$2:$C$1199,0)))</f>
        <v/>
      </c>
      <c r="P920" s="6" t="str">
        <f>IF(ISNA(MATCH(907,Engine!$C$2:$C$1199,0)),"",HYPERLINK("#Acts!A"&amp;INDEX('Compliance Database'!$P$2:$P$1199,MATCH(907,Engine!$C$2:$C$1199,0)),"Go to Act"))</f>
        <v/>
      </c>
    </row>
    <row r="921" spans="1:16" ht="172.95" customHeight="1" x14ac:dyDescent="0.3">
      <c r="A921" s="6" t="str">
        <f>IF(ISNA(MATCH(908,Engine!$C$2:$C$1199,0)),"",INDEX('Compliance Database'!$A$2:$A$1199,MATCH(908,Engine!$C$2:$C$1199,0)))</f>
        <v/>
      </c>
      <c r="B921" s="6" t="str">
        <f>IF(ISNA(MATCH(908,Engine!$C$2:$C$1199,0)),"",INDEX('Compliance Database'!$B$2:$B$1199,MATCH(908,Engine!$C$2:$C$1199,0)))</f>
        <v/>
      </c>
      <c r="C921" s="6" t="str">
        <f>IF(ISNA(MATCH(908,Engine!$C$2:$C$1199,0)),"",INDEX('Compliance Database'!$C$2:$C$1199,MATCH(908,Engine!$C$2:$C$1199,0)))</f>
        <v/>
      </c>
      <c r="D921" s="7" t="str">
        <f>IF(ISNA(MATCH(908,Engine!$C$2:$C$1199,0)),"",INDEX('Compliance Database'!$D$2:$D$1199,MATCH(908,Engine!$C$2:$C$1199,0)))</f>
        <v/>
      </c>
      <c r="E921" s="6" t="str">
        <f>IF(ISNA(MATCH(908,Engine!$C$2:$C$1199,0)),"",INDEX('Compliance Database'!$E$2:$E$1199,MATCH(908,Engine!$C$2:$C$1199,0)))</f>
        <v/>
      </c>
      <c r="F921" s="6" t="str">
        <f>IF(ISNA(MATCH(908,Engine!$C$2:$C$1199,0)),"",INDEX('Compliance Database'!$F$2:$F$1199,MATCH(908,Engine!$C$2:$C$1199,0)))</f>
        <v/>
      </c>
      <c r="G921" s="6" t="str">
        <f>IF(ISNA(MATCH(908,Engine!$C$2:$C$1199,0)),"",INDEX('Compliance Database'!$G$2:$G$1199,MATCH(908,Engine!$C$2:$C$1199,0)))</f>
        <v/>
      </c>
      <c r="H921" s="7" t="str">
        <f>IF(ISNA(MATCH(908,Engine!$C$2:$C$1199,0)),"",INDEX('Compliance Database'!$H$2:$H$1199,MATCH(908,Engine!$C$2:$C$1199,0)))</f>
        <v/>
      </c>
      <c r="I921" s="7" t="str">
        <f>IF(ISNA(MATCH(908,Engine!$C$2:$C$1199,0)),"",INDEX('Compliance Database'!$I$2:$I$1199,MATCH(908,Engine!$C$2:$C$1199,0)))</f>
        <v/>
      </c>
      <c r="J921" s="6" t="str">
        <f>IF(ISNA(MATCH(908,Engine!$C$2:$C$1199,0)),"",INDEX('Compliance Database'!$J$2:$J$1199,MATCH(908,Engine!$C$2:$C$1199,0)))</f>
        <v/>
      </c>
      <c r="K921" s="7" t="str">
        <f>IF(ISNA(MATCH(908,Engine!$C$2:$C$1199,0)),"",INDEX('Compliance Database'!$K$2:$K$1199,MATCH(908,Engine!$C$2:$C$1199,0)))</f>
        <v/>
      </c>
      <c r="L921" s="7" t="str">
        <f>IF(ISNA(MATCH(908,Engine!$C$2:$C$1199,0)),"",INDEX('Compliance Database'!$L$2:$L$1199,MATCH(908,Engine!$C$2:$C$1199,0)))</f>
        <v/>
      </c>
      <c r="M921" s="7" t="str">
        <f>IF(ISNA(MATCH(908,Engine!$C$2:$C$1199,0)),"",INDEX('Compliance Database'!$M$2:$M$1199,MATCH(908,Engine!$C$2:$C$1199,0)))</f>
        <v/>
      </c>
      <c r="N921" s="7" t="str">
        <f>IF(ISNA(MATCH(908,Engine!$C$2:$C$1199,0)),"",INDEX('Compliance Database'!$N$2:$N$1199,MATCH(908,Engine!$C$2:$C$1199,0)))</f>
        <v/>
      </c>
      <c r="O921" s="7" t="str">
        <f>IF(ISNA(MATCH(908,Engine!$C$2:$C$1199,0)),"",INDEX('Compliance Database'!$O$2:$O$1199,MATCH(908,Engine!$C$2:$C$1199,0)))</f>
        <v/>
      </c>
      <c r="P921" s="6" t="str">
        <f>IF(ISNA(MATCH(908,Engine!$C$2:$C$1199,0)),"",HYPERLINK("#Acts!A"&amp;INDEX('Compliance Database'!$P$2:$P$1199,MATCH(908,Engine!$C$2:$C$1199,0)),"Go to Act"))</f>
        <v/>
      </c>
    </row>
    <row r="922" spans="1:16" ht="172.95" customHeight="1" x14ac:dyDescent="0.3">
      <c r="A922" s="6" t="str">
        <f>IF(ISNA(MATCH(909,Engine!$C$2:$C$1199,0)),"",INDEX('Compliance Database'!$A$2:$A$1199,MATCH(909,Engine!$C$2:$C$1199,0)))</f>
        <v/>
      </c>
      <c r="B922" s="6" t="str">
        <f>IF(ISNA(MATCH(909,Engine!$C$2:$C$1199,0)),"",INDEX('Compliance Database'!$B$2:$B$1199,MATCH(909,Engine!$C$2:$C$1199,0)))</f>
        <v/>
      </c>
      <c r="C922" s="6" t="str">
        <f>IF(ISNA(MATCH(909,Engine!$C$2:$C$1199,0)),"",INDEX('Compliance Database'!$C$2:$C$1199,MATCH(909,Engine!$C$2:$C$1199,0)))</f>
        <v/>
      </c>
      <c r="D922" s="7" t="str">
        <f>IF(ISNA(MATCH(909,Engine!$C$2:$C$1199,0)),"",INDEX('Compliance Database'!$D$2:$D$1199,MATCH(909,Engine!$C$2:$C$1199,0)))</f>
        <v/>
      </c>
      <c r="E922" s="6" t="str">
        <f>IF(ISNA(MATCH(909,Engine!$C$2:$C$1199,0)),"",INDEX('Compliance Database'!$E$2:$E$1199,MATCH(909,Engine!$C$2:$C$1199,0)))</f>
        <v/>
      </c>
      <c r="F922" s="6" t="str">
        <f>IF(ISNA(MATCH(909,Engine!$C$2:$C$1199,0)),"",INDEX('Compliance Database'!$F$2:$F$1199,MATCH(909,Engine!$C$2:$C$1199,0)))</f>
        <v/>
      </c>
      <c r="G922" s="6" t="str">
        <f>IF(ISNA(MATCH(909,Engine!$C$2:$C$1199,0)),"",INDEX('Compliance Database'!$G$2:$G$1199,MATCH(909,Engine!$C$2:$C$1199,0)))</f>
        <v/>
      </c>
      <c r="H922" s="7" t="str">
        <f>IF(ISNA(MATCH(909,Engine!$C$2:$C$1199,0)),"",INDEX('Compliance Database'!$H$2:$H$1199,MATCH(909,Engine!$C$2:$C$1199,0)))</f>
        <v/>
      </c>
      <c r="I922" s="7" t="str">
        <f>IF(ISNA(MATCH(909,Engine!$C$2:$C$1199,0)),"",INDEX('Compliance Database'!$I$2:$I$1199,MATCH(909,Engine!$C$2:$C$1199,0)))</f>
        <v/>
      </c>
      <c r="J922" s="6" t="str">
        <f>IF(ISNA(MATCH(909,Engine!$C$2:$C$1199,0)),"",INDEX('Compliance Database'!$J$2:$J$1199,MATCH(909,Engine!$C$2:$C$1199,0)))</f>
        <v/>
      </c>
      <c r="K922" s="7" t="str">
        <f>IF(ISNA(MATCH(909,Engine!$C$2:$C$1199,0)),"",INDEX('Compliance Database'!$K$2:$K$1199,MATCH(909,Engine!$C$2:$C$1199,0)))</f>
        <v/>
      </c>
      <c r="L922" s="7" t="str">
        <f>IF(ISNA(MATCH(909,Engine!$C$2:$C$1199,0)),"",INDEX('Compliance Database'!$L$2:$L$1199,MATCH(909,Engine!$C$2:$C$1199,0)))</f>
        <v/>
      </c>
      <c r="M922" s="7" t="str">
        <f>IF(ISNA(MATCH(909,Engine!$C$2:$C$1199,0)),"",INDEX('Compliance Database'!$M$2:$M$1199,MATCH(909,Engine!$C$2:$C$1199,0)))</f>
        <v/>
      </c>
      <c r="N922" s="7" t="str">
        <f>IF(ISNA(MATCH(909,Engine!$C$2:$C$1199,0)),"",INDEX('Compliance Database'!$N$2:$N$1199,MATCH(909,Engine!$C$2:$C$1199,0)))</f>
        <v/>
      </c>
      <c r="O922" s="7" t="str">
        <f>IF(ISNA(MATCH(909,Engine!$C$2:$C$1199,0)),"",INDEX('Compliance Database'!$O$2:$O$1199,MATCH(909,Engine!$C$2:$C$1199,0)))</f>
        <v/>
      </c>
      <c r="P922" s="6" t="str">
        <f>IF(ISNA(MATCH(909,Engine!$C$2:$C$1199,0)),"",HYPERLINK("#Acts!A"&amp;INDEX('Compliance Database'!$P$2:$P$1199,MATCH(909,Engine!$C$2:$C$1199,0)),"Go to Act"))</f>
        <v/>
      </c>
    </row>
    <row r="923" spans="1:16" ht="172.95" customHeight="1" x14ac:dyDescent="0.3">
      <c r="A923" s="6" t="str">
        <f>IF(ISNA(MATCH(910,Engine!$C$2:$C$1199,0)),"",INDEX('Compliance Database'!$A$2:$A$1199,MATCH(910,Engine!$C$2:$C$1199,0)))</f>
        <v/>
      </c>
      <c r="B923" s="6" t="str">
        <f>IF(ISNA(MATCH(910,Engine!$C$2:$C$1199,0)),"",INDEX('Compliance Database'!$B$2:$B$1199,MATCH(910,Engine!$C$2:$C$1199,0)))</f>
        <v/>
      </c>
      <c r="C923" s="6" t="str">
        <f>IF(ISNA(MATCH(910,Engine!$C$2:$C$1199,0)),"",INDEX('Compliance Database'!$C$2:$C$1199,MATCH(910,Engine!$C$2:$C$1199,0)))</f>
        <v/>
      </c>
      <c r="D923" s="7" t="str">
        <f>IF(ISNA(MATCH(910,Engine!$C$2:$C$1199,0)),"",INDEX('Compliance Database'!$D$2:$D$1199,MATCH(910,Engine!$C$2:$C$1199,0)))</f>
        <v/>
      </c>
      <c r="E923" s="6" t="str">
        <f>IF(ISNA(MATCH(910,Engine!$C$2:$C$1199,0)),"",INDEX('Compliance Database'!$E$2:$E$1199,MATCH(910,Engine!$C$2:$C$1199,0)))</f>
        <v/>
      </c>
      <c r="F923" s="6" t="str">
        <f>IF(ISNA(MATCH(910,Engine!$C$2:$C$1199,0)),"",INDEX('Compliance Database'!$F$2:$F$1199,MATCH(910,Engine!$C$2:$C$1199,0)))</f>
        <v/>
      </c>
      <c r="G923" s="6" t="str">
        <f>IF(ISNA(MATCH(910,Engine!$C$2:$C$1199,0)),"",INDEX('Compliance Database'!$G$2:$G$1199,MATCH(910,Engine!$C$2:$C$1199,0)))</f>
        <v/>
      </c>
      <c r="H923" s="7" t="str">
        <f>IF(ISNA(MATCH(910,Engine!$C$2:$C$1199,0)),"",INDEX('Compliance Database'!$H$2:$H$1199,MATCH(910,Engine!$C$2:$C$1199,0)))</f>
        <v/>
      </c>
      <c r="I923" s="7" t="str">
        <f>IF(ISNA(MATCH(910,Engine!$C$2:$C$1199,0)),"",INDEX('Compliance Database'!$I$2:$I$1199,MATCH(910,Engine!$C$2:$C$1199,0)))</f>
        <v/>
      </c>
      <c r="J923" s="6" t="str">
        <f>IF(ISNA(MATCH(910,Engine!$C$2:$C$1199,0)),"",INDEX('Compliance Database'!$J$2:$J$1199,MATCH(910,Engine!$C$2:$C$1199,0)))</f>
        <v/>
      </c>
      <c r="K923" s="7" t="str">
        <f>IF(ISNA(MATCH(910,Engine!$C$2:$C$1199,0)),"",INDEX('Compliance Database'!$K$2:$K$1199,MATCH(910,Engine!$C$2:$C$1199,0)))</f>
        <v/>
      </c>
      <c r="L923" s="7" t="str">
        <f>IF(ISNA(MATCH(910,Engine!$C$2:$C$1199,0)),"",INDEX('Compliance Database'!$L$2:$L$1199,MATCH(910,Engine!$C$2:$C$1199,0)))</f>
        <v/>
      </c>
      <c r="M923" s="7" t="str">
        <f>IF(ISNA(MATCH(910,Engine!$C$2:$C$1199,0)),"",INDEX('Compliance Database'!$M$2:$M$1199,MATCH(910,Engine!$C$2:$C$1199,0)))</f>
        <v/>
      </c>
      <c r="N923" s="7" t="str">
        <f>IF(ISNA(MATCH(910,Engine!$C$2:$C$1199,0)),"",INDEX('Compliance Database'!$N$2:$N$1199,MATCH(910,Engine!$C$2:$C$1199,0)))</f>
        <v/>
      </c>
      <c r="O923" s="7" t="str">
        <f>IF(ISNA(MATCH(910,Engine!$C$2:$C$1199,0)),"",INDEX('Compliance Database'!$O$2:$O$1199,MATCH(910,Engine!$C$2:$C$1199,0)))</f>
        <v/>
      </c>
      <c r="P923" s="6" t="str">
        <f>IF(ISNA(MATCH(910,Engine!$C$2:$C$1199,0)),"",HYPERLINK("#Acts!A"&amp;INDEX('Compliance Database'!$P$2:$P$1199,MATCH(910,Engine!$C$2:$C$1199,0)),"Go to Act"))</f>
        <v/>
      </c>
    </row>
    <row r="924" spans="1:16" ht="172.95" customHeight="1" x14ac:dyDescent="0.3">
      <c r="A924" s="6" t="str">
        <f>IF(ISNA(MATCH(911,Engine!$C$2:$C$1199,0)),"",INDEX('Compliance Database'!$A$2:$A$1199,MATCH(911,Engine!$C$2:$C$1199,0)))</f>
        <v/>
      </c>
      <c r="B924" s="6" t="str">
        <f>IF(ISNA(MATCH(911,Engine!$C$2:$C$1199,0)),"",INDEX('Compliance Database'!$B$2:$B$1199,MATCH(911,Engine!$C$2:$C$1199,0)))</f>
        <v/>
      </c>
      <c r="C924" s="6" t="str">
        <f>IF(ISNA(MATCH(911,Engine!$C$2:$C$1199,0)),"",INDEX('Compliance Database'!$C$2:$C$1199,MATCH(911,Engine!$C$2:$C$1199,0)))</f>
        <v/>
      </c>
      <c r="D924" s="7" t="str">
        <f>IF(ISNA(MATCH(911,Engine!$C$2:$C$1199,0)),"",INDEX('Compliance Database'!$D$2:$D$1199,MATCH(911,Engine!$C$2:$C$1199,0)))</f>
        <v/>
      </c>
      <c r="E924" s="6" t="str">
        <f>IF(ISNA(MATCH(911,Engine!$C$2:$C$1199,0)),"",INDEX('Compliance Database'!$E$2:$E$1199,MATCH(911,Engine!$C$2:$C$1199,0)))</f>
        <v/>
      </c>
      <c r="F924" s="6" t="str">
        <f>IF(ISNA(MATCH(911,Engine!$C$2:$C$1199,0)),"",INDEX('Compliance Database'!$F$2:$F$1199,MATCH(911,Engine!$C$2:$C$1199,0)))</f>
        <v/>
      </c>
      <c r="G924" s="6" t="str">
        <f>IF(ISNA(MATCH(911,Engine!$C$2:$C$1199,0)),"",INDEX('Compliance Database'!$G$2:$G$1199,MATCH(911,Engine!$C$2:$C$1199,0)))</f>
        <v/>
      </c>
      <c r="H924" s="7" t="str">
        <f>IF(ISNA(MATCH(911,Engine!$C$2:$C$1199,0)),"",INDEX('Compliance Database'!$H$2:$H$1199,MATCH(911,Engine!$C$2:$C$1199,0)))</f>
        <v/>
      </c>
      <c r="I924" s="7" t="str">
        <f>IF(ISNA(MATCH(911,Engine!$C$2:$C$1199,0)),"",INDEX('Compliance Database'!$I$2:$I$1199,MATCH(911,Engine!$C$2:$C$1199,0)))</f>
        <v/>
      </c>
      <c r="J924" s="6" t="str">
        <f>IF(ISNA(MATCH(911,Engine!$C$2:$C$1199,0)),"",INDEX('Compliance Database'!$J$2:$J$1199,MATCH(911,Engine!$C$2:$C$1199,0)))</f>
        <v/>
      </c>
      <c r="K924" s="7" t="str">
        <f>IF(ISNA(MATCH(911,Engine!$C$2:$C$1199,0)),"",INDEX('Compliance Database'!$K$2:$K$1199,MATCH(911,Engine!$C$2:$C$1199,0)))</f>
        <v/>
      </c>
      <c r="L924" s="7" t="str">
        <f>IF(ISNA(MATCH(911,Engine!$C$2:$C$1199,0)),"",INDEX('Compliance Database'!$L$2:$L$1199,MATCH(911,Engine!$C$2:$C$1199,0)))</f>
        <v/>
      </c>
      <c r="M924" s="7" t="str">
        <f>IF(ISNA(MATCH(911,Engine!$C$2:$C$1199,0)),"",INDEX('Compliance Database'!$M$2:$M$1199,MATCH(911,Engine!$C$2:$C$1199,0)))</f>
        <v/>
      </c>
      <c r="N924" s="7" t="str">
        <f>IF(ISNA(MATCH(911,Engine!$C$2:$C$1199,0)),"",INDEX('Compliance Database'!$N$2:$N$1199,MATCH(911,Engine!$C$2:$C$1199,0)))</f>
        <v/>
      </c>
      <c r="O924" s="7" t="str">
        <f>IF(ISNA(MATCH(911,Engine!$C$2:$C$1199,0)),"",INDEX('Compliance Database'!$O$2:$O$1199,MATCH(911,Engine!$C$2:$C$1199,0)))</f>
        <v/>
      </c>
      <c r="P924" s="6" t="str">
        <f>IF(ISNA(MATCH(911,Engine!$C$2:$C$1199,0)),"",HYPERLINK("#Acts!A"&amp;INDEX('Compliance Database'!$P$2:$P$1199,MATCH(911,Engine!$C$2:$C$1199,0)),"Go to Act"))</f>
        <v/>
      </c>
    </row>
    <row r="925" spans="1:16" ht="172.95" customHeight="1" x14ac:dyDescent="0.3">
      <c r="A925" s="6" t="str">
        <f>IF(ISNA(MATCH(912,Engine!$C$2:$C$1199,0)),"",INDEX('Compliance Database'!$A$2:$A$1199,MATCH(912,Engine!$C$2:$C$1199,0)))</f>
        <v/>
      </c>
      <c r="B925" s="6" t="str">
        <f>IF(ISNA(MATCH(912,Engine!$C$2:$C$1199,0)),"",INDEX('Compliance Database'!$B$2:$B$1199,MATCH(912,Engine!$C$2:$C$1199,0)))</f>
        <v/>
      </c>
      <c r="C925" s="6" t="str">
        <f>IF(ISNA(MATCH(912,Engine!$C$2:$C$1199,0)),"",INDEX('Compliance Database'!$C$2:$C$1199,MATCH(912,Engine!$C$2:$C$1199,0)))</f>
        <v/>
      </c>
      <c r="D925" s="7" t="str">
        <f>IF(ISNA(MATCH(912,Engine!$C$2:$C$1199,0)),"",INDEX('Compliance Database'!$D$2:$D$1199,MATCH(912,Engine!$C$2:$C$1199,0)))</f>
        <v/>
      </c>
      <c r="E925" s="6" t="str">
        <f>IF(ISNA(MATCH(912,Engine!$C$2:$C$1199,0)),"",INDEX('Compliance Database'!$E$2:$E$1199,MATCH(912,Engine!$C$2:$C$1199,0)))</f>
        <v/>
      </c>
      <c r="F925" s="6" t="str">
        <f>IF(ISNA(MATCH(912,Engine!$C$2:$C$1199,0)),"",INDEX('Compliance Database'!$F$2:$F$1199,MATCH(912,Engine!$C$2:$C$1199,0)))</f>
        <v/>
      </c>
      <c r="G925" s="6" t="str">
        <f>IF(ISNA(MATCH(912,Engine!$C$2:$C$1199,0)),"",INDEX('Compliance Database'!$G$2:$G$1199,MATCH(912,Engine!$C$2:$C$1199,0)))</f>
        <v/>
      </c>
      <c r="H925" s="7" t="str">
        <f>IF(ISNA(MATCH(912,Engine!$C$2:$C$1199,0)),"",INDEX('Compliance Database'!$H$2:$H$1199,MATCH(912,Engine!$C$2:$C$1199,0)))</f>
        <v/>
      </c>
      <c r="I925" s="7" t="str">
        <f>IF(ISNA(MATCH(912,Engine!$C$2:$C$1199,0)),"",INDEX('Compliance Database'!$I$2:$I$1199,MATCH(912,Engine!$C$2:$C$1199,0)))</f>
        <v/>
      </c>
      <c r="J925" s="6" t="str">
        <f>IF(ISNA(MATCH(912,Engine!$C$2:$C$1199,0)),"",INDEX('Compliance Database'!$J$2:$J$1199,MATCH(912,Engine!$C$2:$C$1199,0)))</f>
        <v/>
      </c>
      <c r="K925" s="7" t="str">
        <f>IF(ISNA(MATCH(912,Engine!$C$2:$C$1199,0)),"",INDEX('Compliance Database'!$K$2:$K$1199,MATCH(912,Engine!$C$2:$C$1199,0)))</f>
        <v/>
      </c>
      <c r="L925" s="7" t="str">
        <f>IF(ISNA(MATCH(912,Engine!$C$2:$C$1199,0)),"",INDEX('Compliance Database'!$L$2:$L$1199,MATCH(912,Engine!$C$2:$C$1199,0)))</f>
        <v/>
      </c>
      <c r="M925" s="7" t="str">
        <f>IF(ISNA(MATCH(912,Engine!$C$2:$C$1199,0)),"",INDEX('Compliance Database'!$M$2:$M$1199,MATCH(912,Engine!$C$2:$C$1199,0)))</f>
        <v/>
      </c>
      <c r="N925" s="7" t="str">
        <f>IF(ISNA(MATCH(912,Engine!$C$2:$C$1199,0)),"",INDEX('Compliance Database'!$N$2:$N$1199,MATCH(912,Engine!$C$2:$C$1199,0)))</f>
        <v/>
      </c>
      <c r="O925" s="7" t="str">
        <f>IF(ISNA(MATCH(912,Engine!$C$2:$C$1199,0)),"",INDEX('Compliance Database'!$O$2:$O$1199,MATCH(912,Engine!$C$2:$C$1199,0)))</f>
        <v/>
      </c>
      <c r="P925" s="6" t="str">
        <f>IF(ISNA(MATCH(912,Engine!$C$2:$C$1199,0)),"",HYPERLINK("#Acts!A"&amp;INDEX('Compliance Database'!$P$2:$P$1199,MATCH(912,Engine!$C$2:$C$1199,0)),"Go to Act"))</f>
        <v/>
      </c>
    </row>
    <row r="926" spans="1:16" ht="172.95" customHeight="1" x14ac:dyDescent="0.3">
      <c r="A926" s="6" t="str">
        <f>IF(ISNA(MATCH(913,Engine!$C$2:$C$1199,0)),"",INDEX('Compliance Database'!$A$2:$A$1199,MATCH(913,Engine!$C$2:$C$1199,0)))</f>
        <v/>
      </c>
      <c r="B926" s="6" t="str">
        <f>IF(ISNA(MATCH(913,Engine!$C$2:$C$1199,0)),"",INDEX('Compliance Database'!$B$2:$B$1199,MATCH(913,Engine!$C$2:$C$1199,0)))</f>
        <v/>
      </c>
      <c r="C926" s="6" t="str">
        <f>IF(ISNA(MATCH(913,Engine!$C$2:$C$1199,0)),"",INDEX('Compliance Database'!$C$2:$C$1199,MATCH(913,Engine!$C$2:$C$1199,0)))</f>
        <v/>
      </c>
      <c r="D926" s="7" t="str">
        <f>IF(ISNA(MATCH(913,Engine!$C$2:$C$1199,0)),"",INDEX('Compliance Database'!$D$2:$D$1199,MATCH(913,Engine!$C$2:$C$1199,0)))</f>
        <v/>
      </c>
      <c r="E926" s="6" t="str">
        <f>IF(ISNA(MATCH(913,Engine!$C$2:$C$1199,0)),"",INDEX('Compliance Database'!$E$2:$E$1199,MATCH(913,Engine!$C$2:$C$1199,0)))</f>
        <v/>
      </c>
      <c r="F926" s="6" t="str">
        <f>IF(ISNA(MATCH(913,Engine!$C$2:$C$1199,0)),"",INDEX('Compliance Database'!$F$2:$F$1199,MATCH(913,Engine!$C$2:$C$1199,0)))</f>
        <v/>
      </c>
      <c r="G926" s="6" t="str">
        <f>IF(ISNA(MATCH(913,Engine!$C$2:$C$1199,0)),"",INDEX('Compliance Database'!$G$2:$G$1199,MATCH(913,Engine!$C$2:$C$1199,0)))</f>
        <v/>
      </c>
      <c r="H926" s="7" t="str">
        <f>IF(ISNA(MATCH(913,Engine!$C$2:$C$1199,0)),"",INDEX('Compliance Database'!$H$2:$H$1199,MATCH(913,Engine!$C$2:$C$1199,0)))</f>
        <v/>
      </c>
      <c r="I926" s="7" t="str">
        <f>IF(ISNA(MATCH(913,Engine!$C$2:$C$1199,0)),"",INDEX('Compliance Database'!$I$2:$I$1199,MATCH(913,Engine!$C$2:$C$1199,0)))</f>
        <v/>
      </c>
      <c r="J926" s="6" t="str">
        <f>IF(ISNA(MATCH(913,Engine!$C$2:$C$1199,0)),"",INDEX('Compliance Database'!$J$2:$J$1199,MATCH(913,Engine!$C$2:$C$1199,0)))</f>
        <v/>
      </c>
      <c r="K926" s="7" t="str">
        <f>IF(ISNA(MATCH(913,Engine!$C$2:$C$1199,0)),"",INDEX('Compliance Database'!$K$2:$K$1199,MATCH(913,Engine!$C$2:$C$1199,0)))</f>
        <v/>
      </c>
      <c r="L926" s="7" t="str">
        <f>IF(ISNA(MATCH(913,Engine!$C$2:$C$1199,0)),"",INDEX('Compliance Database'!$L$2:$L$1199,MATCH(913,Engine!$C$2:$C$1199,0)))</f>
        <v/>
      </c>
      <c r="M926" s="7" t="str">
        <f>IF(ISNA(MATCH(913,Engine!$C$2:$C$1199,0)),"",INDEX('Compliance Database'!$M$2:$M$1199,MATCH(913,Engine!$C$2:$C$1199,0)))</f>
        <v/>
      </c>
      <c r="N926" s="7" t="str">
        <f>IF(ISNA(MATCH(913,Engine!$C$2:$C$1199,0)),"",INDEX('Compliance Database'!$N$2:$N$1199,MATCH(913,Engine!$C$2:$C$1199,0)))</f>
        <v/>
      </c>
      <c r="O926" s="7" t="str">
        <f>IF(ISNA(MATCH(913,Engine!$C$2:$C$1199,0)),"",INDEX('Compliance Database'!$O$2:$O$1199,MATCH(913,Engine!$C$2:$C$1199,0)))</f>
        <v/>
      </c>
      <c r="P926" s="6" t="str">
        <f>IF(ISNA(MATCH(913,Engine!$C$2:$C$1199,0)),"",HYPERLINK("#Acts!A"&amp;INDEX('Compliance Database'!$P$2:$P$1199,MATCH(913,Engine!$C$2:$C$1199,0)),"Go to Act"))</f>
        <v/>
      </c>
    </row>
    <row r="927" spans="1:16" ht="172.95" customHeight="1" x14ac:dyDescent="0.3">
      <c r="A927" s="6" t="str">
        <f>IF(ISNA(MATCH(914,Engine!$C$2:$C$1199,0)),"",INDEX('Compliance Database'!$A$2:$A$1199,MATCH(914,Engine!$C$2:$C$1199,0)))</f>
        <v/>
      </c>
      <c r="B927" s="6" t="str">
        <f>IF(ISNA(MATCH(914,Engine!$C$2:$C$1199,0)),"",INDEX('Compliance Database'!$B$2:$B$1199,MATCH(914,Engine!$C$2:$C$1199,0)))</f>
        <v/>
      </c>
      <c r="C927" s="6" t="str">
        <f>IF(ISNA(MATCH(914,Engine!$C$2:$C$1199,0)),"",INDEX('Compliance Database'!$C$2:$C$1199,MATCH(914,Engine!$C$2:$C$1199,0)))</f>
        <v/>
      </c>
      <c r="D927" s="7" t="str">
        <f>IF(ISNA(MATCH(914,Engine!$C$2:$C$1199,0)),"",INDEX('Compliance Database'!$D$2:$D$1199,MATCH(914,Engine!$C$2:$C$1199,0)))</f>
        <v/>
      </c>
      <c r="E927" s="6" t="str">
        <f>IF(ISNA(MATCH(914,Engine!$C$2:$C$1199,0)),"",INDEX('Compliance Database'!$E$2:$E$1199,MATCH(914,Engine!$C$2:$C$1199,0)))</f>
        <v/>
      </c>
      <c r="F927" s="6" t="str">
        <f>IF(ISNA(MATCH(914,Engine!$C$2:$C$1199,0)),"",INDEX('Compliance Database'!$F$2:$F$1199,MATCH(914,Engine!$C$2:$C$1199,0)))</f>
        <v/>
      </c>
      <c r="G927" s="6" t="str">
        <f>IF(ISNA(MATCH(914,Engine!$C$2:$C$1199,0)),"",INDEX('Compliance Database'!$G$2:$G$1199,MATCH(914,Engine!$C$2:$C$1199,0)))</f>
        <v/>
      </c>
      <c r="H927" s="7" t="str">
        <f>IF(ISNA(MATCH(914,Engine!$C$2:$C$1199,0)),"",INDEX('Compliance Database'!$H$2:$H$1199,MATCH(914,Engine!$C$2:$C$1199,0)))</f>
        <v/>
      </c>
      <c r="I927" s="7" t="str">
        <f>IF(ISNA(MATCH(914,Engine!$C$2:$C$1199,0)),"",INDEX('Compliance Database'!$I$2:$I$1199,MATCH(914,Engine!$C$2:$C$1199,0)))</f>
        <v/>
      </c>
      <c r="J927" s="6" t="str">
        <f>IF(ISNA(MATCH(914,Engine!$C$2:$C$1199,0)),"",INDEX('Compliance Database'!$J$2:$J$1199,MATCH(914,Engine!$C$2:$C$1199,0)))</f>
        <v/>
      </c>
      <c r="K927" s="7" t="str">
        <f>IF(ISNA(MATCH(914,Engine!$C$2:$C$1199,0)),"",INDEX('Compliance Database'!$K$2:$K$1199,MATCH(914,Engine!$C$2:$C$1199,0)))</f>
        <v/>
      </c>
      <c r="L927" s="7" t="str">
        <f>IF(ISNA(MATCH(914,Engine!$C$2:$C$1199,0)),"",INDEX('Compliance Database'!$L$2:$L$1199,MATCH(914,Engine!$C$2:$C$1199,0)))</f>
        <v/>
      </c>
      <c r="M927" s="7" t="str">
        <f>IF(ISNA(MATCH(914,Engine!$C$2:$C$1199,0)),"",INDEX('Compliance Database'!$M$2:$M$1199,MATCH(914,Engine!$C$2:$C$1199,0)))</f>
        <v/>
      </c>
      <c r="N927" s="7" t="str">
        <f>IF(ISNA(MATCH(914,Engine!$C$2:$C$1199,0)),"",INDEX('Compliance Database'!$N$2:$N$1199,MATCH(914,Engine!$C$2:$C$1199,0)))</f>
        <v/>
      </c>
      <c r="O927" s="7" t="str">
        <f>IF(ISNA(MATCH(914,Engine!$C$2:$C$1199,0)),"",INDEX('Compliance Database'!$O$2:$O$1199,MATCH(914,Engine!$C$2:$C$1199,0)))</f>
        <v/>
      </c>
      <c r="P927" s="6" t="str">
        <f>IF(ISNA(MATCH(914,Engine!$C$2:$C$1199,0)),"",HYPERLINK("#Acts!A"&amp;INDEX('Compliance Database'!$P$2:$P$1199,MATCH(914,Engine!$C$2:$C$1199,0)),"Go to Act"))</f>
        <v/>
      </c>
    </row>
    <row r="928" spans="1:16" ht="172.95" customHeight="1" x14ac:dyDescent="0.3">
      <c r="A928" s="6" t="str">
        <f>IF(ISNA(MATCH(915,Engine!$C$2:$C$1199,0)),"",INDEX('Compliance Database'!$A$2:$A$1199,MATCH(915,Engine!$C$2:$C$1199,0)))</f>
        <v/>
      </c>
      <c r="B928" s="6" t="str">
        <f>IF(ISNA(MATCH(915,Engine!$C$2:$C$1199,0)),"",INDEX('Compliance Database'!$B$2:$B$1199,MATCH(915,Engine!$C$2:$C$1199,0)))</f>
        <v/>
      </c>
      <c r="C928" s="6" t="str">
        <f>IF(ISNA(MATCH(915,Engine!$C$2:$C$1199,0)),"",INDEX('Compliance Database'!$C$2:$C$1199,MATCH(915,Engine!$C$2:$C$1199,0)))</f>
        <v/>
      </c>
      <c r="D928" s="7" t="str">
        <f>IF(ISNA(MATCH(915,Engine!$C$2:$C$1199,0)),"",INDEX('Compliance Database'!$D$2:$D$1199,MATCH(915,Engine!$C$2:$C$1199,0)))</f>
        <v/>
      </c>
      <c r="E928" s="6" t="str">
        <f>IF(ISNA(MATCH(915,Engine!$C$2:$C$1199,0)),"",INDEX('Compliance Database'!$E$2:$E$1199,MATCH(915,Engine!$C$2:$C$1199,0)))</f>
        <v/>
      </c>
      <c r="F928" s="6" t="str">
        <f>IF(ISNA(MATCH(915,Engine!$C$2:$C$1199,0)),"",INDEX('Compliance Database'!$F$2:$F$1199,MATCH(915,Engine!$C$2:$C$1199,0)))</f>
        <v/>
      </c>
      <c r="G928" s="6" t="str">
        <f>IF(ISNA(MATCH(915,Engine!$C$2:$C$1199,0)),"",INDEX('Compliance Database'!$G$2:$G$1199,MATCH(915,Engine!$C$2:$C$1199,0)))</f>
        <v/>
      </c>
      <c r="H928" s="7" t="str">
        <f>IF(ISNA(MATCH(915,Engine!$C$2:$C$1199,0)),"",INDEX('Compliance Database'!$H$2:$H$1199,MATCH(915,Engine!$C$2:$C$1199,0)))</f>
        <v/>
      </c>
      <c r="I928" s="7" t="str">
        <f>IF(ISNA(MATCH(915,Engine!$C$2:$C$1199,0)),"",INDEX('Compliance Database'!$I$2:$I$1199,MATCH(915,Engine!$C$2:$C$1199,0)))</f>
        <v/>
      </c>
      <c r="J928" s="6" t="str">
        <f>IF(ISNA(MATCH(915,Engine!$C$2:$C$1199,0)),"",INDEX('Compliance Database'!$J$2:$J$1199,MATCH(915,Engine!$C$2:$C$1199,0)))</f>
        <v/>
      </c>
      <c r="K928" s="7" t="str">
        <f>IF(ISNA(MATCH(915,Engine!$C$2:$C$1199,0)),"",INDEX('Compliance Database'!$K$2:$K$1199,MATCH(915,Engine!$C$2:$C$1199,0)))</f>
        <v/>
      </c>
      <c r="L928" s="7" t="str">
        <f>IF(ISNA(MATCH(915,Engine!$C$2:$C$1199,0)),"",INDEX('Compliance Database'!$L$2:$L$1199,MATCH(915,Engine!$C$2:$C$1199,0)))</f>
        <v/>
      </c>
      <c r="M928" s="7" t="str">
        <f>IF(ISNA(MATCH(915,Engine!$C$2:$C$1199,0)),"",INDEX('Compliance Database'!$M$2:$M$1199,MATCH(915,Engine!$C$2:$C$1199,0)))</f>
        <v/>
      </c>
      <c r="N928" s="7" t="str">
        <f>IF(ISNA(MATCH(915,Engine!$C$2:$C$1199,0)),"",INDEX('Compliance Database'!$N$2:$N$1199,MATCH(915,Engine!$C$2:$C$1199,0)))</f>
        <v/>
      </c>
      <c r="O928" s="7" t="str">
        <f>IF(ISNA(MATCH(915,Engine!$C$2:$C$1199,0)),"",INDEX('Compliance Database'!$O$2:$O$1199,MATCH(915,Engine!$C$2:$C$1199,0)))</f>
        <v/>
      </c>
      <c r="P928" s="6" t="str">
        <f>IF(ISNA(MATCH(915,Engine!$C$2:$C$1199,0)),"",HYPERLINK("#Acts!A"&amp;INDEX('Compliance Database'!$P$2:$P$1199,MATCH(915,Engine!$C$2:$C$1199,0)),"Go to Act"))</f>
        <v/>
      </c>
    </row>
    <row r="929" spans="1:16" ht="172.95" customHeight="1" x14ac:dyDescent="0.3">
      <c r="A929" s="6" t="str">
        <f>IF(ISNA(MATCH(916,Engine!$C$2:$C$1199,0)),"",INDEX('Compliance Database'!$A$2:$A$1199,MATCH(916,Engine!$C$2:$C$1199,0)))</f>
        <v/>
      </c>
      <c r="B929" s="6" t="str">
        <f>IF(ISNA(MATCH(916,Engine!$C$2:$C$1199,0)),"",INDEX('Compliance Database'!$B$2:$B$1199,MATCH(916,Engine!$C$2:$C$1199,0)))</f>
        <v/>
      </c>
      <c r="C929" s="6" t="str">
        <f>IF(ISNA(MATCH(916,Engine!$C$2:$C$1199,0)),"",INDEX('Compliance Database'!$C$2:$C$1199,MATCH(916,Engine!$C$2:$C$1199,0)))</f>
        <v/>
      </c>
      <c r="D929" s="7" t="str">
        <f>IF(ISNA(MATCH(916,Engine!$C$2:$C$1199,0)),"",INDEX('Compliance Database'!$D$2:$D$1199,MATCH(916,Engine!$C$2:$C$1199,0)))</f>
        <v/>
      </c>
      <c r="E929" s="6" t="str">
        <f>IF(ISNA(MATCH(916,Engine!$C$2:$C$1199,0)),"",INDEX('Compliance Database'!$E$2:$E$1199,MATCH(916,Engine!$C$2:$C$1199,0)))</f>
        <v/>
      </c>
      <c r="F929" s="6" t="str">
        <f>IF(ISNA(MATCH(916,Engine!$C$2:$C$1199,0)),"",INDEX('Compliance Database'!$F$2:$F$1199,MATCH(916,Engine!$C$2:$C$1199,0)))</f>
        <v/>
      </c>
      <c r="G929" s="6" t="str">
        <f>IF(ISNA(MATCH(916,Engine!$C$2:$C$1199,0)),"",INDEX('Compliance Database'!$G$2:$G$1199,MATCH(916,Engine!$C$2:$C$1199,0)))</f>
        <v/>
      </c>
      <c r="H929" s="7" t="str">
        <f>IF(ISNA(MATCH(916,Engine!$C$2:$C$1199,0)),"",INDEX('Compliance Database'!$H$2:$H$1199,MATCH(916,Engine!$C$2:$C$1199,0)))</f>
        <v/>
      </c>
      <c r="I929" s="7" t="str">
        <f>IF(ISNA(MATCH(916,Engine!$C$2:$C$1199,0)),"",INDEX('Compliance Database'!$I$2:$I$1199,MATCH(916,Engine!$C$2:$C$1199,0)))</f>
        <v/>
      </c>
      <c r="J929" s="6" t="str">
        <f>IF(ISNA(MATCH(916,Engine!$C$2:$C$1199,0)),"",INDEX('Compliance Database'!$J$2:$J$1199,MATCH(916,Engine!$C$2:$C$1199,0)))</f>
        <v/>
      </c>
      <c r="K929" s="7" t="str">
        <f>IF(ISNA(MATCH(916,Engine!$C$2:$C$1199,0)),"",INDEX('Compliance Database'!$K$2:$K$1199,MATCH(916,Engine!$C$2:$C$1199,0)))</f>
        <v/>
      </c>
      <c r="L929" s="7" t="str">
        <f>IF(ISNA(MATCH(916,Engine!$C$2:$C$1199,0)),"",INDEX('Compliance Database'!$L$2:$L$1199,MATCH(916,Engine!$C$2:$C$1199,0)))</f>
        <v/>
      </c>
      <c r="M929" s="7" t="str">
        <f>IF(ISNA(MATCH(916,Engine!$C$2:$C$1199,0)),"",INDEX('Compliance Database'!$M$2:$M$1199,MATCH(916,Engine!$C$2:$C$1199,0)))</f>
        <v/>
      </c>
      <c r="N929" s="7" t="str">
        <f>IF(ISNA(MATCH(916,Engine!$C$2:$C$1199,0)),"",INDEX('Compliance Database'!$N$2:$N$1199,MATCH(916,Engine!$C$2:$C$1199,0)))</f>
        <v/>
      </c>
      <c r="O929" s="7" t="str">
        <f>IF(ISNA(MATCH(916,Engine!$C$2:$C$1199,0)),"",INDEX('Compliance Database'!$O$2:$O$1199,MATCH(916,Engine!$C$2:$C$1199,0)))</f>
        <v/>
      </c>
      <c r="P929" s="6" t="str">
        <f>IF(ISNA(MATCH(916,Engine!$C$2:$C$1199,0)),"",HYPERLINK("#Acts!A"&amp;INDEX('Compliance Database'!$P$2:$P$1199,MATCH(916,Engine!$C$2:$C$1199,0)),"Go to Act"))</f>
        <v/>
      </c>
    </row>
    <row r="930" spans="1:16" ht="172.95" customHeight="1" x14ac:dyDescent="0.3">
      <c r="A930" s="6" t="str">
        <f>IF(ISNA(MATCH(917,Engine!$C$2:$C$1199,0)),"",INDEX('Compliance Database'!$A$2:$A$1199,MATCH(917,Engine!$C$2:$C$1199,0)))</f>
        <v/>
      </c>
      <c r="B930" s="6" t="str">
        <f>IF(ISNA(MATCH(917,Engine!$C$2:$C$1199,0)),"",INDEX('Compliance Database'!$B$2:$B$1199,MATCH(917,Engine!$C$2:$C$1199,0)))</f>
        <v/>
      </c>
      <c r="C930" s="6" t="str">
        <f>IF(ISNA(MATCH(917,Engine!$C$2:$C$1199,0)),"",INDEX('Compliance Database'!$C$2:$C$1199,MATCH(917,Engine!$C$2:$C$1199,0)))</f>
        <v/>
      </c>
      <c r="D930" s="7" t="str">
        <f>IF(ISNA(MATCH(917,Engine!$C$2:$C$1199,0)),"",INDEX('Compliance Database'!$D$2:$D$1199,MATCH(917,Engine!$C$2:$C$1199,0)))</f>
        <v/>
      </c>
      <c r="E930" s="6" t="str">
        <f>IF(ISNA(MATCH(917,Engine!$C$2:$C$1199,0)),"",INDEX('Compliance Database'!$E$2:$E$1199,MATCH(917,Engine!$C$2:$C$1199,0)))</f>
        <v/>
      </c>
      <c r="F930" s="6" t="str">
        <f>IF(ISNA(MATCH(917,Engine!$C$2:$C$1199,0)),"",INDEX('Compliance Database'!$F$2:$F$1199,MATCH(917,Engine!$C$2:$C$1199,0)))</f>
        <v/>
      </c>
      <c r="G930" s="6" t="str">
        <f>IF(ISNA(MATCH(917,Engine!$C$2:$C$1199,0)),"",INDEX('Compliance Database'!$G$2:$G$1199,MATCH(917,Engine!$C$2:$C$1199,0)))</f>
        <v/>
      </c>
      <c r="H930" s="7" t="str">
        <f>IF(ISNA(MATCH(917,Engine!$C$2:$C$1199,0)),"",INDEX('Compliance Database'!$H$2:$H$1199,MATCH(917,Engine!$C$2:$C$1199,0)))</f>
        <v/>
      </c>
      <c r="I930" s="7" t="str">
        <f>IF(ISNA(MATCH(917,Engine!$C$2:$C$1199,0)),"",INDEX('Compliance Database'!$I$2:$I$1199,MATCH(917,Engine!$C$2:$C$1199,0)))</f>
        <v/>
      </c>
      <c r="J930" s="6" t="str">
        <f>IF(ISNA(MATCH(917,Engine!$C$2:$C$1199,0)),"",INDEX('Compliance Database'!$J$2:$J$1199,MATCH(917,Engine!$C$2:$C$1199,0)))</f>
        <v/>
      </c>
      <c r="K930" s="7" t="str">
        <f>IF(ISNA(MATCH(917,Engine!$C$2:$C$1199,0)),"",INDEX('Compliance Database'!$K$2:$K$1199,MATCH(917,Engine!$C$2:$C$1199,0)))</f>
        <v/>
      </c>
      <c r="L930" s="7" t="str">
        <f>IF(ISNA(MATCH(917,Engine!$C$2:$C$1199,0)),"",INDEX('Compliance Database'!$L$2:$L$1199,MATCH(917,Engine!$C$2:$C$1199,0)))</f>
        <v/>
      </c>
      <c r="M930" s="7" t="str">
        <f>IF(ISNA(MATCH(917,Engine!$C$2:$C$1199,0)),"",INDEX('Compliance Database'!$M$2:$M$1199,MATCH(917,Engine!$C$2:$C$1199,0)))</f>
        <v/>
      </c>
      <c r="N930" s="7" t="str">
        <f>IF(ISNA(MATCH(917,Engine!$C$2:$C$1199,0)),"",INDEX('Compliance Database'!$N$2:$N$1199,MATCH(917,Engine!$C$2:$C$1199,0)))</f>
        <v/>
      </c>
      <c r="O930" s="7" t="str">
        <f>IF(ISNA(MATCH(917,Engine!$C$2:$C$1199,0)),"",INDEX('Compliance Database'!$O$2:$O$1199,MATCH(917,Engine!$C$2:$C$1199,0)))</f>
        <v/>
      </c>
      <c r="P930" s="6" t="str">
        <f>IF(ISNA(MATCH(917,Engine!$C$2:$C$1199,0)),"",HYPERLINK("#Acts!A"&amp;INDEX('Compliance Database'!$P$2:$P$1199,MATCH(917,Engine!$C$2:$C$1199,0)),"Go to Act"))</f>
        <v/>
      </c>
    </row>
    <row r="931" spans="1:16" ht="172.95" customHeight="1" x14ac:dyDescent="0.3">
      <c r="A931" s="6" t="str">
        <f>IF(ISNA(MATCH(918,Engine!$C$2:$C$1199,0)),"",INDEX('Compliance Database'!$A$2:$A$1199,MATCH(918,Engine!$C$2:$C$1199,0)))</f>
        <v/>
      </c>
      <c r="B931" s="6" t="str">
        <f>IF(ISNA(MATCH(918,Engine!$C$2:$C$1199,0)),"",INDEX('Compliance Database'!$B$2:$B$1199,MATCH(918,Engine!$C$2:$C$1199,0)))</f>
        <v/>
      </c>
      <c r="C931" s="6" t="str">
        <f>IF(ISNA(MATCH(918,Engine!$C$2:$C$1199,0)),"",INDEX('Compliance Database'!$C$2:$C$1199,MATCH(918,Engine!$C$2:$C$1199,0)))</f>
        <v/>
      </c>
      <c r="D931" s="7" t="str">
        <f>IF(ISNA(MATCH(918,Engine!$C$2:$C$1199,0)),"",INDEX('Compliance Database'!$D$2:$D$1199,MATCH(918,Engine!$C$2:$C$1199,0)))</f>
        <v/>
      </c>
      <c r="E931" s="6" t="str">
        <f>IF(ISNA(MATCH(918,Engine!$C$2:$C$1199,0)),"",INDEX('Compliance Database'!$E$2:$E$1199,MATCH(918,Engine!$C$2:$C$1199,0)))</f>
        <v/>
      </c>
      <c r="F931" s="6" t="str">
        <f>IF(ISNA(MATCH(918,Engine!$C$2:$C$1199,0)),"",INDEX('Compliance Database'!$F$2:$F$1199,MATCH(918,Engine!$C$2:$C$1199,0)))</f>
        <v/>
      </c>
      <c r="G931" s="6" t="str">
        <f>IF(ISNA(MATCH(918,Engine!$C$2:$C$1199,0)),"",INDEX('Compliance Database'!$G$2:$G$1199,MATCH(918,Engine!$C$2:$C$1199,0)))</f>
        <v/>
      </c>
      <c r="H931" s="7" t="str">
        <f>IF(ISNA(MATCH(918,Engine!$C$2:$C$1199,0)),"",INDEX('Compliance Database'!$H$2:$H$1199,MATCH(918,Engine!$C$2:$C$1199,0)))</f>
        <v/>
      </c>
      <c r="I931" s="7" t="str">
        <f>IF(ISNA(MATCH(918,Engine!$C$2:$C$1199,0)),"",INDEX('Compliance Database'!$I$2:$I$1199,MATCH(918,Engine!$C$2:$C$1199,0)))</f>
        <v/>
      </c>
      <c r="J931" s="6" t="str">
        <f>IF(ISNA(MATCH(918,Engine!$C$2:$C$1199,0)),"",INDEX('Compliance Database'!$J$2:$J$1199,MATCH(918,Engine!$C$2:$C$1199,0)))</f>
        <v/>
      </c>
      <c r="K931" s="7" t="str">
        <f>IF(ISNA(MATCH(918,Engine!$C$2:$C$1199,0)),"",INDEX('Compliance Database'!$K$2:$K$1199,MATCH(918,Engine!$C$2:$C$1199,0)))</f>
        <v/>
      </c>
      <c r="L931" s="7" t="str">
        <f>IF(ISNA(MATCH(918,Engine!$C$2:$C$1199,0)),"",INDEX('Compliance Database'!$L$2:$L$1199,MATCH(918,Engine!$C$2:$C$1199,0)))</f>
        <v/>
      </c>
      <c r="M931" s="7" t="str">
        <f>IF(ISNA(MATCH(918,Engine!$C$2:$C$1199,0)),"",INDEX('Compliance Database'!$M$2:$M$1199,MATCH(918,Engine!$C$2:$C$1199,0)))</f>
        <v/>
      </c>
      <c r="N931" s="7" t="str">
        <f>IF(ISNA(MATCH(918,Engine!$C$2:$C$1199,0)),"",INDEX('Compliance Database'!$N$2:$N$1199,MATCH(918,Engine!$C$2:$C$1199,0)))</f>
        <v/>
      </c>
      <c r="O931" s="7" t="str">
        <f>IF(ISNA(MATCH(918,Engine!$C$2:$C$1199,0)),"",INDEX('Compliance Database'!$O$2:$O$1199,MATCH(918,Engine!$C$2:$C$1199,0)))</f>
        <v/>
      </c>
      <c r="P931" s="6" t="str">
        <f>IF(ISNA(MATCH(918,Engine!$C$2:$C$1199,0)),"",HYPERLINK("#Acts!A"&amp;INDEX('Compliance Database'!$P$2:$P$1199,MATCH(918,Engine!$C$2:$C$1199,0)),"Go to Act"))</f>
        <v/>
      </c>
    </row>
    <row r="932" spans="1:16" ht="172.95" customHeight="1" x14ac:dyDescent="0.3">
      <c r="A932" s="6" t="str">
        <f>IF(ISNA(MATCH(919,Engine!$C$2:$C$1199,0)),"",INDEX('Compliance Database'!$A$2:$A$1199,MATCH(919,Engine!$C$2:$C$1199,0)))</f>
        <v/>
      </c>
      <c r="B932" s="6" t="str">
        <f>IF(ISNA(MATCH(919,Engine!$C$2:$C$1199,0)),"",INDEX('Compliance Database'!$B$2:$B$1199,MATCH(919,Engine!$C$2:$C$1199,0)))</f>
        <v/>
      </c>
      <c r="C932" s="6" t="str">
        <f>IF(ISNA(MATCH(919,Engine!$C$2:$C$1199,0)),"",INDEX('Compliance Database'!$C$2:$C$1199,MATCH(919,Engine!$C$2:$C$1199,0)))</f>
        <v/>
      </c>
      <c r="D932" s="7" t="str">
        <f>IF(ISNA(MATCH(919,Engine!$C$2:$C$1199,0)),"",INDEX('Compliance Database'!$D$2:$D$1199,MATCH(919,Engine!$C$2:$C$1199,0)))</f>
        <v/>
      </c>
      <c r="E932" s="6" t="str">
        <f>IF(ISNA(MATCH(919,Engine!$C$2:$C$1199,0)),"",INDEX('Compliance Database'!$E$2:$E$1199,MATCH(919,Engine!$C$2:$C$1199,0)))</f>
        <v/>
      </c>
      <c r="F932" s="6" t="str">
        <f>IF(ISNA(MATCH(919,Engine!$C$2:$C$1199,0)),"",INDEX('Compliance Database'!$F$2:$F$1199,MATCH(919,Engine!$C$2:$C$1199,0)))</f>
        <v/>
      </c>
      <c r="G932" s="6" t="str">
        <f>IF(ISNA(MATCH(919,Engine!$C$2:$C$1199,0)),"",INDEX('Compliance Database'!$G$2:$G$1199,MATCH(919,Engine!$C$2:$C$1199,0)))</f>
        <v/>
      </c>
      <c r="H932" s="7" t="str">
        <f>IF(ISNA(MATCH(919,Engine!$C$2:$C$1199,0)),"",INDEX('Compliance Database'!$H$2:$H$1199,MATCH(919,Engine!$C$2:$C$1199,0)))</f>
        <v/>
      </c>
      <c r="I932" s="7" t="str">
        <f>IF(ISNA(MATCH(919,Engine!$C$2:$C$1199,0)),"",INDEX('Compliance Database'!$I$2:$I$1199,MATCH(919,Engine!$C$2:$C$1199,0)))</f>
        <v/>
      </c>
      <c r="J932" s="6" t="str">
        <f>IF(ISNA(MATCH(919,Engine!$C$2:$C$1199,0)),"",INDEX('Compliance Database'!$J$2:$J$1199,MATCH(919,Engine!$C$2:$C$1199,0)))</f>
        <v/>
      </c>
      <c r="K932" s="7" t="str">
        <f>IF(ISNA(MATCH(919,Engine!$C$2:$C$1199,0)),"",INDEX('Compliance Database'!$K$2:$K$1199,MATCH(919,Engine!$C$2:$C$1199,0)))</f>
        <v/>
      </c>
      <c r="L932" s="7" t="str">
        <f>IF(ISNA(MATCH(919,Engine!$C$2:$C$1199,0)),"",INDEX('Compliance Database'!$L$2:$L$1199,MATCH(919,Engine!$C$2:$C$1199,0)))</f>
        <v/>
      </c>
      <c r="M932" s="7" t="str">
        <f>IF(ISNA(MATCH(919,Engine!$C$2:$C$1199,0)),"",INDEX('Compliance Database'!$M$2:$M$1199,MATCH(919,Engine!$C$2:$C$1199,0)))</f>
        <v/>
      </c>
      <c r="N932" s="7" t="str">
        <f>IF(ISNA(MATCH(919,Engine!$C$2:$C$1199,0)),"",INDEX('Compliance Database'!$N$2:$N$1199,MATCH(919,Engine!$C$2:$C$1199,0)))</f>
        <v/>
      </c>
      <c r="O932" s="7" t="str">
        <f>IF(ISNA(MATCH(919,Engine!$C$2:$C$1199,0)),"",INDEX('Compliance Database'!$O$2:$O$1199,MATCH(919,Engine!$C$2:$C$1199,0)))</f>
        <v/>
      </c>
      <c r="P932" s="6" t="str">
        <f>IF(ISNA(MATCH(919,Engine!$C$2:$C$1199,0)),"",HYPERLINK("#Acts!A"&amp;INDEX('Compliance Database'!$P$2:$P$1199,MATCH(919,Engine!$C$2:$C$1199,0)),"Go to Act"))</f>
        <v/>
      </c>
    </row>
    <row r="933" spans="1:16" ht="172.95" customHeight="1" x14ac:dyDescent="0.3">
      <c r="A933" s="6" t="str">
        <f>IF(ISNA(MATCH(920,Engine!$C$2:$C$1199,0)),"",INDEX('Compliance Database'!$A$2:$A$1199,MATCH(920,Engine!$C$2:$C$1199,0)))</f>
        <v/>
      </c>
      <c r="B933" s="6" t="str">
        <f>IF(ISNA(MATCH(920,Engine!$C$2:$C$1199,0)),"",INDEX('Compliance Database'!$B$2:$B$1199,MATCH(920,Engine!$C$2:$C$1199,0)))</f>
        <v/>
      </c>
      <c r="C933" s="6" t="str">
        <f>IF(ISNA(MATCH(920,Engine!$C$2:$C$1199,0)),"",INDEX('Compliance Database'!$C$2:$C$1199,MATCH(920,Engine!$C$2:$C$1199,0)))</f>
        <v/>
      </c>
      <c r="D933" s="7" t="str">
        <f>IF(ISNA(MATCH(920,Engine!$C$2:$C$1199,0)),"",INDEX('Compliance Database'!$D$2:$D$1199,MATCH(920,Engine!$C$2:$C$1199,0)))</f>
        <v/>
      </c>
      <c r="E933" s="6" t="str">
        <f>IF(ISNA(MATCH(920,Engine!$C$2:$C$1199,0)),"",INDEX('Compliance Database'!$E$2:$E$1199,MATCH(920,Engine!$C$2:$C$1199,0)))</f>
        <v/>
      </c>
      <c r="F933" s="6" t="str">
        <f>IF(ISNA(MATCH(920,Engine!$C$2:$C$1199,0)),"",INDEX('Compliance Database'!$F$2:$F$1199,MATCH(920,Engine!$C$2:$C$1199,0)))</f>
        <v/>
      </c>
      <c r="G933" s="6" t="str">
        <f>IF(ISNA(MATCH(920,Engine!$C$2:$C$1199,0)),"",INDEX('Compliance Database'!$G$2:$G$1199,MATCH(920,Engine!$C$2:$C$1199,0)))</f>
        <v/>
      </c>
      <c r="H933" s="7" t="str">
        <f>IF(ISNA(MATCH(920,Engine!$C$2:$C$1199,0)),"",INDEX('Compliance Database'!$H$2:$H$1199,MATCH(920,Engine!$C$2:$C$1199,0)))</f>
        <v/>
      </c>
      <c r="I933" s="7" t="str">
        <f>IF(ISNA(MATCH(920,Engine!$C$2:$C$1199,0)),"",INDEX('Compliance Database'!$I$2:$I$1199,MATCH(920,Engine!$C$2:$C$1199,0)))</f>
        <v/>
      </c>
      <c r="J933" s="6" t="str">
        <f>IF(ISNA(MATCH(920,Engine!$C$2:$C$1199,0)),"",INDEX('Compliance Database'!$J$2:$J$1199,MATCH(920,Engine!$C$2:$C$1199,0)))</f>
        <v/>
      </c>
      <c r="K933" s="7" t="str">
        <f>IF(ISNA(MATCH(920,Engine!$C$2:$C$1199,0)),"",INDEX('Compliance Database'!$K$2:$K$1199,MATCH(920,Engine!$C$2:$C$1199,0)))</f>
        <v/>
      </c>
      <c r="L933" s="7" t="str">
        <f>IF(ISNA(MATCH(920,Engine!$C$2:$C$1199,0)),"",INDEX('Compliance Database'!$L$2:$L$1199,MATCH(920,Engine!$C$2:$C$1199,0)))</f>
        <v/>
      </c>
      <c r="M933" s="7" t="str">
        <f>IF(ISNA(MATCH(920,Engine!$C$2:$C$1199,0)),"",INDEX('Compliance Database'!$M$2:$M$1199,MATCH(920,Engine!$C$2:$C$1199,0)))</f>
        <v/>
      </c>
      <c r="N933" s="7" t="str">
        <f>IF(ISNA(MATCH(920,Engine!$C$2:$C$1199,0)),"",INDEX('Compliance Database'!$N$2:$N$1199,MATCH(920,Engine!$C$2:$C$1199,0)))</f>
        <v/>
      </c>
      <c r="O933" s="7" t="str">
        <f>IF(ISNA(MATCH(920,Engine!$C$2:$C$1199,0)),"",INDEX('Compliance Database'!$O$2:$O$1199,MATCH(920,Engine!$C$2:$C$1199,0)))</f>
        <v/>
      </c>
      <c r="P933" s="6" t="str">
        <f>IF(ISNA(MATCH(920,Engine!$C$2:$C$1199,0)),"",HYPERLINK("#Acts!A"&amp;INDEX('Compliance Database'!$P$2:$P$1199,MATCH(920,Engine!$C$2:$C$1199,0)),"Go to Act"))</f>
        <v/>
      </c>
    </row>
    <row r="934" spans="1:16" ht="172.95" customHeight="1" x14ac:dyDescent="0.3">
      <c r="A934" s="6" t="str">
        <f>IF(ISNA(MATCH(921,Engine!$C$2:$C$1199,0)),"",INDEX('Compliance Database'!$A$2:$A$1199,MATCH(921,Engine!$C$2:$C$1199,0)))</f>
        <v/>
      </c>
      <c r="B934" s="6" t="str">
        <f>IF(ISNA(MATCH(921,Engine!$C$2:$C$1199,0)),"",INDEX('Compliance Database'!$B$2:$B$1199,MATCH(921,Engine!$C$2:$C$1199,0)))</f>
        <v/>
      </c>
      <c r="C934" s="6" t="str">
        <f>IF(ISNA(MATCH(921,Engine!$C$2:$C$1199,0)),"",INDEX('Compliance Database'!$C$2:$C$1199,MATCH(921,Engine!$C$2:$C$1199,0)))</f>
        <v/>
      </c>
      <c r="D934" s="7" t="str">
        <f>IF(ISNA(MATCH(921,Engine!$C$2:$C$1199,0)),"",INDEX('Compliance Database'!$D$2:$D$1199,MATCH(921,Engine!$C$2:$C$1199,0)))</f>
        <v/>
      </c>
      <c r="E934" s="6" t="str">
        <f>IF(ISNA(MATCH(921,Engine!$C$2:$C$1199,0)),"",INDEX('Compliance Database'!$E$2:$E$1199,MATCH(921,Engine!$C$2:$C$1199,0)))</f>
        <v/>
      </c>
      <c r="F934" s="6" t="str">
        <f>IF(ISNA(MATCH(921,Engine!$C$2:$C$1199,0)),"",INDEX('Compliance Database'!$F$2:$F$1199,MATCH(921,Engine!$C$2:$C$1199,0)))</f>
        <v/>
      </c>
      <c r="G934" s="6" t="str">
        <f>IF(ISNA(MATCH(921,Engine!$C$2:$C$1199,0)),"",INDEX('Compliance Database'!$G$2:$G$1199,MATCH(921,Engine!$C$2:$C$1199,0)))</f>
        <v/>
      </c>
      <c r="H934" s="7" t="str">
        <f>IF(ISNA(MATCH(921,Engine!$C$2:$C$1199,0)),"",INDEX('Compliance Database'!$H$2:$H$1199,MATCH(921,Engine!$C$2:$C$1199,0)))</f>
        <v/>
      </c>
      <c r="I934" s="7" t="str">
        <f>IF(ISNA(MATCH(921,Engine!$C$2:$C$1199,0)),"",INDEX('Compliance Database'!$I$2:$I$1199,MATCH(921,Engine!$C$2:$C$1199,0)))</f>
        <v/>
      </c>
      <c r="J934" s="6" t="str">
        <f>IF(ISNA(MATCH(921,Engine!$C$2:$C$1199,0)),"",INDEX('Compliance Database'!$J$2:$J$1199,MATCH(921,Engine!$C$2:$C$1199,0)))</f>
        <v/>
      </c>
      <c r="K934" s="7" t="str">
        <f>IF(ISNA(MATCH(921,Engine!$C$2:$C$1199,0)),"",INDEX('Compliance Database'!$K$2:$K$1199,MATCH(921,Engine!$C$2:$C$1199,0)))</f>
        <v/>
      </c>
      <c r="L934" s="7" t="str">
        <f>IF(ISNA(MATCH(921,Engine!$C$2:$C$1199,0)),"",INDEX('Compliance Database'!$L$2:$L$1199,MATCH(921,Engine!$C$2:$C$1199,0)))</f>
        <v/>
      </c>
      <c r="M934" s="7" t="str">
        <f>IF(ISNA(MATCH(921,Engine!$C$2:$C$1199,0)),"",INDEX('Compliance Database'!$M$2:$M$1199,MATCH(921,Engine!$C$2:$C$1199,0)))</f>
        <v/>
      </c>
      <c r="N934" s="7" t="str">
        <f>IF(ISNA(MATCH(921,Engine!$C$2:$C$1199,0)),"",INDEX('Compliance Database'!$N$2:$N$1199,MATCH(921,Engine!$C$2:$C$1199,0)))</f>
        <v/>
      </c>
      <c r="O934" s="7" t="str">
        <f>IF(ISNA(MATCH(921,Engine!$C$2:$C$1199,0)),"",INDEX('Compliance Database'!$O$2:$O$1199,MATCH(921,Engine!$C$2:$C$1199,0)))</f>
        <v/>
      </c>
      <c r="P934" s="6" t="str">
        <f>IF(ISNA(MATCH(921,Engine!$C$2:$C$1199,0)),"",HYPERLINK("#Acts!A"&amp;INDEX('Compliance Database'!$P$2:$P$1199,MATCH(921,Engine!$C$2:$C$1199,0)),"Go to Act"))</f>
        <v/>
      </c>
    </row>
    <row r="935" spans="1:16" ht="172.95" customHeight="1" x14ac:dyDescent="0.3">
      <c r="A935" s="6" t="str">
        <f>IF(ISNA(MATCH(922,Engine!$C$2:$C$1199,0)),"",INDEX('Compliance Database'!$A$2:$A$1199,MATCH(922,Engine!$C$2:$C$1199,0)))</f>
        <v/>
      </c>
      <c r="B935" s="6" t="str">
        <f>IF(ISNA(MATCH(922,Engine!$C$2:$C$1199,0)),"",INDEX('Compliance Database'!$B$2:$B$1199,MATCH(922,Engine!$C$2:$C$1199,0)))</f>
        <v/>
      </c>
      <c r="C935" s="6" t="str">
        <f>IF(ISNA(MATCH(922,Engine!$C$2:$C$1199,0)),"",INDEX('Compliance Database'!$C$2:$C$1199,MATCH(922,Engine!$C$2:$C$1199,0)))</f>
        <v/>
      </c>
      <c r="D935" s="7" t="str">
        <f>IF(ISNA(MATCH(922,Engine!$C$2:$C$1199,0)),"",INDEX('Compliance Database'!$D$2:$D$1199,MATCH(922,Engine!$C$2:$C$1199,0)))</f>
        <v/>
      </c>
      <c r="E935" s="6" t="str">
        <f>IF(ISNA(MATCH(922,Engine!$C$2:$C$1199,0)),"",INDEX('Compliance Database'!$E$2:$E$1199,MATCH(922,Engine!$C$2:$C$1199,0)))</f>
        <v/>
      </c>
      <c r="F935" s="6" t="str">
        <f>IF(ISNA(MATCH(922,Engine!$C$2:$C$1199,0)),"",INDEX('Compliance Database'!$F$2:$F$1199,MATCH(922,Engine!$C$2:$C$1199,0)))</f>
        <v/>
      </c>
      <c r="G935" s="6" t="str">
        <f>IF(ISNA(MATCH(922,Engine!$C$2:$C$1199,0)),"",INDEX('Compliance Database'!$G$2:$G$1199,MATCH(922,Engine!$C$2:$C$1199,0)))</f>
        <v/>
      </c>
      <c r="H935" s="7" t="str">
        <f>IF(ISNA(MATCH(922,Engine!$C$2:$C$1199,0)),"",INDEX('Compliance Database'!$H$2:$H$1199,MATCH(922,Engine!$C$2:$C$1199,0)))</f>
        <v/>
      </c>
      <c r="I935" s="7" t="str">
        <f>IF(ISNA(MATCH(922,Engine!$C$2:$C$1199,0)),"",INDEX('Compliance Database'!$I$2:$I$1199,MATCH(922,Engine!$C$2:$C$1199,0)))</f>
        <v/>
      </c>
      <c r="J935" s="6" t="str">
        <f>IF(ISNA(MATCH(922,Engine!$C$2:$C$1199,0)),"",INDEX('Compliance Database'!$J$2:$J$1199,MATCH(922,Engine!$C$2:$C$1199,0)))</f>
        <v/>
      </c>
      <c r="K935" s="7" t="str">
        <f>IF(ISNA(MATCH(922,Engine!$C$2:$C$1199,0)),"",INDEX('Compliance Database'!$K$2:$K$1199,MATCH(922,Engine!$C$2:$C$1199,0)))</f>
        <v/>
      </c>
      <c r="L935" s="7" t="str">
        <f>IF(ISNA(MATCH(922,Engine!$C$2:$C$1199,0)),"",INDEX('Compliance Database'!$L$2:$L$1199,MATCH(922,Engine!$C$2:$C$1199,0)))</f>
        <v/>
      </c>
      <c r="M935" s="7" t="str">
        <f>IF(ISNA(MATCH(922,Engine!$C$2:$C$1199,0)),"",INDEX('Compliance Database'!$M$2:$M$1199,MATCH(922,Engine!$C$2:$C$1199,0)))</f>
        <v/>
      </c>
      <c r="N935" s="7" t="str">
        <f>IF(ISNA(MATCH(922,Engine!$C$2:$C$1199,0)),"",INDEX('Compliance Database'!$N$2:$N$1199,MATCH(922,Engine!$C$2:$C$1199,0)))</f>
        <v/>
      </c>
      <c r="O935" s="7" t="str">
        <f>IF(ISNA(MATCH(922,Engine!$C$2:$C$1199,0)),"",INDEX('Compliance Database'!$O$2:$O$1199,MATCH(922,Engine!$C$2:$C$1199,0)))</f>
        <v/>
      </c>
      <c r="P935" s="6" t="str">
        <f>IF(ISNA(MATCH(922,Engine!$C$2:$C$1199,0)),"",HYPERLINK("#Acts!A"&amp;INDEX('Compliance Database'!$P$2:$P$1199,MATCH(922,Engine!$C$2:$C$1199,0)),"Go to Act"))</f>
        <v/>
      </c>
    </row>
    <row r="936" spans="1:16" ht="172.95" customHeight="1" x14ac:dyDescent="0.3">
      <c r="A936" s="6" t="str">
        <f>IF(ISNA(MATCH(923,Engine!$C$2:$C$1199,0)),"",INDEX('Compliance Database'!$A$2:$A$1199,MATCH(923,Engine!$C$2:$C$1199,0)))</f>
        <v/>
      </c>
      <c r="B936" s="6" t="str">
        <f>IF(ISNA(MATCH(923,Engine!$C$2:$C$1199,0)),"",INDEX('Compliance Database'!$B$2:$B$1199,MATCH(923,Engine!$C$2:$C$1199,0)))</f>
        <v/>
      </c>
      <c r="C936" s="6" t="str">
        <f>IF(ISNA(MATCH(923,Engine!$C$2:$C$1199,0)),"",INDEX('Compliance Database'!$C$2:$C$1199,MATCH(923,Engine!$C$2:$C$1199,0)))</f>
        <v/>
      </c>
      <c r="D936" s="7" t="str">
        <f>IF(ISNA(MATCH(923,Engine!$C$2:$C$1199,0)),"",INDEX('Compliance Database'!$D$2:$D$1199,MATCH(923,Engine!$C$2:$C$1199,0)))</f>
        <v/>
      </c>
      <c r="E936" s="6" t="str">
        <f>IF(ISNA(MATCH(923,Engine!$C$2:$C$1199,0)),"",INDEX('Compliance Database'!$E$2:$E$1199,MATCH(923,Engine!$C$2:$C$1199,0)))</f>
        <v/>
      </c>
      <c r="F936" s="6" t="str">
        <f>IF(ISNA(MATCH(923,Engine!$C$2:$C$1199,0)),"",INDEX('Compliance Database'!$F$2:$F$1199,MATCH(923,Engine!$C$2:$C$1199,0)))</f>
        <v/>
      </c>
      <c r="G936" s="6" t="str">
        <f>IF(ISNA(MATCH(923,Engine!$C$2:$C$1199,0)),"",INDEX('Compliance Database'!$G$2:$G$1199,MATCH(923,Engine!$C$2:$C$1199,0)))</f>
        <v/>
      </c>
      <c r="H936" s="7" t="str">
        <f>IF(ISNA(MATCH(923,Engine!$C$2:$C$1199,0)),"",INDEX('Compliance Database'!$H$2:$H$1199,MATCH(923,Engine!$C$2:$C$1199,0)))</f>
        <v/>
      </c>
      <c r="I936" s="7" t="str">
        <f>IF(ISNA(MATCH(923,Engine!$C$2:$C$1199,0)),"",INDEX('Compliance Database'!$I$2:$I$1199,MATCH(923,Engine!$C$2:$C$1199,0)))</f>
        <v/>
      </c>
      <c r="J936" s="6" t="str">
        <f>IF(ISNA(MATCH(923,Engine!$C$2:$C$1199,0)),"",INDEX('Compliance Database'!$J$2:$J$1199,MATCH(923,Engine!$C$2:$C$1199,0)))</f>
        <v/>
      </c>
      <c r="K936" s="7" t="str">
        <f>IF(ISNA(MATCH(923,Engine!$C$2:$C$1199,0)),"",INDEX('Compliance Database'!$K$2:$K$1199,MATCH(923,Engine!$C$2:$C$1199,0)))</f>
        <v/>
      </c>
      <c r="L936" s="7" t="str">
        <f>IF(ISNA(MATCH(923,Engine!$C$2:$C$1199,0)),"",INDEX('Compliance Database'!$L$2:$L$1199,MATCH(923,Engine!$C$2:$C$1199,0)))</f>
        <v/>
      </c>
      <c r="M936" s="7" t="str">
        <f>IF(ISNA(MATCH(923,Engine!$C$2:$C$1199,0)),"",INDEX('Compliance Database'!$M$2:$M$1199,MATCH(923,Engine!$C$2:$C$1199,0)))</f>
        <v/>
      </c>
      <c r="N936" s="7" t="str">
        <f>IF(ISNA(MATCH(923,Engine!$C$2:$C$1199,0)),"",INDEX('Compliance Database'!$N$2:$N$1199,MATCH(923,Engine!$C$2:$C$1199,0)))</f>
        <v/>
      </c>
      <c r="O936" s="7" t="str">
        <f>IF(ISNA(MATCH(923,Engine!$C$2:$C$1199,0)),"",INDEX('Compliance Database'!$O$2:$O$1199,MATCH(923,Engine!$C$2:$C$1199,0)))</f>
        <v/>
      </c>
      <c r="P936" s="6" t="str">
        <f>IF(ISNA(MATCH(923,Engine!$C$2:$C$1199,0)),"",HYPERLINK("#Acts!A"&amp;INDEX('Compliance Database'!$P$2:$P$1199,MATCH(923,Engine!$C$2:$C$1199,0)),"Go to Act"))</f>
        <v/>
      </c>
    </row>
    <row r="937" spans="1:16" ht="172.95" customHeight="1" x14ac:dyDescent="0.3">
      <c r="A937" s="6" t="str">
        <f>IF(ISNA(MATCH(924,Engine!$C$2:$C$1199,0)),"",INDEX('Compliance Database'!$A$2:$A$1199,MATCH(924,Engine!$C$2:$C$1199,0)))</f>
        <v/>
      </c>
      <c r="B937" s="6" t="str">
        <f>IF(ISNA(MATCH(924,Engine!$C$2:$C$1199,0)),"",INDEX('Compliance Database'!$B$2:$B$1199,MATCH(924,Engine!$C$2:$C$1199,0)))</f>
        <v/>
      </c>
      <c r="C937" s="6" t="str">
        <f>IF(ISNA(MATCH(924,Engine!$C$2:$C$1199,0)),"",INDEX('Compliance Database'!$C$2:$C$1199,MATCH(924,Engine!$C$2:$C$1199,0)))</f>
        <v/>
      </c>
      <c r="D937" s="7" t="str">
        <f>IF(ISNA(MATCH(924,Engine!$C$2:$C$1199,0)),"",INDEX('Compliance Database'!$D$2:$D$1199,MATCH(924,Engine!$C$2:$C$1199,0)))</f>
        <v/>
      </c>
      <c r="E937" s="6" t="str">
        <f>IF(ISNA(MATCH(924,Engine!$C$2:$C$1199,0)),"",INDEX('Compliance Database'!$E$2:$E$1199,MATCH(924,Engine!$C$2:$C$1199,0)))</f>
        <v/>
      </c>
      <c r="F937" s="6" t="str">
        <f>IF(ISNA(MATCH(924,Engine!$C$2:$C$1199,0)),"",INDEX('Compliance Database'!$F$2:$F$1199,MATCH(924,Engine!$C$2:$C$1199,0)))</f>
        <v/>
      </c>
      <c r="G937" s="6" t="str">
        <f>IF(ISNA(MATCH(924,Engine!$C$2:$C$1199,0)),"",INDEX('Compliance Database'!$G$2:$G$1199,MATCH(924,Engine!$C$2:$C$1199,0)))</f>
        <v/>
      </c>
      <c r="H937" s="7" t="str">
        <f>IF(ISNA(MATCH(924,Engine!$C$2:$C$1199,0)),"",INDEX('Compliance Database'!$H$2:$H$1199,MATCH(924,Engine!$C$2:$C$1199,0)))</f>
        <v/>
      </c>
      <c r="I937" s="7" t="str">
        <f>IF(ISNA(MATCH(924,Engine!$C$2:$C$1199,0)),"",INDEX('Compliance Database'!$I$2:$I$1199,MATCH(924,Engine!$C$2:$C$1199,0)))</f>
        <v/>
      </c>
      <c r="J937" s="6" t="str">
        <f>IF(ISNA(MATCH(924,Engine!$C$2:$C$1199,0)),"",INDEX('Compliance Database'!$J$2:$J$1199,MATCH(924,Engine!$C$2:$C$1199,0)))</f>
        <v/>
      </c>
      <c r="K937" s="7" t="str">
        <f>IF(ISNA(MATCH(924,Engine!$C$2:$C$1199,0)),"",INDEX('Compliance Database'!$K$2:$K$1199,MATCH(924,Engine!$C$2:$C$1199,0)))</f>
        <v/>
      </c>
      <c r="L937" s="7" t="str">
        <f>IF(ISNA(MATCH(924,Engine!$C$2:$C$1199,0)),"",INDEX('Compliance Database'!$L$2:$L$1199,MATCH(924,Engine!$C$2:$C$1199,0)))</f>
        <v/>
      </c>
      <c r="M937" s="7" t="str">
        <f>IF(ISNA(MATCH(924,Engine!$C$2:$C$1199,0)),"",INDEX('Compliance Database'!$M$2:$M$1199,MATCH(924,Engine!$C$2:$C$1199,0)))</f>
        <v/>
      </c>
      <c r="N937" s="7" t="str">
        <f>IF(ISNA(MATCH(924,Engine!$C$2:$C$1199,0)),"",INDEX('Compliance Database'!$N$2:$N$1199,MATCH(924,Engine!$C$2:$C$1199,0)))</f>
        <v/>
      </c>
      <c r="O937" s="7" t="str">
        <f>IF(ISNA(MATCH(924,Engine!$C$2:$C$1199,0)),"",INDEX('Compliance Database'!$O$2:$O$1199,MATCH(924,Engine!$C$2:$C$1199,0)))</f>
        <v/>
      </c>
      <c r="P937" s="6" t="str">
        <f>IF(ISNA(MATCH(924,Engine!$C$2:$C$1199,0)),"",HYPERLINK("#Acts!A"&amp;INDEX('Compliance Database'!$P$2:$P$1199,MATCH(924,Engine!$C$2:$C$1199,0)),"Go to Act"))</f>
        <v/>
      </c>
    </row>
    <row r="938" spans="1:16" ht="172.95" customHeight="1" x14ac:dyDescent="0.3">
      <c r="A938" s="6" t="str">
        <f>IF(ISNA(MATCH(925,Engine!$C$2:$C$1199,0)),"",INDEX('Compliance Database'!$A$2:$A$1199,MATCH(925,Engine!$C$2:$C$1199,0)))</f>
        <v/>
      </c>
      <c r="B938" s="6" t="str">
        <f>IF(ISNA(MATCH(925,Engine!$C$2:$C$1199,0)),"",INDEX('Compliance Database'!$B$2:$B$1199,MATCH(925,Engine!$C$2:$C$1199,0)))</f>
        <v/>
      </c>
      <c r="C938" s="6" t="str">
        <f>IF(ISNA(MATCH(925,Engine!$C$2:$C$1199,0)),"",INDEX('Compliance Database'!$C$2:$C$1199,MATCH(925,Engine!$C$2:$C$1199,0)))</f>
        <v/>
      </c>
      <c r="D938" s="7" t="str">
        <f>IF(ISNA(MATCH(925,Engine!$C$2:$C$1199,0)),"",INDEX('Compliance Database'!$D$2:$D$1199,MATCH(925,Engine!$C$2:$C$1199,0)))</f>
        <v/>
      </c>
      <c r="E938" s="6" t="str">
        <f>IF(ISNA(MATCH(925,Engine!$C$2:$C$1199,0)),"",INDEX('Compliance Database'!$E$2:$E$1199,MATCH(925,Engine!$C$2:$C$1199,0)))</f>
        <v/>
      </c>
      <c r="F938" s="6" t="str">
        <f>IF(ISNA(MATCH(925,Engine!$C$2:$C$1199,0)),"",INDEX('Compliance Database'!$F$2:$F$1199,MATCH(925,Engine!$C$2:$C$1199,0)))</f>
        <v/>
      </c>
      <c r="G938" s="6" t="str">
        <f>IF(ISNA(MATCH(925,Engine!$C$2:$C$1199,0)),"",INDEX('Compliance Database'!$G$2:$G$1199,MATCH(925,Engine!$C$2:$C$1199,0)))</f>
        <v/>
      </c>
      <c r="H938" s="7" t="str">
        <f>IF(ISNA(MATCH(925,Engine!$C$2:$C$1199,0)),"",INDEX('Compliance Database'!$H$2:$H$1199,MATCH(925,Engine!$C$2:$C$1199,0)))</f>
        <v/>
      </c>
      <c r="I938" s="7" t="str">
        <f>IF(ISNA(MATCH(925,Engine!$C$2:$C$1199,0)),"",INDEX('Compliance Database'!$I$2:$I$1199,MATCH(925,Engine!$C$2:$C$1199,0)))</f>
        <v/>
      </c>
      <c r="J938" s="6" t="str">
        <f>IF(ISNA(MATCH(925,Engine!$C$2:$C$1199,0)),"",INDEX('Compliance Database'!$J$2:$J$1199,MATCH(925,Engine!$C$2:$C$1199,0)))</f>
        <v/>
      </c>
      <c r="K938" s="7" t="str">
        <f>IF(ISNA(MATCH(925,Engine!$C$2:$C$1199,0)),"",INDEX('Compliance Database'!$K$2:$K$1199,MATCH(925,Engine!$C$2:$C$1199,0)))</f>
        <v/>
      </c>
      <c r="L938" s="7" t="str">
        <f>IF(ISNA(MATCH(925,Engine!$C$2:$C$1199,0)),"",INDEX('Compliance Database'!$L$2:$L$1199,MATCH(925,Engine!$C$2:$C$1199,0)))</f>
        <v/>
      </c>
      <c r="M938" s="7" t="str">
        <f>IF(ISNA(MATCH(925,Engine!$C$2:$C$1199,0)),"",INDEX('Compliance Database'!$M$2:$M$1199,MATCH(925,Engine!$C$2:$C$1199,0)))</f>
        <v/>
      </c>
      <c r="N938" s="7" t="str">
        <f>IF(ISNA(MATCH(925,Engine!$C$2:$C$1199,0)),"",INDEX('Compliance Database'!$N$2:$N$1199,MATCH(925,Engine!$C$2:$C$1199,0)))</f>
        <v/>
      </c>
      <c r="O938" s="7" t="str">
        <f>IF(ISNA(MATCH(925,Engine!$C$2:$C$1199,0)),"",INDEX('Compliance Database'!$O$2:$O$1199,MATCH(925,Engine!$C$2:$C$1199,0)))</f>
        <v/>
      </c>
      <c r="P938" s="6" t="str">
        <f>IF(ISNA(MATCH(925,Engine!$C$2:$C$1199,0)),"",HYPERLINK("#Acts!A"&amp;INDEX('Compliance Database'!$P$2:$P$1199,MATCH(925,Engine!$C$2:$C$1199,0)),"Go to Act"))</f>
        <v/>
      </c>
    </row>
    <row r="939" spans="1:16" ht="172.95" customHeight="1" x14ac:dyDescent="0.3">
      <c r="A939" s="6" t="str">
        <f>IF(ISNA(MATCH(926,Engine!$C$2:$C$1199,0)),"",INDEX('Compliance Database'!$A$2:$A$1199,MATCH(926,Engine!$C$2:$C$1199,0)))</f>
        <v/>
      </c>
      <c r="B939" s="6" t="str">
        <f>IF(ISNA(MATCH(926,Engine!$C$2:$C$1199,0)),"",INDEX('Compliance Database'!$B$2:$B$1199,MATCH(926,Engine!$C$2:$C$1199,0)))</f>
        <v/>
      </c>
      <c r="C939" s="6" t="str">
        <f>IF(ISNA(MATCH(926,Engine!$C$2:$C$1199,0)),"",INDEX('Compliance Database'!$C$2:$C$1199,MATCH(926,Engine!$C$2:$C$1199,0)))</f>
        <v/>
      </c>
      <c r="D939" s="7" t="str">
        <f>IF(ISNA(MATCH(926,Engine!$C$2:$C$1199,0)),"",INDEX('Compliance Database'!$D$2:$D$1199,MATCH(926,Engine!$C$2:$C$1199,0)))</f>
        <v/>
      </c>
      <c r="E939" s="6" t="str">
        <f>IF(ISNA(MATCH(926,Engine!$C$2:$C$1199,0)),"",INDEX('Compliance Database'!$E$2:$E$1199,MATCH(926,Engine!$C$2:$C$1199,0)))</f>
        <v/>
      </c>
      <c r="F939" s="6" t="str">
        <f>IF(ISNA(MATCH(926,Engine!$C$2:$C$1199,0)),"",INDEX('Compliance Database'!$F$2:$F$1199,MATCH(926,Engine!$C$2:$C$1199,0)))</f>
        <v/>
      </c>
      <c r="G939" s="6" t="str">
        <f>IF(ISNA(MATCH(926,Engine!$C$2:$C$1199,0)),"",INDEX('Compliance Database'!$G$2:$G$1199,MATCH(926,Engine!$C$2:$C$1199,0)))</f>
        <v/>
      </c>
      <c r="H939" s="7" t="str">
        <f>IF(ISNA(MATCH(926,Engine!$C$2:$C$1199,0)),"",INDEX('Compliance Database'!$H$2:$H$1199,MATCH(926,Engine!$C$2:$C$1199,0)))</f>
        <v/>
      </c>
      <c r="I939" s="7" t="str">
        <f>IF(ISNA(MATCH(926,Engine!$C$2:$C$1199,0)),"",INDEX('Compliance Database'!$I$2:$I$1199,MATCH(926,Engine!$C$2:$C$1199,0)))</f>
        <v/>
      </c>
      <c r="J939" s="6" t="str">
        <f>IF(ISNA(MATCH(926,Engine!$C$2:$C$1199,0)),"",INDEX('Compliance Database'!$J$2:$J$1199,MATCH(926,Engine!$C$2:$C$1199,0)))</f>
        <v/>
      </c>
      <c r="K939" s="7" t="str">
        <f>IF(ISNA(MATCH(926,Engine!$C$2:$C$1199,0)),"",INDEX('Compliance Database'!$K$2:$K$1199,MATCH(926,Engine!$C$2:$C$1199,0)))</f>
        <v/>
      </c>
      <c r="L939" s="7" t="str">
        <f>IF(ISNA(MATCH(926,Engine!$C$2:$C$1199,0)),"",INDEX('Compliance Database'!$L$2:$L$1199,MATCH(926,Engine!$C$2:$C$1199,0)))</f>
        <v/>
      </c>
      <c r="M939" s="7" t="str">
        <f>IF(ISNA(MATCH(926,Engine!$C$2:$C$1199,0)),"",INDEX('Compliance Database'!$M$2:$M$1199,MATCH(926,Engine!$C$2:$C$1199,0)))</f>
        <v/>
      </c>
      <c r="N939" s="7" t="str">
        <f>IF(ISNA(MATCH(926,Engine!$C$2:$C$1199,0)),"",INDEX('Compliance Database'!$N$2:$N$1199,MATCH(926,Engine!$C$2:$C$1199,0)))</f>
        <v/>
      </c>
      <c r="O939" s="7" t="str">
        <f>IF(ISNA(MATCH(926,Engine!$C$2:$C$1199,0)),"",INDEX('Compliance Database'!$O$2:$O$1199,MATCH(926,Engine!$C$2:$C$1199,0)))</f>
        <v/>
      </c>
      <c r="P939" s="6" t="str">
        <f>IF(ISNA(MATCH(926,Engine!$C$2:$C$1199,0)),"",HYPERLINK("#Acts!A"&amp;INDEX('Compliance Database'!$P$2:$P$1199,MATCH(926,Engine!$C$2:$C$1199,0)),"Go to Act"))</f>
        <v/>
      </c>
    </row>
    <row r="940" spans="1:16" ht="172.95" customHeight="1" x14ac:dyDescent="0.3">
      <c r="A940" s="6" t="str">
        <f>IF(ISNA(MATCH(927,Engine!$C$2:$C$1199,0)),"",INDEX('Compliance Database'!$A$2:$A$1199,MATCH(927,Engine!$C$2:$C$1199,0)))</f>
        <v/>
      </c>
      <c r="B940" s="6" t="str">
        <f>IF(ISNA(MATCH(927,Engine!$C$2:$C$1199,0)),"",INDEX('Compliance Database'!$B$2:$B$1199,MATCH(927,Engine!$C$2:$C$1199,0)))</f>
        <v/>
      </c>
      <c r="C940" s="6" t="str">
        <f>IF(ISNA(MATCH(927,Engine!$C$2:$C$1199,0)),"",INDEX('Compliance Database'!$C$2:$C$1199,MATCH(927,Engine!$C$2:$C$1199,0)))</f>
        <v/>
      </c>
      <c r="D940" s="7" t="str">
        <f>IF(ISNA(MATCH(927,Engine!$C$2:$C$1199,0)),"",INDEX('Compliance Database'!$D$2:$D$1199,MATCH(927,Engine!$C$2:$C$1199,0)))</f>
        <v/>
      </c>
      <c r="E940" s="6" t="str">
        <f>IF(ISNA(MATCH(927,Engine!$C$2:$C$1199,0)),"",INDEX('Compliance Database'!$E$2:$E$1199,MATCH(927,Engine!$C$2:$C$1199,0)))</f>
        <v/>
      </c>
      <c r="F940" s="6" t="str">
        <f>IF(ISNA(MATCH(927,Engine!$C$2:$C$1199,0)),"",INDEX('Compliance Database'!$F$2:$F$1199,MATCH(927,Engine!$C$2:$C$1199,0)))</f>
        <v/>
      </c>
      <c r="G940" s="6" t="str">
        <f>IF(ISNA(MATCH(927,Engine!$C$2:$C$1199,0)),"",INDEX('Compliance Database'!$G$2:$G$1199,MATCH(927,Engine!$C$2:$C$1199,0)))</f>
        <v/>
      </c>
      <c r="H940" s="7" t="str">
        <f>IF(ISNA(MATCH(927,Engine!$C$2:$C$1199,0)),"",INDEX('Compliance Database'!$H$2:$H$1199,MATCH(927,Engine!$C$2:$C$1199,0)))</f>
        <v/>
      </c>
      <c r="I940" s="7" t="str">
        <f>IF(ISNA(MATCH(927,Engine!$C$2:$C$1199,0)),"",INDEX('Compliance Database'!$I$2:$I$1199,MATCH(927,Engine!$C$2:$C$1199,0)))</f>
        <v/>
      </c>
      <c r="J940" s="6" t="str">
        <f>IF(ISNA(MATCH(927,Engine!$C$2:$C$1199,0)),"",INDEX('Compliance Database'!$J$2:$J$1199,MATCH(927,Engine!$C$2:$C$1199,0)))</f>
        <v/>
      </c>
      <c r="K940" s="7" t="str">
        <f>IF(ISNA(MATCH(927,Engine!$C$2:$C$1199,0)),"",INDEX('Compliance Database'!$K$2:$K$1199,MATCH(927,Engine!$C$2:$C$1199,0)))</f>
        <v/>
      </c>
      <c r="L940" s="7" t="str">
        <f>IF(ISNA(MATCH(927,Engine!$C$2:$C$1199,0)),"",INDEX('Compliance Database'!$L$2:$L$1199,MATCH(927,Engine!$C$2:$C$1199,0)))</f>
        <v/>
      </c>
      <c r="M940" s="7" t="str">
        <f>IF(ISNA(MATCH(927,Engine!$C$2:$C$1199,0)),"",INDEX('Compliance Database'!$M$2:$M$1199,MATCH(927,Engine!$C$2:$C$1199,0)))</f>
        <v/>
      </c>
      <c r="N940" s="7" t="str">
        <f>IF(ISNA(MATCH(927,Engine!$C$2:$C$1199,0)),"",INDEX('Compliance Database'!$N$2:$N$1199,MATCH(927,Engine!$C$2:$C$1199,0)))</f>
        <v/>
      </c>
      <c r="O940" s="7" t="str">
        <f>IF(ISNA(MATCH(927,Engine!$C$2:$C$1199,0)),"",INDEX('Compliance Database'!$O$2:$O$1199,MATCH(927,Engine!$C$2:$C$1199,0)))</f>
        <v/>
      </c>
      <c r="P940" s="6" t="str">
        <f>IF(ISNA(MATCH(927,Engine!$C$2:$C$1199,0)),"",HYPERLINK("#Acts!A"&amp;INDEX('Compliance Database'!$P$2:$P$1199,MATCH(927,Engine!$C$2:$C$1199,0)),"Go to Act"))</f>
        <v/>
      </c>
    </row>
    <row r="941" spans="1:16" ht="172.95" customHeight="1" x14ac:dyDescent="0.3">
      <c r="A941" s="6" t="str">
        <f>IF(ISNA(MATCH(928,Engine!$C$2:$C$1199,0)),"",INDEX('Compliance Database'!$A$2:$A$1199,MATCH(928,Engine!$C$2:$C$1199,0)))</f>
        <v/>
      </c>
      <c r="B941" s="6" t="str">
        <f>IF(ISNA(MATCH(928,Engine!$C$2:$C$1199,0)),"",INDEX('Compliance Database'!$B$2:$B$1199,MATCH(928,Engine!$C$2:$C$1199,0)))</f>
        <v/>
      </c>
      <c r="C941" s="6" t="str">
        <f>IF(ISNA(MATCH(928,Engine!$C$2:$C$1199,0)),"",INDEX('Compliance Database'!$C$2:$C$1199,MATCH(928,Engine!$C$2:$C$1199,0)))</f>
        <v/>
      </c>
      <c r="D941" s="7" t="str">
        <f>IF(ISNA(MATCH(928,Engine!$C$2:$C$1199,0)),"",INDEX('Compliance Database'!$D$2:$D$1199,MATCH(928,Engine!$C$2:$C$1199,0)))</f>
        <v/>
      </c>
      <c r="E941" s="6" t="str">
        <f>IF(ISNA(MATCH(928,Engine!$C$2:$C$1199,0)),"",INDEX('Compliance Database'!$E$2:$E$1199,MATCH(928,Engine!$C$2:$C$1199,0)))</f>
        <v/>
      </c>
      <c r="F941" s="6" t="str">
        <f>IF(ISNA(MATCH(928,Engine!$C$2:$C$1199,0)),"",INDEX('Compliance Database'!$F$2:$F$1199,MATCH(928,Engine!$C$2:$C$1199,0)))</f>
        <v/>
      </c>
      <c r="G941" s="6" t="str">
        <f>IF(ISNA(MATCH(928,Engine!$C$2:$C$1199,0)),"",INDEX('Compliance Database'!$G$2:$G$1199,MATCH(928,Engine!$C$2:$C$1199,0)))</f>
        <v/>
      </c>
      <c r="H941" s="7" t="str">
        <f>IF(ISNA(MATCH(928,Engine!$C$2:$C$1199,0)),"",INDEX('Compliance Database'!$H$2:$H$1199,MATCH(928,Engine!$C$2:$C$1199,0)))</f>
        <v/>
      </c>
      <c r="I941" s="7" t="str">
        <f>IF(ISNA(MATCH(928,Engine!$C$2:$C$1199,0)),"",INDEX('Compliance Database'!$I$2:$I$1199,MATCH(928,Engine!$C$2:$C$1199,0)))</f>
        <v/>
      </c>
      <c r="J941" s="6" t="str">
        <f>IF(ISNA(MATCH(928,Engine!$C$2:$C$1199,0)),"",INDEX('Compliance Database'!$J$2:$J$1199,MATCH(928,Engine!$C$2:$C$1199,0)))</f>
        <v/>
      </c>
      <c r="K941" s="7" t="str">
        <f>IF(ISNA(MATCH(928,Engine!$C$2:$C$1199,0)),"",INDEX('Compliance Database'!$K$2:$K$1199,MATCH(928,Engine!$C$2:$C$1199,0)))</f>
        <v/>
      </c>
      <c r="L941" s="7" t="str">
        <f>IF(ISNA(MATCH(928,Engine!$C$2:$C$1199,0)),"",INDEX('Compliance Database'!$L$2:$L$1199,MATCH(928,Engine!$C$2:$C$1199,0)))</f>
        <v/>
      </c>
      <c r="M941" s="7" t="str">
        <f>IF(ISNA(MATCH(928,Engine!$C$2:$C$1199,0)),"",INDEX('Compliance Database'!$M$2:$M$1199,MATCH(928,Engine!$C$2:$C$1199,0)))</f>
        <v/>
      </c>
      <c r="N941" s="7" t="str">
        <f>IF(ISNA(MATCH(928,Engine!$C$2:$C$1199,0)),"",INDEX('Compliance Database'!$N$2:$N$1199,MATCH(928,Engine!$C$2:$C$1199,0)))</f>
        <v/>
      </c>
      <c r="O941" s="7" t="str">
        <f>IF(ISNA(MATCH(928,Engine!$C$2:$C$1199,0)),"",INDEX('Compliance Database'!$O$2:$O$1199,MATCH(928,Engine!$C$2:$C$1199,0)))</f>
        <v/>
      </c>
      <c r="P941" s="6" t="str">
        <f>IF(ISNA(MATCH(928,Engine!$C$2:$C$1199,0)),"",HYPERLINK("#Acts!A"&amp;INDEX('Compliance Database'!$P$2:$P$1199,MATCH(928,Engine!$C$2:$C$1199,0)),"Go to Act"))</f>
        <v/>
      </c>
    </row>
    <row r="942" spans="1:16" ht="172.95" customHeight="1" x14ac:dyDescent="0.3">
      <c r="A942" s="6" t="str">
        <f>IF(ISNA(MATCH(929,Engine!$C$2:$C$1199,0)),"",INDEX('Compliance Database'!$A$2:$A$1199,MATCH(929,Engine!$C$2:$C$1199,0)))</f>
        <v/>
      </c>
      <c r="B942" s="6" t="str">
        <f>IF(ISNA(MATCH(929,Engine!$C$2:$C$1199,0)),"",INDEX('Compliance Database'!$B$2:$B$1199,MATCH(929,Engine!$C$2:$C$1199,0)))</f>
        <v/>
      </c>
      <c r="C942" s="6" t="str">
        <f>IF(ISNA(MATCH(929,Engine!$C$2:$C$1199,0)),"",INDEX('Compliance Database'!$C$2:$C$1199,MATCH(929,Engine!$C$2:$C$1199,0)))</f>
        <v/>
      </c>
      <c r="D942" s="7" t="str">
        <f>IF(ISNA(MATCH(929,Engine!$C$2:$C$1199,0)),"",INDEX('Compliance Database'!$D$2:$D$1199,MATCH(929,Engine!$C$2:$C$1199,0)))</f>
        <v/>
      </c>
      <c r="E942" s="6" t="str">
        <f>IF(ISNA(MATCH(929,Engine!$C$2:$C$1199,0)),"",INDEX('Compliance Database'!$E$2:$E$1199,MATCH(929,Engine!$C$2:$C$1199,0)))</f>
        <v/>
      </c>
      <c r="F942" s="6" t="str">
        <f>IF(ISNA(MATCH(929,Engine!$C$2:$C$1199,0)),"",INDEX('Compliance Database'!$F$2:$F$1199,MATCH(929,Engine!$C$2:$C$1199,0)))</f>
        <v/>
      </c>
      <c r="G942" s="6" t="str">
        <f>IF(ISNA(MATCH(929,Engine!$C$2:$C$1199,0)),"",INDEX('Compliance Database'!$G$2:$G$1199,MATCH(929,Engine!$C$2:$C$1199,0)))</f>
        <v/>
      </c>
      <c r="H942" s="7" t="str">
        <f>IF(ISNA(MATCH(929,Engine!$C$2:$C$1199,0)),"",INDEX('Compliance Database'!$H$2:$H$1199,MATCH(929,Engine!$C$2:$C$1199,0)))</f>
        <v/>
      </c>
      <c r="I942" s="7" t="str">
        <f>IF(ISNA(MATCH(929,Engine!$C$2:$C$1199,0)),"",INDEX('Compliance Database'!$I$2:$I$1199,MATCH(929,Engine!$C$2:$C$1199,0)))</f>
        <v/>
      </c>
      <c r="J942" s="6" t="str">
        <f>IF(ISNA(MATCH(929,Engine!$C$2:$C$1199,0)),"",INDEX('Compliance Database'!$J$2:$J$1199,MATCH(929,Engine!$C$2:$C$1199,0)))</f>
        <v/>
      </c>
      <c r="K942" s="7" t="str">
        <f>IF(ISNA(MATCH(929,Engine!$C$2:$C$1199,0)),"",INDEX('Compliance Database'!$K$2:$K$1199,MATCH(929,Engine!$C$2:$C$1199,0)))</f>
        <v/>
      </c>
      <c r="L942" s="7" t="str">
        <f>IF(ISNA(MATCH(929,Engine!$C$2:$C$1199,0)),"",INDEX('Compliance Database'!$L$2:$L$1199,MATCH(929,Engine!$C$2:$C$1199,0)))</f>
        <v/>
      </c>
      <c r="M942" s="7" t="str">
        <f>IF(ISNA(MATCH(929,Engine!$C$2:$C$1199,0)),"",INDEX('Compliance Database'!$M$2:$M$1199,MATCH(929,Engine!$C$2:$C$1199,0)))</f>
        <v/>
      </c>
      <c r="N942" s="7" t="str">
        <f>IF(ISNA(MATCH(929,Engine!$C$2:$C$1199,0)),"",INDEX('Compliance Database'!$N$2:$N$1199,MATCH(929,Engine!$C$2:$C$1199,0)))</f>
        <v/>
      </c>
      <c r="O942" s="7" t="str">
        <f>IF(ISNA(MATCH(929,Engine!$C$2:$C$1199,0)),"",INDEX('Compliance Database'!$O$2:$O$1199,MATCH(929,Engine!$C$2:$C$1199,0)))</f>
        <v/>
      </c>
      <c r="P942" s="6" t="str">
        <f>IF(ISNA(MATCH(929,Engine!$C$2:$C$1199,0)),"",HYPERLINK("#Acts!A"&amp;INDEX('Compliance Database'!$P$2:$P$1199,MATCH(929,Engine!$C$2:$C$1199,0)),"Go to Act"))</f>
        <v/>
      </c>
    </row>
    <row r="943" spans="1:16" ht="172.95" customHeight="1" x14ac:dyDescent="0.3">
      <c r="A943" s="6" t="str">
        <f>IF(ISNA(MATCH(930,Engine!$C$2:$C$1199,0)),"",INDEX('Compliance Database'!$A$2:$A$1199,MATCH(930,Engine!$C$2:$C$1199,0)))</f>
        <v/>
      </c>
      <c r="B943" s="6" t="str">
        <f>IF(ISNA(MATCH(930,Engine!$C$2:$C$1199,0)),"",INDEX('Compliance Database'!$B$2:$B$1199,MATCH(930,Engine!$C$2:$C$1199,0)))</f>
        <v/>
      </c>
      <c r="C943" s="6" t="str">
        <f>IF(ISNA(MATCH(930,Engine!$C$2:$C$1199,0)),"",INDEX('Compliance Database'!$C$2:$C$1199,MATCH(930,Engine!$C$2:$C$1199,0)))</f>
        <v/>
      </c>
      <c r="D943" s="7" t="str">
        <f>IF(ISNA(MATCH(930,Engine!$C$2:$C$1199,0)),"",INDEX('Compliance Database'!$D$2:$D$1199,MATCH(930,Engine!$C$2:$C$1199,0)))</f>
        <v/>
      </c>
      <c r="E943" s="6" t="str">
        <f>IF(ISNA(MATCH(930,Engine!$C$2:$C$1199,0)),"",INDEX('Compliance Database'!$E$2:$E$1199,MATCH(930,Engine!$C$2:$C$1199,0)))</f>
        <v/>
      </c>
      <c r="F943" s="6" t="str">
        <f>IF(ISNA(MATCH(930,Engine!$C$2:$C$1199,0)),"",INDEX('Compliance Database'!$F$2:$F$1199,MATCH(930,Engine!$C$2:$C$1199,0)))</f>
        <v/>
      </c>
      <c r="G943" s="6" t="str">
        <f>IF(ISNA(MATCH(930,Engine!$C$2:$C$1199,0)),"",INDEX('Compliance Database'!$G$2:$G$1199,MATCH(930,Engine!$C$2:$C$1199,0)))</f>
        <v/>
      </c>
      <c r="H943" s="7" t="str">
        <f>IF(ISNA(MATCH(930,Engine!$C$2:$C$1199,0)),"",INDEX('Compliance Database'!$H$2:$H$1199,MATCH(930,Engine!$C$2:$C$1199,0)))</f>
        <v/>
      </c>
      <c r="I943" s="7" t="str">
        <f>IF(ISNA(MATCH(930,Engine!$C$2:$C$1199,0)),"",INDEX('Compliance Database'!$I$2:$I$1199,MATCH(930,Engine!$C$2:$C$1199,0)))</f>
        <v/>
      </c>
      <c r="J943" s="6" t="str">
        <f>IF(ISNA(MATCH(930,Engine!$C$2:$C$1199,0)),"",INDEX('Compliance Database'!$J$2:$J$1199,MATCH(930,Engine!$C$2:$C$1199,0)))</f>
        <v/>
      </c>
      <c r="K943" s="7" t="str">
        <f>IF(ISNA(MATCH(930,Engine!$C$2:$C$1199,0)),"",INDEX('Compliance Database'!$K$2:$K$1199,MATCH(930,Engine!$C$2:$C$1199,0)))</f>
        <v/>
      </c>
      <c r="L943" s="7" t="str">
        <f>IF(ISNA(MATCH(930,Engine!$C$2:$C$1199,0)),"",INDEX('Compliance Database'!$L$2:$L$1199,MATCH(930,Engine!$C$2:$C$1199,0)))</f>
        <v/>
      </c>
      <c r="M943" s="7" t="str">
        <f>IF(ISNA(MATCH(930,Engine!$C$2:$C$1199,0)),"",INDEX('Compliance Database'!$M$2:$M$1199,MATCH(930,Engine!$C$2:$C$1199,0)))</f>
        <v/>
      </c>
      <c r="N943" s="7" t="str">
        <f>IF(ISNA(MATCH(930,Engine!$C$2:$C$1199,0)),"",INDEX('Compliance Database'!$N$2:$N$1199,MATCH(930,Engine!$C$2:$C$1199,0)))</f>
        <v/>
      </c>
      <c r="O943" s="7" t="str">
        <f>IF(ISNA(MATCH(930,Engine!$C$2:$C$1199,0)),"",INDEX('Compliance Database'!$O$2:$O$1199,MATCH(930,Engine!$C$2:$C$1199,0)))</f>
        <v/>
      </c>
      <c r="P943" s="6" t="str">
        <f>IF(ISNA(MATCH(930,Engine!$C$2:$C$1199,0)),"",HYPERLINK("#Acts!A"&amp;INDEX('Compliance Database'!$P$2:$P$1199,MATCH(930,Engine!$C$2:$C$1199,0)),"Go to Act"))</f>
        <v/>
      </c>
    </row>
    <row r="944" spans="1:16" ht="172.95" customHeight="1" x14ac:dyDescent="0.3">
      <c r="A944" s="6" t="str">
        <f>IF(ISNA(MATCH(931,Engine!$C$2:$C$1199,0)),"",INDEX('Compliance Database'!$A$2:$A$1199,MATCH(931,Engine!$C$2:$C$1199,0)))</f>
        <v/>
      </c>
      <c r="B944" s="6" t="str">
        <f>IF(ISNA(MATCH(931,Engine!$C$2:$C$1199,0)),"",INDEX('Compliance Database'!$B$2:$B$1199,MATCH(931,Engine!$C$2:$C$1199,0)))</f>
        <v/>
      </c>
      <c r="C944" s="6" t="str">
        <f>IF(ISNA(MATCH(931,Engine!$C$2:$C$1199,0)),"",INDEX('Compliance Database'!$C$2:$C$1199,MATCH(931,Engine!$C$2:$C$1199,0)))</f>
        <v/>
      </c>
      <c r="D944" s="7" t="str">
        <f>IF(ISNA(MATCH(931,Engine!$C$2:$C$1199,0)),"",INDEX('Compliance Database'!$D$2:$D$1199,MATCH(931,Engine!$C$2:$C$1199,0)))</f>
        <v/>
      </c>
      <c r="E944" s="6" t="str">
        <f>IF(ISNA(MATCH(931,Engine!$C$2:$C$1199,0)),"",INDEX('Compliance Database'!$E$2:$E$1199,MATCH(931,Engine!$C$2:$C$1199,0)))</f>
        <v/>
      </c>
      <c r="F944" s="6" t="str">
        <f>IF(ISNA(MATCH(931,Engine!$C$2:$C$1199,0)),"",INDEX('Compliance Database'!$F$2:$F$1199,MATCH(931,Engine!$C$2:$C$1199,0)))</f>
        <v/>
      </c>
      <c r="G944" s="6" t="str">
        <f>IF(ISNA(MATCH(931,Engine!$C$2:$C$1199,0)),"",INDEX('Compliance Database'!$G$2:$G$1199,MATCH(931,Engine!$C$2:$C$1199,0)))</f>
        <v/>
      </c>
      <c r="H944" s="7" t="str">
        <f>IF(ISNA(MATCH(931,Engine!$C$2:$C$1199,0)),"",INDEX('Compliance Database'!$H$2:$H$1199,MATCH(931,Engine!$C$2:$C$1199,0)))</f>
        <v/>
      </c>
      <c r="I944" s="7" t="str">
        <f>IF(ISNA(MATCH(931,Engine!$C$2:$C$1199,0)),"",INDEX('Compliance Database'!$I$2:$I$1199,MATCH(931,Engine!$C$2:$C$1199,0)))</f>
        <v/>
      </c>
      <c r="J944" s="6" t="str">
        <f>IF(ISNA(MATCH(931,Engine!$C$2:$C$1199,0)),"",INDEX('Compliance Database'!$J$2:$J$1199,MATCH(931,Engine!$C$2:$C$1199,0)))</f>
        <v/>
      </c>
      <c r="K944" s="7" t="str">
        <f>IF(ISNA(MATCH(931,Engine!$C$2:$C$1199,0)),"",INDEX('Compliance Database'!$K$2:$K$1199,MATCH(931,Engine!$C$2:$C$1199,0)))</f>
        <v/>
      </c>
      <c r="L944" s="7" t="str">
        <f>IF(ISNA(MATCH(931,Engine!$C$2:$C$1199,0)),"",INDEX('Compliance Database'!$L$2:$L$1199,MATCH(931,Engine!$C$2:$C$1199,0)))</f>
        <v/>
      </c>
      <c r="M944" s="7" t="str">
        <f>IF(ISNA(MATCH(931,Engine!$C$2:$C$1199,0)),"",INDEX('Compliance Database'!$M$2:$M$1199,MATCH(931,Engine!$C$2:$C$1199,0)))</f>
        <v/>
      </c>
      <c r="N944" s="7" t="str">
        <f>IF(ISNA(MATCH(931,Engine!$C$2:$C$1199,0)),"",INDEX('Compliance Database'!$N$2:$N$1199,MATCH(931,Engine!$C$2:$C$1199,0)))</f>
        <v/>
      </c>
      <c r="O944" s="7" t="str">
        <f>IF(ISNA(MATCH(931,Engine!$C$2:$C$1199,0)),"",INDEX('Compliance Database'!$O$2:$O$1199,MATCH(931,Engine!$C$2:$C$1199,0)))</f>
        <v/>
      </c>
      <c r="P944" s="6" t="str">
        <f>IF(ISNA(MATCH(931,Engine!$C$2:$C$1199,0)),"",HYPERLINK("#Acts!A"&amp;INDEX('Compliance Database'!$P$2:$P$1199,MATCH(931,Engine!$C$2:$C$1199,0)),"Go to Act"))</f>
        <v/>
      </c>
    </row>
    <row r="945" spans="1:16" ht="172.95" customHeight="1" x14ac:dyDescent="0.3">
      <c r="A945" s="6" t="str">
        <f>IF(ISNA(MATCH(932,Engine!$C$2:$C$1199,0)),"",INDEX('Compliance Database'!$A$2:$A$1199,MATCH(932,Engine!$C$2:$C$1199,0)))</f>
        <v/>
      </c>
      <c r="B945" s="6" t="str">
        <f>IF(ISNA(MATCH(932,Engine!$C$2:$C$1199,0)),"",INDEX('Compliance Database'!$B$2:$B$1199,MATCH(932,Engine!$C$2:$C$1199,0)))</f>
        <v/>
      </c>
      <c r="C945" s="6" t="str">
        <f>IF(ISNA(MATCH(932,Engine!$C$2:$C$1199,0)),"",INDEX('Compliance Database'!$C$2:$C$1199,MATCH(932,Engine!$C$2:$C$1199,0)))</f>
        <v/>
      </c>
      <c r="D945" s="7" t="str">
        <f>IF(ISNA(MATCH(932,Engine!$C$2:$C$1199,0)),"",INDEX('Compliance Database'!$D$2:$D$1199,MATCH(932,Engine!$C$2:$C$1199,0)))</f>
        <v/>
      </c>
      <c r="E945" s="6" t="str">
        <f>IF(ISNA(MATCH(932,Engine!$C$2:$C$1199,0)),"",INDEX('Compliance Database'!$E$2:$E$1199,MATCH(932,Engine!$C$2:$C$1199,0)))</f>
        <v/>
      </c>
      <c r="F945" s="6" t="str">
        <f>IF(ISNA(MATCH(932,Engine!$C$2:$C$1199,0)),"",INDEX('Compliance Database'!$F$2:$F$1199,MATCH(932,Engine!$C$2:$C$1199,0)))</f>
        <v/>
      </c>
      <c r="G945" s="6" t="str">
        <f>IF(ISNA(MATCH(932,Engine!$C$2:$C$1199,0)),"",INDEX('Compliance Database'!$G$2:$G$1199,MATCH(932,Engine!$C$2:$C$1199,0)))</f>
        <v/>
      </c>
      <c r="H945" s="7" t="str">
        <f>IF(ISNA(MATCH(932,Engine!$C$2:$C$1199,0)),"",INDEX('Compliance Database'!$H$2:$H$1199,MATCH(932,Engine!$C$2:$C$1199,0)))</f>
        <v/>
      </c>
      <c r="I945" s="7" t="str">
        <f>IF(ISNA(MATCH(932,Engine!$C$2:$C$1199,0)),"",INDEX('Compliance Database'!$I$2:$I$1199,MATCH(932,Engine!$C$2:$C$1199,0)))</f>
        <v/>
      </c>
      <c r="J945" s="6" t="str">
        <f>IF(ISNA(MATCH(932,Engine!$C$2:$C$1199,0)),"",INDEX('Compliance Database'!$J$2:$J$1199,MATCH(932,Engine!$C$2:$C$1199,0)))</f>
        <v/>
      </c>
      <c r="K945" s="7" t="str">
        <f>IF(ISNA(MATCH(932,Engine!$C$2:$C$1199,0)),"",INDEX('Compliance Database'!$K$2:$K$1199,MATCH(932,Engine!$C$2:$C$1199,0)))</f>
        <v/>
      </c>
      <c r="L945" s="7" t="str">
        <f>IF(ISNA(MATCH(932,Engine!$C$2:$C$1199,0)),"",INDEX('Compliance Database'!$L$2:$L$1199,MATCH(932,Engine!$C$2:$C$1199,0)))</f>
        <v/>
      </c>
      <c r="M945" s="7" t="str">
        <f>IF(ISNA(MATCH(932,Engine!$C$2:$C$1199,0)),"",INDEX('Compliance Database'!$M$2:$M$1199,MATCH(932,Engine!$C$2:$C$1199,0)))</f>
        <v/>
      </c>
      <c r="N945" s="7" t="str">
        <f>IF(ISNA(MATCH(932,Engine!$C$2:$C$1199,0)),"",INDEX('Compliance Database'!$N$2:$N$1199,MATCH(932,Engine!$C$2:$C$1199,0)))</f>
        <v/>
      </c>
      <c r="O945" s="7" t="str">
        <f>IF(ISNA(MATCH(932,Engine!$C$2:$C$1199,0)),"",INDEX('Compliance Database'!$O$2:$O$1199,MATCH(932,Engine!$C$2:$C$1199,0)))</f>
        <v/>
      </c>
      <c r="P945" s="6" t="str">
        <f>IF(ISNA(MATCH(932,Engine!$C$2:$C$1199,0)),"",HYPERLINK("#Acts!A"&amp;INDEX('Compliance Database'!$P$2:$P$1199,MATCH(932,Engine!$C$2:$C$1199,0)),"Go to Act"))</f>
        <v/>
      </c>
    </row>
    <row r="946" spans="1:16" ht="172.95" customHeight="1" x14ac:dyDescent="0.3">
      <c r="A946" s="6" t="str">
        <f>IF(ISNA(MATCH(933,Engine!$C$2:$C$1199,0)),"",INDEX('Compliance Database'!$A$2:$A$1199,MATCH(933,Engine!$C$2:$C$1199,0)))</f>
        <v/>
      </c>
      <c r="B946" s="6" t="str">
        <f>IF(ISNA(MATCH(933,Engine!$C$2:$C$1199,0)),"",INDEX('Compliance Database'!$B$2:$B$1199,MATCH(933,Engine!$C$2:$C$1199,0)))</f>
        <v/>
      </c>
      <c r="C946" s="6" t="str">
        <f>IF(ISNA(MATCH(933,Engine!$C$2:$C$1199,0)),"",INDEX('Compliance Database'!$C$2:$C$1199,MATCH(933,Engine!$C$2:$C$1199,0)))</f>
        <v/>
      </c>
      <c r="D946" s="7" t="str">
        <f>IF(ISNA(MATCH(933,Engine!$C$2:$C$1199,0)),"",INDEX('Compliance Database'!$D$2:$D$1199,MATCH(933,Engine!$C$2:$C$1199,0)))</f>
        <v/>
      </c>
      <c r="E946" s="6" t="str">
        <f>IF(ISNA(MATCH(933,Engine!$C$2:$C$1199,0)),"",INDEX('Compliance Database'!$E$2:$E$1199,MATCH(933,Engine!$C$2:$C$1199,0)))</f>
        <v/>
      </c>
      <c r="F946" s="6" t="str">
        <f>IF(ISNA(MATCH(933,Engine!$C$2:$C$1199,0)),"",INDEX('Compliance Database'!$F$2:$F$1199,MATCH(933,Engine!$C$2:$C$1199,0)))</f>
        <v/>
      </c>
      <c r="G946" s="6" t="str">
        <f>IF(ISNA(MATCH(933,Engine!$C$2:$C$1199,0)),"",INDEX('Compliance Database'!$G$2:$G$1199,MATCH(933,Engine!$C$2:$C$1199,0)))</f>
        <v/>
      </c>
      <c r="H946" s="7" t="str">
        <f>IF(ISNA(MATCH(933,Engine!$C$2:$C$1199,0)),"",INDEX('Compliance Database'!$H$2:$H$1199,MATCH(933,Engine!$C$2:$C$1199,0)))</f>
        <v/>
      </c>
      <c r="I946" s="7" t="str">
        <f>IF(ISNA(MATCH(933,Engine!$C$2:$C$1199,0)),"",INDEX('Compliance Database'!$I$2:$I$1199,MATCH(933,Engine!$C$2:$C$1199,0)))</f>
        <v/>
      </c>
      <c r="J946" s="6" t="str">
        <f>IF(ISNA(MATCH(933,Engine!$C$2:$C$1199,0)),"",INDEX('Compliance Database'!$J$2:$J$1199,MATCH(933,Engine!$C$2:$C$1199,0)))</f>
        <v/>
      </c>
      <c r="K946" s="7" t="str">
        <f>IF(ISNA(MATCH(933,Engine!$C$2:$C$1199,0)),"",INDEX('Compliance Database'!$K$2:$K$1199,MATCH(933,Engine!$C$2:$C$1199,0)))</f>
        <v/>
      </c>
      <c r="L946" s="7" t="str">
        <f>IF(ISNA(MATCH(933,Engine!$C$2:$C$1199,0)),"",INDEX('Compliance Database'!$L$2:$L$1199,MATCH(933,Engine!$C$2:$C$1199,0)))</f>
        <v/>
      </c>
      <c r="M946" s="7" t="str">
        <f>IF(ISNA(MATCH(933,Engine!$C$2:$C$1199,0)),"",INDEX('Compliance Database'!$M$2:$M$1199,MATCH(933,Engine!$C$2:$C$1199,0)))</f>
        <v/>
      </c>
      <c r="N946" s="7" t="str">
        <f>IF(ISNA(MATCH(933,Engine!$C$2:$C$1199,0)),"",INDEX('Compliance Database'!$N$2:$N$1199,MATCH(933,Engine!$C$2:$C$1199,0)))</f>
        <v/>
      </c>
      <c r="O946" s="7" t="str">
        <f>IF(ISNA(MATCH(933,Engine!$C$2:$C$1199,0)),"",INDEX('Compliance Database'!$O$2:$O$1199,MATCH(933,Engine!$C$2:$C$1199,0)))</f>
        <v/>
      </c>
      <c r="P946" s="6" t="str">
        <f>IF(ISNA(MATCH(933,Engine!$C$2:$C$1199,0)),"",HYPERLINK("#Acts!A"&amp;INDEX('Compliance Database'!$P$2:$P$1199,MATCH(933,Engine!$C$2:$C$1199,0)),"Go to Act"))</f>
        <v/>
      </c>
    </row>
    <row r="947" spans="1:16" ht="172.95" customHeight="1" x14ac:dyDescent="0.3">
      <c r="A947" s="6" t="str">
        <f>IF(ISNA(MATCH(934,Engine!$C$2:$C$1199,0)),"",INDEX('Compliance Database'!$A$2:$A$1199,MATCH(934,Engine!$C$2:$C$1199,0)))</f>
        <v/>
      </c>
      <c r="B947" s="6" t="str">
        <f>IF(ISNA(MATCH(934,Engine!$C$2:$C$1199,0)),"",INDEX('Compliance Database'!$B$2:$B$1199,MATCH(934,Engine!$C$2:$C$1199,0)))</f>
        <v/>
      </c>
      <c r="C947" s="6" t="str">
        <f>IF(ISNA(MATCH(934,Engine!$C$2:$C$1199,0)),"",INDEX('Compliance Database'!$C$2:$C$1199,MATCH(934,Engine!$C$2:$C$1199,0)))</f>
        <v/>
      </c>
      <c r="D947" s="7" t="str">
        <f>IF(ISNA(MATCH(934,Engine!$C$2:$C$1199,0)),"",INDEX('Compliance Database'!$D$2:$D$1199,MATCH(934,Engine!$C$2:$C$1199,0)))</f>
        <v/>
      </c>
      <c r="E947" s="6" t="str">
        <f>IF(ISNA(MATCH(934,Engine!$C$2:$C$1199,0)),"",INDEX('Compliance Database'!$E$2:$E$1199,MATCH(934,Engine!$C$2:$C$1199,0)))</f>
        <v/>
      </c>
      <c r="F947" s="6" t="str">
        <f>IF(ISNA(MATCH(934,Engine!$C$2:$C$1199,0)),"",INDEX('Compliance Database'!$F$2:$F$1199,MATCH(934,Engine!$C$2:$C$1199,0)))</f>
        <v/>
      </c>
      <c r="G947" s="6" t="str">
        <f>IF(ISNA(MATCH(934,Engine!$C$2:$C$1199,0)),"",INDEX('Compliance Database'!$G$2:$G$1199,MATCH(934,Engine!$C$2:$C$1199,0)))</f>
        <v/>
      </c>
      <c r="H947" s="7" t="str">
        <f>IF(ISNA(MATCH(934,Engine!$C$2:$C$1199,0)),"",INDEX('Compliance Database'!$H$2:$H$1199,MATCH(934,Engine!$C$2:$C$1199,0)))</f>
        <v/>
      </c>
      <c r="I947" s="7" t="str">
        <f>IF(ISNA(MATCH(934,Engine!$C$2:$C$1199,0)),"",INDEX('Compliance Database'!$I$2:$I$1199,MATCH(934,Engine!$C$2:$C$1199,0)))</f>
        <v/>
      </c>
      <c r="J947" s="6" t="str">
        <f>IF(ISNA(MATCH(934,Engine!$C$2:$C$1199,0)),"",INDEX('Compliance Database'!$J$2:$J$1199,MATCH(934,Engine!$C$2:$C$1199,0)))</f>
        <v/>
      </c>
      <c r="K947" s="7" t="str">
        <f>IF(ISNA(MATCH(934,Engine!$C$2:$C$1199,0)),"",INDEX('Compliance Database'!$K$2:$K$1199,MATCH(934,Engine!$C$2:$C$1199,0)))</f>
        <v/>
      </c>
      <c r="L947" s="7" t="str">
        <f>IF(ISNA(MATCH(934,Engine!$C$2:$C$1199,0)),"",INDEX('Compliance Database'!$L$2:$L$1199,MATCH(934,Engine!$C$2:$C$1199,0)))</f>
        <v/>
      </c>
      <c r="M947" s="7" t="str">
        <f>IF(ISNA(MATCH(934,Engine!$C$2:$C$1199,0)),"",INDEX('Compliance Database'!$M$2:$M$1199,MATCH(934,Engine!$C$2:$C$1199,0)))</f>
        <v/>
      </c>
      <c r="N947" s="7" t="str">
        <f>IF(ISNA(MATCH(934,Engine!$C$2:$C$1199,0)),"",INDEX('Compliance Database'!$N$2:$N$1199,MATCH(934,Engine!$C$2:$C$1199,0)))</f>
        <v/>
      </c>
      <c r="O947" s="7" t="str">
        <f>IF(ISNA(MATCH(934,Engine!$C$2:$C$1199,0)),"",INDEX('Compliance Database'!$O$2:$O$1199,MATCH(934,Engine!$C$2:$C$1199,0)))</f>
        <v/>
      </c>
      <c r="P947" s="6" t="str">
        <f>IF(ISNA(MATCH(934,Engine!$C$2:$C$1199,0)),"",HYPERLINK("#Acts!A"&amp;INDEX('Compliance Database'!$P$2:$P$1199,MATCH(934,Engine!$C$2:$C$1199,0)),"Go to Act"))</f>
        <v/>
      </c>
    </row>
    <row r="948" spans="1:16" ht="172.95" customHeight="1" x14ac:dyDescent="0.3">
      <c r="A948" s="6" t="str">
        <f>IF(ISNA(MATCH(935,Engine!$C$2:$C$1199,0)),"",INDEX('Compliance Database'!$A$2:$A$1199,MATCH(935,Engine!$C$2:$C$1199,0)))</f>
        <v/>
      </c>
      <c r="B948" s="6" t="str">
        <f>IF(ISNA(MATCH(935,Engine!$C$2:$C$1199,0)),"",INDEX('Compliance Database'!$B$2:$B$1199,MATCH(935,Engine!$C$2:$C$1199,0)))</f>
        <v/>
      </c>
      <c r="C948" s="6" t="str">
        <f>IF(ISNA(MATCH(935,Engine!$C$2:$C$1199,0)),"",INDEX('Compliance Database'!$C$2:$C$1199,MATCH(935,Engine!$C$2:$C$1199,0)))</f>
        <v/>
      </c>
      <c r="D948" s="7" t="str">
        <f>IF(ISNA(MATCH(935,Engine!$C$2:$C$1199,0)),"",INDEX('Compliance Database'!$D$2:$D$1199,MATCH(935,Engine!$C$2:$C$1199,0)))</f>
        <v/>
      </c>
      <c r="E948" s="6" t="str">
        <f>IF(ISNA(MATCH(935,Engine!$C$2:$C$1199,0)),"",INDEX('Compliance Database'!$E$2:$E$1199,MATCH(935,Engine!$C$2:$C$1199,0)))</f>
        <v/>
      </c>
      <c r="F948" s="6" t="str">
        <f>IF(ISNA(MATCH(935,Engine!$C$2:$C$1199,0)),"",INDEX('Compliance Database'!$F$2:$F$1199,MATCH(935,Engine!$C$2:$C$1199,0)))</f>
        <v/>
      </c>
      <c r="G948" s="6" t="str">
        <f>IF(ISNA(MATCH(935,Engine!$C$2:$C$1199,0)),"",INDEX('Compliance Database'!$G$2:$G$1199,MATCH(935,Engine!$C$2:$C$1199,0)))</f>
        <v/>
      </c>
      <c r="H948" s="7" t="str">
        <f>IF(ISNA(MATCH(935,Engine!$C$2:$C$1199,0)),"",INDEX('Compliance Database'!$H$2:$H$1199,MATCH(935,Engine!$C$2:$C$1199,0)))</f>
        <v/>
      </c>
      <c r="I948" s="7" t="str">
        <f>IF(ISNA(MATCH(935,Engine!$C$2:$C$1199,0)),"",INDEX('Compliance Database'!$I$2:$I$1199,MATCH(935,Engine!$C$2:$C$1199,0)))</f>
        <v/>
      </c>
      <c r="J948" s="6" t="str">
        <f>IF(ISNA(MATCH(935,Engine!$C$2:$C$1199,0)),"",INDEX('Compliance Database'!$J$2:$J$1199,MATCH(935,Engine!$C$2:$C$1199,0)))</f>
        <v/>
      </c>
      <c r="K948" s="7" t="str">
        <f>IF(ISNA(MATCH(935,Engine!$C$2:$C$1199,0)),"",INDEX('Compliance Database'!$K$2:$K$1199,MATCH(935,Engine!$C$2:$C$1199,0)))</f>
        <v/>
      </c>
      <c r="L948" s="7" t="str">
        <f>IF(ISNA(MATCH(935,Engine!$C$2:$C$1199,0)),"",INDEX('Compliance Database'!$L$2:$L$1199,MATCH(935,Engine!$C$2:$C$1199,0)))</f>
        <v/>
      </c>
      <c r="M948" s="7" t="str">
        <f>IF(ISNA(MATCH(935,Engine!$C$2:$C$1199,0)),"",INDEX('Compliance Database'!$M$2:$M$1199,MATCH(935,Engine!$C$2:$C$1199,0)))</f>
        <v/>
      </c>
      <c r="N948" s="7" t="str">
        <f>IF(ISNA(MATCH(935,Engine!$C$2:$C$1199,0)),"",INDEX('Compliance Database'!$N$2:$N$1199,MATCH(935,Engine!$C$2:$C$1199,0)))</f>
        <v/>
      </c>
      <c r="O948" s="7" t="str">
        <f>IF(ISNA(MATCH(935,Engine!$C$2:$C$1199,0)),"",INDEX('Compliance Database'!$O$2:$O$1199,MATCH(935,Engine!$C$2:$C$1199,0)))</f>
        <v/>
      </c>
      <c r="P948" s="6" t="str">
        <f>IF(ISNA(MATCH(935,Engine!$C$2:$C$1199,0)),"",HYPERLINK("#Acts!A"&amp;INDEX('Compliance Database'!$P$2:$P$1199,MATCH(935,Engine!$C$2:$C$1199,0)),"Go to Act"))</f>
        <v/>
      </c>
    </row>
    <row r="949" spans="1:16" ht="172.95" customHeight="1" x14ac:dyDescent="0.3">
      <c r="A949" s="6" t="str">
        <f>IF(ISNA(MATCH(936,Engine!$C$2:$C$1199,0)),"",INDEX('Compliance Database'!$A$2:$A$1199,MATCH(936,Engine!$C$2:$C$1199,0)))</f>
        <v/>
      </c>
      <c r="B949" s="6" t="str">
        <f>IF(ISNA(MATCH(936,Engine!$C$2:$C$1199,0)),"",INDEX('Compliance Database'!$B$2:$B$1199,MATCH(936,Engine!$C$2:$C$1199,0)))</f>
        <v/>
      </c>
      <c r="C949" s="6" t="str">
        <f>IF(ISNA(MATCH(936,Engine!$C$2:$C$1199,0)),"",INDEX('Compliance Database'!$C$2:$C$1199,MATCH(936,Engine!$C$2:$C$1199,0)))</f>
        <v/>
      </c>
      <c r="D949" s="7" t="str">
        <f>IF(ISNA(MATCH(936,Engine!$C$2:$C$1199,0)),"",INDEX('Compliance Database'!$D$2:$D$1199,MATCH(936,Engine!$C$2:$C$1199,0)))</f>
        <v/>
      </c>
      <c r="E949" s="6" t="str">
        <f>IF(ISNA(MATCH(936,Engine!$C$2:$C$1199,0)),"",INDEX('Compliance Database'!$E$2:$E$1199,MATCH(936,Engine!$C$2:$C$1199,0)))</f>
        <v/>
      </c>
      <c r="F949" s="6" t="str">
        <f>IF(ISNA(MATCH(936,Engine!$C$2:$C$1199,0)),"",INDEX('Compliance Database'!$F$2:$F$1199,MATCH(936,Engine!$C$2:$C$1199,0)))</f>
        <v/>
      </c>
      <c r="G949" s="6" t="str">
        <f>IF(ISNA(MATCH(936,Engine!$C$2:$C$1199,0)),"",INDEX('Compliance Database'!$G$2:$G$1199,MATCH(936,Engine!$C$2:$C$1199,0)))</f>
        <v/>
      </c>
      <c r="H949" s="7" t="str">
        <f>IF(ISNA(MATCH(936,Engine!$C$2:$C$1199,0)),"",INDEX('Compliance Database'!$H$2:$H$1199,MATCH(936,Engine!$C$2:$C$1199,0)))</f>
        <v/>
      </c>
      <c r="I949" s="7" t="str">
        <f>IF(ISNA(MATCH(936,Engine!$C$2:$C$1199,0)),"",INDEX('Compliance Database'!$I$2:$I$1199,MATCH(936,Engine!$C$2:$C$1199,0)))</f>
        <v/>
      </c>
      <c r="J949" s="6" t="str">
        <f>IF(ISNA(MATCH(936,Engine!$C$2:$C$1199,0)),"",INDEX('Compliance Database'!$J$2:$J$1199,MATCH(936,Engine!$C$2:$C$1199,0)))</f>
        <v/>
      </c>
      <c r="K949" s="7" t="str">
        <f>IF(ISNA(MATCH(936,Engine!$C$2:$C$1199,0)),"",INDEX('Compliance Database'!$K$2:$K$1199,MATCH(936,Engine!$C$2:$C$1199,0)))</f>
        <v/>
      </c>
      <c r="L949" s="7" t="str">
        <f>IF(ISNA(MATCH(936,Engine!$C$2:$C$1199,0)),"",INDEX('Compliance Database'!$L$2:$L$1199,MATCH(936,Engine!$C$2:$C$1199,0)))</f>
        <v/>
      </c>
      <c r="M949" s="7" t="str">
        <f>IF(ISNA(MATCH(936,Engine!$C$2:$C$1199,0)),"",INDEX('Compliance Database'!$M$2:$M$1199,MATCH(936,Engine!$C$2:$C$1199,0)))</f>
        <v/>
      </c>
      <c r="N949" s="7" t="str">
        <f>IF(ISNA(MATCH(936,Engine!$C$2:$C$1199,0)),"",INDEX('Compliance Database'!$N$2:$N$1199,MATCH(936,Engine!$C$2:$C$1199,0)))</f>
        <v/>
      </c>
      <c r="O949" s="7" t="str">
        <f>IF(ISNA(MATCH(936,Engine!$C$2:$C$1199,0)),"",INDEX('Compliance Database'!$O$2:$O$1199,MATCH(936,Engine!$C$2:$C$1199,0)))</f>
        <v/>
      </c>
      <c r="P949" s="6" t="str">
        <f>IF(ISNA(MATCH(936,Engine!$C$2:$C$1199,0)),"",HYPERLINK("#Acts!A"&amp;INDEX('Compliance Database'!$P$2:$P$1199,MATCH(936,Engine!$C$2:$C$1199,0)),"Go to Act"))</f>
        <v/>
      </c>
    </row>
    <row r="950" spans="1:16" ht="172.95" customHeight="1" x14ac:dyDescent="0.3">
      <c r="A950" s="6" t="str">
        <f>IF(ISNA(MATCH(937,Engine!$C$2:$C$1199,0)),"",INDEX('Compliance Database'!$A$2:$A$1199,MATCH(937,Engine!$C$2:$C$1199,0)))</f>
        <v/>
      </c>
      <c r="B950" s="6" t="str">
        <f>IF(ISNA(MATCH(937,Engine!$C$2:$C$1199,0)),"",INDEX('Compliance Database'!$B$2:$B$1199,MATCH(937,Engine!$C$2:$C$1199,0)))</f>
        <v/>
      </c>
      <c r="C950" s="6" t="str">
        <f>IF(ISNA(MATCH(937,Engine!$C$2:$C$1199,0)),"",INDEX('Compliance Database'!$C$2:$C$1199,MATCH(937,Engine!$C$2:$C$1199,0)))</f>
        <v/>
      </c>
      <c r="D950" s="7" t="str">
        <f>IF(ISNA(MATCH(937,Engine!$C$2:$C$1199,0)),"",INDEX('Compliance Database'!$D$2:$D$1199,MATCH(937,Engine!$C$2:$C$1199,0)))</f>
        <v/>
      </c>
      <c r="E950" s="6" t="str">
        <f>IF(ISNA(MATCH(937,Engine!$C$2:$C$1199,0)),"",INDEX('Compliance Database'!$E$2:$E$1199,MATCH(937,Engine!$C$2:$C$1199,0)))</f>
        <v/>
      </c>
      <c r="F950" s="6" t="str">
        <f>IF(ISNA(MATCH(937,Engine!$C$2:$C$1199,0)),"",INDEX('Compliance Database'!$F$2:$F$1199,MATCH(937,Engine!$C$2:$C$1199,0)))</f>
        <v/>
      </c>
      <c r="G950" s="6" t="str">
        <f>IF(ISNA(MATCH(937,Engine!$C$2:$C$1199,0)),"",INDEX('Compliance Database'!$G$2:$G$1199,MATCH(937,Engine!$C$2:$C$1199,0)))</f>
        <v/>
      </c>
      <c r="H950" s="7" t="str">
        <f>IF(ISNA(MATCH(937,Engine!$C$2:$C$1199,0)),"",INDEX('Compliance Database'!$H$2:$H$1199,MATCH(937,Engine!$C$2:$C$1199,0)))</f>
        <v/>
      </c>
      <c r="I950" s="7" t="str">
        <f>IF(ISNA(MATCH(937,Engine!$C$2:$C$1199,0)),"",INDEX('Compliance Database'!$I$2:$I$1199,MATCH(937,Engine!$C$2:$C$1199,0)))</f>
        <v/>
      </c>
      <c r="J950" s="6" t="str">
        <f>IF(ISNA(MATCH(937,Engine!$C$2:$C$1199,0)),"",INDEX('Compliance Database'!$J$2:$J$1199,MATCH(937,Engine!$C$2:$C$1199,0)))</f>
        <v/>
      </c>
      <c r="K950" s="7" t="str">
        <f>IF(ISNA(MATCH(937,Engine!$C$2:$C$1199,0)),"",INDEX('Compliance Database'!$K$2:$K$1199,MATCH(937,Engine!$C$2:$C$1199,0)))</f>
        <v/>
      </c>
      <c r="L950" s="7" t="str">
        <f>IF(ISNA(MATCH(937,Engine!$C$2:$C$1199,0)),"",INDEX('Compliance Database'!$L$2:$L$1199,MATCH(937,Engine!$C$2:$C$1199,0)))</f>
        <v/>
      </c>
      <c r="M950" s="7" t="str">
        <f>IF(ISNA(MATCH(937,Engine!$C$2:$C$1199,0)),"",INDEX('Compliance Database'!$M$2:$M$1199,MATCH(937,Engine!$C$2:$C$1199,0)))</f>
        <v/>
      </c>
      <c r="N950" s="7" t="str">
        <f>IF(ISNA(MATCH(937,Engine!$C$2:$C$1199,0)),"",INDEX('Compliance Database'!$N$2:$N$1199,MATCH(937,Engine!$C$2:$C$1199,0)))</f>
        <v/>
      </c>
      <c r="O950" s="7" t="str">
        <f>IF(ISNA(MATCH(937,Engine!$C$2:$C$1199,0)),"",INDEX('Compliance Database'!$O$2:$O$1199,MATCH(937,Engine!$C$2:$C$1199,0)))</f>
        <v/>
      </c>
      <c r="P950" s="6" t="str">
        <f>IF(ISNA(MATCH(937,Engine!$C$2:$C$1199,0)),"",HYPERLINK("#Acts!A"&amp;INDEX('Compliance Database'!$P$2:$P$1199,MATCH(937,Engine!$C$2:$C$1199,0)),"Go to Act"))</f>
        <v/>
      </c>
    </row>
    <row r="951" spans="1:16" ht="172.95" customHeight="1" x14ac:dyDescent="0.3">
      <c r="A951" s="6" t="str">
        <f>IF(ISNA(MATCH(938,Engine!$C$2:$C$1199,0)),"",INDEX('Compliance Database'!$A$2:$A$1199,MATCH(938,Engine!$C$2:$C$1199,0)))</f>
        <v/>
      </c>
      <c r="B951" s="6" t="str">
        <f>IF(ISNA(MATCH(938,Engine!$C$2:$C$1199,0)),"",INDEX('Compliance Database'!$B$2:$B$1199,MATCH(938,Engine!$C$2:$C$1199,0)))</f>
        <v/>
      </c>
      <c r="C951" s="6" t="str">
        <f>IF(ISNA(MATCH(938,Engine!$C$2:$C$1199,0)),"",INDEX('Compliance Database'!$C$2:$C$1199,MATCH(938,Engine!$C$2:$C$1199,0)))</f>
        <v/>
      </c>
      <c r="D951" s="7" t="str">
        <f>IF(ISNA(MATCH(938,Engine!$C$2:$C$1199,0)),"",INDEX('Compliance Database'!$D$2:$D$1199,MATCH(938,Engine!$C$2:$C$1199,0)))</f>
        <v/>
      </c>
      <c r="E951" s="6" t="str">
        <f>IF(ISNA(MATCH(938,Engine!$C$2:$C$1199,0)),"",INDEX('Compliance Database'!$E$2:$E$1199,MATCH(938,Engine!$C$2:$C$1199,0)))</f>
        <v/>
      </c>
      <c r="F951" s="6" t="str">
        <f>IF(ISNA(MATCH(938,Engine!$C$2:$C$1199,0)),"",INDEX('Compliance Database'!$F$2:$F$1199,MATCH(938,Engine!$C$2:$C$1199,0)))</f>
        <v/>
      </c>
      <c r="G951" s="6" t="str">
        <f>IF(ISNA(MATCH(938,Engine!$C$2:$C$1199,0)),"",INDEX('Compliance Database'!$G$2:$G$1199,MATCH(938,Engine!$C$2:$C$1199,0)))</f>
        <v/>
      </c>
      <c r="H951" s="7" t="str">
        <f>IF(ISNA(MATCH(938,Engine!$C$2:$C$1199,0)),"",INDEX('Compliance Database'!$H$2:$H$1199,MATCH(938,Engine!$C$2:$C$1199,0)))</f>
        <v/>
      </c>
      <c r="I951" s="7" t="str">
        <f>IF(ISNA(MATCH(938,Engine!$C$2:$C$1199,0)),"",INDEX('Compliance Database'!$I$2:$I$1199,MATCH(938,Engine!$C$2:$C$1199,0)))</f>
        <v/>
      </c>
      <c r="J951" s="6" t="str">
        <f>IF(ISNA(MATCH(938,Engine!$C$2:$C$1199,0)),"",INDEX('Compliance Database'!$J$2:$J$1199,MATCH(938,Engine!$C$2:$C$1199,0)))</f>
        <v/>
      </c>
      <c r="K951" s="7" t="str">
        <f>IF(ISNA(MATCH(938,Engine!$C$2:$C$1199,0)),"",INDEX('Compliance Database'!$K$2:$K$1199,MATCH(938,Engine!$C$2:$C$1199,0)))</f>
        <v/>
      </c>
      <c r="L951" s="7" t="str">
        <f>IF(ISNA(MATCH(938,Engine!$C$2:$C$1199,0)),"",INDEX('Compliance Database'!$L$2:$L$1199,MATCH(938,Engine!$C$2:$C$1199,0)))</f>
        <v/>
      </c>
      <c r="M951" s="7" t="str">
        <f>IF(ISNA(MATCH(938,Engine!$C$2:$C$1199,0)),"",INDEX('Compliance Database'!$M$2:$M$1199,MATCH(938,Engine!$C$2:$C$1199,0)))</f>
        <v/>
      </c>
      <c r="N951" s="7" t="str">
        <f>IF(ISNA(MATCH(938,Engine!$C$2:$C$1199,0)),"",INDEX('Compliance Database'!$N$2:$N$1199,MATCH(938,Engine!$C$2:$C$1199,0)))</f>
        <v/>
      </c>
      <c r="O951" s="7" t="str">
        <f>IF(ISNA(MATCH(938,Engine!$C$2:$C$1199,0)),"",INDEX('Compliance Database'!$O$2:$O$1199,MATCH(938,Engine!$C$2:$C$1199,0)))</f>
        <v/>
      </c>
      <c r="P951" s="6" t="str">
        <f>IF(ISNA(MATCH(938,Engine!$C$2:$C$1199,0)),"",HYPERLINK("#Acts!A"&amp;INDEX('Compliance Database'!$P$2:$P$1199,MATCH(938,Engine!$C$2:$C$1199,0)),"Go to Act"))</f>
        <v/>
      </c>
    </row>
    <row r="952" spans="1:16" ht="172.95" customHeight="1" x14ac:dyDescent="0.3">
      <c r="A952" s="6" t="str">
        <f>IF(ISNA(MATCH(939,Engine!$C$2:$C$1199,0)),"",INDEX('Compliance Database'!$A$2:$A$1199,MATCH(939,Engine!$C$2:$C$1199,0)))</f>
        <v/>
      </c>
      <c r="B952" s="6" t="str">
        <f>IF(ISNA(MATCH(939,Engine!$C$2:$C$1199,0)),"",INDEX('Compliance Database'!$B$2:$B$1199,MATCH(939,Engine!$C$2:$C$1199,0)))</f>
        <v/>
      </c>
      <c r="C952" s="6" t="str">
        <f>IF(ISNA(MATCH(939,Engine!$C$2:$C$1199,0)),"",INDEX('Compliance Database'!$C$2:$C$1199,MATCH(939,Engine!$C$2:$C$1199,0)))</f>
        <v/>
      </c>
      <c r="D952" s="7" t="str">
        <f>IF(ISNA(MATCH(939,Engine!$C$2:$C$1199,0)),"",INDEX('Compliance Database'!$D$2:$D$1199,MATCH(939,Engine!$C$2:$C$1199,0)))</f>
        <v/>
      </c>
      <c r="E952" s="6" t="str">
        <f>IF(ISNA(MATCH(939,Engine!$C$2:$C$1199,0)),"",INDEX('Compliance Database'!$E$2:$E$1199,MATCH(939,Engine!$C$2:$C$1199,0)))</f>
        <v/>
      </c>
      <c r="F952" s="6" t="str">
        <f>IF(ISNA(MATCH(939,Engine!$C$2:$C$1199,0)),"",INDEX('Compliance Database'!$F$2:$F$1199,MATCH(939,Engine!$C$2:$C$1199,0)))</f>
        <v/>
      </c>
      <c r="G952" s="6" t="str">
        <f>IF(ISNA(MATCH(939,Engine!$C$2:$C$1199,0)),"",INDEX('Compliance Database'!$G$2:$G$1199,MATCH(939,Engine!$C$2:$C$1199,0)))</f>
        <v/>
      </c>
      <c r="H952" s="7" t="str">
        <f>IF(ISNA(MATCH(939,Engine!$C$2:$C$1199,0)),"",INDEX('Compliance Database'!$H$2:$H$1199,MATCH(939,Engine!$C$2:$C$1199,0)))</f>
        <v/>
      </c>
      <c r="I952" s="7" t="str">
        <f>IF(ISNA(MATCH(939,Engine!$C$2:$C$1199,0)),"",INDEX('Compliance Database'!$I$2:$I$1199,MATCH(939,Engine!$C$2:$C$1199,0)))</f>
        <v/>
      </c>
      <c r="J952" s="6" t="str">
        <f>IF(ISNA(MATCH(939,Engine!$C$2:$C$1199,0)),"",INDEX('Compliance Database'!$J$2:$J$1199,MATCH(939,Engine!$C$2:$C$1199,0)))</f>
        <v/>
      </c>
      <c r="K952" s="7" t="str">
        <f>IF(ISNA(MATCH(939,Engine!$C$2:$C$1199,0)),"",INDEX('Compliance Database'!$K$2:$K$1199,MATCH(939,Engine!$C$2:$C$1199,0)))</f>
        <v/>
      </c>
      <c r="L952" s="7" t="str">
        <f>IF(ISNA(MATCH(939,Engine!$C$2:$C$1199,0)),"",INDEX('Compliance Database'!$L$2:$L$1199,MATCH(939,Engine!$C$2:$C$1199,0)))</f>
        <v/>
      </c>
      <c r="M952" s="7" t="str">
        <f>IF(ISNA(MATCH(939,Engine!$C$2:$C$1199,0)),"",INDEX('Compliance Database'!$M$2:$M$1199,MATCH(939,Engine!$C$2:$C$1199,0)))</f>
        <v/>
      </c>
      <c r="N952" s="7" t="str">
        <f>IF(ISNA(MATCH(939,Engine!$C$2:$C$1199,0)),"",INDEX('Compliance Database'!$N$2:$N$1199,MATCH(939,Engine!$C$2:$C$1199,0)))</f>
        <v/>
      </c>
      <c r="O952" s="7" t="str">
        <f>IF(ISNA(MATCH(939,Engine!$C$2:$C$1199,0)),"",INDEX('Compliance Database'!$O$2:$O$1199,MATCH(939,Engine!$C$2:$C$1199,0)))</f>
        <v/>
      </c>
      <c r="P952" s="6" t="str">
        <f>IF(ISNA(MATCH(939,Engine!$C$2:$C$1199,0)),"",HYPERLINK("#Acts!A"&amp;INDEX('Compliance Database'!$P$2:$P$1199,MATCH(939,Engine!$C$2:$C$1199,0)),"Go to Act"))</f>
        <v/>
      </c>
    </row>
    <row r="953" spans="1:16" ht="172.95" customHeight="1" x14ac:dyDescent="0.3">
      <c r="A953" s="6" t="str">
        <f>IF(ISNA(MATCH(940,Engine!$C$2:$C$1199,0)),"",INDEX('Compliance Database'!$A$2:$A$1199,MATCH(940,Engine!$C$2:$C$1199,0)))</f>
        <v/>
      </c>
      <c r="B953" s="6" t="str">
        <f>IF(ISNA(MATCH(940,Engine!$C$2:$C$1199,0)),"",INDEX('Compliance Database'!$B$2:$B$1199,MATCH(940,Engine!$C$2:$C$1199,0)))</f>
        <v/>
      </c>
      <c r="C953" s="6" t="str">
        <f>IF(ISNA(MATCH(940,Engine!$C$2:$C$1199,0)),"",INDEX('Compliance Database'!$C$2:$C$1199,MATCH(940,Engine!$C$2:$C$1199,0)))</f>
        <v/>
      </c>
      <c r="D953" s="7" t="str">
        <f>IF(ISNA(MATCH(940,Engine!$C$2:$C$1199,0)),"",INDEX('Compliance Database'!$D$2:$D$1199,MATCH(940,Engine!$C$2:$C$1199,0)))</f>
        <v/>
      </c>
      <c r="E953" s="6" t="str">
        <f>IF(ISNA(MATCH(940,Engine!$C$2:$C$1199,0)),"",INDEX('Compliance Database'!$E$2:$E$1199,MATCH(940,Engine!$C$2:$C$1199,0)))</f>
        <v/>
      </c>
      <c r="F953" s="6" t="str">
        <f>IF(ISNA(MATCH(940,Engine!$C$2:$C$1199,0)),"",INDEX('Compliance Database'!$F$2:$F$1199,MATCH(940,Engine!$C$2:$C$1199,0)))</f>
        <v/>
      </c>
      <c r="G953" s="6" t="str">
        <f>IF(ISNA(MATCH(940,Engine!$C$2:$C$1199,0)),"",INDEX('Compliance Database'!$G$2:$G$1199,MATCH(940,Engine!$C$2:$C$1199,0)))</f>
        <v/>
      </c>
      <c r="H953" s="7" t="str">
        <f>IF(ISNA(MATCH(940,Engine!$C$2:$C$1199,0)),"",INDEX('Compliance Database'!$H$2:$H$1199,MATCH(940,Engine!$C$2:$C$1199,0)))</f>
        <v/>
      </c>
      <c r="I953" s="7" t="str">
        <f>IF(ISNA(MATCH(940,Engine!$C$2:$C$1199,0)),"",INDEX('Compliance Database'!$I$2:$I$1199,MATCH(940,Engine!$C$2:$C$1199,0)))</f>
        <v/>
      </c>
      <c r="J953" s="6" t="str">
        <f>IF(ISNA(MATCH(940,Engine!$C$2:$C$1199,0)),"",INDEX('Compliance Database'!$J$2:$J$1199,MATCH(940,Engine!$C$2:$C$1199,0)))</f>
        <v/>
      </c>
      <c r="K953" s="7" t="str">
        <f>IF(ISNA(MATCH(940,Engine!$C$2:$C$1199,0)),"",INDEX('Compliance Database'!$K$2:$K$1199,MATCH(940,Engine!$C$2:$C$1199,0)))</f>
        <v/>
      </c>
      <c r="L953" s="7" t="str">
        <f>IF(ISNA(MATCH(940,Engine!$C$2:$C$1199,0)),"",INDEX('Compliance Database'!$L$2:$L$1199,MATCH(940,Engine!$C$2:$C$1199,0)))</f>
        <v/>
      </c>
      <c r="M953" s="7" t="str">
        <f>IF(ISNA(MATCH(940,Engine!$C$2:$C$1199,0)),"",INDEX('Compliance Database'!$M$2:$M$1199,MATCH(940,Engine!$C$2:$C$1199,0)))</f>
        <v/>
      </c>
      <c r="N953" s="7" t="str">
        <f>IF(ISNA(MATCH(940,Engine!$C$2:$C$1199,0)),"",INDEX('Compliance Database'!$N$2:$N$1199,MATCH(940,Engine!$C$2:$C$1199,0)))</f>
        <v/>
      </c>
      <c r="O953" s="7" t="str">
        <f>IF(ISNA(MATCH(940,Engine!$C$2:$C$1199,0)),"",INDEX('Compliance Database'!$O$2:$O$1199,MATCH(940,Engine!$C$2:$C$1199,0)))</f>
        <v/>
      </c>
      <c r="P953" s="6" t="str">
        <f>IF(ISNA(MATCH(940,Engine!$C$2:$C$1199,0)),"",HYPERLINK("#Acts!A"&amp;INDEX('Compliance Database'!$P$2:$P$1199,MATCH(940,Engine!$C$2:$C$1199,0)),"Go to Act"))</f>
        <v/>
      </c>
    </row>
    <row r="954" spans="1:16" ht="172.95" customHeight="1" x14ac:dyDescent="0.3">
      <c r="A954" s="6" t="str">
        <f>IF(ISNA(MATCH(941,Engine!$C$2:$C$1199,0)),"",INDEX('Compliance Database'!$A$2:$A$1199,MATCH(941,Engine!$C$2:$C$1199,0)))</f>
        <v/>
      </c>
      <c r="B954" s="6" t="str">
        <f>IF(ISNA(MATCH(941,Engine!$C$2:$C$1199,0)),"",INDEX('Compliance Database'!$B$2:$B$1199,MATCH(941,Engine!$C$2:$C$1199,0)))</f>
        <v/>
      </c>
      <c r="C954" s="6" t="str">
        <f>IF(ISNA(MATCH(941,Engine!$C$2:$C$1199,0)),"",INDEX('Compliance Database'!$C$2:$C$1199,MATCH(941,Engine!$C$2:$C$1199,0)))</f>
        <v/>
      </c>
      <c r="D954" s="7" t="str">
        <f>IF(ISNA(MATCH(941,Engine!$C$2:$C$1199,0)),"",INDEX('Compliance Database'!$D$2:$D$1199,MATCH(941,Engine!$C$2:$C$1199,0)))</f>
        <v/>
      </c>
      <c r="E954" s="6" t="str">
        <f>IF(ISNA(MATCH(941,Engine!$C$2:$C$1199,0)),"",INDEX('Compliance Database'!$E$2:$E$1199,MATCH(941,Engine!$C$2:$C$1199,0)))</f>
        <v/>
      </c>
      <c r="F954" s="6" t="str">
        <f>IF(ISNA(MATCH(941,Engine!$C$2:$C$1199,0)),"",INDEX('Compliance Database'!$F$2:$F$1199,MATCH(941,Engine!$C$2:$C$1199,0)))</f>
        <v/>
      </c>
      <c r="G954" s="6" t="str">
        <f>IF(ISNA(MATCH(941,Engine!$C$2:$C$1199,0)),"",INDEX('Compliance Database'!$G$2:$G$1199,MATCH(941,Engine!$C$2:$C$1199,0)))</f>
        <v/>
      </c>
      <c r="H954" s="7" t="str">
        <f>IF(ISNA(MATCH(941,Engine!$C$2:$C$1199,0)),"",INDEX('Compliance Database'!$H$2:$H$1199,MATCH(941,Engine!$C$2:$C$1199,0)))</f>
        <v/>
      </c>
      <c r="I954" s="7" t="str">
        <f>IF(ISNA(MATCH(941,Engine!$C$2:$C$1199,0)),"",INDEX('Compliance Database'!$I$2:$I$1199,MATCH(941,Engine!$C$2:$C$1199,0)))</f>
        <v/>
      </c>
      <c r="J954" s="6" t="str">
        <f>IF(ISNA(MATCH(941,Engine!$C$2:$C$1199,0)),"",INDEX('Compliance Database'!$J$2:$J$1199,MATCH(941,Engine!$C$2:$C$1199,0)))</f>
        <v/>
      </c>
      <c r="K954" s="7" t="str">
        <f>IF(ISNA(MATCH(941,Engine!$C$2:$C$1199,0)),"",INDEX('Compliance Database'!$K$2:$K$1199,MATCH(941,Engine!$C$2:$C$1199,0)))</f>
        <v/>
      </c>
      <c r="L954" s="7" t="str">
        <f>IF(ISNA(MATCH(941,Engine!$C$2:$C$1199,0)),"",INDEX('Compliance Database'!$L$2:$L$1199,MATCH(941,Engine!$C$2:$C$1199,0)))</f>
        <v/>
      </c>
      <c r="M954" s="7" t="str">
        <f>IF(ISNA(MATCH(941,Engine!$C$2:$C$1199,0)),"",INDEX('Compliance Database'!$M$2:$M$1199,MATCH(941,Engine!$C$2:$C$1199,0)))</f>
        <v/>
      </c>
      <c r="N954" s="7" t="str">
        <f>IF(ISNA(MATCH(941,Engine!$C$2:$C$1199,0)),"",INDEX('Compliance Database'!$N$2:$N$1199,MATCH(941,Engine!$C$2:$C$1199,0)))</f>
        <v/>
      </c>
      <c r="O954" s="7" t="str">
        <f>IF(ISNA(MATCH(941,Engine!$C$2:$C$1199,0)),"",INDEX('Compliance Database'!$O$2:$O$1199,MATCH(941,Engine!$C$2:$C$1199,0)))</f>
        <v/>
      </c>
      <c r="P954" s="6" t="str">
        <f>IF(ISNA(MATCH(941,Engine!$C$2:$C$1199,0)),"",HYPERLINK("#Acts!A"&amp;INDEX('Compliance Database'!$P$2:$P$1199,MATCH(941,Engine!$C$2:$C$1199,0)),"Go to Act"))</f>
        <v/>
      </c>
    </row>
    <row r="955" spans="1:16" ht="172.95" customHeight="1" x14ac:dyDescent="0.3">
      <c r="A955" s="6" t="str">
        <f>IF(ISNA(MATCH(942,Engine!$C$2:$C$1199,0)),"",INDEX('Compliance Database'!$A$2:$A$1199,MATCH(942,Engine!$C$2:$C$1199,0)))</f>
        <v/>
      </c>
      <c r="B955" s="6" t="str">
        <f>IF(ISNA(MATCH(942,Engine!$C$2:$C$1199,0)),"",INDEX('Compliance Database'!$B$2:$B$1199,MATCH(942,Engine!$C$2:$C$1199,0)))</f>
        <v/>
      </c>
      <c r="C955" s="6" t="str">
        <f>IF(ISNA(MATCH(942,Engine!$C$2:$C$1199,0)),"",INDEX('Compliance Database'!$C$2:$C$1199,MATCH(942,Engine!$C$2:$C$1199,0)))</f>
        <v/>
      </c>
      <c r="D955" s="7" t="str">
        <f>IF(ISNA(MATCH(942,Engine!$C$2:$C$1199,0)),"",INDEX('Compliance Database'!$D$2:$D$1199,MATCH(942,Engine!$C$2:$C$1199,0)))</f>
        <v/>
      </c>
      <c r="E955" s="6" t="str">
        <f>IF(ISNA(MATCH(942,Engine!$C$2:$C$1199,0)),"",INDEX('Compliance Database'!$E$2:$E$1199,MATCH(942,Engine!$C$2:$C$1199,0)))</f>
        <v/>
      </c>
      <c r="F955" s="6" t="str">
        <f>IF(ISNA(MATCH(942,Engine!$C$2:$C$1199,0)),"",INDEX('Compliance Database'!$F$2:$F$1199,MATCH(942,Engine!$C$2:$C$1199,0)))</f>
        <v/>
      </c>
      <c r="G955" s="6" t="str">
        <f>IF(ISNA(MATCH(942,Engine!$C$2:$C$1199,0)),"",INDEX('Compliance Database'!$G$2:$G$1199,MATCH(942,Engine!$C$2:$C$1199,0)))</f>
        <v/>
      </c>
      <c r="H955" s="7" t="str">
        <f>IF(ISNA(MATCH(942,Engine!$C$2:$C$1199,0)),"",INDEX('Compliance Database'!$H$2:$H$1199,MATCH(942,Engine!$C$2:$C$1199,0)))</f>
        <v/>
      </c>
      <c r="I955" s="7" t="str">
        <f>IF(ISNA(MATCH(942,Engine!$C$2:$C$1199,0)),"",INDEX('Compliance Database'!$I$2:$I$1199,MATCH(942,Engine!$C$2:$C$1199,0)))</f>
        <v/>
      </c>
      <c r="J955" s="6" t="str">
        <f>IF(ISNA(MATCH(942,Engine!$C$2:$C$1199,0)),"",INDEX('Compliance Database'!$J$2:$J$1199,MATCH(942,Engine!$C$2:$C$1199,0)))</f>
        <v/>
      </c>
      <c r="K955" s="7" t="str">
        <f>IF(ISNA(MATCH(942,Engine!$C$2:$C$1199,0)),"",INDEX('Compliance Database'!$K$2:$K$1199,MATCH(942,Engine!$C$2:$C$1199,0)))</f>
        <v/>
      </c>
      <c r="L955" s="7" t="str">
        <f>IF(ISNA(MATCH(942,Engine!$C$2:$C$1199,0)),"",INDEX('Compliance Database'!$L$2:$L$1199,MATCH(942,Engine!$C$2:$C$1199,0)))</f>
        <v/>
      </c>
      <c r="M955" s="7" t="str">
        <f>IF(ISNA(MATCH(942,Engine!$C$2:$C$1199,0)),"",INDEX('Compliance Database'!$M$2:$M$1199,MATCH(942,Engine!$C$2:$C$1199,0)))</f>
        <v/>
      </c>
      <c r="N955" s="7" t="str">
        <f>IF(ISNA(MATCH(942,Engine!$C$2:$C$1199,0)),"",INDEX('Compliance Database'!$N$2:$N$1199,MATCH(942,Engine!$C$2:$C$1199,0)))</f>
        <v/>
      </c>
      <c r="O955" s="7" t="str">
        <f>IF(ISNA(MATCH(942,Engine!$C$2:$C$1199,0)),"",INDEX('Compliance Database'!$O$2:$O$1199,MATCH(942,Engine!$C$2:$C$1199,0)))</f>
        <v/>
      </c>
      <c r="P955" s="6" t="str">
        <f>IF(ISNA(MATCH(942,Engine!$C$2:$C$1199,0)),"",HYPERLINK("#Acts!A"&amp;INDEX('Compliance Database'!$P$2:$P$1199,MATCH(942,Engine!$C$2:$C$1199,0)),"Go to Act"))</f>
        <v/>
      </c>
    </row>
    <row r="956" spans="1:16" ht="172.95" customHeight="1" x14ac:dyDescent="0.3">
      <c r="A956" s="6" t="str">
        <f>IF(ISNA(MATCH(943,Engine!$C$2:$C$1199,0)),"",INDEX('Compliance Database'!$A$2:$A$1199,MATCH(943,Engine!$C$2:$C$1199,0)))</f>
        <v/>
      </c>
      <c r="B956" s="6" t="str">
        <f>IF(ISNA(MATCH(943,Engine!$C$2:$C$1199,0)),"",INDEX('Compliance Database'!$B$2:$B$1199,MATCH(943,Engine!$C$2:$C$1199,0)))</f>
        <v/>
      </c>
      <c r="C956" s="6" t="str">
        <f>IF(ISNA(MATCH(943,Engine!$C$2:$C$1199,0)),"",INDEX('Compliance Database'!$C$2:$C$1199,MATCH(943,Engine!$C$2:$C$1199,0)))</f>
        <v/>
      </c>
      <c r="D956" s="7" t="str">
        <f>IF(ISNA(MATCH(943,Engine!$C$2:$C$1199,0)),"",INDEX('Compliance Database'!$D$2:$D$1199,MATCH(943,Engine!$C$2:$C$1199,0)))</f>
        <v/>
      </c>
      <c r="E956" s="6" t="str">
        <f>IF(ISNA(MATCH(943,Engine!$C$2:$C$1199,0)),"",INDEX('Compliance Database'!$E$2:$E$1199,MATCH(943,Engine!$C$2:$C$1199,0)))</f>
        <v/>
      </c>
      <c r="F956" s="6" t="str">
        <f>IF(ISNA(MATCH(943,Engine!$C$2:$C$1199,0)),"",INDEX('Compliance Database'!$F$2:$F$1199,MATCH(943,Engine!$C$2:$C$1199,0)))</f>
        <v/>
      </c>
      <c r="G956" s="6" t="str">
        <f>IF(ISNA(MATCH(943,Engine!$C$2:$C$1199,0)),"",INDEX('Compliance Database'!$G$2:$G$1199,MATCH(943,Engine!$C$2:$C$1199,0)))</f>
        <v/>
      </c>
      <c r="H956" s="7" t="str">
        <f>IF(ISNA(MATCH(943,Engine!$C$2:$C$1199,0)),"",INDEX('Compliance Database'!$H$2:$H$1199,MATCH(943,Engine!$C$2:$C$1199,0)))</f>
        <v/>
      </c>
      <c r="I956" s="7" t="str">
        <f>IF(ISNA(MATCH(943,Engine!$C$2:$C$1199,0)),"",INDEX('Compliance Database'!$I$2:$I$1199,MATCH(943,Engine!$C$2:$C$1199,0)))</f>
        <v/>
      </c>
      <c r="J956" s="6" t="str">
        <f>IF(ISNA(MATCH(943,Engine!$C$2:$C$1199,0)),"",INDEX('Compliance Database'!$J$2:$J$1199,MATCH(943,Engine!$C$2:$C$1199,0)))</f>
        <v/>
      </c>
      <c r="K956" s="7" t="str">
        <f>IF(ISNA(MATCH(943,Engine!$C$2:$C$1199,0)),"",INDEX('Compliance Database'!$K$2:$K$1199,MATCH(943,Engine!$C$2:$C$1199,0)))</f>
        <v/>
      </c>
      <c r="L956" s="7" t="str">
        <f>IF(ISNA(MATCH(943,Engine!$C$2:$C$1199,0)),"",INDEX('Compliance Database'!$L$2:$L$1199,MATCH(943,Engine!$C$2:$C$1199,0)))</f>
        <v/>
      </c>
      <c r="M956" s="7" t="str">
        <f>IF(ISNA(MATCH(943,Engine!$C$2:$C$1199,0)),"",INDEX('Compliance Database'!$M$2:$M$1199,MATCH(943,Engine!$C$2:$C$1199,0)))</f>
        <v/>
      </c>
      <c r="N956" s="7" t="str">
        <f>IF(ISNA(MATCH(943,Engine!$C$2:$C$1199,0)),"",INDEX('Compliance Database'!$N$2:$N$1199,MATCH(943,Engine!$C$2:$C$1199,0)))</f>
        <v/>
      </c>
      <c r="O956" s="7" t="str">
        <f>IF(ISNA(MATCH(943,Engine!$C$2:$C$1199,0)),"",INDEX('Compliance Database'!$O$2:$O$1199,MATCH(943,Engine!$C$2:$C$1199,0)))</f>
        <v/>
      </c>
      <c r="P956" s="6" t="str">
        <f>IF(ISNA(MATCH(943,Engine!$C$2:$C$1199,0)),"",HYPERLINK("#Acts!A"&amp;INDEX('Compliance Database'!$P$2:$P$1199,MATCH(943,Engine!$C$2:$C$1199,0)),"Go to Act"))</f>
        <v/>
      </c>
    </row>
    <row r="957" spans="1:16" ht="172.95" customHeight="1" x14ac:dyDescent="0.3">
      <c r="A957" s="6" t="str">
        <f>IF(ISNA(MATCH(944,Engine!$C$2:$C$1199,0)),"",INDEX('Compliance Database'!$A$2:$A$1199,MATCH(944,Engine!$C$2:$C$1199,0)))</f>
        <v/>
      </c>
      <c r="B957" s="6" t="str">
        <f>IF(ISNA(MATCH(944,Engine!$C$2:$C$1199,0)),"",INDEX('Compliance Database'!$B$2:$B$1199,MATCH(944,Engine!$C$2:$C$1199,0)))</f>
        <v/>
      </c>
      <c r="C957" s="6" t="str">
        <f>IF(ISNA(MATCH(944,Engine!$C$2:$C$1199,0)),"",INDEX('Compliance Database'!$C$2:$C$1199,MATCH(944,Engine!$C$2:$C$1199,0)))</f>
        <v/>
      </c>
      <c r="D957" s="7" t="str">
        <f>IF(ISNA(MATCH(944,Engine!$C$2:$C$1199,0)),"",INDEX('Compliance Database'!$D$2:$D$1199,MATCH(944,Engine!$C$2:$C$1199,0)))</f>
        <v/>
      </c>
      <c r="E957" s="6" t="str">
        <f>IF(ISNA(MATCH(944,Engine!$C$2:$C$1199,0)),"",INDEX('Compliance Database'!$E$2:$E$1199,MATCH(944,Engine!$C$2:$C$1199,0)))</f>
        <v/>
      </c>
      <c r="F957" s="6" t="str">
        <f>IF(ISNA(MATCH(944,Engine!$C$2:$C$1199,0)),"",INDEX('Compliance Database'!$F$2:$F$1199,MATCH(944,Engine!$C$2:$C$1199,0)))</f>
        <v/>
      </c>
      <c r="G957" s="6" t="str">
        <f>IF(ISNA(MATCH(944,Engine!$C$2:$C$1199,0)),"",INDEX('Compliance Database'!$G$2:$G$1199,MATCH(944,Engine!$C$2:$C$1199,0)))</f>
        <v/>
      </c>
      <c r="H957" s="7" t="str">
        <f>IF(ISNA(MATCH(944,Engine!$C$2:$C$1199,0)),"",INDEX('Compliance Database'!$H$2:$H$1199,MATCH(944,Engine!$C$2:$C$1199,0)))</f>
        <v/>
      </c>
      <c r="I957" s="7" t="str">
        <f>IF(ISNA(MATCH(944,Engine!$C$2:$C$1199,0)),"",INDEX('Compliance Database'!$I$2:$I$1199,MATCH(944,Engine!$C$2:$C$1199,0)))</f>
        <v/>
      </c>
      <c r="J957" s="6" t="str">
        <f>IF(ISNA(MATCH(944,Engine!$C$2:$C$1199,0)),"",INDEX('Compliance Database'!$J$2:$J$1199,MATCH(944,Engine!$C$2:$C$1199,0)))</f>
        <v/>
      </c>
      <c r="K957" s="7" t="str">
        <f>IF(ISNA(MATCH(944,Engine!$C$2:$C$1199,0)),"",INDEX('Compliance Database'!$K$2:$K$1199,MATCH(944,Engine!$C$2:$C$1199,0)))</f>
        <v/>
      </c>
      <c r="L957" s="7" t="str">
        <f>IF(ISNA(MATCH(944,Engine!$C$2:$C$1199,0)),"",INDEX('Compliance Database'!$L$2:$L$1199,MATCH(944,Engine!$C$2:$C$1199,0)))</f>
        <v/>
      </c>
      <c r="M957" s="7" t="str">
        <f>IF(ISNA(MATCH(944,Engine!$C$2:$C$1199,0)),"",INDEX('Compliance Database'!$M$2:$M$1199,MATCH(944,Engine!$C$2:$C$1199,0)))</f>
        <v/>
      </c>
      <c r="N957" s="7" t="str">
        <f>IF(ISNA(MATCH(944,Engine!$C$2:$C$1199,0)),"",INDEX('Compliance Database'!$N$2:$N$1199,MATCH(944,Engine!$C$2:$C$1199,0)))</f>
        <v/>
      </c>
      <c r="O957" s="7" t="str">
        <f>IF(ISNA(MATCH(944,Engine!$C$2:$C$1199,0)),"",INDEX('Compliance Database'!$O$2:$O$1199,MATCH(944,Engine!$C$2:$C$1199,0)))</f>
        <v/>
      </c>
      <c r="P957" s="6" t="str">
        <f>IF(ISNA(MATCH(944,Engine!$C$2:$C$1199,0)),"",HYPERLINK("#Acts!A"&amp;INDEX('Compliance Database'!$P$2:$P$1199,MATCH(944,Engine!$C$2:$C$1199,0)),"Go to Act"))</f>
        <v/>
      </c>
    </row>
    <row r="958" spans="1:16" ht="172.95" customHeight="1" x14ac:dyDescent="0.3">
      <c r="A958" s="6" t="str">
        <f>IF(ISNA(MATCH(945,Engine!$C$2:$C$1199,0)),"",INDEX('Compliance Database'!$A$2:$A$1199,MATCH(945,Engine!$C$2:$C$1199,0)))</f>
        <v/>
      </c>
      <c r="B958" s="6" t="str">
        <f>IF(ISNA(MATCH(945,Engine!$C$2:$C$1199,0)),"",INDEX('Compliance Database'!$B$2:$B$1199,MATCH(945,Engine!$C$2:$C$1199,0)))</f>
        <v/>
      </c>
      <c r="C958" s="6" t="str">
        <f>IF(ISNA(MATCH(945,Engine!$C$2:$C$1199,0)),"",INDEX('Compliance Database'!$C$2:$C$1199,MATCH(945,Engine!$C$2:$C$1199,0)))</f>
        <v/>
      </c>
      <c r="D958" s="7" t="str">
        <f>IF(ISNA(MATCH(945,Engine!$C$2:$C$1199,0)),"",INDEX('Compliance Database'!$D$2:$D$1199,MATCH(945,Engine!$C$2:$C$1199,0)))</f>
        <v/>
      </c>
      <c r="E958" s="6" t="str">
        <f>IF(ISNA(MATCH(945,Engine!$C$2:$C$1199,0)),"",INDEX('Compliance Database'!$E$2:$E$1199,MATCH(945,Engine!$C$2:$C$1199,0)))</f>
        <v/>
      </c>
      <c r="F958" s="6" t="str">
        <f>IF(ISNA(MATCH(945,Engine!$C$2:$C$1199,0)),"",INDEX('Compliance Database'!$F$2:$F$1199,MATCH(945,Engine!$C$2:$C$1199,0)))</f>
        <v/>
      </c>
      <c r="G958" s="6" t="str">
        <f>IF(ISNA(MATCH(945,Engine!$C$2:$C$1199,0)),"",INDEX('Compliance Database'!$G$2:$G$1199,MATCH(945,Engine!$C$2:$C$1199,0)))</f>
        <v/>
      </c>
      <c r="H958" s="7" t="str">
        <f>IF(ISNA(MATCH(945,Engine!$C$2:$C$1199,0)),"",INDEX('Compliance Database'!$H$2:$H$1199,MATCH(945,Engine!$C$2:$C$1199,0)))</f>
        <v/>
      </c>
      <c r="I958" s="7" t="str">
        <f>IF(ISNA(MATCH(945,Engine!$C$2:$C$1199,0)),"",INDEX('Compliance Database'!$I$2:$I$1199,MATCH(945,Engine!$C$2:$C$1199,0)))</f>
        <v/>
      </c>
      <c r="J958" s="6" t="str">
        <f>IF(ISNA(MATCH(945,Engine!$C$2:$C$1199,0)),"",INDEX('Compliance Database'!$J$2:$J$1199,MATCH(945,Engine!$C$2:$C$1199,0)))</f>
        <v/>
      </c>
      <c r="K958" s="7" t="str">
        <f>IF(ISNA(MATCH(945,Engine!$C$2:$C$1199,0)),"",INDEX('Compliance Database'!$K$2:$K$1199,MATCH(945,Engine!$C$2:$C$1199,0)))</f>
        <v/>
      </c>
      <c r="L958" s="7" t="str">
        <f>IF(ISNA(MATCH(945,Engine!$C$2:$C$1199,0)),"",INDEX('Compliance Database'!$L$2:$L$1199,MATCH(945,Engine!$C$2:$C$1199,0)))</f>
        <v/>
      </c>
      <c r="M958" s="7" t="str">
        <f>IF(ISNA(MATCH(945,Engine!$C$2:$C$1199,0)),"",INDEX('Compliance Database'!$M$2:$M$1199,MATCH(945,Engine!$C$2:$C$1199,0)))</f>
        <v/>
      </c>
      <c r="N958" s="7" t="str">
        <f>IF(ISNA(MATCH(945,Engine!$C$2:$C$1199,0)),"",INDEX('Compliance Database'!$N$2:$N$1199,MATCH(945,Engine!$C$2:$C$1199,0)))</f>
        <v/>
      </c>
      <c r="O958" s="7" t="str">
        <f>IF(ISNA(MATCH(945,Engine!$C$2:$C$1199,0)),"",INDEX('Compliance Database'!$O$2:$O$1199,MATCH(945,Engine!$C$2:$C$1199,0)))</f>
        <v/>
      </c>
      <c r="P958" s="6" t="str">
        <f>IF(ISNA(MATCH(945,Engine!$C$2:$C$1199,0)),"",HYPERLINK("#Acts!A"&amp;INDEX('Compliance Database'!$P$2:$P$1199,MATCH(945,Engine!$C$2:$C$1199,0)),"Go to Act"))</f>
        <v/>
      </c>
    </row>
    <row r="959" spans="1:16" ht="172.95" customHeight="1" x14ac:dyDescent="0.3">
      <c r="A959" s="6" t="str">
        <f>IF(ISNA(MATCH(946,Engine!$C$2:$C$1199,0)),"",INDEX('Compliance Database'!$A$2:$A$1199,MATCH(946,Engine!$C$2:$C$1199,0)))</f>
        <v/>
      </c>
      <c r="B959" s="6" t="str">
        <f>IF(ISNA(MATCH(946,Engine!$C$2:$C$1199,0)),"",INDEX('Compliance Database'!$B$2:$B$1199,MATCH(946,Engine!$C$2:$C$1199,0)))</f>
        <v/>
      </c>
      <c r="C959" s="6" t="str">
        <f>IF(ISNA(MATCH(946,Engine!$C$2:$C$1199,0)),"",INDEX('Compliance Database'!$C$2:$C$1199,MATCH(946,Engine!$C$2:$C$1199,0)))</f>
        <v/>
      </c>
      <c r="D959" s="7" t="str">
        <f>IF(ISNA(MATCH(946,Engine!$C$2:$C$1199,0)),"",INDEX('Compliance Database'!$D$2:$D$1199,MATCH(946,Engine!$C$2:$C$1199,0)))</f>
        <v/>
      </c>
      <c r="E959" s="6" t="str">
        <f>IF(ISNA(MATCH(946,Engine!$C$2:$C$1199,0)),"",INDEX('Compliance Database'!$E$2:$E$1199,MATCH(946,Engine!$C$2:$C$1199,0)))</f>
        <v/>
      </c>
      <c r="F959" s="6" t="str">
        <f>IF(ISNA(MATCH(946,Engine!$C$2:$C$1199,0)),"",INDEX('Compliance Database'!$F$2:$F$1199,MATCH(946,Engine!$C$2:$C$1199,0)))</f>
        <v/>
      </c>
      <c r="G959" s="6" t="str">
        <f>IF(ISNA(MATCH(946,Engine!$C$2:$C$1199,0)),"",INDEX('Compliance Database'!$G$2:$G$1199,MATCH(946,Engine!$C$2:$C$1199,0)))</f>
        <v/>
      </c>
      <c r="H959" s="7" t="str">
        <f>IF(ISNA(MATCH(946,Engine!$C$2:$C$1199,0)),"",INDEX('Compliance Database'!$H$2:$H$1199,MATCH(946,Engine!$C$2:$C$1199,0)))</f>
        <v/>
      </c>
      <c r="I959" s="7" t="str">
        <f>IF(ISNA(MATCH(946,Engine!$C$2:$C$1199,0)),"",INDEX('Compliance Database'!$I$2:$I$1199,MATCH(946,Engine!$C$2:$C$1199,0)))</f>
        <v/>
      </c>
      <c r="J959" s="6" t="str">
        <f>IF(ISNA(MATCH(946,Engine!$C$2:$C$1199,0)),"",INDEX('Compliance Database'!$J$2:$J$1199,MATCH(946,Engine!$C$2:$C$1199,0)))</f>
        <v/>
      </c>
      <c r="K959" s="7" t="str">
        <f>IF(ISNA(MATCH(946,Engine!$C$2:$C$1199,0)),"",INDEX('Compliance Database'!$K$2:$K$1199,MATCH(946,Engine!$C$2:$C$1199,0)))</f>
        <v/>
      </c>
      <c r="L959" s="7" t="str">
        <f>IF(ISNA(MATCH(946,Engine!$C$2:$C$1199,0)),"",INDEX('Compliance Database'!$L$2:$L$1199,MATCH(946,Engine!$C$2:$C$1199,0)))</f>
        <v/>
      </c>
      <c r="M959" s="7" t="str">
        <f>IF(ISNA(MATCH(946,Engine!$C$2:$C$1199,0)),"",INDEX('Compliance Database'!$M$2:$M$1199,MATCH(946,Engine!$C$2:$C$1199,0)))</f>
        <v/>
      </c>
      <c r="N959" s="7" t="str">
        <f>IF(ISNA(MATCH(946,Engine!$C$2:$C$1199,0)),"",INDEX('Compliance Database'!$N$2:$N$1199,MATCH(946,Engine!$C$2:$C$1199,0)))</f>
        <v/>
      </c>
      <c r="O959" s="7" t="str">
        <f>IF(ISNA(MATCH(946,Engine!$C$2:$C$1199,0)),"",INDEX('Compliance Database'!$O$2:$O$1199,MATCH(946,Engine!$C$2:$C$1199,0)))</f>
        <v/>
      </c>
      <c r="P959" s="6" t="str">
        <f>IF(ISNA(MATCH(946,Engine!$C$2:$C$1199,0)),"",HYPERLINK("#Acts!A"&amp;INDEX('Compliance Database'!$P$2:$P$1199,MATCH(946,Engine!$C$2:$C$1199,0)),"Go to Act"))</f>
        <v/>
      </c>
    </row>
    <row r="960" spans="1:16" ht="172.95" customHeight="1" x14ac:dyDescent="0.3">
      <c r="A960" s="6" t="str">
        <f>IF(ISNA(MATCH(947,Engine!$C$2:$C$1199,0)),"",INDEX('Compliance Database'!$A$2:$A$1199,MATCH(947,Engine!$C$2:$C$1199,0)))</f>
        <v/>
      </c>
      <c r="B960" s="6" t="str">
        <f>IF(ISNA(MATCH(947,Engine!$C$2:$C$1199,0)),"",INDEX('Compliance Database'!$B$2:$B$1199,MATCH(947,Engine!$C$2:$C$1199,0)))</f>
        <v/>
      </c>
      <c r="C960" s="6" t="str">
        <f>IF(ISNA(MATCH(947,Engine!$C$2:$C$1199,0)),"",INDEX('Compliance Database'!$C$2:$C$1199,MATCH(947,Engine!$C$2:$C$1199,0)))</f>
        <v/>
      </c>
      <c r="D960" s="7" t="str">
        <f>IF(ISNA(MATCH(947,Engine!$C$2:$C$1199,0)),"",INDEX('Compliance Database'!$D$2:$D$1199,MATCH(947,Engine!$C$2:$C$1199,0)))</f>
        <v/>
      </c>
      <c r="E960" s="6" t="str">
        <f>IF(ISNA(MATCH(947,Engine!$C$2:$C$1199,0)),"",INDEX('Compliance Database'!$E$2:$E$1199,MATCH(947,Engine!$C$2:$C$1199,0)))</f>
        <v/>
      </c>
      <c r="F960" s="6" t="str">
        <f>IF(ISNA(MATCH(947,Engine!$C$2:$C$1199,0)),"",INDEX('Compliance Database'!$F$2:$F$1199,MATCH(947,Engine!$C$2:$C$1199,0)))</f>
        <v/>
      </c>
      <c r="G960" s="6" t="str">
        <f>IF(ISNA(MATCH(947,Engine!$C$2:$C$1199,0)),"",INDEX('Compliance Database'!$G$2:$G$1199,MATCH(947,Engine!$C$2:$C$1199,0)))</f>
        <v/>
      </c>
      <c r="H960" s="7" t="str">
        <f>IF(ISNA(MATCH(947,Engine!$C$2:$C$1199,0)),"",INDEX('Compliance Database'!$H$2:$H$1199,MATCH(947,Engine!$C$2:$C$1199,0)))</f>
        <v/>
      </c>
      <c r="I960" s="7" t="str">
        <f>IF(ISNA(MATCH(947,Engine!$C$2:$C$1199,0)),"",INDEX('Compliance Database'!$I$2:$I$1199,MATCH(947,Engine!$C$2:$C$1199,0)))</f>
        <v/>
      </c>
      <c r="J960" s="6" t="str">
        <f>IF(ISNA(MATCH(947,Engine!$C$2:$C$1199,0)),"",INDEX('Compliance Database'!$J$2:$J$1199,MATCH(947,Engine!$C$2:$C$1199,0)))</f>
        <v/>
      </c>
      <c r="K960" s="7" t="str">
        <f>IF(ISNA(MATCH(947,Engine!$C$2:$C$1199,0)),"",INDEX('Compliance Database'!$K$2:$K$1199,MATCH(947,Engine!$C$2:$C$1199,0)))</f>
        <v/>
      </c>
      <c r="L960" s="7" t="str">
        <f>IF(ISNA(MATCH(947,Engine!$C$2:$C$1199,0)),"",INDEX('Compliance Database'!$L$2:$L$1199,MATCH(947,Engine!$C$2:$C$1199,0)))</f>
        <v/>
      </c>
      <c r="M960" s="7" t="str">
        <f>IF(ISNA(MATCH(947,Engine!$C$2:$C$1199,0)),"",INDEX('Compliance Database'!$M$2:$M$1199,MATCH(947,Engine!$C$2:$C$1199,0)))</f>
        <v/>
      </c>
      <c r="N960" s="7" t="str">
        <f>IF(ISNA(MATCH(947,Engine!$C$2:$C$1199,0)),"",INDEX('Compliance Database'!$N$2:$N$1199,MATCH(947,Engine!$C$2:$C$1199,0)))</f>
        <v/>
      </c>
      <c r="O960" s="7" t="str">
        <f>IF(ISNA(MATCH(947,Engine!$C$2:$C$1199,0)),"",INDEX('Compliance Database'!$O$2:$O$1199,MATCH(947,Engine!$C$2:$C$1199,0)))</f>
        <v/>
      </c>
      <c r="P960" s="6" t="str">
        <f>IF(ISNA(MATCH(947,Engine!$C$2:$C$1199,0)),"",HYPERLINK("#Acts!A"&amp;INDEX('Compliance Database'!$P$2:$P$1199,MATCH(947,Engine!$C$2:$C$1199,0)),"Go to Act"))</f>
        <v/>
      </c>
    </row>
    <row r="961" spans="1:16" ht="172.95" customHeight="1" x14ac:dyDescent="0.3">
      <c r="A961" s="6" t="str">
        <f>IF(ISNA(MATCH(948,Engine!$C$2:$C$1199,0)),"",INDEX('Compliance Database'!$A$2:$A$1199,MATCH(948,Engine!$C$2:$C$1199,0)))</f>
        <v/>
      </c>
      <c r="B961" s="6" t="str">
        <f>IF(ISNA(MATCH(948,Engine!$C$2:$C$1199,0)),"",INDEX('Compliance Database'!$B$2:$B$1199,MATCH(948,Engine!$C$2:$C$1199,0)))</f>
        <v/>
      </c>
      <c r="C961" s="6" t="str">
        <f>IF(ISNA(MATCH(948,Engine!$C$2:$C$1199,0)),"",INDEX('Compliance Database'!$C$2:$C$1199,MATCH(948,Engine!$C$2:$C$1199,0)))</f>
        <v/>
      </c>
      <c r="D961" s="7" t="str">
        <f>IF(ISNA(MATCH(948,Engine!$C$2:$C$1199,0)),"",INDEX('Compliance Database'!$D$2:$D$1199,MATCH(948,Engine!$C$2:$C$1199,0)))</f>
        <v/>
      </c>
      <c r="E961" s="6" t="str">
        <f>IF(ISNA(MATCH(948,Engine!$C$2:$C$1199,0)),"",INDEX('Compliance Database'!$E$2:$E$1199,MATCH(948,Engine!$C$2:$C$1199,0)))</f>
        <v/>
      </c>
      <c r="F961" s="6" t="str">
        <f>IF(ISNA(MATCH(948,Engine!$C$2:$C$1199,0)),"",INDEX('Compliance Database'!$F$2:$F$1199,MATCH(948,Engine!$C$2:$C$1199,0)))</f>
        <v/>
      </c>
      <c r="G961" s="6" t="str">
        <f>IF(ISNA(MATCH(948,Engine!$C$2:$C$1199,0)),"",INDEX('Compliance Database'!$G$2:$G$1199,MATCH(948,Engine!$C$2:$C$1199,0)))</f>
        <v/>
      </c>
      <c r="H961" s="7" t="str">
        <f>IF(ISNA(MATCH(948,Engine!$C$2:$C$1199,0)),"",INDEX('Compliance Database'!$H$2:$H$1199,MATCH(948,Engine!$C$2:$C$1199,0)))</f>
        <v/>
      </c>
      <c r="I961" s="7" t="str">
        <f>IF(ISNA(MATCH(948,Engine!$C$2:$C$1199,0)),"",INDEX('Compliance Database'!$I$2:$I$1199,MATCH(948,Engine!$C$2:$C$1199,0)))</f>
        <v/>
      </c>
      <c r="J961" s="6" t="str">
        <f>IF(ISNA(MATCH(948,Engine!$C$2:$C$1199,0)),"",INDEX('Compliance Database'!$J$2:$J$1199,MATCH(948,Engine!$C$2:$C$1199,0)))</f>
        <v/>
      </c>
      <c r="K961" s="7" t="str">
        <f>IF(ISNA(MATCH(948,Engine!$C$2:$C$1199,0)),"",INDEX('Compliance Database'!$K$2:$K$1199,MATCH(948,Engine!$C$2:$C$1199,0)))</f>
        <v/>
      </c>
      <c r="L961" s="7" t="str">
        <f>IF(ISNA(MATCH(948,Engine!$C$2:$C$1199,0)),"",INDEX('Compliance Database'!$L$2:$L$1199,MATCH(948,Engine!$C$2:$C$1199,0)))</f>
        <v/>
      </c>
      <c r="M961" s="7" t="str">
        <f>IF(ISNA(MATCH(948,Engine!$C$2:$C$1199,0)),"",INDEX('Compliance Database'!$M$2:$M$1199,MATCH(948,Engine!$C$2:$C$1199,0)))</f>
        <v/>
      </c>
      <c r="N961" s="7" t="str">
        <f>IF(ISNA(MATCH(948,Engine!$C$2:$C$1199,0)),"",INDEX('Compliance Database'!$N$2:$N$1199,MATCH(948,Engine!$C$2:$C$1199,0)))</f>
        <v/>
      </c>
      <c r="O961" s="7" t="str">
        <f>IF(ISNA(MATCH(948,Engine!$C$2:$C$1199,0)),"",INDEX('Compliance Database'!$O$2:$O$1199,MATCH(948,Engine!$C$2:$C$1199,0)))</f>
        <v/>
      </c>
      <c r="P961" s="6" t="str">
        <f>IF(ISNA(MATCH(948,Engine!$C$2:$C$1199,0)),"",HYPERLINK("#Acts!A"&amp;INDEX('Compliance Database'!$P$2:$P$1199,MATCH(948,Engine!$C$2:$C$1199,0)),"Go to Act"))</f>
        <v/>
      </c>
    </row>
    <row r="962" spans="1:16" ht="172.95" customHeight="1" x14ac:dyDescent="0.3">
      <c r="A962" s="6" t="str">
        <f>IF(ISNA(MATCH(949,Engine!$C$2:$C$1199,0)),"",INDEX('Compliance Database'!$A$2:$A$1199,MATCH(949,Engine!$C$2:$C$1199,0)))</f>
        <v/>
      </c>
      <c r="B962" s="6" t="str">
        <f>IF(ISNA(MATCH(949,Engine!$C$2:$C$1199,0)),"",INDEX('Compliance Database'!$B$2:$B$1199,MATCH(949,Engine!$C$2:$C$1199,0)))</f>
        <v/>
      </c>
      <c r="C962" s="6" t="str">
        <f>IF(ISNA(MATCH(949,Engine!$C$2:$C$1199,0)),"",INDEX('Compliance Database'!$C$2:$C$1199,MATCH(949,Engine!$C$2:$C$1199,0)))</f>
        <v/>
      </c>
      <c r="D962" s="7" t="str">
        <f>IF(ISNA(MATCH(949,Engine!$C$2:$C$1199,0)),"",INDEX('Compliance Database'!$D$2:$D$1199,MATCH(949,Engine!$C$2:$C$1199,0)))</f>
        <v/>
      </c>
      <c r="E962" s="6" t="str">
        <f>IF(ISNA(MATCH(949,Engine!$C$2:$C$1199,0)),"",INDEX('Compliance Database'!$E$2:$E$1199,MATCH(949,Engine!$C$2:$C$1199,0)))</f>
        <v/>
      </c>
      <c r="F962" s="6" t="str">
        <f>IF(ISNA(MATCH(949,Engine!$C$2:$C$1199,0)),"",INDEX('Compliance Database'!$F$2:$F$1199,MATCH(949,Engine!$C$2:$C$1199,0)))</f>
        <v/>
      </c>
      <c r="G962" s="6" t="str">
        <f>IF(ISNA(MATCH(949,Engine!$C$2:$C$1199,0)),"",INDEX('Compliance Database'!$G$2:$G$1199,MATCH(949,Engine!$C$2:$C$1199,0)))</f>
        <v/>
      </c>
      <c r="H962" s="7" t="str">
        <f>IF(ISNA(MATCH(949,Engine!$C$2:$C$1199,0)),"",INDEX('Compliance Database'!$H$2:$H$1199,MATCH(949,Engine!$C$2:$C$1199,0)))</f>
        <v/>
      </c>
      <c r="I962" s="7" t="str">
        <f>IF(ISNA(MATCH(949,Engine!$C$2:$C$1199,0)),"",INDEX('Compliance Database'!$I$2:$I$1199,MATCH(949,Engine!$C$2:$C$1199,0)))</f>
        <v/>
      </c>
      <c r="J962" s="6" t="str">
        <f>IF(ISNA(MATCH(949,Engine!$C$2:$C$1199,0)),"",INDEX('Compliance Database'!$J$2:$J$1199,MATCH(949,Engine!$C$2:$C$1199,0)))</f>
        <v/>
      </c>
      <c r="K962" s="7" t="str">
        <f>IF(ISNA(MATCH(949,Engine!$C$2:$C$1199,0)),"",INDEX('Compliance Database'!$K$2:$K$1199,MATCH(949,Engine!$C$2:$C$1199,0)))</f>
        <v/>
      </c>
      <c r="L962" s="7" t="str">
        <f>IF(ISNA(MATCH(949,Engine!$C$2:$C$1199,0)),"",INDEX('Compliance Database'!$L$2:$L$1199,MATCH(949,Engine!$C$2:$C$1199,0)))</f>
        <v/>
      </c>
      <c r="M962" s="7" t="str">
        <f>IF(ISNA(MATCH(949,Engine!$C$2:$C$1199,0)),"",INDEX('Compliance Database'!$M$2:$M$1199,MATCH(949,Engine!$C$2:$C$1199,0)))</f>
        <v/>
      </c>
      <c r="N962" s="7" t="str">
        <f>IF(ISNA(MATCH(949,Engine!$C$2:$C$1199,0)),"",INDEX('Compliance Database'!$N$2:$N$1199,MATCH(949,Engine!$C$2:$C$1199,0)))</f>
        <v/>
      </c>
      <c r="O962" s="7" t="str">
        <f>IF(ISNA(MATCH(949,Engine!$C$2:$C$1199,0)),"",INDEX('Compliance Database'!$O$2:$O$1199,MATCH(949,Engine!$C$2:$C$1199,0)))</f>
        <v/>
      </c>
      <c r="P962" s="6" t="str">
        <f>IF(ISNA(MATCH(949,Engine!$C$2:$C$1199,0)),"",HYPERLINK("#Acts!A"&amp;INDEX('Compliance Database'!$P$2:$P$1199,MATCH(949,Engine!$C$2:$C$1199,0)),"Go to Act"))</f>
        <v/>
      </c>
    </row>
    <row r="963" spans="1:16" ht="172.95" customHeight="1" x14ac:dyDescent="0.3">
      <c r="A963" s="6" t="str">
        <f>IF(ISNA(MATCH(950,Engine!$C$2:$C$1199,0)),"",INDEX('Compliance Database'!$A$2:$A$1199,MATCH(950,Engine!$C$2:$C$1199,0)))</f>
        <v/>
      </c>
      <c r="B963" s="6" t="str">
        <f>IF(ISNA(MATCH(950,Engine!$C$2:$C$1199,0)),"",INDEX('Compliance Database'!$B$2:$B$1199,MATCH(950,Engine!$C$2:$C$1199,0)))</f>
        <v/>
      </c>
      <c r="C963" s="6" t="str">
        <f>IF(ISNA(MATCH(950,Engine!$C$2:$C$1199,0)),"",INDEX('Compliance Database'!$C$2:$C$1199,MATCH(950,Engine!$C$2:$C$1199,0)))</f>
        <v/>
      </c>
      <c r="D963" s="7" t="str">
        <f>IF(ISNA(MATCH(950,Engine!$C$2:$C$1199,0)),"",INDEX('Compliance Database'!$D$2:$D$1199,MATCH(950,Engine!$C$2:$C$1199,0)))</f>
        <v/>
      </c>
      <c r="E963" s="6" t="str">
        <f>IF(ISNA(MATCH(950,Engine!$C$2:$C$1199,0)),"",INDEX('Compliance Database'!$E$2:$E$1199,MATCH(950,Engine!$C$2:$C$1199,0)))</f>
        <v/>
      </c>
      <c r="F963" s="6" t="str">
        <f>IF(ISNA(MATCH(950,Engine!$C$2:$C$1199,0)),"",INDEX('Compliance Database'!$F$2:$F$1199,MATCH(950,Engine!$C$2:$C$1199,0)))</f>
        <v/>
      </c>
      <c r="G963" s="6" t="str">
        <f>IF(ISNA(MATCH(950,Engine!$C$2:$C$1199,0)),"",INDEX('Compliance Database'!$G$2:$G$1199,MATCH(950,Engine!$C$2:$C$1199,0)))</f>
        <v/>
      </c>
      <c r="H963" s="7" t="str">
        <f>IF(ISNA(MATCH(950,Engine!$C$2:$C$1199,0)),"",INDEX('Compliance Database'!$H$2:$H$1199,MATCH(950,Engine!$C$2:$C$1199,0)))</f>
        <v/>
      </c>
      <c r="I963" s="7" t="str">
        <f>IF(ISNA(MATCH(950,Engine!$C$2:$C$1199,0)),"",INDEX('Compliance Database'!$I$2:$I$1199,MATCH(950,Engine!$C$2:$C$1199,0)))</f>
        <v/>
      </c>
      <c r="J963" s="6" t="str">
        <f>IF(ISNA(MATCH(950,Engine!$C$2:$C$1199,0)),"",INDEX('Compliance Database'!$J$2:$J$1199,MATCH(950,Engine!$C$2:$C$1199,0)))</f>
        <v/>
      </c>
      <c r="K963" s="7" t="str">
        <f>IF(ISNA(MATCH(950,Engine!$C$2:$C$1199,0)),"",INDEX('Compliance Database'!$K$2:$K$1199,MATCH(950,Engine!$C$2:$C$1199,0)))</f>
        <v/>
      </c>
      <c r="L963" s="7" t="str">
        <f>IF(ISNA(MATCH(950,Engine!$C$2:$C$1199,0)),"",INDEX('Compliance Database'!$L$2:$L$1199,MATCH(950,Engine!$C$2:$C$1199,0)))</f>
        <v/>
      </c>
      <c r="M963" s="7" t="str">
        <f>IF(ISNA(MATCH(950,Engine!$C$2:$C$1199,0)),"",INDEX('Compliance Database'!$M$2:$M$1199,MATCH(950,Engine!$C$2:$C$1199,0)))</f>
        <v/>
      </c>
      <c r="N963" s="7" t="str">
        <f>IF(ISNA(MATCH(950,Engine!$C$2:$C$1199,0)),"",INDEX('Compliance Database'!$N$2:$N$1199,MATCH(950,Engine!$C$2:$C$1199,0)))</f>
        <v/>
      </c>
      <c r="O963" s="7" t="str">
        <f>IF(ISNA(MATCH(950,Engine!$C$2:$C$1199,0)),"",INDEX('Compliance Database'!$O$2:$O$1199,MATCH(950,Engine!$C$2:$C$1199,0)))</f>
        <v/>
      </c>
      <c r="P963" s="6" t="str">
        <f>IF(ISNA(MATCH(950,Engine!$C$2:$C$1199,0)),"",HYPERLINK("#Acts!A"&amp;INDEX('Compliance Database'!$P$2:$P$1199,MATCH(950,Engine!$C$2:$C$1199,0)),"Go to Act"))</f>
        <v/>
      </c>
    </row>
    <row r="964" spans="1:16" ht="172.95" customHeight="1" x14ac:dyDescent="0.3">
      <c r="A964" s="6" t="str">
        <f>IF(ISNA(MATCH(951,Engine!$C$2:$C$1199,0)),"",INDEX('Compliance Database'!$A$2:$A$1199,MATCH(951,Engine!$C$2:$C$1199,0)))</f>
        <v/>
      </c>
      <c r="B964" s="6" t="str">
        <f>IF(ISNA(MATCH(951,Engine!$C$2:$C$1199,0)),"",INDEX('Compliance Database'!$B$2:$B$1199,MATCH(951,Engine!$C$2:$C$1199,0)))</f>
        <v/>
      </c>
      <c r="C964" s="6" t="str">
        <f>IF(ISNA(MATCH(951,Engine!$C$2:$C$1199,0)),"",INDEX('Compliance Database'!$C$2:$C$1199,MATCH(951,Engine!$C$2:$C$1199,0)))</f>
        <v/>
      </c>
      <c r="D964" s="7" t="str">
        <f>IF(ISNA(MATCH(951,Engine!$C$2:$C$1199,0)),"",INDEX('Compliance Database'!$D$2:$D$1199,MATCH(951,Engine!$C$2:$C$1199,0)))</f>
        <v/>
      </c>
      <c r="E964" s="6" t="str">
        <f>IF(ISNA(MATCH(951,Engine!$C$2:$C$1199,0)),"",INDEX('Compliance Database'!$E$2:$E$1199,MATCH(951,Engine!$C$2:$C$1199,0)))</f>
        <v/>
      </c>
      <c r="F964" s="6" t="str">
        <f>IF(ISNA(MATCH(951,Engine!$C$2:$C$1199,0)),"",INDEX('Compliance Database'!$F$2:$F$1199,MATCH(951,Engine!$C$2:$C$1199,0)))</f>
        <v/>
      </c>
      <c r="G964" s="6" t="str">
        <f>IF(ISNA(MATCH(951,Engine!$C$2:$C$1199,0)),"",INDEX('Compliance Database'!$G$2:$G$1199,MATCH(951,Engine!$C$2:$C$1199,0)))</f>
        <v/>
      </c>
      <c r="H964" s="7" t="str">
        <f>IF(ISNA(MATCH(951,Engine!$C$2:$C$1199,0)),"",INDEX('Compliance Database'!$H$2:$H$1199,MATCH(951,Engine!$C$2:$C$1199,0)))</f>
        <v/>
      </c>
      <c r="I964" s="7" t="str">
        <f>IF(ISNA(MATCH(951,Engine!$C$2:$C$1199,0)),"",INDEX('Compliance Database'!$I$2:$I$1199,MATCH(951,Engine!$C$2:$C$1199,0)))</f>
        <v/>
      </c>
      <c r="J964" s="6" t="str">
        <f>IF(ISNA(MATCH(951,Engine!$C$2:$C$1199,0)),"",INDEX('Compliance Database'!$J$2:$J$1199,MATCH(951,Engine!$C$2:$C$1199,0)))</f>
        <v/>
      </c>
      <c r="K964" s="7" t="str">
        <f>IF(ISNA(MATCH(951,Engine!$C$2:$C$1199,0)),"",INDEX('Compliance Database'!$K$2:$K$1199,MATCH(951,Engine!$C$2:$C$1199,0)))</f>
        <v/>
      </c>
      <c r="L964" s="7" t="str">
        <f>IF(ISNA(MATCH(951,Engine!$C$2:$C$1199,0)),"",INDEX('Compliance Database'!$L$2:$L$1199,MATCH(951,Engine!$C$2:$C$1199,0)))</f>
        <v/>
      </c>
      <c r="M964" s="7" t="str">
        <f>IF(ISNA(MATCH(951,Engine!$C$2:$C$1199,0)),"",INDEX('Compliance Database'!$M$2:$M$1199,MATCH(951,Engine!$C$2:$C$1199,0)))</f>
        <v/>
      </c>
      <c r="N964" s="7" t="str">
        <f>IF(ISNA(MATCH(951,Engine!$C$2:$C$1199,0)),"",INDEX('Compliance Database'!$N$2:$N$1199,MATCH(951,Engine!$C$2:$C$1199,0)))</f>
        <v/>
      </c>
      <c r="O964" s="7" t="str">
        <f>IF(ISNA(MATCH(951,Engine!$C$2:$C$1199,0)),"",INDEX('Compliance Database'!$O$2:$O$1199,MATCH(951,Engine!$C$2:$C$1199,0)))</f>
        <v/>
      </c>
      <c r="P964" s="6" t="str">
        <f>IF(ISNA(MATCH(951,Engine!$C$2:$C$1199,0)),"",HYPERLINK("#Acts!A"&amp;INDEX('Compliance Database'!$P$2:$P$1199,MATCH(951,Engine!$C$2:$C$1199,0)),"Go to Act"))</f>
        <v/>
      </c>
    </row>
    <row r="965" spans="1:16" ht="172.95" customHeight="1" x14ac:dyDescent="0.3">
      <c r="A965" s="6" t="str">
        <f>IF(ISNA(MATCH(952,Engine!$C$2:$C$1199,0)),"",INDEX('Compliance Database'!$A$2:$A$1199,MATCH(952,Engine!$C$2:$C$1199,0)))</f>
        <v/>
      </c>
      <c r="B965" s="6" t="str">
        <f>IF(ISNA(MATCH(952,Engine!$C$2:$C$1199,0)),"",INDEX('Compliance Database'!$B$2:$B$1199,MATCH(952,Engine!$C$2:$C$1199,0)))</f>
        <v/>
      </c>
      <c r="C965" s="6" t="str">
        <f>IF(ISNA(MATCH(952,Engine!$C$2:$C$1199,0)),"",INDEX('Compliance Database'!$C$2:$C$1199,MATCH(952,Engine!$C$2:$C$1199,0)))</f>
        <v/>
      </c>
      <c r="D965" s="7" t="str">
        <f>IF(ISNA(MATCH(952,Engine!$C$2:$C$1199,0)),"",INDEX('Compliance Database'!$D$2:$D$1199,MATCH(952,Engine!$C$2:$C$1199,0)))</f>
        <v/>
      </c>
      <c r="E965" s="6" t="str">
        <f>IF(ISNA(MATCH(952,Engine!$C$2:$C$1199,0)),"",INDEX('Compliance Database'!$E$2:$E$1199,MATCH(952,Engine!$C$2:$C$1199,0)))</f>
        <v/>
      </c>
      <c r="F965" s="6" t="str">
        <f>IF(ISNA(MATCH(952,Engine!$C$2:$C$1199,0)),"",INDEX('Compliance Database'!$F$2:$F$1199,MATCH(952,Engine!$C$2:$C$1199,0)))</f>
        <v/>
      </c>
      <c r="G965" s="6" t="str">
        <f>IF(ISNA(MATCH(952,Engine!$C$2:$C$1199,0)),"",INDEX('Compliance Database'!$G$2:$G$1199,MATCH(952,Engine!$C$2:$C$1199,0)))</f>
        <v/>
      </c>
      <c r="H965" s="7" t="str">
        <f>IF(ISNA(MATCH(952,Engine!$C$2:$C$1199,0)),"",INDEX('Compliance Database'!$H$2:$H$1199,MATCH(952,Engine!$C$2:$C$1199,0)))</f>
        <v/>
      </c>
      <c r="I965" s="7" t="str">
        <f>IF(ISNA(MATCH(952,Engine!$C$2:$C$1199,0)),"",INDEX('Compliance Database'!$I$2:$I$1199,MATCH(952,Engine!$C$2:$C$1199,0)))</f>
        <v/>
      </c>
      <c r="J965" s="6" t="str">
        <f>IF(ISNA(MATCH(952,Engine!$C$2:$C$1199,0)),"",INDEX('Compliance Database'!$J$2:$J$1199,MATCH(952,Engine!$C$2:$C$1199,0)))</f>
        <v/>
      </c>
      <c r="K965" s="7" t="str">
        <f>IF(ISNA(MATCH(952,Engine!$C$2:$C$1199,0)),"",INDEX('Compliance Database'!$K$2:$K$1199,MATCH(952,Engine!$C$2:$C$1199,0)))</f>
        <v/>
      </c>
      <c r="L965" s="7" t="str">
        <f>IF(ISNA(MATCH(952,Engine!$C$2:$C$1199,0)),"",INDEX('Compliance Database'!$L$2:$L$1199,MATCH(952,Engine!$C$2:$C$1199,0)))</f>
        <v/>
      </c>
      <c r="M965" s="7" t="str">
        <f>IF(ISNA(MATCH(952,Engine!$C$2:$C$1199,0)),"",INDEX('Compliance Database'!$M$2:$M$1199,MATCH(952,Engine!$C$2:$C$1199,0)))</f>
        <v/>
      </c>
      <c r="N965" s="7" t="str">
        <f>IF(ISNA(MATCH(952,Engine!$C$2:$C$1199,0)),"",INDEX('Compliance Database'!$N$2:$N$1199,MATCH(952,Engine!$C$2:$C$1199,0)))</f>
        <v/>
      </c>
      <c r="O965" s="7" t="str">
        <f>IF(ISNA(MATCH(952,Engine!$C$2:$C$1199,0)),"",INDEX('Compliance Database'!$O$2:$O$1199,MATCH(952,Engine!$C$2:$C$1199,0)))</f>
        <v/>
      </c>
      <c r="P965" s="6" t="str">
        <f>IF(ISNA(MATCH(952,Engine!$C$2:$C$1199,0)),"",HYPERLINK("#Acts!A"&amp;INDEX('Compliance Database'!$P$2:$P$1199,MATCH(952,Engine!$C$2:$C$1199,0)),"Go to Act"))</f>
        <v/>
      </c>
    </row>
    <row r="966" spans="1:16" ht="172.95" customHeight="1" x14ac:dyDescent="0.3">
      <c r="A966" s="6" t="str">
        <f>IF(ISNA(MATCH(953,Engine!$C$2:$C$1199,0)),"",INDEX('Compliance Database'!$A$2:$A$1199,MATCH(953,Engine!$C$2:$C$1199,0)))</f>
        <v/>
      </c>
      <c r="B966" s="6" t="str">
        <f>IF(ISNA(MATCH(953,Engine!$C$2:$C$1199,0)),"",INDEX('Compliance Database'!$B$2:$B$1199,MATCH(953,Engine!$C$2:$C$1199,0)))</f>
        <v/>
      </c>
      <c r="C966" s="6" t="str">
        <f>IF(ISNA(MATCH(953,Engine!$C$2:$C$1199,0)),"",INDEX('Compliance Database'!$C$2:$C$1199,MATCH(953,Engine!$C$2:$C$1199,0)))</f>
        <v/>
      </c>
      <c r="D966" s="7" t="str">
        <f>IF(ISNA(MATCH(953,Engine!$C$2:$C$1199,0)),"",INDEX('Compliance Database'!$D$2:$D$1199,MATCH(953,Engine!$C$2:$C$1199,0)))</f>
        <v/>
      </c>
      <c r="E966" s="6" t="str">
        <f>IF(ISNA(MATCH(953,Engine!$C$2:$C$1199,0)),"",INDEX('Compliance Database'!$E$2:$E$1199,MATCH(953,Engine!$C$2:$C$1199,0)))</f>
        <v/>
      </c>
      <c r="F966" s="6" t="str">
        <f>IF(ISNA(MATCH(953,Engine!$C$2:$C$1199,0)),"",INDEX('Compliance Database'!$F$2:$F$1199,MATCH(953,Engine!$C$2:$C$1199,0)))</f>
        <v/>
      </c>
      <c r="G966" s="6" t="str">
        <f>IF(ISNA(MATCH(953,Engine!$C$2:$C$1199,0)),"",INDEX('Compliance Database'!$G$2:$G$1199,MATCH(953,Engine!$C$2:$C$1199,0)))</f>
        <v/>
      </c>
      <c r="H966" s="7" t="str">
        <f>IF(ISNA(MATCH(953,Engine!$C$2:$C$1199,0)),"",INDEX('Compliance Database'!$H$2:$H$1199,MATCH(953,Engine!$C$2:$C$1199,0)))</f>
        <v/>
      </c>
      <c r="I966" s="7" t="str">
        <f>IF(ISNA(MATCH(953,Engine!$C$2:$C$1199,0)),"",INDEX('Compliance Database'!$I$2:$I$1199,MATCH(953,Engine!$C$2:$C$1199,0)))</f>
        <v/>
      </c>
      <c r="J966" s="6" t="str">
        <f>IF(ISNA(MATCH(953,Engine!$C$2:$C$1199,0)),"",INDEX('Compliance Database'!$J$2:$J$1199,MATCH(953,Engine!$C$2:$C$1199,0)))</f>
        <v/>
      </c>
      <c r="K966" s="7" t="str">
        <f>IF(ISNA(MATCH(953,Engine!$C$2:$C$1199,0)),"",INDEX('Compliance Database'!$K$2:$K$1199,MATCH(953,Engine!$C$2:$C$1199,0)))</f>
        <v/>
      </c>
      <c r="L966" s="7" t="str">
        <f>IF(ISNA(MATCH(953,Engine!$C$2:$C$1199,0)),"",INDEX('Compliance Database'!$L$2:$L$1199,MATCH(953,Engine!$C$2:$C$1199,0)))</f>
        <v/>
      </c>
      <c r="M966" s="7" t="str">
        <f>IF(ISNA(MATCH(953,Engine!$C$2:$C$1199,0)),"",INDEX('Compliance Database'!$M$2:$M$1199,MATCH(953,Engine!$C$2:$C$1199,0)))</f>
        <v/>
      </c>
      <c r="N966" s="7" t="str">
        <f>IF(ISNA(MATCH(953,Engine!$C$2:$C$1199,0)),"",INDEX('Compliance Database'!$N$2:$N$1199,MATCH(953,Engine!$C$2:$C$1199,0)))</f>
        <v/>
      </c>
      <c r="O966" s="7" t="str">
        <f>IF(ISNA(MATCH(953,Engine!$C$2:$C$1199,0)),"",INDEX('Compliance Database'!$O$2:$O$1199,MATCH(953,Engine!$C$2:$C$1199,0)))</f>
        <v/>
      </c>
      <c r="P966" s="6" t="str">
        <f>IF(ISNA(MATCH(953,Engine!$C$2:$C$1199,0)),"",HYPERLINK("#Acts!A"&amp;INDEX('Compliance Database'!$P$2:$P$1199,MATCH(953,Engine!$C$2:$C$1199,0)),"Go to Act"))</f>
        <v/>
      </c>
    </row>
    <row r="967" spans="1:16" ht="172.95" customHeight="1" x14ac:dyDescent="0.3">
      <c r="A967" s="6" t="str">
        <f>IF(ISNA(MATCH(954,Engine!$C$2:$C$1199,0)),"",INDEX('Compliance Database'!$A$2:$A$1199,MATCH(954,Engine!$C$2:$C$1199,0)))</f>
        <v/>
      </c>
      <c r="B967" s="6" t="str">
        <f>IF(ISNA(MATCH(954,Engine!$C$2:$C$1199,0)),"",INDEX('Compliance Database'!$B$2:$B$1199,MATCH(954,Engine!$C$2:$C$1199,0)))</f>
        <v/>
      </c>
      <c r="C967" s="6" t="str">
        <f>IF(ISNA(MATCH(954,Engine!$C$2:$C$1199,0)),"",INDEX('Compliance Database'!$C$2:$C$1199,MATCH(954,Engine!$C$2:$C$1199,0)))</f>
        <v/>
      </c>
      <c r="D967" s="7" t="str">
        <f>IF(ISNA(MATCH(954,Engine!$C$2:$C$1199,0)),"",INDEX('Compliance Database'!$D$2:$D$1199,MATCH(954,Engine!$C$2:$C$1199,0)))</f>
        <v/>
      </c>
      <c r="E967" s="6" t="str">
        <f>IF(ISNA(MATCH(954,Engine!$C$2:$C$1199,0)),"",INDEX('Compliance Database'!$E$2:$E$1199,MATCH(954,Engine!$C$2:$C$1199,0)))</f>
        <v/>
      </c>
      <c r="F967" s="6" t="str">
        <f>IF(ISNA(MATCH(954,Engine!$C$2:$C$1199,0)),"",INDEX('Compliance Database'!$F$2:$F$1199,MATCH(954,Engine!$C$2:$C$1199,0)))</f>
        <v/>
      </c>
      <c r="G967" s="6" t="str">
        <f>IF(ISNA(MATCH(954,Engine!$C$2:$C$1199,0)),"",INDEX('Compliance Database'!$G$2:$G$1199,MATCH(954,Engine!$C$2:$C$1199,0)))</f>
        <v/>
      </c>
      <c r="H967" s="7" t="str">
        <f>IF(ISNA(MATCH(954,Engine!$C$2:$C$1199,0)),"",INDEX('Compliance Database'!$H$2:$H$1199,MATCH(954,Engine!$C$2:$C$1199,0)))</f>
        <v/>
      </c>
      <c r="I967" s="7" t="str">
        <f>IF(ISNA(MATCH(954,Engine!$C$2:$C$1199,0)),"",INDEX('Compliance Database'!$I$2:$I$1199,MATCH(954,Engine!$C$2:$C$1199,0)))</f>
        <v/>
      </c>
      <c r="J967" s="6" t="str">
        <f>IF(ISNA(MATCH(954,Engine!$C$2:$C$1199,0)),"",INDEX('Compliance Database'!$J$2:$J$1199,MATCH(954,Engine!$C$2:$C$1199,0)))</f>
        <v/>
      </c>
      <c r="K967" s="7" t="str">
        <f>IF(ISNA(MATCH(954,Engine!$C$2:$C$1199,0)),"",INDEX('Compliance Database'!$K$2:$K$1199,MATCH(954,Engine!$C$2:$C$1199,0)))</f>
        <v/>
      </c>
      <c r="L967" s="7" t="str">
        <f>IF(ISNA(MATCH(954,Engine!$C$2:$C$1199,0)),"",INDEX('Compliance Database'!$L$2:$L$1199,MATCH(954,Engine!$C$2:$C$1199,0)))</f>
        <v/>
      </c>
      <c r="M967" s="7" t="str">
        <f>IF(ISNA(MATCH(954,Engine!$C$2:$C$1199,0)),"",INDEX('Compliance Database'!$M$2:$M$1199,MATCH(954,Engine!$C$2:$C$1199,0)))</f>
        <v/>
      </c>
      <c r="N967" s="7" t="str">
        <f>IF(ISNA(MATCH(954,Engine!$C$2:$C$1199,0)),"",INDEX('Compliance Database'!$N$2:$N$1199,MATCH(954,Engine!$C$2:$C$1199,0)))</f>
        <v/>
      </c>
      <c r="O967" s="7" t="str">
        <f>IF(ISNA(MATCH(954,Engine!$C$2:$C$1199,0)),"",INDEX('Compliance Database'!$O$2:$O$1199,MATCH(954,Engine!$C$2:$C$1199,0)))</f>
        <v/>
      </c>
      <c r="P967" s="6" t="str">
        <f>IF(ISNA(MATCH(954,Engine!$C$2:$C$1199,0)),"",HYPERLINK("#Acts!A"&amp;INDEX('Compliance Database'!$P$2:$P$1199,MATCH(954,Engine!$C$2:$C$1199,0)),"Go to Act"))</f>
        <v/>
      </c>
    </row>
    <row r="968" spans="1:16" ht="172.95" customHeight="1" x14ac:dyDescent="0.3">
      <c r="A968" s="6" t="str">
        <f>IF(ISNA(MATCH(955,Engine!$C$2:$C$1199,0)),"",INDEX('Compliance Database'!$A$2:$A$1199,MATCH(955,Engine!$C$2:$C$1199,0)))</f>
        <v/>
      </c>
      <c r="B968" s="6" t="str">
        <f>IF(ISNA(MATCH(955,Engine!$C$2:$C$1199,0)),"",INDEX('Compliance Database'!$B$2:$B$1199,MATCH(955,Engine!$C$2:$C$1199,0)))</f>
        <v/>
      </c>
      <c r="C968" s="6" t="str">
        <f>IF(ISNA(MATCH(955,Engine!$C$2:$C$1199,0)),"",INDEX('Compliance Database'!$C$2:$C$1199,MATCH(955,Engine!$C$2:$C$1199,0)))</f>
        <v/>
      </c>
      <c r="D968" s="7" t="str">
        <f>IF(ISNA(MATCH(955,Engine!$C$2:$C$1199,0)),"",INDEX('Compliance Database'!$D$2:$D$1199,MATCH(955,Engine!$C$2:$C$1199,0)))</f>
        <v/>
      </c>
      <c r="E968" s="6" t="str">
        <f>IF(ISNA(MATCH(955,Engine!$C$2:$C$1199,0)),"",INDEX('Compliance Database'!$E$2:$E$1199,MATCH(955,Engine!$C$2:$C$1199,0)))</f>
        <v/>
      </c>
      <c r="F968" s="6" t="str">
        <f>IF(ISNA(MATCH(955,Engine!$C$2:$C$1199,0)),"",INDEX('Compliance Database'!$F$2:$F$1199,MATCH(955,Engine!$C$2:$C$1199,0)))</f>
        <v/>
      </c>
      <c r="G968" s="6" t="str">
        <f>IF(ISNA(MATCH(955,Engine!$C$2:$C$1199,0)),"",INDEX('Compliance Database'!$G$2:$G$1199,MATCH(955,Engine!$C$2:$C$1199,0)))</f>
        <v/>
      </c>
      <c r="H968" s="7" t="str">
        <f>IF(ISNA(MATCH(955,Engine!$C$2:$C$1199,0)),"",INDEX('Compliance Database'!$H$2:$H$1199,MATCH(955,Engine!$C$2:$C$1199,0)))</f>
        <v/>
      </c>
      <c r="I968" s="7" t="str">
        <f>IF(ISNA(MATCH(955,Engine!$C$2:$C$1199,0)),"",INDEX('Compliance Database'!$I$2:$I$1199,MATCH(955,Engine!$C$2:$C$1199,0)))</f>
        <v/>
      </c>
      <c r="J968" s="6" t="str">
        <f>IF(ISNA(MATCH(955,Engine!$C$2:$C$1199,0)),"",INDEX('Compliance Database'!$J$2:$J$1199,MATCH(955,Engine!$C$2:$C$1199,0)))</f>
        <v/>
      </c>
      <c r="K968" s="7" t="str">
        <f>IF(ISNA(MATCH(955,Engine!$C$2:$C$1199,0)),"",INDEX('Compliance Database'!$K$2:$K$1199,MATCH(955,Engine!$C$2:$C$1199,0)))</f>
        <v/>
      </c>
      <c r="L968" s="7" t="str">
        <f>IF(ISNA(MATCH(955,Engine!$C$2:$C$1199,0)),"",INDEX('Compliance Database'!$L$2:$L$1199,MATCH(955,Engine!$C$2:$C$1199,0)))</f>
        <v/>
      </c>
      <c r="M968" s="7" t="str">
        <f>IF(ISNA(MATCH(955,Engine!$C$2:$C$1199,0)),"",INDEX('Compliance Database'!$M$2:$M$1199,MATCH(955,Engine!$C$2:$C$1199,0)))</f>
        <v/>
      </c>
      <c r="N968" s="7" t="str">
        <f>IF(ISNA(MATCH(955,Engine!$C$2:$C$1199,0)),"",INDEX('Compliance Database'!$N$2:$N$1199,MATCH(955,Engine!$C$2:$C$1199,0)))</f>
        <v/>
      </c>
      <c r="O968" s="7" t="str">
        <f>IF(ISNA(MATCH(955,Engine!$C$2:$C$1199,0)),"",INDEX('Compliance Database'!$O$2:$O$1199,MATCH(955,Engine!$C$2:$C$1199,0)))</f>
        <v/>
      </c>
      <c r="P968" s="6" t="str">
        <f>IF(ISNA(MATCH(955,Engine!$C$2:$C$1199,0)),"",HYPERLINK("#Acts!A"&amp;INDEX('Compliance Database'!$P$2:$P$1199,MATCH(955,Engine!$C$2:$C$1199,0)),"Go to Act"))</f>
        <v/>
      </c>
    </row>
    <row r="969" spans="1:16" ht="172.95" customHeight="1" x14ac:dyDescent="0.3">
      <c r="A969" s="6" t="str">
        <f>IF(ISNA(MATCH(956,Engine!$C$2:$C$1199,0)),"",INDEX('Compliance Database'!$A$2:$A$1199,MATCH(956,Engine!$C$2:$C$1199,0)))</f>
        <v/>
      </c>
      <c r="B969" s="6" t="str">
        <f>IF(ISNA(MATCH(956,Engine!$C$2:$C$1199,0)),"",INDEX('Compliance Database'!$B$2:$B$1199,MATCH(956,Engine!$C$2:$C$1199,0)))</f>
        <v/>
      </c>
      <c r="C969" s="6" t="str">
        <f>IF(ISNA(MATCH(956,Engine!$C$2:$C$1199,0)),"",INDEX('Compliance Database'!$C$2:$C$1199,MATCH(956,Engine!$C$2:$C$1199,0)))</f>
        <v/>
      </c>
      <c r="D969" s="7" t="str">
        <f>IF(ISNA(MATCH(956,Engine!$C$2:$C$1199,0)),"",INDEX('Compliance Database'!$D$2:$D$1199,MATCH(956,Engine!$C$2:$C$1199,0)))</f>
        <v/>
      </c>
      <c r="E969" s="6" t="str">
        <f>IF(ISNA(MATCH(956,Engine!$C$2:$C$1199,0)),"",INDEX('Compliance Database'!$E$2:$E$1199,MATCH(956,Engine!$C$2:$C$1199,0)))</f>
        <v/>
      </c>
      <c r="F969" s="6" t="str">
        <f>IF(ISNA(MATCH(956,Engine!$C$2:$C$1199,0)),"",INDEX('Compliance Database'!$F$2:$F$1199,MATCH(956,Engine!$C$2:$C$1199,0)))</f>
        <v/>
      </c>
      <c r="G969" s="6" t="str">
        <f>IF(ISNA(MATCH(956,Engine!$C$2:$C$1199,0)),"",INDEX('Compliance Database'!$G$2:$G$1199,MATCH(956,Engine!$C$2:$C$1199,0)))</f>
        <v/>
      </c>
      <c r="H969" s="7" t="str">
        <f>IF(ISNA(MATCH(956,Engine!$C$2:$C$1199,0)),"",INDEX('Compliance Database'!$H$2:$H$1199,MATCH(956,Engine!$C$2:$C$1199,0)))</f>
        <v/>
      </c>
      <c r="I969" s="7" t="str">
        <f>IF(ISNA(MATCH(956,Engine!$C$2:$C$1199,0)),"",INDEX('Compliance Database'!$I$2:$I$1199,MATCH(956,Engine!$C$2:$C$1199,0)))</f>
        <v/>
      </c>
      <c r="J969" s="6" t="str">
        <f>IF(ISNA(MATCH(956,Engine!$C$2:$C$1199,0)),"",INDEX('Compliance Database'!$J$2:$J$1199,MATCH(956,Engine!$C$2:$C$1199,0)))</f>
        <v/>
      </c>
      <c r="K969" s="7" t="str">
        <f>IF(ISNA(MATCH(956,Engine!$C$2:$C$1199,0)),"",INDEX('Compliance Database'!$K$2:$K$1199,MATCH(956,Engine!$C$2:$C$1199,0)))</f>
        <v/>
      </c>
      <c r="L969" s="7" t="str">
        <f>IF(ISNA(MATCH(956,Engine!$C$2:$C$1199,0)),"",INDEX('Compliance Database'!$L$2:$L$1199,MATCH(956,Engine!$C$2:$C$1199,0)))</f>
        <v/>
      </c>
      <c r="M969" s="7" t="str">
        <f>IF(ISNA(MATCH(956,Engine!$C$2:$C$1199,0)),"",INDEX('Compliance Database'!$M$2:$M$1199,MATCH(956,Engine!$C$2:$C$1199,0)))</f>
        <v/>
      </c>
      <c r="N969" s="7" t="str">
        <f>IF(ISNA(MATCH(956,Engine!$C$2:$C$1199,0)),"",INDEX('Compliance Database'!$N$2:$N$1199,MATCH(956,Engine!$C$2:$C$1199,0)))</f>
        <v/>
      </c>
      <c r="O969" s="7" t="str">
        <f>IF(ISNA(MATCH(956,Engine!$C$2:$C$1199,0)),"",INDEX('Compliance Database'!$O$2:$O$1199,MATCH(956,Engine!$C$2:$C$1199,0)))</f>
        <v/>
      </c>
      <c r="P969" s="6" t="str">
        <f>IF(ISNA(MATCH(956,Engine!$C$2:$C$1199,0)),"",HYPERLINK("#Acts!A"&amp;INDEX('Compliance Database'!$P$2:$P$1199,MATCH(956,Engine!$C$2:$C$1199,0)),"Go to Act"))</f>
        <v/>
      </c>
    </row>
    <row r="970" spans="1:16" ht="172.95" customHeight="1" x14ac:dyDescent="0.3">
      <c r="A970" s="6" t="str">
        <f>IF(ISNA(MATCH(957,Engine!$C$2:$C$1199,0)),"",INDEX('Compliance Database'!$A$2:$A$1199,MATCH(957,Engine!$C$2:$C$1199,0)))</f>
        <v/>
      </c>
      <c r="B970" s="6" t="str">
        <f>IF(ISNA(MATCH(957,Engine!$C$2:$C$1199,0)),"",INDEX('Compliance Database'!$B$2:$B$1199,MATCH(957,Engine!$C$2:$C$1199,0)))</f>
        <v/>
      </c>
      <c r="C970" s="6" t="str">
        <f>IF(ISNA(MATCH(957,Engine!$C$2:$C$1199,0)),"",INDEX('Compliance Database'!$C$2:$C$1199,MATCH(957,Engine!$C$2:$C$1199,0)))</f>
        <v/>
      </c>
      <c r="D970" s="7" t="str">
        <f>IF(ISNA(MATCH(957,Engine!$C$2:$C$1199,0)),"",INDEX('Compliance Database'!$D$2:$D$1199,MATCH(957,Engine!$C$2:$C$1199,0)))</f>
        <v/>
      </c>
      <c r="E970" s="6" t="str">
        <f>IF(ISNA(MATCH(957,Engine!$C$2:$C$1199,0)),"",INDEX('Compliance Database'!$E$2:$E$1199,MATCH(957,Engine!$C$2:$C$1199,0)))</f>
        <v/>
      </c>
      <c r="F970" s="6" t="str">
        <f>IF(ISNA(MATCH(957,Engine!$C$2:$C$1199,0)),"",INDEX('Compliance Database'!$F$2:$F$1199,MATCH(957,Engine!$C$2:$C$1199,0)))</f>
        <v/>
      </c>
      <c r="G970" s="6" t="str">
        <f>IF(ISNA(MATCH(957,Engine!$C$2:$C$1199,0)),"",INDEX('Compliance Database'!$G$2:$G$1199,MATCH(957,Engine!$C$2:$C$1199,0)))</f>
        <v/>
      </c>
      <c r="H970" s="7" t="str">
        <f>IF(ISNA(MATCH(957,Engine!$C$2:$C$1199,0)),"",INDEX('Compliance Database'!$H$2:$H$1199,MATCH(957,Engine!$C$2:$C$1199,0)))</f>
        <v/>
      </c>
      <c r="I970" s="7" t="str">
        <f>IF(ISNA(MATCH(957,Engine!$C$2:$C$1199,0)),"",INDEX('Compliance Database'!$I$2:$I$1199,MATCH(957,Engine!$C$2:$C$1199,0)))</f>
        <v/>
      </c>
      <c r="J970" s="6" t="str">
        <f>IF(ISNA(MATCH(957,Engine!$C$2:$C$1199,0)),"",INDEX('Compliance Database'!$J$2:$J$1199,MATCH(957,Engine!$C$2:$C$1199,0)))</f>
        <v/>
      </c>
      <c r="K970" s="7" t="str">
        <f>IF(ISNA(MATCH(957,Engine!$C$2:$C$1199,0)),"",INDEX('Compliance Database'!$K$2:$K$1199,MATCH(957,Engine!$C$2:$C$1199,0)))</f>
        <v/>
      </c>
      <c r="L970" s="7" t="str">
        <f>IF(ISNA(MATCH(957,Engine!$C$2:$C$1199,0)),"",INDEX('Compliance Database'!$L$2:$L$1199,MATCH(957,Engine!$C$2:$C$1199,0)))</f>
        <v/>
      </c>
      <c r="M970" s="7" t="str">
        <f>IF(ISNA(MATCH(957,Engine!$C$2:$C$1199,0)),"",INDEX('Compliance Database'!$M$2:$M$1199,MATCH(957,Engine!$C$2:$C$1199,0)))</f>
        <v/>
      </c>
      <c r="N970" s="7" t="str">
        <f>IF(ISNA(MATCH(957,Engine!$C$2:$C$1199,0)),"",INDEX('Compliance Database'!$N$2:$N$1199,MATCH(957,Engine!$C$2:$C$1199,0)))</f>
        <v/>
      </c>
      <c r="O970" s="7" t="str">
        <f>IF(ISNA(MATCH(957,Engine!$C$2:$C$1199,0)),"",INDEX('Compliance Database'!$O$2:$O$1199,MATCH(957,Engine!$C$2:$C$1199,0)))</f>
        <v/>
      </c>
      <c r="P970" s="6" t="str">
        <f>IF(ISNA(MATCH(957,Engine!$C$2:$C$1199,0)),"",HYPERLINK("#Acts!A"&amp;INDEX('Compliance Database'!$P$2:$P$1199,MATCH(957,Engine!$C$2:$C$1199,0)),"Go to Act"))</f>
        <v/>
      </c>
    </row>
    <row r="971" spans="1:16" ht="172.95" customHeight="1" x14ac:dyDescent="0.3">
      <c r="A971" s="6" t="str">
        <f>IF(ISNA(MATCH(958,Engine!$C$2:$C$1199,0)),"",INDEX('Compliance Database'!$A$2:$A$1199,MATCH(958,Engine!$C$2:$C$1199,0)))</f>
        <v/>
      </c>
      <c r="B971" s="6" t="str">
        <f>IF(ISNA(MATCH(958,Engine!$C$2:$C$1199,0)),"",INDEX('Compliance Database'!$B$2:$B$1199,MATCH(958,Engine!$C$2:$C$1199,0)))</f>
        <v/>
      </c>
      <c r="C971" s="6" t="str">
        <f>IF(ISNA(MATCH(958,Engine!$C$2:$C$1199,0)),"",INDEX('Compliance Database'!$C$2:$C$1199,MATCH(958,Engine!$C$2:$C$1199,0)))</f>
        <v/>
      </c>
      <c r="D971" s="7" t="str">
        <f>IF(ISNA(MATCH(958,Engine!$C$2:$C$1199,0)),"",INDEX('Compliance Database'!$D$2:$D$1199,MATCH(958,Engine!$C$2:$C$1199,0)))</f>
        <v/>
      </c>
      <c r="E971" s="6" t="str">
        <f>IF(ISNA(MATCH(958,Engine!$C$2:$C$1199,0)),"",INDEX('Compliance Database'!$E$2:$E$1199,MATCH(958,Engine!$C$2:$C$1199,0)))</f>
        <v/>
      </c>
      <c r="F971" s="6" t="str">
        <f>IF(ISNA(MATCH(958,Engine!$C$2:$C$1199,0)),"",INDEX('Compliance Database'!$F$2:$F$1199,MATCH(958,Engine!$C$2:$C$1199,0)))</f>
        <v/>
      </c>
      <c r="G971" s="6" t="str">
        <f>IF(ISNA(MATCH(958,Engine!$C$2:$C$1199,0)),"",INDEX('Compliance Database'!$G$2:$G$1199,MATCH(958,Engine!$C$2:$C$1199,0)))</f>
        <v/>
      </c>
      <c r="H971" s="7" t="str">
        <f>IF(ISNA(MATCH(958,Engine!$C$2:$C$1199,0)),"",INDEX('Compliance Database'!$H$2:$H$1199,MATCH(958,Engine!$C$2:$C$1199,0)))</f>
        <v/>
      </c>
      <c r="I971" s="7" t="str">
        <f>IF(ISNA(MATCH(958,Engine!$C$2:$C$1199,0)),"",INDEX('Compliance Database'!$I$2:$I$1199,MATCH(958,Engine!$C$2:$C$1199,0)))</f>
        <v/>
      </c>
      <c r="J971" s="6" t="str">
        <f>IF(ISNA(MATCH(958,Engine!$C$2:$C$1199,0)),"",INDEX('Compliance Database'!$J$2:$J$1199,MATCH(958,Engine!$C$2:$C$1199,0)))</f>
        <v/>
      </c>
      <c r="K971" s="7" t="str">
        <f>IF(ISNA(MATCH(958,Engine!$C$2:$C$1199,0)),"",INDEX('Compliance Database'!$K$2:$K$1199,MATCH(958,Engine!$C$2:$C$1199,0)))</f>
        <v/>
      </c>
      <c r="L971" s="7" t="str">
        <f>IF(ISNA(MATCH(958,Engine!$C$2:$C$1199,0)),"",INDEX('Compliance Database'!$L$2:$L$1199,MATCH(958,Engine!$C$2:$C$1199,0)))</f>
        <v/>
      </c>
      <c r="M971" s="7" t="str">
        <f>IF(ISNA(MATCH(958,Engine!$C$2:$C$1199,0)),"",INDEX('Compliance Database'!$M$2:$M$1199,MATCH(958,Engine!$C$2:$C$1199,0)))</f>
        <v/>
      </c>
      <c r="N971" s="7" t="str">
        <f>IF(ISNA(MATCH(958,Engine!$C$2:$C$1199,0)),"",INDEX('Compliance Database'!$N$2:$N$1199,MATCH(958,Engine!$C$2:$C$1199,0)))</f>
        <v/>
      </c>
      <c r="O971" s="7" t="str">
        <f>IF(ISNA(MATCH(958,Engine!$C$2:$C$1199,0)),"",INDEX('Compliance Database'!$O$2:$O$1199,MATCH(958,Engine!$C$2:$C$1199,0)))</f>
        <v/>
      </c>
      <c r="P971" s="6" t="str">
        <f>IF(ISNA(MATCH(958,Engine!$C$2:$C$1199,0)),"",HYPERLINK("#Acts!A"&amp;INDEX('Compliance Database'!$P$2:$P$1199,MATCH(958,Engine!$C$2:$C$1199,0)),"Go to Act"))</f>
        <v/>
      </c>
    </row>
    <row r="972" spans="1:16" ht="172.95" customHeight="1" x14ac:dyDescent="0.3">
      <c r="A972" s="6" t="str">
        <f>IF(ISNA(MATCH(959,Engine!$C$2:$C$1199,0)),"",INDEX('Compliance Database'!$A$2:$A$1199,MATCH(959,Engine!$C$2:$C$1199,0)))</f>
        <v/>
      </c>
      <c r="B972" s="6" t="str">
        <f>IF(ISNA(MATCH(959,Engine!$C$2:$C$1199,0)),"",INDEX('Compliance Database'!$B$2:$B$1199,MATCH(959,Engine!$C$2:$C$1199,0)))</f>
        <v/>
      </c>
      <c r="C972" s="6" t="str">
        <f>IF(ISNA(MATCH(959,Engine!$C$2:$C$1199,0)),"",INDEX('Compliance Database'!$C$2:$C$1199,MATCH(959,Engine!$C$2:$C$1199,0)))</f>
        <v/>
      </c>
      <c r="D972" s="7" t="str">
        <f>IF(ISNA(MATCH(959,Engine!$C$2:$C$1199,0)),"",INDEX('Compliance Database'!$D$2:$D$1199,MATCH(959,Engine!$C$2:$C$1199,0)))</f>
        <v/>
      </c>
      <c r="E972" s="6" t="str">
        <f>IF(ISNA(MATCH(959,Engine!$C$2:$C$1199,0)),"",INDEX('Compliance Database'!$E$2:$E$1199,MATCH(959,Engine!$C$2:$C$1199,0)))</f>
        <v/>
      </c>
      <c r="F972" s="6" t="str">
        <f>IF(ISNA(MATCH(959,Engine!$C$2:$C$1199,0)),"",INDEX('Compliance Database'!$F$2:$F$1199,MATCH(959,Engine!$C$2:$C$1199,0)))</f>
        <v/>
      </c>
      <c r="G972" s="6" t="str">
        <f>IF(ISNA(MATCH(959,Engine!$C$2:$C$1199,0)),"",INDEX('Compliance Database'!$G$2:$G$1199,MATCH(959,Engine!$C$2:$C$1199,0)))</f>
        <v/>
      </c>
      <c r="H972" s="7" t="str">
        <f>IF(ISNA(MATCH(959,Engine!$C$2:$C$1199,0)),"",INDEX('Compliance Database'!$H$2:$H$1199,MATCH(959,Engine!$C$2:$C$1199,0)))</f>
        <v/>
      </c>
      <c r="I972" s="7" t="str">
        <f>IF(ISNA(MATCH(959,Engine!$C$2:$C$1199,0)),"",INDEX('Compliance Database'!$I$2:$I$1199,MATCH(959,Engine!$C$2:$C$1199,0)))</f>
        <v/>
      </c>
      <c r="J972" s="6" t="str">
        <f>IF(ISNA(MATCH(959,Engine!$C$2:$C$1199,0)),"",INDEX('Compliance Database'!$J$2:$J$1199,MATCH(959,Engine!$C$2:$C$1199,0)))</f>
        <v/>
      </c>
      <c r="K972" s="7" t="str">
        <f>IF(ISNA(MATCH(959,Engine!$C$2:$C$1199,0)),"",INDEX('Compliance Database'!$K$2:$K$1199,MATCH(959,Engine!$C$2:$C$1199,0)))</f>
        <v/>
      </c>
      <c r="L972" s="7" t="str">
        <f>IF(ISNA(MATCH(959,Engine!$C$2:$C$1199,0)),"",INDEX('Compliance Database'!$L$2:$L$1199,MATCH(959,Engine!$C$2:$C$1199,0)))</f>
        <v/>
      </c>
      <c r="M972" s="7" t="str">
        <f>IF(ISNA(MATCH(959,Engine!$C$2:$C$1199,0)),"",INDEX('Compliance Database'!$M$2:$M$1199,MATCH(959,Engine!$C$2:$C$1199,0)))</f>
        <v/>
      </c>
      <c r="N972" s="7" t="str">
        <f>IF(ISNA(MATCH(959,Engine!$C$2:$C$1199,0)),"",INDEX('Compliance Database'!$N$2:$N$1199,MATCH(959,Engine!$C$2:$C$1199,0)))</f>
        <v/>
      </c>
      <c r="O972" s="7" t="str">
        <f>IF(ISNA(MATCH(959,Engine!$C$2:$C$1199,0)),"",INDEX('Compliance Database'!$O$2:$O$1199,MATCH(959,Engine!$C$2:$C$1199,0)))</f>
        <v/>
      </c>
      <c r="P972" s="6" t="str">
        <f>IF(ISNA(MATCH(959,Engine!$C$2:$C$1199,0)),"",HYPERLINK("#Acts!A"&amp;INDEX('Compliance Database'!$P$2:$P$1199,MATCH(959,Engine!$C$2:$C$1199,0)),"Go to Act"))</f>
        <v/>
      </c>
    </row>
    <row r="973" spans="1:16" ht="172.95" customHeight="1" x14ac:dyDescent="0.3">
      <c r="A973" s="6" t="str">
        <f>IF(ISNA(MATCH(960,Engine!$C$2:$C$1199,0)),"",INDEX('Compliance Database'!$A$2:$A$1199,MATCH(960,Engine!$C$2:$C$1199,0)))</f>
        <v/>
      </c>
      <c r="B973" s="6" t="str">
        <f>IF(ISNA(MATCH(960,Engine!$C$2:$C$1199,0)),"",INDEX('Compliance Database'!$B$2:$B$1199,MATCH(960,Engine!$C$2:$C$1199,0)))</f>
        <v/>
      </c>
      <c r="C973" s="6" t="str">
        <f>IF(ISNA(MATCH(960,Engine!$C$2:$C$1199,0)),"",INDEX('Compliance Database'!$C$2:$C$1199,MATCH(960,Engine!$C$2:$C$1199,0)))</f>
        <v/>
      </c>
      <c r="D973" s="7" t="str">
        <f>IF(ISNA(MATCH(960,Engine!$C$2:$C$1199,0)),"",INDEX('Compliance Database'!$D$2:$D$1199,MATCH(960,Engine!$C$2:$C$1199,0)))</f>
        <v/>
      </c>
      <c r="E973" s="6" t="str">
        <f>IF(ISNA(MATCH(960,Engine!$C$2:$C$1199,0)),"",INDEX('Compliance Database'!$E$2:$E$1199,MATCH(960,Engine!$C$2:$C$1199,0)))</f>
        <v/>
      </c>
      <c r="F973" s="6" t="str">
        <f>IF(ISNA(MATCH(960,Engine!$C$2:$C$1199,0)),"",INDEX('Compliance Database'!$F$2:$F$1199,MATCH(960,Engine!$C$2:$C$1199,0)))</f>
        <v/>
      </c>
      <c r="G973" s="6" t="str">
        <f>IF(ISNA(MATCH(960,Engine!$C$2:$C$1199,0)),"",INDEX('Compliance Database'!$G$2:$G$1199,MATCH(960,Engine!$C$2:$C$1199,0)))</f>
        <v/>
      </c>
      <c r="H973" s="7" t="str">
        <f>IF(ISNA(MATCH(960,Engine!$C$2:$C$1199,0)),"",INDEX('Compliance Database'!$H$2:$H$1199,MATCH(960,Engine!$C$2:$C$1199,0)))</f>
        <v/>
      </c>
      <c r="I973" s="7" t="str">
        <f>IF(ISNA(MATCH(960,Engine!$C$2:$C$1199,0)),"",INDEX('Compliance Database'!$I$2:$I$1199,MATCH(960,Engine!$C$2:$C$1199,0)))</f>
        <v/>
      </c>
      <c r="J973" s="6" t="str">
        <f>IF(ISNA(MATCH(960,Engine!$C$2:$C$1199,0)),"",INDEX('Compliance Database'!$J$2:$J$1199,MATCH(960,Engine!$C$2:$C$1199,0)))</f>
        <v/>
      </c>
      <c r="K973" s="7" t="str">
        <f>IF(ISNA(MATCH(960,Engine!$C$2:$C$1199,0)),"",INDEX('Compliance Database'!$K$2:$K$1199,MATCH(960,Engine!$C$2:$C$1199,0)))</f>
        <v/>
      </c>
      <c r="L973" s="7" t="str">
        <f>IF(ISNA(MATCH(960,Engine!$C$2:$C$1199,0)),"",INDEX('Compliance Database'!$L$2:$L$1199,MATCH(960,Engine!$C$2:$C$1199,0)))</f>
        <v/>
      </c>
      <c r="M973" s="7" t="str">
        <f>IF(ISNA(MATCH(960,Engine!$C$2:$C$1199,0)),"",INDEX('Compliance Database'!$M$2:$M$1199,MATCH(960,Engine!$C$2:$C$1199,0)))</f>
        <v/>
      </c>
      <c r="N973" s="7" t="str">
        <f>IF(ISNA(MATCH(960,Engine!$C$2:$C$1199,0)),"",INDEX('Compliance Database'!$N$2:$N$1199,MATCH(960,Engine!$C$2:$C$1199,0)))</f>
        <v/>
      </c>
      <c r="O973" s="7" t="str">
        <f>IF(ISNA(MATCH(960,Engine!$C$2:$C$1199,0)),"",INDEX('Compliance Database'!$O$2:$O$1199,MATCH(960,Engine!$C$2:$C$1199,0)))</f>
        <v/>
      </c>
      <c r="P973" s="6" t="str">
        <f>IF(ISNA(MATCH(960,Engine!$C$2:$C$1199,0)),"",HYPERLINK("#Acts!A"&amp;INDEX('Compliance Database'!$P$2:$P$1199,MATCH(960,Engine!$C$2:$C$1199,0)),"Go to Act"))</f>
        <v/>
      </c>
    </row>
    <row r="974" spans="1:16" ht="172.95" customHeight="1" x14ac:dyDescent="0.3">
      <c r="A974" s="6" t="str">
        <f>IF(ISNA(MATCH(961,Engine!$C$2:$C$1199,0)),"",INDEX('Compliance Database'!$A$2:$A$1199,MATCH(961,Engine!$C$2:$C$1199,0)))</f>
        <v/>
      </c>
      <c r="B974" s="6" t="str">
        <f>IF(ISNA(MATCH(961,Engine!$C$2:$C$1199,0)),"",INDEX('Compliance Database'!$B$2:$B$1199,MATCH(961,Engine!$C$2:$C$1199,0)))</f>
        <v/>
      </c>
      <c r="C974" s="6" t="str">
        <f>IF(ISNA(MATCH(961,Engine!$C$2:$C$1199,0)),"",INDEX('Compliance Database'!$C$2:$C$1199,MATCH(961,Engine!$C$2:$C$1199,0)))</f>
        <v/>
      </c>
      <c r="D974" s="7" t="str">
        <f>IF(ISNA(MATCH(961,Engine!$C$2:$C$1199,0)),"",INDEX('Compliance Database'!$D$2:$D$1199,MATCH(961,Engine!$C$2:$C$1199,0)))</f>
        <v/>
      </c>
      <c r="E974" s="6" t="str">
        <f>IF(ISNA(MATCH(961,Engine!$C$2:$C$1199,0)),"",INDEX('Compliance Database'!$E$2:$E$1199,MATCH(961,Engine!$C$2:$C$1199,0)))</f>
        <v/>
      </c>
      <c r="F974" s="6" t="str">
        <f>IF(ISNA(MATCH(961,Engine!$C$2:$C$1199,0)),"",INDEX('Compliance Database'!$F$2:$F$1199,MATCH(961,Engine!$C$2:$C$1199,0)))</f>
        <v/>
      </c>
      <c r="G974" s="6" t="str">
        <f>IF(ISNA(MATCH(961,Engine!$C$2:$C$1199,0)),"",INDEX('Compliance Database'!$G$2:$G$1199,MATCH(961,Engine!$C$2:$C$1199,0)))</f>
        <v/>
      </c>
      <c r="H974" s="7" t="str">
        <f>IF(ISNA(MATCH(961,Engine!$C$2:$C$1199,0)),"",INDEX('Compliance Database'!$H$2:$H$1199,MATCH(961,Engine!$C$2:$C$1199,0)))</f>
        <v/>
      </c>
      <c r="I974" s="7" t="str">
        <f>IF(ISNA(MATCH(961,Engine!$C$2:$C$1199,0)),"",INDEX('Compliance Database'!$I$2:$I$1199,MATCH(961,Engine!$C$2:$C$1199,0)))</f>
        <v/>
      </c>
      <c r="J974" s="6" t="str">
        <f>IF(ISNA(MATCH(961,Engine!$C$2:$C$1199,0)),"",INDEX('Compliance Database'!$J$2:$J$1199,MATCH(961,Engine!$C$2:$C$1199,0)))</f>
        <v/>
      </c>
      <c r="K974" s="7" t="str">
        <f>IF(ISNA(MATCH(961,Engine!$C$2:$C$1199,0)),"",INDEX('Compliance Database'!$K$2:$K$1199,MATCH(961,Engine!$C$2:$C$1199,0)))</f>
        <v/>
      </c>
      <c r="L974" s="7" t="str">
        <f>IF(ISNA(MATCH(961,Engine!$C$2:$C$1199,0)),"",INDEX('Compliance Database'!$L$2:$L$1199,MATCH(961,Engine!$C$2:$C$1199,0)))</f>
        <v/>
      </c>
      <c r="M974" s="7" t="str">
        <f>IF(ISNA(MATCH(961,Engine!$C$2:$C$1199,0)),"",INDEX('Compliance Database'!$M$2:$M$1199,MATCH(961,Engine!$C$2:$C$1199,0)))</f>
        <v/>
      </c>
      <c r="N974" s="7" t="str">
        <f>IF(ISNA(MATCH(961,Engine!$C$2:$C$1199,0)),"",INDEX('Compliance Database'!$N$2:$N$1199,MATCH(961,Engine!$C$2:$C$1199,0)))</f>
        <v/>
      </c>
      <c r="O974" s="7" t="str">
        <f>IF(ISNA(MATCH(961,Engine!$C$2:$C$1199,0)),"",INDEX('Compliance Database'!$O$2:$O$1199,MATCH(961,Engine!$C$2:$C$1199,0)))</f>
        <v/>
      </c>
      <c r="P974" s="6" t="str">
        <f>IF(ISNA(MATCH(961,Engine!$C$2:$C$1199,0)),"",HYPERLINK("#Acts!A"&amp;INDEX('Compliance Database'!$P$2:$P$1199,MATCH(961,Engine!$C$2:$C$1199,0)),"Go to Act"))</f>
        <v/>
      </c>
    </row>
    <row r="975" spans="1:16" ht="172.95" customHeight="1" x14ac:dyDescent="0.3">
      <c r="A975" s="6" t="str">
        <f>IF(ISNA(MATCH(962,Engine!$C$2:$C$1199,0)),"",INDEX('Compliance Database'!$A$2:$A$1199,MATCH(962,Engine!$C$2:$C$1199,0)))</f>
        <v/>
      </c>
      <c r="B975" s="6" t="str">
        <f>IF(ISNA(MATCH(962,Engine!$C$2:$C$1199,0)),"",INDEX('Compliance Database'!$B$2:$B$1199,MATCH(962,Engine!$C$2:$C$1199,0)))</f>
        <v/>
      </c>
      <c r="C975" s="6" t="str">
        <f>IF(ISNA(MATCH(962,Engine!$C$2:$C$1199,0)),"",INDEX('Compliance Database'!$C$2:$C$1199,MATCH(962,Engine!$C$2:$C$1199,0)))</f>
        <v/>
      </c>
      <c r="D975" s="7" t="str">
        <f>IF(ISNA(MATCH(962,Engine!$C$2:$C$1199,0)),"",INDEX('Compliance Database'!$D$2:$D$1199,MATCH(962,Engine!$C$2:$C$1199,0)))</f>
        <v/>
      </c>
      <c r="E975" s="6" t="str">
        <f>IF(ISNA(MATCH(962,Engine!$C$2:$C$1199,0)),"",INDEX('Compliance Database'!$E$2:$E$1199,MATCH(962,Engine!$C$2:$C$1199,0)))</f>
        <v/>
      </c>
      <c r="F975" s="6" t="str">
        <f>IF(ISNA(MATCH(962,Engine!$C$2:$C$1199,0)),"",INDEX('Compliance Database'!$F$2:$F$1199,MATCH(962,Engine!$C$2:$C$1199,0)))</f>
        <v/>
      </c>
      <c r="G975" s="6" t="str">
        <f>IF(ISNA(MATCH(962,Engine!$C$2:$C$1199,0)),"",INDEX('Compliance Database'!$G$2:$G$1199,MATCH(962,Engine!$C$2:$C$1199,0)))</f>
        <v/>
      </c>
      <c r="H975" s="7" t="str">
        <f>IF(ISNA(MATCH(962,Engine!$C$2:$C$1199,0)),"",INDEX('Compliance Database'!$H$2:$H$1199,MATCH(962,Engine!$C$2:$C$1199,0)))</f>
        <v/>
      </c>
      <c r="I975" s="7" t="str">
        <f>IF(ISNA(MATCH(962,Engine!$C$2:$C$1199,0)),"",INDEX('Compliance Database'!$I$2:$I$1199,MATCH(962,Engine!$C$2:$C$1199,0)))</f>
        <v/>
      </c>
      <c r="J975" s="6" t="str">
        <f>IF(ISNA(MATCH(962,Engine!$C$2:$C$1199,0)),"",INDEX('Compliance Database'!$J$2:$J$1199,MATCH(962,Engine!$C$2:$C$1199,0)))</f>
        <v/>
      </c>
      <c r="K975" s="7" t="str">
        <f>IF(ISNA(MATCH(962,Engine!$C$2:$C$1199,0)),"",INDEX('Compliance Database'!$K$2:$K$1199,MATCH(962,Engine!$C$2:$C$1199,0)))</f>
        <v/>
      </c>
      <c r="L975" s="7" t="str">
        <f>IF(ISNA(MATCH(962,Engine!$C$2:$C$1199,0)),"",INDEX('Compliance Database'!$L$2:$L$1199,MATCH(962,Engine!$C$2:$C$1199,0)))</f>
        <v/>
      </c>
      <c r="M975" s="7" t="str">
        <f>IF(ISNA(MATCH(962,Engine!$C$2:$C$1199,0)),"",INDEX('Compliance Database'!$M$2:$M$1199,MATCH(962,Engine!$C$2:$C$1199,0)))</f>
        <v/>
      </c>
      <c r="N975" s="7" t="str">
        <f>IF(ISNA(MATCH(962,Engine!$C$2:$C$1199,0)),"",INDEX('Compliance Database'!$N$2:$N$1199,MATCH(962,Engine!$C$2:$C$1199,0)))</f>
        <v/>
      </c>
      <c r="O975" s="7" t="str">
        <f>IF(ISNA(MATCH(962,Engine!$C$2:$C$1199,0)),"",INDEX('Compliance Database'!$O$2:$O$1199,MATCH(962,Engine!$C$2:$C$1199,0)))</f>
        <v/>
      </c>
      <c r="P975" s="6" t="str">
        <f>IF(ISNA(MATCH(962,Engine!$C$2:$C$1199,0)),"",HYPERLINK("#Acts!A"&amp;INDEX('Compliance Database'!$P$2:$P$1199,MATCH(962,Engine!$C$2:$C$1199,0)),"Go to Act"))</f>
        <v/>
      </c>
    </row>
    <row r="976" spans="1:16" ht="172.95" customHeight="1" x14ac:dyDescent="0.3">
      <c r="A976" s="6" t="str">
        <f>IF(ISNA(MATCH(963,Engine!$C$2:$C$1199,0)),"",INDEX('Compliance Database'!$A$2:$A$1199,MATCH(963,Engine!$C$2:$C$1199,0)))</f>
        <v/>
      </c>
      <c r="B976" s="6" t="str">
        <f>IF(ISNA(MATCH(963,Engine!$C$2:$C$1199,0)),"",INDEX('Compliance Database'!$B$2:$B$1199,MATCH(963,Engine!$C$2:$C$1199,0)))</f>
        <v/>
      </c>
      <c r="C976" s="6" t="str">
        <f>IF(ISNA(MATCH(963,Engine!$C$2:$C$1199,0)),"",INDEX('Compliance Database'!$C$2:$C$1199,MATCH(963,Engine!$C$2:$C$1199,0)))</f>
        <v/>
      </c>
      <c r="D976" s="7" t="str">
        <f>IF(ISNA(MATCH(963,Engine!$C$2:$C$1199,0)),"",INDEX('Compliance Database'!$D$2:$D$1199,MATCH(963,Engine!$C$2:$C$1199,0)))</f>
        <v/>
      </c>
      <c r="E976" s="6" t="str">
        <f>IF(ISNA(MATCH(963,Engine!$C$2:$C$1199,0)),"",INDEX('Compliance Database'!$E$2:$E$1199,MATCH(963,Engine!$C$2:$C$1199,0)))</f>
        <v/>
      </c>
      <c r="F976" s="6" t="str">
        <f>IF(ISNA(MATCH(963,Engine!$C$2:$C$1199,0)),"",INDEX('Compliance Database'!$F$2:$F$1199,MATCH(963,Engine!$C$2:$C$1199,0)))</f>
        <v/>
      </c>
      <c r="G976" s="6" t="str">
        <f>IF(ISNA(MATCH(963,Engine!$C$2:$C$1199,0)),"",INDEX('Compliance Database'!$G$2:$G$1199,MATCH(963,Engine!$C$2:$C$1199,0)))</f>
        <v/>
      </c>
      <c r="H976" s="7" t="str">
        <f>IF(ISNA(MATCH(963,Engine!$C$2:$C$1199,0)),"",INDEX('Compliance Database'!$H$2:$H$1199,MATCH(963,Engine!$C$2:$C$1199,0)))</f>
        <v/>
      </c>
      <c r="I976" s="7" t="str">
        <f>IF(ISNA(MATCH(963,Engine!$C$2:$C$1199,0)),"",INDEX('Compliance Database'!$I$2:$I$1199,MATCH(963,Engine!$C$2:$C$1199,0)))</f>
        <v/>
      </c>
      <c r="J976" s="6" t="str">
        <f>IF(ISNA(MATCH(963,Engine!$C$2:$C$1199,0)),"",INDEX('Compliance Database'!$J$2:$J$1199,MATCH(963,Engine!$C$2:$C$1199,0)))</f>
        <v/>
      </c>
      <c r="K976" s="7" t="str">
        <f>IF(ISNA(MATCH(963,Engine!$C$2:$C$1199,0)),"",INDEX('Compliance Database'!$K$2:$K$1199,MATCH(963,Engine!$C$2:$C$1199,0)))</f>
        <v/>
      </c>
      <c r="L976" s="7" t="str">
        <f>IF(ISNA(MATCH(963,Engine!$C$2:$C$1199,0)),"",INDEX('Compliance Database'!$L$2:$L$1199,MATCH(963,Engine!$C$2:$C$1199,0)))</f>
        <v/>
      </c>
      <c r="M976" s="7" t="str">
        <f>IF(ISNA(MATCH(963,Engine!$C$2:$C$1199,0)),"",INDEX('Compliance Database'!$M$2:$M$1199,MATCH(963,Engine!$C$2:$C$1199,0)))</f>
        <v/>
      </c>
      <c r="N976" s="7" t="str">
        <f>IF(ISNA(MATCH(963,Engine!$C$2:$C$1199,0)),"",INDEX('Compliance Database'!$N$2:$N$1199,MATCH(963,Engine!$C$2:$C$1199,0)))</f>
        <v/>
      </c>
      <c r="O976" s="7" t="str">
        <f>IF(ISNA(MATCH(963,Engine!$C$2:$C$1199,0)),"",INDEX('Compliance Database'!$O$2:$O$1199,MATCH(963,Engine!$C$2:$C$1199,0)))</f>
        <v/>
      </c>
      <c r="P976" s="6" t="str">
        <f>IF(ISNA(MATCH(963,Engine!$C$2:$C$1199,0)),"",HYPERLINK("#Acts!A"&amp;INDEX('Compliance Database'!$P$2:$P$1199,MATCH(963,Engine!$C$2:$C$1199,0)),"Go to Act"))</f>
        <v/>
      </c>
    </row>
    <row r="977" spans="1:16" ht="172.95" customHeight="1" x14ac:dyDescent="0.3">
      <c r="A977" s="6" t="str">
        <f>IF(ISNA(MATCH(964,Engine!$C$2:$C$1199,0)),"",INDEX('Compliance Database'!$A$2:$A$1199,MATCH(964,Engine!$C$2:$C$1199,0)))</f>
        <v/>
      </c>
      <c r="B977" s="6" t="str">
        <f>IF(ISNA(MATCH(964,Engine!$C$2:$C$1199,0)),"",INDEX('Compliance Database'!$B$2:$B$1199,MATCH(964,Engine!$C$2:$C$1199,0)))</f>
        <v/>
      </c>
      <c r="C977" s="6" t="str">
        <f>IF(ISNA(MATCH(964,Engine!$C$2:$C$1199,0)),"",INDEX('Compliance Database'!$C$2:$C$1199,MATCH(964,Engine!$C$2:$C$1199,0)))</f>
        <v/>
      </c>
      <c r="D977" s="7" t="str">
        <f>IF(ISNA(MATCH(964,Engine!$C$2:$C$1199,0)),"",INDEX('Compliance Database'!$D$2:$D$1199,MATCH(964,Engine!$C$2:$C$1199,0)))</f>
        <v/>
      </c>
      <c r="E977" s="6" t="str">
        <f>IF(ISNA(MATCH(964,Engine!$C$2:$C$1199,0)),"",INDEX('Compliance Database'!$E$2:$E$1199,MATCH(964,Engine!$C$2:$C$1199,0)))</f>
        <v/>
      </c>
      <c r="F977" s="6" t="str">
        <f>IF(ISNA(MATCH(964,Engine!$C$2:$C$1199,0)),"",INDEX('Compliance Database'!$F$2:$F$1199,MATCH(964,Engine!$C$2:$C$1199,0)))</f>
        <v/>
      </c>
      <c r="G977" s="6" t="str">
        <f>IF(ISNA(MATCH(964,Engine!$C$2:$C$1199,0)),"",INDEX('Compliance Database'!$G$2:$G$1199,MATCH(964,Engine!$C$2:$C$1199,0)))</f>
        <v/>
      </c>
      <c r="H977" s="7" t="str">
        <f>IF(ISNA(MATCH(964,Engine!$C$2:$C$1199,0)),"",INDEX('Compliance Database'!$H$2:$H$1199,MATCH(964,Engine!$C$2:$C$1199,0)))</f>
        <v/>
      </c>
      <c r="I977" s="7" t="str">
        <f>IF(ISNA(MATCH(964,Engine!$C$2:$C$1199,0)),"",INDEX('Compliance Database'!$I$2:$I$1199,MATCH(964,Engine!$C$2:$C$1199,0)))</f>
        <v/>
      </c>
      <c r="J977" s="6" t="str">
        <f>IF(ISNA(MATCH(964,Engine!$C$2:$C$1199,0)),"",INDEX('Compliance Database'!$J$2:$J$1199,MATCH(964,Engine!$C$2:$C$1199,0)))</f>
        <v/>
      </c>
      <c r="K977" s="7" t="str">
        <f>IF(ISNA(MATCH(964,Engine!$C$2:$C$1199,0)),"",INDEX('Compliance Database'!$K$2:$K$1199,MATCH(964,Engine!$C$2:$C$1199,0)))</f>
        <v/>
      </c>
      <c r="L977" s="7" t="str">
        <f>IF(ISNA(MATCH(964,Engine!$C$2:$C$1199,0)),"",INDEX('Compliance Database'!$L$2:$L$1199,MATCH(964,Engine!$C$2:$C$1199,0)))</f>
        <v/>
      </c>
      <c r="M977" s="7" t="str">
        <f>IF(ISNA(MATCH(964,Engine!$C$2:$C$1199,0)),"",INDEX('Compliance Database'!$M$2:$M$1199,MATCH(964,Engine!$C$2:$C$1199,0)))</f>
        <v/>
      </c>
      <c r="N977" s="7" t="str">
        <f>IF(ISNA(MATCH(964,Engine!$C$2:$C$1199,0)),"",INDEX('Compliance Database'!$N$2:$N$1199,MATCH(964,Engine!$C$2:$C$1199,0)))</f>
        <v/>
      </c>
      <c r="O977" s="7" t="str">
        <f>IF(ISNA(MATCH(964,Engine!$C$2:$C$1199,0)),"",INDEX('Compliance Database'!$O$2:$O$1199,MATCH(964,Engine!$C$2:$C$1199,0)))</f>
        <v/>
      </c>
      <c r="P977" s="6" t="str">
        <f>IF(ISNA(MATCH(964,Engine!$C$2:$C$1199,0)),"",HYPERLINK("#Acts!A"&amp;INDEX('Compliance Database'!$P$2:$P$1199,MATCH(964,Engine!$C$2:$C$1199,0)),"Go to Act"))</f>
        <v/>
      </c>
    </row>
    <row r="978" spans="1:16" ht="172.95" customHeight="1" x14ac:dyDescent="0.3">
      <c r="A978" s="6" t="str">
        <f>IF(ISNA(MATCH(965,Engine!$C$2:$C$1199,0)),"",INDEX('Compliance Database'!$A$2:$A$1199,MATCH(965,Engine!$C$2:$C$1199,0)))</f>
        <v/>
      </c>
      <c r="B978" s="6" t="str">
        <f>IF(ISNA(MATCH(965,Engine!$C$2:$C$1199,0)),"",INDEX('Compliance Database'!$B$2:$B$1199,MATCH(965,Engine!$C$2:$C$1199,0)))</f>
        <v/>
      </c>
      <c r="C978" s="6" t="str">
        <f>IF(ISNA(MATCH(965,Engine!$C$2:$C$1199,0)),"",INDEX('Compliance Database'!$C$2:$C$1199,MATCH(965,Engine!$C$2:$C$1199,0)))</f>
        <v/>
      </c>
      <c r="D978" s="7" t="str">
        <f>IF(ISNA(MATCH(965,Engine!$C$2:$C$1199,0)),"",INDEX('Compliance Database'!$D$2:$D$1199,MATCH(965,Engine!$C$2:$C$1199,0)))</f>
        <v/>
      </c>
      <c r="E978" s="6" t="str">
        <f>IF(ISNA(MATCH(965,Engine!$C$2:$C$1199,0)),"",INDEX('Compliance Database'!$E$2:$E$1199,MATCH(965,Engine!$C$2:$C$1199,0)))</f>
        <v/>
      </c>
      <c r="F978" s="6" t="str">
        <f>IF(ISNA(MATCH(965,Engine!$C$2:$C$1199,0)),"",INDEX('Compliance Database'!$F$2:$F$1199,MATCH(965,Engine!$C$2:$C$1199,0)))</f>
        <v/>
      </c>
      <c r="G978" s="6" t="str">
        <f>IF(ISNA(MATCH(965,Engine!$C$2:$C$1199,0)),"",INDEX('Compliance Database'!$G$2:$G$1199,MATCH(965,Engine!$C$2:$C$1199,0)))</f>
        <v/>
      </c>
      <c r="H978" s="7" t="str">
        <f>IF(ISNA(MATCH(965,Engine!$C$2:$C$1199,0)),"",INDEX('Compliance Database'!$H$2:$H$1199,MATCH(965,Engine!$C$2:$C$1199,0)))</f>
        <v/>
      </c>
      <c r="I978" s="7" t="str">
        <f>IF(ISNA(MATCH(965,Engine!$C$2:$C$1199,0)),"",INDEX('Compliance Database'!$I$2:$I$1199,MATCH(965,Engine!$C$2:$C$1199,0)))</f>
        <v/>
      </c>
      <c r="J978" s="6" t="str">
        <f>IF(ISNA(MATCH(965,Engine!$C$2:$C$1199,0)),"",INDEX('Compliance Database'!$J$2:$J$1199,MATCH(965,Engine!$C$2:$C$1199,0)))</f>
        <v/>
      </c>
      <c r="K978" s="7" t="str">
        <f>IF(ISNA(MATCH(965,Engine!$C$2:$C$1199,0)),"",INDEX('Compliance Database'!$K$2:$K$1199,MATCH(965,Engine!$C$2:$C$1199,0)))</f>
        <v/>
      </c>
      <c r="L978" s="7" t="str">
        <f>IF(ISNA(MATCH(965,Engine!$C$2:$C$1199,0)),"",INDEX('Compliance Database'!$L$2:$L$1199,MATCH(965,Engine!$C$2:$C$1199,0)))</f>
        <v/>
      </c>
      <c r="M978" s="7" t="str">
        <f>IF(ISNA(MATCH(965,Engine!$C$2:$C$1199,0)),"",INDEX('Compliance Database'!$M$2:$M$1199,MATCH(965,Engine!$C$2:$C$1199,0)))</f>
        <v/>
      </c>
      <c r="N978" s="7" t="str">
        <f>IF(ISNA(MATCH(965,Engine!$C$2:$C$1199,0)),"",INDEX('Compliance Database'!$N$2:$N$1199,MATCH(965,Engine!$C$2:$C$1199,0)))</f>
        <v/>
      </c>
      <c r="O978" s="7" t="str">
        <f>IF(ISNA(MATCH(965,Engine!$C$2:$C$1199,0)),"",INDEX('Compliance Database'!$O$2:$O$1199,MATCH(965,Engine!$C$2:$C$1199,0)))</f>
        <v/>
      </c>
      <c r="P978" s="6" t="str">
        <f>IF(ISNA(MATCH(965,Engine!$C$2:$C$1199,0)),"",HYPERLINK("#Acts!A"&amp;INDEX('Compliance Database'!$P$2:$P$1199,MATCH(965,Engine!$C$2:$C$1199,0)),"Go to Act"))</f>
        <v/>
      </c>
    </row>
    <row r="979" spans="1:16" ht="172.95" customHeight="1" x14ac:dyDescent="0.3">
      <c r="A979" s="6" t="str">
        <f>IF(ISNA(MATCH(966,Engine!$C$2:$C$1199,0)),"",INDEX('Compliance Database'!$A$2:$A$1199,MATCH(966,Engine!$C$2:$C$1199,0)))</f>
        <v/>
      </c>
      <c r="B979" s="6" t="str">
        <f>IF(ISNA(MATCH(966,Engine!$C$2:$C$1199,0)),"",INDEX('Compliance Database'!$B$2:$B$1199,MATCH(966,Engine!$C$2:$C$1199,0)))</f>
        <v/>
      </c>
      <c r="C979" s="6" t="str">
        <f>IF(ISNA(MATCH(966,Engine!$C$2:$C$1199,0)),"",INDEX('Compliance Database'!$C$2:$C$1199,MATCH(966,Engine!$C$2:$C$1199,0)))</f>
        <v/>
      </c>
      <c r="D979" s="7" t="str">
        <f>IF(ISNA(MATCH(966,Engine!$C$2:$C$1199,0)),"",INDEX('Compliance Database'!$D$2:$D$1199,MATCH(966,Engine!$C$2:$C$1199,0)))</f>
        <v/>
      </c>
      <c r="E979" s="6" t="str">
        <f>IF(ISNA(MATCH(966,Engine!$C$2:$C$1199,0)),"",INDEX('Compliance Database'!$E$2:$E$1199,MATCH(966,Engine!$C$2:$C$1199,0)))</f>
        <v/>
      </c>
      <c r="F979" s="6" t="str">
        <f>IF(ISNA(MATCH(966,Engine!$C$2:$C$1199,0)),"",INDEX('Compliance Database'!$F$2:$F$1199,MATCH(966,Engine!$C$2:$C$1199,0)))</f>
        <v/>
      </c>
      <c r="G979" s="6" t="str">
        <f>IF(ISNA(MATCH(966,Engine!$C$2:$C$1199,0)),"",INDEX('Compliance Database'!$G$2:$G$1199,MATCH(966,Engine!$C$2:$C$1199,0)))</f>
        <v/>
      </c>
      <c r="H979" s="7" t="str">
        <f>IF(ISNA(MATCH(966,Engine!$C$2:$C$1199,0)),"",INDEX('Compliance Database'!$H$2:$H$1199,MATCH(966,Engine!$C$2:$C$1199,0)))</f>
        <v/>
      </c>
      <c r="I979" s="7" t="str">
        <f>IF(ISNA(MATCH(966,Engine!$C$2:$C$1199,0)),"",INDEX('Compliance Database'!$I$2:$I$1199,MATCH(966,Engine!$C$2:$C$1199,0)))</f>
        <v/>
      </c>
      <c r="J979" s="6" t="str">
        <f>IF(ISNA(MATCH(966,Engine!$C$2:$C$1199,0)),"",INDEX('Compliance Database'!$J$2:$J$1199,MATCH(966,Engine!$C$2:$C$1199,0)))</f>
        <v/>
      </c>
      <c r="K979" s="7" t="str">
        <f>IF(ISNA(MATCH(966,Engine!$C$2:$C$1199,0)),"",INDEX('Compliance Database'!$K$2:$K$1199,MATCH(966,Engine!$C$2:$C$1199,0)))</f>
        <v/>
      </c>
      <c r="L979" s="7" t="str">
        <f>IF(ISNA(MATCH(966,Engine!$C$2:$C$1199,0)),"",INDEX('Compliance Database'!$L$2:$L$1199,MATCH(966,Engine!$C$2:$C$1199,0)))</f>
        <v/>
      </c>
      <c r="M979" s="7" t="str">
        <f>IF(ISNA(MATCH(966,Engine!$C$2:$C$1199,0)),"",INDEX('Compliance Database'!$M$2:$M$1199,MATCH(966,Engine!$C$2:$C$1199,0)))</f>
        <v/>
      </c>
      <c r="N979" s="7" t="str">
        <f>IF(ISNA(MATCH(966,Engine!$C$2:$C$1199,0)),"",INDEX('Compliance Database'!$N$2:$N$1199,MATCH(966,Engine!$C$2:$C$1199,0)))</f>
        <v/>
      </c>
      <c r="O979" s="7" t="str">
        <f>IF(ISNA(MATCH(966,Engine!$C$2:$C$1199,0)),"",INDEX('Compliance Database'!$O$2:$O$1199,MATCH(966,Engine!$C$2:$C$1199,0)))</f>
        <v/>
      </c>
      <c r="P979" s="6" t="str">
        <f>IF(ISNA(MATCH(966,Engine!$C$2:$C$1199,0)),"",HYPERLINK("#Acts!A"&amp;INDEX('Compliance Database'!$P$2:$P$1199,MATCH(966,Engine!$C$2:$C$1199,0)),"Go to Act"))</f>
        <v/>
      </c>
    </row>
    <row r="980" spans="1:16" ht="172.95" customHeight="1" x14ac:dyDescent="0.3">
      <c r="A980" s="6" t="str">
        <f>IF(ISNA(MATCH(967,Engine!$C$2:$C$1199,0)),"",INDEX('Compliance Database'!$A$2:$A$1199,MATCH(967,Engine!$C$2:$C$1199,0)))</f>
        <v/>
      </c>
      <c r="B980" s="6" t="str">
        <f>IF(ISNA(MATCH(967,Engine!$C$2:$C$1199,0)),"",INDEX('Compliance Database'!$B$2:$B$1199,MATCH(967,Engine!$C$2:$C$1199,0)))</f>
        <v/>
      </c>
      <c r="C980" s="6" t="str">
        <f>IF(ISNA(MATCH(967,Engine!$C$2:$C$1199,0)),"",INDEX('Compliance Database'!$C$2:$C$1199,MATCH(967,Engine!$C$2:$C$1199,0)))</f>
        <v/>
      </c>
      <c r="D980" s="7" t="str">
        <f>IF(ISNA(MATCH(967,Engine!$C$2:$C$1199,0)),"",INDEX('Compliance Database'!$D$2:$D$1199,MATCH(967,Engine!$C$2:$C$1199,0)))</f>
        <v/>
      </c>
      <c r="E980" s="6" t="str">
        <f>IF(ISNA(MATCH(967,Engine!$C$2:$C$1199,0)),"",INDEX('Compliance Database'!$E$2:$E$1199,MATCH(967,Engine!$C$2:$C$1199,0)))</f>
        <v/>
      </c>
      <c r="F980" s="6" t="str">
        <f>IF(ISNA(MATCH(967,Engine!$C$2:$C$1199,0)),"",INDEX('Compliance Database'!$F$2:$F$1199,MATCH(967,Engine!$C$2:$C$1199,0)))</f>
        <v/>
      </c>
      <c r="G980" s="6" t="str">
        <f>IF(ISNA(MATCH(967,Engine!$C$2:$C$1199,0)),"",INDEX('Compliance Database'!$G$2:$G$1199,MATCH(967,Engine!$C$2:$C$1199,0)))</f>
        <v/>
      </c>
      <c r="H980" s="7" t="str">
        <f>IF(ISNA(MATCH(967,Engine!$C$2:$C$1199,0)),"",INDEX('Compliance Database'!$H$2:$H$1199,MATCH(967,Engine!$C$2:$C$1199,0)))</f>
        <v/>
      </c>
      <c r="I980" s="7" t="str">
        <f>IF(ISNA(MATCH(967,Engine!$C$2:$C$1199,0)),"",INDEX('Compliance Database'!$I$2:$I$1199,MATCH(967,Engine!$C$2:$C$1199,0)))</f>
        <v/>
      </c>
      <c r="J980" s="6" t="str">
        <f>IF(ISNA(MATCH(967,Engine!$C$2:$C$1199,0)),"",INDEX('Compliance Database'!$J$2:$J$1199,MATCH(967,Engine!$C$2:$C$1199,0)))</f>
        <v/>
      </c>
      <c r="K980" s="7" t="str">
        <f>IF(ISNA(MATCH(967,Engine!$C$2:$C$1199,0)),"",INDEX('Compliance Database'!$K$2:$K$1199,MATCH(967,Engine!$C$2:$C$1199,0)))</f>
        <v/>
      </c>
      <c r="L980" s="7" t="str">
        <f>IF(ISNA(MATCH(967,Engine!$C$2:$C$1199,0)),"",INDEX('Compliance Database'!$L$2:$L$1199,MATCH(967,Engine!$C$2:$C$1199,0)))</f>
        <v/>
      </c>
      <c r="M980" s="7" t="str">
        <f>IF(ISNA(MATCH(967,Engine!$C$2:$C$1199,0)),"",INDEX('Compliance Database'!$M$2:$M$1199,MATCH(967,Engine!$C$2:$C$1199,0)))</f>
        <v/>
      </c>
      <c r="N980" s="7" t="str">
        <f>IF(ISNA(MATCH(967,Engine!$C$2:$C$1199,0)),"",INDEX('Compliance Database'!$N$2:$N$1199,MATCH(967,Engine!$C$2:$C$1199,0)))</f>
        <v/>
      </c>
      <c r="O980" s="7" t="str">
        <f>IF(ISNA(MATCH(967,Engine!$C$2:$C$1199,0)),"",INDEX('Compliance Database'!$O$2:$O$1199,MATCH(967,Engine!$C$2:$C$1199,0)))</f>
        <v/>
      </c>
      <c r="P980" s="6" t="str">
        <f>IF(ISNA(MATCH(967,Engine!$C$2:$C$1199,0)),"",HYPERLINK("#Acts!A"&amp;INDEX('Compliance Database'!$P$2:$P$1199,MATCH(967,Engine!$C$2:$C$1199,0)),"Go to Act"))</f>
        <v/>
      </c>
    </row>
    <row r="981" spans="1:16" ht="172.95" customHeight="1" x14ac:dyDescent="0.3">
      <c r="A981" s="6" t="str">
        <f>IF(ISNA(MATCH(968,Engine!$C$2:$C$1199,0)),"",INDEX('Compliance Database'!$A$2:$A$1199,MATCH(968,Engine!$C$2:$C$1199,0)))</f>
        <v/>
      </c>
      <c r="B981" s="6" t="str">
        <f>IF(ISNA(MATCH(968,Engine!$C$2:$C$1199,0)),"",INDEX('Compliance Database'!$B$2:$B$1199,MATCH(968,Engine!$C$2:$C$1199,0)))</f>
        <v/>
      </c>
      <c r="C981" s="6" t="str">
        <f>IF(ISNA(MATCH(968,Engine!$C$2:$C$1199,0)),"",INDEX('Compliance Database'!$C$2:$C$1199,MATCH(968,Engine!$C$2:$C$1199,0)))</f>
        <v/>
      </c>
      <c r="D981" s="7" t="str">
        <f>IF(ISNA(MATCH(968,Engine!$C$2:$C$1199,0)),"",INDEX('Compliance Database'!$D$2:$D$1199,MATCH(968,Engine!$C$2:$C$1199,0)))</f>
        <v/>
      </c>
      <c r="E981" s="6" t="str">
        <f>IF(ISNA(MATCH(968,Engine!$C$2:$C$1199,0)),"",INDEX('Compliance Database'!$E$2:$E$1199,MATCH(968,Engine!$C$2:$C$1199,0)))</f>
        <v/>
      </c>
      <c r="F981" s="6" t="str">
        <f>IF(ISNA(MATCH(968,Engine!$C$2:$C$1199,0)),"",INDEX('Compliance Database'!$F$2:$F$1199,MATCH(968,Engine!$C$2:$C$1199,0)))</f>
        <v/>
      </c>
      <c r="G981" s="6" t="str">
        <f>IF(ISNA(MATCH(968,Engine!$C$2:$C$1199,0)),"",INDEX('Compliance Database'!$G$2:$G$1199,MATCH(968,Engine!$C$2:$C$1199,0)))</f>
        <v/>
      </c>
      <c r="H981" s="7" t="str">
        <f>IF(ISNA(MATCH(968,Engine!$C$2:$C$1199,0)),"",INDEX('Compliance Database'!$H$2:$H$1199,MATCH(968,Engine!$C$2:$C$1199,0)))</f>
        <v/>
      </c>
      <c r="I981" s="7" t="str">
        <f>IF(ISNA(MATCH(968,Engine!$C$2:$C$1199,0)),"",INDEX('Compliance Database'!$I$2:$I$1199,MATCH(968,Engine!$C$2:$C$1199,0)))</f>
        <v/>
      </c>
      <c r="J981" s="6" t="str">
        <f>IF(ISNA(MATCH(968,Engine!$C$2:$C$1199,0)),"",INDEX('Compliance Database'!$J$2:$J$1199,MATCH(968,Engine!$C$2:$C$1199,0)))</f>
        <v/>
      </c>
      <c r="K981" s="7" t="str">
        <f>IF(ISNA(MATCH(968,Engine!$C$2:$C$1199,0)),"",INDEX('Compliance Database'!$K$2:$K$1199,MATCH(968,Engine!$C$2:$C$1199,0)))</f>
        <v/>
      </c>
      <c r="L981" s="7" t="str">
        <f>IF(ISNA(MATCH(968,Engine!$C$2:$C$1199,0)),"",INDEX('Compliance Database'!$L$2:$L$1199,MATCH(968,Engine!$C$2:$C$1199,0)))</f>
        <v/>
      </c>
      <c r="M981" s="7" t="str">
        <f>IF(ISNA(MATCH(968,Engine!$C$2:$C$1199,0)),"",INDEX('Compliance Database'!$M$2:$M$1199,MATCH(968,Engine!$C$2:$C$1199,0)))</f>
        <v/>
      </c>
      <c r="N981" s="7" t="str">
        <f>IF(ISNA(MATCH(968,Engine!$C$2:$C$1199,0)),"",INDEX('Compliance Database'!$N$2:$N$1199,MATCH(968,Engine!$C$2:$C$1199,0)))</f>
        <v/>
      </c>
      <c r="O981" s="7" t="str">
        <f>IF(ISNA(MATCH(968,Engine!$C$2:$C$1199,0)),"",INDEX('Compliance Database'!$O$2:$O$1199,MATCH(968,Engine!$C$2:$C$1199,0)))</f>
        <v/>
      </c>
      <c r="P981" s="6" t="str">
        <f>IF(ISNA(MATCH(968,Engine!$C$2:$C$1199,0)),"",HYPERLINK("#Acts!A"&amp;INDEX('Compliance Database'!$P$2:$P$1199,MATCH(968,Engine!$C$2:$C$1199,0)),"Go to Act"))</f>
        <v/>
      </c>
    </row>
    <row r="982" spans="1:16" ht="172.95" customHeight="1" x14ac:dyDescent="0.3">
      <c r="A982" s="6" t="str">
        <f>IF(ISNA(MATCH(969,Engine!$C$2:$C$1199,0)),"",INDEX('Compliance Database'!$A$2:$A$1199,MATCH(969,Engine!$C$2:$C$1199,0)))</f>
        <v/>
      </c>
      <c r="B982" s="6" t="str">
        <f>IF(ISNA(MATCH(969,Engine!$C$2:$C$1199,0)),"",INDEX('Compliance Database'!$B$2:$B$1199,MATCH(969,Engine!$C$2:$C$1199,0)))</f>
        <v/>
      </c>
      <c r="C982" s="6" t="str">
        <f>IF(ISNA(MATCH(969,Engine!$C$2:$C$1199,0)),"",INDEX('Compliance Database'!$C$2:$C$1199,MATCH(969,Engine!$C$2:$C$1199,0)))</f>
        <v/>
      </c>
      <c r="D982" s="7" t="str">
        <f>IF(ISNA(MATCH(969,Engine!$C$2:$C$1199,0)),"",INDEX('Compliance Database'!$D$2:$D$1199,MATCH(969,Engine!$C$2:$C$1199,0)))</f>
        <v/>
      </c>
      <c r="E982" s="6" t="str">
        <f>IF(ISNA(MATCH(969,Engine!$C$2:$C$1199,0)),"",INDEX('Compliance Database'!$E$2:$E$1199,MATCH(969,Engine!$C$2:$C$1199,0)))</f>
        <v/>
      </c>
      <c r="F982" s="6" t="str">
        <f>IF(ISNA(MATCH(969,Engine!$C$2:$C$1199,0)),"",INDEX('Compliance Database'!$F$2:$F$1199,MATCH(969,Engine!$C$2:$C$1199,0)))</f>
        <v/>
      </c>
      <c r="G982" s="6" t="str">
        <f>IF(ISNA(MATCH(969,Engine!$C$2:$C$1199,0)),"",INDEX('Compliance Database'!$G$2:$G$1199,MATCH(969,Engine!$C$2:$C$1199,0)))</f>
        <v/>
      </c>
      <c r="H982" s="7" t="str">
        <f>IF(ISNA(MATCH(969,Engine!$C$2:$C$1199,0)),"",INDEX('Compliance Database'!$H$2:$H$1199,MATCH(969,Engine!$C$2:$C$1199,0)))</f>
        <v/>
      </c>
      <c r="I982" s="7" t="str">
        <f>IF(ISNA(MATCH(969,Engine!$C$2:$C$1199,0)),"",INDEX('Compliance Database'!$I$2:$I$1199,MATCH(969,Engine!$C$2:$C$1199,0)))</f>
        <v/>
      </c>
      <c r="J982" s="6" t="str">
        <f>IF(ISNA(MATCH(969,Engine!$C$2:$C$1199,0)),"",INDEX('Compliance Database'!$J$2:$J$1199,MATCH(969,Engine!$C$2:$C$1199,0)))</f>
        <v/>
      </c>
      <c r="K982" s="7" t="str">
        <f>IF(ISNA(MATCH(969,Engine!$C$2:$C$1199,0)),"",INDEX('Compliance Database'!$K$2:$K$1199,MATCH(969,Engine!$C$2:$C$1199,0)))</f>
        <v/>
      </c>
      <c r="L982" s="7" t="str">
        <f>IF(ISNA(MATCH(969,Engine!$C$2:$C$1199,0)),"",INDEX('Compliance Database'!$L$2:$L$1199,MATCH(969,Engine!$C$2:$C$1199,0)))</f>
        <v/>
      </c>
      <c r="M982" s="7" t="str">
        <f>IF(ISNA(MATCH(969,Engine!$C$2:$C$1199,0)),"",INDEX('Compliance Database'!$M$2:$M$1199,MATCH(969,Engine!$C$2:$C$1199,0)))</f>
        <v/>
      </c>
      <c r="N982" s="7" t="str">
        <f>IF(ISNA(MATCH(969,Engine!$C$2:$C$1199,0)),"",INDEX('Compliance Database'!$N$2:$N$1199,MATCH(969,Engine!$C$2:$C$1199,0)))</f>
        <v/>
      </c>
      <c r="O982" s="7" t="str">
        <f>IF(ISNA(MATCH(969,Engine!$C$2:$C$1199,0)),"",INDEX('Compliance Database'!$O$2:$O$1199,MATCH(969,Engine!$C$2:$C$1199,0)))</f>
        <v/>
      </c>
      <c r="P982" s="6" t="str">
        <f>IF(ISNA(MATCH(969,Engine!$C$2:$C$1199,0)),"",HYPERLINK("#Acts!A"&amp;INDEX('Compliance Database'!$P$2:$P$1199,MATCH(969,Engine!$C$2:$C$1199,0)),"Go to Act"))</f>
        <v/>
      </c>
    </row>
    <row r="983" spans="1:16" ht="172.95" customHeight="1" x14ac:dyDescent="0.3">
      <c r="A983" s="6" t="str">
        <f>IF(ISNA(MATCH(970,Engine!$C$2:$C$1199,0)),"",INDEX('Compliance Database'!$A$2:$A$1199,MATCH(970,Engine!$C$2:$C$1199,0)))</f>
        <v/>
      </c>
      <c r="B983" s="6" t="str">
        <f>IF(ISNA(MATCH(970,Engine!$C$2:$C$1199,0)),"",INDEX('Compliance Database'!$B$2:$B$1199,MATCH(970,Engine!$C$2:$C$1199,0)))</f>
        <v/>
      </c>
      <c r="C983" s="6" t="str">
        <f>IF(ISNA(MATCH(970,Engine!$C$2:$C$1199,0)),"",INDEX('Compliance Database'!$C$2:$C$1199,MATCH(970,Engine!$C$2:$C$1199,0)))</f>
        <v/>
      </c>
      <c r="D983" s="7" t="str">
        <f>IF(ISNA(MATCH(970,Engine!$C$2:$C$1199,0)),"",INDEX('Compliance Database'!$D$2:$D$1199,MATCH(970,Engine!$C$2:$C$1199,0)))</f>
        <v/>
      </c>
      <c r="E983" s="6" t="str">
        <f>IF(ISNA(MATCH(970,Engine!$C$2:$C$1199,0)),"",INDEX('Compliance Database'!$E$2:$E$1199,MATCH(970,Engine!$C$2:$C$1199,0)))</f>
        <v/>
      </c>
      <c r="F983" s="6" t="str">
        <f>IF(ISNA(MATCH(970,Engine!$C$2:$C$1199,0)),"",INDEX('Compliance Database'!$F$2:$F$1199,MATCH(970,Engine!$C$2:$C$1199,0)))</f>
        <v/>
      </c>
      <c r="G983" s="6" t="str">
        <f>IF(ISNA(MATCH(970,Engine!$C$2:$C$1199,0)),"",INDEX('Compliance Database'!$G$2:$G$1199,MATCH(970,Engine!$C$2:$C$1199,0)))</f>
        <v/>
      </c>
      <c r="H983" s="7" t="str">
        <f>IF(ISNA(MATCH(970,Engine!$C$2:$C$1199,0)),"",INDEX('Compliance Database'!$H$2:$H$1199,MATCH(970,Engine!$C$2:$C$1199,0)))</f>
        <v/>
      </c>
      <c r="I983" s="7" t="str">
        <f>IF(ISNA(MATCH(970,Engine!$C$2:$C$1199,0)),"",INDEX('Compliance Database'!$I$2:$I$1199,MATCH(970,Engine!$C$2:$C$1199,0)))</f>
        <v/>
      </c>
      <c r="J983" s="6" t="str">
        <f>IF(ISNA(MATCH(970,Engine!$C$2:$C$1199,0)),"",INDEX('Compliance Database'!$J$2:$J$1199,MATCH(970,Engine!$C$2:$C$1199,0)))</f>
        <v/>
      </c>
      <c r="K983" s="7" t="str">
        <f>IF(ISNA(MATCH(970,Engine!$C$2:$C$1199,0)),"",INDEX('Compliance Database'!$K$2:$K$1199,MATCH(970,Engine!$C$2:$C$1199,0)))</f>
        <v/>
      </c>
      <c r="L983" s="7" t="str">
        <f>IF(ISNA(MATCH(970,Engine!$C$2:$C$1199,0)),"",INDEX('Compliance Database'!$L$2:$L$1199,MATCH(970,Engine!$C$2:$C$1199,0)))</f>
        <v/>
      </c>
      <c r="M983" s="7" t="str">
        <f>IF(ISNA(MATCH(970,Engine!$C$2:$C$1199,0)),"",INDEX('Compliance Database'!$M$2:$M$1199,MATCH(970,Engine!$C$2:$C$1199,0)))</f>
        <v/>
      </c>
      <c r="N983" s="7" t="str">
        <f>IF(ISNA(MATCH(970,Engine!$C$2:$C$1199,0)),"",INDEX('Compliance Database'!$N$2:$N$1199,MATCH(970,Engine!$C$2:$C$1199,0)))</f>
        <v/>
      </c>
      <c r="O983" s="7" t="str">
        <f>IF(ISNA(MATCH(970,Engine!$C$2:$C$1199,0)),"",INDEX('Compliance Database'!$O$2:$O$1199,MATCH(970,Engine!$C$2:$C$1199,0)))</f>
        <v/>
      </c>
      <c r="P983" s="6" t="str">
        <f>IF(ISNA(MATCH(970,Engine!$C$2:$C$1199,0)),"",HYPERLINK("#Acts!A"&amp;INDEX('Compliance Database'!$P$2:$P$1199,MATCH(970,Engine!$C$2:$C$1199,0)),"Go to Act"))</f>
        <v/>
      </c>
    </row>
    <row r="984" spans="1:16" ht="172.95" customHeight="1" x14ac:dyDescent="0.3">
      <c r="A984" s="6" t="str">
        <f>IF(ISNA(MATCH(971,Engine!$C$2:$C$1199,0)),"",INDEX('Compliance Database'!$A$2:$A$1199,MATCH(971,Engine!$C$2:$C$1199,0)))</f>
        <v/>
      </c>
      <c r="B984" s="6" t="str">
        <f>IF(ISNA(MATCH(971,Engine!$C$2:$C$1199,0)),"",INDEX('Compliance Database'!$B$2:$B$1199,MATCH(971,Engine!$C$2:$C$1199,0)))</f>
        <v/>
      </c>
      <c r="C984" s="6" t="str">
        <f>IF(ISNA(MATCH(971,Engine!$C$2:$C$1199,0)),"",INDEX('Compliance Database'!$C$2:$C$1199,MATCH(971,Engine!$C$2:$C$1199,0)))</f>
        <v/>
      </c>
      <c r="D984" s="7" t="str">
        <f>IF(ISNA(MATCH(971,Engine!$C$2:$C$1199,0)),"",INDEX('Compliance Database'!$D$2:$D$1199,MATCH(971,Engine!$C$2:$C$1199,0)))</f>
        <v/>
      </c>
      <c r="E984" s="6" t="str">
        <f>IF(ISNA(MATCH(971,Engine!$C$2:$C$1199,0)),"",INDEX('Compliance Database'!$E$2:$E$1199,MATCH(971,Engine!$C$2:$C$1199,0)))</f>
        <v/>
      </c>
      <c r="F984" s="6" t="str">
        <f>IF(ISNA(MATCH(971,Engine!$C$2:$C$1199,0)),"",INDEX('Compliance Database'!$F$2:$F$1199,MATCH(971,Engine!$C$2:$C$1199,0)))</f>
        <v/>
      </c>
      <c r="G984" s="6" t="str">
        <f>IF(ISNA(MATCH(971,Engine!$C$2:$C$1199,0)),"",INDEX('Compliance Database'!$G$2:$G$1199,MATCH(971,Engine!$C$2:$C$1199,0)))</f>
        <v/>
      </c>
      <c r="H984" s="7" t="str">
        <f>IF(ISNA(MATCH(971,Engine!$C$2:$C$1199,0)),"",INDEX('Compliance Database'!$H$2:$H$1199,MATCH(971,Engine!$C$2:$C$1199,0)))</f>
        <v/>
      </c>
      <c r="I984" s="7" t="str">
        <f>IF(ISNA(MATCH(971,Engine!$C$2:$C$1199,0)),"",INDEX('Compliance Database'!$I$2:$I$1199,MATCH(971,Engine!$C$2:$C$1199,0)))</f>
        <v/>
      </c>
      <c r="J984" s="6" t="str">
        <f>IF(ISNA(MATCH(971,Engine!$C$2:$C$1199,0)),"",INDEX('Compliance Database'!$J$2:$J$1199,MATCH(971,Engine!$C$2:$C$1199,0)))</f>
        <v/>
      </c>
      <c r="K984" s="7" t="str">
        <f>IF(ISNA(MATCH(971,Engine!$C$2:$C$1199,0)),"",INDEX('Compliance Database'!$K$2:$K$1199,MATCH(971,Engine!$C$2:$C$1199,0)))</f>
        <v/>
      </c>
      <c r="L984" s="7" t="str">
        <f>IF(ISNA(MATCH(971,Engine!$C$2:$C$1199,0)),"",INDEX('Compliance Database'!$L$2:$L$1199,MATCH(971,Engine!$C$2:$C$1199,0)))</f>
        <v/>
      </c>
      <c r="M984" s="7" t="str">
        <f>IF(ISNA(MATCH(971,Engine!$C$2:$C$1199,0)),"",INDEX('Compliance Database'!$M$2:$M$1199,MATCH(971,Engine!$C$2:$C$1199,0)))</f>
        <v/>
      </c>
      <c r="N984" s="7" t="str">
        <f>IF(ISNA(MATCH(971,Engine!$C$2:$C$1199,0)),"",INDEX('Compliance Database'!$N$2:$N$1199,MATCH(971,Engine!$C$2:$C$1199,0)))</f>
        <v/>
      </c>
      <c r="O984" s="7" t="str">
        <f>IF(ISNA(MATCH(971,Engine!$C$2:$C$1199,0)),"",INDEX('Compliance Database'!$O$2:$O$1199,MATCH(971,Engine!$C$2:$C$1199,0)))</f>
        <v/>
      </c>
      <c r="P984" s="6" t="str">
        <f>IF(ISNA(MATCH(971,Engine!$C$2:$C$1199,0)),"",HYPERLINK("#Acts!A"&amp;INDEX('Compliance Database'!$P$2:$P$1199,MATCH(971,Engine!$C$2:$C$1199,0)),"Go to Act"))</f>
        <v/>
      </c>
    </row>
    <row r="985" spans="1:16" ht="172.95" customHeight="1" x14ac:dyDescent="0.3">
      <c r="A985" s="6" t="str">
        <f>IF(ISNA(MATCH(972,Engine!$C$2:$C$1199,0)),"",INDEX('Compliance Database'!$A$2:$A$1199,MATCH(972,Engine!$C$2:$C$1199,0)))</f>
        <v/>
      </c>
      <c r="B985" s="6" t="str">
        <f>IF(ISNA(MATCH(972,Engine!$C$2:$C$1199,0)),"",INDEX('Compliance Database'!$B$2:$B$1199,MATCH(972,Engine!$C$2:$C$1199,0)))</f>
        <v/>
      </c>
      <c r="C985" s="6" t="str">
        <f>IF(ISNA(MATCH(972,Engine!$C$2:$C$1199,0)),"",INDEX('Compliance Database'!$C$2:$C$1199,MATCH(972,Engine!$C$2:$C$1199,0)))</f>
        <v/>
      </c>
      <c r="D985" s="7" t="str">
        <f>IF(ISNA(MATCH(972,Engine!$C$2:$C$1199,0)),"",INDEX('Compliance Database'!$D$2:$D$1199,MATCH(972,Engine!$C$2:$C$1199,0)))</f>
        <v/>
      </c>
      <c r="E985" s="6" t="str">
        <f>IF(ISNA(MATCH(972,Engine!$C$2:$C$1199,0)),"",INDEX('Compliance Database'!$E$2:$E$1199,MATCH(972,Engine!$C$2:$C$1199,0)))</f>
        <v/>
      </c>
      <c r="F985" s="6" t="str">
        <f>IF(ISNA(MATCH(972,Engine!$C$2:$C$1199,0)),"",INDEX('Compliance Database'!$F$2:$F$1199,MATCH(972,Engine!$C$2:$C$1199,0)))</f>
        <v/>
      </c>
      <c r="G985" s="6" t="str">
        <f>IF(ISNA(MATCH(972,Engine!$C$2:$C$1199,0)),"",INDEX('Compliance Database'!$G$2:$G$1199,MATCH(972,Engine!$C$2:$C$1199,0)))</f>
        <v/>
      </c>
      <c r="H985" s="7" t="str">
        <f>IF(ISNA(MATCH(972,Engine!$C$2:$C$1199,0)),"",INDEX('Compliance Database'!$H$2:$H$1199,MATCH(972,Engine!$C$2:$C$1199,0)))</f>
        <v/>
      </c>
      <c r="I985" s="7" t="str">
        <f>IF(ISNA(MATCH(972,Engine!$C$2:$C$1199,0)),"",INDEX('Compliance Database'!$I$2:$I$1199,MATCH(972,Engine!$C$2:$C$1199,0)))</f>
        <v/>
      </c>
      <c r="J985" s="6" t="str">
        <f>IF(ISNA(MATCH(972,Engine!$C$2:$C$1199,0)),"",INDEX('Compliance Database'!$J$2:$J$1199,MATCH(972,Engine!$C$2:$C$1199,0)))</f>
        <v/>
      </c>
      <c r="K985" s="7" t="str">
        <f>IF(ISNA(MATCH(972,Engine!$C$2:$C$1199,0)),"",INDEX('Compliance Database'!$K$2:$K$1199,MATCH(972,Engine!$C$2:$C$1199,0)))</f>
        <v/>
      </c>
      <c r="L985" s="7" t="str">
        <f>IF(ISNA(MATCH(972,Engine!$C$2:$C$1199,0)),"",INDEX('Compliance Database'!$L$2:$L$1199,MATCH(972,Engine!$C$2:$C$1199,0)))</f>
        <v/>
      </c>
      <c r="M985" s="7" t="str">
        <f>IF(ISNA(MATCH(972,Engine!$C$2:$C$1199,0)),"",INDEX('Compliance Database'!$M$2:$M$1199,MATCH(972,Engine!$C$2:$C$1199,0)))</f>
        <v/>
      </c>
      <c r="N985" s="7" t="str">
        <f>IF(ISNA(MATCH(972,Engine!$C$2:$C$1199,0)),"",INDEX('Compliance Database'!$N$2:$N$1199,MATCH(972,Engine!$C$2:$C$1199,0)))</f>
        <v/>
      </c>
      <c r="O985" s="7" t="str">
        <f>IF(ISNA(MATCH(972,Engine!$C$2:$C$1199,0)),"",INDEX('Compliance Database'!$O$2:$O$1199,MATCH(972,Engine!$C$2:$C$1199,0)))</f>
        <v/>
      </c>
      <c r="P985" s="6" t="str">
        <f>IF(ISNA(MATCH(972,Engine!$C$2:$C$1199,0)),"",HYPERLINK("#Acts!A"&amp;INDEX('Compliance Database'!$P$2:$P$1199,MATCH(972,Engine!$C$2:$C$1199,0)),"Go to Act"))</f>
        <v/>
      </c>
    </row>
    <row r="986" spans="1:16" ht="172.95" customHeight="1" x14ac:dyDescent="0.3">
      <c r="A986" s="6" t="str">
        <f>IF(ISNA(MATCH(973,Engine!$C$2:$C$1199,0)),"",INDEX('Compliance Database'!$A$2:$A$1199,MATCH(973,Engine!$C$2:$C$1199,0)))</f>
        <v/>
      </c>
      <c r="B986" s="6" t="str">
        <f>IF(ISNA(MATCH(973,Engine!$C$2:$C$1199,0)),"",INDEX('Compliance Database'!$B$2:$B$1199,MATCH(973,Engine!$C$2:$C$1199,0)))</f>
        <v/>
      </c>
      <c r="C986" s="6" t="str">
        <f>IF(ISNA(MATCH(973,Engine!$C$2:$C$1199,0)),"",INDEX('Compliance Database'!$C$2:$C$1199,MATCH(973,Engine!$C$2:$C$1199,0)))</f>
        <v/>
      </c>
      <c r="D986" s="7" t="str">
        <f>IF(ISNA(MATCH(973,Engine!$C$2:$C$1199,0)),"",INDEX('Compliance Database'!$D$2:$D$1199,MATCH(973,Engine!$C$2:$C$1199,0)))</f>
        <v/>
      </c>
      <c r="E986" s="6" t="str">
        <f>IF(ISNA(MATCH(973,Engine!$C$2:$C$1199,0)),"",INDEX('Compliance Database'!$E$2:$E$1199,MATCH(973,Engine!$C$2:$C$1199,0)))</f>
        <v/>
      </c>
      <c r="F986" s="6" t="str">
        <f>IF(ISNA(MATCH(973,Engine!$C$2:$C$1199,0)),"",INDEX('Compliance Database'!$F$2:$F$1199,MATCH(973,Engine!$C$2:$C$1199,0)))</f>
        <v/>
      </c>
      <c r="G986" s="6" t="str">
        <f>IF(ISNA(MATCH(973,Engine!$C$2:$C$1199,0)),"",INDEX('Compliance Database'!$G$2:$G$1199,MATCH(973,Engine!$C$2:$C$1199,0)))</f>
        <v/>
      </c>
      <c r="H986" s="7" t="str">
        <f>IF(ISNA(MATCH(973,Engine!$C$2:$C$1199,0)),"",INDEX('Compliance Database'!$H$2:$H$1199,MATCH(973,Engine!$C$2:$C$1199,0)))</f>
        <v/>
      </c>
      <c r="I986" s="7" t="str">
        <f>IF(ISNA(MATCH(973,Engine!$C$2:$C$1199,0)),"",INDEX('Compliance Database'!$I$2:$I$1199,MATCH(973,Engine!$C$2:$C$1199,0)))</f>
        <v/>
      </c>
      <c r="J986" s="6" t="str">
        <f>IF(ISNA(MATCH(973,Engine!$C$2:$C$1199,0)),"",INDEX('Compliance Database'!$J$2:$J$1199,MATCH(973,Engine!$C$2:$C$1199,0)))</f>
        <v/>
      </c>
      <c r="K986" s="7" t="str">
        <f>IF(ISNA(MATCH(973,Engine!$C$2:$C$1199,0)),"",INDEX('Compliance Database'!$K$2:$K$1199,MATCH(973,Engine!$C$2:$C$1199,0)))</f>
        <v/>
      </c>
      <c r="L986" s="7" t="str">
        <f>IF(ISNA(MATCH(973,Engine!$C$2:$C$1199,0)),"",INDEX('Compliance Database'!$L$2:$L$1199,MATCH(973,Engine!$C$2:$C$1199,0)))</f>
        <v/>
      </c>
      <c r="M986" s="7" t="str">
        <f>IF(ISNA(MATCH(973,Engine!$C$2:$C$1199,0)),"",INDEX('Compliance Database'!$M$2:$M$1199,MATCH(973,Engine!$C$2:$C$1199,0)))</f>
        <v/>
      </c>
      <c r="N986" s="7" t="str">
        <f>IF(ISNA(MATCH(973,Engine!$C$2:$C$1199,0)),"",INDEX('Compliance Database'!$N$2:$N$1199,MATCH(973,Engine!$C$2:$C$1199,0)))</f>
        <v/>
      </c>
      <c r="O986" s="7" t="str">
        <f>IF(ISNA(MATCH(973,Engine!$C$2:$C$1199,0)),"",INDEX('Compliance Database'!$O$2:$O$1199,MATCH(973,Engine!$C$2:$C$1199,0)))</f>
        <v/>
      </c>
      <c r="P986" s="6" t="str">
        <f>IF(ISNA(MATCH(973,Engine!$C$2:$C$1199,0)),"",HYPERLINK("#Acts!A"&amp;INDEX('Compliance Database'!$P$2:$P$1199,MATCH(973,Engine!$C$2:$C$1199,0)),"Go to Act"))</f>
        <v/>
      </c>
    </row>
    <row r="987" spans="1:16" ht="172.95" customHeight="1" x14ac:dyDescent="0.3">
      <c r="A987" s="6" t="str">
        <f>IF(ISNA(MATCH(974,Engine!$C$2:$C$1199,0)),"",INDEX('Compliance Database'!$A$2:$A$1199,MATCH(974,Engine!$C$2:$C$1199,0)))</f>
        <v/>
      </c>
      <c r="B987" s="6" t="str">
        <f>IF(ISNA(MATCH(974,Engine!$C$2:$C$1199,0)),"",INDEX('Compliance Database'!$B$2:$B$1199,MATCH(974,Engine!$C$2:$C$1199,0)))</f>
        <v/>
      </c>
      <c r="C987" s="6" t="str">
        <f>IF(ISNA(MATCH(974,Engine!$C$2:$C$1199,0)),"",INDEX('Compliance Database'!$C$2:$C$1199,MATCH(974,Engine!$C$2:$C$1199,0)))</f>
        <v/>
      </c>
      <c r="D987" s="7" t="str">
        <f>IF(ISNA(MATCH(974,Engine!$C$2:$C$1199,0)),"",INDEX('Compliance Database'!$D$2:$D$1199,MATCH(974,Engine!$C$2:$C$1199,0)))</f>
        <v/>
      </c>
      <c r="E987" s="6" t="str">
        <f>IF(ISNA(MATCH(974,Engine!$C$2:$C$1199,0)),"",INDEX('Compliance Database'!$E$2:$E$1199,MATCH(974,Engine!$C$2:$C$1199,0)))</f>
        <v/>
      </c>
      <c r="F987" s="6" t="str">
        <f>IF(ISNA(MATCH(974,Engine!$C$2:$C$1199,0)),"",INDEX('Compliance Database'!$F$2:$F$1199,MATCH(974,Engine!$C$2:$C$1199,0)))</f>
        <v/>
      </c>
      <c r="G987" s="6" t="str">
        <f>IF(ISNA(MATCH(974,Engine!$C$2:$C$1199,0)),"",INDEX('Compliance Database'!$G$2:$G$1199,MATCH(974,Engine!$C$2:$C$1199,0)))</f>
        <v/>
      </c>
      <c r="H987" s="7" t="str">
        <f>IF(ISNA(MATCH(974,Engine!$C$2:$C$1199,0)),"",INDEX('Compliance Database'!$H$2:$H$1199,MATCH(974,Engine!$C$2:$C$1199,0)))</f>
        <v/>
      </c>
      <c r="I987" s="7" t="str">
        <f>IF(ISNA(MATCH(974,Engine!$C$2:$C$1199,0)),"",INDEX('Compliance Database'!$I$2:$I$1199,MATCH(974,Engine!$C$2:$C$1199,0)))</f>
        <v/>
      </c>
      <c r="J987" s="6" t="str">
        <f>IF(ISNA(MATCH(974,Engine!$C$2:$C$1199,0)),"",INDEX('Compliance Database'!$J$2:$J$1199,MATCH(974,Engine!$C$2:$C$1199,0)))</f>
        <v/>
      </c>
      <c r="K987" s="7" t="str">
        <f>IF(ISNA(MATCH(974,Engine!$C$2:$C$1199,0)),"",INDEX('Compliance Database'!$K$2:$K$1199,MATCH(974,Engine!$C$2:$C$1199,0)))</f>
        <v/>
      </c>
      <c r="L987" s="7" t="str">
        <f>IF(ISNA(MATCH(974,Engine!$C$2:$C$1199,0)),"",INDEX('Compliance Database'!$L$2:$L$1199,MATCH(974,Engine!$C$2:$C$1199,0)))</f>
        <v/>
      </c>
      <c r="M987" s="7" t="str">
        <f>IF(ISNA(MATCH(974,Engine!$C$2:$C$1199,0)),"",INDEX('Compliance Database'!$M$2:$M$1199,MATCH(974,Engine!$C$2:$C$1199,0)))</f>
        <v/>
      </c>
      <c r="N987" s="7" t="str">
        <f>IF(ISNA(MATCH(974,Engine!$C$2:$C$1199,0)),"",INDEX('Compliance Database'!$N$2:$N$1199,MATCH(974,Engine!$C$2:$C$1199,0)))</f>
        <v/>
      </c>
      <c r="O987" s="7" t="str">
        <f>IF(ISNA(MATCH(974,Engine!$C$2:$C$1199,0)),"",INDEX('Compliance Database'!$O$2:$O$1199,MATCH(974,Engine!$C$2:$C$1199,0)))</f>
        <v/>
      </c>
      <c r="P987" s="6" t="str">
        <f>IF(ISNA(MATCH(974,Engine!$C$2:$C$1199,0)),"",HYPERLINK("#Acts!A"&amp;INDEX('Compliance Database'!$P$2:$P$1199,MATCH(974,Engine!$C$2:$C$1199,0)),"Go to Act"))</f>
        <v/>
      </c>
    </row>
    <row r="988" spans="1:16" ht="172.95" customHeight="1" x14ac:dyDescent="0.3">
      <c r="A988" s="6" t="str">
        <f>IF(ISNA(MATCH(975,Engine!$C$2:$C$1199,0)),"",INDEX('Compliance Database'!$A$2:$A$1199,MATCH(975,Engine!$C$2:$C$1199,0)))</f>
        <v/>
      </c>
      <c r="B988" s="6" t="str">
        <f>IF(ISNA(MATCH(975,Engine!$C$2:$C$1199,0)),"",INDEX('Compliance Database'!$B$2:$B$1199,MATCH(975,Engine!$C$2:$C$1199,0)))</f>
        <v/>
      </c>
      <c r="C988" s="6" t="str">
        <f>IF(ISNA(MATCH(975,Engine!$C$2:$C$1199,0)),"",INDEX('Compliance Database'!$C$2:$C$1199,MATCH(975,Engine!$C$2:$C$1199,0)))</f>
        <v/>
      </c>
      <c r="D988" s="7" t="str">
        <f>IF(ISNA(MATCH(975,Engine!$C$2:$C$1199,0)),"",INDEX('Compliance Database'!$D$2:$D$1199,MATCH(975,Engine!$C$2:$C$1199,0)))</f>
        <v/>
      </c>
      <c r="E988" s="6" t="str">
        <f>IF(ISNA(MATCH(975,Engine!$C$2:$C$1199,0)),"",INDEX('Compliance Database'!$E$2:$E$1199,MATCH(975,Engine!$C$2:$C$1199,0)))</f>
        <v/>
      </c>
      <c r="F988" s="6" t="str">
        <f>IF(ISNA(MATCH(975,Engine!$C$2:$C$1199,0)),"",INDEX('Compliance Database'!$F$2:$F$1199,MATCH(975,Engine!$C$2:$C$1199,0)))</f>
        <v/>
      </c>
      <c r="G988" s="6" t="str">
        <f>IF(ISNA(MATCH(975,Engine!$C$2:$C$1199,0)),"",INDEX('Compliance Database'!$G$2:$G$1199,MATCH(975,Engine!$C$2:$C$1199,0)))</f>
        <v/>
      </c>
      <c r="H988" s="7" t="str">
        <f>IF(ISNA(MATCH(975,Engine!$C$2:$C$1199,0)),"",INDEX('Compliance Database'!$H$2:$H$1199,MATCH(975,Engine!$C$2:$C$1199,0)))</f>
        <v/>
      </c>
      <c r="I988" s="7" t="str">
        <f>IF(ISNA(MATCH(975,Engine!$C$2:$C$1199,0)),"",INDEX('Compliance Database'!$I$2:$I$1199,MATCH(975,Engine!$C$2:$C$1199,0)))</f>
        <v/>
      </c>
      <c r="J988" s="6" t="str">
        <f>IF(ISNA(MATCH(975,Engine!$C$2:$C$1199,0)),"",INDEX('Compliance Database'!$J$2:$J$1199,MATCH(975,Engine!$C$2:$C$1199,0)))</f>
        <v/>
      </c>
      <c r="K988" s="7" t="str">
        <f>IF(ISNA(MATCH(975,Engine!$C$2:$C$1199,0)),"",INDEX('Compliance Database'!$K$2:$K$1199,MATCH(975,Engine!$C$2:$C$1199,0)))</f>
        <v/>
      </c>
      <c r="L988" s="7" t="str">
        <f>IF(ISNA(MATCH(975,Engine!$C$2:$C$1199,0)),"",INDEX('Compliance Database'!$L$2:$L$1199,MATCH(975,Engine!$C$2:$C$1199,0)))</f>
        <v/>
      </c>
      <c r="M988" s="7" t="str">
        <f>IF(ISNA(MATCH(975,Engine!$C$2:$C$1199,0)),"",INDEX('Compliance Database'!$M$2:$M$1199,MATCH(975,Engine!$C$2:$C$1199,0)))</f>
        <v/>
      </c>
      <c r="N988" s="7" t="str">
        <f>IF(ISNA(MATCH(975,Engine!$C$2:$C$1199,0)),"",INDEX('Compliance Database'!$N$2:$N$1199,MATCH(975,Engine!$C$2:$C$1199,0)))</f>
        <v/>
      </c>
      <c r="O988" s="7" t="str">
        <f>IF(ISNA(MATCH(975,Engine!$C$2:$C$1199,0)),"",INDEX('Compliance Database'!$O$2:$O$1199,MATCH(975,Engine!$C$2:$C$1199,0)))</f>
        <v/>
      </c>
      <c r="P988" s="6" t="str">
        <f>IF(ISNA(MATCH(975,Engine!$C$2:$C$1199,0)),"",HYPERLINK("#Acts!A"&amp;INDEX('Compliance Database'!$P$2:$P$1199,MATCH(975,Engine!$C$2:$C$1199,0)),"Go to Act"))</f>
        <v/>
      </c>
    </row>
    <row r="989" spans="1:16" ht="172.95" customHeight="1" x14ac:dyDescent="0.3">
      <c r="A989" s="6" t="str">
        <f>IF(ISNA(MATCH(976,Engine!$C$2:$C$1199,0)),"",INDEX('Compliance Database'!$A$2:$A$1199,MATCH(976,Engine!$C$2:$C$1199,0)))</f>
        <v/>
      </c>
      <c r="B989" s="6" t="str">
        <f>IF(ISNA(MATCH(976,Engine!$C$2:$C$1199,0)),"",INDEX('Compliance Database'!$B$2:$B$1199,MATCH(976,Engine!$C$2:$C$1199,0)))</f>
        <v/>
      </c>
      <c r="C989" s="6" t="str">
        <f>IF(ISNA(MATCH(976,Engine!$C$2:$C$1199,0)),"",INDEX('Compliance Database'!$C$2:$C$1199,MATCH(976,Engine!$C$2:$C$1199,0)))</f>
        <v/>
      </c>
      <c r="D989" s="7" t="str">
        <f>IF(ISNA(MATCH(976,Engine!$C$2:$C$1199,0)),"",INDEX('Compliance Database'!$D$2:$D$1199,MATCH(976,Engine!$C$2:$C$1199,0)))</f>
        <v/>
      </c>
      <c r="E989" s="6" t="str">
        <f>IF(ISNA(MATCH(976,Engine!$C$2:$C$1199,0)),"",INDEX('Compliance Database'!$E$2:$E$1199,MATCH(976,Engine!$C$2:$C$1199,0)))</f>
        <v/>
      </c>
      <c r="F989" s="6" t="str">
        <f>IF(ISNA(MATCH(976,Engine!$C$2:$C$1199,0)),"",INDEX('Compliance Database'!$F$2:$F$1199,MATCH(976,Engine!$C$2:$C$1199,0)))</f>
        <v/>
      </c>
      <c r="G989" s="6" t="str">
        <f>IF(ISNA(MATCH(976,Engine!$C$2:$C$1199,0)),"",INDEX('Compliance Database'!$G$2:$G$1199,MATCH(976,Engine!$C$2:$C$1199,0)))</f>
        <v/>
      </c>
      <c r="H989" s="7" t="str">
        <f>IF(ISNA(MATCH(976,Engine!$C$2:$C$1199,0)),"",INDEX('Compliance Database'!$H$2:$H$1199,MATCH(976,Engine!$C$2:$C$1199,0)))</f>
        <v/>
      </c>
      <c r="I989" s="7" t="str">
        <f>IF(ISNA(MATCH(976,Engine!$C$2:$C$1199,0)),"",INDEX('Compliance Database'!$I$2:$I$1199,MATCH(976,Engine!$C$2:$C$1199,0)))</f>
        <v/>
      </c>
      <c r="J989" s="6" t="str">
        <f>IF(ISNA(MATCH(976,Engine!$C$2:$C$1199,0)),"",INDEX('Compliance Database'!$J$2:$J$1199,MATCH(976,Engine!$C$2:$C$1199,0)))</f>
        <v/>
      </c>
      <c r="K989" s="7" t="str">
        <f>IF(ISNA(MATCH(976,Engine!$C$2:$C$1199,0)),"",INDEX('Compliance Database'!$K$2:$K$1199,MATCH(976,Engine!$C$2:$C$1199,0)))</f>
        <v/>
      </c>
      <c r="L989" s="7" t="str">
        <f>IF(ISNA(MATCH(976,Engine!$C$2:$C$1199,0)),"",INDEX('Compliance Database'!$L$2:$L$1199,MATCH(976,Engine!$C$2:$C$1199,0)))</f>
        <v/>
      </c>
      <c r="M989" s="7" t="str">
        <f>IF(ISNA(MATCH(976,Engine!$C$2:$C$1199,0)),"",INDEX('Compliance Database'!$M$2:$M$1199,MATCH(976,Engine!$C$2:$C$1199,0)))</f>
        <v/>
      </c>
      <c r="N989" s="7" t="str">
        <f>IF(ISNA(MATCH(976,Engine!$C$2:$C$1199,0)),"",INDEX('Compliance Database'!$N$2:$N$1199,MATCH(976,Engine!$C$2:$C$1199,0)))</f>
        <v/>
      </c>
      <c r="O989" s="7" t="str">
        <f>IF(ISNA(MATCH(976,Engine!$C$2:$C$1199,0)),"",INDEX('Compliance Database'!$O$2:$O$1199,MATCH(976,Engine!$C$2:$C$1199,0)))</f>
        <v/>
      </c>
      <c r="P989" s="6" t="str">
        <f>IF(ISNA(MATCH(976,Engine!$C$2:$C$1199,0)),"",HYPERLINK("#Acts!A"&amp;INDEX('Compliance Database'!$P$2:$P$1199,MATCH(976,Engine!$C$2:$C$1199,0)),"Go to Act"))</f>
        <v/>
      </c>
    </row>
    <row r="990" spans="1:16" ht="172.95" customHeight="1" x14ac:dyDescent="0.3">
      <c r="A990" s="6" t="str">
        <f>IF(ISNA(MATCH(977,Engine!$C$2:$C$1199,0)),"",INDEX('Compliance Database'!$A$2:$A$1199,MATCH(977,Engine!$C$2:$C$1199,0)))</f>
        <v/>
      </c>
      <c r="B990" s="6" t="str">
        <f>IF(ISNA(MATCH(977,Engine!$C$2:$C$1199,0)),"",INDEX('Compliance Database'!$B$2:$B$1199,MATCH(977,Engine!$C$2:$C$1199,0)))</f>
        <v/>
      </c>
      <c r="C990" s="6" t="str">
        <f>IF(ISNA(MATCH(977,Engine!$C$2:$C$1199,0)),"",INDEX('Compliance Database'!$C$2:$C$1199,MATCH(977,Engine!$C$2:$C$1199,0)))</f>
        <v/>
      </c>
      <c r="D990" s="7" t="str">
        <f>IF(ISNA(MATCH(977,Engine!$C$2:$C$1199,0)),"",INDEX('Compliance Database'!$D$2:$D$1199,MATCH(977,Engine!$C$2:$C$1199,0)))</f>
        <v/>
      </c>
      <c r="E990" s="6" t="str">
        <f>IF(ISNA(MATCH(977,Engine!$C$2:$C$1199,0)),"",INDEX('Compliance Database'!$E$2:$E$1199,MATCH(977,Engine!$C$2:$C$1199,0)))</f>
        <v/>
      </c>
      <c r="F990" s="6" t="str">
        <f>IF(ISNA(MATCH(977,Engine!$C$2:$C$1199,0)),"",INDEX('Compliance Database'!$F$2:$F$1199,MATCH(977,Engine!$C$2:$C$1199,0)))</f>
        <v/>
      </c>
      <c r="G990" s="6" t="str">
        <f>IF(ISNA(MATCH(977,Engine!$C$2:$C$1199,0)),"",INDEX('Compliance Database'!$G$2:$G$1199,MATCH(977,Engine!$C$2:$C$1199,0)))</f>
        <v/>
      </c>
      <c r="H990" s="7" t="str">
        <f>IF(ISNA(MATCH(977,Engine!$C$2:$C$1199,0)),"",INDEX('Compliance Database'!$H$2:$H$1199,MATCH(977,Engine!$C$2:$C$1199,0)))</f>
        <v/>
      </c>
      <c r="I990" s="7" t="str">
        <f>IF(ISNA(MATCH(977,Engine!$C$2:$C$1199,0)),"",INDEX('Compliance Database'!$I$2:$I$1199,MATCH(977,Engine!$C$2:$C$1199,0)))</f>
        <v/>
      </c>
      <c r="J990" s="6" t="str">
        <f>IF(ISNA(MATCH(977,Engine!$C$2:$C$1199,0)),"",INDEX('Compliance Database'!$J$2:$J$1199,MATCH(977,Engine!$C$2:$C$1199,0)))</f>
        <v/>
      </c>
      <c r="K990" s="7" t="str">
        <f>IF(ISNA(MATCH(977,Engine!$C$2:$C$1199,0)),"",INDEX('Compliance Database'!$K$2:$K$1199,MATCH(977,Engine!$C$2:$C$1199,0)))</f>
        <v/>
      </c>
      <c r="L990" s="7" t="str">
        <f>IF(ISNA(MATCH(977,Engine!$C$2:$C$1199,0)),"",INDEX('Compliance Database'!$L$2:$L$1199,MATCH(977,Engine!$C$2:$C$1199,0)))</f>
        <v/>
      </c>
      <c r="M990" s="7" t="str">
        <f>IF(ISNA(MATCH(977,Engine!$C$2:$C$1199,0)),"",INDEX('Compliance Database'!$M$2:$M$1199,MATCH(977,Engine!$C$2:$C$1199,0)))</f>
        <v/>
      </c>
      <c r="N990" s="7" t="str">
        <f>IF(ISNA(MATCH(977,Engine!$C$2:$C$1199,0)),"",INDEX('Compliance Database'!$N$2:$N$1199,MATCH(977,Engine!$C$2:$C$1199,0)))</f>
        <v/>
      </c>
      <c r="O990" s="7" t="str">
        <f>IF(ISNA(MATCH(977,Engine!$C$2:$C$1199,0)),"",INDEX('Compliance Database'!$O$2:$O$1199,MATCH(977,Engine!$C$2:$C$1199,0)))</f>
        <v/>
      </c>
      <c r="P990" s="6" t="str">
        <f>IF(ISNA(MATCH(977,Engine!$C$2:$C$1199,0)),"",HYPERLINK("#Acts!A"&amp;INDEX('Compliance Database'!$P$2:$P$1199,MATCH(977,Engine!$C$2:$C$1199,0)),"Go to Act"))</f>
        <v/>
      </c>
    </row>
    <row r="991" spans="1:16" ht="172.95" customHeight="1" x14ac:dyDescent="0.3">
      <c r="A991" s="6" t="str">
        <f>IF(ISNA(MATCH(978,Engine!$C$2:$C$1199,0)),"",INDEX('Compliance Database'!$A$2:$A$1199,MATCH(978,Engine!$C$2:$C$1199,0)))</f>
        <v/>
      </c>
      <c r="B991" s="6" t="str">
        <f>IF(ISNA(MATCH(978,Engine!$C$2:$C$1199,0)),"",INDEX('Compliance Database'!$B$2:$B$1199,MATCH(978,Engine!$C$2:$C$1199,0)))</f>
        <v/>
      </c>
      <c r="C991" s="6" t="str">
        <f>IF(ISNA(MATCH(978,Engine!$C$2:$C$1199,0)),"",INDEX('Compliance Database'!$C$2:$C$1199,MATCH(978,Engine!$C$2:$C$1199,0)))</f>
        <v/>
      </c>
      <c r="D991" s="7" t="str">
        <f>IF(ISNA(MATCH(978,Engine!$C$2:$C$1199,0)),"",INDEX('Compliance Database'!$D$2:$D$1199,MATCH(978,Engine!$C$2:$C$1199,0)))</f>
        <v/>
      </c>
      <c r="E991" s="6" t="str">
        <f>IF(ISNA(MATCH(978,Engine!$C$2:$C$1199,0)),"",INDEX('Compliance Database'!$E$2:$E$1199,MATCH(978,Engine!$C$2:$C$1199,0)))</f>
        <v/>
      </c>
      <c r="F991" s="6" t="str">
        <f>IF(ISNA(MATCH(978,Engine!$C$2:$C$1199,0)),"",INDEX('Compliance Database'!$F$2:$F$1199,MATCH(978,Engine!$C$2:$C$1199,0)))</f>
        <v/>
      </c>
      <c r="G991" s="6" t="str">
        <f>IF(ISNA(MATCH(978,Engine!$C$2:$C$1199,0)),"",INDEX('Compliance Database'!$G$2:$G$1199,MATCH(978,Engine!$C$2:$C$1199,0)))</f>
        <v/>
      </c>
      <c r="H991" s="7" t="str">
        <f>IF(ISNA(MATCH(978,Engine!$C$2:$C$1199,0)),"",INDEX('Compliance Database'!$H$2:$H$1199,MATCH(978,Engine!$C$2:$C$1199,0)))</f>
        <v/>
      </c>
      <c r="I991" s="7" t="str">
        <f>IF(ISNA(MATCH(978,Engine!$C$2:$C$1199,0)),"",INDEX('Compliance Database'!$I$2:$I$1199,MATCH(978,Engine!$C$2:$C$1199,0)))</f>
        <v/>
      </c>
      <c r="J991" s="6" t="str">
        <f>IF(ISNA(MATCH(978,Engine!$C$2:$C$1199,0)),"",INDEX('Compliance Database'!$J$2:$J$1199,MATCH(978,Engine!$C$2:$C$1199,0)))</f>
        <v/>
      </c>
      <c r="K991" s="7" t="str">
        <f>IF(ISNA(MATCH(978,Engine!$C$2:$C$1199,0)),"",INDEX('Compliance Database'!$K$2:$K$1199,MATCH(978,Engine!$C$2:$C$1199,0)))</f>
        <v/>
      </c>
      <c r="L991" s="7" t="str">
        <f>IF(ISNA(MATCH(978,Engine!$C$2:$C$1199,0)),"",INDEX('Compliance Database'!$L$2:$L$1199,MATCH(978,Engine!$C$2:$C$1199,0)))</f>
        <v/>
      </c>
      <c r="M991" s="7" t="str">
        <f>IF(ISNA(MATCH(978,Engine!$C$2:$C$1199,0)),"",INDEX('Compliance Database'!$M$2:$M$1199,MATCH(978,Engine!$C$2:$C$1199,0)))</f>
        <v/>
      </c>
      <c r="N991" s="7" t="str">
        <f>IF(ISNA(MATCH(978,Engine!$C$2:$C$1199,0)),"",INDEX('Compliance Database'!$N$2:$N$1199,MATCH(978,Engine!$C$2:$C$1199,0)))</f>
        <v/>
      </c>
      <c r="O991" s="7" t="str">
        <f>IF(ISNA(MATCH(978,Engine!$C$2:$C$1199,0)),"",INDEX('Compliance Database'!$O$2:$O$1199,MATCH(978,Engine!$C$2:$C$1199,0)))</f>
        <v/>
      </c>
      <c r="P991" s="6" t="str">
        <f>IF(ISNA(MATCH(978,Engine!$C$2:$C$1199,0)),"",HYPERLINK("#Acts!A"&amp;INDEX('Compliance Database'!$P$2:$P$1199,MATCH(978,Engine!$C$2:$C$1199,0)),"Go to Act"))</f>
        <v/>
      </c>
    </row>
    <row r="992" spans="1:16" ht="172.95" customHeight="1" x14ac:dyDescent="0.3">
      <c r="A992" s="6" t="str">
        <f>IF(ISNA(MATCH(979,Engine!$C$2:$C$1199,0)),"",INDEX('Compliance Database'!$A$2:$A$1199,MATCH(979,Engine!$C$2:$C$1199,0)))</f>
        <v/>
      </c>
      <c r="B992" s="6" t="str">
        <f>IF(ISNA(MATCH(979,Engine!$C$2:$C$1199,0)),"",INDEX('Compliance Database'!$B$2:$B$1199,MATCH(979,Engine!$C$2:$C$1199,0)))</f>
        <v/>
      </c>
      <c r="C992" s="6" t="str">
        <f>IF(ISNA(MATCH(979,Engine!$C$2:$C$1199,0)),"",INDEX('Compliance Database'!$C$2:$C$1199,MATCH(979,Engine!$C$2:$C$1199,0)))</f>
        <v/>
      </c>
      <c r="D992" s="7" t="str">
        <f>IF(ISNA(MATCH(979,Engine!$C$2:$C$1199,0)),"",INDEX('Compliance Database'!$D$2:$D$1199,MATCH(979,Engine!$C$2:$C$1199,0)))</f>
        <v/>
      </c>
      <c r="E992" s="6" t="str">
        <f>IF(ISNA(MATCH(979,Engine!$C$2:$C$1199,0)),"",INDEX('Compliance Database'!$E$2:$E$1199,MATCH(979,Engine!$C$2:$C$1199,0)))</f>
        <v/>
      </c>
      <c r="F992" s="6" t="str">
        <f>IF(ISNA(MATCH(979,Engine!$C$2:$C$1199,0)),"",INDEX('Compliance Database'!$F$2:$F$1199,MATCH(979,Engine!$C$2:$C$1199,0)))</f>
        <v/>
      </c>
      <c r="G992" s="6" t="str">
        <f>IF(ISNA(MATCH(979,Engine!$C$2:$C$1199,0)),"",INDEX('Compliance Database'!$G$2:$G$1199,MATCH(979,Engine!$C$2:$C$1199,0)))</f>
        <v/>
      </c>
      <c r="H992" s="7" t="str">
        <f>IF(ISNA(MATCH(979,Engine!$C$2:$C$1199,0)),"",INDEX('Compliance Database'!$H$2:$H$1199,MATCH(979,Engine!$C$2:$C$1199,0)))</f>
        <v/>
      </c>
      <c r="I992" s="7" t="str">
        <f>IF(ISNA(MATCH(979,Engine!$C$2:$C$1199,0)),"",INDEX('Compliance Database'!$I$2:$I$1199,MATCH(979,Engine!$C$2:$C$1199,0)))</f>
        <v/>
      </c>
      <c r="J992" s="6" t="str">
        <f>IF(ISNA(MATCH(979,Engine!$C$2:$C$1199,0)),"",INDEX('Compliance Database'!$J$2:$J$1199,MATCH(979,Engine!$C$2:$C$1199,0)))</f>
        <v/>
      </c>
      <c r="K992" s="7" t="str">
        <f>IF(ISNA(MATCH(979,Engine!$C$2:$C$1199,0)),"",INDEX('Compliance Database'!$K$2:$K$1199,MATCH(979,Engine!$C$2:$C$1199,0)))</f>
        <v/>
      </c>
      <c r="L992" s="7" t="str">
        <f>IF(ISNA(MATCH(979,Engine!$C$2:$C$1199,0)),"",INDEX('Compliance Database'!$L$2:$L$1199,MATCH(979,Engine!$C$2:$C$1199,0)))</f>
        <v/>
      </c>
      <c r="M992" s="7" t="str">
        <f>IF(ISNA(MATCH(979,Engine!$C$2:$C$1199,0)),"",INDEX('Compliance Database'!$M$2:$M$1199,MATCH(979,Engine!$C$2:$C$1199,0)))</f>
        <v/>
      </c>
      <c r="N992" s="7" t="str">
        <f>IF(ISNA(MATCH(979,Engine!$C$2:$C$1199,0)),"",INDEX('Compliance Database'!$N$2:$N$1199,MATCH(979,Engine!$C$2:$C$1199,0)))</f>
        <v/>
      </c>
      <c r="O992" s="7" t="str">
        <f>IF(ISNA(MATCH(979,Engine!$C$2:$C$1199,0)),"",INDEX('Compliance Database'!$O$2:$O$1199,MATCH(979,Engine!$C$2:$C$1199,0)))</f>
        <v/>
      </c>
      <c r="P992" s="6" t="str">
        <f>IF(ISNA(MATCH(979,Engine!$C$2:$C$1199,0)),"",HYPERLINK("#Acts!A"&amp;INDEX('Compliance Database'!$P$2:$P$1199,MATCH(979,Engine!$C$2:$C$1199,0)),"Go to Act"))</f>
        <v/>
      </c>
    </row>
    <row r="993" spans="1:16" ht="172.95" customHeight="1" x14ac:dyDescent="0.3">
      <c r="A993" s="6" t="str">
        <f>IF(ISNA(MATCH(980,Engine!$C$2:$C$1199,0)),"",INDEX('Compliance Database'!$A$2:$A$1199,MATCH(980,Engine!$C$2:$C$1199,0)))</f>
        <v/>
      </c>
      <c r="B993" s="6" t="str">
        <f>IF(ISNA(MATCH(980,Engine!$C$2:$C$1199,0)),"",INDEX('Compliance Database'!$B$2:$B$1199,MATCH(980,Engine!$C$2:$C$1199,0)))</f>
        <v/>
      </c>
      <c r="C993" s="6" t="str">
        <f>IF(ISNA(MATCH(980,Engine!$C$2:$C$1199,0)),"",INDEX('Compliance Database'!$C$2:$C$1199,MATCH(980,Engine!$C$2:$C$1199,0)))</f>
        <v/>
      </c>
      <c r="D993" s="7" t="str">
        <f>IF(ISNA(MATCH(980,Engine!$C$2:$C$1199,0)),"",INDEX('Compliance Database'!$D$2:$D$1199,MATCH(980,Engine!$C$2:$C$1199,0)))</f>
        <v/>
      </c>
      <c r="E993" s="6" t="str">
        <f>IF(ISNA(MATCH(980,Engine!$C$2:$C$1199,0)),"",INDEX('Compliance Database'!$E$2:$E$1199,MATCH(980,Engine!$C$2:$C$1199,0)))</f>
        <v/>
      </c>
      <c r="F993" s="6" t="str">
        <f>IF(ISNA(MATCH(980,Engine!$C$2:$C$1199,0)),"",INDEX('Compliance Database'!$F$2:$F$1199,MATCH(980,Engine!$C$2:$C$1199,0)))</f>
        <v/>
      </c>
      <c r="G993" s="6" t="str">
        <f>IF(ISNA(MATCH(980,Engine!$C$2:$C$1199,0)),"",INDEX('Compliance Database'!$G$2:$G$1199,MATCH(980,Engine!$C$2:$C$1199,0)))</f>
        <v/>
      </c>
      <c r="H993" s="7" t="str">
        <f>IF(ISNA(MATCH(980,Engine!$C$2:$C$1199,0)),"",INDEX('Compliance Database'!$H$2:$H$1199,MATCH(980,Engine!$C$2:$C$1199,0)))</f>
        <v/>
      </c>
      <c r="I993" s="7" t="str">
        <f>IF(ISNA(MATCH(980,Engine!$C$2:$C$1199,0)),"",INDEX('Compliance Database'!$I$2:$I$1199,MATCH(980,Engine!$C$2:$C$1199,0)))</f>
        <v/>
      </c>
      <c r="J993" s="6" t="str">
        <f>IF(ISNA(MATCH(980,Engine!$C$2:$C$1199,0)),"",INDEX('Compliance Database'!$J$2:$J$1199,MATCH(980,Engine!$C$2:$C$1199,0)))</f>
        <v/>
      </c>
      <c r="K993" s="7" t="str">
        <f>IF(ISNA(MATCH(980,Engine!$C$2:$C$1199,0)),"",INDEX('Compliance Database'!$K$2:$K$1199,MATCH(980,Engine!$C$2:$C$1199,0)))</f>
        <v/>
      </c>
      <c r="L993" s="7" t="str">
        <f>IF(ISNA(MATCH(980,Engine!$C$2:$C$1199,0)),"",INDEX('Compliance Database'!$L$2:$L$1199,MATCH(980,Engine!$C$2:$C$1199,0)))</f>
        <v/>
      </c>
      <c r="M993" s="7" t="str">
        <f>IF(ISNA(MATCH(980,Engine!$C$2:$C$1199,0)),"",INDEX('Compliance Database'!$M$2:$M$1199,MATCH(980,Engine!$C$2:$C$1199,0)))</f>
        <v/>
      </c>
      <c r="N993" s="7" t="str">
        <f>IF(ISNA(MATCH(980,Engine!$C$2:$C$1199,0)),"",INDEX('Compliance Database'!$N$2:$N$1199,MATCH(980,Engine!$C$2:$C$1199,0)))</f>
        <v/>
      </c>
      <c r="O993" s="7" t="str">
        <f>IF(ISNA(MATCH(980,Engine!$C$2:$C$1199,0)),"",INDEX('Compliance Database'!$O$2:$O$1199,MATCH(980,Engine!$C$2:$C$1199,0)))</f>
        <v/>
      </c>
      <c r="P993" s="6" t="str">
        <f>IF(ISNA(MATCH(980,Engine!$C$2:$C$1199,0)),"",HYPERLINK("#Acts!A"&amp;INDEX('Compliance Database'!$P$2:$P$1199,MATCH(980,Engine!$C$2:$C$1199,0)),"Go to Act"))</f>
        <v/>
      </c>
    </row>
    <row r="994" spans="1:16" ht="172.95" customHeight="1" x14ac:dyDescent="0.3">
      <c r="A994" s="6" t="str">
        <f>IF(ISNA(MATCH(981,Engine!$C$2:$C$1199,0)),"",INDEX('Compliance Database'!$A$2:$A$1199,MATCH(981,Engine!$C$2:$C$1199,0)))</f>
        <v/>
      </c>
      <c r="B994" s="6" t="str">
        <f>IF(ISNA(MATCH(981,Engine!$C$2:$C$1199,0)),"",INDEX('Compliance Database'!$B$2:$B$1199,MATCH(981,Engine!$C$2:$C$1199,0)))</f>
        <v/>
      </c>
      <c r="C994" s="6" t="str">
        <f>IF(ISNA(MATCH(981,Engine!$C$2:$C$1199,0)),"",INDEX('Compliance Database'!$C$2:$C$1199,MATCH(981,Engine!$C$2:$C$1199,0)))</f>
        <v/>
      </c>
      <c r="D994" s="7" t="str">
        <f>IF(ISNA(MATCH(981,Engine!$C$2:$C$1199,0)),"",INDEX('Compliance Database'!$D$2:$D$1199,MATCH(981,Engine!$C$2:$C$1199,0)))</f>
        <v/>
      </c>
      <c r="E994" s="6" t="str">
        <f>IF(ISNA(MATCH(981,Engine!$C$2:$C$1199,0)),"",INDEX('Compliance Database'!$E$2:$E$1199,MATCH(981,Engine!$C$2:$C$1199,0)))</f>
        <v/>
      </c>
      <c r="F994" s="6" t="str">
        <f>IF(ISNA(MATCH(981,Engine!$C$2:$C$1199,0)),"",INDEX('Compliance Database'!$F$2:$F$1199,MATCH(981,Engine!$C$2:$C$1199,0)))</f>
        <v/>
      </c>
      <c r="G994" s="6" t="str">
        <f>IF(ISNA(MATCH(981,Engine!$C$2:$C$1199,0)),"",INDEX('Compliance Database'!$G$2:$G$1199,MATCH(981,Engine!$C$2:$C$1199,0)))</f>
        <v/>
      </c>
      <c r="H994" s="7" t="str">
        <f>IF(ISNA(MATCH(981,Engine!$C$2:$C$1199,0)),"",INDEX('Compliance Database'!$H$2:$H$1199,MATCH(981,Engine!$C$2:$C$1199,0)))</f>
        <v/>
      </c>
      <c r="I994" s="7" t="str">
        <f>IF(ISNA(MATCH(981,Engine!$C$2:$C$1199,0)),"",INDEX('Compliance Database'!$I$2:$I$1199,MATCH(981,Engine!$C$2:$C$1199,0)))</f>
        <v/>
      </c>
      <c r="J994" s="6" t="str">
        <f>IF(ISNA(MATCH(981,Engine!$C$2:$C$1199,0)),"",INDEX('Compliance Database'!$J$2:$J$1199,MATCH(981,Engine!$C$2:$C$1199,0)))</f>
        <v/>
      </c>
      <c r="K994" s="7" t="str">
        <f>IF(ISNA(MATCH(981,Engine!$C$2:$C$1199,0)),"",INDEX('Compliance Database'!$K$2:$K$1199,MATCH(981,Engine!$C$2:$C$1199,0)))</f>
        <v/>
      </c>
      <c r="L994" s="7" t="str">
        <f>IF(ISNA(MATCH(981,Engine!$C$2:$C$1199,0)),"",INDEX('Compliance Database'!$L$2:$L$1199,MATCH(981,Engine!$C$2:$C$1199,0)))</f>
        <v/>
      </c>
      <c r="M994" s="7" t="str">
        <f>IF(ISNA(MATCH(981,Engine!$C$2:$C$1199,0)),"",INDEX('Compliance Database'!$M$2:$M$1199,MATCH(981,Engine!$C$2:$C$1199,0)))</f>
        <v/>
      </c>
      <c r="N994" s="7" t="str">
        <f>IF(ISNA(MATCH(981,Engine!$C$2:$C$1199,0)),"",INDEX('Compliance Database'!$N$2:$N$1199,MATCH(981,Engine!$C$2:$C$1199,0)))</f>
        <v/>
      </c>
      <c r="O994" s="7" t="str">
        <f>IF(ISNA(MATCH(981,Engine!$C$2:$C$1199,0)),"",INDEX('Compliance Database'!$O$2:$O$1199,MATCH(981,Engine!$C$2:$C$1199,0)))</f>
        <v/>
      </c>
      <c r="P994" s="6" t="str">
        <f>IF(ISNA(MATCH(981,Engine!$C$2:$C$1199,0)),"",HYPERLINK("#Acts!A"&amp;INDEX('Compliance Database'!$P$2:$P$1199,MATCH(981,Engine!$C$2:$C$1199,0)),"Go to Act"))</f>
        <v/>
      </c>
    </row>
    <row r="995" spans="1:16" ht="172.95" customHeight="1" x14ac:dyDescent="0.3">
      <c r="A995" s="6" t="str">
        <f>IF(ISNA(MATCH(982,Engine!$C$2:$C$1199,0)),"",INDEX('Compliance Database'!$A$2:$A$1199,MATCH(982,Engine!$C$2:$C$1199,0)))</f>
        <v/>
      </c>
      <c r="B995" s="6" t="str">
        <f>IF(ISNA(MATCH(982,Engine!$C$2:$C$1199,0)),"",INDEX('Compliance Database'!$B$2:$B$1199,MATCH(982,Engine!$C$2:$C$1199,0)))</f>
        <v/>
      </c>
      <c r="C995" s="6" t="str">
        <f>IF(ISNA(MATCH(982,Engine!$C$2:$C$1199,0)),"",INDEX('Compliance Database'!$C$2:$C$1199,MATCH(982,Engine!$C$2:$C$1199,0)))</f>
        <v/>
      </c>
      <c r="D995" s="7" t="str">
        <f>IF(ISNA(MATCH(982,Engine!$C$2:$C$1199,0)),"",INDEX('Compliance Database'!$D$2:$D$1199,MATCH(982,Engine!$C$2:$C$1199,0)))</f>
        <v/>
      </c>
      <c r="E995" s="6" t="str">
        <f>IF(ISNA(MATCH(982,Engine!$C$2:$C$1199,0)),"",INDEX('Compliance Database'!$E$2:$E$1199,MATCH(982,Engine!$C$2:$C$1199,0)))</f>
        <v/>
      </c>
      <c r="F995" s="6" t="str">
        <f>IF(ISNA(MATCH(982,Engine!$C$2:$C$1199,0)),"",INDEX('Compliance Database'!$F$2:$F$1199,MATCH(982,Engine!$C$2:$C$1199,0)))</f>
        <v/>
      </c>
      <c r="G995" s="6" t="str">
        <f>IF(ISNA(MATCH(982,Engine!$C$2:$C$1199,0)),"",INDEX('Compliance Database'!$G$2:$G$1199,MATCH(982,Engine!$C$2:$C$1199,0)))</f>
        <v/>
      </c>
      <c r="H995" s="7" t="str">
        <f>IF(ISNA(MATCH(982,Engine!$C$2:$C$1199,0)),"",INDEX('Compliance Database'!$H$2:$H$1199,MATCH(982,Engine!$C$2:$C$1199,0)))</f>
        <v/>
      </c>
      <c r="I995" s="7" t="str">
        <f>IF(ISNA(MATCH(982,Engine!$C$2:$C$1199,0)),"",INDEX('Compliance Database'!$I$2:$I$1199,MATCH(982,Engine!$C$2:$C$1199,0)))</f>
        <v/>
      </c>
      <c r="J995" s="6" t="str">
        <f>IF(ISNA(MATCH(982,Engine!$C$2:$C$1199,0)),"",INDEX('Compliance Database'!$J$2:$J$1199,MATCH(982,Engine!$C$2:$C$1199,0)))</f>
        <v/>
      </c>
      <c r="K995" s="7" t="str">
        <f>IF(ISNA(MATCH(982,Engine!$C$2:$C$1199,0)),"",INDEX('Compliance Database'!$K$2:$K$1199,MATCH(982,Engine!$C$2:$C$1199,0)))</f>
        <v/>
      </c>
      <c r="L995" s="7" t="str">
        <f>IF(ISNA(MATCH(982,Engine!$C$2:$C$1199,0)),"",INDEX('Compliance Database'!$L$2:$L$1199,MATCH(982,Engine!$C$2:$C$1199,0)))</f>
        <v/>
      </c>
      <c r="M995" s="7" t="str">
        <f>IF(ISNA(MATCH(982,Engine!$C$2:$C$1199,0)),"",INDEX('Compliance Database'!$M$2:$M$1199,MATCH(982,Engine!$C$2:$C$1199,0)))</f>
        <v/>
      </c>
      <c r="N995" s="7" t="str">
        <f>IF(ISNA(MATCH(982,Engine!$C$2:$C$1199,0)),"",INDEX('Compliance Database'!$N$2:$N$1199,MATCH(982,Engine!$C$2:$C$1199,0)))</f>
        <v/>
      </c>
      <c r="O995" s="7" t="str">
        <f>IF(ISNA(MATCH(982,Engine!$C$2:$C$1199,0)),"",INDEX('Compliance Database'!$O$2:$O$1199,MATCH(982,Engine!$C$2:$C$1199,0)))</f>
        <v/>
      </c>
      <c r="P995" s="6" t="str">
        <f>IF(ISNA(MATCH(982,Engine!$C$2:$C$1199,0)),"",HYPERLINK("#Acts!A"&amp;INDEX('Compliance Database'!$P$2:$P$1199,MATCH(982,Engine!$C$2:$C$1199,0)),"Go to Act"))</f>
        <v/>
      </c>
    </row>
    <row r="996" spans="1:16" ht="172.95" customHeight="1" x14ac:dyDescent="0.3">
      <c r="A996" s="6" t="str">
        <f>IF(ISNA(MATCH(983,Engine!$C$2:$C$1199,0)),"",INDEX('Compliance Database'!$A$2:$A$1199,MATCH(983,Engine!$C$2:$C$1199,0)))</f>
        <v/>
      </c>
      <c r="B996" s="6" t="str">
        <f>IF(ISNA(MATCH(983,Engine!$C$2:$C$1199,0)),"",INDEX('Compliance Database'!$B$2:$B$1199,MATCH(983,Engine!$C$2:$C$1199,0)))</f>
        <v/>
      </c>
      <c r="C996" s="6" t="str">
        <f>IF(ISNA(MATCH(983,Engine!$C$2:$C$1199,0)),"",INDEX('Compliance Database'!$C$2:$C$1199,MATCH(983,Engine!$C$2:$C$1199,0)))</f>
        <v/>
      </c>
      <c r="D996" s="7" t="str">
        <f>IF(ISNA(MATCH(983,Engine!$C$2:$C$1199,0)),"",INDEX('Compliance Database'!$D$2:$D$1199,MATCH(983,Engine!$C$2:$C$1199,0)))</f>
        <v/>
      </c>
      <c r="E996" s="6" t="str">
        <f>IF(ISNA(MATCH(983,Engine!$C$2:$C$1199,0)),"",INDEX('Compliance Database'!$E$2:$E$1199,MATCH(983,Engine!$C$2:$C$1199,0)))</f>
        <v/>
      </c>
      <c r="F996" s="6" t="str">
        <f>IF(ISNA(MATCH(983,Engine!$C$2:$C$1199,0)),"",INDEX('Compliance Database'!$F$2:$F$1199,MATCH(983,Engine!$C$2:$C$1199,0)))</f>
        <v/>
      </c>
      <c r="G996" s="6" t="str">
        <f>IF(ISNA(MATCH(983,Engine!$C$2:$C$1199,0)),"",INDEX('Compliance Database'!$G$2:$G$1199,MATCH(983,Engine!$C$2:$C$1199,0)))</f>
        <v/>
      </c>
      <c r="H996" s="7" t="str">
        <f>IF(ISNA(MATCH(983,Engine!$C$2:$C$1199,0)),"",INDEX('Compliance Database'!$H$2:$H$1199,MATCH(983,Engine!$C$2:$C$1199,0)))</f>
        <v/>
      </c>
      <c r="I996" s="7" t="str">
        <f>IF(ISNA(MATCH(983,Engine!$C$2:$C$1199,0)),"",INDEX('Compliance Database'!$I$2:$I$1199,MATCH(983,Engine!$C$2:$C$1199,0)))</f>
        <v/>
      </c>
      <c r="J996" s="6" t="str">
        <f>IF(ISNA(MATCH(983,Engine!$C$2:$C$1199,0)),"",INDEX('Compliance Database'!$J$2:$J$1199,MATCH(983,Engine!$C$2:$C$1199,0)))</f>
        <v/>
      </c>
      <c r="K996" s="7" t="str">
        <f>IF(ISNA(MATCH(983,Engine!$C$2:$C$1199,0)),"",INDEX('Compliance Database'!$K$2:$K$1199,MATCH(983,Engine!$C$2:$C$1199,0)))</f>
        <v/>
      </c>
      <c r="L996" s="7" t="str">
        <f>IF(ISNA(MATCH(983,Engine!$C$2:$C$1199,0)),"",INDEX('Compliance Database'!$L$2:$L$1199,MATCH(983,Engine!$C$2:$C$1199,0)))</f>
        <v/>
      </c>
      <c r="M996" s="7" t="str">
        <f>IF(ISNA(MATCH(983,Engine!$C$2:$C$1199,0)),"",INDEX('Compliance Database'!$M$2:$M$1199,MATCH(983,Engine!$C$2:$C$1199,0)))</f>
        <v/>
      </c>
      <c r="N996" s="7" t="str">
        <f>IF(ISNA(MATCH(983,Engine!$C$2:$C$1199,0)),"",INDEX('Compliance Database'!$N$2:$N$1199,MATCH(983,Engine!$C$2:$C$1199,0)))</f>
        <v/>
      </c>
      <c r="O996" s="7" t="str">
        <f>IF(ISNA(MATCH(983,Engine!$C$2:$C$1199,0)),"",INDEX('Compliance Database'!$O$2:$O$1199,MATCH(983,Engine!$C$2:$C$1199,0)))</f>
        <v/>
      </c>
      <c r="P996" s="6" t="str">
        <f>IF(ISNA(MATCH(983,Engine!$C$2:$C$1199,0)),"",HYPERLINK("#Acts!A"&amp;INDEX('Compliance Database'!$P$2:$P$1199,MATCH(983,Engine!$C$2:$C$1199,0)),"Go to Act"))</f>
        <v/>
      </c>
    </row>
    <row r="997" spans="1:16" ht="172.95" customHeight="1" x14ac:dyDescent="0.3">
      <c r="A997" s="6" t="str">
        <f>IF(ISNA(MATCH(984,Engine!$C$2:$C$1199,0)),"",INDEX('Compliance Database'!$A$2:$A$1199,MATCH(984,Engine!$C$2:$C$1199,0)))</f>
        <v/>
      </c>
      <c r="B997" s="6" t="str">
        <f>IF(ISNA(MATCH(984,Engine!$C$2:$C$1199,0)),"",INDEX('Compliance Database'!$B$2:$B$1199,MATCH(984,Engine!$C$2:$C$1199,0)))</f>
        <v/>
      </c>
      <c r="C997" s="6" t="str">
        <f>IF(ISNA(MATCH(984,Engine!$C$2:$C$1199,0)),"",INDEX('Compliance Database'!$C$2:$C$1199,MATCH(984,Engine!$C$2:$C$1199,0)))</f>
        <v/>
      </c>
      <c r="D997" s="7" t="str">
        <f>IF(ISNA(MATCH(984,Engine!$C$2:$C$1199,0)),"",INDEX('Compliance Database'!$D$2:$D$1199,MATCH(984,Engine!$C$2:$C$1199,0)))</f>
        <v/>
      </c>
      <c r="E997" s="6" t="str">
        <f>IF(ISNA(MATCH(984,Engine!$C$2:$C$1199,0)),"",INDEX('Compliance Database'!$E$2:$E$1199,MATCH(984,Engine!$C$2:$C$1199,0)))</f>
        <v/>
      </c>
      <c r="F997" s="6" t="str">
        <f>IF(ISNA(MATCH(984,Engine!$C$2:$C$1199,0)),"",INDEX('Compliance Database'!$F$2:$F$1199,MATCH(984,Engine!$C$2:$C$1199,0)))</f>
        <v/>
      </c>
      <c r="G997" s="6" t="str">
        <f>IF(ISNA(MATCH(984,Engine!$C$2:$C$1199,0)),"",INDEX('Compliance Database'!$G$2:$G$1199,MATCH(984,Engine!$C$2:$C$1199,0)))</f>
        <v/>
      </c>
      <c r="H997" s="7" t="str">
        <f>IF(ISNA(MATCH(984,Engine!$C$2:$C$1199,0)),"",INDEX('Compliance Database'!$H$2:$H$1199,MATCH(984,Engine!$C$2:$C$1199,0)))</f>
        <v/>
      </c>
      <c r="I997" s="7" t="str">
        <f>IF(ISNA(MATCH(984,Engine!$C$2:$C$1199,0)),"",INDEX('Compliance Database'!$I$2:$I$1199,MATCH(984,Engine!$C$2:$C$1199,0)))</f>
        <v/>
      </c>
      <c r="J997" s="6" t="str">
        <f>IF(ISNA(MATCH(984,Engine!$C$2:$C$1199,0)),"",INDEX('Compliance Database'!$J$2:$J$1199,MATCH(984,Engine!$C$2:$C$1199,0)))</f>
        <v/>
      </c>
      <c r="K997" s="7" t="str">
        <f>IF(ISNA(MATCH(984,Engine!$C$2:$C$1199,0)),"",INDEX('Compliance Database'!$K$2:$K$1199,MATCH(984,Engine!$C$2:$C$1199,0)))</f>
        <v/>
      </c>
      <c r="L997" s="7" t="str">
        <f>IF(ISNA(MATCH(984,Engine!$C$2:$C$1199,0)),"",INDEX('Compliance Database'!$L$2:$L$1199,MATCH(984,Engine!$C$2:$C$1199,0)))</f>
        <v/>
      </c>
      <c r="M997" s="7" t="str">
        <f>IF(ISNA(MATCH(984,Engine!$C$2:$C$1199,0)),"",INDEX('Compliance Database'!$M$2:$M$1199,MATCH(984,Engine!$C$2:$C$1199,0)))</f>
        <v/>
      </c>
      <c r="N997" s="7" t="str">
        <f>IF(ISNA(MATCH(984,Engine!$C$2:$C$1199,0)),"",INDEX('Compliance Database'!$N$2:$N$1199,MATCH(984,Engine!$C$2:$C$1199,0)))</f>
        <v/>
      </c>
      <c r="O997" s="7" t="str">
        <f>IF(ISNA(MATCH(984,Engine!$C$2:$C$1199,0)),"",INDEX('Compliance Database'!$O$2:$O$1199,MATCH(984,Engine!$C$2:$C$1199,0)))</f>
        <v/>
      </c>
      <c r="P997" s="6" t="str">
        <f>IF(ISNA(MATCH(984,Engine!$C$2:$C$1199,0)),"",HYPERLINK("#Acts!A"&amp;INDEX('Compliance Database'!$P$2:$P$1199,MATCH(984,Engine!$C$2:$C$1199,0)),"Go to Act"))</f>
        <v/>
      </c>
    </row>
    <row r="998" spans="1:16" ht="172.95" customHeight="1" x14ac:dyDescent="0.3">
      <c r="A998" s="6" t="str">
        <f>IF(ISNA(MATCH(985,Engine!$C$2:$C$1199,0)),"",INDEX('Compliance Database'!$A$2:$A$1199,MATCH(985,Engine!$C$2:$C$1199,0)))</f>
        <v/>
      </c>
      <c r="B998" s="6" t="str">
        <f>IF(ISNA(MATCH(985,Engine!$C$2:$C$1199,0)),"",INDEX('Compliance Database'!$B$2:$B$1199,MATCH(985,Engine!$C$2:$C$1199,0)))</f>
        <v/>
      </c>
      <c r="C998" s="6" t="str">
        <f>IF(ISNA(MATCH(985,Engine!$C$2:$C$1199,0)),"",INDEX('Compliance Database'!$C$2:$C$1199,MATCH(985,Engine!$C$2:$C$1199,0)))</f>
        <v/>
      </c>
      <c r="D998" s="7" t="str">
        <f>IF(ISNA(MATCH(985,Engine!$C$2:$C$1199,0)),"",INDEX('Compliance Database'!$D$2:$D$1199,MATCH(985,Engine!$C$2:$C$1199,0)))</f>
        <v/>
      </c>
      <c r="E998" s="6" t="str">
        <f>IF(ISNA(MATCH(985,Engine!$C$2:$C$1199,0)),"",INDEX('Compliance Database'!$E$2:$E$1199,MATCH(985,Engine!$C$2:$C$1199,0)))</f>
        <v/>
      </c>
      <c r="F998" s="6" t="str">
        <f>IF(ISNA(MATCH(985,Engine!$C$2:$C$1199,0)),"",INDEX('Compliance Database'!$F$2:$F$1199,MATCH(985,Engine!$C$2:$C$1199,0)))</f>
        <v/>
      </c>
      <c r="G998" s="6" t="str">
        <f>IF(ISNA(MATCH(985,Engine!$C$2:$C$1199,0)),"",INDEX('Compliance Database'!$G$2:$G$1199,MATCH(985,Engine!$C$2:$C$1199,0)))</f>
        <v/>
      </c>
      <c r="H998" s="7" t="str">
        <f>IF(ISNA(MATCH(985,Engine!$C$2:$C$1199,0)),"",INDEX('Compliance Database'!$H$2:$H$1199,MATCH(985,Engine!$C$2:$C$1199,0)))</f>
        <v/>
      </c>
      <c r="I998" s="7" t="str">
        <f>IF(ISNA(MATCH(985,Engine!$C$2:$C$1199,0)),"",INDEX('Compliance Database'!$I$2:$I$1199,MATCH(985,Engine!$C$2:$C$1199,0)))</f>
        <v/>
      </c>
      <c r="J998" s="6" t="str">
        <f>IF(ISNA(MATCH(985,Engine!$C$2:$C$1199,0)),"",INDEX('Compliance Database'!$J$2:$J$1199,MATCH(985,Engine!$C$2:$C$1199,0)))</f>
        <v/>
      </c>
      <c r="K998" s="7" t="str">
        <f>IF(ISNA(MATCH(985,Engine!$C$2:$C$1199,0)),"",INDEX('Compliance Database'!$K$2:$K$1199,MATCH(985,Engine!$C$2:$C$1199,0)))</f>
        <v/>
      </c>
      <c r="L998" s="7" t="str">
        <f>IF(ISNA(MATCH(985,Engine!$C$2:$C$1199,0)),"",INDEX('Compliance Database'!$L$2:$L$1199,MATCH(985,Engine!$C$2:$C$1199,0)))</f>
        <v/>
      </c>
      <c r="M998" s="7" t="str">
        <f>IF(ISNA(MATCH(985,Engine!$C$2:$C$1199,0)),"",INDEX('Compliance Database'!$M$2:$M$1199,MATCH(985,Engine!$C$2:$C$1199,0)))</f>
        <v/>
      </c>
      <c r="N998" s="7" t="str">
        <f>IF(ISNA(MATCH(985,Engine!$C$2:$C$1199,0)),"",INDEX('Compliance Database'!$N$2:$N$1199,MATCH(985,Engine!$C$2:$C$1199,0)))</f>
        <v/>
      </c>
      <c r="O998" s="7" t="str">
        <f>IF(ISNA(MATCH(985,Engine!$C$2:$C$1199,0)),"",INDEX('Compliance Database'!$O$2:$O$1199,MATCH(985,Engine!$C$2:$C$1199,0)))</f>
        <v/>
      </c>
      <c r="P998" s="6" t="str">
        <f>IF(ISNA(MATCH(985,Engine!$C$2:$C$1199,0)),"",HYPERLINK("#Acts!A"&amp;INDEX('Compliance Database'!$P$2:$P$1199,MATCH(985,Engine!$C$2:$C$1199,0)),"Go to Act"))</f>
        <v/>
      </c>
    </row>
    <row r="999" spans="1:16" ht="172.95" customHeight="1" x14ac:dyDescent="0.3">
      <c r="A999" s="6" t="str">
        <f>IF(ISNA(MATCH(986,Engine!$C$2:$C$1199,0)),"",INDEX('Compliance Database'!$A$2:$A$1199,MATCH(986,Engine!$C$2:$C$1199,0)))</f>
        <v/>
      </c>
      <c r="B999" s="6" t="str">
        <f>IF(ISNA(MATCH(986,Engine!$C$2:$C$1199,0)),"",INDEX('Compliance Database'!$B$2:$B$1199,MATCH(986,Engine!$C$2:$C$1199,0)))</f>
        <v/>
      </c>
      <c r="C999" s="6" t="str">
        <f>IF(ISNA(MATCH(986,Engine!$C$2:$C$1199,0)),"",INDEX('Compliance Database'!$C$2:$C$1199,MATCH(986,Engine!$C$2:$C$1199,0)))</f>
        <v/>
      </c>
      <c r="D999" s="7" t="str">
        <f>IF(ISNA(MATCH(986,Engine!$C$2:$C$1199,0)),"",INDEX('Compliance Database'!$D$2:$D$1199,MATCH(986,Engine!$C$2:$C$1199,0)))</f>
        <v/>
      </c>
      <c r="E999" s="6" t="str">
        <f>IF(ISNA(MATCH(986,Engine!$C$2:$C$1199,0)),"",INDEX('Compliance Database'!$E$2:$E$1199,MATCH(986,Engine!$C$2:$C$1199,0)))</f>
        <v/>
      </c>
      <c r="F999" s="6" t="str">
        <f>IF(ISNA(MATCH(986,Engine!$C$2:$C$1199,0)),"",INDEX('Compliance Database'!$F$2:$F$1199,MATCH(986,Engine!$C$2:$C$1199,0)))</f>
        <v/>
      </c>
      <c r="G999" s="6" t="str">
        <f>IF(ISNA(MATCH(986,Engine!$C$2:$C$1199,0)),"",INDEX('Compliance Database'!$G$2:$G$1199,MATCH(986,Engine!$C$2:$C$1199,0)))</f>
        <v/>
      </c>
      <c r="H999" s="7" t="str">
        <f>IF(ISNA(MATCH(986,Engine!$C$2:$C$1199,0)),"",INDEX('Compliance Database'!$H$2:$H$1199,MATCH(986,Engine!$C$2:$C$1199,0)))</f>
        <v/>
      </c>
      <c r="I999" s="7" t="str">
        <f>IF(ISNA(MATCH(986,Engine!$C$2:$C$1199,0)),"",INDEX('Compliance Database'!$I$2:$I$1199,MATCH(986,Engine!$C$2:$C$1199,0)))</f>
        <v/>
      </c>
      <c r="J999" s="6" t="str">
        <f>IF(ISNA(MATCH(986,Engine!$C$2:$C$1199,0)),"",INDEX('Compliance Database'!$J$2:$J$1199,MATCH(986,Engine!$C$2:$C$1199,0)))</f>
        <v/>
      </c>
      <c r="K999" s="7" t="str">
        <f>IF(ISNA(MATCH(986,Engine!$C$2:$C$1199,0)),"",INDEX('Compliance Database'!$K$2:$K$1199,MATCH(986,Engine!$C$2:$C$1199,0)))</f>
        <v/>
      </c>
      <c r="L999" s="7" t="str">
        <f>IF(ISNA(MATCH(986,Engine!$C$2:$C$1199,0)),"",INDEX('Compliance Database'!$L$2:$L$1199,MATCH(986,Engine!$C$2:$C$1199,0)))</f>
        <v/>
      </c>
      <c r="M999" s="7" t="str">
        <f>IF(ISNA(MATCH(986,Engine!$C$2:$C$1199,0)),"",INDEX('Compliance Database'!$M$2:$M$1199,MATCH(986,Engine!$C$2:$C$1199,0)))</f>
        <v/>
      </c>
      <c r="N999" s="7" t="str">
        <f>IF(ISNA(MATCH(986,Engine!$C$2:$C$1199,0)),"",INDEX('Compliance Database'!$N$2:$N$1199,MATCH(986,Engine!$C$2:$C$1199,0)))</f>
        <v/>
      </c>
      <c r="O999" s="7" t="str">
        <f>IF(ISNA(MATCH(986,Engine!$C$2:$C$1199,0)),"",INDEX('Compliance Database'!$O$2:$O$1199,MATCH(986,Engine!$C$2:$C$1199,0)))</f>
        <v/>
      </c>
      <c r="P999" s="6" t="str">
        <f>IF(ISNA(MATCH(986,Engine!$C$2:$C$1199,0)),"",HYPERLINK("#Acts!A"&amp;INDEX('Compliance Database'!$P$2:$P$1199,MATCH(986,Engine!$C$2:$C$1199,0)),"Go to Act"))</f>
        <v/>
      </c>
    </row>
    <row r="1000" spans="1:16" ht="172.95" customHeight="1" x14ac:dyDescent="0.3">
      <c r="A1000" s="6" t="str">
        <f>IF(ISNA(MATCH(987,Engine!$C$2:$C$1199,0)),"",INDEX('Compliance Database'!$A$2:$A$1199,MATCH(987,Engine!$C$2:$C$1199,0)))</f>
        <v/>
      </c>
      <c r="B1000" s="6" t="str">
        <f>IF(ISNA(MATCH(987,Engine!$C$2:$C$1199,0)),"",INDEX('Compliance Database'!$B$2:$B$1199,MATCH(987,Engine!$C$2:$C$1199,0)))</f>
        <v/>
      </c>
      <c r="C1000" s="6" t="str">
        <f>IF(ISNA(MATCH(987,Engine!$C$2:$C$1199,0)),"",INDEX('Compliance Database'!$C$2:$C$1199,MATCH(987,Engine!$C$2:$C$1199,0)))</f>
        <v/>
      </c>
      <c r="D1000" s="7" t="str">
        <f>IF(ISNA(MATCH(987,Engine!$C$2:$C$1199,0)),"",INDEX('Compliance Database'!$D$2:$D$1199,MATCH(987,Engine!$C$2:$C$1199,0)))</f>
        <v/>
      </c>
      <c r="E1000" s="6" t="str">
        <f>IF(ISNA(MATCH(987,Engine!$C$2:$C$1199,0)),"",INDEX('Compliance Database'!$E$2:$E$1199,MATCH(987,Engine!$C$2:$C$1199,0)))</f>
        <v/>
      </c>
      <c r="F1000" s="6" t="str">
        <f>IF(ISNA(MATCH(987,Engine!$C$2:$C$1199,0)),"",INDEX('Compliance Database'!$F$2:$F$1199,MATCH(987,Engine!$C$2:$C$1199,0)))</f>
        <v/>
      </c>
      <c r="G1000" s="6" t="str">
        <f>IF(ISNA(MATCH(987,Engine!$C$2:$C$1199,0)),"",INDEX('Compliance Database'!$G$2:$G$1199,MATCH(987,Engine!$C$2:$C$1199,0)))</f>
        <v/>
      </c>
      <c r="H1000" s="7" t="str">
        <f>IF(ISNA(MATCH(987,Engine!$C$2:$C$1199,0)),"",INDEX('Compliance Database'!$H$2:$H$1199,MATCH(987,Engine!$C$2:$C$1199,0)))</f>
        <v/>
      </c>
      <c r="I1000" s="7" t="str">
        <f>IF(ISNA(MATCH(987,Engine!$C$2:$C$1199,0)),"",INDEX('Compliance Database'!$I$2:$I$1199,MATCH(987,Engine!$C$2:$C$1199,0)))</f>
        <v/>
      </c>
      <c r="J1000" s="6" t="str">
        <f>IF(ISNA(MATCH(987,Engine!$C$2:$C$1199,0)),"",INDEX('Compliance Database'!$J$2:$J$1199,MATCH(987,Engine!$C$2:$C$1199,0)))</f>
        <v/>
      </c>
      <c r="K1000" s="7" t="str">
        <f>IF(ISNA(MATCH(987,Engine!$C$2:$C$1199,0)),"",INDEX('Compliance Database'!$K$2:$K$1199,MATCH(987,Engine!$C$2:$C$1199,0)))</f>
        <v/>
      </c>
      <c r="L1000" s="7" t="str">
        <f>IF(ISNA(MATCH(987,Engine!$C$2:$C$1199,0)),"",INDEX('Compliance Database'!$L$2:$L$1199,MATCH(987,Engine!$C$2:$C$1199,0)))</f>
        <v/>
      </c>
      <c r="M1000" s="7" t="str">
        <f>IF(ISNA(MATCH(987,Engine!$C$2:$C$1199,0)),"",INDEX('Compliance Database'!$M$2:$M$1199,MATCH(987,Engine!$C$2:$C$1199,0)))</f>
        <v/>
      </c>
      <c r="N1000" s="7" t="str">
        <f>IF(ISNA(MATCH(987,Engine!$C$2:$C$1199,0)),"",INDEX('Compliance Database'!$N$2:$N$1199,MATCH(987,Engine!$C$2:$C$1199,0)))</f>
        <v/>
      </c>
      <c r="O1000" s="7" t="str">
        <f>IF(ISNA(MATCH(987,Engine!$C$2:$C$1199,0)),"",INDEX('Compliance Database'!$O$2:$O$1199,MATCH(987,Engine!$C$2:$C$1199,0)))</f>
        <v/>
      </c>
      <c r="P1000" s="6" t="str">
        <f>IF(ISNA(MATCH(987,Engine!$C$2:$C$1199,0)),"",HYPERLINK("#Acts!A"&amp;INDEX('Compliance Database'!$P$2:$P$1199,MATCH(987,Engine!$C$2:$C$1199,0)),"Go to Act"))</f>
        <v/>
      </c>
    </row>
    <row r="1001" spans="1:16" ht="172.95" customHeight="1" x14ac:dyDescent="0.3">
      <c r="A1001" s="6" t="str">
        <f>IF(ISNA(MATCH(988,Engine!$C$2:$C$1199,0)),"",INDEX('Compliance Database'!$A$2:$A$1199,MATCH(988,Engine!$C$2:$C$1199,0)))</f>
        <v/>
      </c>
      <c r="B1001" s="6" t="str">
        <f>IF(ISNA(MATCH(988,Engine!$C$2:$C$1199,0)),"",INDEX('Compliance Database'!$B$2:$B$1199,MATCH(988,Engine!$C$2:$C$1199,0)))</f>
        <v/>
      </c>
      <c r="C1001" s="6" t="str">
        <f>IF(ISNA(MATCH(988,Engine!$C$2:$C$1199,0)),"",INDEX('Compliance Database'!$C$2:$C$1199,MATCH(988,Engine!$C$2:$C$1199,0)))</f>
        <v/>
      </c>
      <c r="D1001" s="7" t="str">
        <f>IF(ISNA(MATCH(988,Engine!$C$2:$C$1199,0)),"",INDEX('Compliance Database'!$D$2:$D$1199,MATCH(988,Engine!$C$2:$C$1199,0)))</f>
        <v/>
      </c>
      <c r="E1001" s="6" t="str">
        <f>IF(ISNA(MATCH(988,Engine!$C$2:$C$1199,0)),"",INDEX('Compliance Database'!$E$2:$E$1199,MATCH(988,Engine!$C$2:$C$1199,0)))</f>
        <v/>
      </c>
      <c r="F1001" s="6" t="str">
        <f>IF(ISNA(MATCH(988,Engine!$C$2:$C$1199,0)),"",INDEX('Compliance Database'!$F$2:$F$1199,MATCH(988,Engine!$C$2:$C$1199,0)))</f>
        <v/>
      </c>
      <c r="G1001" s="6" t="str">
        <f>IF(ISNA(MATCH(988,Engine!$C$2:$C$1199,0)),"",INDEX('Compliance Database'!$G$2:$G$1199,MATCH(988,Engine!$C$2:$C$1199,0)))</f>
        <v/>
      </c>
      <c r="H1001" s="7" t="str">
        <f>IF(ISNA(MATCH(988,Engine!$C$2:$C$1199,0)),"",INDEX('Compliance Database'!$H$2:$H$1199,MATCH(988,Engine!$C$2:$C$1199,0)))</f>
        <v/>
      </c>
      <c r="I1001" s="7" t="str">
        <f>IF(ISNA(MATCH(988,Engine!$C$2:$C$1199,0)),"",INDEX('Compliance Database'!$I$2:$I$1199,MATCH(988,Engine!$C$2:$C$1199,0)))</f>
        <v/>
      </c>
      <c r="J1001" s="6" t="str">
        <f>IF(ISNA(MATCH(988,Engine!$C$2:$C$1199,0)),"",INDEX('Compliance Database'!$J$2:$J$1199,MATCH(988,Engine!$C$2:$C$1199,0)))</f>
        <v/>
      </c>
      <c r="K1001" s="7" t="str">
        <f>IF(ISNA(MATCH(988,Engine!$C$2:$C$1199,0)),"",INDEX('Compliance Database'!$K$2:$K$1199,MATCH(988,Engine!$C$2:$C$1199,0)))</f>
        <v/>
      </c>
      <c r="L1001" s="7" t="str">
        <f>IF(ISNA(MATCH(988,Engine!$C$2:$C$1199,0)),"",INDEX('Compliance Database'!$L$2:$L$1199,MATCH(988,Engine!$C$2:$C$1199,0)))</f>
        <v/>
      </c>
      <c r="M1001" s="7" t="str">
        <f>IF(ISNA(MATCH(988,Engine!$C$2:$C$1199,0)),"",INDEX('Compliance Database'!$M$2:$M$1199,MATCH(988,Engine!$C$2:$C$1199,0)))</f>
        <v/>
      </c>
      <c r="N1001" s="7" t="str">
        <f>IF(ISNA(MATCH(988,Engine!$C$2:$C$1199,0)),"",INDEX('Compliance Database'!$N$2:$N$1199,MATCH(988,Engine!$C$2:$C$1199,0)))</f>
        <v/>
      </c>
      <c r="O1001" s="7" t="str">
        <f>IF(ISNA(MATCH(988,Engine!$C$2:$C$1199,0)),"",INDEX('Compliance Database'!$O$2:$O$1199,MATCH(988,Engine!$C$2:$C$1199,0)))</f>
        <v/>
      </c>
      <c r="P1001" s="6" t="str">
        <f>IF(ISNA(MATCH(988,Engine!$C$2:$C$1199,0)),"",HYPERLINK("#Acts!A"&amp;INDEX('Compliance Database'!$P$2:$P$1199,MATCH(988,Engine!$C$2:$C$1199,0)),"Go to Act"))</f>
        <v/>
      </c>
    </row>
    <row r="1002" spans="1:16" ht="172.95" customHeight="1" x14ac:dyDescent="0.3">
      <c r="A1002" s="6" t="str">
        <f>IF(ISNA(MATCH(989,Engine!$C$2:$C$1199,0)),"",INDEX('Compliance Database'!$A$2:$A$1199,MATCH(989,Engine!$C$2:$C$1199,0)))</f>
        <v/>
      </c>
      <c r="B1002" s="6" t="str">
        <f>IF(ISNA(MATCH(989,Engine!$C$2:$C$1199,0)),"",INDEX('Compliance Database'!$B$2:$B$1199,MATCH(989,Engine!$C$2:$C$1199,0)))</f>
        <v/>
      </c>
      <c r="C1002" s="6" t="str">
        <f>IF(ISNA(MATCH(989,Engine!$C$2:$C$1199,0)),"",INDEX('Compliance Database'!$C$2:$C$1199,MATCH(989,Engine!$C$2:$C$1199,0)))</f>
        <v/>
      </c>
      <c r="D1002" s="7" t="str">
        <f>IF(ISNA(MATCH(989,Engine!$C$2:$C$1199,0)),"",INDEX('Compliance Database'!$D$2:$D$1199,MATCH(989,Engine!$C$2:$C$1199,0)))</f>
        <v/>
      </c>
      <c r="E1002" s="6" t="str">
        <f>IF(ISNA(MATCH(989,Engine!$C$2:$C$1199,0)),"",INDEX('Compliance Database'!$E$2:$E$1199,MATCH(989,Engine!$C$2:$C$1199,0)))</f>
        <v/>
      </c>
      <c r="F1002" s="6" t="str">
        <f>IF(ISNA(MATCH(989,Engine!$C$2:$C$1199,0)),"",INDEX('Compliance Database'!$F$2:$F$1199,MATCH(989,Engine!$C$2:$C$1199,0)))</f>
        <v/>
      </c>
      <c r="G1002" s="6" t="str">
        <f>IF(ISNA(MATCH(989,Engine!$C$2:$C$1199,0)),"",INDEX('Compliance Database'!$G$2:$G$1199,MATCH(989,Engine!$C$2:$C$1199,0)))</f>
        <v/>
      </c>
      <c r="H1002" s="7" t="str">
        <f>IF(ISNA(MATCH(989,Engine!$C$2:$C$1199,0)),"",INDEX('Compliance Database'!$H$2:$H$1199,MATCH(989,Engine!$C$2:$C$1199,0)))</f>
        <v/>
      </c>
      <c r="I1002" s="7" t="str">
        <f>IF(ISNA(MATCH(989,Engine!$C$2:$C$1199,0)),"",INDEX('Compliance Database'!$I$2:$I$1199,MATCH(989,Engine!$C$2:$C$1199,0)))</f>
        <v/>
      </c>
      <c r="J1002" s="6" t="str">
        <f>IF(ISNA(MATCH(989,Engine!$C$2:$C$1199,0)),"",INDEX('Compliance Database'!$J$2:$J$1199,MATCH(989,Engine!$C$2:$C$1199,0)))</f>
        <v/>
      </c>
      <c r="K1002" s="7" t="str">
        <f>IF(ISNA(MATCH(989,Engine!$C$2:$C$1199,0)),"",INDEX('Compliance Database'!$K$2:$K$1199,MATCH(989,Engine!$C$2:$C$1199,0)))</f>
        <v/>
      </c>
      <c r="L1002" s="7" t="str">
        <f>IF(ISNA(MATCH(989,Engine!$C$2:$C$1199,0)),"",INDEX('Compliance Database'!$L$2:$L$1199,MATCH(989,Engine!$C$2:$C$1199,0)))</f>
        <v/>
      </c>
      <c r="M1002" s="7" t="str">
        <f>IF(ISNA(MATCH(989,Engine!$C$2:$C$1199,0)),"",INDEX('Compliance Database'!$M$2:$M$1199,MATCH(989,Engine!$C$2:$C$1199,0)))</f>
        <v/>
      </c>
      <c r="N1002" s="7" t="str">
        <f>IF(ISNA(MATCH(989,Engine!$C$2:$C$1199,0)),"",INDEX('Compliance Database'!$N$2:$N$1199,MATCH(989,Engine!$C$2:$C$1199,0)))</f>
        <v/>
      </c>
      <c r="O1002" s="7" t="str">
        <f>IF(ISNA(MATCH(989,Engine!$C$2:$C$1199,0)),"",INDEX('Compliance Database'!$O$2:$O$1199,MATCH(989,Engine!$C$2:$C$1199,0)))</f>
        <v/>
      </c>
      <c r="P1002" s="6" t="str">
        <f>IF(ISNA(MATCH(989,Engine!$C$2:$C$1199,0)),"",HYPERLINK("#Acts!A"&amp;INDEX('Compliance Database'!$P$2:$P$1199,MATCH(989,Engine!$C$2:$C$1199,0)),"Go to Act"))</f>
        <v/>
      </c>
    </row>
    <row r="1003" spans="1:16" ht="172.95" customHeight="1" x14ac:dyDescent="0.3">
      <c r="A1003" s="6" t="str">
        <f>IF(ISNA(MATCH(990,Engine!$C$2:$C$1199,0)),"",INDEX('Compliance Database'!$A$2:$A$1199,MATCH(990,Engine!$C$2:$C$1199,0)))</f>
        <v/>
      </c>
      <c r="B1003" s="6" t="str">
        <f>IF(ISNA(MATCH(990,Engine!$C$2:$C$1199,0)),"",INDEX('Compliance Database'!$B$2:$B$1199,MATCH(990,Engine!$C$2:$C$1199,0)))</f>
        <v/>
      </c>
      <c r="C1003" s="6" t="str">
        <f>IF(ISNA(MATCH(990,Engine!$C$2:$C$1199,0)),"",INDEX('Compliance Database'!$C$2:$C$1199,MATCH(990,Engine!$C$2:$C$1199,0)))</f>
        <v/>
      </c>
      <c r="D1003" s="7" t="str">
        <f>IF(ISNA(MATCH(990,Engine!$C$2:$C$1199,0)),"",INDEX('Compliance Database'!$D$2:$D$1199,MATCH(990,Engine!$C$2:$C$1199,0)))</f>
        <v/>
      </c>
      <c r="E1003" s="6" t="str">
        <f>IF(ISNA(MATCH(990,Engine!$C$2:$C$1199,0)),"",INDEX('Compliance Database'!$E$2:$E$1199,MATCH(990,Engine!$C$2:$C$1199,0)))</f>
        <v/>
      </c>
      <c r="F1003" s="6" t="str">
        <f>IF(ISNA(MATCH(990,Engine!$C$2:$C$1199,0)),"",INDEX('Compliance Database'!$F$2:$F$1199,MATCH(990,Engine!$C$2:$C$1199,0)))</f>
        <v/>
      </c>
      <c r="G1003" s="6" t="str">
        <f>IF(ISNA(MATCH(990,Engine!$C$2:$C$1199,0)),"",INDEX('Compliance Database'!$G$2:$G$1199,MATCH(990,Engine!$C$2:$C$1199,0)))</f>
        <v/>
      </c>
      <c r="H1003" s="7" t="str">
        <f>IF(ISNA(MATCH(990,Engine!$C$2:$C$1199,0)),"",INDEX('Compliance Database'!$H$2:$H$1199,MATCH(990,Engine!$C$2:$C$1199,0)))</f>
        <v/>
      </c>
      <c r="I1003" s="7" t="str">
        <f>IF(ISNA(MATCH(990,Engine!$C$2:$C$1199,0)),"",INDEX('Compliance Database'!$I$2:$I$1199,MATCH(990,Engine!$C$2:$C$1199,0)))</f>
        <v/>
      </c>
      <c r="J1003" s="6" t="str">
        <f>IF(ISNA(MATCH(990,Engine!$C$2:$C$1199,0)),"",INDEX('Compliance Database'!$J$2:$J$1199,MATCH(990,Engine!$C$2:$C$1199,0)))</f>
        <v/>
      </c>
      <c r="K1003" s="7" t="str">
        <f>IF(ISNA(MATCH(990,Engine!$C$2:$C$1199,0)),"",INDEX('Compliance Database'!$K$2:$K$1199,MATCH(990,Engine!$C$2:$C$1199,0)))</f>
        <v/>
      </c>
      <c r="L1003" s="7" t="str">
        <f>IF(ISNA(MATCH(990,Engine!$C$2:$C$1199,0)),"",INDEX('Compliance Database'!$L$2:$L$1199,MATCH(990,Engine!$C$2:$C$1199,0)))</f>
        <v/>
      </c>
      <c r="M1003" s="7" t="str">
        <f>IF(ISNA(MATCH(990,Engine!$C$2:$C$1199,0)),"",INDEX('Compliance Database'!$M$2:$M$1199,MATCH(990,Engine!$C$2:$C$1199,0)))</f>
        <v/>
      </c>
      <c r="N1003" s="7" t="str">
        <f>IF(ISNA(MATCH(990,Engine!$C$2:$C$1199,0)),"",INDEX('Compliance Database'!$N$2:$N$1199,MATCH(990,Engine!$C$2:$C$1199,0)))</f>
        <v/>
      </c>
      <c r="O1003" s="7" t="str">
        <f>IF(ISNA(MATCH(990,Engine!$C$2:$C$1199,0)),"",INDEX('Compliance Database'!$O$2:$O$1199,MATCH(990,Engine!$C$2:$C$1199,0)))</f>
        <v/>
      </c>
      <c r="P1003" s="6" t="str">
        <f>IF(ISNA(MATCH(990,Engine!$C$2:$C$1199,0)),"",HYPERLINK("#Acts!A"&amp;INDEX('Compliance Database'!$P$2:$P$1199,MATCH(990,Engine!$C$2:$C$1199,0)),"Go to Act"))</f>
        <v/>
      </c>
    </row>
    <row r="1004" spans="1:16" ht="172.95" customHeight="1" x14ac:dyDescent="0.3">
      <c r="A1004" s="6" t="str">
        <f>IF(ISNA(MATCH(991,Engine!$C$2:$C$1199,0)),"",INDEX('Compliance Database'!$A$2:$A$1199,MATCH(991,Engine!$C$2:$C$1199,0)))</f>
        <v/>
      </c>
      <c r="B1004" s="6" t="str">
        <f>IF(ISNA(MATCH(991,Engine!$C$2:$C$1199,0)),"",INDEX('Compliance Database'!$B$2:$B$1199,MATCH(991,Engine!$C$2:$C$1199,0)))</f>
        <v/>
      </c>
      <c r="C1004" s="6" t="str">
        <f>IF(ISNA(MATCH(991,Engine!$C$2:$C$1199,0)),"",INDEX('Compliance Database'!$C$2:$C$1199,MATCH(991,Engine!$C$2:$C$1199,0)))</f>
        <v/>
      </c>
      <c r="D1004" s="7" t="str">
        <f>IF(ISNA(MATCH(991,Engine!$C$2:$C$1199,0)),"",INDEX('Compliance Database'!$D$2:$D$1199,MATCH(991,Engine!$C$2:$C$1199,0)))</f>
        <v/>
      </c>
      <c r="E1004" s="6" t="str">
        <f>IF(ISNA(MATCH(991,Engine!$C$2:$C$1199,0)),"",INDEX('Compliance Database'!$E$2:$E$1199,MATCH(991,Engine!$C$2:$C$1199,0)))</f>
        <v/>
      </c>
      <c r="F1004" s="6" t="str">
        <f>IF(ISNA(MATCH(991,Engine!$C$2:$C$1199,0)),"",INDEX('Compliance Database'!$F$2:$F$1199,MATCH(991,Engine!$C$2:$C$1199,0)))</f>
        <v/>
      </c>
      <c r="G1004" s="6" t="str">
        <f>IF(ISNA(MATCH(991,Engine!$C$2:$C$1199,0)),"",INDEX('Compliance Database'!$G$2:$G$1199,MATCH(991,Engine!$C$2:$C$1199,0)))</f>
        <v/>
      </c>
      <c r="H1004" s="7" t="str">
        <f>IF(ISNA(MATCH(991,Engine!$C$2:$C$1199,0)),"",INDEX('Compliance Database'!$H$2:$H$1199,MATCH(991,Engine!$C$2:$C$1199,0)))</f>
        <v/>
      </c>
      <c r="I1004" s="7" t="str">
        <f>IF(ISNA(MATCH(991,Engine!$C$2:$C$1199,0)),"",INDEX('Compliance Database'!$I$2:$I$1199,MATCH(991,Engine!$C$2:$C$1199,0)))</f>
        <v/>
      </c>
      <c r="J1004" s="6" t="str">
        <f>IF(ISNA(MATCH(991,Engine!$C$2:$C$1199,0)),"",INDEX('Compliance Database'!$J$2:$J$1199,MATCH(991,Engine!$C$2:$C$1199,0)))</f>
        <v/>
      </c>
      <c r="K1004" s="7" t="str">
        <f>IF(ISNA(MATCH(991,Engine!$C$2:$C$1199,0)),"",INDEX('Compliance Database'!$K$2:$K$1199,MATCH(991,Engine!$C$2:$C$1199,0)))</f>
        <v/>
      </c>
      <c r="L1004" s="7" t="str">
        <f>IF(ISNA(MATCH(991,Engine!$C$2:$C$1199,0)),"",INDEX('Compliance Database'!$L$2:$L$1199,MATCH(991,Engine!$C$2:$C$1199,0)))</f>
        <v/>
      </c>
      <c r="M1004" s="7" t="str">
        <f>IF(ISNA(MATCH(991,Engine!$C$2:$C$1199,0)),"",INDEX('Compliance Database'!$M$2:$M$1199,MATCH(991,Engine!$C$2:$C$1199,0)))</f>
        <v/>
      </c>
      <c r="N1004" s="7" t="str">
        <f>IF(ISNA(MATCH(991,Engine!$C$2:$C$1199,0)),"",INDEX('Compliance Database'!$N$2:$N$1199,MATCH(991,Engine!$C$2:$C$1199,0)))</f>
        <v/>
      </c>
      <c r="O1004" s="7" t="str">
        <f>IF(ISNA(MATCH(991,Engine!$C$2:$C$1199,0)),"",INDEX('Compliance Database'!$O$2:$O$1199,MATCH(991,Engine!$C$2:$C$1199,0)))</f>
        <v/>
      </c>
      <c r="P1004" s="6" t="str">
        <f>IF(ISNA(MATCH(991,Engine!$C$2:$C$1199,0)),"",HYPERLINK("#Acts!A"&amp;INDEX('Compliance Database'!$P$2:$P$1199,MATCH(991,Engine!$C$2:$C$1199,0)),"Go to Act"))</f>
        <v/>
      </c>
    </row>
    <row r="1005" spans="1:16" ht="172.95" customHeight="1" x14ac:dyDescent="0.3">
      <c r="A1005" s="6" t="str">
        <f>IF(ISNA(MATCH(992,Engine!$C$2:$C$1199,0)),"",INDEX('Compliance Database'!$A$2:$A$1199,MATCH(992,Engine!$C$2:$C$1199,0)))</f>
        <v/>
      </c>
      <c r="B1005" s="6" t="str">
        <f>IF(ISNA(MATCH(992,Engine!$C$2:$C$1199,0)),"",INDEX('Compliance Database'!$B$2:$B$1199,MATCH(992,Engine!$C$2:$C$1199,0)))</f>
        <v/>
      </c>
      <c r="C1005" s="6" t="str">
        <f>IF(ISNA(MATCH(992,Engine!$C$2:$C$1199,0)),"",INDEX('Compliance Database'!$C$2:$C$1199,MATCH(992,Engine!$C$2:$C$1199,0)))</f>
        <v/>
      </c>
      <c r="D1005" s="7" t="str">
        <f>IF(ISNA(MATCH(992,Engine!$C$2:$C$1199,0)),"",INDEX('Compliance Database'!$D$2:$D$1199,MATCH(992,Engine!$C$2:$C$1199,0)))</f>
        <v/>
      </c>
      <c r="E1005" s="6" t="str">
        <f>IF(ISNA(MATCH(992,Engine!$C$2:$C$1199,0)),"",INDEX('Compliance Database'!$E$2:$E$1199,MATCH(992,Engine!$C$2:$C$1199,0)))</f>
        <v/>
      </c>
      <c r="F1005" s="6" t="str">
        <f>IF(ISNA(MATCH(992,Engine!$C$2:$C$1199,0)),"",INDEX('Compliance Database'!$F$2:$F$1199,MATCH(992,Engine!$C$2:$C$1199,0)))</f>
        <v/>
      </c>
      <c r="G1005" s="6" t="str">
        <f>IF(ISNA(MATCH(992,Engine!$C$2:$C$1199,0)),"",INDEX('Compliance Database'!$G$2:$G$1199,MATCH(992,Engine!$C$2:$C$1199,0)))</f>
        <v/>
      </c>
      <c r="H1005" s="7" t="str">
        <f>IF(ISNA(MATCH(992,Engine!$C$2:$C$1199,0)),"",INDEX('Compliance Database'!$H$2:$H$1199,MATCH(992,Engine!$C$2:$C$1199,0)))</f>
        <v/>
      </c>
      <c r="I1005" s="7" t="str">
        <f>IF(ISNA(MATCH(992,Engine!$C$2:$C$1199,0)),"",INDEX('Compliance Database'!$I$2:$I$1199,MATCH(992,Engine!$C$2:$C$1199,0)))</f>
        <v/>
      </c>
      <c r="J1005" s="6" t="str">
        <f>IF(ISNA(MATCH(992,Engine!$C$2:$C$1199,0)),"",INDEX('Compliance Database'!$J$2:$J$1199,MATCH(992,Engine!$C$2:$C$1199,0)))</f>
        <v/>
      </c>
      <c r="K1005" s="7" t="str">
        <f>IF(ISNA(MATCH(992,Engine!$C$2:$C$1199,0)),"",INDEX('Compliance Database'!$K$2:$K$1199,MATCH(992,Engine!$C$2:$C$1199,0)))</f>
        <v/>
      </c>
      <c r="L1005" s="7" t="str">
        <f>IF(ISNA(MATCH(992,Engine!$C$2:$C$1199,0)),"",INDEX('Compliance Database'!$L$2:$L$1199,MATCH(992,Engine!$C$2:$C$1199,0)))</f>
        <v/>
      </c>
      <c r="M1005" s="7" t="str">
        <f>IF(ISNA(MATCH(992,Engine!$C$2:$C$1199,0)),"",INDEX('Compliance Database'!$M$2:$M$1199,MATCH(992,Engine!$C$2:$C$1199,0)))</f>
        <v/>
      </c>
      <c r="N1005" s="7" t="str">
        <f>IF(ISNA(MATCH(992,Engine!$C$2:$C$1199,0)),"",INDEX('Compliance Database'!$N$2:$N$1199,MATCH(992,Engine!$C$2:$C$1199,0)))</f>
        <v/>
      </c>
      <c r="O1005" s="7" t="str">
        <f>IF(ISNA(MATCH(992,Engine!$C$2:$C$1199,0)),"",INDEX('Compliance Database'!$O$2:$O$1199,MATCH(992,Engine!$C$2:$C$1199,0)))</f>
        <v/>
      </c>
      <c r="P1005" s="6" t="str">
        <f>IF(ISNA(MATCH(992,Engine!$C$2:$C$1199,0)),"",HYPERLINK("#Acts!A"&amp;INDEX('Compliance Database'!$P$2:$P$1199,MATCH(992,Engine!$C$2:$C$1199,0)),"Go to Act"))</f>
        <v/>
      </c>
    </row>
    <row r="1006" spans="1:16" ht="172.95" customHeight="1" x14ac:dyDescent="0.3">
      <c r="A1006" s="6" t="str">
        <f>IF(ISNA(MATCH(993,Engine!$C$2:$C$1199,0)),"",INDEX('Compliance Database'!$A$2:$A$1199,MATCH(993,Engine!$C$2:$C$1199,0)))</f>
        <v/>
      </c>
      <c r="B1006" s="6" t="str">
        <f>IF(ISNA(MATCH(993,Engine!$C$2:$C$1199,0)),"",INDEX('Compliance Database'!$B$2:$B$1199,MATCH(993,Engine!$C$2:$C$1199,0)))</f>
        <v/>
      </c>
      <c r="C1006" s="6" t="str">
        <f>IF(ISNA(MATCH(993,Engine!$C$2:$C$1199,0)),"",INDEX('Compliance Database'!$C$2:$C$1199,MATCH(993,Engine!$C$2:$C$1199,0)))</f>
        <v/>
      </c>
      <c r="D1006" s="7" t="str">
        <f>IF(ISNA(MATCH(993,Engine!$C$2:$C$1199,0)),"",INDEX('Compliance Database'!$D$2:$D$1199,MATCH(993,Engine!$C$2:$C$1199,0)))</f>
        <v/>
      </c>
      <c r="E1006" s="6" t="str">
        <f>IF(ISNA(MATCH(993,Engine!$C$2:$C$1199,0)),"",INDEX('Compliance Database'!$E$2:$E$1199,MATCH(993,Engine!$C$2:$C$1199,0)))</f>
        <v/>
      </c>
      <c r="F1006" s="6" t="str">
        <f>IF(ISNA(MATCH(993,Engine!$C$2:$C$1199,0)),"",INDEX('Compliance Database'!$F$2:$F$1199,MATCH(993,Engine!$C$2:$C$1199,0)))</f>
        <v/>
      </c>
      <c r="G1006" s="6" t="str">
        <f>IF(ISNA(MATCH(993,Engine!$C$2:$C$1199,0)),"",INDEX('Compliance Database'!$G$2:$G$1199,MATCH(993,Engine!$C$2:$C$1199,0)))</f>
        <v/>
      </c>
      <c r="H1006" s="7" t="str">
        <f>IF(ISNA(MATCH(993,Engine!$C$2:$C$1199,0)),"",INDEX('Compliance Database'!$H$2:$H$1199,MATCH(993,Engine!$C$2:$C$1199,0)))</f>
        <v/>
      </c>
      <c r="I1006" s="7" t="str">
        <f>IF(ISNA(MATCH(993,Engine!$C$2:$C$1199,0)),"",INDEX('Compliance Database'!$I$2:$I$1199,MATCH(993,Engine!$C$2:$C$1199,0)))</f>
        <v/>
      </c>
      <c r="J1006" s="6" t="str">
        <f>IF(ISNA(MATCH(993,Engine!$C$2:$C$1199,0)),"",INDEX('Compliance Database'!$J$2:$J$1199,MATCH(993,Engine!$C$2:$C$1199,0)))</f>
        <v/>
      </c>
      <c r="K1006" s="7" t="str">
        <f>IF(ISNA(MATCH(993,Engine!$C$2:$C$1199,0)),"",INDEX('Compliance Database'!$K$2:$K$1199,MATCH(993,Engine!$C$2:$C$1199,0)))</f>
        <v/>
      </c>
      <c r="L1006" s="7" t="str">
        <f>IF(ISNA(MATCH(993,Engine!$C$2:$C$1199,0)),"",INDEX('Compliance Database'!$L$2:$L$1199,MATCH(993,Engine!$C$2:$C$1199,0)))</f>
        <v/>
      </c>
      <c r="M1006" s="7" t="str">
        <f>IF(ISNA(MATCH(993,Engine!$C$2:$C$1199,0)),"",INDEX('Compliance Database'!$M$2:$M$1199,MATCH(993,Engine!$C$2:$C$1199,0)))</f>
        <v/>
      </c>
      <c r="N1006" s="7" t="str">
        <f>IF(ISNA(MATCH(993,Engine!$C$2:$C$1199,0)),"",INDEX('Compliance Database'!$N$2:$N$1199,MATCH(993,Engine!$C$2:$C$1199,0)))</f>
        <v/>
      </c>
      <c r="O1006" s="7" t="str">
        <f>IF(ISNA(MATCH(993,Engine!$C$2:$C$1199,0)),"",INDEX('Compliance Database'!$O$2:$O$1199,MATCH(993,Engine!$C$2:$C$1199,0)))</f>
        <v/>
      </c>
      <c r="P1006" s="6" t="str">
        <f>IF(ISNA(MATCH(993,Engine!$C$2:$C$1199,0)),"",HYPERLINK("#Acts!A"&amp;INDEX('Compliance Database'!$P$2:$P$1199,MATCH(993,Engine!$C$2:$C$1199,0)),"Go to Act"))</f>
        <v/>
      </c>
    </row>
    <row r="1007" spans="1:16" ht="172.95" customHeight="1" x14ac:dyDescent="0.3">
      <c r="A1007" s="6" t="str">
        <f>IF(ISNA(MATCH(994,Engine!$C$2:$C$1199,0)),"",INDEX('Compliance Database'!$A$2:$A$1199,MATCH(994,Engine!$C$2:$C$1199,0)))</f>
        <v/>
      </c>
      <c r="B1007" s="6" t="str">
        <f>IF(ISNA(MATCH(994,Engine!$C$2:$C$1199,0)),"",INDEX('Compliance Database'!$B$2:$B$1199,MATCH(994,Engine!$C$2:$C$1199,0)))</f>
        <v/>
      </c>
      <c r="C1007" s="6" t="str">
        <f>IF(ISNA(MATCH(994,Engine!$C$2:$C$1199,0)),"",INDEX('Compliance Database'!$C$2:$C$1199,MATCH(994,Engine!$C$2:$C$1199,0)))</f>
        <v/>
      </c>
      <c r="D1007" s="7" t="str">
        <f>IF(ISNA(MATCH(994,Engine!$C$2:$C$1199,0)),"",INDEX('Compliance Database'!$D$2:$D$1199,MATCH(994,Engine!$C$2:$C$1199,0)))</f>
        <v/>
      </c>
      <c r="E1007" s="6" t="str">
        <f>IF(ISNA(MATCH(994,Engine!$C$2:$C$1199,0)),"",INDEX('Compliance Database'!$E$2:$E$1199,MATCH(994,Engine!$C$2:$C$1199,0)))</f>
        <v/>
      </c>
      <c r="F1007" s="6" t="str">
        <f>IF(ISNA(MATCH(994,Engine!$C$2:$C$1199,0)),"",INDEX('Compliance Database'!$F$2:$F$1199,MATCH(994,Engine!$C$2:$C$1199,0)))</f>
        <v/>
      </c>
      <c r="G1007" s="6" t="str">
        <f>IF(ISNA(MATCH(994,Engine!$C$2:$C$1199,0)),"",INDEX('Compliance Database'!$G$2:$G$1199,MATCH(994,Engine!$C$2:$C$1199,0)))</f>
        <v/>
      </c>
      <c r="H1007" s="7" t="str">
        <f>IF(ISNA(MATCH(994,Engine!$C$2:$C$1199,0)),"",INDEX('Compliance Database'!$H$2:$H$1199,MATCH(994,Engine!$C$2:$C$1199,0)))</f>
        <v/>
      </c>
      <c r="I1007" s="7" t="str">
        <f>IF(ISNA(MATCH(994,Engine!$C$2:$C$1199,0)),"",INDEX('Compliance Database'!$I$2:$I$1199,MATCH(994,Engine!$C$2:$C$1199,0)))</f>
        <v/>
      </c>
      <c r="J1007" s="6" t="str">
        <f>IF(ISNA(MATCH(994,Engine!$C$2:$C$1199,0)),"",INDEX('Compliance Database'!$J$2:$J$1199,MATCH(994,Engine!$C$2:$C$1199,0)))</f>
        <v/>
      </c>
      <c r="K1007" s="7" t="str">
        <f>IF(ISNA(MATCH(994,Engine!$C$2:$C$1199,0)),"",INDEX('Compliance Database'!$K$2:$K$1199,MATCH(994,Engine!$C$2:$C$1199,0)))</f>
        <v/>
      </c>
      <c r="L1007" s="7" t="str">
        <f>IF(ISNA(MATCH(994,Engine!$C$2:$C$1199,0)),"",INDEX('Compliance Database'!$L$2:$L$1199,MATCH(994,Engine!$C$2:$C$1199,0)))</f>
        <v/>
      </c>
      <c r="M1007" s="7" t="str">
        <f>IF(ISNA(MATCH(994,Engine!$C$2:$C$1199,0)),"",INDEX('Compliance Database'!$M$2:$M$1199,MATCH(994,Engine!$C$2:$C$1199,0)))</f>
        <v/>
      </c>
      <c r="N1007" s="7" t="str">
        <f>IF(ISNA(MATCH(994,Engine!$C$2:$C$1199,0)),"",INDEX('Compliance Database'!$N$2:$N$1199,MATCH(994,Engine!$C$2:$C$1199,0)))</f>
        <v/>
      </c>
      <c r="O1007" s="7" t="str">
        <f>IF(ISNA(MATCH(994,Engine!$C$2:$C$1199,0)),"",INDEX('Compliance Database'!$O$2:$O$1199,MATCH(994,Engine!$C$2:$C$1199,0)))</f>
        <v/>
      </c>
      <c r="P1007" s="6" t="str">
        <f>IF(ISNA(MATCH(994,Engine!$C$2:$C$1199,0)),"",HYPERLINK("#Acts!A"&amp;INDEX('Compliance Database'!$P$2:$P$1199,MATCH(994,Engine!$C$2:$C$1199,0)),"Go to Act"))</f>
        <v/>
      </c>
    </row>
    <row r="1008" spans="1:16" ht="172.95" customHeight="1" x14ac:dyDescent="0.3">
      <c r="A1008" s="6" t="str">
        <f>IF(ISNA(MATCH(995,Engine!$C$2:$C$1199,0)),"",INDEX('Compliance Database'!$A$2:$A$1199,MATCH(995,Engine!$C$2:$C$1199,0)))</f>
        <v/>
      </c>
      <c r="B1008" s="6" t="str">
        <f>IF(ISNA(MATCH(995,Engine!$C$2:$C$1199,0)),"",INDEX('Compliance Database'!$B$2:$B$1199,MATCH(995,Engine!$C$2:$C$1199,0)))</f>
        <v/>
      </c>
      <c r="C1008" s="6" t="str">
        <f>IF(ISNA(MATCH(995,Engine!$C$2:$C$1199,0)),"",INDEX('Compliance Database'!$C$2:$C$1199,MATCH(995,Engine!$C$2:$C$1199,0)))</f>
        <v/>
      </c>
      <c r="D1008" s="7" t="str">
        <f>IF(ISNA(MATCH(995,Engine!$C$2:$C$1199,0)),"",INDEX('Compliance Database'!$D$2:$D$1199,MATCH(995,Engine!$C$2:$C$1199,0)))</f>
        <v/>
      </c>
      <c r="E1008" s="6" t="str">
        <f>IF(ISNA(MATCH(995,Engine!$C$2:$C$1199,0)),"",INDEX('Compliance Database'!$E$2:$E$1199,MATCH(995,Engine!$C$2:$C$1199,0)))</f>
        <v/>
      </c>
      <c r="F1008" s="6" t="str">
        <f>IF(ISNA(MATCH(995,Engine!$C$2:$C$1199,0)),"",INDEX('Compliance Database'!$F$2:$F$1199,MATCH(995,Engine!$C$2:$C$1199,0)))</f>
        <v/>
      </c>
      <c r="G1008" s="6" t="str">
        <f>IF(ISNA(MATCH(995,Engine!$C$2:$C$1199,0)),"",INDEX('Compliance Database'!$G$2:$G$1199,MATCH(995,Engine!$C$2:$C$1199,0)))</f>
        <v/>
      </c>
      <c r="H1008" s="7" t="str">
        <f>IF(ISNA(MATCH(995,Engine!$C$2:$C$1199,0)),"",INDEX('Compliance Database'!$H$2:$H$1199,MATCH(995,Engine!$C$2:$C$1199,0)))</f>
        <v/>
      </c>
      <c r="I1008" s="7" t="str">
        <f>IF(ISNA(MATCH(995,Engine!$C$2:$C$1199,0)),"",INDEX('Compliance Database'!$I$2:$I$1199,MATCH(995,Engine!$C$2:$C$1199,0)))</f>
        <v/>
      </c>
      <c r="J1008" s="6" t="str">
        <f>IF(ISNA(MATCH(995,Engine!$C$2:$C$1199,0)),"",INDEX('Compliance Database'!$J$2:$J$1199,MATCH(995,Engine!$C$2:$C$1199,0)))</f>
        <v/>
      </c>
      <c r="K1008" s="7" t="str">
        <f>IF(ISNA(MATCH(995,Engine!$C$2:$C$1199,0)),"",INDEX('Compliance Database'!$K$2:$K$1199,MATCH(995,Engine!$C$2:$C$1199,0)))</f>
        <v/>
      </c>
      <c r="L1008" s="7" t="str">
        <f>IF(ISNA(MATCH(995,Engine!$C$2:$C$1199,0)),"",INDEX('Compliance Database'!$L$2:$L$1199,MATCH(995,Engine!$C$2:$C$1199,0)))</f>
        <v/>
      </c>
      <c r="M1008" s="7" t="str">
        <f>IF(ISNA(MATCH(995,Engine!$C$2:$C$1199,0)),"",INDEX('Compliance Database'!$M$2:$M$1199,MATCH(995,Engine!$C$2:$C$1199,0)))</f>
        <v/>
      </c>
      <c r="N1008" s="7" t="str">
        <f>IF(ISNA(MATCH(995,Engine!$C$2:$C$1199,0)),"",INDEX('Compliance Database'!$N$2:$N$1199,MATCH(995,Engine!$C$2:$C$1199,0)))</f>
        <v/>
      </c>
      <c r="O1008" s="7" t="str">
        <f>IF(ISNA(MATCH(995,Engine!$C$2:$C$1199,0)),"",INDEX('Compliance Database'!$O$2:$O$1199,MATCH(995,Engine!$C$2:$C$1199,0)))</f>
        <v/>
      </c>
      <c r="P1008" s="6" t="str">
        <f>IF(ISNA(MATCH(995,Engine!$C$2:$C$1199,0)),"",HYPERLINK("#Acts!A"&amp;INDEX('Compliance Database'!$P$2:$P$1199,MATCH(995,Engine!$C$2:$C$1199,0)),"Go to Act"))</f>
        <v/>
      </c>
    </row>
    <row r="1009" spans="1:16" ht="172.95" customHeight="1" x14ac:dyDescent="0.3">
      <c r="A1009" s="6" t="str">
        <f>IF(ISNA(MATCH(996,Engine!$C$2:$C$1199,0)),"",INDEX('Compliance Database'!$A$2:$A$1199,MATCH(996,Engine!$C$2:$C$1199,0)))</f>
        <v/>
      </c>
      <c r="B1009" s="6" t="str">
        <f>IF(ISNA(MATCH(996,Engine!$C$2:$C$1199,0)),"",INDEX('Compliance Database'!$B$2:$B$1199,MATCH(996,Engine!$C$2:$C$1199,0)))</f>
        <v/>
      </c>
      <c r="C1009" s="6" t="str">
        <f>IF(ISNA(MATCH(996,Engine!$C$2:$C$1199,0)),"",INDEX('Compliance Database'!$C$2:$C$1199,MATCH(996,Engine!$C$2:$C$1199,0)))</f>
        <v/>
      </c>
      <c r="D1009" s="7" t="str">
        <f>IF(ISNA(MATCH(996,Engine!$C$2:$C$1199,0)),"",INDEX('Compliance Database'!$D$2:$D$1199,MATCH(996,Engine!$C$2:$C$1199,0)))</f>
        <v/>
      </c>
      <c r="E1009" s="6" t="str">
        <f>IF(ISNA(MATCH(996,Engine!$C$2:$C$1199,0)),"",INDEX('Compliance Database'!$E$2:$E$1199,MATCH(996,Engine!$C$2:$C$1199,0)))</f>
        <v/>
      </c>
      <c r="F1009" s="6" t="str">
        <f>IF(ISNA(MATCH(996,Engine!$C$2:$C$1199,0)),"",INDEX('Compliance Database'!$F$2:$F$1199,MATCH(996,Engine!$C$2:$C$1199,0)))</f>
        <v/>
      </c>
      <c r="G1009" s="6" t="str">
        <f>IF(ISNA(MATCH(996,Engine!$C$2:$C$1199,0)),"",INDEX('Compliance Database'!$G$2:$G$1199,MATCH(996,Engine!$C$2:$C$1199,0)))</f>
        <v/>
      </c>
      <c r="H1009" s="7" t="str">
        <f>IF(ISNA(MATCH(996,Engine!$C$2:$C$1199,0)),"",INDEX('Compliance Database'!$H$2:$H$1199,MATCH(996,Engine!$C$2:$C$1199,0)))</f>
        <v/>
      </c>
      <c r="I1009" s="7" t="str">
        <f>IF(ISNA(MATCH(996,Engine!$C$2:$C$1199,0)),"",INDEX('Compliance Database'!$I$2:$I$1199,MATCH(996,Engine!$C$2:$C$1199,0)))</f>
        <v/>
      </c>
      <c r="J1009" s="6" t="str">
        <f>IF(ISNA(MATCH(996,Engine!$C$2:$C$1199,0)),"",INDEX('Compliance Database'!$J$2:$J$1199,MATCH(996,Engine!$C$2:$C$1199,0)))</f>
        <v/>
      </c>
      <c r="K1009" s="7" t="str">
        <f>IF(ISNA(MATCH(996,Engine!$C$2:$C$1199,0)),"",INDEX('Compliance Database'!$K$2:$K$1199,MATCH(996,Engine!$C$2:$C$1199,0)))</f>
        <v/>
      </c>
      <c r="L1009" s="7" t="str">
        <f>IF(ISNA(MATCH(996,Engine!$C$2:$C$1199,0)),"",INDEX('Compliance Database'!$L$2:$L$1199,MATCH(996,Engine!$C$2:$C$1199,0)))</f>
        <v/>
      </c>
      <c r="M1009" s="7" t="str">
        <f>IF(ISNA(MATCH(996,Engine!$C$2:$C$1199,0)),"",INDEX('Compliance Database'!$M$2:$M$1199,MATCH(996,Engine!$C$2:$C$1199,0)))</f>
        <v/>
      </c>
      <c r="N1009" s="7" t="str">
        <f>IF(ISNA(MATCH(996,Engine!$C$2:$C$1199,0)),"",INDEX('Compliance Database'!$N$2:$N$1199,MATCH(996,Engine!$C$2:$C$1199,0)))</f>
        <v/>
      </c>
      <c r="O1009" s="7" t="str">
        <f>IF(ISNA(MATCH(996,Engine!$C$2:$C$1199,0)),"",INDEX('Compliance Database'!$O$2:$O$1199,MATCH(996,Engine!$C$2:$C$1199,0)))</f>
        <v/>
      </c>
      <c r="P1009" s="6" t="str">
        <f>IF(ISNA(MATCH(996,Engine!$C$2:$C$1199,0)),"",HYPERLINK("#Acts!A"&amp;INDEX('Compliance Database'!$P$2:$P$1199,MATCH(996,Engine!$C$2:$C$1199,0)),"Go to Act"))</f>
        <v/>
      </c>
    </row>
    <row r="1010" spans="1:16" ht="172.95" customHeight="1" x14ac:dyDescent="0.3">
      <c r="A1010" s="6" t="str">
        <f>IF(ISNA(MATCH(997,Engine!$C$2:$C$1199,0)),"",INDEX('Compliance Database'!$A$2:$A$1199,MATCH(997,Engine!$C$2:$C$1199,0)))</f>
        <v/>
      </c>
      <c r="B1010" s="6" t="str">
        <f>IF(ISNA(MATCH(997,Engine!$C$2:$C$1199,0)),"",INDEX('Compliance Database'!$B$2:$B$1199,MATCH(997,Engine!$C$2:$C$1199,0)))</f>
        <v/>
      </c>
      <c r="C1010" s="6" t="str">
        <f>IF(ISNA(MATCH(997,Engine!$C$2:$C$1199,0)),"",INDEX('Compliance Database'!$C$2:$C$1199,MATCH(997,Engine!$C$2:$C$1199,0)))</f>
        <v/>
      </c>
      <c r="D1010" s="7" t="str">
        <f>IF(ISNA(MATCH(997,Engine!$C$2:$C$1199,0)),"",INDEX('Compliance Database'!$D$2:$D$1199,MATCH(997,Engine!$C$2:$C$1199,0)))</f>
        <v/>
      </c>
      <c r="E1010" s="6" t="str">
        <f>IF(ISNA(MATCH(997,Engine!$C$2:$C$1199,0)),"",INDEX('Compliance Database'!$E$2:$E$1199,MATCH(997,Engine!$C$2:$C$1199,0)))</f>
        <v/>
      </c>
      <c r="F1010" s="6" t="str">
        <f>IF(ISNA(MATCH(997,Engine!$C$2:$C$1199,0)),"",INDEX('Compliance Database'!$F$2:$F$1199,MATCH(997,Engine!$C$2:$C$1199,0)))</f>
        <v/>
      </c>
      <c r="G1010" s="6" t="str">
        <f>IF(ISNA(MATCH(997,Engine!$C$2:$C$1199,0)),"",INDEX('Compliance Database'!$G$2:$G$1199,MATCH(997,Engine!$C$2:$C$1199,0)))</f>
        <v/>
      </c>
      <c r="H1010" s="7" t="str">
        <f>IF(ISNA(MATCH(997,Engine!$C$2:$C$1199,0)),"",INDEX('Compliance Database'!$H$2:$H$1199,MATCH(997,Engine!$C$2:$C$1199,0)))</f>
        <v/>
      </c>
      <c r="I1010" s="7" t="str">
        <f>IF(ISNA(MATCH(997,Engine!$C$2:$C$1199,0)),"",INDEX('Compliance Database'!$I$2:$I$1199,MATCH(997,Engine!$C$2:$C$1199,0)))</f>
        <v/>
      </c>
      <c r="J1010" s="6" t="str">
        <f>IF(ISNA(MATCH(997,Engine!$C$2:$C$1199,0)),"",INDEX('Compliance Database'!$J$2:$J$1199,MATCH(997,Engine!$C$2:$C$1199,0)))</f>
        <v/>
      </c>
      <c r="K1010" s="7" t="str">
        <f>IF(ISNA(MATCH(997,Engine!$C$2:$C$1199,0)),"",INDEX('Compliance Database'!$K$2:$K$1199,MATCH(997,Engine!$C$2:$C$1199,0)))</f>
        <v/>
      </c>
      <c r="L1010" s="7" t="str">
        <f>IF(ISNA(MATCH(997,Engine!$C$2:$C$1199,0)),"",INDEX('Compliance Database'!$L$2:$L$1199,MATCH(997,Engine!$C$2:$C$1199,0)))</f>
        <v/>
      </c>
      <c r="M1010" s="7" t="str">
        <f>IF(ISNA(MATCH(997,Engine!$C$2:$C$1199,0)),"",INDEX('Compliance Database'!$M$2:$M$1199,MATCH(997,Engine!$C$2:$C$1199,0)))</f>
        <v/>
      </c>
      <c r="N1010" s="7" t="str">
        <f>IF(ISNA(MATCH(997,Engine!$C$2:$C$1199,0)),"",INDEX('Compliance Database'!$N$2:$N$1199,MATCH(997,Engine!$C$2:$C$1199,0)))</f>
        <v/>
      </c>
      <c r="O1010" s="7" t="str">
        <f>IF(ISNA(MATCH(997,Engine!$C$2:$C$1199,0)),"",INDEX('Compliance Database'!$O$2:$O$1199,MATCH(997,Engine!$C$2:$C$1199,0)))</f>
        <v/>
      </c>
      <c r="P1010" s="6" t="str">
        <f>IF(ISNA(MATCH(997,Engine!$C$2:$C$1199,0)),"",HYPERLINK("#Acts!A"&amp;INDEX('Compliance Database'!$P$2:$P$1199,MATCH(997,Engine!$C$2:$C$1199,0)),"Go to Act"))</f>
        <v/>
      </c>
    </row>
    <row r="1011" spans="1:16" ht="172.95" customHeight="1" x14ac:dyDescent="0.3">
      <c r="A1011" s="6" t="str">
        <f>IF(ISNA(MATCH(998,Engine!$C$2:$C$1199,0)),"",INDEX('Compliance Database'!$A$2:$A$1199,MATCH(998,Engine!$C$2:$C$1199,0)))</f>
        <v/>
      </c>
      <c r="B1011" s="6" t="str">
        <f>IF(ISNA(MATCH(998,Engine!$C$2:$C$1199,0)),"",INDEX('Compliance Database'!$B$2:$B$1199,MATCH(998,Engine!$C$2:$C$1199,0)))</f>
        <v/>
      </c>
      <c r="C1011" s="6" t="str">
        <f>IF(ISNA(MATCH(998,Engine!$C$2:$C$1199,0)),"",INDEX('Compliance Database'!$C$2:$C$1199,MATCH(998,Engine!$C$2:$C$1199,0)))</f>
        <v/>
      </c>
      <c r="D1011" s="7" t="str">
        <f>IF(ISNA(MATCH(998,Engine!$C$2:$C$1199,0)),"",INDEX('Compliance Database'!$D$2:$D$1199,MATCH(998,Engine!$C$2:$C$1199,0)))</f>
        <v/>
      </c>
      <c r="E1011" s="6" t="str">
        <f>IF(ISNA(MATCH(998,Engine!$C$2:$C$1199,0)),"",INDEX('Compliance Database'!$E$2:$E$1199,MATCH(998,Engine!$C$2:$C$1199,0)))</f>
        <v/>
      </c>
      <c r="F1011" s="6" t="str">
        <f>IF(ISNA(MATCH(998,Engine!$C$2:$C$1199,0)),"",INDEX('Compliance Database'!$F$2:$F$1199,MATCH(998,Engine!$C$2:$C$1199,0)))</f>
        <v/>
      </c>
      <c r="G1011" s="6" t="str">
        <f>IF(ISNA(MATCH(998,Engine!$C$2:$C$1199,0)),"",INDEX('Compliance Database'!$G$2:$G$1199,MATCH(998,Engine!$C$2:$C$1199,0)))</f>
        <v/>
      </c>
      <c r="H1011" s="7" t="str">
        <f>IF(ISNA(MATCH(998,Engine!$C$2:$C$1199,0)),"",INDEX('Compliance Database'!$H$2:$H$1199,MATCH(998,Engine!$C$2:$C$1199,0)))</f>
        <v/>
      </c>
      <c r="I1011" s="7" t="str">
        <f>IF(ISNA(MATCH(998,Engine!$C$2:$C$1199,0)),"",INDEX('Compliance Database'!$I$2:$I$1199,MATCH(998,Engine!$C$2:$C$1199,0)))</f>
        <v/>
      </c>
      <c r="J1011" s="6" t="str">
        <f>IF(ISNA(MATCH(998,Engine!$C$2:$C$1199,0)),"",INDEX('Compliance Database'!$J$2:$J$1199,MATCH(998,Engine!$C$2:$C$1199,0)))</f>
        <v/>
      </c>
      <c r="K1011" s="7" t="str">
        <f>IF(ISNA(MATCH(998,Engine!$C$2:$C$1199,0)),"",INDEX('Compliance Database'!$K$2:$K$1199,MATCH(998,Engine!$C$2:$C$1199,0)))</f>
        <v/>
      </c>
      <c r="L1011" s="7" t="str">
        <f>IF(ISNA(MATCH(998,Engine!$C$2:$C$1199,0)),"",INDEX('Compliance Database'!$L$2:$L$1199,MATCH(998,Engine!$C$2:$C$1199,0)))</f>
        <v/>
      </c>
      <c r="M1011" s="7" t="str">
        <f>IF(ISNA(MATCH(998,Engine!$C$2:$C$1199,0)),"",INDEX('Compliance Database'!$M$2:$M$1199,MATCH(998,Engine!$C$2:$C$1199,0)))</f>
        <v/>
      </c>
      <c r="N1011" s="7" t="str">
        <f>IF(ISNA(MATCH(998,Engine!$C$2:$C$1199,0)),"",INDEX('Compliance Database'!$N$2:$N$1199,MATCH(998,Engine!$C$2:$C$1199,0)))</f>
        <v/>
      </c>
      <c r="O1011" s="7" t="str">
        <f>IF(ISNA(MATCH(998,Engine!$C$2:$C$1199,0)),"",INDEX('Compliance Database'!$O$2:$O$1199,MATCH(998,Engine!$C$2:$C$1199,0)))</f>
        <v/>
      </c>
      <c r="P1011" s="6" t="str">
        <f>IF(ISNA(MATCH(998,Engine!$C$2:$C$1199,0)),"",HYPERLINK("#Acts!A"&amp;INDEX('Compliance Database'!$P$2:$P$1199,MATCH(998,Engine!$C$2:$C$1199,0)),"Go to Act"))</f>
        <v/>
      </c>
    </row>
    <row r="1012" spans="1:16" ht="172.95" customHeight="1" x14ac:dyDescent="0.3">
      <c r="A1012" s="6" t="str">
        <f>IF(ISNA(MATCH(999,Engine!$C$2:$C$1199,0)),"",INDEX('Compliance Database'!$A$2:$A$1199,MATCH(999,Engine!$C$2:$C$1199,0)))</f>
        <v/>
      </c>
      <c r="B1012" s="6" t="str">
        <f>IF(ISNA(MATCH(999,Engine!$C$2:$C$1199,0)),"",INDEX('Compliance Database'!$B$2:$B$1199,MATCH(999,Engine!$C$2:$C$1199,0)))</f>
        <v/>
      </c>
      <c r="C1012" s="6" t="str">
        <f>IF(ISNA(MATCH(999,Engine!$C$2:$C$1199,0)),"",INDEX('Compliance Database'!$C$2:$C$1199,MATCH(999,Engine!$C$2:$C$1199,0)))</f>
        <v/>
      </c>
      <c r="D1012" s="7" t="str">
        <f>IF(ISNA(MATCH(999,Engine!$C$2:$C$1199,0)),"",INDEX('Compliance Database'!$D$2:$D$1199,MATCH(999,Engine!$C$2:$C$1199,0)))</f>
        <v/>
      </c>
      <c r="E1012" s="6" t="str">
        <f>IF(ISNA(MATCH(999,Engine!$C$2:$C$1199,0)),"",INDEX('Compliance Database'!$E$2:$E$1199,MATCH(999,Engine!$C$2:$C$1199,0)))</f>
        <v/>
      </c>
      <c r="F1012" s="6" t="str">
        <f>IF(ISNA(MATCH(999,Engine!$C$2:$C$1199,0)),"",INDEX('Compliance Database'!$F$2:$F$1199,MATCH(999,Engine!$C$2:$C$1199,0)))</f>
        <v/>
      </c>
      <c r="G1012" s="6" t="str">
        <f>IF(ISNA(MATCH(999,Engine!$C$2:$C$1199,0)),"",INDEX('Compliance Database'!$G$2:$G$1199,MATCH(999,Engine!$C$2:$C$1199,0)))</f>
        <v/>
      </c>
      <c r="H1012" s="7" t="str">
        <f>IF(ISNA(MATCH(999,Engine!$C$2:$C$1199,0)),"",INDEX('Compliance Database'!$H$2:$H$1199,MATCH(999,Engine!$C$2:$C$1199,0)))</f>
        <v/>
      </c>
      <c r="I1012" s="7" t="str">
        <f>IF(ISNA(MATCH(999,Engine!$C$2:$C$1199,0)),"",INDEX('Compliance Database'!$I$2:$I$1199,MATCH(999,Engine!$C$2:$C$1199,0)))</f>
        <v/>
      </c>
      <c r="J1012" s="6" t="str">
        <f>IF(ISNA(MATCH(999,Engine!$C$2:$C$1199,0)),"",INDEX('Compliance Database'!$J$2:$J$1199,MATCH(999,Engine!$C$2:$C$1199,0)))</f>
        <v/>
      </c>
      <c r="K1012" s="7" t="str">
        <f>IF(ISNA(MATCH(999,Engine!$C$2:$C$1199,0)),"",INDEX('Compliance Database'!$K$2:$K$1199,MATCH(999,Engine!$C$2:$C$1199,0)))</f>
        <v/>
      </c>
      <c r="L1012" s="7" t="str">
        <f>IF(ISNA(MATCH(999,Engine!$C$2:$C$1199,0)),"",INDEX('Compliance Database'!$L$2:$L$1199,MATCH(999,Engine!$C$2:$C$1199,0)))</f>
        <v/>
      </c>
      <c r="M1012" s="7" t="str">
        <f>IF(ISNA(MATCH(999,Engine!$C$2:$C$1199,0)),"",INDEX('Compliance Database'!$M$2:$M$1199,MATCH(999,Engine!$C$2:$C$1199,0)))</f>
        <v/>
      </c>
      <c r="N1012" s="7" t="str">
        <f>IF(ISNA(MATCH(999,Engine!$C$2:$C$1199,0)),"",INDEX('Compliance Database'!$N$2:$N$1199,MATCH(999,Engine!$C$2:$C$1199,0)))</f>
        <v/>
      </c>
      <c r="O1012" s="7" t="str">
        <f>IF(ISNA(MATCH(999,Engine!$C$2:$C$1199,0)),"",INDEX('Compliance Database'!$O$2:$O$1199,MATCH(999,Engine!$C$2:$C$1199,0)))</f>
        <v/>
      </c>
      <c r="P1012" s="6" t="str">
        <f>IF(ISNA(MATCH(999,Engine!$C$2:$C$1199,0)),"",HYPERLINK("#Acts!A"&amp;INDEX('Compliance Database'!$P$2:$P$1199,MATCH(999,Engine!$C$2:$C$1199,0)),"Go to Act"))</f>
        <v/>
      </c>
    </row>
    <row r="1013" spans="1:16" ht="172.95" customHeight="1" x14ac:dyDescent="0.3">
      <c r="A1013" s="6" t="str">
        <f>IF(ISNA(MATCH(1000,Engine!$C$2:$C$1199,0)),"",INDEX('Compliance Database'!$A$2:$A$1199,MATCH(1000,Engine!$C$2:$C$1199,0)))</f>
        <v/>
      </c>
      <c r="B1013" s="6" t="str">
        <f>IF(ISNA(MATCH(1000,Engine!$C$2:$C$1199,0)),"",INDEX('Compliance Database'!$B$2:$B$1199,MATCH(1000,Engine!$C$2:$C$1199,0)))</f>
        <v/>
      </c>
      <c r="C1013" s="6" t="str">
        <f>IF(ISNA(MATCH(1000,Engine!$C$2:$C$1199,0)),"",INDEX('Compliance Database'!$C$2:$C$1199,MATCH(1000,Engine!$C$2:$C$1199,0)))</f>
        <v/>
      </c>
      <c r="D1013" s="7" t="str">
        <f>IF(ISNA(MATCH(1000,Engine!$C$2:$C$1199,0)),"",INDEX('Compliance Database'!$D$2:$D$1199,MATCH(1000,Engine!$C$2:$C$1199,0)))</f>
        <v/>
      </c>
      <c r="E1013" s="6" t="str">
        <f>IF(ISNA(MATCH(1000,Engine!$C$2:$C$1199,0)),"",INDEX('Compliance Database'!$E$2:$E$1199,MATCH(1000,Engine!$C$2:$C$1199,0)))</f>
        <v/>
      </c>
      <c r="F1013" s="6" t="str">
        <f>IF(ISNA(MATCH(1000,Engine!$C$2:$C$1199,0)),"",INDEX('Compliance Database'!$F$2:$F$1199,MATCH(1000,Engine!$C$2:$C$1199,0)))</f>
        <v/>
      </c>
      <c r="G1013" s="6" t="str">
        <f>IF(ISNA(MATCH(1000,Engine!$C$2:$C$1199,0)),"",INDEX('Compliance Database'!$G$2:$G$1199,MATCH(1000,Engine!$C$2:$C$1199,0)))</f>
        <v/>
      </c>
      <c r="H1013" s="7" t="str">
        <f>IF(ISNA(MATCH(1000,Engine!$C$2:$C$1199,0)),"",INDEX('Compliance Database'!$H$2:$H$1199,MATCH(1000,Engine!$C$2:$C$1199,0)))</f>
        <v/>
      </c>
      <c r="I1013" s="7" t="str">
        <f>IF(ISNA(MATCH(1000,Engine!$C$2:$C$1199,0)),"",INDEX('Compliance Database'!$I$2:$I$1199,MATCH(1000,Engine!$C$2:$C$1199,0)))</f>
        <v/>
      </c>
      <c r="J1013" s="6" t="str">
        <f>IF(ISNA(MATCH(1000,Engine!$C$2:$C$1199,0)),"",INDEX('Compliance Database'!$J$2:$J$1199,MATCH(1000,Engine!$C$2:$C$1199,0)))</f>
        <v/>
      </c>
      <c r="K1013" s="7" t="str">
        <f>IF(ISNA(MATCH(1000,Engine!$C$2:$C$1199,0)),"",INDEX('Compliance Database'!$K$2:$K$1199,MATCH(1000,Engine!$C$2:$C$1199,0)))</f>
        <v/>
      </c>
      <c r="L1013" s="7" t="str">
        <f>IF(ISNA(MATCH(1000,Engine!$C$2:$C$1199,0)),"",INDEX('Compliance Database'!$L$2:$L$1199,MATCH(1000,Engine!$C$2:$C$1199,0)))</f>
        <v/>
      </c>
      <c r="M1013" s="7" t="str">
        <f>IF(ISNA(MATCH(1000,Engine!$C$2:$C$1199,0)),"",INDEX('Compliance Database'!$M$2:$M$1199,MATCH(1000,Engine!$C$2:$C$1199,0)))</f>
        <v/>
      </c>
      <c r="N1013" s="7" t="str">
        <f>IF(ISNA(MATCH(1000,Engine!$C$2:$C$1199,0)),"",INDEX('Compliance Database'!$N$2:$N$1199,MATCH(1000,Engine!$C$2:$C$1199,0)))</f>
        <v/>
      </c>
      <c r="O1013" s="7" t="str">
        <f>IF(ISNA(MATCH(1000,Engine!$C$2:$C$1199,0)),"",INDEX('Compliance Database'!$O$2:$O$1199,MATCH(1000,Engine!$C$2:$C$1199,0)))</f>
        <v/>
      </c>
      <c r="P1013" s="6" t="str">
        <f>IF(ISNA(MATCH(1000,Engine!$C$2:$C$1199,0)),"",HYPERLINK("#Acts!A"&amp;INDEX('Compliance Database'!$P$2:$P$1199,MATCH(1000,Engine!$C$2:$C$1199,0)),"Go to Act"))</f>
        <v/>
      </c>
    </row>
    <row r="1014" spans="1:16" ht="172.95" customHeight="1" x14ac:dyDescent="0.3">
      <c r="A1014" s="6" t="str">
        <f>IF(ISNA(MATCH(1001,Engine!$C$2:$C$1199,0)),"",INDEX('Compliance Database'!$A$2:$A$1199,MATCH(1001,Engine!$C$2:$C$1199,0)))</f>
        <v/>
      </c>
      <c r="B1014" s="6" t="str">
        <f>IF(ISNA(MATCH(1001,Engine!$C$2:$C$1199,0)),"",INDEX('Compliance Database'!$B$2:$B$1199,MATCH(1001,Engine!$C$2:$C$1199,0)))</f>
        <v/>
      </c>
      <c r="C1014" s="6" t="str">
        <f>IF(ISNA(MATCH(1001,Engine!$C$2:$C$1199,0)),"",INDEX('Compliance Database'!$C$2:$C$1199,MATCH(1001,Engine!$C$2:$C$1199,0)))</f>
        <v/>
      </c>
      <c r="D1014" s="7" t="str">
        <f>IF(ISNA(MATCH(1001,Engine!$C$2:$C$1199,0)),"",INDEX('Compliance Database'!$D$2:$D$1199,MATCH(1001,Engine!$C$2:$C$1199,0)))</f>
        <v/>
      </c>
      <c r="E1014" s="6" t="str">
        <f>IF(ISNA(MATCH(1001,Engine!$C$2:$C$1199,0)),"",INDEX('Compliance Database'!$E$2:$E$1199,MATCH(1001,Engine!$C$2:$C$1199,0)))</f>
        <v/>
      </c>
      <c r="F1014" s="6" t="str">
        <f>IF(ISNA(MATCH(1001,Engine!$C$2:$C$1199,0)),"",INDEX('Compliance Database'!$F$2:$F$1199,MATCH(1001,Engine!$C$2:$C$1199,0)))</f>
        <v/>
      </c>
      <c r="G1014" s="6" t="str">
        <f>IF(ISNA(MATCH(1001,Engine!$C$2:$C$1199,0)),"",INDEX('Compliance Database'!$G$2:$G$1199,MATCH(1001,Engine!$C$2:$C$1199,0)))</f>
        <v/>
      </c>
      <c r="H1014" s="7" t="str">
        <f>IF(ISNA(MATCH(1001,Engine!$C$2:$C$1199,0)),"",INDEX('Compliance Database'!$H$2:$H$1199,MATCH(1001,Engine!$C$2:$C$1199,0)))</f>
        <v/>
      </c>
      <c r="I1014" s="7" t="str">
        <f>IF(ISNA(MATCH(1001,Engine!$C$2:$C$1199,0)),"",INDEX('Compliance Database'!$I$2:$I$1199,MATCH(1001,Engine!$C$2:$C$1199,0)))</f>
        <v/>
      </c>
      <c r="J1014" s="6" t="str">
        <f>IF(ISNA(MATCH(1001,Engine!$C$2:$C$1199,0)),"",INDEX('Compliance Database'!$J$2:$J$1199,MATCH(1001,Engine!$C$2:$C$1199,0)))</f>
        <v/>
      </c>
      <c r="K1014" s="7" t="str">
        <f>IF(ISNA(MATCH(1001,Engine!$C$2:$C$1199,0)),"",INDEX('Compliance Database'!$K$2:$K$1199,MATCH(1001,Engine!$C$2:$C$1199,0)))</f>
        <v/>
      </c>
      <c r="L1014" s="7" t="str">
        <f>IF(ISNA(MATCH(1001,Engine!$C$2:$C$1199,0)),"",INDEX('Compliance Database'!$L$2:$L$1199,MATCH(1001,Engine!$C$2:$C$1199,0)))</f>
        <v/>
      </c>
      <c r="M1014" s="7" t="str">
        <f>IF(ISNA(MATCH(1001,Engine!$C$2:$C$1199,0)),"",INDEX('Compliance Database'!$M$2:$M$1199,MATCH(1001,Engine!$C$2:$C$1199,0)))</f>
        <v/>
      </c>
      <c r="N1014" s="7" t="str">
        <f>IF(ISNA(MATCH(1001,Engine!$C$2:$C$1199,0)),"",INDEX('Compliance Database'!$N$2:$N$1199,MATCH(1001,Engine!$C$2:$C$1199,0)))</f>
        <v/>
      </c>
      <c r="O1014" s="7" t="str">
        <f>IF(ISNA(MATCH(1001,Engine!$C$2:$C$1199,0)),"",INDEX('Compliance Database'!$O$2:$O$1199,MATCH(1001,Engine!$C$2:$C$1199,0)))</f>
        <v/>
      </c>
      <c r="P1014" s="6" t="str">
        <f>IF(ISNA(MATCH(1001,Engine!$C$2:$C$1199,0)),"",HYPERLINK("#Acts!A"&amp;INDEX('Compliance Database'!$P$2:$P$1199,MATCH(1001,Engine!$C$2:$C$1199,0)),"Go to Act"))</f>
        <v/>
      </c>
    </row>
    <row r="1015" spans="1:16" ht="172.95" customHeight="1" x14ac:dyDescent="0.3">
      <c r="A1015" s="6" t="str">
        <f>IF(ISNA(MATCH(1002,Engine!$C$2:$C$1199,0)),"",INDEX('Compliance Database'!$A$2:$A$1199,MATCH(1002,Engine!$C$2:$C$1199,0)))</f>
        <v/>
      </c>
      <c r="B1015" s="6" t="str">
        <f>IF(ISNA(MATCH(1002,Engine!$C$2:$C$1199,0)),"",INDEX('Compliance Database'!$B$2:$B$1199,MATCH(1002,Engine!$C$2:$C$1199,0)))</f>
        <v/>
      </c>
      <c r="C1015" s="6" t="str">
        <f>IF(ISNA(MATCH(1002,Engine!$C$2:$C$1199,0)),"",INDEX('Compliance Database'!$C$2:$C$1199,MATCH(1002,Engine!$C$2:$C$1199,0)))</f>
        <v/>
      </c>
      <c r="D1015" s="7" t="str">
        <f>IF(ISNA(MATCH(1002,Engine!$C$2:$C$1199,0)),"",INDEX('Compliance Database'!$D$2:$D$1199,MATCH(1002,Engine!$C$2:$C$1199,0)))</f>
        <v/>
      </c>
      <c r="E1015" s="6" t="str">
        <f>IF(ISNA(MATCH(1002,Engine!$C$2:$C$1199,0)),"",INDEX('Compliance Database'!$E$2:$E$1199,MATCH(1002,Engine!$C$2:$C$1199,0)))</f>
        <v/>
      </c>
      <c r="F1015" s="6" t="str">
        <f>IF(ISNA(MATCH(1002,Engine!$C$2:$C$1199,0)),"",INDEX('Compliance Database'!$F$2:$F$1199,MATCH(1002,Engine!$C$2:$C$1199,0)))</f>
        <v/>
      </c>
      <c r="G1015" s="6" t="str">
        <f>IF(ISNA(MATCH(1002,Engine!$C$2:$C$1199,0)),"",INDEX('Compliance Database'!$G$2:$G$1199,MATCH(1002,Engine!$C$2:$C$1199,0)))</f>
        <v/>
      </c>
      <c r="H1015" s="7" t="str">
        <f>IF(ISNA(MATCH(1002,Engine!$C$2:$C$1199,0)),"",INDEX('Compliance Database'!$H$2:$H$1199,MATCH(1002,Engine!$C$2:$C$1199,0)))</f>
        <v/>
      </c>
      <c r="I1015" s="7" t="str">
        <f>IF(ISNA(MATCH(1002,Engine!$C$2:$C$1199,0)),"",INDEX('Compliance Database'!$I$2:$I$1199,MATCH(1002,Engine!$C$2:$C$1199,0)))</f>
        <v/>
      </c>
      <c r="J1015" s="6" t="str">
        <f>IF(ISNA(MATCH(1002,Engine!$C$2:$C$1199,0)),"",INDEX('Compliance Database'!$J$2:$J$1199,MATCH(1002,Engine!$C$2:$C$1199,0)))</f>
        <v/>
      </c>
      <c r="K1015" s="7" t="str">
        <f>IF(ISNA(MATCH(1002,Engine!$C$2:$C$1199,0)),"",INDEX('Compliance Database'!$K$2:$K$1199,MATCH(1002,Engine!$C$2:$C$1199,0)))</f>
        <v/>
      </c>
      <c r="L1015" s="7" t="str">
        <f>IF(ISNA(MATCH(1002,Engine!$C$2:$C$1199,0)),"",INDEX('Compliance Database'!$L$2:$L$1199,MATCH(1002,Engine!$C$2:$C$1199,0)))</f>
        <v/>
      </c>
      <c r="M1015" s="7" t="str">
        <f>IF(ISNA(MATCH(1002,Engine!$C$2:$C$1199,0)),"",INDEX('Compliance Database'!$M$2:$M$1199,MATCH(1002,Engine!$C$2:$C$1199,0)))</f>
        <v/>
      </c>
      <c r="N1015" s="7" t="str">
        <f>IF(ISNA(MATCH(1002,Engine!$C$2:$C$1199,0)),"",INDEX('Compliance Database'!$N$2:$N$1199,MATCH(1002,Engine!$C$2:$C$1199,0)))</f>
        <v/>
      </c>
      <c r="O1015" s="7" t="str">
        <f>IF(ISNA(MATCH(1002,Engine!$C$2:$C$1199,0)),"",INDEX('Compliance Database'!$O$2:$O$1199,MATCH(1002,Engine!$C$2:$C$1199,0)))</f>
        <v/>
      </c>
      <c r="P1015" s="6" t="str">
        <f>IF(ISNA(MATCH(1002,Engine!$C$2:$C$1199,0)),"",HYPERLINK("#Acts!A"&amp;INDEX('Compliance Database'!$P$2:$P$1199,MATCH(1002,Engine!$C$2:$C$1199,0)),"Go to Act"))</f>
        <v/>
      </c>
    </row>
    <row r="1016" spans="1:16" ht="172.95" customHeight="1" x14ac:dyDescent="0.3">
      <c r="A1016" s="6" t="str">
        <f>IF(ISNA(MATCH(1003,Engine!$C$2:$C$1199,0)),"",INDEX('Compliance Database'!$A$2:$A$1199,MATCH(1003,Engine!$C$2:$C$1199,0)))</f>
        <v/>
      </c>
      <c r="B1016" s="6" t="str">
        <f>IF(ISNA(MATCH(1003,Engine!$C$2:$C$1199,0)),"",INDEX('Compliance Database'!$B$2:$B$1199,MATCH(1003,Engine!$C$2:$C$1199,0)))</f>
        <v/>
      </c>
      <c r="C1016" s="6" t="str">
        <f>IF(ISNA(MATCH(1003,Engine!$C$2:$C$1199,0)),"",INDEX('Compliance Database'!$C$2:$C$1199,MATCH(1003,Engine!$C$2:$C$1199,0)))</f>
        <v/>
      </c>
      <c r="D1016" s="7" t="str">
        <f>IF(ISNA(MATCH(1003,Engine!$C$2:$C$1199,0)),"",INDEX('Compliance Database'!$D$2:$D$1199,MATCH(1003,Engine!$C$2:$C$1199,0)))</f>
        <v/>
      </c>
      <c r="E1016" s="6" t="str">
        <f>IF(ISNA(MATCH(1003,Engine!$C$2:$C$1199,0)),"",INDEX('Compliance Database'!$E$2:$E$1199,MATCH(1003,Engine!$C$2:$C$1199,0)))</f>
        <v/>
      </c>
      <c r="F1016" s="6" t="str">
        <f>IF(ISNA(MATCH(1003,Engine!$C$2:$C$1199,0)),"",INDEX('Compliance Database'!$F$2:$F$1199,MATCH(1003,Engine!$C$2:$C$1199,0)))</f>
        <v/>
      </c>
      <c r="G1016" s="6" t="str">
        <f>IF(ISNA(MATCH(1003,Engine!$C$2:$C$1199,0)),"",INDEX('Compliance Database'!$G$2:$G$1199,MATCH(1003,Engine!$C$2:$C$1199,0)))</f>
        <v/>
      </c>
      <c r="H1016" s="7" t="str">
        <f>IF(ISNA(MATCH(1003,Engine!$C$2:$C$1199,0)),"",INDEX('Compliance Database'!$H$2:$H$1199,MATCH(1003,Engine!$C$2:$C$1199,0)))</f>
        <v/>
      </c>
      <c r="I1016" s="7" t="str">
        <f>IF(ISNA(MATCH(1003,Engine!$C$2:$C$1199,0)),"",INDEX('Compliance Database'!$I$2:$I$1199,MATCH(1003,Engine!$C$2:$C$1199,0)))</f>
        <v/>
      </c>
      <c r="J1016" s="6" t="str">
        <f>IF(ISNA(MATCH(1003,Engine!$C$2:$C$1199,0)),"",INDEX('Compliance Database'!$J$2:$J$1199,MATCH(1003,Engine!$C$2:$C$1199,0)))</f>
        <v/>
      </c>
      <c r="K1016" s="7" t="str">
        <f>IF(ISNA(MATCH(1003,Engine!$C$2:$C$1199,0)),"",INDEX('Compliance Database'!$K$2:$K$1199,MATCH(1003,Engine!$C$2:$C$1199,0)))</f>
        <v/>
      </c>
      <c r="L1016" s="7" t="str">
        <f>IF(ISNA(MATCH(1003,Engine!$C$2:$C$1199,0)),"",INDEX('Compliance Database'!$L$2:$L$1199,MATCH(1003,Engine!$C$2:$C$1199,0)))</f>
        <v/>
      </c>
      <c r="M1016" s="7" t="str">
        <f>IF(ISNA(MATCH(1003,Engine!$C$2:$C$1199,0)),"",INDEX('Compliance Database'!$M$2:$M$1199,MATCH(1003,Engine!$C$2:$C$1199,0)))</f>
        <v/>
      </c>
      <c r="N1016" s="7" t="str">
        <f>IF(ISNA(MATCH(1003,Engine!$C$2:$C$1199,0)),"",INDEX('Compliance Database'!$N$2:$N$1199,MATCH(1003,Engine!$C$2:$C$1199,0)))</f>
        <v/>
      </c>
      <c r="O1016" s="7" t="str">
        <f>IF(ISNA(MATCH(1003,Engine!$C$2:$C$1199,0)),"",INDEX('Compliance Database'!$O$2:$O$1199,MATCH(1003,Engine!$C$2:$C$1199,0)))</f>
        <v/>
      </c>
      <c r="P1016" s="6" t="str">
        <f>IF(ISNA(MATCH(1003,Engine!$C$2:$C$1199,0)),"",HYPERLINK("#Acts!A"&amp;INDEX('Compliance Database'!$P$2:$P$1199,MATCH(1003,Engine!$C$2:$C$1199,0)),"Go to Act"))</f>
        <v/>
      </c>
    </row>
    <row r="1017" spans="1:16" ht="172.95" customHeight="1" x14ac:dyDescent="0.3">
      <c r="A1017" s="6" t="str">
        <f>IF(ISNA(MATCH(1004,Engine!$C$2:$C$1199,0)),"",INDEX('Compliance Database'!$A$2:$A$1199,MATCH(1004,Engine!$C$2:$C$1199,0)))</f>
        <v/>
      </c>
      <c r="B1017" s="6" t="str">
        <f>IF(ISNA(MATCH(1004,Engine!$C$2:$C$1199,0)),"",INDEX('Compliance Database'!$B$2:$B$1199,MATCH(1004,Engine!$C$2:$C$1199,0)))</f>
        <v/>
      </c>
      <c r="C1017" s="6" t="str">
        <f>IF(ISNA(MATCH(1004,Engine!$C$2:$C$1199,0)),"",INDEX('Compliance Database'!$C$2:$C$1199,MATCH(1004,Engine!$C$2:$C$1199,0)))</f>
        <v/>
      </c>
      <c r="D1017" s="7" t="str">
        <f>IF(ISNA(MATCH(1004,Engine!$C$2:$C$1199,0)),"",INDEX('Compliance Database'!$D$2:$D$1199,MATCH(1004,Engine!$C$2:$C$1199,0)))</f>
        <v/>
      </c>
      <c r="E1017" s="6" t="str">
        <f>IF(ISNA(MATCH(1004,Engine!$C$2:$C$1199,0)),"",INDEX('Compliance Database'!$E$2:$E$1199,MATCH(1004,Engine!$C$2:$C$1199,0)))</f>
        <v/>
      </c>
      <c r="F1017" s="6" t="str">
        <f>IF(ISNA(MATCH(1004,Engine!$C$2:$C$1199,0)),"",INDEX('Compliance Database'!$F$2:$F$1199,MATCH(1004,Engine!$C$2:$C$1199,0)))</f>
        <v/>
      </c>
      <c r="G1017" s="6" t="str">
        <f>IF(ISNA(MATCH(1004,Engine!$C$2:$C$1199,0)),"",INDEX('Compliance Database'!$G$2:$G$1199,MATCH(1004,Engine!$C$2:$C$1199,0)))</f>
        <v/>
      </c>
      <c r="H1017" s="7" t="str">
        <f>IF(ISNA(MATCH(1004,Engine!$C$2:$C$1199,0)),"",INDEX('Compliance Database'!$H$2:$H$1199,MATCH(1004,Engine!$C$2:$C$1199,0)))</f>
        <v/>
      </c>
      <c r="I1017" s="7" t="str">
        <f>IF(ISNA(MATCH(1004,Engine!$C$2:$C$1199,0)),"",INDEX('Compliance Database'!$I$2:$I$1199,MATCH(1004,Engine!$C$2:$C$1199,0)))</f>
        <v/>
      </c>
      <c r="J1017" s="6" t="str">
        <f>IF(ISNA(MATCH(1004,Engine!$C$2:$C$1199,0)),"",INDEX('Compliance Database'!$J$2:$J$1199,MATCH(1004,Engine!$C$2:$C$1199,0)))</f>
        <v/>
      </c>
      <c r="K1017" s="7" t="str">
        <f>IF(ISNA(MATCH(1004,Engine!$C$2:$C$1199,0)),"",INDEX('Compliance Database'!$K$2:$K$1199,MATCH(1004,Engine!$C$2:$C$1199,0)))</f>
        <v/>
      </c>
      <c r="L1017" s="7" t="str">
        <f>IF(ISNA(MATCH(1004,Engine!$C$2:$C$1199,0)),"",INDEX('Compliance Database'!$L$2:$L$1199,MATCH(1004,Engine!$C$2:$C$1199,0)))</f>
        <v/>
      </c>
      <c r="M1017" s="7" t="str">
        <f>IF(ISNA(MATCH(1004,Engine!$C$2:$C$1199,0)),"",INDEX('Compliance Database'!$M$2:$M$1199,MATCH(1004,Engine!$C$2:$C$1199,0)))</f>
        <v/>
      </c>
      <c r="N1017" s="7" t="str">
        <f>IF(ISNA(MATCH(1004,Engine!$C$2:$C$1199,0)),"",INDEX('Compliance Database'!$N$2:$N$1199,MATCH(1004,Engine!$C$2:$C$1199,0)))</f>
        <v/>
      </c>
      <c r="O1017" s="7" t="str">
        <f>IF(ISNA(MATCH(1004,Engine!$C$2:$C$1199,0)),"",INDEX('Compliance Database'!$O$2:$O$1199,MATCH(1004,Engine!$C$2:$C$1199,0)))</f>
        <v/>
      </c>
      <c r="P1017" s="6" t="str">
        <f>IF(ISNA(MATCH(1004,Engine!$C$2:$C$1199,0)),"",HYPERLINK("#Acts!A"&amp;INDEX('Compliance Database'!$P$2:$P$1199,MATCH(1004,Engine!$C$2:$C$1199,0)),"Go to Act"))</f>
        <v/>
      </c>
    </row>
    <row r="1018" spans="1:16" ht="172.95" customHeight="1" x14ac:dyDescent="0.3">
      <c r="A1018" s="6" t="str">
        <f>IF(ISNA(MATCH(1005,Engine!$C$2:$C$1199,0)),"",INDEX('Compliance Database'!$A$2:$A$1199,MATCH(1005,Engine!$C$2:$C$1199,0)))</f>
        <v/>
      </c>
      <c r="B1018" s="6" t="str">
        <f>IF(ISNA(MATCH(1005,Engine!$C$2:$C$1199,0)),"",INDEX('Compliance Database'!$B$2:$B$1199,MATCH(1005,Engine!$C$2:$C$1199,0)))</f>
        <v/>
      </c>
      <c r="C1018" s="6" t="str">
        <f>IF(ISNA(MATCH(1005,Engine!$C$2:$C$1199,0)),"",INDEX('Compliance Database'!$C$2:$C$1199,MATCH(1005,Engine!$C$2:$C$1199,0)))</f>
        <v/>
      </c>
      <c r="D1018" s="7" t="str">
        <f>IF(ISNA(MATCH(1005,Engine!$C$2:$C$1199,0)),"",INDEX('Compliance Database'!$D$2:$D$1199,MATCH(1005,Engine!$C$2:$C$1199,0)))</f>
        <v/>
      </c>
      <c r="E1018" s="6" t="str">
        <f>IF(ISNA(MATCH(1005,Engine!$C$2:$C$1199,0)),"",INDEX('Compliance Database'!$E$2:$E$1199,MATCH(1005,Engine!$C$2:$C$1199,0)))</f>
        <v/>
      </c>
      <c r="F1018" s="6" t="str">
        <f>IF(ISNA(MATCH(1005,Engine!$C$2:$C$1199,0)),"",INDEX('Compliance Database'!$F$2:$F$1199,MATCH(1005,Engine!$C$2:$C$1199,0)))</f>
        <v/>
      </c>
      <c r="G1018" s="6" t="str">
        <f>IF(ISNA(MATCH(1005,Engine!$C$2:$C$1199,0)),"",INDEX('Compliance Database'!$G$2:$G$1199,MATCH(1005,Engine!$C$2:$C$1199,0)))</f>
        <v/>
      </c>
      <c r="H1018" s="7" t="str">
        <f>IF(ISNA(MATCH(1005,Engine!$C$2:$C$1199,0)),"",INDEX('Compliance Database'!$H$2:$H$1199,MATCH(1005,Engine!$C$2:$C$1199,0)))</f>
        <v/>
      </c>
      <c r="I1018" s="7" t="str">
        <f>IF(ISNA(MATCH(1005,Engine!$C$2:$C$1199,0)),"",INDEX('Compliance Database'!$I$2:$I$1199,MATCH(1005,Engine!$C$2:$C$1199,0)))</f>
        <v/>
      </c>
      <c r="J1018" s="6" t="str">
        <f>IF(ISNA(MATCH(1005,Engine!$C$2:$C$1199,0)),"",INDEX('Compliance Database'!$J$2:$J$1199,MATCH(1005,Engine!$C$2:$C$1199,0)))</f>
        <v/>
      </c>
      <c r="K1018" s="7" t="str">
        <f>IF(ISNA(MATCH(1005,Engine!$C$2:$C$1199,0)),"",INDEX('Compliance Database'!$K$2:$K$1199,MATCH(1005,Engine!$C$2:$C$1199,0)))</f>
        <v/>
      </c>
      <c r="L1018" s="7" t="str">
        <f>IF(ISNA(MATCH(1005,Engine!$C$2:$C$1199,0)),"",INDEX('Compliance Database'!$L$2:$L$1199,MATCH(1005,Engine!$C$2:$C$1199,0)))</f>
        <v/>
      </c>
      <c r="M1018" s="7" t="str">
        <f>IF(ISNA(MATCH(1005,Engine!$C$2:$C$1199,0)),"",INDEX('Compliance Database'!$M$2:$M$1199,MATCH(1005,Engine!$C$2:$C$1199,0)))</f>
        <v/>
      </c>
      <c r="N1018" s="7" t="str">
        <f>IF(ISNA(MATCH(1005,Engine!$C$2:$C$1199,0)),"",INDEX('Compliance Database'!$N$2:$N$1199,MATCH(1005,Engine!$C$2:$C$1199,0)))</f>
        <v/>
      </c>
      <c r="O1018" s="7" t="str">
        <f>IF(ISNA(MATCH(1005,Engine!$C$2:$C$1199,0)),"",INDEX('Compliance Database'!$O$2:$O$1199,MATCH(1005,Engine!$C$2:$C$1199,0)))</f>
        <v/>
      </c>
      <c r="P1018" s="6" t="str">
        <f>IF(ISNA(MATCH(1005,Engine!$C$2:$C$1199,0)),"",HYPERLINK("#Acts!A"&amp;INDEX('Compliance Database'!$P$2:$P$1199,MATCH(1005,Engine!$C$2:$C$1199,0)),"Go to Act"))</f>
        <v/>
      </c>
    </row>
    <row r="1019" spans="1:16" ht="172.95" customHeight="1" x14ac:dyDescent="0.3">
      <c r="A1019" s="6" t="str">
        <f>IF(ISNA(MATCH(1006,Engine!$C$2:$C$1199,0)),"",INDEX('Compliance Database'!$A$2:$A$1199,MATCH(1006,Engine!$C$2:$C$1199,0)))</f>
        <v/>
      </c>
      <c r="B1019" s="6" t="str">
        <f>IF(ISNA(MATCH(1006,Engine!$C$2:$C$1199,0)),"",INDEX('Compliance Database'!$B$2:$B$1199,MATCH(1006,Engine!$C$2:$C$1199,0)))</f>
        <v/>
      </c>
      <c r="C1019" s="6" t="str">
        <f>IF(ISNA(MATCH(1006,Engine!$C$2:$C$1199,0)),"",INDEX('Compliance Database'!$C$2:$C$1199,MATCH(1006,Engine!$C$2:$C$1199,0)))</f>
        <v/>
      </c>
      <c r="D1019" s="7" t="str">
        <f>IF(ISNA(MATCH(1006,Engine!$C$2:$C$1199,0)),"",INDEX('Compliance Database'!$D$2:$D$1199,MATCH(1006,Engine!$C$2:$C$1199,0)))</f>
        <v/>
      </c>
      <c r="E1019" s="6" t="str">
        <f>IF(ISNA(MATCH(1006,Engine!$C$2:$C$1199,0)),"",INDEX('Compliance Database'!$E$2:$E$1199,MATCH(1006,Engine!$C$2:$C$1199,0)))</f>
        <v/>
      </c>
      <c r="F1019" s="6" t="str">
        <f>IF(ISNA(MATCH(1006,Engine!$C$2:$C$1199,0)),"",INDEX('Compliance Database'!$F$2:$F$1199,MATCH(1006,Engine!$C$2:$C$1199,0)))</f>
        <v/>
      </c>
      <c r="G1019" s="6" t="str">
        <f>IF(ISNA(MATCH(1006,Engine!$C$2:$C$1199,0)),"",INDEX('Compliance Database'!$G$2:$G$1199,MATCH(1006,Engine!$C$2:$C$1199,0)))</f>
        <v/>
      </c>
      <c r="H1019" s="7" t="str">
        <f>IF(ISNA(MATCH(1006,Engine!$C$2:$C$1199,0)),"",INDEX('Compliance Database'!$H$2:$H$1199,MATCH(1006,Engine!$C$2:$C$1199,0)))</f>
        <v/>
      </c>
      <c r="I1019" s="7" t="str">
        <f>IF(ISNA(MATCH(1006,Engine!$C$2:$C$1199,0)),"",INDEX('Compliance Database'!$I$2:$I$1199,MATCH(1006,Engine!$C$2:$C$1199,0)))</f>
        <v/>
      </c>
      <c r="J1019" s="6" t="str">
        <f>IF(ISNA(MATCH(1006,Engine!$C$2:$C$1199,0)),"",INDEX('Compliance Database'!$J$2:$J$1199,MATCH(1006,Engine!$C$2:$C$1199,0)))</f>
        <v/>
      </c>
      <c r="K1019" s="7" t="str">
        <f>IF(ISNA(MATCH(1006,Engine!$C$2:$C$1199,0)),"",INDEX('Compliance Database'!$K$2:$K$1199,MATCH(1006,Engine!$C$2:$C$1199,0)))</f>
        <v/>
      </c>
      <c r="L1019" s="7" t="str">
        <f>IF(ISNA(MATCH(1006,Engine!$C$2:$C$1199,0)),"",INDEX('Compliance Database'!$L$2:$L$1199,MATCH(1006,Engine!$C$2:$C$1199,0)))</f>
        <v/>
      </c>
      <c r="M1019" s="7" t="str">
        <f>IF(ISNA(MATCH(1006,Engine!$C$2:$C$1199,0)),"",INDEX('Compliance Database'!$M$2:$M$1199,MATCH(1006,Engine!$C$2:$C$1199,0)))</f>
        <v/>
      </c>
      <c r="N1019" s="7" t="str">
        <f>IF(ISNA(MATCH(1006,Engine!$C$2:$C$1199,0)),"",INDEX('Compliance Database'!$N$2:$N$1199,MATCH(1006,Engine!$C$2:$C$1199,0)))</f>
        <v/>
      </c>
      <c r="O1019" s="7" t="str">
        <f>IF(ISNA(MATCH(1006,Engine!$C$2:$C$1199,0)),"",INDEX('Compliance Database'!$O$2:$O$1199,MATCH(1006,Engine!$C$2:$C$1199,0)))</f>
        <v/>
      </c>
      <c r="P1019" s="6" t="str">
        <f>IF(ISNA(MATCH(1006,Engine!$C$2:$C$1199,0)),"",HYPERLINK("#Acts!A"&amp;INDEX('Compliance Database'!$P$2:$P$1199,MATCH(1006,Engine!$C$2:$C$1199,0)),"Go to Act"))</f>
        <v/>
      </c>
    </row>
    <row r="1020" spans="1:16" ht="172.95" customHeight="1" x14ac:dyDescent="0.3">
      <c r="A1020" s="6" t="str">
        <f>IF(ISNA(MATCH(1007,Engine!$C$2:$C$1199,0)),"",INDEX('Compliance Database'!$A$2:$A$1199,MATCH(1007,Engine!$C$2:$C$1199,0)))</f>
        <v/>
      </c>
      <c r="B1020" s="6" t="str">
        <f>IF(ISNA(MATCH(1007,Engine!$C$2:$C$1199,0)),"",INDEX('Compliance Database'!$B$2:$B$1199,MATCH(1007,Engine!$C$2:$C$1199,0)))</f>
        <v/>
      </c>
      <c r="C1020" s="6" t="str">
        <f>IF(ISNA(MATCH(1007,Engine!$C$2:$C$1199,0)),"",INDEX('Compliance Database'!$C$2:$C$1199,MATCH(1007,Engine!$C$2:$C$1199,0)))</f>
        <v/>
      </c>
      <c r="D1020" s="7" t="str">
        <f>IF(ISNA(MATCH(1007,Engine!$C$2:$C$1199,0)),"",INDEX('Compliance Database'!$D$2:$D$1199,MATCH(1007,Engine!$C$2:$C$1199,0)))</f>
        <v/>
      </c>
      <c r="E1020" s="6" t="str">
        <f>IF(ISNA(MATCH(1007,Engine!$C$2:$C$1199,0)),"",INDEX('Compliance Database'!$E$2:$E$1199,MATCH(1007,Engine!$C$2:$C$1199,0)))</f>
        <v/>
      </c>
      <c r="F1020" s="6" t="str">
        <f>IF(ISNA(MATCH(1007,Engine!$C$2:$C$1199,0)),"",INDEX('Compliance Database'!$F$2:$F$1199,MATCH(1007,Engine!$C$2:$C$1199,0)))</f>
        <v/>
      </c>
      <c r="G1020" s="6" t="str">
        <f>IF(ISNA(MATCH(1007,Engine!$C$2:$C$1199,0)),"",INDEX('Compliance Database'!$G$2:$G$1199,MATCH(1007,Engine!$C$2:$C$1199,0)))</f>
        <v/>
      </c>
      <c r="H1020" s="7" t="str">
        <f>IF(ISNA(MATCH(1007,Engine!$C$2:$C$1199,0)),"",INDEX('Compliance Database'!$H$2:$H$1199,MATCH(1007,Engine!$C$2:$C$1199,0)))</f>
        <v/>
      </c>
      <c r="I1020" s="7" t="str">
        <f>IF(ISNA(MATCH(1007,Engine!$C$2:$C$1199,0)),"",INDEX('Compliance Database'!$I$2:$I$1199,MATCH(1007,Engine!$C$2:$C$1199,0)))</f>
        <v/>
      </c>
      <c r="J1020" s="6" t="str">
        <f>IF(ISNA(MATCH(1007,Engine!$C$2:$C$1199,0)),"",INDEX('Compliance Database'!$J$2:$J$1199,MATCH(1007,Engine!$C$2:$C$1199,0)))</f>
        <v/>
      </c>
      <c r="K1020" s="7" t="str">
        <f>IF(ISNA(MATCH(1007,Engine!$C$2:$C$1199,0)),"",INDEX('Compliance Database'!$K$2:$K$1199,MATCH(1007,Engine!$C$2:$C$1199,0)))</f>
        <v/>
      </c>
      <c r="L1020" s="7" t="str">
        <f>IF(ISNA(MATCH(1007,Engine!$C$2:$C$1199,0)),"",INDEX('Compliance Database'!$L$2:$L$1199,MATCH(1007,Engine!$C$2:$C$1199,0)))</f>
        <v/>
      </c>
      <c r="M1020" s="7" t="str">
        <f>IF(ISNA(MATCH(1007,Engine!$C$2:$C$1199,0)),"",INDEX('Compliance Database'!$M$2:$M$1199,MATCH(1007,Engine!$C$2:$C$1199,0)))</f>
        <v/>
      </c>
      <c r="N1020" s="7" t="str">
        <f>IF(ISNA(MATCH(1007,Engine!$C$2:$C$1199,0)),"",INDEX('Compliance Database'!$N$2:$N$1199,MATCH(1007,Engine!$C$2:$C$1199,0)))</f>
        <v/>
      </c>
      <c r="O1020" s="7" t="str">
        <f>IF(ISNA(MATCH(1007,Engine!$C$2:$C$1199,0)),"",INDEX('Compliance Database'!$O$2:$O$1199,MATCH(1007,Engine!$C$2:$C$1199,0)))</f>
        <v/>
      </c>
      <c r="P1020" s="6" t="str">
        <f>IF(ISNA(MATCH(1007,Engine!$C$2:$C$1199,0)),"",HYPERLINK("#Acts!A"&amp;INDEX('Compliance Database'!$P$2:$P$1199,MATCH(1007,Engine!$C$2:$C$1199,0)),"Go to Act"))</f>
        <v/>
      </c>
    </row>
    <row r="1021" spans="1:16" ht="172.95" customHeight="1" x14ac:dyDescent="0.3">
      <c r="A1021" s="6" t="str">
        <f>IF(ISNA(MATCH(1008,Engine!$C$2:$C$1199,0)),"",INDEX('Compliance Database'!$A$2:$A$1199,MATCH(1008,Engine!$C$2:$C$1199,0)))</f>
        <v/>
      </c>
      <c r="B1021" s="6" t="str">
        <f>IF(ISNA(MATCH(1008,Engine!$C$2:$C$1199,0)),"",INDEX('Compliance Database'!$B$2:$B$1199,MATCH(1008,Engine!$C$2:$C$1199,0)))</f>
        <v/>
      </c>
      <c r="C1021" s="6" t="str">
        <f>IF(ISNA(MATCH(1008,Engine!$C$2:$C$1199,0)),"",INDEX('Compliance Database'!$C$2:$C$1199,MATCH(1008,Engine!$C$2:$C$1199,0)))</f>
        <v/>
      </c>
      <c r="D1021" s="7" t="str">
        <f>IF(ISNA(MATCH(1008,Engine!$C$2:$C$1199,0)),"",INDEX('Compliance Database'!$D$2:$D$1199,MATCH(1008,Engine!$C$2:$C$1199,0)))</f>
        <v/>
      </c>
      <c r="E1021" s="6" t="str">
        <f>IF(ISNA(MATCH(1008,Engine!$C$2:$C$1199,0)),"",INDEX('Compliance Database'!$E$2:$E$1199,MATCH(1008,Engine!$C$2:$C$1199,0)))</f>
        <v/>
      </c>
      <c r="F1021" s="6" t="str">
        <f>IF(ISNA(MATCH(1008,Engine!$C$2:$C$1199,0)),"",INDEX('Compliance Database'!$F$2:$F$1199,MATCH(1008,Engine!$C$2:$C$1199,0)))</f>
        <v/>
      </c>
      <c r="G1021" s="6" t="str">
        <f>IF(ISNA(MATCH(1008,Engine!$C$2:$C$1199,0)),"",INDEX('Compliance Database'!$G$2:$G$1199,MATCH(1008,Engine!$C$2:$C$1199,0)))</f>
        <v/>
      </c>
      <c r="H1021" s="7" t="str">
        <f>IF(ISNA(MATCH(1008,Engine!$C$2:$C$1199,0)),"",INDEX('Compliance Database'!$H$2:$H$1199,MATCH(1008,Engine!$C$2:$C$1199,0)))</f>
        <v/>
      </c>
      <c r="I1021" s="7" t="str">
        <f>IF(ISNA(MATCH(1008,Engine!$C$2:$C$1199,0)),"",INDEX('Compliance Database'!$I$2:$I$1199,MATCH(1008,Engine!$C$2:$C$1199,0)))</f>
        <v/>
      </c>
      <c r="J1021" s="6" t="str">
        <f>IF(ISNA(MATCH(1008,Engine!$C$2:$C$1199,0)),"",INDEX('Compliance Database'!$J$2:$J$1199,MATCH(1008,Engine!$C$2:$C$1199,0)))</f>
        <v/>
      </c>
      <c r="K1021" s="7" t="str">
        <f>IF(ISNA(MATCH(1008,Engine!$C$2:$C$1199,0)),"",INDEX('Compliance Database'!$K$2:$K$1199,MATCH(1008,Engine!$C$2:$C$1199,0)))</f>
        <v/>
      </c>
      <c r="L1021" s="7" t="str">
        <f>IF(ISNA(MATCH(1008,Engine!$C$2:$C$1199,0)),"",INDEX('Compliance Database'!$L$2:$L$1199,MATCH(1008,Engine!$C$2:$C$1199,0)))</f>
        <v/>
      </c>
      <c r="M1021" s="7" t="str">
        <f>IF(ISNA(MATCH(1008,Engine!$C$2:$C$1199,0)),"",INDEX('Compliance Database'!$M$2:$M$1199,MATCH(1008,Engine!$C$2:$C$1199,0)))</f>
        <v/>
      </c>
      <c r="N1021" s="7" t="str">
        <f>IF(ISNA(MATCH(1008,Engine!$C$2:$C$1199,0)),"",INDEX('Compliance Database'!$N$2:$N$1199,MATCH(1008,Engine!$C$2:$C$1199,0)))</f>
        <v/>
      </c>
      <c r="O1021" s="7" t="str">
        <f>IF(ISNA(MATCH(1008,Engine!$C$2:$C$1199,0)),"",INDEX('Compliance Database'!$O$2:$O$1199,MATCH(1008,Engine!$C$2:$C$1199,0)))</f>
        <v/>
      </c>
      <c r="P1021" s="6" t="str">
        <f>IF(ISNA(MATCH(1008,Engine!$C$2:$C$1199,0)),"",HYPERLINK("#Acts!A"&amp;INDEX('Compliance Database'!$P$2:$P$1199,MATCH(1008,Engine!$C$2:$C$1199,0)),"Go to Act"))</f>
        <v/>
      </c>
    </row>
    <row r="1022" spans="1:16" ht="172.95" customHeight="1" x14ac:dyDescent="0.3">
      <c r="A1022" s="6" t="str">
        <f>IF(ISNA(MATCH(1009,Engine!$C$2:$C$1199,0)),"",INDEX('Compliance Database'!$A$2:$A$1199,MATCH(1009,Engine!$C$2:$C$1199,0)))</f>
        <v/>
      </c>
      <c r="B1022" s="6" t="str">
        <f>IF(ISNA(MATCH(1009,Engine!$C$2:$C$1199,0)),"",INDEX('Compliance Database'!$B$2:$B$1199,MATCH(1009,Engine!$C$2:$C$1199,0)))</f>
        <v/>
      </c>
      <c r="C1022" s="6" t="str">
        <f>IF(ISNA(MATCH(1009,Engine!$C$2:$C$1199,0)),"",INDEX('Compliance Database'!$C$2:$C$1199,MATCH(1009,Engine!$C$2:$C$1199,0)))</f>
        <v/>
      </c>
      <c r="D1022" s="7" t="str">
        <f>IF(ISNA(MATCH(1009,Engine!$C$2:$C$1199,0)),"",INDEX('Compliance Database'!$D$2:$D$1199,MATCH(1009,Engine!$C$2:$C$1199,0)))</f>
        <v/>
      </c>
      <c r="E1022" s="6" t="str">
        <f>IF(ISNA(MATCH(1009,Engine!$C$2:$C$1199,0)),"",INDEX('Compliance Database'!$E$2:$E$1199,MATCH(1009,Engine!$C$2:$C$1199,0)))</f>
        <v/>
      </c>
      <c r="F1022" s="6" t="str">
        <f>IF(ISNA(MATCH(1009,Engine!$C$2:$C$1199,0)),"",INDEX('Compliance Database'!$F$2:$F$1199,MATCH(1009,Engine!$C$2:$C$1199,0)))</f>
        <v/>
      </c>
      <c r="G1022" s="6" t="str">
        <f>IF(ISNA(MATCH(1009,Engine!$C$2:$C$1199,0)),"",INDEX('Compliance Database'!$G$2:$G$1199,MATCH(1009,Engine!$C$2:$C$1199,0)))</f>
        <v/>
      </c>
      <c r="H1022" s="7" t="str">
        <f>IF(ISNA(MATCH(1009,Engine!$C$2:$C$1199,0)),"",INDEX('Compliance Database'!$H$2:$H$1199,MATCH(1009,Engine!$C$2:$C$1199,0)))</f>
        <v/>
      </c>
      <c r="I1022" s="7" t="str">
        <f>IF(ISNA(MATCH(1009,Engine!$C$2:$C$1199,0)),"",INDEX('Compliance Database'!$I$2:$I$1199,MATCH(1009,Engine!$C$2:$C$1199,0)))</f>
        <v/>
      </c>
      <c r="J1022" s="6" t="str">
        <f>IF(ISNA(MATCH(1009,Engine!$C$2:$C$1199,0)),"",INDEX('Compliance Database'!$J$2:$J$1199,MATCH(1009,Engine!$C$2:$C$1199,0)))</f>
        <v/>
      </c>
      <c r="K1022" s="7" t="str">
        <f>IF(ISNA(MATCH(1009,Engine!$C$2:$C$1199,0)),"",INDEX('Compliance Database'!$K$2:$K$1199,MATCH(1009,Engine!$C$2:$C$1199,0)))</f>
        <v/>
      </c>
      <c r="L1022" s="7" t="str">
        <f>IF(ISNA(MATCH(1009,Engine!$C$2:$C$1199,0)),"",INDEX('Compliance Database'!$L$2:$L$1199,MATCH(1009,Engine!$C$2:$C$1199,0)))</f>
        <v/>
      </c>
      <c r="M1022" s="7" t="str">
        <f>IF(ISNA(MATCH(1009,Engine!$C$2:$C$1199,0)),"",INDEX('Compliance Database'!$M$2:$M$1199,MATCH(1009,Engine!$C$2:$C$1199,0)))</f>
        <v/>
      </c>
      <c r="N1022" s="7" t="str">
        <f>IF(ISNA(MATCH(1009,Engine!$C$2:$C$1199,0)),"",INDEX('Compliance Database'!$N$2:$N$1199,MATCH(1009,Engine!$C$2:$C$1199,0)))</f>
        <v/>
      </c>
      <c r="O1022" s="7" t="str">
        <f>IF(ISNA(MATCH(1009,Engine!$C$2:$C$1199,0)),"",INDEX('Compliance Database'!$O$2:$O$1199,MATCH(1009,Engine!$C$2:$C$1199,0)))</f>
        <v/>
      </c>
      <c r="P1022" s="6" t="str">
        <f>IF(ISNA(MATCH(1009,Engine!$C$2:$C$1199,0)),"",HYPERLINK("#Acts!A"&amp;INDEX('Compliance Database'!$P$2:$P$1199,MATCH(1009,Engine!$C$2:$C$1199,0)),"Go to Act"))</f>
        <v/>
      </c>
    </row>
    <row r="1023" spans="1:16" ht="172.95" customHeight="1" x14ac:dyDescent="0.3">
      <c r="A1023" s="6" t="str">
        <f>IF(ISNA(MATCH(1010,Engine!$C$2:$C$1199,0)),"",INDEX('Compliance Database'!$A$2:$A$1199,MATCH(1010,Engine!$C$2:$C$1199,0)))</f>
        <v/>
      </c>
      <c r="B1023" s="6" t="str">
        <f>IF(ISNA(MATCH(1010,Engine!$C$2:$C$1199,0)),"",INDEX('Compliance Database'!$B$2:$B$1199,MATCH(1010,Engine!$C$2:$C$1199,0)))</f>
        <v/>
      </c>
      <c r="C1023" s="6" t="str">
        <f>IF(ISNA(MATCH(1010,Engine!$C$2:$C$1199,0)),"",INDEX('Compliance Database'!$C$2:$C$1199,MATCH(1010,Engine!$C$2:$C$1199,0)))</f>
        <v/>
      </c>
      <c r="D1023" s="7" t="str">
        <f>IF(ISNA(MATCH(1010,Engine!$C$2:$C$1199,0)),"",INDEX('Compliance Database'!$D$2:$D$1199,MATCH(1010,Engine!$C$2:$C$1199,0)))</f>
        <v/>
      </c>
      <c r="E1023" s="6" t="str">
        <f>IF(ISNA(MATCH(1010,Engine!$C$2:$C$1199,0)),"",INDEX('Compliance Database'!$E$2:$E$1199,MATCH(1010,Engine!$C$2:$C$1199,0)))</f>
        <v/>
      </c>
      <c r="F1023" s="6" t="str">
        <f>IF(ISNA(MATCH(1010,Engine!$C$2:$C$1199,0)),"",INDEX('Compliance Database'!$F$2:$F$1199,MATCH(1010,Engine!$C$2:$C$1199,0)))</f>
        <v/>
      </c>
      <c r="G1023" s="6" t="str">
        <f>IF(ISNA(MATCH(1010,Engine!$C$2:$C$1199,0)),"",INDEX('Compliance Database'!$G$2:$G$1199,MATCH(1010,Engine!$C$2:$C$1199,0)))</f>
        <v/>
      </c>
      <c r="H1023" s="7" t="str">
        <f>IF(ISNA(MATCH(1010,Engine!$C$2:$C$1199,0)),"",INDEX('Compliance Database'!$H$2:$H$1199,MATCH(1010,Engine!$C$2:$C$1199,0)))</f>
        <v/>
      </c>
      <c r="I1023" s="7" t="str">
        <f>IF(ISNA(MATCH(1010,Engine!$C$2:$C$1199,0)),"",INDEX('Compliance Database'!$I$2:$I$1199,MATCH(1010,Engine!$C$2:$C$1199,0)))</f>
        <v/>
      </c>
      <c r="J1023" s="6" t="str">
        <f>IF(ISNA(MATCH(1010,Engine!$C$2:$C$1199,0)),"",INDEX('Compliance Database'!$J$2:$J$1199,MATCH(1010,Engine!$C$2:$C$1199,0)))</f>
        <v/>
      </c>
      <c r="K1023" s="7" t="str">
        <f>IF(ISNA(MATCH(1010,Engine!$C$2:$C$1199,0)),"",INDEX('Compliance Database'!$K$2:$K$1199,MATCH(1010,Engine!$C$2:$C$1199,0)))</f>
        <v/>
      </c>
      <c r="L1023" s="7" t="str">
        <f>IF(ISNA(MATCH(1010,Engine!$C$2:$C$1199,0)),"",INDEX('Compliance Database'!$L$2:$L$1199,MATCH(1010,Engine!$C$2:$C$1199,0)))</f>
        <v/>
      </c>
      <c r="M1023" s="7" t="str">
        <f>IF(ISNA(MATCH(1010,Engine!$C$2:$C$1199,0)),"",INDEX('Compliance Database'!$M$2:$M$1199,MATCH(1010,Engine!$C$2:$C$1199,0)))</f>
        <v/>
      </c>
      <c r="N1023" s="7" t="str">
        <f>IF(ISNA(MATCH(1010,Engine!$C$2:$C$1199,0)),"",INDEX('Compliance Database'!$N$2:$N$1199,MATCH(1010,Engine!$C$2:$C$1199,0)))</f>
        <v/>
      </c>
      <c r="O1023" s="7" t="str">
        <f>IF(ISNA(MATCH(1010,Engine!$C$2:$C$1199,0)),"",INDEX('Compliance Database'!$O$2:$O$1199,MATCH(1010,Engine!$C$2:$C$1199,0)))</f>
        <v/>
      </c>
      <c r="P1023" s="6" t="str">
        <f>IF(ISNA(MATCH(1010,Engine!$C$2:$C$1199,0)),"",HYPERLINK("#Acts!A"&amp;INDEX('Compliance Database'!$P$2:$P$1199,MATCH(1010,Engine!$C$2:$C$1199,0)),"Go to Act"))</f>
        <v/>
      </c>
    </row>
    <row r="1024" spans="1:16" ht="172.95" customHeight="1" x14ac:dyDescent="0.3">
      <c r="A1024" s="6" t="str">
        <f>IF(ISNA(MATCH(1011,Engine!$C$2:$C$1199,0)),"",INDEX('Compliance Database'!$A$2:$A$1199,MATCH(1011,Engine!$C$2:$C$1199,0)))</f>
        <v/>
      </c>
      <c r="B1024" s="6" t="str">
        <f>IF(ISNA(MATCH(1011,Engine!$C$2:$C$1199,0)),"",INDEX('Compliance Database'!$B$2:$B$1199,MATCH(1011,Engine!$C$2:$C$1199,0)))</f>
        <v/>
      </c>
      <c r="C1024" s="6" t="str">
        <f>IF(ISNA(MATCH(1011,Engine!$C$2:$C$1199,0)),"",INDEX('Compliance Database'!$C$2:$C$1199,MATCH(1011,Engine!$C$2:$C$1199,0)))</f>
        <v/>
      </c>
      <c r="D1024" s="7" t="str">
        <f>IF(ISNA(MATCH(1011,Engine!$C$2:$C$1199,0)),"",INDEX('Compliance Database'!$D$2:$D$1199,MATCH(1011,Engine!$C$2:$C$1199,0)))</f>
        <v/>
      </c>
      <c r="E1024" s="6" t="str">
        <f>IF(ISNA(MATCH(1011,Engine!$C$2:$C$1199,0)),"",INDEX('Compliance Database'!$E$2:$E$1199,MATCH(1011,Engine!$C$2:$C$1199,0)))</f>
        <v/>
      </c>
      <c r="F1024" s="6" t="str">
        <f>IF(ISNA(MATCH(1011,Engine!$C$2:$C$1199,0)),"",INDEX('Compliance Database'!$F$2:$F$1199,MATCH(1011,Engine!$C$2:$C$1199,0)))</f>
        <v/>
      </c>
      <c r="G1024" s="6" t="str">
        <f>IF(ISNA(MATCH(1011,Engine!$C$2:$C$1199,0)),"",INDEX('Compliance Database'!$G$2:$G$1199,MATCH(1011,Engine!$C$2:$C$1199,0)))</f>
        <v/>
      </c>
      <c r="H1024" s="7" t="str">
        <f>IF(ISNA(MATCH(1011,Engine!$C$2:$C$1199,0)),"",INDEX('Compliance Database'!$H$2:$H$1199,MATCH(1011,Engine!$C$2:$C$1199,0)))</f>
        <v/>
      </c>
      <c r="I1024" s="7" t="str">
        <f>IF(ISNA(MATCH(1011,Engine!$C$2:$C$1199,0)),"",INDEX('Compliance Database'!$I$2:$I$1199,MATCH(1011,Engine!$C$2:$C$1199,0)))</f>
        <v/>
      </c>
      <c r="J1024" s="6" t="str">
        <f>IF(ISNA(MATCH(1011,Engine!$C$2:$C$1199,0)),"",INDEX('Compliance Database'!$J$2:$J$1199,MATCH(1011,Engine!$C$2:$C$1199,0)))</f>
        <v/>
      </c>
      <c r="K1024" s="7" t="str">
        <f>IF(ISNA(MATCH(1011,Engine!$C$2:$C$1199,0)),"",INDEX('Compliance Database'!$K$2:$K$1199,MATCH(1011,Engine!$C$2:$C$1199,0)))</f>
        <v/>
      </c>
      <c r="L1024" s="7" t="str">
        <f>IF(ISNA(MATCH(1011,Engine!$C$2:$C$1199,0)),"",INDEX('Compliance Database'!$L$2:$L$1199,MATCH(1011,Engine!$C$2:$C$1199,0)))</f>
        <v/>
      </c>
      <c r="M1024" s="7" t="str">
        <f>IF(ISNA(MATCH(1011,Engine!$C$2:$C$1199,0)),"",INDEX('Compliance Database'!$M$2:$M$1199,MATCH(1011,Engine!$C$2:$C$1199,0)))</f>
        <v/>
      </c>
      <c r="N1024" s="7" t="str">
        <f>IF(ISNA(MATCH(1011,Engine!$C$2:$C$1199,0)),"",INDEX('Compliance Database'!$N$2:$N$1199,MATCH(1011,Engine!$C$2:$C$1199,0)))</f>
        <v/>
      </c>
      <c r="O1024" s="7" t="str">
        <f>IF(ISNA(MATCH(1011,Engine!$C$2:$C$1199,0)),"",INDEX('Compliance Database'!$O$2:$O$1199,MATCH(1011,Engine!$C$2:$C$1199,0)))</f>
        <v/>
      </c>
      <c r="P1024" s="6" t="str">
        <f>IF(ISNA(MATCH(1011,Engine!$C$2:$C$1199,0)),"",HYPERLINK("#Acts!A"&amp;INDEX('Compliance Database'!$P$2:$P$1199,MATCH(1011,Engine!$C$2:$C$1199,0)),"Go to Act"))</f>
        <v/>
      </c>
    </row>
    <row r="1025" spans="1:16" ht="172.95" customHeight="1" x14ac:dyDescent="0.3">
      <c r="A1025" s="6" t="str">
        <f>IF(ISNA(MATCH(1012,Engine!$C$2:$C$1199,0)),"",INDEX('Compliance Database'!$A$2:$A$1199,MATCH(1012,Engine!$C$2:$C$1199,0)))</f>
        <v/>
      </c>
      <c r="B1025" s="6" t="str">
        <f>IF(ISNA(MATCH(1012,Engine!$C$2:$C$1199,0)),"",INDEX('Compliance Database'!$B$2:$B$1199,MATCH(1012,Engine!$C$2:$C$1199,0)))</f>
        <v/>
      </c>
      <c r="C1025" s="6" t="str">
        <f>IF(ISNA(MATCH(1012,Engine!$C$2:$C$1199,0)),"",INDEX('Compliance Database'!$C$2:$C$1199,MATCH(1012,Engine!$C$2:$C$1199,0)))</f>
        <v/>
      </c>
      <c r="D1025" s="7" t="str">
        <f>IF(ISNA(MATCH(1012,Engine!$C$2:$C$1199,0)),"",INDEX('Compliance Database'!$D$2:$D$1199,MATCH(1012,Engine!$C$2:$C$1199,0)))</f>
        <v/>
      </c>
      <c r="E1025" s="6" t="str">
        <f>IF(ISNA(MATCH(1012,Engine!$C$2:$C$1199,0)),"",INDEX('Compliance Database'!$E$2:$E$1199,MATCH(1012,Engine!$C$2:$C$1199,0)))</f>
        <v/>
      </c>
      <c r="F1025" s="6" t="str">
        <f>IF(ISNA(MATCH(1012,Engine!$C$2:$C$1199,0)),"",INDEX('Compliance Database'!$F$2:$F$1199,MATCH(1012,Engine!$C$2:$C$1199,0)))</f>
        <v/>
      </c>
      <c r="G1025" s="6" t="str">
        <f>IF(ISNA(MATCH(1012,Engine!$C$2:$C$1199,0)),"",INDEX('Compliance Database'!$G$2:$G$1199,MATCH(1012,Engine!$C$2:$C$1199,0)))</f>
        <v/>
      </c>
      <c r="H1025" s="7" t="str">
        <f>IF(ISNA(MATCH(1012,Engine!$C$2:$C$1199,0)),"",INDEX('Compliance Database'!$H$2:$H$1199,MATCH(1012,Engine!$C$2:$C$1199,0)))</f>
        <v/>
      </c>
      <c r="I1025" s="7" t="str">
        <f>IF(ISNA(MATCH(1012,Engine!$C$2:$C$1199,0)),"",INDEX('Compliance Database'!$I$2:$I$1199,MATCH(1012,Engine!$C$2:$C$1199,0)))</f>
        <v/>
      </c>
      <c r="J1025" s="6" t="str">
        <f>IF(ISNA(MATCH(1012,Engine!$C$2:$C$1199,0)),"",INDEX('Compliance Database'!$J$2:$J$1199,MATCH(1012,Engine!$C$2:$C$1199,0)))</f>
        <v/>
      </c>
      <c r="K1025" s="7" t="str">
        <f>IF(ISNA(MATCH(1012,Engine!$C$2:$C$1199,0)),"",INDEX('Compliance Database'!$K$2:$K$1199,MATCH(1012,Engine!$C$2:$C$1199,0)))</f>
        <v/>
      </c>
      <c r="L1025" s="7" t="str">
        <f>IF(ISNA(MATCH(1012,Engine!$C$2:$C$1199,0)),"",INDEX('Compliance Database'!$L$2:$L$1199,MATCH(1012,Engine!$C$2:$C$1199,0)))</f>
        <v/>
      </c>
      <c r="M1025" s="7" t="str">
        <f>IF(ISNA(MATCH(1012,Engine!$C$2:$C$1199,0)),"",INDEX('Compliance Database'!$M$2:$M$1199,MATCH(1012,Engine!$C$2:$C$1199,0)))</f>
        <v/>
      </c>
      <c r="N1025" s="7" t="str">
        <f>IF(ISNA(MATCH(1012,Engine!$C$2:$C$1199,0)),"",INDEX('Compliance Database'!$N$2:$N$1199,MATCH(1012,Engine!$C$2:$C$1199,0)))</f>
        <v/>
      </c>
      <c r="O1025" s="7" t="str">
        <f>IF(ISNA(MATCH(1012,Engine!$C$2:$C$1199,0)),"",INDEX('Compliance Database'!$O$2:$O$1199,MATCH(1012,Engine!$C$2:$C$1199,0)))</f>
        <v/>
      </c>
      <c r="P1025" s="6" t="str">
        <f>IF(ISNA(MATCH(1012,Engine!$C$2:$C$1199,0)),"",HYPERLINK("#Acts!A"&amp;INDEX('Compliance Database'!$P$2:$P$1199,MATCH(1012,Engine!$C$2:$C$1199,0)),"Go to Act"))</f>
        <v/>
      </c>
    </row>
    <row r="1026" spans="1:16" ht="172.95" customHeight="1" x14ac:dyDescent="0.3">
      <c r="A1026" s="6" t="str">
        <f>IF(ISNA(MATCH(1013,Engine!$C$2:$C$1199,0)),"",INDEX('Compliance Database'!$A$2:$A$1199,MATCH(1013,Engine!$C$2:$C$1199,0)))</f>
        <v/>
      </c>
      <c r="B1026" s="6" t="str">
        <f>IF(ISNA(MATCH(1013,Engine!$C$2:$C$1199,0)),"",INDEX('Compliance Database'!$B$2:$B$1199,MATCH(1013,Engine!$C$2:$C$1199,0)))</f>
        <v/>
      </c>
      <c r="C1026" s="6" t="str">
        <f>IF(ISNA(MATCH(1013,Engine!$C$2:$C$1199,0)),"",INDEX('Compliance Database'!$C$2:$C$1199,MATCH(1013,Engine!$C$2:$C$1199,0)))</f>
        <v/>
      </c>
      <c r="D1026" s="7" t="str">
        <f>IF(ISNA(MATCH(1013,Engine!$C$2:$C$1199,0)),"",INDEX('Compliance Database'!$D$2:$D$1199,MATCH(1013,Engine!$C$2:$C$1199,0)))</f>
        <v/>
      </c>
      <c r="E1026" s="6" t="str">
        <f>IF(ISNA(MATCH(1013,Engine!$C$2:$C$1199,0)),"",INDEX('Compliance Database'!$E$2:$E$1199,MATCH(1013,Engine!$C$2:$C$1199,0)))</f>
        <v/>
      </c>
      <c r="F1026" s="6" t="str">
        <f>IF(ISNA(MATCH(1013,Engine!$C$2:$C$1199,0)),"",INDEX('Compliance Database'!$F$2:$F$1199,MATCH(1013,Engine!$C$2:$C$1199,0)))</f>
        <v/>
      </c>
      <c r="G1026" s="6" t="str">
        <f>IF(ISNA(MATCH(1013,Engine!$C$2:$C$1199,0)),"",INDEX('Compliance Database'!$G$2:$G$1199,MATCH(1013,Engine!$C$2:$C$1199,0)))</f>
        <v/>
      </c>
      <c r="H1026" s="7" t="str">
        <f>IF(ISNA(MATCH(1013,Engine!$C$2:$C$1199,0)),"",INDEX('Compliance Database'!$H$2:$H$1199,MATCH(1013,Engine!$C$2:$C$1199,0)))</f>
        <v/>
      </c>
      <c r="I1026" s="7" t="str">
        <f>IF(ISNA(MATCH(1013,Engine!$C$2:$C$1199,0)),"",INDEX('Compliance Database'!$I$2:$I$1199,MATCH(1013,Engine!$C$2:$C$1199,0)))</f>
        <v/>
      </c>
      <c r="J1026" s="6" t="str">
        <f>IF(ISNA(MATCH(1013,Engine!$C$2:$C$1199,0)),"",INDEX('Compliance Database'!$J$2:$J$1199,MATCH(1013,Engine!$C$2:$C$1199,0)))</f>
        <v/>
      </c>
      <c r="K1026" s="7" t="str">
        <f>IF(ISNA(MATCH(1013,Engine!$C$2:$C$1199,0)),"",INDEX('Compliance Database'!$K$2:$K$1199,MATCH(1013,Engine!$C$2:$C$1199,0)))</f>
        <v/>
      </c>
      <c r="L1026" s="7" t="str">
        <f>IF(ISNA(MATCH(1013,Engine!$C$2:$C$1199,0)),"",INDEX('Compliance Database'!$L$2:$L$1199,MATCH(1013,Engine!$C$2:$C$1199,0)))</f>
        <v/>
      </c>
      <c r="M1026" s="7" t="str">
        <f>IF(ISNA(MATCH(1013,Engine!$C$2:$C$1199,0)),"",INDEX('Compliance Database'!$M$2:$M$1199,MATCH(1013,Engine!$C$2:$C$1199,0)))</f>
        <v/>
      </c>
      <c r="N1026" s="7" t="str">
        <f>IF(ISNA(MATCH(1013,Engine!$C$2:$C$1199,0)),"",INDEX('Compliance Database'!$N$2:$N$1199,MATCH(1013,Engine!$C$2:$C$1199,0)))</f>
        <v/>
      </c>
      <c r="O1026" s="7" t="str">
        <f>IF(ISNA(MATCH(1013,Engine!$C$2:$C$1199,0)),"",INDEX('Compliance Database'!$O$2:$O$1199,MATCH(1013,Engine!$C$2:$C$1199,0)))</f>
        <v/>
      </c>
      <c r="P1026" s="6" t="str">
        <f>IF(ISNA(MATCH(1013,Engine!$C$2:$C$1199,0)),"",HYPERLINK("#Acts!A"&amp;INDEX('Compliance Database'!$P$2:$P$1199,MATCH(1013,Engine!$C$2:$C$1199,0)),"Go to Act"))</f>
        <v/>
      </c>
    </row>
    <row r="1027" spans="1:16" ht="172.95" customHeight="1" x14ac:dyDescent="0.3">
      <c r="A1027" s="6" t="str">
        <f>IF(ISNA(MATCH(1014,Engine!$C$2:$C$1199,0)),"",INDEX('Compliance Database'!$A$2:$A$1199,MATCH(1014,Engine!$C$2:$C$1199,0)))</f>
        <v/>
      </c>
      <c r="B1027" s="6" t="str">
        <f>IF(ISNA(MATCH(1014,Engine!$C$2:$C$1199,0)),"",INDEX('Compliance Database'!$B$2:$B$1199,MATCH(1014,Engine!$C$2:$C$1199,0)))</f>
        <v/>
      </c>
      <c r="C1027" s="6" t="str">
        <f>IF(ISNA(MATCH(1014,Engine!$C$2:$C$1199,0)),"",INDEX('Compliance Database'!$C$2:$C$1199,MATCH(1014,Engine!$C$2:$C$1199,0)))</f>
        <v/>
      </c>
      <c r="D1027" s="7" t="str">
        <f>IF(ISNA(MATCH(1014,Engine!$C$2:$C$1199,0)),"",INDEX('Compliance Database'!$D$2:$D$1199,MATCH(1014,Engine!$C$2:$C$1199,0)))</f>
        <v/>
      </c>
      <c r="E1027" s="6" t="str">
        <f>IF(ISNA(MATCH(1014,Engine!$C$2:$C$1199,0)),"",INDEX('Compliance Database'!$E$2:$E$1199,MATCH(1014,Engine!$C$2:$C$1199,0)))</f>
        <v/>
      </c>
      <c r="F1027" s="6" t="str">
        <f>IF(ISNA(MATCH(1014,Engine!$C$2:$C$1199,0)),"",INDEX('Compliance Database'!$F$2:$F$1199,MATCH(1014,Engine!$C$2:$C$1199,0)))</f>
        <v/>
      </c>
      <c r="G1027" s="6" t="str">
        <f>IF(ISNA(MATCH(1014,Engine!$C$2:$C$1199,0)),"",INDEX('Compliance Database'!$G$2:$G$1199,MATCH(1014,Engine!$C$2:$C$1199,0)))</f>
        <v/>
      </c>
      <c r="H1027" s="7" t="str">
        <f>IF(ISNA(MATCH(1014,Engine!$C$2:$C$1199,0)),"",INDEX('Compliance Database'!$H$2:$H$1199,MATCH(1014,Engine!$C$2:$C$1199,0)))</f>
        <v/>
      </c>
      <c r="I1027" s="7" t="str">
        <f>IF(ISNA(MATCH(1014,Engine!$C$2:$C$1199,0)),"",INDEX('Compliance Database'!$I$2:$I$1199,MATCH(1014,Engine!$C$2:$C$1199,0)))</f>
        <v/>
      </c>
      <c r="J1027" s="6" t="str">
        <f>IF(ISNA(MATCH(1014,Engine!$C$2:$C$1199,0)),"",INDEX('Compliance Database'!$J$2:$J$1199,MATCH(1014,Engine!$C$2:$C$1199,0)))</f>
        <v/>
      </c>
      <c r="K1027" s="7" t="str">
        <f>IF(ISNA(MATCH(1014,Engine!$C$2:$C$1199,0)),"",INDEX('Compliance Database'!$K$2:$K$1199,MATCH(1014,Engine!$C$2:$C$1199,0)))</f>
        <v/>
      </c>
      <c r="L1027" s="7" t="str">
        <f>IF(ISNA(MATCH(1014,Engine!$C$2:$C$1199,0)),"",INDEX('Compliance Database'!$L$2:$L$1199,MATCH(1014,Engine!$C$2:$C$1199,0)))</f>
        <v/>
      </c>
      <c r="M1027" s="7" t="str">
        <f>IF(ISNA(MATCH(1014,Engine!$C$2:$C$1199,0)),"",INDEX('Compliance Database'!$M$2:$M$1199,MATCH(1014,Engine!$C$2:$C$1199,0)))</f>
        <v/>
      </c>
      <c r="N1027" s="7" t="str">
        <f>IF(ISNA(MATCH(1014,Engine!$C$2:$C$1199,0)),"",INDEX('Compliance Database'!$N$2:$N$1199,MATCH(1014,Engine!$C$2:$C$1199,0)))</f>
        <v/>
      </c>
      <c r="O1027" s="7" t="str">
        <f>IF(ISNA(MATCH(1014,Engine!$C$2:$C$1199,0)),"",INDEX('Compliance Database'!$O$2:$O$1199,MATCH(1014,Engine!$C$2:$C$1199,0)))</f>
        <v/>
      </c>
      <c r="P1027" s="6" t="str">
        <f>IF(ISNA(MATCH(1014,Engine!$C$2:$C$1199,0)),"",HYPERLINK("#Acts!A"&amp;INDEX('Compliance Database'!$P$2:$P$1199,MATCH(1014,Engine!$C$2:$C$1199,0)),"Go to Act"))</f>
        <v/>
      </c>
    </row>
    <row r="1028" spans="1:16" ht="172.95" customHeight="1" x14ac:dyDescent="0.3">
      <c r="A1028" s="6" t="str">
        <f>IF(ISNA(MATCH(1015,Engine!$C$2:$C$1199,0)),"",INDEX('Compliance Database'!$A$2:$A$1199,MATCH(1015,Engine!$C$2:$C$1199,0)))</f>
        <v/>
      </c>
      <c r="B1028" s="6" t="str">
        <f>IF(ISNA(MATCH(1015,Engine!$C$2:$C$1199,0)),"",INDEX('Compliance Database'!$B$2:$B$1199,MATCH(1015,Engine!$C$2:$C$1199,0)))</f>
        <v/>
      </c>
      <c r="C1028" s="6" t="str">
        <f>IF(ISNA(MATCH(1015,Engine!$C$2:$C$1199,0)),"",INDEX('Compliance Database'!$C$2:$C$1199,MATCH(1015,Engine!$C$2:$C$1199,0)))</f>
        <v/>
      </c>
      <c r="D1028" s="7" t="str">
        <f>IF(ISNA(MATCH(1015,Engine!$C$2:$C$1199,0)),"",INDEX('Compliance Database'!$D$2:$D$1199,MATCH(1015,Engine!$C$2:$C$1199,0)))</f>
        <v/>
      </c>
      <c r="E1028" s="6" t="str">
        <f>IF(ISNA(MATCH(1015,Engine!$C$2:$C$1199,0)),"",INDEX('Compliance Database'!$E$2:$E$1199,MATCH(1015,Engine!$C$2:$C$1199,0)))</f>
        <v/>
      </c>
      <c r="F1028" s="6" t="str">
        <f>IF(ISNA(MATCH(1015,Engine!$C$2:$C$1199,0)),"",INDEX('Compliance Database'!$F$2:$F$1199,MATCH(1015,Engine!$C$2:$C$1199,0)))</f>
        <v/>
      </c>
      <c r="G1028" s="6" t="str">
        <f>IF(ISNA(MATCH(1015,Engine!$C$2:$C$1199,0)),"",INDEX('Compliance Database'!$G$2:$G$1199,MATCH(1015,Engine!$C$2:$C$1199,0)))</f>
        <v/>
      </c>
      <c r="H1028" s="7" t="str">
        <f>IF(ISNA(MATCH(1015,Engine!$C$2:$C$1199,0)),"",INDEX('Compliance Database'!$H$2:$H$1199,MATCH(1015,Engine!$C$2:$C$1199,0)))</f>
        <v/>
      </c>
      <c r="I1028" s="7" t="str">
        <f>IF(ISNA(MATCH(1015,Engine!$C$2:$C$1199,0)),"",INDEX('Compliance Database'!$I$2:$I$1199,MATCH(1015,Engine!$C$2:$C$1199,0)))</f>
        <v/>
      </c>
      <c r="J1028" s="6" t="str">
        <f>IF(ISNA(MATCH(1015,Engine!$C$2:$C$1199,0)),"",INDEX('Compliance Database'!$J$2:$J$1199,MATCH(1015,Engine!$C$2:$C$1199,0)))</f>
        <v/>
      </c>
      <c r="K1028" s="7" t="str">
        <f>IF(ISNA(MATCH(1015,Engine!$C$2:$C$1199,0)),"",INDEX('Compliance Database'!$K$2:$K$1199,MATCH(1015,Engine!$C$2:$C$1199,0)))</f>
        <v/>
      </c>
      <c r="L1028" s="7" t="str">
        <f>IF(ISNA(MATCH(1015,Engine!$C$2:$C$1199,0)),"",INDEX('Compliance Database'!$L$2:$L$1199,MATCH(1015,Engine!$C$2:$C$1199,0)))</f>
        <v/>
      </c>
      <c r="M1028" s="7" t="str">
        <f>IF(ISNA(MATCH(1015,Engine!$C$2:$C$1199,0)),"",INDEX('Compliance Database'!$M$2:$M$1199,MATCH(1015,Engine!$C$2:$C$1199,0)))</f>
        <v/>
      </c>
      <c r="N1028" s="7" t="str">
        <f>IF(ISNA(MATCH(1015,Engine!$C$2:$C$1199,0)),"",INDEX('Compliance Database'!$N$2:$N$1199,MATCH(1015,Engine!$C$2:$C$1199,0)))</f>
        <v/>
      </c>
      <c r="O1028" s="7" t="str">
        <f>IF(ISNA(MATCH(1015,Engine!$C$2:$C$1199,0)),"",INDEX('Compliance Database'!$O$2:$O$1199,MATCH(1015,Engine!$C$2:$C$1199,0)))</f>
        <v/>
      </c>
      <c r="P1028" s="6" t="str">
        <f>IF(ISNA(MATCH(1015,Engine!$C$2:$C$1199,0)),"",HYPERLINK("#Acts!A"&amp;INDEX('Compliance Database'!$P$2:$P$1199,MATCH(1015,Engine!$C$2:$C$1199,0)),"Go to Act"))</f>
        <v/>
      </c>
    </row>
    <row r="1029" spans="1:16" ht="172.95" customHeight="1" x14ac:dyDescent="0.3">
      <c r="A1029" s="6" t="str">
        <f>IF(ISNA(MATCH(1016,Engine!$C$2:$C$1199,0)),"",INDEX('Compliance Database'!$A$2:$A$1199,MATCH(1016,Engine!$C$2:$C$1199,0)))</f>
        <v/>
      </c>
      <c r="B1029" s="6" t="str">
        <f>IF(ISNA(MATCH(1016,Engine!$C$2:$C$1199,0)),"",INDEX('Compliance Database'!$B$2:$B$1199,MATCH(1016,Engine!$C$2:$C$1199,0)))</f>
        <v/>
      </c>
      <c r="C1029" s="6" t="str">
        <f>IF(ISNA(MATCH(1016,Engine!$C$2:$C$1199,0)),"",INDEX('Compliance Database'!$C$2:$C$1199,MATCH(1016,Engine!$C$2:$C$1199,0)))</f>
        <v/>
      </c>
      <c r="D1029" s="7" t="str">
        <f>IF(ISNA(MATCH(1016,Engine!$C$2:$C$1199,0)),"",INDEX('Compliance Database'!$D$2:$D$1199,MATCH(1016,Engine!$C$2:$C$1199,0)))</f>
        <v/>
      </c>
      <c r="E1029" s="6" t="str">
        <f>IF(ISNA(MATCH(1016,Engine!$C$2:$C$1199,0)),"",INDEX('Compliance Database'!$E$2:$E$1199,MATCH(1016,Engine!$C$2:$C$1199,0)))</f>
        <v/>
      </c>
      <c r="F1029" s="6" t="str">
        <f>IF(ISNA(MATCH(1016,Engine!$C$2:$C$1199,0)),"",INDEX('Compliance Database'!$F$2:$F$1199,MATCH(1016,Engine!$C$2:$C$1199,0)))</f>
        <v/>
      </c>
      <c r="G1029" s="6" t="str">
        <f>IF(ISNA(MATCH(1016,Engine!$C$2:$C$1199,0)),"",INDEX('Compliance Database'!$G$2:$G$1199,MATCH(1016,Engine!$C$2:$C$1199,0)))</f>
        <v/>
      </c>
      <c r="H1029" s="7" t="str">
        <f>IF(ISNA(MATCH(1016,Engine!$C$2:$C$1199,0)),"",INDEX('Compliance Database'!$H$2:$H$1199,MATCH(1016,Engine!$C$2:$C$1199,0)))</f>
        <v/>
      </c>
      <c r="I1029" s="7" t="str">
        <f>IF(ISNA(MATCH(1016,Engine!$C$2:$C$1199,0)),"",INDEX('Compliance Database'!$I$2:$I$1199,MATCH(1016,Engine!$C$2:$C$1199,0)))</f>
        <v/>
      </c>
      <c r="J1029" s="6" t="str">
        <f>IF(ISNA(MATCH(1016,Engine!$C$2:$C$1199,0)),"",INDEX('Compliance Database'!$J$2:$J$1199,MATCH(1016,Engine!$C$2:$C$1199,0)))</f>
        <v/>
      </c>
      <c r="K1029" s="7" t="str">
        <f>IF(ISNA(MATCH(1016,Engine!$C$2:$C$1199,0)),"",INDEX('Compliance Database'!$K$2:$K$1199,MATCH(1016,Engine!$C$2:$C$1199,0)))</f>
        <v/>
      </c>
      <c r="L1029" s="7" t="str">
        <f>IF(ISNA(MATCH(1016,Engine!$C$2:$C$1199,0)),"",INDEX('Compliance Database'!$L$2:$L$1199,MATCH(1016,Engine!$C$2:$C$1199,0)))</f>
        <v/>
      </c>
      <c r="M1029" s="7" t="str">
        <f>IF(ISNA(MATCH(1016,Engine!$C$2:$C$1199,0)),"",INDEX('Compliance Database'!$M$2:$M$1199,MATCH(1016,Engine!$C$2:$C$1199,0)))</f>
        <v/>
      </c>
      <c r="N1029" s="7" t="str">
        <f>IF(ISNA(MATCH(1016,Engine!$C$2:$C$1199,0)),"",INDEX('Compliance Database'!$N$2:$N$1199,MATCH(1016,Engine!$C$2:$C$1199,0)))</f>
        <v/>
      </c>
      <c r="O1029" s="7" t="str">
        <f>IF(ISNA(MATCH(1016,Engine!$C$2:$C$1199,0)),"",INDEX('Compliance Database'!$O$2:$O$1199,MATCH(1016,Engine!$C$2:$C$1199,0)))</f>
        <v/>
      </c>
      <c r="P1029" s="6" t="str">
        <f>IF(ISNA(MATCH(1016,Engine!$C$2:$C$1199,0)),"",HYPERLINK("#Acts!A"&amp;INDEX('Compliance Database'!$P$2:$P$1199,MATCH(1016,Engine!$C$2:$C$1199,0)),"Go to Act"))</f>
        <v/>
      </c>
    </row>
    <row r="1030" spans="1:16" ht="172.95" customHeight="1" x14ac:dyDescent="0.3">
      <c r="A1030" s="6" t="str">
        <f>IF(ISNA(MATCH(1017,Engine!$C$2:$C$1199,0)),"",INDEX('Compliance Database'!$A$2:$A$1199,MATCH(1017,Engine!$C$2:$C$1199,0)))</f>
        <v/>
      </c>
      <c r="B1030" s="6" t="str">
        <f>IF(ISNA(MATCH(1017,Engine!$C$2:$C$1199,0)),"",INDEX('Compliance Database'!$B$2:$B$1199,MATCH(1017,Engine!$C$2:$C$1199,0)))</f>
        <v/>
      </c>
      <c r="C1030" s="6" t="str">
        <f>IF(ISNA(MATCH(1017,Engine!$C$2:$C$1199,0)),"",INDEX('Compliance Database'!$C$2:$C$1199,MATCH(1017,Engine!$C$2:$C$1199,0)))</f>
        <v/>
      </c>
      <c r="D1030" s="7" t="str">
        <f>IF(ISNA(MATCH(1017,Engine!$C$2:$C$1199,0)),"",INDEX('Compliance Database'!$D$2:$D$1199,MATCH(1017,Engine!$C$2:$C$1199,0)))</f>
        <v/>
      </c>
      <c r="E1030" s="6" t="str">
        <f>IF(ISNA(MATCH(1017,Engine!$C$2:$C$1199,0)),"",INDEX('Compliance Database'!$E$2:$E$1199,MATCH(1017,Engine!$C$2:$C$1199,0)))</f>
        <v/>
      </c>
      <c r="F1030" s="6" t="str">
        <f>IF(ISNA(MATCH(1017,Engine!$C$2:$C$1199,0)),"",INDEX('Compliance Database'!$F$2:$F$1199,MATCH(1017,Engine!$C$2:$C$1199,0)))</f>
        <v/>
      </c>
      <c r="G1030" s="6" t="str">
        <f>IF(ISNA(MATCH(1017,Engine!$C$2:$C$1199,0)),"",INDEX('Compliance Database'!$G$2:$G$1199,MATCH(1017,Engine!$C$2:$C$1199,0)))</f>
        <v/>
      </c>
      <c r="H1030" s="7" t="str">
        <f>IF(ISNA(MATCH(1017,Engine!$C$2:$C$1199,0)),"",INDEX('Compliance Database'!$H$2:$H$1199,MATCH(1017,Engine!$C$2:$C$1199,0)))</f>
        <v/>
      </c>
      <c r="I1030" s="7" t="str">
        <f>IF(ISNA(MATCH(1017,Engine!$C$2:$C$1199,0)),"",INDEX('Compliance Database'!$I$2:$I$1199,MATCH(1017,Engine!$C$2:$C$1199,0)))</f>
        <v/>
      </c>
      <c r="J1030" s="6" t="str">
        <f>IF(ISNA(MATCH(1017,Engine!$C$2:$C$1199,0)),"",INDEX('Compliance Database'!$J$2:$J$1199,MATCH(1017,Engine!$C$2:$C$1199,0)))</f>
        <v/>
      </c>
      <c r="K1030" s="7" t="str">
        <f>IF(ISNA(MATCH(1017,Engine!$C$2:$C$1199,0)),"",INDEX('Compliance Database'!$K$2:$K$1199,MATCH(1017,Engine!$C$2:$C$1199,0)))</f>
        <v/>
      </c>
      <c r="L1030" s="7" t="str">
        <f>IF(ISNA(MATCH(1017,Engine!$C$2:$C$1199,0)),"",INDEX('Compliance Database'!$L$2:$L$1199,MATCH(1017,Engine!$C$2:$C$1199,0)))</f>
        <v/>
      </c>
      <c r="M1030" s="7" t="str">
        <f>IF(ISNA(MATCH(1017,Engine!$C$2:$C$1199,0)),"",INDEX('Compliance Database'!$M$2:$M$1199,MATCH(1017,Engine!$C$2:$C$1199,0)))</f>
        <v/>
      </c>
      <c r="N1030" s="7" t="str">
        <f>IF(ISNA(MATCH(1017,Engine!$C$2:$C$1199,0)),"",INDEX('Compliance Database'!$N$2:$N$1199,MATCH(1017,Engine!$C$2:$C$1199,0)))</f>
        <v/>
      </c>
      <c r="O1030" s="7" t="str">
        <f>IF(ISNA(MATCH(1017,Engine!$C$2:$C$1199,0)),"",INDEX('Compliance Database'!$O$2:$O$1199,MATCH(1017,Engine!$C$2:$C$1199,0)))</f>
        <v/>
      </c>
      <c r="P1030" s="6" t="str">
        <f>IF(ISNA(MATCH(1017,Engine!$C$2:$C$1199,0)),"",HYPERLINK("#Acts!A"&amp;INDEX('Compliance Database'!$P$2:$P$1199,MATCH(1017,Engine!$C$2:$C$1199,0)),"Go to Act"))</f>
        <v/>
      </c>
    </row>
    <row r="1031" spans="1:16" ht="172.95" customHeight="1" x14ac:dyDescent="0.3">
      <c r="A1031" s="6" t="str">
        <f>IF(ISNA(MATCH(1018,Engine!$C$2:$C$1199,0)),"",INDEX('Compliance Database'!$A$2:$A$1199,MATCH(1018,Engine!$C$2:$C$1199,0)))</f>
        <v/>
      </c>
      <c r="B1031" s="6" t="str">
        <f>IF(ISNA(MATCH(1018,Engine!$C$2:$C$1199,0)),"",INDEX('Compliance Database'!$B$2:$B$1199,MATCH(1018,Engine!$C$2:$C$1199,0)))</f>
        <v/>
      </c>
      <c r="C1031" s="6" t="str">
        <f>IF(ISNA(MATCH(1018,Engine!$C$2:$C$1199,0)),"",INDEX('Compliance Database'!$C$2:$C$1199,MATCH(1018,Engine!$C$2:$C$1199,0)))</f>
        <v/>
      </c>
      <c r="D1031" s="7" t="str">
        <f>IF(ISNA(MATCH(1018,Engine!$C$2:$C$1199,0)),"",INDEX('Compliance Database'!$D$2:$D$1199,MATCH(1018,Engine!$C$2:$C$1199,0)))</f>
        <v/>
      </c>
      <c r="E1031" s="6" t="str">
        <f>IF(ISNA(MATCH(1018,Engine!$C$2:$C$1199,0)),"",INDEX('Compliance Database'!$E$2:$E$1199,MATCH(1018,Engine!$C$2:$C$1199,0)))</f>
        <v/>
      </c>
      <c r="F1031" s="6" t="str">
        <f>IF(ISNA(MATCH(1018,Engine!$C$2:$C$1199,0)),"",INDEX('Compliance Database'!$F$2:$F$1199,MATCH(1018,Engine!$C$2:$C$1199,0)))</f>
        <v/>
      </c>
      <c r="G1031" s="6" t="str">
        <f>IF(ISNA(MATCH(1018,Engine!$C$2:$C$1199,0)),"",INDEX('Compliance Database'!$G$2:$G$1199,MATCH(1018,Engine!$C$2:$C$1199,0)))</f>
        <v/>
      </c>
      <c r="H1031" s="7" t="str">
        <f>IF(ISNA(MATCH(1018,Engine!$C$2:$C$1199,0)),"",INDEX('Compliance Database'!$H$2:$H$1199,MATCH(1018,Engine!$C$2:$C$1199,0)))</f>
        <v/>
      </c>
      <c r="I1031" s="7" t="str">
        <f>IF(ISNA(MATCH(1018,Engine!$C$2:$C$1199,0)),"",INDEX('Compliance Database'!$I$2:$I$1199,MATCH(1018,Engine!$C$2:$C$1199,0)))</f>
        <v/>
      </c>
      <c r="J1031" s="6" t="str">
        <f>IF(ISNA(MATCH(1018,Engine!$C$2:$C$1199,0)),"",INDEX('Compliance Database'!$J$2:$J$1199,MATCH(1018,Engine!$C$2:$C$1199,0)))</f>
        <v/>
      </c>
      <c r="K1031" s="7" t="str">
        <f>IF(ISNA(MATCH(1018,Engine!$C$2:$C$1199,0)),"",INDEX('Compliance Database'!$K$2:$K$1199,MATCH(1018,Engine!$C$2:$C$1199,0)))</f>
        <v/>
      </c>
      <c r="L1031" s="7" t="str">
        <f>IF(ISNA(MATCH(1018,Engine!$C$2:$C$1199,0)),"",INDEX('Compliance Database'!$L$2:$L$1199,MATCH(1018,Engine!$C$2:$C$1199,0)))</f>
        <v/>
      </c>
      <c r="M1031" s="7" t="str">
        <f>IF(ISNA(MATCH(1018,Engine!$C$2:$C$1199,0)),"",INDEX('Compliance Database'!$M$2:$M$1199,MATCH(1018,Engine!$C$2:$C$1199,0)))</f>
        <v/>
      </c>
      <c r="N1031" s="7" t="str">
        <f>IF(ISNA(MATCH(1018,Engine!$C$2:$C$1199,0)),"",INDEX('Compliance Database'!$N$2:$N$1199,MATCH(1018,Engine!$C$2:$C$1199,0)))</f>
        <v/>
      </c>
      <c r="O1031" s="7" t="str">
        <f>IF(ISNA(MATCH(1018,Engine!$C$2:$C$1199,0)),"",INDEX('Compliance Database'!$O$2:$O$1199,MATCH(1018,Engine!$C$2:$C$1199,0)))</f>
        <v/>
      </c>
      <c r="P1031" s="6" t="str">
        <f>IF(ISNA(MATCH(1018,Engine!$C$2:$C$1199,0)),"",HYPERLINK("#Acts!A"&amp;INDEX('Compliance Database'!$P$2:$P$1199,MATCH(1018,Engine!$C$2:$C$1199,0)),"Go to Act"))</f>
        <v/>
      </c>
    </row>
    <row r="1032" spans="1:16" ht="172.95" customHeight="1" x14ac:dyDescent="0.3">
      <c r="A1032" s="6" t="str">
        <f>IF(ISNA(MATCH(1019,Engine!$C$2:$C$1199,0)),"",INDEX('Compliance Database'!$A$2:$A$1199,MATCH(1019,Engine!$C$2:$C$1199,0)))</f>
        <v/>
      </c>
      <c r="B1032" s="6" t="str">
        <f>IF(ISNA(MATCH(1019,Engine!$C$2:$C$1199,0)),"",INDEX('Compliance Database'!$B$2:$B$1199,MATCH(1019,Engine!$C$2:$C$1199,0)))</f>
        <v/>
      </c>
      <c r="C1032" s="6" t="str">
        <f>IF(ISNA(MATCH(1019,Engine!$C$2:$C$1199,0)),"",INDEX('Compliance Database'!$C$2:$C$1199,MATCH(1019,Engine!$C$2:$C$1199,0)))</f>
        <v/>
      </c>
      <c r="D1032" s="7" t="str">
        <f>IF(ISNA(MATCH(1019,Engine!$C$2:$C$1199,0)),"",INDEX('Compliance Database'!$D$2:$D$1199,MATCH(1019,Engine!$C$2:$C$1199,0)))</f>
        <v/>
      </c>
      <c r="E1032" s="6" t="str">
        <f>IF(ISNA(MATCH(1019,Engine!$C$2:$C$1199,0)),"",INDEX('Compliance Database'!$E$2:$E$1199,MATCH(1019,Engine!$C$2:$C$1199,0)))</f>
        <v/>
      </c>
      <c r="F1032" s="6" t="str">
        <f>IF(ISNA(MATCH(1019,Engine!$C$2:$C$1199,0)),"",INDEX('Compliance Database'!$F$2:$F$1199,MATCH(1019,Engine!$C$2:$C$1199,0)))</f>
        <v/>
      </c>
      <c r="G1032" s="6" t="str">
        <f>IF(ISNA(MATCH(1019,Engine!$C$2:$C$1199,0)),"",INDEX('Compliance Database'!$G$2:$G$1199,MATCH(1019,Engine!$C$2:$C$1199,0)))</f>
        <v/>
      </c>
      <c r="H1032" s="7" t="str">
        <f>IF(ISNA(MATCH(1019,Engine!$C$2:$C$1199,0)),"",INDEX('Compliance Database'!$H$2:$H$1199,MATCH(1019,Engine!$C$2:$C$1199,0)))</f>
        <v/>
      </c>
      <c r="I1032" s="7" t="str">
        <f>IF(ISNA(MATCH(1019,Engine!$C$2:$C$1199,0)),"",INDEX('Compliance Database'!$I$2:$I$1199,MATCH(1019,Engine!$C$2:$C$1199,0)))</f>
        <v/>
      </c>
      <c r="J1032" s="6" t="str">
        <f>IF(ISNA(MATCH(1019,Engine!$C$2:$C$1199,0)),"",INDEX('Compliance Database'!$J$2:$J$1199,MATCH(1019,Engine!$C$2:$C$1199,0)))</f>
        <v/>
      </c>
      <c r="K1032" s="7" t="str">
        <f>IF(ISNA(MATCH(1019,Engine!$C$2:$C$1199,0)),"",INDEX('Compliance Database'!$K$2:$K$1199,MATCH(1019,Engine!$C$2:$C$1199,0)))</f>
        <v/>
      </c>
      <c r="L1032" s="7" t="str">
        <f>IF(ISNA(MATCH(1019,Engine!$C$2:$C$1199,0)),"",INDEX('Compliance Database'!$L$2:$L$1199,MATCH(1019,Engine!$C$2:$C$1199,0)))</f>
        <v/>
      </c>
      <c r="M1032" s="7" t="str">
        <f>IF(ISNA(MATCH(1019,Engine!$C$2:$C$1199,0)),"",INDEX('Compliance Database'!$M$2:$M$1199,MATCH(1019,Engine!$C$2:$C$1199,0)))</f>
        <v/>
      </c>
      <c r="N1032" s="7" t="str">
        <f>IF(ISNA(MATCH(1019,Engine!$C$2:$C$1199,0)),"",INDEX('Compliance Database'!$N$2:$N$1199,MATCH(1019,Engine!$C$2:$C$1199,0)))</f>
        <v/>
      </c>
      <c r="O1032" s="7" t="str">
        <f>IF(ISNA(MATCH(1019,Engine!$C$2:$C$1199,0)),"",INDEX('Compliance Database'!$O$2:$O$1199,MATCH(1019,Engine!$C$2:$C$1199,0)))</f>
        <v/>
      </c>
      <c r="P1032" s="6" t="str">
        <f>IF(ISNA(MATCH(1019,Engine!$C$2:$C$1199,0)),"",HYPERLINK("#Acts!A"&amp;INDEX('Compliance Database'!$P$2:$P$1199,MATCH(1019,Engine!$C$2:$C$1199,0)),"Go to Act"))</f>
        <v/>
      </c>
    </row>
    <row r="1033" spans="1:16" ht="172.95" customHeight="1" x14ac:dyDescent="0.3">
      <c r="A1033" s="6" t="str">
        <f>IF(ISNA(MATCH(1020,Engine!$C$2:$C$1199,0)),"",INDEX('Compliance Database'!$A$2:$A$1199,MATCH(1020,Engine!$C$2:$C$1199,0)))</f>
        <v/>
      </c>
      <c r="B1033" s="6" t="str">
        <f>IF(ISNA(MATCH(1020,Engine!$C$2:$C$1199,0)),"",INDEX('Compliance Database'!$B$2:$B$1199,MATCH(1020,Engine!$C$2:$C$1199,0)))</f>
        <v/>
      </c>
      <c r="C1033" s="6" t="str">
        <f>IF(ISNA(MATCH(1020,Engine!$C$2:$C$1199,0)),"",INDEX('Compliance Database'!$C$2:$C$1199,MATCH(1020,Engine!$C$2:$C$1199,0)))</f>
        <v/>
      </c>
      <c r="D1033" s="7" t="str">
        <f>IF(ISNA(MATCH(1020,Engine!$C$2:$C$1199,0)),"",INDEX('Compliance Database'!$D$2:$D$1199,MATCH(1020,Engine!$C$2:$C$1199,0)))</f>
        <v/>
      </c>
      <c r="E1033" s="6" t="str">
        <f>IF(ISNA(MATCH(1020,Engine!$C$2:$C$1199,0)),"",INDEX('Compliance Database'!$E$2:$E$1199,MATCH(1020,Engine!$C$2:$C$1199,0)))</f>
        <v/>
      </c>
      <c r="F1033" s="6" t="str">
        <f>IF(ISNA(MATCH(1020,Engine!$C$2:$C$1199,0)),"",INDEX('Compliance Database'!$F$2:$F$1199,MATCH(1020,Engine!$C$2:$C$1199,0)))</f>
        <v/>
      </c>
      <c r="G1033" s="6" t="str">
        <f>IF(ISNA(MATCH(1020,Engine!$C$2:$C$1199,0)),"",INDEX('Compliance Database'!$G$2:$G$1199,MATCH(1020,Engine!$C$2:$C$1199,0)))</f>
        <v/>
      </c>
      <c r="H1033" s="7" t="str">
        <f>IF(ISNA(MATCH(1020,Engine!$C$2:$C$1199,0)),"",INDEX('Compliance Database'!$H$2:$H$1199,MATCH(1020,Engine!$C$2:$C$1199,0)))</f>
        <v/>
      </c>
      <c r="I1033" s="7" t="str">
        <f>IF(ISNA(MATCH(1020,Engine!$C$2:$C$1199,0)),"",INDEX('Compliance Database'!$I$2:$I$1199,MATCH(1020,Engine!$C$2:$C$1199,0)))</f>
        <v/>
      </c>
      <c r="J1033" s="6" t="str">
        <f>IF(ISNA(MATCH(1020,Engine!$C$2:$C$1199,0)),"",INDEX('Compliance Database'!$J$2:$J$1199,MATCH(1020,Engine!$C$2:$C$1199,0)))</f>
        <v/>
      </c>
      <c r="K1033" s="7" t="str">
        <f>IF(ISNA(MATCH(1020,Engine!$C$2:$C$1199,0)),"",INDEX('Compliance Database'!$K$2:$K$1199,MATCH(1020,Engine!$C$2:$C$1199,0)))</f>
        <v/>
      </c>
      <c r="L1033" s="7" t="str">
        <f>IF(ISNA(MATCH(1020,Engine!$C$2:$C$1199,0)),"",INDEX('Compliance Database'!$L$2:$L$1199,MATCH(1020,Engine!$C$2:$C$1199,0)))</f>
        <v/>
      </c>
      <c r="M1033" s="7" t="str">
        <f>IF(ISNA(MATCH(1020,Engine!$C$2:$C$1199,0)),"",INDEX('Compliance Database'!$M$2:$M$1199,MATCH(1020,Engine!$C$2:$C$1199,0)))</f>
        <v/>
      </c>
      <c r="N1033" s="7" t="str">
        <f>IF(ISNA(MATCH(1020,Engine!$C$2:$C$1199,0)),"",INDEX('Compliance Database'!$N$2:$N$1199,MATCH(1020,Engine!$C$2:$C$1199,0)))</f>
        <v/>
      </c>
      <c r="O1033" s="7" t="str">
        <f>IF(ISNA(MATCH(1020,Engine!$C$2:$C$1199,0)),"",INDEX('Compliance Database'!$O$2:$O$1199,MATCH(1020,Engine!$C$2:$C$1199,0)))</f>
        <v/>
      </c>
      <c r="P1033" s="6" t="str">
        <f>IF(ISNA(MATCH(1020,Engine!$C$2:$C$1199,0)),"",HYPERLINK("#Acts!A"&amp;INDEX('Compliance Database'!$P$2:$P$1199,MATCH(1020,Engine!$C$2:$C$1199,0)),"Go to Act"))</f>
        <v/>
      </c>
    </row>
    <row r="1034" spans="1:16" ht="172.95" customHeight="1" x14ac:dyDescent="0.3">
      <c r="A1034" s="6" t="str">
        <f>IF(ISNA(MATCH(1021,Engine!$C$2:$C$1199,0)),"",INDEX('Compliance Database'!$A$2:$A$1199,MATCH(1021,Engine!$C$2:$C$1199,0)))</f>
        <v/>
      </c>
      <c r="B1034" s="6" t="str">
        <f>IF(ISNA(MATCH(1021,Engine!$C$2:$C$1199,0)),"",INDEX('Compliance Database'!$B$2:$B$1199,MATCH(1021,Engine!$C$2:$C$1199,0)))</f>
        <v/>
      </c>
      <c r="C1034" s="6" t="str">
        <f>IF(ISNA(MATCH(1021,Engine!$C$2:$C$1199,0)),"",INDEX('Compliance Database'!$C$2:$C$1199,MATCH(1021,Engine!$C$2:$C$1199,0)))</f>
        <v/>
      </c>
      <c r="D1034" s="7" t="str">
        <f>IF(ISNA(MATCH(1021,Engine!$C$2:$C$1199,0)),"",INDEX('Compliance Database'!$D$2:$D$1199,MATCH(1021,Engine!$C$2:$C$1199,0)))</f>
        <v/>
      </c>
      <c r="E1034" s="6" t="str">
        <f>IF(ISNA(MATCH(1021,Engine!$C$2:$C$1199,0)),"",INDEX('Compliance Database'!$E$2:$E$1199,MATCH(1021,Engine!$C$2:$C$1199,0)))</f>
        <v/>
      </c>
      <c r="F1034" s="6" t="str">
        <f>IF(ISNA(MATCH(1021,Engine!$C$2:$C$1199,0)),"",INDEX('Compliance Database'!$F$2:$F$1199,MATCH(1021,Engine!$C$2:$C$1199,0)))</f>
        <v/>
      </c>
      <c r="G1034" s="6" t="str">
        <f>IF(ISNA(MATCH(1021,Engine!$C$2:$C$1199,0)),"",INDEX('Compliance Database'!$G$2:$G$1199,MATCH(1021,Engine!$C$2:$C$1199,0)))</f>
        <v/>
      </c>
      <c r="H1034" s="7" t="str">
        <f>IF(ISNA(MATCH(1021,Engine!$C$2:$C$1199,0)),"",INDEX('Compliance Database'!$H$2:$H$1199,MATCH(1021,Engine!$C$2:$C$1199,0)))</f>
        <v/>
      </c>
      <c r="I1034" s="7" t="str">
        <f>IF(ISNA(MATCH(1021,Engine!$C$2:$C$1199,0)),"",INDEX('Compliance Database'!$I$2:$I$1199,MATCH(1021,Engine!$C$2:$C$1199,0)))</f>
        <v/>
      </c>
      <c r="J1034" s="6" t="str">
        <f>IF(ISNA(MATCH(1021,Engine!$C$2:$C$1199,0)),"",INDEX('Compliance Database'!$J$2:$J$1199,MATCH(1021,Engine!$C$2:$C$1199,0)))</f>
        <v/>
      </c>
      <c r="K1034" s="7" t="str">
        <f>IF(ISNA(MATCH(1021,Engine!$C$2:$C$1199,0)),"",INDEX('Compliance Database'!$K$2:$K$1199,MATCH(1021,Engine!$C$2:$C$1199,0)))</f>
        <v/>
      </c>
      <c r="L1034" s="7" t="str">
        <f>IF(ISNA(MATCH(1021,Engine!$C$2:$C$1199,0)),"",INDEX('Compliance Database'!$L$2:$L$1199,MATCH(1021,Engine!$C$2:$C$1199,0)))</f>
        <v/>
      </c>
      <c r="M1034" s="7" t="str">
        <f>IF(ISNA(MATCH(1021,Engine!$C$2:$C$1199,0)),"",INDEX('Compliance Database'!$M$2:$M$1199,MATCH(1021,Engine!$C$2:$C$1199,0)))</f>
        <v/>
      </c>
      <c r="N1034" s="7" t="str">
        <f>IF(ISNA(MATCH(1021,Engine!$C$2:$C$1199,0)),"",INDEX('Compliance Database'!$N$2:$N$1199,MATCH(1021,Engine!$C$2:$C$1199,0)))</f>
        <v/>
      </c>
      <c r="O1034" s="7" t="str">
        <f>IF(ISNA(MATCH(1021,Engine!$C$2:$C$1199,0)),"",INDEX('Compliance Database'!$O$2:$O$1199,MATCH(1021,Engine!$C$2:$C$1199,0)))</f>
        <v/>
      </c>
      <c r="P1034" s="6" t="str">
        <f>IF(ISNA(MATCH(1021,Engine!$C$2:$C$1199,0)),"",HYPERLINK("#Acts!A"&amp;INDEX('Compliance Database'!$P$2:$P$1199,MATCH(1021,Engine!$C$2:$C$1199,0)),"Go to Act"))</f>
        <v/>
      </c>
    </row>
    <row r="1035" spans="1:16" ht="172.95" customHeight="1" x14ac:dyDescent="0.3">
      <c r="A1035" s="6" t="str">
        <f>IF(ISNA(MATCH(1022,Engine!$C$2:$C$1199,0)),"",INDEX('Compliance Database'!$A$2:$A$1199,MATCH(1022,Engine!$C$2:$C$1199,0)))</f>
        <v/>
      </c>
      <c r="B1035" s="6" t="str">
        <f>IF(ISNA(MATCH(1022,Engine!$C$2:$C$1199,0)),"",INDEX('Compliance Database'!$B$2:$B$1199,MATCH(1022,Engine!$C$2:$C$1199,0)))</f>
        <v/>
      </c>
      <c r="C1035" s="6" t="str">
        <f>IF(ISNA(MATCH(1022,Engine!$C$2:$C$1199,0)),"",INDEX('Compliance Database'!$C$2:$C$1199,MATCH(1022,Engine!$C$2:$C$1199,0)))</f>
        <v/>
      </c>
      <c r="D1035" s="7" t="str">
        <f>IF(ISNA(MATCH(1022,Engine!$C$2:$C$1199,0)),"",INDEX('Compliance Database'!$D$2:$D$1199,MATCH(1022,Engine!$C$2:$C$1199,0)))</f>
        <v/>
      </c>
      <c r="E1035" s="6" t="str">
        <f>IF(ISNA(MATCH(1022,Engine!$C$2:$C$1199,0)),"",INDEX('Compliance Database'!$E$2:$E$1199,MATCH(1022,Engine!$C$2:$C$1199,0)))</f>
        <v/>
      </c>
      <c r="F1035" s="6" t="str">
        <f>IF(ISNA(MATCH(1022,Engine!$C$2:$C$1199,0)),"",INDEX('Compliance Database'!$F$2:$F$1199,MATCH(1022,Engine!$C$2:$C$1199,0)))</f>
        <v/>
      </c>
      <c r="G1035" s="6" t="str">
        <f>IF(ISNA(MATCH(1022,Engine!$C$2:$C$1199,0)),"",INDEX('Compliance Database'!$G$2:$G$1199,MATCH(1022,Engine!$C$2:$C$1199,0)))</f>
        <v/>
      </c>
      <c r="H1035" s="7" t="str">
        <f>IF(ISNA(MATCH(1022,Engine!$C$2:$C$1199,0)),"",INDEX('Compliance Database'!$H$2:$H$1199,MATCH(1022,Engine!$C$2:$C$1199,0)))</f>
        <v/>
      </c>
      <c r="I1035" s="7" t="str">
        <f>IF(ISNA(MATCH(1022,Engine!$C$2:$C$1199,0)),"",INDEX('Compliance Database'!$I$2:$I$1199,MATCH(1022,Engine!$C$2:$C$1199,0)))</f>
        <v/>
      </c>
      <c r="J1035" s="6" t="str">
        <f>IF(ISNA(MATCH(1022,Engine!$C$2:$C$1199,0)),"",INDEX('Compliance Database'!$J$2:$J$1199,MATCH(1022,Engine!$C$2:$C$1199,0)))</f>
        <v/>
      </c>
      <c r="K1035" s="7" t="str">
        <f>IF(ISNA(MATCH(1022,Engine!$C$2:$C$1199,0)),"",INDEX('Compliance Database'!$K$2:$K$1199,MATCH(1022,Engine!$C$2:$C$1199,0)))</f>
        <v/>
      </c>
      <c r="L1035" s="7" t="str">
        <f>IF(ISNA(MATCH(1022,Engine!$C$2:$C$1199,0)),"",INDEX('Compliance Database'!$L$2:$L$1199,MATCH(1022,Engine!$C$2:$C$1199,0)))</f>
        <v/>
      </c>
      <c r="M1035" s="7" t="str">
        <f>IF(ISNA(MATCH(1022,Engine!$C$2:$C$1199,0)),"",INDEX('Compliance Database'!$M$2:$M$1199,MATCH(1022,Engine!$C$2:$C$1199,0)))</f>
        <v/>
      </c>
      <c r="N1035" s="7" t="str">
        <f>IF(ISNA(MATCH(1022,Engine!$C$2:$C$1199,0)),"",INDEX('Compliance Database'!$N$2:$N$1199,MATCH(1022,Engine!$C$2:$C$1199,0)))</f>
        <v/>
      </c>
      <c r="O1035" s="7" t="str">
        <f>IF(ISNA(MATCH(1022,Engine!$C$2:$C$1199,0)),"",INDEX('Compliance Database'!$O$2:$O$1199,MATCH(1022,Engine!$C$2:$C$1199,0)))</f>
        <v/>
      </c>
      <c r="P1035" s="6" t="str">
        <f>IF(ISNA(MATCH(1022,Engine!$C$2:$C$1199,0)),"",HYPERLINK("#Acts!A"&amp;INDEX('Compliance Database'!$P$2:$P$1199,MATCH(1022,Engine!$C$2:$C$1199,0)),"Go to Act"))</f>
        <v/>
      </c>
    </row>
    <row r="1036" spans="1:16" ht="172.95" customHeight="1" x14ac:dyDescent="0.3">
      <c r="A1036" s="6" t="str">
        <f>IF(ISNA(MATCH(1023,Engine!$C$2:$C$1199,0)),"",INDEX('Compliance Database'!$A$2:$A$1199,MATCH(1023,Engine!$C$2:$C$1199,0)))</f>
        <v/>
      </c>
      <c r="B1036" s="6" t="str">
        <f>IF(ISNA(MATCH(1023,Engine!$C$2:$C$1199,0)),"",INDEX('Compliance Database'!$B$2:$B$1199,MATCH(1023,Engine!$C$2:$C$1199,0)))</f>
        <v/>
      </c>
      <c r="C1036" s="6" t="str">
        <f>IF(ISNA(MATCH(1023,Engine!$C$2:$C$1199,0)),"",INDEX('Compliance Database'!$C$2:$C$1199,MATCH(1023,Engine!$C$2:$C$1199,0)))</f>
        <v/>
      </c>
      <c r="D1036" s="7" t="str">
        <f>IF(ISNA(MATCH(1023,Engine!$C$2:$C$1199,0)),"",INDEX('Compliance Database'!$D$2:$D$1199,MATCH(1023,Engine!$C$2:$C$1199,0)))</f>
        <v/>
      </c>
      <c r="E1036" s="6" t="str">
        <f>IF(ISNA(MATCH(1023,Engine!$C$2:$C$1199,0)),"",INDEX('Compliance Database'!$E$2:$E$1199,MATCH(1023,Engine!$C$2:$C$1199,0)))</f>
        <v/>
      </c>
      <c r="F1036" s="6" t="str">
        <f>IF(ISNA(MATCH(1023,Engine!$C$2:$C$1199,0)),"",INDEX('Compliance Database'!$F$2:$F$1199,MATCH(1023,Engine!$C$2:$C$1199,0)))</f>
        <v/>
      </c>
      <c r="G1036" s="6" t="str">
        <f>IF(ISNA(MATCH(1023,Engine!$C$2:$C$1199,0)),"",INDEX('Compliance Database'!$G$2:$G$1199,MATCH(1023,Engine!$C$2:$C$1199,0)))</f>
        <v/>
      </c>
      <c r="H1036" s="7" t="str">
        <f>IF(ISNA(MATCH(1023,Engine!$C$2:$C$1199,0)),"",INDEX('Compliance Database'!$H$2:$H$1199,MATCH(1023,Engine!$C$2:$C$1199,0)))</f>
        <v/>
      </c>
      <c r="I1036" s="7" t="str">
        <f>IF(ISNA(MATCH(1023,Engine!$C$2:$C$1199,0)),"",INDEX('Compliance Database'!$I$2:$I$1199,MATCH(1023,Engine!$C$2:$C$1199,0)))</f>
        <v/>
      </c>
      <c r="J1036" s="6" t="str">
        <f>IF(ISNA(MATCH(1023,Engine!$C$2:$C$1199,0)),"",INDEX('Compliance Database'!$J$2:$J$1199,MATCH(1023,Engine!$C$2:$C$1199,0)))</f>
        <v/>
      </c>
      <c r="K1036" s="7" t="str">
        <f>IF(ISNA(MATCH(1023,Engine!$C$2:$C$1199,0)),"",INDEX('Compliance Database'!$K$2:$K$1199,MATCH(1023,Engine!$C$2:$C$1199,0)))</f>
        <v/>
      </c>
      <c r="L1036" s="7" t="str">
        <f>IF(ISNA(MATCH(1023,Engine!$C$2:$C$1199,0)),"",INDEX('Compliance Database'!$L$2:$L$1199,MATCH(1023,Engine!$C$2:$C$1199,0)))</f>
        <v/>
      </c>
      <c r="M1036" s="7" t="str">
        <f>IF(ISNA(MATCH(1023,Engine!$C$2:$C$1199,0)),"",INDEX('Compliance Database'!$M$2:$M$1199,MATCH(1023,Engine!$C$2:$C$1199,0)))</f>
        <v/>
      </c>
      <c r="N1036" s="7" t="str">
        <f>IF(ISNA(MATCH(1023,Engine!$C$2:$C$1199,0)),"",INDEX('Compliance Database'!$N$2:$N$1199,MATCH(1023,Engine!$C$2:$C$1199,0)))</f>
        <v/>
      </c>
      <c r="O1036" s="7" t="str">
        <f>IF(ISNA(MATCH(1023,Engine!$C$2:$C$1199,0)),"",INDEX('Compliance Database'!$O$2:$O$1199,MATCH(1023,Engine!$C$2:$C$1199,0)))</f>
        <v/>
      </c>
      <c r="P1036" s="6" t="str">
        <f>IF(ISNA(MATCH(1023,Engine!$C$2:$C$1199,0)),"",HYPERLINK("#Acts!A"&amp;INDEX('Compliance Database'!$P$2:$P$1199,MATCH(1023,Engine!$C$2:$C$1199,0)),"Go to Act"))</f>
        <v/>
      </c>
    </row>
    <row r="1037" spans="1:16" ht="172.95" customHeight="1" x14ac:dyDescent="0.3">
      <c r="A1037" s="6" t="str">
        <f>IF(ISNA(MATCH(1024,Engine!$C$2:$C$1199,0)),"",INDEX('Compliance Database'!$A$2:$A$1199,MATCH(1024,Engine!$C$2:$C$1199,0)))</f>
        <v/>
      </c>
      <c r="B1037" s="6" t="str">
        <f>IF(ISNA(MATCH(1024,Engine!$C$2:$C$1199,0)),"",INDEX('Compliance Database'!$B$2:$B$1199,MATCH(1024,Engine!$C$2:$C$1199,0)))</f>
        <v/>
      </c>
      <c r="C1037" s="6" t="str">
        <f>IF(ISNA(MATCH(1024,Engine!$C$2:$C$1199,0)),"",INDEX('Compliance Database'!$C$2:$C$1199,MATCH(1024,Engine!$C$2:$C$1199,0)))</f>
        <v/>
      </c>
      <c r="D1037" s="7" t="str">
        <f>IF(ISNA(MATCH(1024,Engine!$C$2:$C$1199,0)),"",INDEX('Compliance Database'!$D$2:$D$1199,MATCH(1024,Engine!$C$2:$C$1199,0)))</f>
        <v/>
      </c>
      <c r="E1037" s="6" t="str">
        <f>IF(ISNA(MATCH(1024,Engine!$C$2:$C$1199,0)),"",INDEX('Compliance Database'!$E$2:$E$1199,MATCH(1024,Engine!$C$2:$C$1199,0)))</f>
        <v/>
      </c>
      <c r="F1037" s="6" t="str">
        <f>IF(ISNA(MATCH(1024,Engine!$C$2:$C$1199,0)),"",INDEX('Compliance Database'!$F$2:$F$1199,MATCH(1024,Engine!$C$2:$C$1199,0)))</f>
        <v/>
      </c>
      <c r="G1037" s="6" t="str">
        <f>IF(ISNA(MATCH(1024,Engine!$C$2:$C$1199,0)),"",INDEX('Compliance Database'!$G$2:$G$1199,MATCH(1024,Engine!$C$2:$C$1199,0)))</f>
        <v/>
      </c>
      <c r="H1037" s="7" t="str">
        <f>IF(ISNA(MATCH(1024,Engine!$C$2:$C$1199,0)),"",INDEX('Compliance Database'!$H$2:$H$1199,MATCH(1024,Engine!$C$2:$C$1199,0)))</f>
        <v/>
      </c>
      <c r="I1037" s="7" t="str">
        <f>IF(ISNA(MATCH(1024,Engine!$C$2:$C$1199,0)),"",INDEX('Compliance Database'!$I$2:$I$1199,MATCH(1024,Engine!$C$2:$C$1199,0)))</f>
        <v/>
      </c>
      <c r="J1037" s="6" t="str">
        <f>IF(ISNA(MATCH(1024,Engine!$C$2:$C$1199,0)),"",INDEX('Compliance Database'!$J$2:$J$1199,MATCH(1024,Engine!$C$2:$C$1199,0)))</f>
        <v/>
      </c>
      <c r="K1037" s="7" t="str">
        <f>IF(ISNA(MATCH(1024,Engine!$C$2:$C$1199,0)),"",INDEX('Compliance Database'!$K$2:$K$1199,MATCH(1024,Engine!$C$2:$C$1199,0)))</f>
        <v/>
      </c>
      <c r="L1037" s="7" t="str">
        <f>IF(ISNA(MATCH(1024,Engine!$C$2:$C$1199,0)),"",INDEX('Compliance Database'!$L$2:$L$1199,MATCH(1024,Engine!$C$2:$C$1199,0)))</f>
        <v/>
      </c>
      <c r="M1037" s="7" t="str">
        <f>IF(ISNA(MATCH(1024,Engine!$C$2:$C$1199,0)),"",INDEX('Compliance Database'!$M$2:$M$1199,MATCH(1024,Engine!$C$2:$C$1199,0)))</f>
        <v/>
      </c>
      <c r="N1037" s="7" t="str">
        <f>IF(ISNA(MATCH(1024,Engine!$C$2:$C$1199,0)),"",INDEX('Compliance Database'!$N$2:$N$1199,MATCH(1024,Engine!$C$2:$C$1199,0)))</f>
        <v/>
      </c>
      <c r="O1037" s="7" t="str">
        <f>IF(ISNA(MATCH(1024,Engine!$C$2:$C$1199,0)),"",INDEX('Compliance Database'!$O$2:$O$1199,MATCH(1024,Engine!$C$2:$C$1199,0)))</f>
        <v/>
      </c>
      <c r="P1037" s="6" t="str">
        <f>IF(ISNA(MATCH(1024,Engine!$C$2:$C$1199,0)),"",HYPERLINK("#Acts!A"&amp;INDEX('Compliance Database'!$P$2:$P$1199,MATCH(1024,Engine!$C$2:$C$1199,0)),"Go to Act"))</f>
        <v/>
      </c>
    </row>
    <row r="1038" spans="1:16" ht="172.95" customHeight="1" x14ac:dyDescent="0.3">
      <c r="A1038" s="6" t="str">
        <f>IF(ISNA(MATCH(1025,Engine!$C$2:$C$1199,0)),"",INDEX('Compliance Database'!$A$2:$A$1199,MATCH(1025,Engine!$C$2:$C$1199,0)))</f>
        <v/>
      </c>
      <c r="B1038" s="6" t="str">
        <f>IF(ISNA(MATCH(1025,Engine!$C$2:$C$1199,0)),"",INDEX('Compliance Database'!$B$2:$B$1199,MATCH(1025,Engine!$C$2:$C$1199,0)))</f>
        <v/>
      </c>
      <c r="C1038" s="6" t="str">
        <f>IF(ISNA(MATCH(1025,Engine!$C$2:$C$1199,0)),"",INDEX('Compliance Database'!$C$2:$C$1199,MATCH(1025,Engine!$C$2:$C$1199,0)))</f>
        <v/>
      </c>
      <c r="D1038" s="7" t="str">
        <f>IF(ISNA(MATCH(1025,Engine!$C$2:$C$1199,0)),"",INDEX('Compliance Database'!$D$2:$D$1199,MATCH(1025,Engine!$C$2:$C$1199,0)))</f>
        <v/>
      </c>
      <c r="E1038" s="6" t="str">
        <f>IF(ISNA(MATCH(1025,Engine!$C$2:$C$1199,0)),"",INDEX('Compliance Database'!$E$2:$E$1199,MATCH(1025,Engine!$C$2:$C$1199,0)))</f>
        <v/>
      </c>
      <c r="F1038" s="6" t="str">
        <f>IF(ISNA(MATCH(1025,Engine!$C$2:$C$1199,0)),"",INDEX('Compliance Database'!$F$2:$F$1199,MATCH(1025,Engine!$C$2:$C$1199,0)))</f>
        <v/>
      </c>
      <c r="G1038" s="6" t="str">
        <f>IF(ISNA(MATCH(1025,Engine!$C$2:$C$1199,0)),"",INDEX('Compliance Database'!$G$2:$G$1199,MATCH(1025,Engine!$C$2:$C$1199,0)))</f>
        <v/>
      </c>
      <c r="H1038" s="7" t="str">
        <f>IF(ISNA(MATCH(1025,Engine!$C$2:$C$1199,0)),"",INDEX('Compliance Database'!$H$2:$H$1199,MATCH(1025,Engine!$C$2:$C$1199,0)))</f>
        <v/>
      </c>
      <c r="I1038" s="7" t="str">
        <f>IF(ISNA(MATCH(1025,Engine!$C$2:$C$1199,0)),"",INDEX('Compliance Database'!$I$2:$I$1199,MATCH(1025,Engine!$C$2:$C$1199,0)))</f>
        <v/>
      </c>
      <c r="J1038" s="6" t="str">
        <f>IF(ISNA(MATCH(1025,Engine!$C$2:$C$1199,0)),"",INDEX('Compliance Database'!$J$2:$J$1199,MATCH(1025,Engine!$C$2:$C$1199,0)))</f>
        <v/>
      </c>
      <c r="K1038" s="7" t="str">
        <f>IF(ISNA(MATCH(1025,Engine!$C$2:$C$1199,0)),"",INDEX('Compliance Database'!$K$2:$K$1199,MATCH(1025,Engine!$C$2:$C$1199,0)))</f>
        <v/>
      </c>
      <c r="L1038" s="7" t="str">
        <f>IF(ISNA(MATCH(1025,Engine!$C$2:$C$1199,0)),"",INDEX('Compliance Database'!$L$2:$L$1199,MATCH(1025,Engine!$C$2:$C$1199,0)))</f>
        <v/>
      </c>
      <c r="M1038" s="7" t="str">
        <f>IF(ISNA(MATCH(1025,Engine!$C$2:$C$1199,0)),"",INDEX('Compliance Database'!$M$2:$M$1199,MATCH(1025,Engine!$C$2:$C$1199,0)))</f>
        <v/>
      </c>
      <c r="N1038" s="7" t="str">
        <f>IF(ISNA(MATCH(1025,Engine!$C$2:$C$1199,0)),"",INDEX('Compliance Database'!$N$2:$N$1199,MATCH(1025,Engine!$C$2:$C$1199,0)))</f>
        <v/>
      </c>
      <c r="O1038" s="7" t="str">
        <f>IF(ISNA(MATCH(1025,Engine!$C$2:$C$1199,0)),"",INDEX('Compliance Database'!$O$2:$O$1199,MATCH(1025,Engine!$C$2:$C$1199,0)))</f>
        <v/>
      </c>
      <c r="P1038" s="6" t="str">
        <f>IF(ISNA(MATCH(1025,Engine!$C$2:$C$1199,0)),"",HYPERLINK("#Acts!A"&amp;INDEX('Compliance Database'!$P$2:$P$1199,MATCH(1025,Engine!$C$2:$C$1199,0)),"Go to Act"))</f>
        <v/>
      </c>
    </row>
    <row r="1039" spans="1:16" ht="172.95" customHeight="1" x14ac:dyDescent="0.3">
      <c r="A1039" s="6" t="str">
        <f>IF(ISNA(MATCH(1026,Engine!$C$2:$C$1199,0)),"",INDEX('Compliance Database'!$A$2:$A$1199,MATCH(1026,Engine!$C$2:$C$1199,0)))</f>
        <v/>
      </c>
      <c r="B1039" s="6" t="str">
        <f>IF(ISNA(MATCH(1026,Engine!$C$2:$C$1199,0)),"",INDEX('Compliance Database'!$B$2:$B$1199,MATCH(1026,Engine!$C$2:$C$1199,0)))</f>
        <v/>
      </c>
      <c r="C1039" s="6" t="str">
        <f>IF(ISNA(MATCH(1026,Engine!$C$2:$C$1199,0)),"",INDEX('Compliance Database'!$C$2:$C$1199,MATCH(1026,Engine!$C$2:$C$1199,0)))</f>
        <v/>
      </c>
      <c r="D1039" s="7" t="str">
        <f>IF(ISNA(MATCH(1026,Engine!$C$2:$C$1199,0)),"",INDEX('Compliance Database'!$D$2:$D$1199,MATCH(1026,Engine!$C$2:$C$1199,0)))</f>
        <v/>
      </c>
      <c r="E1039" s="6" t="str">
        <f>IF(ISNA(MATCH(1026,Engine!$C$2:$C$1199,0)),"",INDEX('Compliance Database'!$E$2:$E$1199,MATCH(1026,Engine!$C$2:$C$1199,0)))</f>
        <v/>
      </c>
      <c r="F1039" s="6" t="str">
        <f>IF(ISNA(MATCH(1026,Engine!$C$2:$C$1199,0)),"",INDEX('Compliance Database'!$F$2:$F$1199,MATCH(1026,Engine!$C$2:$C$1199,0)))</f>
        <v/>
      </c>
      <c r="G1039" s="6" t="str">
        <f>IF(ISNA(MATCH(1026,Engine!$C$2:$C$1199,0)),"",INDEX('Compliance Database'!$G$2:$G$1199,MATCH(1026,Engine!$C$2:$C$1199,0)))</f>
        <v/>
      </c>
      <c r="H1039" s="7" t="str">
        <f>IF(ISNA(MATCH(1026,Engine!$C$2:$C$1199,0)),"",INDEX('Compliance Database'!$H$2:$H$1199,MATCH(1026,Engine!$C$2:$C$1199,0)))</f>
        <v/>
      </c>
      <c r="I1039" s="7" t="str">
        <f>IF(ISNA(MATCH(1026,Engine!$C$2:$C$1199,0)),"",INDEX('Compliance Database'!$I$2:$I$1199,MATCH(1026,Engine!$C$2:$C$1199,0)))</f>
        <v/>
      </c>
      <c r="J1039" s="6" t="str">
        <f>IF(ISNA(MATCH(1026,Engine!$C$2:$C$1199,0)),"",INDEX('Compliance Database'!$J$2:$J$1199,MATCH(1026,Engine!$C$2:$C$1199,0)))</f>
        <v/>
      </c>
      <c r="K1039" s="7" t="str">
        <f>IF(ISNA(MATCH(1026,Engine!$C$2:$C$1199,0)),"",INDEX('Compliance Database'!$K$2:$K$1199,MATCH(1026,Engine!$C$2:$C$1199,0)))</f>
        <v/>
      </c>
      <c r="L1039" s="7" t="str">
        <f>IF(ISNA(MATCH(1026,Engine!$C$2:$C$1199,0)),"",INDEX('Compliance Database'!$L$2:$L$1199,MATCH(1026,Engine!$C$2:$C$1199,0)))</f>
        <v/>
      </c>
      <c r="M1039" s="7" t="str">
        <f>IF(ISNA(MATCH(1026,Engine!$C$2:$C$1199,0)),"",INDEX('Compliance Database'!$M$2:$M$1199,MATCH(1026,Engine!$C$2:$C$1199,0)))</f>
        <v/>
      </c>
      <c r="N1039" s="7" t="str">
        <f>IF(ISNA(MATCH(1026,Engine!$C$2:$C$1199,0)),"",INDEX('Compliance Database'!$N$2:$N$1199,MATCH(1026,Engine!$C$2:$C$1199,0)))</f>
        <v/>
      </c>
      <c r="O1039" s="7" t="str">
        <f>IF(ISNA(MATCH(1026,Engine!$C$2:$C$1199,0)),"",INDEX('Compliance Database'!$O$2:$O$1199,MATCH(1026,Engine!$C$2:$C$1199,0)))</f>
        <v/>
      </c>
      <c r="P1039" s="6" t="str">
        <f>IF(ISNA(MATCH(1026,Engine!$C$2:$C$1199,0)),"",HYPERLINK("#Acts!A"&amp;INDEX('Compliance Database'!$P$2:$P$1199,MATCH(1026,Engine!$C$2:$C$1199,0)),"Go to Act"))</f>
        <v/>
      </c>
    </row>
    <row r="1040" spans="1:16" ht="172.95" customHeight="1" x14ac:dyDescent="0.3">
      <c r="A1040" s="6" t="str">
        <f>IF(ISNA(MATCH(1027,Engine!$C$2:$C$1199,0)),"",INDEX('Compliance Database'!$A$2:$A$1199,MATCH(1027,Engine!$C$2:$C$1199,0)))</f>
        <v/>
      </c>
      <c r="B1040" s="6" t="str">
        <f>IF(ISNA(MATCH(1027,Engine!$C$2:$C$1199,0)),"",INDEX('Compliance Database'!$B$2:$B$1199,MATCH(1027,Engine!$C$2:$C$1199,0)))</f>
        <v/>
      </c>
      <c r="C1040" s="6" t="str">
        <f>IF(ISNA(MATCH(1027,Engine!$C$2:$C$1199,0)),"",INDEX('Compliance Database'!$C$2:$C$1199,MATCH(1027,Engine!$C$2:$C$1199,0)))</f>
        <v/>
      </c>
      <c r="D1040" s="7" t="str">
        <f>IF(ISNA(MATCH(1027,Engine!$C$2:$C$1199,0)),"",INDEX('Compliance Database'!$D$2:$D$1199,MATCH(1027,Engine!$C$2:$C$1199,0)))</f>
        <v/>
      </c>
      <c r="E1040" s="6" t="str">
        <f>IF(ISNA(MATCH(1027,Engine!$C$2:$C$1199,0)),"",INDEX('Compliance Database'!$E$2:$E$1199,MATCH(1027,Engine!$C$2:$C$1199,0)))</f>
        <v/>
      </c>
      <c r="F1040" s="6" t="str">
        <f>IF(ISNA(MATCH(1027,Engine!$C$2:$C$1199,0)),"",INDEX('Compliance Database'!$F$2:$F$1199,MATCH(1027,Engine!$C$2:$C$1199,0)))</f>
        <v/>
      </c>
      <c r="G1040" s="6" t="str">
        <f>IF(ISNA(MATCH(1027,Engine!$C$2:$C$1199,0)),"",INDEX('Compliance Database'!$G$2:$G$1199,MATCH(1027,Engine!$C$2:$C$1199,0)))</f>
        <v/>
      </c>
      <c r="H1040" s="7" t="str">
        <f>IF(ISNA(MATCH(1027,Engine!$C$2:$C$1199,0)),"",INDEX('Compliance Database'!$H$2:$H$1199,MATCH(1027,Engine!$C$2:$C$1199,0)))</f>
        <v/>
      </c>
      <c r="I1040" s="7" t="str">
        <f>IF(ISNA(MATCH(1027,Engine!$C$2:$C$1199,0)),"",INDEX('Compliance Database'!$I$2:$I$1199,MATCH(1027,Engine!$C$2:$C$1199,0)))</f>
        <v/>
      </c>
      <c r="J1040" s="6" t="str">
        <f>IF(ISNA(MATCH(1027,Engine!$C$2:$C$1199,0)),"",INDEX('Compliance Database'!$J$2:$J$1199,MATCH(1027,Engine!$C$2:$C$1199,0)))</f>
        <v/>
      </c>
      <c r="K1040" s="7" t="str">
        <f>IF(ISNA(MATCH(1027,Engine!$C$2:$C$1199,0)),"",INDEX('Compliance Database'!$K$2:$K$1199,MATCH(1027,Engine!$C$2:$C$1199,0)))</f>
        <v/>
      </c>
      <c r="L1040" s="7" t="str">
        <f>IF(ISNA(MATCH(1027,Engine!$C$2:$C$1199,0)),"",INDEX('Compliance Database'!$L$2:$L$1199,MATCH(1027,Engine!$C$2:$C$1199,0)))</f>
        <v/>
      </c>
      <c r="M1040" s="7" t="str">
        <f>IF(ISNA(MATCH(1027,Engine!$C$2:$C$1199,0)),"",INDEX('Compliance Database'!$M$2:$M$1199,MATCH(1027,Engine!$C$2:$C$1199,0)))</f>
        <v/>
      </c>
      <c r="N1040" s="7" t="str">
        <f>IF(ISNA(MATCH(1027,Engine!$C$2:$C$1199,0)),"",INDEX('Compliance Database'!$N$2:$N$1199,MATCH(1027,Engine!$C$2:$C$1199,0)))</f>
        <v/>
      </c>
      <c r="O1040" s="7" t="str">
        <f>IF(ISNA(MATCH(1027,Engine!$C$2:$C$1199,0)),"",INDEX('Compliance Database'!$O$2:$O$1199,MATCH(1027,Engine!$C$2:$C$1199,0)))</f>
        <v/>
      </c>
      <c r="P1040" s="6" t="str">
        <f>IF(ISNA(MATCH(1027,Engine!$C$2:$C$1199,0)),"",HYPERLINK("#Acts!A"&amp;INDEX('Compliance Database'!$P$2:$P$1199,MATCH(1027,Engine!$C$2:$C$1199,0)),"Go to Act"))</f>
        <v/>
      </c>
    </row>
    <row r="1041" spans="1:16" ht="172.95" customHeight="1" x14ac:dyDescent="0.3">
      <c r="A1041" s="6" t="str">
        <f>IF(ISNA(MATCH(1028,Engine!$C$2:$C$1199,0)),"",INDEX('Compliance Database'!$A$2:$A$1199,MATCH(1028,Engine!$C$2:$C$1199,0)))</f>
        <v/>
      </c>
      <c r="B1041" s="6" t="str">
        <f>IF(ISNA(MATCH(1028,Engine!$C$2:$C$1199,0)),"",INDEX('Compliance Database'!$B$2:$B$1199,MATCH(1028,Engine!$C$2:$C$1199,0)))</f>
        <v/>
      </c>
      <c r="C1041" s="6" t="str">
        <f>IF(ISNA(MATCH(1028,Engine!$C$2:$C$1199,0)),"",INDEX('Compliance Database'!$C$2:$C$1199,MATCH(1028,Engine!$C$2:$C$1199,0)))</f>
        <v/>
      </c>
      <c r="D1041" s="7" t="str">
        <f>IF(ISNA(MATCH(1028,Engine!$C$2:$C$1199,0)),"",INDEX('Compliance Database'!$D$2:$D$1199,MATCH(1028,Engine!$C$2:$C$1199,0)))</f>
        <v/>
      </c>
      <c r="E1041" s="6" t="str">
        <f>IF(ISNA(MATCH(1028,Engine!$C$2:$C$1199,0)),"",INDEX('Compliance Database'!$E$2:$E$1199,MATCH(1028,Engine!$C$2:$C$1199,0)))</f>
        <v/>
      </c>
      <c r="F1041" s="6" t="str">
        <f>IF(ISNA(MATCH(1028,Engine!$C$2:$C$1199,0)),"",INDEX('Compliance Database'!$F$2:$F$1199,MATCH(1028,Engine!$C$2:$C$1199,0)))</f>
        <v/>
      </c>
      <c r="G1041" s="6" t="str">
        <f>IF(ISNA(MATCH(1028,Engine!$C$2:$C$1199,0)),"",INDEX('Compliance Database'!$G$2:$G$1199,MATCH(1028,Engine!$C$2:$C$1199,0)))</f>
        <v/>
      </c>
      <c r="H1041" s="7" t="str">
        <f>IF(ISNA(MATCH(1028,Engine!$C$2:$C$1199,0)),"",INDEX('Compliance Database'!$H$2:$H$1199,MATCH(1028,Engine!$C$2:$C$1199,0)))</f>
        <v/>
      </c>
      <c r="I1041" s="7" t="str">
        <f>IF(ISNA(MATCH(1028,Engine!$C$2:$C$1199,0)),"",INDEX('Compliance Database'!$I$2:$I$1199,MATCH(1028,Engine!$C$2:$C$1199,0)))</f>
        <v/>
      </c>
      <c r="J1041" s="6" t="str">
        <f>IF(ISNA(MATCH(1028,Engine!$C$2:$C$1199,0)),"",INDEX('Compliance Database'!$J$2:$J$1199,MATCH(1028,Engine!$C$2:$C$1199,0)))</f>
        <v/>
      </c>
      <c r="K1041" s="7" t="str">
        <f>IF(ISNA(MATCH(1028,Engine!$C$2:$C$1199,0)),"",INDEX('Compliance Database'!$K$2:$K$1199,MATCH(1028,Engine!$C$2:$C$1199,0)))</f>
        <v/>
      </c>
      <c r="L1041" s="7" t="str">
        <f>IF(ISNA(MATCH(1028,Engine!$C$2:$C$1199,0)),"",INDEX('Compliance Database'!$L$2:$L$1199,MATCH(1028,Engine!$C$2:$C$1199,0)))</f>
        <v/>
      </c>
      <c r="M1041" s="7" t="str">
        <f>IF(ISNA(MATCH(1028,Engine!$C$2:$C$1199,0)),"",INDEX('Compliance Database'!$M$2:$M$1199,MATCH(1028,Engine!$C$2:$C$1199,0)))</f>
        <v/>
      </c>
      <c r="N1041" s="7" t="str">
        <f>IF(ISNA(MATCH(1028,Engine!$C$2:$C$1199,0)),"",INDEX('Compliance Database'!$N$2:$N$1199,MATCH(1028,Engine!$C$2:$C$1199,0)))</f>
        <v/>
      </c>
      <c r="O1041" s="7" t="str">
        <f>IF(ISNA(MATCH(1028,Engine!$C$2:$C$1199,0)),"",INDEX('Compliance Database'!$O$2:$O$1199,MATCH(1028,Engine!$C$2:$C$1199,0)))</f>
        <v/>
      </c>
      <c r="P1041" s="6" t="str">
        <f>IF(ISNA(MATCH(1028,Engine!$C$2:$C$1199,0)),"",HYPERLINK("#Acts!A"&amp;INDEX('Compliance Database'!$P$2:$P$1199,MATCH(1028,Engine!$C$2:$C$1199,0)),"Go to Act"))</f>
        <v/>
      </c>
    </row>
    <row r="1042" spans="1:16" ht="172.95" customHeight="1" x14ac:dyDescent="0.3">
      <c r="A1042" s="6" t="str">
        <f>IF(ISNA(MATCH(1029,Engine!$C$2:$C$1199,0)),"",INDEX('Compliance Database'!$A$2:$A$1199,MATCH(1029,Engine!$C$2:$C$1199,0)))</f>
        <v/>
      </c>
      <c r="B1042" s="6" t="str">
        <f>IF(ISNA(MATCH(1029,Engine!$C$2:$C$1199,0)),"",INDEX('Compliance Database'!$B$2:$B$1199,MATCH(1029,Engine!$C$2:$C$1199,0)))</f>
        <v/>
      </c>
      <c r="C1042" s="6" t="str">
        <f>IF(ISNA(MATCH(1029,Engine!$C$2:$C$1199,0)),"",INDEX('Compliance Database'!$C$2:$C$1199,MATCH(1029,Engine!$C$2:$C$1199,0)))</f>
        <v/>
      </c>
      <c r="D1042" s="7" t="str">
        <f>IF(ISNA(MATCH(1029,Engine!$C$2:$C$1199,0)),"",INDEX('Compliance Database'!$D$2:$D$1199,MATCH(1029,Engine!$C$2:$C$1199,0)))</f>
        <v/>
      </c>
      <c r="E1042" s="6" t="str">
        <f>IF(ISNA(MATCH(1029,Engine!$C$2:$C$1199,0)),"",INDEX('Compliance Database'!$E$2:$E$1199,MATCH(1029,Engine!$C$2:$C$1199,0)))</f>
        <v/>
      </c>
      <c r="F1042" s="6" t="str">
        <f>IF(ISNA(MATCH(1029,Engine!$C$2:$C$1199,0)),"",INDEX('Compliance Database'!$F$2:$F$1199,MATCH(1029,Engine!$C$2:$C$1199,0)))</f>
        <v/>
      </c>
      <c r="G1042" s="6" t="str">
        <f>IF(ISNA(MATCH(1029,Engine!$C$2:$C$1199,0)),"",INDEX('Compliance Database'!$G$2:$G$1199,MATCH(1029,Engine!$C$2:$C$1199,0)))</f>
        <v/>
      </c>
      <c r="H1042" s="7" t="str">
        <f>IF(ISNA(MATCH(1029,Engine!$C$2:$C$1199,0)),"",INDEX('Compliance Database'!$H$2:$H$1199,MATCH(1029,Engine!$C$2:$C$1199,0)))</f>
        <v/>
      </c>
      <c r="I1042" s="7" t="str">
        <f>IF(ISNA(MATCH(1029,Engine!$C$2:$C$1199,0)),"",INDEX('Compliance Database'!$I$2:$I$1199,MATCH(1029,Engine!$C$2:$C$1199,0)))</f>
        <v/>
      </c>
      <c r="J1042" s="6" t="str">
        <f>IF(ISNA(MATCH(1029,Engine!$C$2:$C$1199,0)),"",INDEX('Compliance Database'!$J$2:$J$1199,MATCH(1029,Engine!$C$2:$C$1199,0)))</f>
        <v/>
      </c>
      <c r="K1042" s="7" t="str">
        <f>IF(ISNA(MATCH(1029,Engine!$C$2:$C$1199,0)),"",INDEX('Compliance Database'!$K$2:$K$1199,MATCH(1029,Engine!$C$2:$C$1199,0)))</f>
        <v/>
      </c>
      <c r="L1042" s="7" t="str">
        <f>IF(ISNA(MATCH(1029,Engine!$C$2:$C$1199,0)),"",INDEX('Compliance Database'!$L$2:$L$1199,MATCH(1029,Engine!$C$2:$C$1199,0)))</f>
        <v/>
      </c>
      <c r="M1042" s="7" t="str">
        <f>IF(ISNA(MATCH(1029,Engine!$C$2:$C$1199,0)),"",INDEX('Compliance Database'!$M$2:$M$1199,MATCH(1029,Engine!$C$2:$C$1199,0)))</f>
        <v/>
      </c>
      <c r="N1042" s="7" t="str">
        <f>IF(ISNA(MATCH(1029,Engine!$C$2:$C$1199,0)),"",INDEX('Compliance Database'!$N$2:$N$1199,MATCH(1029,Engine!$C$2:$C$1199,0)))</f>
        <v/>
      </c>
      <c r="O1042" s="7" t="str">
        <f>IF(ISNA(MATCH(1029,Engine!$C$2:$C$1199,0)),"",INDEX('Compliance Database'!$O$2:$O$1199,MATCH(1029,Engine!$C$2:$C$1199,0)))</f>
        <v/>
      </c>
      <c r="P1042" s="6" t="str">
        <f>IF(ISNA(MATCH(1029,Engine!$C$2:$C$1199,0)),"",HYPERLINK("#Acts!A"&amp;INDEX('Compliance Database'!$P$2:$P$1199,MATCH(1029,Engine!$C$2:$C$1199,0)),"Go to Act"))</f>
        <v/>
      </c>
    </row>
    <row r="1043" spans="1:16" ht="172.95" customHeight="1" x14ac:dyDescent="0.3">
      <c r="A1043" s="6" t="str">
        <f>IF(ISNA(MATCH(1030,Engine!$C$2:$C$1199,0)),"",INDEX('Compliance Database'!$A$2:$A$1199,MATCH(1030,Engine!$C$2:$C$1199,0)))</f>
        <v/>
      </c>
      <c r="B1043" s="6" t="str">
        <f>IF(ISNA(MATCH(1030,Engine!$C$2:$C$1199,0)),"",INDEX('Compliance Database'!$B$2:$B$1199,MATCH(1030,Engine!$C$2:$C$1199,0)))</f>
        <v/>
      </c>
      <c r="C1043" s="6" t="str">
        <f>IF(ISNA(MATCH(1030,Engine!$C$2:$C$1199,0)),"",INDEX('Compliance Database'!$C$2:$C$1199,MATCH(1030,Engine!$C$2:$C$1199,0)))</f>
        <v/>
      </c>
      <c r="D1043" s="7" t="str">
        <f>IF(ISNA(MATCH(1030,Engine!$C$2:$C$1199,0)),"",INDEX('Compliance Database'!$D$2:$D$1199,MATCH(1030,Engine!$C$2:$C$1199,0)))</f>
        <v/>
      </c>
      <c r="E1043" s="6" t="str">
        <f>IF(ISNA(MATCH(1030,Engine!$C$2:$C$1199,0)),"",INDEX('Compliance Database'!$E$2:$E$1199,MATCH(1030,Engine!$C$2:$C$1199,0)))</f>
        <v/>
      </c>
      <c r="F1043" s="6" t="str">
        <f>IF(ISNA(MATCH(1030,Engine!$C$2:$C$1199,0)),"",INDEX('Compliance Database'!$F$2:$F$1199,MATCH(1030,Engine!$C$2:$C$1199,0)))</f>
        <v/>
      </c>
      <c r="G1043" s="6" t="str">
        <f>IF(ISNA(MATCH(1030,Engine!$C$2:$C$1199,0)),"",INDEX('Compliance Database'!$G$2:$G$1199,MATCH(1030,Engine!$C$2:$C$1199,0)))</f>
        <v/>
      </c>
      <c r="H1043" s="7" t="str">
        <f>IF(ISNA(MATCH(1030,Engine!$C$2:$C$1199,0)),"",INDEX('Compliance Database'!$H$2:$H$1199,MATCH(1030,Engine!$C$2:$C$1199,0)))</f>
        <v/>
      </c>
      <c r="I1043" s="7" t="str">
        <f>IF(ISNA(MATCH(1030,Engine!$C$2:$C$1199,0)),"",INDEX('Compliance Database'!$I$2:$I$1199,MATCH(1030,Engine!$C$2:$C$1199,0)))</f>
        <v/>
      </c>
      <c r="J1043" s="6" t="str">
        <f>IF(ISNA(MATCH(1030,Engine!$C$2:$C$1199,0)),"",INDEX('Compliance Database'!$J$2:$J$1199,MATCH(1030,Engine!$C$2:$C$1199,0)))</f>
        <v/>
      </c>
      <c r="K1043" s="7" t="str">
        <f>IF(ISNA(MATCH(1030,Engine!$C$2:$C$1199,0)),"",INDEX('Compliance Database'!$K$2:$K$1199,MATCH(1030,Engine!$C$2:$C$1199,0)))</f>
        <v/>
      </c>
      <c r="L1043" s="7" t="str">
        <f>IF(ISNA(MATCH(1030,Engine!$C$2:$C$1199,0)),"",INDEX('Compliance Database'!$L$2:$L$1199,MATCH(1030,Engine!$C$2:$C$1199,0)))</f>
        <v/>
      </c>
      <c r="M1043" s="7" t="str">
        <f>IF(ISNA(MATCH(1030,Engine!$C$2:$C$1199,0)),"",INDEX('Compliance Database'!$M$2:$M$1199,MATCH(1030,Engine!$C$2:$C$1199,0)))</f>
        <v/>
      </c>
      <c r="N1043" s="7" t="str">
        <f>IF(ISNA(MATCH(1030,Engine!$C$2:$C$1199,0)),"",INDEX('Compliance Database'!$N$2:$N$1199,MATCH(1030,Engine!$C$2:$C$1199,0)))</f>
        <v/>
      </c>
      <c r="O1043" s="7" t="str">
        <f>IF(ISNA(MATCH(1030,Engine!$C$2:$C$1199,0)),"",INDEX('Compliance Database'!$O$2:$O$1199,MATCH(1030,Engine!$C$2:$C$1199,0)))</f>
        <v/>
      </c>
      <c r="P1043" s="6" t="str">
        <f>IF(ISNA(MATCH(1030,Engine!$C$2:$C$1199,0)),"",HYPERLINK("#Acts!A"&amp;INDEX('Compliance Database'!$P$2:$P$1199,MATCH(1030,Engine!$C$2:$C$1199,0)),"Go to Act"))</f>
        <v/>
      </c>
    </row>
    <row r="1044" spans="1:16" ht="172.95" customHeight="1" x14ac:dyDescent="0.3">
      <c r="A1044" s="6" t="str">
        <f>IF(ISNA(MATCH(1031,Engine!$C$2:$C$1199,0)),"",INDEX('Compliance Database'!$A$2:$A$1199,MATCH(1031,Engine!$C$2:$C$1199,0)))</f>
        <v/>
      </c>
      <c r="B1044" s="6" t="str">
        <f>IF(ISNA(MATCH(1031,Engine!$C$2:$C$1199,0)),"",INDEX('Compliance Database'!$B$2:$B$1199,MATCH(1031,Engine!$C$2:$C$1199,0)))</f>
        <v/>
      </c>
      <c r="C1044" s="6" t="str">
        <f>IF(ISNA(MATCH(1031,Engine!$C$2:$C$1199,0)),"",INDEX('Compliance Database'!$C$2:$C$1199,MATCH(1031,Engine!$C$2:$C$1199,0)))</f>
        <v/>
      </c>
      <c r="D1044" s="7" t="str">
        <f>IF(ISNA(MATCH(1031,Engine!$C$2:$C$1199,0)),"",INDEX('Compliance Database'!$D$2:$D$1199,MATCH(1031,Engine!$C$2:$C$1199,0)))</f>
        <v/>
      </c>
      <c r="E1044" s="6" t="str">
        <f>IF(ISNA(MATCH(1031,Engine!$C$2:$C$1199,0)),"",INDEX('Compliance Database'!$E$2:$E$1199,MATCH(1031,Engine!$C$2:$C$1199,0)))</f>
        <v/>
      </c>
      <c r="F1044" s="6" t="str">
        <f>IF(ISNA(MATCH(1031,Engine!$C$2:$C$1199,0)),"",INDEX('Compliance Database'!$F$2:$F$1199,MATCH(1031,Engine!$C$2:$C$1199,0)))</f>
        <v/>
      </c>
      <c r="G1044" s="6" t="str">
        <f>IF(ISNA(MATCH(1031,Engine!$C$2:$C$1199,0)),"",INDEX('Compliance Database'!$G$2:$G$1199,MATCH(1031,Engine!$C$2:$C$1199,0)))</f>
        <v/>
      </c>
      <c r="H1044" s="7" t="str">
        <f>IF(ISNA(MATCH(1031,Engine!$C$2:$C$1199,0)),"",INDEX('Compliance Database'!$H$2:$H$1199,MATCH(1031,Engine!$C$2:$C$1199,0)))</f>
        <v/>
      </c>
      <c r="I1044" s="7" t="str">
        <f>IF(ISNA(MATCH(1031,Engine!$C$2:$C$1199,0)),"",INDEX('Compliance Database'!$I$2:$I$1199,MATCH(1031,Engine!$C$2:$C$1199,0)))</f>
        <v/>
      </c>
      <c r="J1044" s="6" t="str">
        <f>IF(ISNA(MATCH(1031,Engine!$C$2:$C$1199,0)),"",INDEX('Compliance Database'!$J$2:$J$1199,MATCH(1031,Engine!$C$2:$C$1199,0)))</f>
        <v/>
      </c>
      <c r="K1044" s="7" t="str">
        <f>IF(ISNA(MATCH(1031,Engine!$C$2:$C$1199,0)),"",INDEX('Compliance Database'!$K$2:$K$1199,MATCH(1031,Engine!$C$2:$C$1199,0)))</f>
        <v/>
      </c>
      <c r="L1044" s="7" t="str">
        <f>IF(ISNA(MATCH(1031,Engine!$C$2:$C$1199,0)),"",INDEX('Compliance Database'!$L$2:$L$1199,MATCH(1031,Engine!$C$2:$C$1199,0)))</f>
        <v/>
      </c>
      <c r="M1044" s="7" t="str">
        <f>IF(ISNA(MATCH(1031,Engine!$C$2:$C$1199,0)),"",INDEX('Compliance Database'!$M$2:$M$1199,MATCH(1031,Engine!$C$2:$C$1199,0)))</f>
        <v/>
      </c>
      <c r="N1044" s="7" t="str">
        <f>IF(ISNA(MATCH(1031,Engine!$C$2:$C$1199,0)),"",INDEX('Compliance Database'!$N$2:$N$1199,MATCH(1031,Engine!$C$2:$C$1199,0)))</f>
        <v/>
      </c>
      <c r="O1044" s="7" t="str">
        <f>IF(ISNA(MATCH(1031,Engine!$C$2:$C$1199,0)),"",INDEX('Compliance Database'!$O$2:$O$1199,MATCH(1031,Engine!$C$2:$C$1199,0)))</f>
        <v/>
      </c>
      <c r="P1044" s="6" t="str">
        <f>IF(ISNA(MATCH(1031,Engine!$C$2:$C$1199,0)),"",HYPERLINK("#Acts!A"&amp;INDEX('Compliance Database'!$P$2:$P$1199,MATCH(1031,Engine!$C$2:$C$1199,0)),"Go to Act"))</f>
        <v/>
      </c>
    </row>
    <row r="1045" spans="1:16" ht="172.95" customHeight="1" x14ac:dyDescent="0.3">
      <c r="A1045" s="6" t="str">
        <f>IF(ISNA(MATCH(1032,Engine!$C$2:$C$1199,0)),"",INDEX('Compliance Database'!$A$2:$A$1199,MATCH(1032,Engine!$C$2:$C$1199,0)))</f>
        <v/>
      </c>
      <c r="B1045" s="6" t="str">
        <f>IF(ISNA(MATCH(1032,Engine!$C$2:$C$1199,0)),"",INDEX('Compliance Database'!$B$2:$B$1199,MATCH(1032,Engine!$C$2:$C$1199,0)))</f>
        <v/>
      </c>
      <c r="C1045" s="6" t="str">
        <f>IF(ISNA(MATCH(1032,Engine!$C$2:$C$1199,0)),"",INDEX('Compliance Database'!$C$2:$C$1199,MATCH(1032,Engine!$C$2:$C$1199,0)))</f>
        <v/>
      </c>
      <c r="D1045" s="7" t="str">
        <f>IF(ISNA(MATCH(1032,Engine!$C$2:$C$1199,0)),"",INDEX('Compliance Database'!$D$2:$D$1199,MATCH(1032,Engine!$C$2:$C$1199,0)))</f>
        <v/>
      </c>
      <c r="E1045" s="6" t="str">
        <f>IF(ISNA(MATCH(1032,Engine!$C$2:$C$1199,0)),"",INDEX('Compliance Database'!$E$2:$E$1199,MATCH(1032,Engine!$C$2:$C$1199,0)))</f>
        <v/>
      </c>
      <c r="F1045" s="6" t="str">
        <f>IF(ISNA(MATCH(1032,Engine!$C$2:$C$1199,0)),"",INDEX('Compliance Database'!$F$2:$F$1199,MATCH(1032,Engine!$C$2:$C$1199,0)))</f>
        <v/>
      </c>
      <c r="G1045" s="6" t="str">
        <f>IF(ISNA(MATCH(1032,Engine!$C$2:$C$1199,0)),"",INDEX('Compliance Database'!$G$2:$G$1199,MATCH(1032,Engine!$C$2:$C$1199,0)))</f>
        <v/>
      </c>
      <c r="H1045" s="7" t="str">
        <f>IF(ISNA(MATCH(1032,Engine!$C$2:$C$1199,0)),"",INDEX('Compliance Database'!$H$2:$H$1199,MATCH(1032,Engine!$C$2:$C$1199,0)))</f>
        <v/>
      </c>
      <c r="I1045" s="7" t="str">
        <f>IF(ISNA(MATCH(1032,Engine!$C$2:$C$1199,0)),"",INDEX('Compliance Database'!$I$2:$I$1199,MATCH(1032,Engine!$C$2:$C$1199,0)))</f>
        <v/>
      </c>
      <c r="J1045" s="6" t="str">
        <f>IF(ISNA(MATCH(1032,Engine!$C$2:$C$1199,0)),"",INDEX('Compliance Database'!$J$2:$J$1199,MATCH(1032,Engine!$C$2:$C$1199,0)))</f>
        <v/>
      </c>
      <c r="K1045" s="7" t="str">
        <f>IF(ISNA(MATCH(1032,Engine!$C$2:$C$1199,0)),"",INDEX('Compliance Database'!$K$2:$K$1199,MATCH(1032,Engine!$C$2:$C$1199,0)))</f>
        <v/>
      </c>
      <c r="L1045" s="7" t="str">
        <f>IF(ISNA(MATCH(1032,Engine!$C$2:$C$1199,0)),"",INDEX('Compliance Database'!$L$2:$L$1199,MATCH(1032,Engine!$C$2:$C$1199,0)))</f>
        <v/>
      </c>
      <c r="M1045" s="7" t="str">
        <f>IF(ISNA(MATCH(1032,Engine!$C$2:$C$1199,0)),"",INDEX('Compliance Database'!$M$2:$M$1199,MATCH(1032,Engine!$C$2:$C$1199,0)))</f>
        <v/>
      </c>
      <c r="N1045" s="7" t="str">
        <f>IF(ISNA(MATCH(1032,Engine!$C$2:$C$1199,0)),"",INDEX('Compliance Database'!$N$2:$N$1199,MATCH(1032,Engine!$C$2:$C$1199,0)))</f>
        <v/>
      </c>
      <c r="O1045" s="7" t="str">
        <f>IF(ISNA(MATCH(1032,Engine!$C$2:$C$1199,0)),"",INDEX('Compliance Database'!$O$2:$O$1199,MATCH(1032,Engine!$C$2:$C$1199,0)))</f>
        <v/>
      </c>
      <c r="P1045" s="6" t="str">
        <f>IF(ISNA(MATCH(1032,Engine!$C$2:$C$1199,0)),"",HYPERLINK("#Acts!A"&amp;INDEX('Compliance Database'!$P$2:$P$1199,MATCH(1032,Engine!$C$2:$C$1199,0)),"Go to Act"))</f>
        <v/>
      </c>
    </row>
    <row r="1046" spans="1:16" ht="172.95" customHeight="1" x14ac:dyDescent="0.3">
      <c r="A1046" s="6" t="str">
        <f>IF(ISNA(MATCH(1033,Engine!$C$2:$C$1199,0)),"",INDEX('Compliance Database'!$A$2:$A$1199,MATCH(1033,Engine!$C$2:$C$1199,0)))</f>
        <v/>
      </c>
      <c r="B1046" s="6" t="str">
        <f>IF(ISNA(MATCH(1033,Engine!$C$2:$C$1199,0)),"",INDEX('Compliance Database'!$B$2:$B$1199,MATCH(1033,Engine!$C$2:$C$1199,0)))</f>
        <v/>
      </c>
      <c r="C1046" s="6" t="str">
        <f>IF(ISNA(MATCH(1033,Engine!$C$2:$C$1199,0)),"",INDEX('Compliance Database'!$C$2:$C$1199,MATCH(1033,Engine!$C$2:$C$1199,0)))</f>
        <v/>
      </c>
      <c r="D1046" s="7" t="str">
        <f>IF(ISNA(MATCH(1033,Engine!$C$2:$C$1199,0)),"",INDEX('Compliance Database'!$D$2:$D$1199,MATCH(1033,Engine!$C$2:$C$1199,0)))</f>
        <v/>
      </c>
      <c r="E1046" s="6" t="str">
        <f>IF(ISNA(MATCH(1033,Engine!$C$2:$C$1199,0)),"",INDEX('Compliance Database'!$E$2:$E$1199,MATCH(1033,Engine!$C$2:$C$1199,0)))</f>
        <v/>
      </c>
      <c r="F1046" s="6" t="str">
        <f>IF(ISNA(MATCH(1033,Engine!$C$2:$C$1199,0)),"",INDEX('Compliance Database'!$F$2:$F$1199,MATCH(1033,Engine!$C$2:$C$1199,0)))</f>
        <v/>
      </c>
      <c r="G1046" s="6" t="str">
        <f>IF(ISNA(MATCH(1033,Engine!$C$2:$C$1199,0)),"",INDEX('Compliance Database'!$G$2:$G$1199,MATCH(1033,Engine!$C$2:$C$1199,0)))</f>
        <v/>
      </c>
      <c r="H1046" s="7" t="str">
        <f>IF(ISNA(MATCH(1033,Engine!$C$2:$C$1199,0)),"",INDEX('Compliance Database'!$H$2:$H$1199,MATCH(1033,Engine!$C$2:$C$1199,0)))</f>
        <v/>
      </c>
      <c r="I1046" s="7" t="str">
        <f>IF(ISNA(MATCH(1033,Engine!$C$2:$C$1199,0)),"",INDEX('Compliance Database'!$I$2:$I$1199,MATCH(1033,Engine!$C$2:$C$1199,0)))</f>
        <v/>
      </c>
      <c r="J1046" s="6" t="str">
        <f>IF(ISNA(MATCH(1033,Engine!$C$2:$C$1199,0)),"",INDEX('Compliance Database'!$J$2:$J$1199,MATCH(1033,Engine!$C$2:$C$1199,0)))</f>
        <v/>
      </c>
      <c r="K1046" s="7" t="str">
        <f>IF(ISNA(MATCH(1033,Engine!$C$2:$C$1199,0)),"",INDEX('Compliance Database'!$K$2:$K$1199,MATCH(1033,Engine!$C$2:$C$1199,0)))</f>
        <v/>
      </c>
      <c r="L1046" s="7" t="str">
        <f>IF(ISNA(MATCH(1033,Engine!$C$2:$C$1199,0)),"",INDEX('Compliance Database'!$L$2:$L$1199,MATCH(1033,Engine!$C$2:$C$1199,0)))</f>
        <v/>
      </c>
      <c r="M1046" s="7" t="str">
        <f>IF(ISNA(MATCH(1033,Engine!$C$2:$C$1199,0)),"",INDEX('Compliance Database'!$M$2:$M$1199,MATCH(1033,Engine!$C$2:$C$1199,0)))</f>
        <v/>
      </c>
      <c r="N1046" s="7" t="str">
        <f>IF(ISNA(MATCH(1033,Engine!$C$2:$C$1199,0)),"",INDEX('Compliance Database'!$N$2:$N$1199,MATCH(1033,Engine!$C$2:$C$1199,0)))</f>
        <v/>
      </c>
      <c r="O1046" s="7" t="str">
        <f>IF(ISNA(MATCH(1033,Engine!$C$2:$C$1199,0)),"",INDEX('Compliance Database'!$O$2:$O$1199,MATCH(1033,Engine!$C$2:$C$1199,0)))</f>
        <v/>
      </c>
      <c r="P1046" s="6" t="str">
        <f>IF(ISNA(MATCH(1033,Engine!$C$2:$C$1199,0)),"",HYPERLINK("#Acts!A"&amp;INDEX('Compliance Database'!$P$2:$P$1199,MATCH(1033,Engine!$C$2:$C$1199,0)),"Go to Act"))</f>
        <v/>
      </c>
    </row>
    <row r="1047" spans="1:16" ht="172.95" customHeight="1" x14ac:dyDescent="0.3">
      <c r="A1047" s="6" t="str">
        <f>IF(ISNA(MATCH(1034,Engine!$C$2:$C$1199,0)),"",INDEX('Compliance Database'!$A$2:$A$1199,MATCH(1034,Engine!$C$2:$C$1199,0)))</f>
        <v/>
      </c>
      <c r="B1047" s="6" t="str">
        <f>IF(ISNA(MATCH(1034,Engine!$C$2:$C$1199,0)),"",INDEX('Compliance Database'!$B$2:$B$1199,MATCH(1034,Engine!$C$2:$C$1199,0)))</f>
        <v/>
      </c>
      <c r="C1047" s="6" t="str">
        <f>IF(ISNA(MATCH(1034,Engine!$C$2:$C$1199,0)),"",INDEX('Compliance Database'!$C$2:$C$1199,MATCH(1034,Engine!$C$2:$C$1199,0)))</f>
        <v/>
      </c>
      <c r="D1047" s="7" t="str">
        <f>IF(ISNA(MATCH(1034,Engine!$C$2:$C$1199,0)),"",INDEX('Compliance Database'!$D$2:$D$1199,MATCH(1034,Engine!$C$2:$C$1199,0)))</f>
        <v/>
      </c>
      <c r="E1047" s="6" t="str">
        <f>IF(ISNA(MATCH(1034,Engine!$C$2:$C$1199,0)),"",INDEX('Compliance Database'!$E$2:$E$1199,MATCH(1034,Engine!$C$2:$C$1199,0)))</f>
        <v/>
      </c>
      <c r="F1047" s="6" t="str">
        <f>IF(ISNA(MATCH(1034,Engine!$C$2:$C$1199,0)),"",INDEX('Compliance Database'!$F$2:$F$1199,MATCH(1034,Engine!$C$2:$C$1199,0)))</f>
        <v/>
      </c>
      <c r="G1047" s="6" t="str">
        <f>IF(ISNA(MATCH(1034,Engine!$C$2:$C$1199,0)),"",INDEX('Compliance Database'!$G$2:$G$1199,MATCH(1034,Engine!$C$2:$C$1199,0)))</f>
        <v/>
      </c>
      <c r="H1047" s="7" t="str">
        <f>IF(ISNA(MATCH(1034,Engine!$C$2:$C$1199,0)),"",INDEX('Compliance Database'!$H$2:$H$1199,MATCH(1034,Engine!$C$2:$C$1199,0)))</f>
        <v/>
      </c>
      <c r="I1047" s="7" t="str">
        <f>IF(ISNA(MATCH(1034,Engine!$C$2:$C$1199,0)),"",INDEX('Compliance Database'!$I$2:$I$1199,MATCH(1034,Engine!$C$2:$C$1199,0)))</f>
        <v/>
      </c>
      <c r="J1047" s="6" t="str">
        <f>IF(ISNA(MATCH(1034,Engine!$C$2:$C$1199,0)),"",INDEX('Compliance Database'!$J$2:$J$1199,MATCH(1034,Engine!$C$2:$C$1199,0)))</f>
        <v/>
      </c>
      <c r="K1047" s="7" t="str">
        <f>IF(ISNA(MATCH(1034,Engine!$C$2:$C$1199,0)),"",INDEX('Compliance Database'!$K$2:$K$1199,MATCH(1034,Engine!$C$2:$C$1199,0)))</f>
        <v/>
      </c>
      <c r="L1047" s="7" t="str">
        <f>IF(ISNA(MATCH(1034,Engine!$C$2:$C$1199,0)),"",INDEX('Compliance Database'!$L$2:$L$1199,MATCH(1034,Engine!$C$2:$C$1199,0)))</f>
        <v/>
      </c>
      <c r="M1047" s="7" t="str">
        <f>IF(ISNA(MATCH(1034,Engine!$C$2:$C$1199,0)),"",INDEX('Compliance Database'!$M$2:$M$1199,MATCH(1034,Engine!$C$2:$C$1199,0)))</f>
        <v/>
      </c>
      <c r="N1047" s="7" t="str">
        <f>IF(ISNA(MATCH(1034,Engine!$C$2:$C$1199,0)),"",INDEX('Compliance Database'!$N$2:$N$1199,MATCH(1034,Engine!$C$2:$C$1199,0)))</f>
        <v/>
      </c>
      <c r="O1047" s="7" t="str">
        <f>IF(ISNA(MATCH(1034,Engine!$C$2:$C$1199,0)),"",INDEX('Compliance Database'!$O$2:$O$1199,MATCH(1034,Engine!$C$2:$C$1199,0)))</f>
        <v/>
      </c>
      <c r="P1047" s="6" t="str">
        <f>IF(ISNA(MATCH(1034,Engine!$C$2:$C$1199,0)),"",HYPERLINK("#Acts!A"&amp;INDEX('Compliance Database'!$P$2:$P$1199,MATCH(1034,Engine!$C$2:$C$1199,0)),"Go to Act"))</f>
        <v/>
      </c>
    </row>
    <row r="1048" spans="1:16" ht="172.95" customHeight="1" x14ac:dyDescent="0.3">
      <c r="A1048" s="6" t="str">
        <f>IF(ISNA(MATCH(1035,Engine!$C$2:$C$1199,0)),"",INDEX('Compliance Database'!$A$2:$A$1199,MATCH(1035,Engine!$C$2:$C$1199,0)))</f>
        <v/>
      </c>
      <c r="B1048" s="6" t="str">
        <f>IF(ISNA(MATCH(1035,Engine!$C$2:$C$1199,0)),"",INDEX('Compliance Database'!$B$2:$B$1199,MATCH(1035,Engine!$C$2:$C$1199,0)))</f>
        <v/>
      </c>
      <c r="C1048" s="6" t="str">
        <f>IF(ISNA(MATCH(1035,Engine!$C$2:$C$1199,0)),"",INDEX('Compliance Database'!$C$2:$C$1199,MATCH(1035,Engine!$C$2:$C$1199,0)))</f>
        <v/>
      </c>
      <c r="D1048" s="7" t="str">
        <f>IF(ISNA(MATCH(1035,Engine!$C$2:$C$1199,0)),"",INDEX('Compliance Database'!$D$2:$D$1199,MATCH(1035,Engine!$C$2:$C$1199,0)))</f>
        <v/>
      </c>
      <c r="E1048" s="6" t="str">
        <f>IF(ISNA(MATCH(1035,Engine!$C$2:$C$1199,0)),"",INDEX('Compliance Database'!$E$2:$E$1199,MATCH(1035,Engine!$C$2:$C$1199,0)))</f>
        <v/>
      </c>
      <c r="F1048" s="6" t="str">
        <f>IF(ISNA(MATCH(1035,Engine!$C$2:$C$1199,0)),"",INDEX('Compliance Database'!$F$2:$F$1199,MATCH(1035,Engine!$C$2:$C$1199,0)))</f>
        <v/>
      </c>
      <c r="G1048" s="6" t="str">
        <f>IF(ISNA(MATCH(1035,Engine!$C$2:$C$1199,0)),"",INDEX('Compliance Database'!$G$2:$G$1199,MATCH(1035,Engine!$C$2:$C$1199,0)))</f>
        <v/>
      </c>
      <c r="H1048" s="7" t="str">
        <f>IF(ISNA(MATCH(1035,Engine!$C$2:$C$1199,0)),"",INDEX('Compliance Database'!$H$2:$H$1199,MATCH(1035,Engine!$C$2:$C$1199,0)))</f>
        <v/>
      </c>
      <c r="I1048" s="7" t="str">
        <f>IF(ISNA(MATCH(1035,Engine!$C$2:$C$1199,0)),"",INDEX('Compliance Database'!$I$2:$I$1199,MATCH(1035,Engine!$C$2:$C$1199,0)))</f>
        <v/>
      </c>
      <c r="J1048" s="6" t="str">
        <f>IF(ISNA(MATCH(1035,Engine!$C$2:$C$1199,0)),"",INDEX('Compliance Database'!$J$2:$J$1199,MATCH(1035,Engine!$C$2:$C$1199,0)))</f>
        <v/>
      </c>
      <c r="K1048" s="7" t="str">
        <f>IF(ISNA(MATCH(1035,Engine!$C$2:$C$1199,0)),"",INDEX('Compliance Database'!$K$2:$K$1199,MATCH(1035,Engine!$C$2:$C$1199,0)))</f>
        <v/>
      </c>
      <c r="L1048" s="7" t="str">
        <f>IF(ISNA(MATCH(1035,Engine!$C$2:$C$1199,0)),"",INDEX('Compliance Database'!$L$2:$L$1199,MATCH(1035,Engine!$C$2:$C$1199,0)))</f>
        <v/>
      </c>
      <c r="M1048" s="7" t="str">
        <f>IF(ISNA(MATCH(1035,Engine!$C$2:$C$1199,0)),"",INDEX('Compliance Database'!$M$2:$M$1199,MATCH(1035,Engine!$C$2:$C$1199,0)))</f>
        <v/>
      </c>
      <c r="N1048" s="7" t="str">
        <f>IF(ISNA(MATCH(1035,Engine!$C$2:$C$1199,0)),"",INDEX('Compliance Database'!$N$2:$N$1199,MATCH(1035,Engine!$C$2:$C$1199,0)))</f>
        <v/>
      </c>
      <c r="O1048" s="7" t="str">
        <f>IF(ISNA(MATCH(1035,Engine!$C$2:$C$1199,0)),"",INDEX('Compliance Database'!$O$2:$O$1199,MATCH(1035,Engine!$C$2:$C$1199,0)))</f>
        <v/>
      </c>
      <c r="P1048" s="6" t="str">
        <f>IF(ISNA(MATCH(1035,Engine!$C$2:$C$1199,0)),"",HYPERLINK("#Acts!A"&amp;INDEX('Compliance Database'!$P$2:$P$1199,MATCH(1035,Engine!$C$2:$C$1199,0)),"Go to Act"))</f>
        <v/>
      </c>
    </row>
    <row r="1049" spans="1:16" ht="172.95" customHeight="1" x14ac:dyDescent="0.3">
      <c r="A1049" s="6" t="str">
        <f>IF(ISNA(MATCH(1036,Engine!$C$2:$C$1199,0)),"",INDEX('Compliance Database'!$A$2:$A$1199,MATCH(1036,Engine!$C$2:$C$1199,0)))</f>
        <v/>
      </c>
      <c r="B1049" s="6" t="str">
        <f>IF(ISNA(MATCH(1036,Engine!$C$2:$C$1199,0)),"",INDEX('Compliance Database'!$B$2:$B$1199,MATCH(1036,Engine!$C$2:$C$1199,0)))</f>
        <v/>
      </c>
      <c r="C1049" s="6" t="str">
        <f>IF(ISNA(MATCH(1036,Engine!$C$2:$C$1199,0)),"",INDEX('Compliance Database'!$C$2:$C$1199,MATCH(1036,Engine!$C$2:$C$1199,0)))</f>
        <v/>
      </c>
      <c r="D1049" s="7" t="str">
        <f>IF(ISNA(MATCH(1036,Engine!$C$2:$C$1199,0)),"",INDEX('Compliance Database'!$D$2:$D$1199,MATCH(1036,Engine!$C$2:$C$1199,0)))</f>
        <v/>
      </c>
      <c r="E1049" s="6" t="str">
        <f>IF(ISNA(MATCH(1036,Engine!$C$2:$C$1199,0)),"",INDEX('Compliance Database'!$E$2:$E$1199,MATCH(1036,Engine!$C$2:$C$1199,0)))</f>
        <v/>
      </c>
      <c r="F1049" s="6" t="str">
        <f>IF(ISNA(MATCH(1036,Engine!$C$2:$C$1199,0)),"",INDEX('Compliance Database'!$F$2:$F$1199,MATCH(1036,Engine!$C$2:$C$1199,0)))</f>
        <v/>
      </c>
      <c r="G1049" s="6" t="str">
        <f>IF(ISNA(MATCH(1036,Engine!$C$2:$C$1199,0)),"",INDEX('Compliance Database'!$G$2:$G$1199,MATCH(1036,Engine!$C$2:$C$1199,0)))</f>
        <v/>
      </c>
      <c r="H1049" s="7" t="str">
        <f>IF(ISNA(MATCH(1036,Engine!$C$2:$C$1199,0)),"",INDEX('Compliance Database'!$H$2:$H$1199,MATCH(1036,Engine!$C$2:$C$1199,0)))</f>
        <v/>
      </c>
      <c r="I1049" s="7" t="str">
        <f>IF(ISNA(MATCH(1036,Engine!$C$2:$C$1199,0)),"",INDEX('Compliance Database'!$I$2:$I$1199,MATCH(1036,Engine!$C$2:$C$1199,0)))</f>
        <v/>
      </c>
      <c r="J1049" s="6" t="str">
        <f>IF(ISNA(MATCH(1036,Engine!$C$2:$C$1199,0)),"",INDEX('Compliance Database'!$J$2:$J$1199,MATCH(1036,Engine!$C$2:$C$1199,0)))</f>
        <v/>
      </c>
      <c r="K1049" s="7" t="str">
        <f>IF(ISNA(MATCH(1036,Engine!$C$2:$C$1199,0)),"",INDEX('Compliance Database'!$K$2:$K$1199,MATCH(1036,Engine!$C$2:$C$1199,0)))</f>
        <v/>
      </c>
      <c r="L1049" s="7" t="str">
        <f>IF(ISNA(MATCH(1036,Engine!$C$2:$C$1199,0)),"",INDEX('Compliance Database'!$L$2:$L$1199,MATCH(1036,Engine!$C$2:$C$1199,0)))</f>
        <v/>
      </c>
      <c r="M1049" s="7" t="str">
        <f>IF(ISNA(MATCH(1036,Engine!$C$2:$C$1199,0)),"",INDEX('Compliance Database'!$M$2:$M$1199,MATCH(1036,Engine!$C$2:$C$1199,0)))</f>
        <v/>
      </c>
      <c r="N1049" s="7" t="str">
        <f>IF(ISNA(MATCH(1036,Engine!$C$2:$C$1199,0)),"",INDEX('Compliance Database'!$N$2:$N$1199,MATCH(1036,Engine!$C$2:$C$1199,0)))</f>
        <v/>
      </c>
      <c r="O1049" s="7" t="str">
        <f>IF(ISNA(MATCH(1036,Engine!$C$2:$C$1199,0)),"",INDEX('Compliance Database'!$O$2:$O$1199,MATCH(1036,Engine!$C$2:$C$1199,0)))</f>
        <v/>
      </c>
      <c r="P1049" s="6" t="str">
        <f>IF(ISNA(MATCH(1036,Engine!$C$2:$C$1199,0)),"",HYPERLINK("#Acts!A"&amp;INDEX('Compliance Database'!$P$2:$P$1199,MATCH(1036,Engine!$C$2:$C$1199,0)),"Go to Act"))</f>
        <v/>
      </c>
    </row>
    <row r="1050" spans="1:16" ht="172.95" customHeight="1" x14ac:dyDescent="0.3">
      <c r="A1050" s="6" t="str">
        <f>IF(ISNA(MATCH(1037,Engine!$C$2:$C$1199,0)),"",INDEX('Compliance Database'!$A$2:$A$1199,MATCH(1037,Engine!$C$2:$C$1199,0)))</f>
        <v/>
      </c>
      <c r="B1050" s="6" t="str">
        <f>IF(ISNA(MATCH(1037,Engine!$C$2:$C$1199,0)),"",INDEX('Compliance Database'!$B$2:$B$1199,MATCH(1037,Engine!$C$2:$C$1199,0)))</f>
        <v/>
      </c>
      <c r="C1050" s="6" t="str">
        <f>IF(ISNA(MATCH(1037,Engine!$C$2:$C$1199,0)),"",INDEX('Compliance Database'!$C$2:$C$1199,MATCH(1037,Engine!$C$2:$C$1199,0)))</f>
        <v/>
      </c>
      <c r="D1050" s="7" t="str">
        <f>IF(ISNA(MATCH(1037,Engine!$C$2:$C$1199,0)),"",INDEX('Compliance Database'!$D$2:$D$1199,MATCH(1037,Engine!$C$2:$C$1199,0)))</f>
        <v/>
      </c>
      <c r="E1050" s="6" t="str">
        <f>IF(ISNA(MATCH(1037,Engine!$C$2:$C$1199,0)),"",INDEX('Compliance Database'!$E$2:$E$1199,MATCH(1037,Engine!$C$2:$C$1199,0)))</f>
        <v/>
      </c>
      <c r="F1050" s="6" t="str">
        <f>IF(ISNA(MATCH(1037,Engine!$C$2:$C$1199,0)),"",INDEX('Compliance Database'!$F$2:$F$1199,MATCH(1037,Engine!$C$2:$C$1199,0)))</f>
        <v/>
      </c>
      <c r="G1050" s="6" t="str">
        <f>IF(ISNA(MATCH(1037,Engine!$C$2:$C$1199,0)),"",INDEX('Compliance Database'!$G$2:$G$1199,MATCH(1037,Engine!$C$2:$C$1199,0)))</f>
        <v/>
      </c>
      <c r="H1050" s="7" t="str">
        <f>IF(ISNA(MATCH(1037,Engine!$C$2:$C$1199,0)),"",INDEX('Compliance Database'!$H$2:$H$1199,MATCH(1037,Engine!$C$2:$C$1199,0)))</f>
        <v/>
      </c>
      <c r="I1050" s="7" t="str">
        <f>IF(ISNA(MATCH(1037,Engine!$C$2:$C$1199,0)),"",INDEX('Compliance Database'!$I$2:$I$1199,MATCH(1037,Engine!$C$2:$C$1199,0)))</f>
        <v/>
      </c>
      <c r="J1050" s="6" t="str">
        <f>IF(ISNA(MATCH(1037,Engine!$C$2:$C$1199,0)),"",INDEX('Compliance Database'!$J$2:$J$1199,MATCH(1037,Engine!$C$2:$C$1199,0)))</f>
        <v/>
      </c>
      <c r="K1050" s="7" t="str">
        <f>IF(ISNA(MATCH(1037,Engine!$C$2:$C$1199,0)),"",INDEX('Compliance Database'!$K$2:$K$1199,MATCH(1037,Engine!$C$2:$C$1199,0)))</f>
        <v/>
      </c>
      <c r="L1050" s="7" t="str">
        <f>IF(ISNA(MATCH(1037,Engine!$C$2:$C$1199,0)),"",INDEX('Compliance Database'!$L$2:$L$1199,MATCH(1037,Engine!$C$2:$C$1199,0)))</f>
        <v/>
      </c>
      <c r="M1050" s="7" t="str">
        <f>IF(ISNA(MATCH(1037,Engine!$C$2:$C$1199,0)),"",INDEX('Compliance Database'!$M$2:$M$1199,MATCH(1037,Engine!$C$2:$C$1199,0)))</f>
        <v/>
      </c>
      <c r="N1050" s="7" t="str">
        <f>IF(ISNA(MATCH(1037,Engine!$C$2:$C$1199,0)),"",INDEX('Compliance Database'!$N$2:$N$1199,MATCH(1037,Engine!$C$2:$C$1199,0)))</f>
        <v/>
      </c>
      <c r="O1050" s="7" t="str">
        <f>IF(ISNA(MATCH(1037,Engine!$C$2:$C$1199,0)),"",INDEX('Compliance Database'!$O$2:$O$1199,MATCH(1037,Engine!$C$2:$C$1199,0)))</f>
        <v/>
      </c>
      <c r="P1050" s="6" t="str">
        <f>IF(ISNA(MATCH(1037,Engine!$C$2:$C$1199,0)),"",HYPERLINK("#Acts!A"&amp;INDEX('Compliance Database'!$P$2:$P$1199,MATCH(1037,Engine!$C$2:$C$1199,0)),"Go to Act"))</f>
        <v/>
      </c>
    </row>
    <row r="1051" spans="1:16" ht="172.95" customHeight="1" x14ac:dyDescent="0.3">
      <c r="A1051" s="6" t="str">
        <f>IF(ISNA(MATCH(1038,Engine!$C$2:$C$1199,0)),"",INDEX('Compliance Database'!$A$2:$A$1199,MATCH(1038,Engine!$C$2:$C$1199,0)))</f>
        <v/>
      </c>
      <c r="B1051" s="6" t="str">
        <f>IF(ISNA(MATCH(1038,Engine!$C$2:$C$1199,0)),"",INDEX('Compliance Database'!$B$2:$B$1199,MATCH(1038,Engine!$C$2:$C$1199,0)))</f>
        <v/>
      </c>
      <c r="C1051" s="6" t="str">
        <f>IF(ISNA(MATCH(1038,Engine!$C$2:$C$1199,0)),"",INDEX('Compliance Database'!$C$2:$C$1199,MATCH(1038,Engine!$C$2:$C$1199,0)))</f>
        <v/>
      </c>
      <c r="D1051" s="7" t="str">
        <f>IF(ISNA(MATCH(1038,Engine!$C$2:$C$1199,0)),"",INDEX('Compliance Database'!$D$2:$D$1199,MATCH(1038,Engine!$C$2:$C$1199,0)))</f>
        <v/>
      </c>
      <c r="E1051" s="6" t="str">
        <f>IF(ISNA(MATCH(1038,Engine!$C$2:$C$1199,0)),"",INDEX('Compliance Database'!$E$2:$E$1199,MATCH(1038,Engine!$C$2:$C$1199,0)))</f>
        <v/>
      </c>
      <c r="F1051" s="6" t="str">
        <f>IF(ISNA(MATCH(1038,Engine!$C$2:$C$1199,0)),"",INDEX('Compliance Database'!$F$2:$F$1199,MATCH(1038,Engine!$C$2:$C$1199,0)))</f>
        <v/>
      </c>
      <c r="G1051" s="6" t="str">
        <f>IF(ISNA(MATCH(1038,Engine!$C$2:$C$1199,0)),"",INDEX('Compliance Database'!$G$2:$G$1199,MATCH(1038,Engine!$C$2:$C$1199,0)))</f>
        <v/>
      </c>
      <c r="H1051" s="7" t="str">
        <f>IF(ISNA(MATCH(1038,Engine!$C$2:$C$1199,0)),"",INDEX('Compliance Database'!$H$2:$H$1199,MATCH(1038,Engine!$C$2:$C$1199,0)))</f>
        <v/>
      </c>
      <c r="I1051" s="7" t="str">
        <f>IF(ISNA(MATCH(1038,Engine!$C$2:$C$1199,0)),"",INDEX('Compliance Database'!$I$2:$I$1199,MATCH(1038,Engine!$C$2:$C$1199,0)))</f>
        <v/>
      </c>
      <c r="J1051" s="6" t="str">
        <f>IF(ISNA(MATCH(1038,Engine!$C$2:$C$1199,0)),"",INDEX('Compliance Database'!$J$2:$J$1199,MATCH(1038,Engine!$C$2:$C$1199,0)))</f>
        <v/>
      </c>
      <c r="K1051" s="7" t="str">
        <f>IF(ISNA(MATCH(1038,Engine!$C$2:$C$1199,0)),"",INDEX('Compliance Database'!$K$2:$K$1199,MATCH(1038,Engine!$C$2:$C$1199,0)))</f>
        <v/>
      </c>
      <c r="L1051" s="7" t="str">
        <f>IF(ISNA(MATCH(1038,Engine!$C$2:$C$1199,0)),"",INDEX('Compliance Database'!$L$2:$L$1199,MATCH(1038,Engine!$C$2:$C$1199,0)))</f>
        <v/>
      </c>
      <c r="M1051" s="7" t="str">
        <f>IF(ISNA(MATCH(1038,Engine!$C$2:$C$1199,0)),"",INDEX('Compliance Database'!$M$2:$M$1199,MATCH(1038,Engine!$C$2:$C$1199,0)))</f>
        <v/>
      </c>
      <c r="N1051" s="7" t="str">
        <f>IF(ISNA(MATCH(1038,Engine!$C$2:$C$1199,0)),"",INDEX('Compliance Database'!$N$2:$N$1199,MATCH(1038,Engine!$C$2:$C$1199,0)))</f>
        <v/>
      </c>
      <c r="O1051" s="7" t="str">
        <f>IF(ISNA(MATCH(1038,Engine!$C$2:$C$1199,0)),"",INDEX('Compliance Database'!$O$2:$O$1199,MATCH(1038,Engine!$C$2:$C$1199,0)))</f>
        <v/>
      </c>
      <c r="P1051" s="6" t="str">
        <f>IF(ISNA(MATCH(1038,Engine!$C$2:$C$1199,0)),"",HYPERLINK("#Acts!A"&amp;INDEX('Compliance Database'!$P$2:$P$1199,MATCH(1038,Engine!$C$2:$C$1199,0)),"Go to Act"))</f>
        <v/>
      </c>
    </row>
    <row r="1052" spans="1:16" ht="172.95" customHeight="1" x14ac:dyDescent="0.3">
      <c r="A1052" s="6" t="str">
        <f>IF(ISNA(MATCH(1039,Engine!$C$2:$C$1199,0)),"",INDEX('Compliance Database'!$A$2:$A$1199,MATCH(1039,Engine!$C$2:$C$1199,0)))</f>
        <v/>
      </c>
      <c r="B1052" s="6" t="str">
        <f>IF(ISNA(MATCH(1039,Engine!$C$2:$C$1199,0)),"",INDEX('Compliance Database'!$B$2:$B$1199,MATCH(1039,Engine!$C$2:$C$1199,0)))</f>
        <v/>
      </c>
      <c r="C1052" s="6" t="str">
        <f>IF(ISNA(MATCH(1039,Engine!$C$2:$C$1199,0)),"",INDEX('Compliance Database'!$C$2:$C$1199,MATCH(1039,Engine!$C$2:$C$1199,0)))</f>
        <v/>
      </c>
      <c r="D1052" s="7" t="str">
        <f>IF(ISNA(MATCH(1039,Engine!$C$2:$C$1199,0)),"",INDEX('Compliance Database'!$D$2:$D$1199,MATCH(1039,Engine!$C$2:$C$1199,0)))</f>
        <v/>
      </c>
      <c r="E1052" s="6" t="str">
        <f>IF(ISNA(MATCH(1039,Engine!$C$2:$C$1199,0)),"",INDEX('Compliance Database'!$E$2:$E$1199,MATCH(1039,Engine!$C$2:$C$1199,0)))</f>
        <v/>
      </c>
      <c r="F1052" s="6" t="str">
        <f>IF(ISNA(MATCH(1039,Engine!$C$2:$C$1199,0)),"",INDEX('Compliance Database'!$F$2:$F$1199,MATCH(1039,Engine!$C$2:$C$1199,0)))</f>
        <v/>
      </c>
      <c r="G1052" s="6" t="str">
        <f>IF(ISNA(MATCH(1039,Engine!$C$2:$C$1199,0)),"",INDEX('Compliance Database'!$G$2:$G$1199,MATCH(1039,Engine!$C$2:$C$1199,0)))</f>
        <v/>
      </c>
      <c r="H1052" s="7" t="str">
        <f>IF(ISNA(MATCH(1039,Engine!$C$2:$C$1199,0)),"",INDEX('Compliance Database'!$H$2:$H$1199,MATCH(1039,Engine!$C$2:$C$1199,0)))</f>
        <v/>
      </c>
      <c r="I1052" s="7" t="str">
        <f>IF(ISNA(MATCH(1039,Engine!$C$2:$C$1199,0)),"",INDEX('Compliance Database'!$I$2:$I$1199,MATCH(1039,Engine!$C$2:$C$1199,0)))</f>
        <v/>
      </c>
      <c r="J1052" s="6" t="str">
        <f>IF(ISNA(MATCH(1039,Engine!$C$2:$C$1199,0)),"",INDEX('Compliance Database'!$J$2:$J$1199,MATCH(1039,Engine!$C$2:$C$1199,0)))</f>
        <v/>
      </c>
      <c r="K1052" s="7" t="str">
        <f>IF(ISNA(MATCH(1039,Engine!$C$2:$C$1199,0)),"",INDEX('Compliance Database'!$K$2:$K$1199,MATCH(1039,Engine!$C$2:$C$1199,0)))</f>
        <v/>
      </c>
      <c r="L1052" s="7" t="str">
        <f>IF(ISNA(MATCH(1039,Engine!$C$2:$C$1199,0)),"",INDEX('Compliance Database'!$L$2:$L$1199,MATCH(1039,Engine!$C$2:$C$1199,0)))</f>
        <v/>
      </c>
      <c r="M1052" s="7" t="str">
        <f>IF(ISNA(MATCH(1039,Engine!$C$2:$C$1199,0)),"",INDEX('Compliance Database'!$M$2:$M$1199,MATCH(1039,Engine!$C$2:$C$1199,0)))</f>
        <v/>
      </c>
      <c r="N1052" s="7" t="str">
        <f>IF(ISNA(MATCH(1039,Engine!$C$2:$C$1199,0)),"",INDEX('Compliance Database'!$N$2:$N$1199,MATCH(1039,Engine!$C$2:$C$1199,0)))</f>
        <v/>
      </c>
      <c r="O1052" s="7" t="str">
        <f>IF(ISNA(MATCH(1039,Engine!$C$2:$C$1199,0)),"",INDEX('Compliance Database'!$O$2:$O$1199,MATCH(1039,Engine!$C$2:$C$1199,0)))</f>
        <v/>
      </c>
      <c r="P1052" s="6" t="str">
        <f>IF(ISNA(MATCH(1039,Engine!$C$2:$C$1199,0)),"",HYPERLINK("#Acts!A"&amp;INDEX('Compliance Database'!$P$2:$P$1199,MATCH(1039,Engine!$C$2:$C$1199,0)),"Go to Act"))</f>
        <v/>
      </c>
    </row>
    <row r="1053" spans="1:16" ht="172.95" customHeight="1" x14ac:dyDescent="0.3">
      <c r="A1053" s="6" t="str">
        <f>IF(ISNA(MATCH(1040,Engine!$C$2:$C$1199,0)),"",INDEX('Compliance Database'!$A$2:$A$1199,MATCH(1040,Engine!$C$2:$C$1199,0)))</f>
        <v/>
      </c>
      <c r="B1053" s="6" t="str">
        <f>IF(ISNA(MATCH(1040,Engine!$C$2:$C$1199,0)),"",INDEX('Compliance Database'!$B$2:$B$1199,MATCH(1040,Engine!$C$2:$C$1199,0)))</f>
        <v/>
      </c>
      <c r="C1053" s="6" t="str">
        <f>IF(ISNA(MATCH(1040,Engine!$C$2:$C$1199,0)),"",INDEX('Compliance Database'!$C$2:$C$1199,MATCH(1040,Engine!$C$2:$C$1199,0)))</f>
        <v/>
      </c>
      <c r="D1053" s="7" t="str">
        <f>IF(ISNA(MATCH(1040,Engine!$C$2:$C$1199,0)),"",INDEX('Compliance Database'!$D$2:$D$1199,MATCH(1040,Engine!$C$2:$C$1199,0)))</f>
        <v/>
      </c>
      <c r="E1053" s="6" t="str">
        <f>IF(ISNA(MATCH(1040,Engine!$C$2:$C$1199,0)),"",INDEX('Compliance Database'!$E$2:$E$1199,MATCH(1040,Engine!$C$2:$C$1199,0)))</f>
        <v/>
      </c>
      <c r="F1053" s="6" t="str">
        <f>IF(ISNA(MATCH(1040,Engine!$C$2:$C$1199,0)),"",INDEX('Compliance Database'!$F$2:$F$1199,MATCH(1040,Engine!$C$2:$C$1199,0)))</f>
        <v/>
      </c>
      <c r="G1053" s="6" t="str">
        <f>IF(ISNA(MATCH(1040,Engine!$C$2:$C$1199,0)),"",INDEX('Compliance Database'!$G$2:$G$1199,MATCH(1040,Engine!$C$2:$C$1199,0)))</f>
        <v/>
      </c>
      <c r="H1053" s="7" t="str">
        <f>IF(ISNA(MATCH(1040,Engine!$C$2:$C$1199,0)),"",INDEX('Compliance Database'!$H$2:$H$1199,MATCH(1040,Engine!$C$2:$C$1199,0)))</f>
        <v/>
      </c>
      <c r="I1053" s="7" t="str">
        <f>IF(ISNA(MATCH(1040,Engine!$C$2:$C$1199,0)),"",INDEX('Compliance Database'!$I$2:$I$1199,MATCH(1040,Engine!$C$2:$C$1199,0)))</f>
        <v/>
      </c>
      <c r="J1053" s="6" t="str">
        <f>IF(ISNA(MATCH(1040,Engine!$C$2:$C$1199,0)),"",INDEX('Compliance Database'!$J$2:$J$1199,MATCH(1040,Engine!$C$2:$C$1199,0)))</f>
        <v/>
      </c>
      <c r="K1053" s="7" t="str">
        <f>IF(ISNA(MATCH(1040,Engine!$C$2:$C$1199,0)),"",INDEX('Compliance Database'!$K$2:$K$1199,MATCH(1040,Engine!$C$2:$C$1199,0)))</f>
        <v/>
      </c>
      <c r="L1053" s="7" t="str">
        <f>IF(ISNA(MATCH(1040,Engine!$C$2:$C$1199,0)),"",INDEX('Compliance Database'!$L$2:$L$1199,MATCH(1040,Engine!$C$2:$C$1199,0)))</f>
        <v/>
      </c>
      <c r="M1053" s="7" t="str">
        <f>IF(ISNA(MATCH(1040,Engine!$C$2:$C$1199,0)),"",INDEX('Compliance Database'!$M$2:$M$1199,MATCH(1040,Engine!$C$2:$C$1199,0)))</f>
        <v/>
      </c>
      <c r="N1053" s="7" t="str">
        <f>IF(ISNA(MATCH(1040,Engine!$C$2:$C$1199,0)),"",INDEX('Compliance Database'!$N$2:$N$1199,MATCH(1040,Engine!$C$2:$C$1199,0)))</f>
        <v/>
      </c>
      <c r="O1053" s="7" t="str">
        <f>IF(ISNA(MATCH(1040,Engine!$C$2:$C$1199,0)),"",INDEX('Compliance Database'!$O$2:$O$1199,MATCH(1040,Engine!$C$2:$C$1199,0)))</f>
        <v/>
      </c>
      <c r="P1053" s="6" t="str">
        <f>IF(ISNA(MATCH(1040,Engine!$C$2:$C$1199,0)),"",HYPERLINK("#Acts!A"&amp;INDEX('Compliance Database'!$P$2:$P$1199,MATCH(1040,Engine!$C$2:$C$1199,0)),"Go to Act"))</f>
        <v/>
      </c>
    </row>
    <row r="1054" spans="1:16" ht="172.95" customHeight="1" x14ac:dyDescent="0.3">
      <c r="A1054" s="6" t="str">
        <f>IF(ISNA(MATCH(1041,Engine!$C$2:$C$1199,0)),"",INDEX('Compliance Database'!$A$2:$A$1199,MATCH(1041,Engine!$C$2:$C$1199,0)))</f>
        <v/>
      </c>
      <c r="B1054" s="6" t="str">
        <f>IF(ISNA(MATCH(1041,Engine!$C$2:$C$1199,0)),"",INDEX('Compliance Database'!$B$2:$B$1199,MATCH(1041,Engine!$C$2:$C$1199,0)))</f>
        <v/>
      </c>
      <c r="C1054" s="6" t="str">
        <f>IF(ISNA(MATCH(1041,Engine!$C$2:$C$1199,0)),"",INDEX('Compliance Database'!$C$2:$C$1199,MATCH(1041,Engine!$C$2:$C$1199,0)))</f>
        <v/>
      </c>
      <c r="D1054" s="7" t="str">
        <f>IF(ISNA(MATCH(1041,Engine!$C$2:$C$1199,0)),"",INDEX('Compliance Database'!$D$2:$D$1199,MATCH(1041,Engine!$C$2:$C$1199,0)))</f>
        <v/>
      </c>
      <c r="E1054" s="6" t="str">
        <f>IF(ISNA(MATCH(1041,Engine!$C$2:$C$1199,0)),"",INDEX('Compliance Database'!$E$2:$E$1199,MATCH(1041,Engine!$C$2:$C$1199,0)))</f>
        <v/>
      </c>
      <c r="F1054" s="6" t="str">
        <f>IF(ISNA(MATCH(1041,Engine!$C$2:$C$1199,0)),"",INDEX('Compliance Database'!$F$2:$F$1199,MATCH(1041,Engine!$C$2:$C$1199,0)))</f>
        <v/>
      </c>
      <c r="G1054" s="6" t="str">
        <f>IF(ISNA(MATCH(1041,Engine!$C$2:$C$1199,0)),"",INDEX('Compliance Database'!$G$2:$G$1199,MATCH(1041,Engine!$C$2:$C$1199,0)))</f>
        <v/>
      </c>
      <c r="H1054" s="7" t="str">
        <f>IF(ISNA(MATCH(1041,Engine!$C$2:$C$1199,0)),"",INDEX('Compliance Database'!$H$2:$H$1199,MATCH(1041,Engine!$C$2:$C$1199,0)))</f>
        <v/>
      </c>
      <c r="I1054" s="7" t="str">
        <f>IF(ISNA(MATCH(1041,Engine!$C$2:$C$1199,0)),"",INDEX('Compliance Database'!$I$2:$I$1199,MATCH(1041,Engine!$C$2:$C$1199,0)))</f>
        <v/>
      </c>
      <c r="J1054" s="6" t="str">
        <f>IF(ISNA(MATCH(1041,Engine!$C$2:$C$1199,0)),"",INDEX('Compliance Database'!$J$2:$J$1199,MATCH(1041,Engine!$C$2:$C$1199,0)))</f>
        <v/>
      </c>
      <c r="K1054" s="7" t="str">
        <f>IF(ISNA(MATCH(1041,Engine!$C$2:$C$1199,0)),"",INDEX('Compliance Database'!$K$2:$K$1199,MATCH(1041,Engine!$C$2:$C$1199,0)))</f>
        <v/>
      </c>
      <c r="L1054" s="7" t="str">
        <f>IF(ISNA(MATCH(1041,Engine!$C$2:$C$1199,0)),"",INDEX('Compliance Database'!$L$2:$L$1199,MATCH(1041,Engine!$C$2:$C$1199,0)))</f>
        <v/>
      </c>
      <c r="M1054" s="7" t="str">
        <f>IF(ISNA(MATCH(1041,Engine!$C$2:$C$1199,0)),"",INDEX('Compliance Database'!$M$2:$M$1199,MATCH(1041,Engine!$C$2:$C$1199,0)))</f>
        <v/>
      </c>
      <c r="N1054" s="7" t="str">
        <f>IF(ISNA(MATCH(1041,Engine!$C$2:$C$1199,0)),"",INDEX('Compliance Database'!$N$2:$N$1199,MATCH(1041,Engine!$C$2:$C$1199,0)))</f>
        <v/>
      </c>
      <c r="O1054" s="7" t="str">
        <f>IF(ISNA(MATCH(1041,Engine!$C$2:$C$1199,0)),"",INDEX('Compliance Database'!$O$2:$O$1199,MATCH(1041,Engine!$C$2:$C$1199,0)))</f>
        <v/>
      </c>
      <c r="P1054" s="6" t="str">
        <f>IF(ISNA(MATCH(1041,Engine!$C$2:$C$1199,0)),"",HYPERLINK("#Acts!A"&amp;INDEX('Compliance Database'!$P$2:$P$1199,MATCH(1041,Engine!$C$2:$C$1199,0)),"Go to Act"))</f>
        <v/>
      </c>
    </row>
    <row r="1055" spans="1:16" ht="172.95" customHeight="1" x14ac:dyDescent="0.3">
      <c r="A1055" s="6" t="str">
        <f>IF(ISNA(MATCH(1042,Engine!$C$2:$C$1199,0)),"",INDEX('Compliance Database'!$A$2:$A$1199,MATCH(1042,Engine!$C$2:$C$1199,0)))</f>
        <v/>
      </c>
      <c r="B1055" s="6" t="str">
        <f>IF(ISNA(MATCH(1042,Engine!$C$2:$C$1199,0)),"",INDEX('Compliance Database'!$B$2:$B$1199,MATCH(1042,Engine!$C$2:$C$1199,0)))</f>
        <v/>
      </c>
      <c r="C1055" s="6" t="str">
        <f>IF(ISNA(MATCH(1042,Engine!$C$2:$C$1199,0)),"",INDEX('Compliance Database'!$C$2:$C$1199,MATCH(1042,Engine!$C$2:$C$1199,0)))</f>
        <v/>
      </c>
      <c r="D1055" s="7" t="str">
        <f>IF(ISNA(MATCH(1042,Engine!$C$2:$C$1199,0)),"",INDEX('Compliance Database'!$D$2:$D$1199,MATCH(1042,Engine!$C$2:$C$1199,0)))</f>
        <v/>
      </c>
      <c r="E1055" s="6" t="str">
        <f>IF(ISNA(MATCH(1042,Engine!$C$2:$C$1199,0)),"",INDEX('Compliance Database'!$E$2:$E$1199,MATCH(1042,Engine!$C$2:$C$1199,0)))</f>
        <v/>
      </c>
      <c r="F1055" s="6" t="str">
        <f>IF(ISNA(MATCH(1042,Engine!$C$2:$C$1199,0)),"",INDEX('Compliance Database'!$F$2:$F$1199,MATCH(1042,Engine!$C$2:$C$1199,0)))</f>
        <v/>
      </c>
      <c r="G1055" s="6" t="str">
        <f>IF(ISNA(MATCH(1042,Engine!$C$2:$C$1199,0)),"",INDEX('Compliance Database'!$G$2:$G$1199,MATCH(1042,Engine!$C$2:$C$1199,0)))</f>
        <v/>
      </c>
      <c r="H1055" s="7" t="str">
        <f>IF(ISNA(MATCH(1042,Engine!$C$2:$C$1199,0)),"",INDEX('Compliance Database'!$H$2:$H$1199,MATCH(1042,Engine!$C$2:$C$1199,0)))</f>
        <v/>
      </c>
      <c r="I1055" s="7" t="str">
        <f>IF(ISNA(MATCH(1042,Engine!$C$2:$C$1199,0)),"",INDEX('Compliance Database'!$I$2:$I$1199,MATCH(1042,Engine!$C$2:$C$1199,0)))</f>
        <v/>
      </c>
      <c r="J1055" s="6" t="str">
        <f>IF(ISNA(MATCH(1042,Engine!$C$2:$C$1199,0)),"",INDEX('Compliance Database'!$J$2:$J$1199,MATCH(1042,Engine!$C$2:$C$1199,0)))</f>
        <v/>
      </c>
      <c r="K1055" s="7" t="str">
        <f>IF(ISNA(MATCH(1042,Engine!$C$2:$C$1199,0)),"",INDEX('Compliance Database'!$K$2:$K$1199,MATCH(1042,Engine!$C$2:$C$1199,0)))</f>
        <v/>
      </c>
      <c r="L1055" s="7" t="str">
        <f>IF(ISNA(MATCH(1042,Engine!$C$2:$C$1199,0)),"",INDEX('Compliance Database'!$L$2:$L$1199,MATCH(1042,Engine!$C$2:$C$1199,0)))</f>
        <v/>
      </c>
      <c r="M1055" s="7" t="str">
        <f>IF(ISNA(MATCH(1042,Engine!$C$2:$C$1199,0)),"",INDEX('Compliance Database'!$M$2:$M$1199,MATCH(1042,Engine!$C$2:$C$1199,0)))</f>
        <v/>
      </c>
      <c r="N1055" s="7" t="str">
        <f>IF(ISNA(MATCH(1042,Engine!$C$2:$C$1199,0)),"",INDEX('Compliance Database'!$N$2:$N$1199,MATCH(1042,Engine!$C$2:$C$1199,0)))</f>
        <v/>
      </c>
      <c r="O1055" s="7" t="str">
        <f>IF(ISNA(MATCH(1042,Engine!$C$2:$C$1199,0)),"",INDEX('Compliance Database'!$O$2:$O$1199,MATCH(1042,Engine!$C$2:$C$1199,0)))</f>
        <v/>
      </c>
      <c r="P1055" s="6" t="str">
        <f>IF(ISNA(MATCH(1042,Engine!$C$2:$C$1199,0)),"",HYPERLINK("#Acts!A"&amp;INDEX('Compliance Database'!$P$2:$P$1199,MATCH(1042,Engine!$C$2:$C$1199,0)),"Go to Act"))</f>
        <v/>
      </c>
    </row>
    <row r="1056" spans="1:16" ht="172.95" customHeight="1" x14ac:dyDescent="0.3">
      <c r="A1056" s="6" t="str">
        <f>IF(ISNA(MATCH(1043,Engine!$C$2:$C$1199,0)),"",INDEX('Compliance Database'!$A$2:$A$1199,MATCH(1043,Engine!$C$2:$C$1199,0)))</f>
        <v/>
      </c>
      <c r="B1056" s="6" t="str">
        <f>IF(ISNA(MATCH(1043,Engine!$C$2:$C$1199,0)),"",INDEX('Compliance Database'!$B$2:$B$1199,MATCH(1043,Engine!$C$2:$C$1199,0)))</f>
        <v/>
      </c>
      <c r="C1056" s="6" t="str">
        <f>IF(ISNA(MATCH(1043,Engine!$C$2:$C$1199,0)),"",INDEX('Compliance Database'!$C$2:$C$1199,MATCH(1043,Engine!$C$2:$C$1199,0)))</f>
        <v/>
      </c>
      <c r="D1056" s="7" t="str">
        <f>IF(ISNA(MATCH(1043,Engine!$C$2:$C$1199,0)),"",INDEX('Compliance Database'!$D$2:$D$1199,MATCH(1043,Engine!$C$2:$C$1199,0)))</f>
        <v/>
      </c>
      <c r="E1056" s="6" t="str">
        <f>IF(ISNA(MATCH(1043,Engine!$C$2:$C$1199,0)),"",INDEX('Compliance Database'!$E$2:$E$1199,MATCH(1043,Engine!$C$2:$C$1199,0)))</f>
        <v/>
      </c>
      <c r="F1056" s="6" t="str">
        <f>IF(ISNA(MATCH(1043,Engine!$C$2:$C$1199,0)),"",INDEX('Compliance Database'!$F$2:$F$1199,MATCH(1043,Engine!$C$2:$C$1199,0)))</f>
        <v/>
      </c>
      <c r="G1056" s="6" t="str">
        <f>IF(ISNA(MATCH(1043,Engine!$C$2:$C$1199,0)),"",INDEX('Compliance Database'!$G$2:$G$1199,MATCH(1043,Engine!$C$2:$C$1199,0)))</f>
        <v/>
      </c>
      <c r="H1056" s="7" t="str">
        <f>IF(ISNA(MATCH(1043,Engine!$C$2:$C$1199,0)),"",INDEX('Compliance Database'!$H$2:$H$1199,MATCH(1043,Engine!$C$2:$C$1199,0)))</f>
        <v/>
      </c>
      <c r="I1056" s="7" t="str">
        <f>IF(ISNA(MATCH(1043,Engine!$C$2:$C$1199,0)),"",INDEX('Compliance Database'!$I$2:$I$1199,MATCH(1043,Engine!$C$2:$C$1199,0)))</f>
        <v/>
      </c>
      <c r="J1056" s="6" t="str">
        <f>IF(ISNA(MATCH(1043,Engine!$C$2:$C$1199,0)),"",INDEX('Compliance Database'!$J$2:$J$1199,MATCH(1043,Engine!$C$2:$C$1199,0)))</f>
        <v/>
      </c>
      <c r="K1056" s="7" t="str">
        <f>IF(ISNA(MATCH(1043,Engine!$C$2:$C$1199,0)),"",INDEX('Compliance Database'!$K$2:$K$1199,MATCH(1043,Engine!$C$2:$C$1199,0)))</f>
        <v/>
      </c>
      <c r="L1056" s="7" t="str">
        <f>IF(ISNA(MATCH(1043,Engine!$C$2:$C$1199,0)),"",INDEX('Compliance Database'!$L$2:$L$1199,MATCH(1043,Engine!$C$2:$C$1199,0)))</f>
        <v/>
      </c>
      <c r="M1056" s="7" t="str">
        <f>IF(ISNA(MATCH(1043,Engine!$C$2:$C$1199,0)),"",INDEX('Compliance Database'!$M$2:$M$1199,MATCH(1043,Engine!$C$2:$C$1199,0)))</f>
        <v/>
      </c>
      <c r="N1056" s="7" t="str">
        <f>IF(ISNA(MATCH(1043,Engine!$C$2:$C$1199,0)),"",INDEX('Compliance Database'!$N$2:$N$1199,MATCH(1043,Engine!$C$2:$C$1199,0)))</f>
        <v/>
      </c>
      <c r="O1056" s="7" t="str">
        <f>IF(ISNA(MATCH(1043,Engine!$C$2:$C$1199,0)),"",INDEX('Compliance Database'!$O$2:$O$1199,MATCH(1043,Engine!$C$2:$C$1199,0)))</f>
        <v/>
      </c>
      <c r="P1056" s="6" t="str">
        <f>IF(ISNA(MATCH(1043,Engine!$C$2:$C$1199,0)),"",HYPERLINK("#Acts!A"&amp;INDEX('Compliance Database'!$P$2:$P$1199,MATCH(1043,Engine!$C$2:$C$1199,0)),"Go to Act"))</f>
        <v/>
      </c>
    </row>
    <row r="1057" spans="1:16" ht="172.95" customHeight="1" x14ac:dyDescent="0.3">
      <c r="A1057" s="6" t="str">
        <f>IF(ISNA(MATCH(1044,Engine!$C$2:$C$1199,0)),"",INDEX('Compliance Database'!$A$2:$A$1199,MATCH(1044,Engine!$C$2:$C$1199,0)))</f>
        <v/>
      </c>
      <c r="B1057" s="6" t="str">
        <f>IF(ISNA(MATCH(1044,Engine!$C$2:$C$1199,0)),"",INDEX('Compliance Database'!$B$2:$B$1199,MATCH(1044,Engine!$C$2:$C$1199,0)))</f>
        <v/>
      </c>
      <c r="C1057" s="6" t="str">
        <f>IF(ISNA(MATCH(1044,Engine!$C$2:$C$1199,0)),"",INDEX('Compliance Database'!$C$2:$C$1199,MATCH(1044,Engine!$C$2:$C$1199,0)))</f>
        <v/>
      </c>
      <c r="D1057" s="7" t="str">
        <f>IF(ISNA(MATCH(1044,Engine!$C$2:$C$1199,0)),"",INDEX('Compliance Database'!$D$2:$D$1199,MATCH(1044,Engine!$C$2:$C$1199,0)))</f>
        <v/>
      </c>
      <c r="E1057" s="6" t="str">
        <f>IF(ISNA(MATCH(1044,Engine!$C$2:$C$1199,0)),"",INDEX('Compliance Database'!$E$2:$E$1199,MATCH(1044,Engine!$C$2:$C$1199,0)))</f>
        <v/>
      </c>
      <c r="F1057" s="6" t="str">
        <f>IF(ISNA(MATCH(1044,Engine!$C$2:$C$1199,0)),"",INDEX('Compliance Database'!$F$2:$F$1199,MATCH(1044,Engine!$C$2:$C$1199,0)))</f>
        <v/>
      </c>
      <c r="G1057" s="6" t="str">
        <f>IF(ISNA(MATCH(1044,Engine!$C$2:$C$1199,0)),"",INDEX('Compliance Database'!$G$2:$G$1199,MATCH(1044,Engine!$C$2:$C$1199,0)))</f>
        <v/>
      </c>
      <c r="H1057" s="7" t="str">
        <f>IF(ISNA(MATCH(1044,Engine!$C$2:$C$1199,0)),"",INDEX('Compliance Database'!$H$2:$H$1199,MATCH(1044,Engine!$C$2:$C$1199,0)))</f>
        <v/>
      </c>
      <c r="I1057" s="7" t="str">
        <f>IF(ISNA(MATCH(1044,Engine!$C$2:$C$1199,0)),"",INDEX('Compliance Database'!$I$2:$I$1199,MATCH(1044,Engine!$C$2:$C$1199,0)))</f>
        <v/>
      </c>
      <c r="J1057" s="6" t="str">
        <f>IF(ISNA(MATCH(1044,Engine!$C$2:$C$1199,0)),"",INDEX('Compliance Database'!$J$2:$J$1199,MATCH(1044,Engine!$C$2:$C$1199,0)))</f>
        <v/>
      </c>
      <c r="K1057" s="7" t="str">
        <f>IF(ISNA(MATCH(1044,Engine!$C$2:$C$1199,0)),"",INDEX('Compliance Database'!$K$2:$K$1199,MATCH(1044,Engine!$C$2:$C$1199,0)))</f>
        <v/>
      </c>
      <c r="L1057" s="7" t="str">
        <f>IF(ISNA(MATCH(1044,Engine!$C$2:$C$1199,0)),"",INDEX('Compliance Database'!$L$2:$L$1199,MATCH(1044,Engine!$C$2:$C$1199,0)))</f>
        <v/>
      </c>
      <c r="M1057" s="7" t="str">
        <f>IF(ISNA(MATCH(1044,Engine!$C$2:$C$1199,0)),"",INDEX('Compliance Database'!$M$2:$M$1199,MATCH(1044,Engine!$C$2:$C$1199,0)))</f>
        <v/>
      </c>
      <c r="N1057" s="7" t="str">
        <f>IF(ISNA(MATCH(1044,Engine!$C$2:$C$1199,0)),"",INDEX('Compliance Database'!$N$2:$N$1199,MATCH(1044,Engine!$C$2:$C$1199,0)))</f>
        <v/>
      </c>
      <c r="O1057" s="7" t="str">
        <f>IF(ISNA(MATCH(1044,Engine!$C$2:$C$1199,0)),"",INDEX('Compliance Database'!$O$2:$O$1199,MATCH(1044,Engine!$C$2:$C$1199,0)))</f>
        <v/>
      </c>
      <c r="P1057" s="6" t="str">
        <f>IF(ISNA(MATCH(1044,Engine!$C$2:$C$1199,0)),"",HYPERLINK("#Acts!A"&amp;INDEX('Compliance Database'!$P$2:$P$1199,MATCH(1044,Engine!$C$2:$C$1199,0)),"Go to Act"))</f>
        <v/>
      </c>
    </row>
    <row r="1058" spans="1:16" ht="172.95" customHeight="1" x14ac:dyDescent="0.3">
      <c r="A1058" s="6" t="str">
        <f>IF(ISNA(MATCH(1045,Engine!$C$2:$C$1199,0)),"",INDEX('Compliance Database'!$A$2:$A$1199,MATCH(1045,Engine!$C$2:$C$1199,0)))</f>
        <v/>
      </c>
      <c r="B1058" s="6" t="str">
        <f>IF(ISNA(MATCH(1045,Engine!$C$2:$C$1199,0)),"",INDEX('Compliance Database'!$B$2:$B$1199,MATCH(1045,Engine!$C$2:$C$1199,0)))</f>
        <v/>
      </c>
      <c r="C1058" s="6" t="str">
        <f>IF(ISNA(MATCH(1045,Engine!$C$2:$C$1199,0)),"",INDEX('Compliance Database'!$C$2:$C$1199,MATCH(1045,Engine!$C$2:$C$1199,0)))</f>
        <v/>
      </c>
      <c r="D1058" s="7" t="str">
        <f>IF(ISNA(MATCH(1045,Engine!$C$2:$C$1199,0)),"",INDEX('Compliance Database'!$D$2:$D$1199,MATCH(1045,Engine!$C$2:$C$1199,0)))</f>
        <v/>
      </c>
      <c r="E1058" s="6" t="str">
        <f>IF(ISNA(MATCH(1045,Engine!$C$2:$C$1199,0)),"",INDEX('Compliance Database'!$E$2:$E$1199,MATCH(1045,Engine!$C$2:$C$1199,0)))</f>
        <v/>
      </c>
      <c r="F1058" s="6" t="str">
        <f>IF(ISNA(MATCH(1045,Engine!$C$2:$C$1199,0)),"",INDEX('Compliance Database'!$F$2:$F$1199,MATCH(1045,Engine!$C$2:$C$1199,0)))</f>
        <v/>
      </c>
      <c r="G1058" s="6" t="str">
        <f>IF(ISNA(MATCH(1045,Engine!$C$2:$C$1199,0)),"",INDEX('Compliance Database'!$G$2:$G$1199,MATCH(1045,Engine!$C$2:$C$1199,0)))</f>
        <v/>
      </c>
      <c r="H1058" s="7" t="str">
        <f>IF(ISNA(MATCH(1045,Engine!$C$2:$C$1199,0)),"",INDEX('Compliance Database'!$H$2:$H$1199,MATCH(1045,Engine!$C$2:$C$1199,0)))</f>
        <v/>
      </c>
      <c r="I1058" s="7" t="str">
        <f>IF(ISNA(MATCH(1045,Engine!$C$2:$C$1199,0)),"",INDEX('Compliance Database'!$I$2:$I$1199,MATCH(1045,Engine!$C$2:$C$1199,0)))</f>
        <v/>
      </c>
      <c r="J1058" s="6" t="str">
        <f>IF(ISNA(MATCH(1045,Engine!$C$2:$C$1199,0)),"",INDEX('Compliance Database'!$J$2:$J$1199,MATCH(1045,Engine!$C$2:$C$1199,0)))</f>
        <v/>
      </c>
      <c r="K1058" s="7" t="str">
        <f>IF(ISNA(MATCH(1045,Engine!$C$2:$C$1199,0)),"",INDEX('Compliance Database'!$K$2:$K$1199,MATCH(1045,Engine!$C$2:$C$1199,0)))</f>
        <v/>
      </c>
      <c r="L1058" s="7" t="str">
        <f>IF(ISNA(MATCH(1045,Engine!$C$2:$C$1199,0)),"",INDEX('Compliance Database'!$L$2:$L$1199,MATCH(1045,Engine!$C$2:$C$1199,0)))</f>
        <v/>
      </c>
      <c r="M1058" s="7" t="str">
        <f>IF(ISNA(MATCH(1045,Engine!$C$2:$C$1199,0)),"",INDEX('Compliance Database'!$M$2:$M$1199,MATCH(1045,Engine!$C$2:$C$1199,0)))</f>
        <v/>
      </c>
      <c r="N1058" s="7" t="str">
        <f>IF(ISNA(MATCH(1045,Engine!$C$2:$C$1199,0)),"",INDEX('Compliance Database'!$N$2:$N$1199,MATCH(1045,Engine!$C$2:$C$1199,0)))</f>
        <v/>
      </c>
      <c r="O1058" s="7" t="str">
        <f>IF(ISNA(MATCH(1045,Engine!$C$2:$C$1199,0)),"",INDEX('Compliance Database'!$O$2:$O$1199,MATCH(1045,Engine!$C$2:$C$1199,0)))</f>
        <v/>
      </c>
      <c r="P1058" s="6" t="str">
        <f>IF(ISNA(MATCH(1045,Engine!$C$2:$C$1199,0)),"",HYPERLINK("#Acts!A"&amp;INDEX('Compliance Database'!$P$2:$P$1199,MATCH(1045,Engine!$C$2:$C$1199,0)),"Go to Act"))</f>
        <v/>
      </c>
    </row>
    <row r="1059" spans="1:16" ht="172.95" customHeight="1" x14ac:dyDescent="0.3">
      <c r="A1059" s="6" t="str">
        <f>IF(ISNA(MATCH(1046,Engine!$C$2:$C$1199,0)),"",INDEX('Compliance Database'!$A$2:$A$1199,MATCH(1046,Engine!$C$2:$C$1199,0)))</f>
        <v/>
      </c>
      <c r="B1059" s="6" t="str">
        <f>IF(ISNA(MATCH(1046,Engine!$C$2:$C$1199,0)),"",INDEX('Compliance Database'!$B$2:$B$1199,MATCH(1046,Engine!$C$2:$C$1199,0)))</f>
        <v/>
      </c>
      <c r="C1059" s="6" t="str">
        <f>IF(ISNA(MATCH(1046,Engine!$C$2:$C$1199,0)),"",INDEX('Compliance Database'!$C$2:$C$1199,MATCH(1046,Engine!$C$2:$C$1199,0)))</f>
        <v/>
      </c>
      <c r="D1059" s="7" t="str">
        <f>IF(ISNA(MATCH(1046,Engine!$C$2:$C$1199,0)),"",INDEX('Compliance Database'!$D$2:$D$1199,MATCH(1046,Engine!$C$2:$C$1199,0)))</f>
        <v/>
      </c>
      <c r="E1059" s="6" t="str">
        <f>IF(ISNA(MATCH(1046,Engine!$C$2:$C$1199,0)),"",INDEX('Compliance Database'!$E$2:$E$1199,MATCH(1046,Engine!$C$2:$C$1199,0)))</f>
        <v/>
      </c>
      <c r="F1059" s="6" t="str">
        <f>IF(ISNA(MATCH(1046,Engine!$C$2:$C$1199,0)),"",INDEX('Compliance Database'!$F$2:$F$1199,MATCH(1046,Engine!$C$2:$C$1199,0)))</f>
        <v/>
      </c>
      <c r="G1059" s="6" t="str">
        <f>IF(ISNA(MATCH(1046,Engine!$C$2:$C$1199,0)),"",INDEX('Compliance Database'!$G$2:$G$1199,MATCH(1046,Engine!$C$2:$C$1199,0)))</f>
        <v/>
      </c>
      <c r="H1059" s="7" t="str">
        <f>IF(ISNA(MATCH(1046,Engine!$C$2:$C$1199,0)),"",INDEX('Compliance Database'!$H$2:$H$1199,MATCH(1046,Engine!$C$2:$C$1199,0)))</f>
        <v/>
      </c>
      <c r="I1059" s="7" t="str">
        <f>IF(ISNA(MATCH(1046,Engine!$C$2:$C$1199,0)),"",INDEX('Compliance Database'!$I$2:$I$1199,MATCH(1046,Engine!$C$2:$C$1199,0)))</f>
        <v/>
      </c>
      <c r="J1059" s="6" t="str">
        <f>IF(ISNA(MATCH(1046,Engine!$C$2:$C$1199,0)),"",INDEX('Compliance Database'!$J$2:$J$1199,MATCH(1046,Engine!$C$2:$C$1199,0)))</f>
        <v/>
      </c>
      <c r="K1059" s="7" t="str">
        <f>IF(ISNA(MATCH(1046,Engine!$C$2:$C$1199,0)),"",INDEX('Compliance Database'!$K$2:$K$1199,MATCH(1046,Engine!$C$2:$C$1199,0)))</f>
        <v/>
      </c>
      <c r="L1059" s="7" t="str">
        <f>IF(ISNA(MATCH(1046,Engine!$C$2:$C$1199,0)),"",INDEX('Compliance Database'!$L$2:$L$1199,MATCH(1046,Engine!$C$2:$C$1199,0)))</f>
        <v/>
      </c>
      <c r="M1059" s="7" t="str">
        <f>IF(ISNA(MATCH(1046,Engine!$C$2:$C$1199,0)),"",INDEX('Compliance Database'!$M$2:$M$1199,MATCH(1046,Engine!$C$2:$C$1199,0)))</f>
        <v/>
      </c>
      <c r="N1059" s="7" t="str">
        <f>IF(ISNA(MATCH(1046,Engine!$C$2:$C$1199,0)),"",INDEX('Compliance Database'!$N$2:$N$1199,MATCH(1046,Engine!$C$2:$C$1199,0)))</f>
        <v/>
      </c>
      <c r="O1059" s="7" t="str">
        <f>IF(ISNA(MATCH(1046,Engine!$C$2:$C$1199,0)),"",INDEX('Compliance Database'!$O$2:$O$1199,MATCH(1046,Engine!$C$2:$C$1199,0)))</f>
        <v/>
      </c>
      <c r="P1059" s="6" t="str">
        <f>IF(ISNA(MATCH(1046,Engine!$C$2:$C$1199,0)),"",HYPERLINK("#Acts!A"&amp;INDEX('Compliance Database'!$P$2:$P$1199,MATCH(1046,Engine!$C$2:$C$1199,0)),"Go to Act"))</f>
        <v/>
      </c>
    </row>
    <row r="1060" spans="1:16" ht="172.95" customHeight="1" x14ac:dyDescent="0.3">
      <c r="A1060" s="6" t="str">
        <f>IF(ISNA(MATCH(1047,Engine!$C$2:$C$1199,0)),"",INDEX('Compliance Database'!$A$2:$A$1199,MATCH(1047,Engine!$C$2:$C$1199,0)))</f>
        <v/>
      </c>
      <c r="B1060" s="6" t="str">
        <f>IF(ISNA(MATCH(1047,Engine!$C$2:$C$1199,0)),"",INDEX('Compliance Database'!$B$2:$B$1199,MATCH(1047,Engine!$C$2:$C$1199,0)))</f>
        <v/>
      </c>
      <c r="C1060" s="6" t="str">
        <f>IF(ISNA(MATCH(1047,Engine!$C$2:$C$1199,0)),"",INDEX('Compliance Database'!$C$2:$C$1199,MATCH(1047,Engine!$C$2:$C$1199,0)))</f>
        <v/>
      </c>
      <c r="D1060" s="7" t="str">
        <f>IF(ISNA(MATCH(1047,Engine!$C$2:$C$1199,0)),"",INDEX('Compliance Database'!$D$2:$D$1199,MATCH(1047,Engine!$C$2:$C$1199,0)))</f>
        <v/>
      </c>
      <c r="E1060" s="6" t="str">
        <f>IF(ISNA(MATCH(1047,Engine!$C$2:$C$1199,0)),"",INDEX('Compliance Database'!$E$2:$E$1199,MATCH(1047,Engine!$C$2:$C$1199,0)))</f>
        <v/>
      </c>
      <c r="F1060" s="6" t="str">
        <f>IF(ISNA(MATCH(1047,Engine!$C$2:$C$1199,0)),"",INDEX('Compliance Database'!$F$2:$F$1199,MATCH(1047,Engine!$C$2:$C$1199,0)))</f>
        <v/>
      </c>
      <c r="G1060" s="6" t="str">
        <f>IF(ISNA(MATCH(1047,Engine!$C$2:$C$1199,0)),"",INDEX('Compliance Database'!$G$2:$G$1199,MATCH(1047,Engine!$C$2:$C$1199,0)))</f>
        <v/>
      </c>
      <c r="H1060" s="7" t="str">
        <f>IF(ISNA(MATCH(1047,Engine!$C$2:$C$1199,0)),"",INDEX('Compliance Database'!$H$2:$H$1199,MATCH(1047,Engine!$C$2:$C$1199,0)))</f>
        <v/>
      </c>
      <c r="I1060" s="7" t="str">
        <f>IF(ISNA(MATCH(1047,Engine!$C$2:$C$1199,0)),"",INDEX('Compliance Database'!$I$2:$I$1199,MATCH(1047,Engine!$C$2:$C$1199,0)))</f>
        <v/>
      </c>
      <c r="J1060" s="6" t="str">
        <f>IF(ISNA(MATCH(1047,Engine!$C$2:$C$1199,0)),"",INDEX('Compliance Database'!$J$2:$J$1199,MATCH(1047,Engine!$C$2:$C$1199,0)))</f>
        <v/>
      </c>
      <c r="K1060" s="7" t="str">
        <f>IF(ISNA(MATCH(1047,Engine!$C$2:$C$1199,0)),"",INDEX('Compliance Database'!$K$2:$K$1199,MATCH(1047,Engine!$C$2:$C$1199,0)))</f>
        <v/>
      </c>
      <c r="L1060" s="7" t="str">
        <f>IF(ISNA(MATCH(1047,Engine!$C$2:$C$1199,0)),"",INDEX('Compliance Database'!$L$2:$L$1199,MATCH(1047,Engine!$C$2:$C$1199,0)))</f>
        <v/>
      </c>
      <c r="M1060" s="7" t="str">
        <f>IF(ISNA(MATCH(1047,Engine!$C$2:$C$1199,0)),"",INDEX('Compliance Database'!$M$2:$M$1199,MATCH(1047,Engine!$C$2:$C$1199,0)))</f>
        <v/>
      </c>
      <c r="N1060" s="7" t="str">
        <f>IF(ISNA(MATCH(1047,Engine!$C$2:$C$1199,0)),"",INDEX('Compliance Database'!$N$2:$N$1199,MATCH(1047,Engine!$C$2:$C$1199,0)))</f>
        <v/>
      </c>
      <c r="O1060" s="7" t="str">
        <f>IF(ISNA(MATCH(1047,Engine!$C$2:$C$1199,0)),"",INDEX('Compliance Database'!$O$2:$O$1199,MATCH(1047,Engine!$C$2:$C$1199,0)))</f>
        <v/>
      </c>
      <c r="P1060" s="6" t="str">
        <f>IF(ISNA(MATCH(1047,Engine!$C$2:$C$1199,0)),"",HYPERLINK("#Acts!A"&amp;INDEX('Compliance Database'!$P$2:$P$1199,MATCH(1047,Engine!$C$2:$C$1199,0)),"Go to Act"))</f>
        <v/>
      </c>
    </row>
    <row r="1061" spans="1:16" ht="172.95" customHeight="1" x14ac:dyDescent="0.3">
      <c r="A1061" s="6" t="str">
        <f>IF(ISNA(MATCH(1048,Engine!$C$2:$C$1199,0)),"",INDEX('Compliance Database'!$A$2:$A$1199,MATCH(1048,Engine!$C$2:$C$1199,0)))</f>
        <v/>
      </c>
      <c r="B1061" s="6" t="str">
        <f>IF(ISNA(MATCH(1048,Engine!$C$2:$C$1199,0)),"",INDEX('Compliance Database'!$B$2:$B$1199,MATCH(1048,Engine!$C$2:$C$1199,0)))</f>
        <v/>
      </c>
      <c r="C1061" s="6" t="str">
        <f>IF(ISNA(MATCH(1048,Engine!$C$2:$C$1199,0)),"",INDEX('Compliance Database'!$C$2:$C$1199,MATCH(1048,Engine!$C$2:$C$1199,0)))</f>
        <v/>
      </c>
      <c r="D1061" s="7" t="str">
        <f>IF(ISNA(MATCH(1048,Engine!$C$2:$C$1199,0)),"",INDEX('Compliance Database'!$D$2:$D$1199,MATCH(1048,Engine!$C$2:$C$1199,0)))</f>
        <v/>
      </c>
      <c r="E1061" s="6" t="str">
        <f>IF(ISNA(MATCH(1048,Engine!$C$2:$C$1199,0)),"",INDEX('Compliance Database'!$E$2:$E$1199,MATCH(1048,Engine!$C$2:$C$1199,0)))</f>
        <v/>
      </c>
      <c r="F1061" s="6" t="str">
        <f>IF(ISNA(MATCH(1048,Engine!$C$2:$C$1199,0)),"",INDEX('Compliance Database'!$F$2:$F$1199,MATCH(1048,Engine!$C$2:$C$1199,0)))</f>
        <v/>
      </c>
      <c r="G1061" s="6" t="str">
        <f>IF(ISNA(MATCH(1048,Engine!$C$2:$C$1199,0)),"",INDEX('Compliance Database'!$G$2:$G$1199,MATCH(1048,Engine!$C$2:$C$1199,0)))</f>
        <v/>
      </c>
      <c r="H1061" s="7" t="str">
        <f>IF(ISNA(MATCH(1048,Engine!$C$2:$C$1199,0)),"",INDEX('Compliance Database'!$H$2:$H$1199,MATCH(1048,Engine!$C$2:$C$1199,0)))</f>
        <v/>
      </c>
      <c r="I1061" s="7" t="str">
        <f>IF(ISNA(MATCH(1048,Engine!$C$2:$C$1199,0)),"",INDEX('Compliance Database'!$I$2:$I$1199,MATCH(1048,Engine!$C$2:$C$1199,0)))</f>
        <v/>
      </c>
      <c r="J1061" s="6" t="str">
        <f>IF(ISNA(MATCH(1048,Engine!$C$2:$C$1199,0)),"",INDEX('Compliance Database'!$J$2:$J$1199,MATCH(1048,Engine!$C$2:$C$1199,0)))</f>
        <v/>
      </c>
      <c r="K1061" s="7" t="str">
        <f>IF(ISNA(MATCH(1048,Engine!$C$2:$C$1199,0)),"",INDEX('Compliance Database'!$K$2:$K$1199,MATCH(1048,Engine!$C$2:$C$1199,0)))</f>
        <v/>
      </c>
      <c r="L1061" s="7" t="str">
        <f>IF(ISNA(MATCH(1048,Engine!$C$2:$C$1199,0)),"",INDEX('Compliance Database'!$L$2:$L$1199,MATCH(1048,Engine!$C$2:$C$1199,0)))</f>
        <v/>
      </c>
      <c r="M1061" s="7" t="str">
        <f>IF(ISNA(MATCH(1048,Engine!$C$2:$C$1199,0)),"",INDEX('Compliance Database'!$M$2:$M$1199,MATCH(1048,Engine!$C$2:$C$1199,0)))</f>
        <v/>
      </c>
      <c r="N1061" s="7" t="str">
        <f>IF(ISNA(MATCH(1048,Engine!$C$2:$C$1199,0)),"",INDEX('Compliance Database'!$N$2:$N$1199,MATCH(1048,Engine!$C$2:$C$1199,0)))</f>
        <v/>
      </c>
      <c r="O1061" s="7" t="str">
        <f>IF(ISNA(MATCH(1048,Engine!$C$2:$C$1199,0)),"",INDEX('Compliance Database'!$O$2:$O$1199,MATCH(1048,Engine!$C$2:$C$1199,0)))</f>
        <v/>
      </c>
      <c r="P1061" s="6" t="str">
        <f>IF(ISNA(MATCH(1048,Engine!$C$2:$C$1199,0)),"",HYPERLINK("#Acts!A"&amp;INDEX('Compliance Database'!$P$2:$P$1199,MATCH(1048,Engine!$C$2:$C$1199,0)),"Go to Act"))</f>
        <v/>
      </c>
    </row>
    <row r="1062" spans="1:16" ht="172.95" customHeight="1" x14ac:dyDescent="0.3">
      <c r="A1062" s="6" t="str">
        <f>IF(ISNA(MATCH(1049,Engine!$C$2:$C$1199,0)),"",INDEX('Compliance Database'!$A$2:$A$1199,MATCH(1049,Engine!$C$2:$C$1199,0)))</f>
        <v/>
      </c>
      <c r="B1062" s="6" t="str">
        <f>IF(ISNA(MATCH(1049,Engine!$C$2:$C$1199,0)),"",INDEX('Compliance Database'!$B$2:$B$1199,MATCH(1049,Engine!$C$2:$C$1199,0)))</f>
        <v/>
      </c>
      <c r="C1062" s="6" t="str">
        <f>IF(ISNA(MATCH(1049,Engine!$C$2:$C$1199,0)),"",INDEX('Compliance Database'!$C$2:$C$1199,MATCH(1049,Engine!$C$2:$C$1199,0)))</f>
        <v/>
      </c>
      <c r="D1062" s="7" t="str">
        <f>IF(ISNA(MATCH(1049,Engine!$C$2:$C$1199,0)),"",INDEX('Compliance Database'!$D$2:$D$1199,MATCH(1049,Engine!$C$2:$C$1199,0)))</f>
        <v/>
      </c>
      <c r="E1062" s="6" t="str">
        <f>IF(ISNA(MATCH(1049,Engine!$C$2:$C$1199,0)),"",INDEX('Compliance Database'!$E$2:$E$1199,MATCH(1049,Engine!$C$2:$C$1199,0)))</f>
        <v/>
      </c>
      <c r="F1062" s="6" t="str">
        <f>IF(ISNA(MATCH(1049,Engine!$C$2:$C$1199,0)),"",INDEX('Compliance Database'!$F$2:$F$1199,MATCH(1049,Engine!$C$2:$C$1199,0)))</f>
        <v/>
      </c>
      <c r="G1062" s="6" t="str">
        <f>IF(ISNA(MATCH(1049,Engine!$C$2:$C$1199,0)),"",INDEX('Compliance Database'!$G$2:$G$1199,MATCH(1049,Engine!$C$2:$C$1199,0)))</f>
        <v/>
      </c>
      <c r="H1062" s="7" t="str">
        <f>IF(ISNA(MATCH(1049,Engine!$C$2:$C$1199,0)),"",INDEX('Compliance Database'!$H$2:$H$1199,MATCH(1049,Engine!$C$2:$C$1199,0)))</f>
        <v/>
      </c>
      <c r="I1062" s="7" t="str">
        <f>IF(ISNA(MATCH(1049,Engine!$C$2:$C$1199,0)),"",INDEX('Compliance Database'!$I$2:$I$1199,MATCH(1049,Engine!$C$2:$C$1199,0)))</f>
        <v/>
      </c>
      <c r="J1062" s="6" t="str">
        <f>IF(ISNA(MATCH(1049,Engine!$C$2:$C$1199,0)),"",INDEX('Compliance Database'!$J$2:$J$1199,MATCH(1049,Engine!$C$2:$C$1199,0)))</f>
        <v/>
      </c>
      <c r="K1062" s="7" t="str">
        <f>IF(ISNA(MATCH(1049,Engine!$C$2:$C$1199,0)),"",INDEX('Compliance Database'!$K$2:$K$1199,MATCH(1049,Engine!$C$2:$C$1199,0)))</f>
        <v/>
      </c>
      <c r="L1062" s="7" t="str">
        <f>IF(ISNA(MATCH(1049,Engine!$C$2:$C$1199,0)),"",INDEX('Compliance Database'!$L$2:$L$1199,MATCH(1049,Engine!$C$2:$C$1199,0)))</f>
        <v/>
      </c>
      <c r="M1062" s="7" t="str">
        <f>IF(ISNA(MATCH(1049,Engine!$C$2:$C$1199,0)),"",INDEX('Compliance Database'!$M$2:$M$1199,MATCH(1049,Engine!$C$2:$C$1199,0)))</f>
        <v/>
      </c>
      <c r="N1062" s="7" t="str">
        <f>IF(ISNA(MATCH(1049,Engine!$C$2:$C$1199,0)),"",INDEX('Compliance Database'!$N$2:$N$1199,MATCH(1049,Engine!$C$2:$C$1199,0)))</f>
        <v/>
      </c>
      <c r="O1062" s="7" t="str">
        <f>IF(ISNA(MATCH(1049,Engine!$C$2:$C$1199,0)),"",INDEX('Compliance Database'!$O$2:$O$1199,MATCH(1049,Engine!$C$2:$C$1199,0)))</f>
        <v/>
      </c>
      <c r="P1062" s="6" t="str">
        <f>IF(ISNA(MATCH(1049,Engine!$C$2:$C$1199,0)),"",HYPERLINK("#Acts!A"&amp;INDEX('Compliance Database'!$P$2:$P$1199,MATCH(1049,Engine!$C$2:$C$1199,0)),"Go to Act"))</f>
        <v/>
      </c>
    </row>
    <row r="1063" spans="1:16" ht="172.95" customHeight="1" x14ac:dyDescent="0.3">
      <c r="A1063" s="6" t="str">
        <f>IF(ISNA(MATCH(1050,Engine!$C$2:$C$1199,0)),"",INDEX('Compliance Database'!$A$2:$A$1199,MATCH(1050,Engine!$C$2:$C$1199,0)))</f>
        <v/>
      </c>
      <c r="B1063" s="6" t="str">
        <f>IF(ISNA(MATCH(1050,Engine!$C$2:$C$1199,0)),"",INDEX('Compliance Database'!$B$2:$B$1199,MATCH(1050,Engine!$C$2:$C$1199,0)))</f>
        <v/>
      </c>
      <c r="C1063" s="6" t="str">
        <f>IF(ISNA(MATCH(1050,Engine!$C$2:$C$1199,0)),"",INDEX('Compliance Database'!$C$2:$C$1199,MATCH(1050,Engine!$C$2:$C$1199,0)))</f>
        <v/>
      </c>
      <c r="D1063" s="7" t="str">
        <f>IF(ISNA(MATCH(1050,Engine!$C$2:$C$1199,0)),"",INDEX('Compliance Database'!$D$2:$D$1199,MATCH(1050,Engine!$C$2:$C$1199,0)))</f>
        <v/>
      </c>
      <c r="E1063" s="6" t="str">
        <f>IF(ISNA(MATCH(1050,Engine!$C$2:$C$1199,0)),"",INDEX('Compliance Database'!$E$2:$E$1199,MATCH(1050,Engine!$C$2:$C$1199,0)))</f>
        <v/>
      </c>
      <c r="F1063" s="6" t="str">
        <f>IF(ISNA(MATCH(1050,Engine!$C$2:$C$1199,0)),"",INDEX('Compliance Database'!$F$2:$F$1199,MATCH(1050,Engine!$C$2:$C$1199,0)))</f>
        <v/>
      </c>
      <c r="G1063" s="6" t="str">
        <f>IF(ISNA(MATCH(1050,Engine!$C$2:$C$1199,0)),"",INDEX('Compliance Database'!$G$2:$G$1199,MATCH(1050,Engine!$C$2:$C$1199,0)))</f>
        <v/>
      </c>
      <c r="H1063" s="7" t="str">
        <f>IF(ISNA(MATCH(1050,Engine!$C$2:$C$1199,0)),"",INDEX('Compliance Database'!$H$2:$H$1199,MATCH(1050,Engine!$C$2:$C$1199,0)))</f>
        <v/>
      </c>
      <c r="I1063" s="7" t="str">
        <f>IF(ISNA(MATCH(1050,Engine!$C$2:$C$1199,0)),"",INDEX('Compliance Database'!$I$2:$I$1199,MATCH(1050,Engine!$C$2:$C$1199,0)))</f>
        <v/>
      </c>
      <c r="J1063" s="6" t="str">
        <f>IF(ISNA(MATCH(1050,Engine!$C$2:$C$1199,0)),"",INDEX('Compliance Database'!$J$2:$J$1199,MATCH(1050,Engine!$C$2:$C$1199,0)))</f>
        <v/>
      </c>
      <c r="K1063" s="7" t="str">
        <f>IF(ISNA(MATCH(1050,Engine!$C$2:$C$1199,0)),"",INDEX('Compliance Database'!$K$2:$K$1199,MATCH(1050,Engine!$C$2:$C$1199,0)))</f>
        <v/>
      </c>
      <c r="L1063" s="7" t="str">
        <f>IF(ISNA(MATCH(1050,Engine!$C$2:$C$1199,0)),"",INDEX('Compliance Database'!$L$2:$L$1199,MATCH(1050,Engine!$C$2:$C$1199,0)))</f>
        <v/>
      </c>
      <c r="M1063" s="7" t="str">
        <f>IF(ISNA(MATCH(1050,Engine!$C$2:$C$1199,0)),"",INDEX('Compliance Database'!$M$2:$M$1199,MATCH(1050,Engine!$C$2:$C$1199,0)))</f>
        <v/>
      </c>
      <c r="N1063" s="7" t="str">
        <f>IF(ISNA(MATCH(1050,Engine!$C$2:$C$1199,0)),"",INDEX('Compliance Database'!$N$2:$N$1199,MATCH(1050,Engine!$C$2:$C$1199,0)))</f>
        <v/>
      </c>
      <c r="O1063" s="7" t="str">
        <f>IF(ISNA(MATCH(1050,Engine!$C$2:$C$1199,0)),"",INDEX('Compliance Database'!$O$2:$O$1199,MATCH(1050,Engine!$C$2:$C$1199,0)))</f>
        <v/>
      </c>
      <c r="P1063" s="6" t="str">
        <f>IF(ISNA(MATCH(1050,Engine!$C$2:$C$1199,0)),"",HYPERLINK("#Acts!A"&amp;INDEX('Compliance Database'!$P$2:$P$1199,MATCH(1050,Engine!$C$2:$C$1199,0)),"Go to Act"))</f>
        <v/>
      </c>
    </row>
    <row r="1064" spans="1:16" ht="172.95" customHeight="1" x14ac:dyDescent="0.3">
      <c r="A1064" s="6" t="str">
        <f>IF(ISNA(MATCH(1051,Engine!$C$2:$C$1199,0)),"",INDEX('Compliance Database'!$A$2:$A$1199,MATCH(1051,Engine!$C$2:$C$1199,0)))</f>
        <v/>
      </c>
      <c r="B1064" s="6" t="str">
        <f>IF(ISNA(MATCH(1051,Engine!$C$2:$C$1199,0)),"",INDEX('Compliance Database'!$B$2:$B$1199,MATCH(1051,Engine!$C$2:$C$1199,0)))</f>
        <v/>
      </c>
      <c r="C1064" s="6" t="str">
        <f>IF(ISNA(MATCH(1051,Engine!$C$2:$C$1199,0)),"",INDEX('Compliance Database'!$C$2:$C$1199,MATCH(1051,Engine!$C$2:$C$1199,0)))</f>
        <v/>
      </c>
      <c r="D1064" s="7" t="str">
        <f>IF(ISNA(MATCH(1051,Engine!$C$2:$C$1199,0)),"",INDEX('Compliance Database'!$D$2:$D$1199,MATCH(1051,Engine!$C$2:$C$1199,0)))</f>
        <v/>
      </c>
      <c r="E1064" s="6" t="str">
        <f>IF(ISNA(MATCH(1051,Engine!$C$2:$C$1199,0)),"",INDEX('Compliance Database'!$E$2:$E$1199,MATCH(1051,Engine!$C$2:$C$1199,0)))</f>
        <v/>
      </c>
      <c r="F1064" s="6" t="str">
        <f>IF(ISNA(MATCH(1051,Engine!$C$2:$C$1199,0)),"",INDEX('Compliance Database'!$F$2:$F$1199,MATCH(1051,Engine!$C$2:$C$1199,0)))</f>
        <v/>
      </c>
      <c r="G1064" s="6" t="str">
        <f>IF(ISNA(MATCH(1051,Engine!$C$2:$C$1199,0)),"",INDEX('Compliance Database'!$G$2:$G$1199,MATCH(1051,Engine!$C$2:$C$1199,0)))</f>
        <v/>
      </c>
      <c r="H1064" s="7" t="str">
        <f>IF(ISNA(MATCH(1051,Engine!$C$2:$C$1199,0)),"",INDEX('Compliance Database'!$H$2:$H$1199,MATCH(1051,Engine!$C$2:$C$1199,0)))</f>
        <v/>
      </c>
      <c r="I1064" s="7" t="str">
        <f>IF(ISNA(MATCH(1051,Engine!$C$2:$C$1199,0)),"",INDEX('Compliance Database'!$I$2:$I$1199,MATCH(1051,Engine!$C$2:$C$1199,0)))</f>
        <v/>
      </c>
      <c r="J1064" s="6" t="str">
        <f>IF(ISNA(MATCH(1051,Engine!$C$2:$C$1199,0)),"",INDEX('Compliance Database'!$J$2:$J$1199,MATCH(1051,Engine!$C$2:$C$1199,0)))</f>
        <v/>
      </c>
      <c r="K1064" s="7" t="str">
        <f>IF(ISNA(MATCH(1051,Engine!$C$2:$C$1199,0)),"",INDEX('Compliance Database'!$K$2:$K$1199,MATCH(1051,Engine!$C$2:$C$1199,0)))</f>
        <v/>
      </c>
      <c r="L1064" s="7" t="str">
        <f>IF(ISNA(MATCH(1051,Engine!$C$2:$C$1199,0)),"",INDEX('Compliance Database'!$L$2:$L$1199,MATCH(1051,Engine!$C$2:$C$1199,0)))</f>
        <v/>
      </c>
      <c r="M1064" s="7" t="str">
        <f>IF(ISNA(MATCH(1051,Engine!$C$2:$C$1199,0)),"",INDEX('Compliance Database'!$M$2:$M$1199,MATCH(1051,Engine!$C$2:$C$1199,0)))</f>
        <v/>
      </c>
      <c r="N1064" s="7" t="str">
        <f>IF(ISNA(MATCH(1051,Engine!$C$2:$C$1199,0)),"",INDEX('Compliance Database'!$N$2:$N$1199,MATCH(1051,Engine!$C$2:$C$1199,0)))</f>
        <v/>
      </c>
      <c r="O1064" s="7" t="str">
        <f>IF(ISNA(MATCH(1051,Engine!$C$2:$C$1199,0)),"",INDEX('Compliance Database'!$O$2:$O$1199,MATCH(1051,Engine!$C$2:$C$1199,0)))</f>
        <v/>
      </c>
      <c r="P1064" s="6" t="str">
        <f>IF(ISNA(MATCH(1051,Engine!$C$2:$C$1199,0)),"",HYPERLINK("#Acts!A"&amp;INDEX('Compliance Database'!$P$2:$P$1199,MATCH(1051,Engine!$C$2:$C$1199,0)),"Go to Act"))</f>
        <v/>
      </c>
    </row>
    <row r="1065" spans="1:16" ht="172.95" customHeight="1" x14ac:dyDescent="0.3">
      <c r="A1065" s="6" t="str">
        <f>IF(ISNA(MATCH(1052,Engine!$C$2:$C$1199,0)),"",INDEX('Compliance Database'!$A$2:$A$1199,MATCH(1052,Engine!$C$2:$C$1199,0)))</f>
        <v/>
      </c>
      <c r="B1065" s="6" t="str">
        <f>IF(ISNA(MATCH(1052,Engine!$C$2:$C$1199,0)),"",INDEX('Compliance Database'!$B$2:$B$1199,MATCH(1052,Engine!$C$2:$C$1199,0)))</f>
        <v/>
      </c>
      <c r="C1065" s="6" t="str">
        <f>IF(ISNA(MATCH(1052,Engine!$C$2:$C$1199,0)),"",INDEX('Compliance Database'!$C$2:$C$1199,MATCH(1052,Engine!$C$2:$C$1199,0)))</f>
        <v/>
      </c>
      <c r="D1065" s="7" t="str">
        <f>IF(ISNA(MATCH(1052,Engine!$C$2:$C$1199,0)),"",INDEX('Compliance Database'!$D$2:$D$1199,MATCH(1052,Engine!$C$2:$C$1199,0)))</f>
        <v/>
      </c>
      <c r="E1065" s="6" t="str">
        <f>IF(ISNA(MATCH(1052,Engine!$C$2:$C$1199,0)),"",INDEX('Compliance Database'!$E$2:$E$1199,MATCH(1052,Engine!$C$2:$C$1199,0)))</f>
        <v/>
      </c>
      <c r="F1065" s="6" t="str">
        <f>IF(ISNA(MATCH(1052,Engine!$C$2:$C$1199,0)),"",INDEX('Compliance Database'!$F$2:$F$1199,MATCH(1052,Engine!$C$2:$C$1199,0)))</f>
        <v/>
      </c>
      <c r="G1065" s="6" t="str">
        <f>IF(ISNA(MATCH(1052,Engine!$C$2:$C$1199,0)),"",INDEX('Compliance Database'!$G$2:$G$1199,MATCH(1052,Engine!$C$2:$C$1199,0)))</f>
        <v/>
      </c>
      <c r="H1065" s="7" t="str">
        <f>IF(ISNA(MATCH(1052,Engine!$C$2:$C$1199,0)),"",INDEX('Compliance Database'!$H$2:$H$1199,MATCH(1052,Engine!$C$2:$C$1199,0)))</f>
        <v/>
      </c>
      <c r="I1065" s="7" t="str">
        <f>IF(ISNA(MATCH(1052,Engine!$C$2:$C$1199,0)),"",INDEX('Compliance Database'!$I$2:$I$1199,MATCH(1052,Engine!$C$2:$C$1199,0)))</f>
        <v/>
      </c>
      <c r="J1065" s="6" t="str">
        <f>IF(ISNA(MATCH(1052,Engine!$C$2:$C$1199,0)),"",INDEX('Compliance Database'!$J$2:$J$1199,MATCH(1052,Engine!$C$2:$C$1199,0)))</f>
        <v/>
      </c>
      <c r="K1065" s="7" t="str">
        <f>IF(ISNA(MATCH(1052,Engine!$C$2:$C$1199,0)),"",INDEX('Compliance Database'!$K$2:$K$1199,MATCH(1052,Engine!$C$2:$C$1199,0)))</f>
        <v/>
      </c>
      <c r="L1065" s="7" t="str">
        <f>IF(ISNA(MATCH(1052,Engine!$C$2:$C$1199,0)),"",INDEX('Compliance Database'!$L$2:$L$1199,MATCH(1052,Engine!$C$2:$C$1199,0)))</f>
        <v/>
      </c>
      <c r="M1065" s="7" t="str">
        <f>IF(ISNA(MATCH(1052,Engine!$C$2:$C$1199,0)),"",INDEX('Compliance Database'!$M$2:$M$1199,MATCH(1052,Engine!$C$2:$C$1199,0)))</f>
        <v/>
      </c>
      <c r="N1065" s="7" t="str">
        <f>IF(ISNA(MATCH(1052,Engine!$C$2:$C$1199,0)),"",INDEX('Compliance Database'!$N$2:$N$1199,MATCH(1052,Engine!$C$2:$C$1199,0)))</f>
        <v/>
      </c>
      <c r="O1065" s="7" t="str">
        <f>IF(ISNA(MATCH(1052,Engine!$C$2:$C$1199,0)),"",INDEX('Compliance Database'!$O$2:$O$1199,MATCH(1052,Engine!$C$2:$C$1199,0)))</f>
        <v/>
      </c>
      <c r="P1065" s="6" t="str">
        <f>IF(ISNA(MATCH(1052,Engine!$C$2:$C$1199,0)),"",HYPERLINK("#Acts!A"&amp;INDEX('Compliance Database'!$P$2:$P$1199,MATCH(1052,Engine!$C$2:$C$1199,0)),"Go to Act"))</f>
        <v/>
      </c>
    </row>
    <row r="1066" spans="1:16" ht="172.95" customHeight="1" x14ac:dyDescent="0.3">
      <c r="A1066" s="6" t="str">
        <f>IF(ISNA(MATCH(1053,Engine!$C$2:$C$1199,0)),"",INDEX('Compliance Database'!$A$2:$A$1199,MATCH(1053,Engine!$C$2:$C$1199,0)))</f>
        <v/>
      </c>
      <c r="B1066" s="6" t="str">
        <f>IF(ISNA(MATCH(1053,Engine!$C$2:$C$1199,0)),"",INDEX('Compliance Database'!$B$2:$B$1199,MATCH(1053,Engine!$C$2:$C$1199,0)))</f>
        <v/>
      </c>
      <c r="C1066" s="6" t="str">
        <f>IF(ISNA(MATCH(1053,Engine!$C$2:$C$1199,0)),"",INDEX('Compliance Database'!$C$2:$C$1199,MATCH(1053,Engine!$C$2:$C$1199,0)))</f>
        <v/>
      </c>
      <c r="D1066" s="7" t="str">
        <f>IF(ISNA(MATCH(1053,Engine!$C$2:$C$1199,0)),"",INDEX('Compliance Database'!$D$2:$D$1199,MATCH(1053,Engine!$C$2:$C$1199,0)))</f>
        <v/>
      </c>
      <c r="E1066" s="6" t="str">
        <f>IF(ISNA(MATCH(1053,Engine!$C$2:$C$1199,0)),"",INDEX('Compliance Database'!$E$2:$E$1199,MATCH(1053,Engine!$C$2:$C$1199,0)))</f>
        <v/>
      </c>
      <c r="F1066" s="6" t="str">
        <f>IF(ISNA(MATCH(1053,Engine!$C$2:$C$1199,0)),"",INDEX('Compliance Database'!$F$2:$F$1199,MATCH(1053,Engine!$C$2:$C$1199,0)))</f>
        <v/>
      </c>
      <c r="G1066" s="6" t="str">
        <f>IF(ISNA(MATCH(1053,Engine!$C$2:$C$1199,0)),"",INDEX('Compliance Database'!$G$2:$G$1199,MATCH(1053,Engine!$C$2:$C$1199,0)))</f>
        <v/>
      </c>
      <c r="H1066" s="7" t="str">
        <f>IF(ISNA(MATCH(1053,Engine!$C$2:$C$1199,0)),"",INDEX('Compliance Database'!$H$2:$H$1199,MATCH(1053,Engine!$C$2:$C$1199,0)))</f>
        <v/>
      </c>
      <c r="I1066" s="7" t="str">
        <f>IF(ISNA(MATCH(1053,Engine!$C$2:$C$1199,0)),"",INDEX('Compliance Database'!$I$2:$I$1199,MATCH(1053,Engine!$C$2:$C$1199,0)))</f>
        <v/>
      </c>
      <c r="J1066" s="6" t="str">
        <f>IF(ISNA(MATCH(1053,Engine!$C$2:$C$1199,0)),"",INDEX('Compliance Database'!$J$2:$J$1199,MATCH(1053,Engine!$C$2:$C$1199,0)))</f>
        <v/>
      </c>
      <c r="K1066" s="7" t="str">
        <f>IF(ISNA(MATCH(1053,Engine!$C$2:$C$1199,0)),"",INDEX('Compliance Database'!$K$2:$K$1199,MATCH(1053,Engine!$C$2:$C$1199,0)))</f>
        <v/>
      </c>
      <c r="L1066" s="7" t="str">
        <f>IF(ISNA(MATCH(1053,Engine!$C$2:$C$1199,0)),"",INDEX('Compliance Database'!$L$2:$L$1199,MATCH(1053,Engine!$C$2:$C$1199,0)))</f>
        <v/>
      </c>
      <c r="M1066" s="7" t="str">
        <f>IF(ISNA(MATCH(1053,Engine!$C$2:$C$1199,0)),"",INDEX('Compliance Database'!$M$2:$M$1199,MATCH(1053,Engine!$C$2:$C$1199,0)))</f>
        <v/>
      </c>
      <c r="N1066" s="7" t="str">
        <f>IF(ISNA(MATCH(1053,Engine!$C$2:$C$1199,0)),"",INDEX('Compliance Database'!$N$2:$N$1199,MATCH(1053,Engine!$C$2:$C$1199,0)))</f>
        <v/>
      </c>
      <c r="O1066" s="7" t="str">
        <f>IF(ISNA(MATCH(1053,Engine!$C$2:$C$1199,0)),"",INDEX('Compliance Database'!$O$2:$O$1199,MATCH(1053,Engine!$C$2:$C$1199,0)))</f>
        <v/>
      </c>
      <c r="P1066" s="6" t="str">
        <f>IF(ISNA(MATCH(1053,Engine!$C$2:$C$1199,0)),"",HYPERLINK("#Acts!A"&amp;INDEX('Compliance Database'!$P$2:$P$1199,MATCH(1053,Engine!$C$2:$C$1199,0)),"Go to Act"))</f>
        <v/>
      </c>
    </row>
    <row r="1067" spans="1:16" ht="172.95" customHeight="1" x14ac:dyDescent="0.3">
      <c r="A1067" s="6" t="str">
        <f>IF(ISNA(MATCH(1054,Engine!$C$2:$C$1199,0)),"",INDEX('Compliance Database'!$A$2:$A$1199,MATCH(1054,Engine!$C$2:$C$1199,0)))</f>
        <v/>
      </c>
      <c r="B1067" s="6" t="str">
        <f>IF(ISNA(MATCH(1054,Engine!$C$2:$C$1199,0)),"",INDEX('Compliance Database'!$B$2:$B$1199,MATCH(1054,Engine!$C$2:$C$1199,0)))</f>
        <v/>
      </c>
      <c r="C1067" s="6" t="str">
        <f>IF(ISNA(MATCH(1054,Engine!$C$2:$C$1199,0)),"",INDEX('Compliance Database'!$C$2:$C$1199,MATCH(1054,Engine!$C$2:$C$1199,0)))</f>
        <v/>
      </c>
      <c r="D1067" s="7" t="str">
        <f>IF(ISNA(MATCH(1054,Engine!$C$2:$C$1199,0)),"",INDEX('Compliance Database'!$D$2:$D$1199,MATCH(1054,Engine!$C$2:$C$1199,0)))</f>
        <v/>
      </c>
      <c r="E1067" s="6" t="str">
        <f>IF(ISNA(MATCH(1054,Engine!$C$2:$C$1199,0)),"",INDEX('Compliance Database'!$E$2:$E$1199,MATCH(1054,Engine!$C$2:$C$1199,0)))</f>
        <v/>
      </c>
      <c r="F1067" s="6" t="str">
        <f>IF(ISNA(MATCH(1054,Engine!$C$2:$C$1199,0)),"",INDEX('Compliance Database'!$F$2:$F$1199,MATCH(1054,Engine!$C$2:$C$1199,0)))</f>
        <v/>
      </c>
      <c r="G1067" s="6" t="str">
        <f>IF(ISNA(MATCH(1054,Engine!$C$2:$C$1199,0)),"",INDEX('Compliance Database'!$G$2:$G$1199,MATCH(1054,Engine!$C$2:$C$1199,0)))</f>
        <v/>
      </c>
      <c r="H1067" s="7" t="str">
        <f>IF(ISNA(MATCH(1054,Engine!$C$2:$C$1199,0)),"",INDEX('Compliance Database'!$H$2:$H$1199,MATCH(1054,Engine!$C$2:$C$1199,0)))</f>
        <v/>
      </c>
      <c r="I1067" s="7" t="str">
        <f>IF(ISNA(MATCH(1054,Engine!$C$2:$C$1199,0)),"",INDEX('Compliance Database'!$I$2:$I$1199,MATCH(1054,Engine!$C$2:$C$1199,0)))</f>
        <v/>
      </c>
      <c r="J1067" s="6" t="str">
        <f>IF(ISNA(MATCH(1054,Engine!$C$2:$C$1199,0)),"",INDEX('Compliance Database'!$J$2:$J$1199,MATCH(1054,Engine!$C$2:$C$1199,0)))</f>
        <v/>
      </c>
      <c r="K1067" s="7" t="str">
        <f>IF(ISNA(MATCH(1054,Engine!$C$2:$C$1199,0)),"",INDEX('Compliance Database'!$K$2:$K$1199,MATCH(1054,Engine!$C$2:$C$1199,0)))</f>
        <v/>
      </c>
      <c r="L1067" s="7" t="str">
        <f>IF(ISNA(MATCH(1054,Engine!$C$2:$C$1199,0)),"",INDEX('Compliance Database'!$L$2:$L$1199,MATCH(1054,Engine!$C$2:$C$1199,0)))</f>
        <v/>
      </c>
      <c r="M1067" s="7" t="str">
        <f>IF(ISNA(MATCH(1054,Engine!$C$2:$C$1199,0)),"",INDEX('Compliance Database'!$M$2:$M$1199,MATCH(1054,Engine!$C$2:$C$1199,0)))</f>
        <v/>
      </c>
      <c r="N1067" s="7" t="str">
        <f>IF(ISNA(MATCH(1054,Engine!$C$2:$C$1199,0)),"",INDEX('Compliance Database'!$N$2:$N$1199,MATCH(1054,Engine!$C$2:$C$1199,0)))</f>
        <v/>
      </c>
      <c r="O1067" s="7" t="str">
        <f>IF(ISNA(MATCH(1054,Engine!$C$2:$C$1199,0)),"",INDEX('Compliance Database'!$O$2:$O$1199,MATCH(1054,Engine!$C$2:$C$1199,0)))</f>
        <v/>
      </c>
      <c r="P1067" s="6" t="str">
        <f>IF(ISNA(MATCH(1054,Engine!$C$2:$C$1199,0)),"",HYPERLINK("#Acts!A"&amp;INDEX('Compliance Database'!$P$2:$P$1199,MATCH(1054,Engine!$C$2:$C$1199,0)),"Go to Act"))</f>
        <v/>
      </c>
    </row>
    <row r="1068" spans="1:16" ht="172.95" customHeight="1" x14ac:dyDescent="0.3">
      <c r="A1068" s="6" t="str">
        <f>IF(ISNA(MATCH(1055,Engine!$C$2:$C$1199,0)),"",INDEX('Compliance Database'!$A$2:$A$1199,MATCH(1055,Engine!$C$2:$C$1199,0)))</f>
        <v/>
      </c>
      <c r="B1068" s="6" t="str">
        <f>IF(ISNA(MATCH(1055,Engine!$C$2:$C$1199,0)),"",INDEX('Compliance Database'!$B$2:$B$1199,MATCH(1055,Engine!$C$2:$C$1199,0)))</f>
        <v/>
      </c>
      <c r="C1068" s="6" t="str">
        <f>IF(ISNA(MATCH(1055,Engine!$C$2:$C$1199,0)),"",INDEX('Compliance Database'!$C$2:$C$1199,MATCH(1055,Engine!$C$2:$C$1199,0)))</f>
        <v/>
      </c>
      <c r="D1068" s="7" t="str">
        <f>IF(ISNA(MATCH(1055,Engine!$C$2:$C$1199,0)),"",INDEX('Compliance Database'!$D$2:$D$1199,MATCH(1055,Engine!$C$2:$C$1199,0)))</f>
        <v/>
      </c>
      <c r="E1068" s="6" t="str">
        <f>IF(ISNA(MATCH(1055,Engine!$C$2:$C$1199,0)),"",INDEX('Compliance Database'!$E$2:$E$1199,MATCH(1055,Engine!$C$2:$C$1199,0)))</f>
        <v/>
      </c>
      <c r="F1068" s="6" t="str">
        <f>IF(ISNA(MATCH(1055,Engine!$C$2:$C$1199,0)),"",INDEX('Compliance Database'!$F$2:$F$1199,MATCH(1055,Engine!$C$2:$C$1199,0)))</f>
        <v/>
      </c>
      <c r="G1068" s="6" t="str">
        <f>IF(ISNA(MATCH(1055,Engine!$C$2:$C$1199,0)),"",INDEX('Compliance Database'!$G$2:$G$1199,MATCH(1055,Engine!$C$2:$C$1199,0)))</f>
        <v/>
      </c>
      <c r="H1068" s="7" t="str">
        <f>IF(ISNA(MATCH(1055,Engine!$C$2:$C$1199,0)),"",INDEX('Compliance Database'!$H$2:$H$1199,MATCH(1055,Engine!$C$2:$C$1199,0)))</f>
        <v/>
      </c>
      <c r="I1068" s="7" t="str">
        <f>IF(ISNA(MATCH(1055,Engine!$C$2:$C$1199,0)),"",INDEX('Compliance Database'!$I$2:$I$1199,MATCH(1055,Engine!$C$2:$C$1199,0)))</f>
        <v/>
      </c>
      <c r="J1068" s="6" t="str">
        <f>IF(ISNA(MATCH(1055,Engine!$C$2:$C$1199,0)),"",INDEX('Compliance Database'!$J$2:$J$1199,MATCH(1055,Engine!$C$2:$C$1199,0)))</f>
        <v/>
      </c>
      <c r="K1068" s="7" t="str">
        <f>IF(ISNA(MATCH(1055,Engine!$C$2:$C$1199,0)),"",INDEX('Compliance Database'!$K$2:$K$1199,MATCH(1055,Engine!$C$2:$C$1199,0)))</f>
        <v/>
      </c>
      <c r="L1068" s="7" t="str">
        <f>IF(ISNA(MATCH(1055,Engine!$C$2:$C$1199,0)),"",INDEX('Compliance Database'!$L$2:$L$1199,MATCH(1055,Engine!$C$2:$C$1199,0)))</f>
        <v/>
      </c>
      <c r="M1068" s="7" t="str">
        <f>IF(ISNA(MATCH(1055,Engine!$C$2:$C$1199,0)),"",INDEX('Compliance Database'!$M$2:$M$1199,MATCH(1055,Engine!$C$2:$C$1199,0)))</f>
        <v/>
      </c>
      <c r="N1068" s="7" t="str">
        <f>IF(ISNA(MATCH(1055,Engine!$C$2:$C$1199,0)),"",INDEX('Compliance Database'!$N$2:$N$1199,MATCH(1055,Engine!$C$2:$C$1199,0)))</f>
        <v/>
      </c>
      <c r="O1068" s="7" t="str">
        <f>IF(ISNA(MATCH(1055,Engine!$C$2:$C$1199,0)),"",INDEX('Compliance Database'!$O$2:$O$1199,MATCH(1055,Engine!$C$2:$C$1199,0)))</f>
        <v/>
      </c>
      <c r="P1068" s="6" t="str">
        <f>IF(ISNA(MATCH(1055,Engine!$C$2:$C$1199,0)),"",HYPERLINK("#Acts!A"&amp;INDEX('Compliance Database'!$P$2:$P$1199,MATCH(1055,Engine!$C$2:$C$1199,0)),"Go to Act"))</f>
        <v/>
      </c>
    </row>
    <row r="1069" spans="1:16" ht="172.95" customHeight="1" x14ac:dyDescent="0.3">
      <c r="A1069" s="6" t="str">
        <f>IF(ISNA(MATCH(1056,Engine!$C$2:$C$1199,0)),"",INDEX('Compliance Database'!$A$2:$A$1199,MATCH(1056,Engine!$C$2:$C$1199,0)))</f>
        <v/>
      </c>
      <c r="B1069" s="6" t="str">
        <f>IF(ISNA(MATCH(1056,Engine!$C$2:$C$1199,0)),"",INDEX('Compliance Database'!$B$2:$B$1199,MATCH(1056,Engine!$C$2:$C$1199,0)))</f>
        <v/>
      </c>
      <c r="C1069" s="6" t="str">
        <f>IF(ISNA(MATCH(1056,Engine!$C$2:$C$1199,0)),"",INDEX('Compliance Database'!$C$2:$C$1199,MATCH(1056,Engine!$C$2:$C$1199,0)))</f>
        <v/>
      </c>
      <c r="D1069" s="7" t="str">
        <f>IF(ISNA(MATCH(1056,Engine!$C$2:$C$1199,0)),"",INDEX('Compliance Database'!$D$2:$D$1199,MATCH(1056,Engine!$C$2:$C$1199,0)))</f>
        <v/>
      </c>
      <c r="E1069" s="6" t="str">
        <f>IF(ISNA(MATCH(1056,Engine!$C$2:$C$1199,0)),"",INDEX('Compliance Database'!$E$2:$E$1199,MATCH(1056,Engine!$C$2:$C$1199,0)))</f>
        <v/>
      </c>
      <c r="F1069" s="6" t="str">
        <f>IF(ISNA(MATCH(1056,Engine!$C$2:$C$1199,0)),"",INDEX('Compliance Database'!$F$2:$F$1199,MATCH(1056,Engine!$C$2:$C$1199,0)))</f>
        <v/>
      </c>
      <c r="G1069" s="6" t="str">
        <f>IF(ISNA(MATCH(1056,Engine!$C$2:$C$1199,0)),"",INDEX('Compliance Database'!$G$2:$G$1199,MATCH(1056,Engine!$C$2:$C$1199,0)))</f>
        <v/>
      </c>
      <c r="H1069" s="7" t="str">
        <f>IF(ISNA(MATCH(1056,Engine!$C$2:$C$1199,0)),"",INDEX('Compliance Database'!$H$2:$H$1199,MATCH(1056,Engine!$C$2:$C$1199,0)))</f>
        <v/>
      </c>
      <c r="I1069" s="7" t="str">
        <f>IF(ISNA(MATCH(1056,Engine!$C$2:$C$1199,0)),"",INDEX('Compliance Database'!$I$2:$I$1199,MATCH(1056,Engine!$C$2:$C$1199,0)))</f>
        <v/>
      </c>
      <c r="J1069" s="6" t="str">
        <f>IF(ISNA(MATCH(1056,Engine!$C$2:$C$1199,0)),"",INDEX('Compliance Database'!$J$2:$J$1199,MATCH(1056,Engine!$C$2:$C$1199,0)))</f>
        <v/>
      </c>
      <c r="K1069" s="7" t="str">
        <f>IF(ISNA(MATCH(1056,Engine!$C$2:$C$1199,0)),"",INDEX('Compliance Database'!$K$2:$K$1199,MATCH(1056,Engine!$C$2:$C$1199,0)))</f>
        <v/>
      </c>
      <c r="L1069" s="7" t="str">
        <f>IF(ISNA(MATCH(1056,Engine!$C$2:$C$1199,0)),"",INDEX('Compliance Database'!$L$2:$L$1199,MATCH(1056,Engine!$C$2:$C$1199,0)))</f>
        <v/>
      </c>
      <c r="M1069" s="7" t="str">
        <f>IF(ISNA(MATCH(1056,Engine!$C$2:$C$1199,0)),"",INDEX('Compliance Database'!$M$2:$M$1199,MATCH(1056,Engine!$C$2:$C$1199,0)))</f>
        <v/>
      </c>
      <c r="N1069" s="7" t="str">
        <f>IF(ISNA(MATCH(1056,Engine!$C$2:$C$1199,0)),"",INDEX('Compliance Database'!$N$2:$N$1199,MATCH(1056,Engine!$C$2:$C$1199,0)))</f>
        <v/>
      </c>
      <c r="O1069" s="7" t="str">
        <f>IF(ISNA(MATCH(1056,Engine!$C$2:$C$1199,0)),"",INDEX('Compliance Database'!$O$2:$O$1199,MATCH(1056,Engine!$C$2:$C$1199,0)))</f>
        <v/>
      </c>
      <c r="P1069" s="6" t="str">
        <f>IF(ISNA(MATCH(1056,Engine!$C$2:$C$1199,0)),"",HYPERLINK("#Acts!A"&amp;INDEX('Compliance Database'!$P$2:$P$1199,MATCH(1056,Engine!$C$2:$C$1199,0)),"Go to Act"))</f>
        <v/>
      </c>
    </row>
    <row r="1070" spans="1:16" ht="172.95" customHeight="1" x14ac:dyDescent="0.3">
      <c r="A1070" s="6" t="str">
        <f>IF(ISNA(MATCH(1057,Engine!$C$2:$C$1199,0)),"",INDEX('Compliance Database'!$A$2:$A$1199,MATCH(1057,Engine!$C$2:$C$1199,0)))</f>
        <v/>
      </c>
      <c r="B1070" s="6" t="str">
        <f>IF(ISNA(MATCH(1057,Engine!$C$2:$C$1199,0)),"",INDEX('Compliance Database'!$B$2:$B$1199,MATCH(1057,Engine!$C$2:$C$1199,0)))</f>
        <v/>
      </c>
      <c r="C1070" s="6" t="str">
        <f>IF(ISNA(MATCH(1057,Engine!$C$2:$C$1199,0)),"",INDEX('Compliance Database'!$C$2:$C$1199,MATCH(1057,Engine!$C$2:$C$1199,0)))</f>
        <v/>
      </c>
      <c r="D1070" s="7" t="str">
        <f>IF(ISNA(MATCH(1057,Engine!$C$2:$C$1199,0)),"",INDEX('Compliance Database'!$D$2:$D$1199,MATCH(1057,Engine!$C$2:$C$1199,0)))</f>
        <v/>
      </c>
      <c r="E1070" s="6" t="str">
        <f>IF(ISNA(MATCH(1057,Engine!$C$2:$C$1199,0)),"",INDEX('Compliance Database'!$E$2:$E$1199,MATCH(1057,Engine!$C$2:$C$1199,0)))</f>
        <v/>
      </c>
      <c r="F1070" s="6" t="str">
        <f>IF(ISNA(MATCH(1057,Engine!$C$2:$C$1199,0)),"",INDEX('Compliance Database'!$F$2:$F$1199,MATCH(1057,Engine!$C$2:$C$1199,0)))</f>
        <v/>
      </c>
      <c r="G1070" s="6" t="str">
        <f>IF(ISNA(MATCH(1057,Engine!$C$2:$C$1199,0)),"",INDEX('Compliance Database'!$G$2:$G$1199,MATCH(1057,Engine!$C$2:$C$1199,0)))</f>
        <v/>
      </c>
      <c r="H1070" s="7" t="str">
        <f>IF(ISNA(MATCH(1057,Engine!$C$2:$C$1199,0)),"",INDEX('Compliance Database'!$H$2:$H$1199,MATCH(1057,Engine!$C$2:$C$1199,0)))</f>
        <v/>
      </c>
      <c r="I1070" s="7" t="str">
        <f>IF(ISNA(MATCH(1057,Engine!$C$2:$C$1199,0)),"",INDEX('Compliance Database'!$I$2:$I$1199,MATCH(1057,Engine!$C$2:$C$1199,0)))</f>
        <v/>
      </c>
      <c r="J1070" s="6" t="str">
        <f>IF(ISNA(MATCH(1057,Engine!$C$2:$C$1199,0)),"",INDEX('Compliance Database'!$J$2:$J$1199,MATCH(1057,Engine!$C$2:$C$1199,0)))</f>
        <v/>
      </c>
      <c r="K1070" s="7" t="str">
        <f>IF(ISNA(MATCH(1057,Engine!$C$2:$C$1199,0)),"",INDEX('Compliance Database'!$K$2:$K$1199,MATCH(1057,Engine!$C$2:$C$1199,0)))</f>
        <v/>
      </c>
      <c r="L1070" s="7" t="str">
        <f>IF(ISNA(MATCH(1057,Engine!$C$2:$C$1199,0)),"",INDEX('Compliance Database'!$L$2:$L$1199,MATCH(1057,Engine!$C$2:$C$1199,0)))</f>
        <v/>
      </c>
      <c r="M1070" s="7" t="str">
        <f>IF(ISNA(MATCH(1057,Engine!$C$2:$C$1199,0)),"",INDEX('Compliance Database'!$M$2:$M$1199,MATCH(1057,Engine!$C$2:$C$1199,0)))</f>
        <v/>
      </c>
      <c r="N1070" s="7" t="str">
        <f>IF(ISNA(MATCH(1057,Engine!$C$2:$C$1199,0)),"",INDEX('Compliance Database'!$N$2:$N$1199,MATCH(1057,Engine!$C$2:$C$1199,0)))</f>
        <v/>
      </c>
      <c r="O1070" s="7" t="str">
        <f>IF(ISNA(MATCH(1057,Engine!$C$2:$C$1199,0)),"",INDEX('Compliance Database'!$O$2:$O$1199,MATCH(1057,Engine!$C$2:$C$1199,0)))</f>
        <v/>
      </c>
      <c r="P1070" s="6" t="str">
        <f>IF(ISNA(MATCH(1057,Engine!$C$2:$C$1199,0)),"",HYPERLINK("#Acts!A"&amp;INDEX('Compliance Database'!$P$2:$P$1199,MATCH(1057,Engine!$C$2:$C$1199,0)),"Go to Act"))</f>
        <v/>
      </c>
    </row>
    <row r="1071" spans="1:16" ht="172.95" customHeight="1" x14ac:dyDescent="0.3">
      <c r="A1071" s="6" t="str">
        <f>IF(ISNA(MATCH(1058,Engine!$C$2:$C$1199,0)),"",INDEX('Compliance Database'!$A$2:$A$1199,MATCH(1058,Engine!$C$2:$C$1199,0)))</f>
        <v/>
      </c>
      <c r="B1071" s="6" t="str">
        <f>IF(ISNA(MATCH(1058,Engine!$C$2:$C$1199,0)),"",INDEX('Compliance Database'!$B$2:$B$1199,MATCH(1058,Engine!$C$2:$C$1199,0)))</f>
        <v/>
      </c>
      <c r="C1071" s="6" t="str">
        <f>IF(ISNA(MATCH(1058,Engine!$C$2:$C$1199,0)),"",INDEX('Compliance Database'!$C$2:$C$1199,MATCH(1058,Engine!$C$2:$C$1199,0)))</f>
        <v/>
      </c>
      <c r="D1071" s="7" t="str">
        <f>IF(ISNA(MATCH(1058,Engine!$C$2:$C$1199,0)),"",INDEX('Compliance Database'!$D$2:$D$1199,MATCH(1058,Engine!$C$2:$C$1199,0)))</f>
        <v/>
      </c>
      <c r="E1071" s="6" t="str">
        <f>IF(ISNA(MATCH(1058,Engine!$C$2:$C$1199,0)),"",INDEX('Compliance Database'!$E$2:$E$1199,MATCH(1058,Engine!$C$2:$C$1199,0)))</f>
        <v/>
      </c>
      <c r="F1071" s="6" t="str">
        <f>IF(ISNA(MATCH(1058,Engine!$C$2:$C$1199,0)),"",INDEX('Compliance Database'!$F$2:$F$1199,MATCH(1058,Engine!$C$2:$C$1199,0)))</f>
        <v/>
      </c>
      <c r="G1071" s="6" t="str">
        <f>IF(ISNA(MATCH(1058,Engine!$C$2:$C$1199,0)),"",INDEX('Compliance Database'!$G$2:$G$1199,MATCH(1058,Engine!$C$2:$C$1199,0)))</f>
        <v/>
      </c>
      <c r="H1071" s="7" t="str">
        <f>IF(ISNA(MATCH(1058,Engine!$C$2:$C$1199,0)),"",INDEX('Compliance Database'!$H$2:$H$1199,MATCH(1058,Engine!$C$2:$C$1199,0)))</f>
        <v/>
      </c>
      <c r="I1071" s="7" t="str">
        <f>IF(ISNA(MATCH(1058,Engine!$C$2:$C$1199,0)),"",INDEX('Compliance Database'!$I$2:$I$1199,MATCH(1058,Engine!$C$2:$C$1199,0)))</f>
        <v/>
      </c>
      <c r="J1071" s="6" t="str">
        <f>IF(ISNA(MATCH(1058,Engine!$C$2:$C$1199,0)),"",INDEX('Compliance Database'!$J$2:$J$1199,MATCH(1058,Engine!$C$2:$C$1199,0)))</f>
        <v/>
      </c>
      <c r="K1071" s="7" t="str">
        <f>IF(ISNA(MATCH(1058,Engine!$C$2:$C$1199,0)),"",INDEX('Compliance Database'!$K$2:$K$1199,MATCH(1058,Engine!$C$2:$C$1199,0)))</f>
        <v/>
      </c>
      <c r="L1071" s="7" t="str">
        <f>IF(ISNA(MATCH(1058,Engine!$C$2:$C$1199,0)),"",INDEX('Compliance Database'!$L$2:$L$1199,MATCH(1058,Engine!$C$2:$C$1199,0)))</f>
        <v/>
      </c>
      <c r="M1071" s="7" t="str">
        <f>IF(ISNA(MATCH(1058,Engine!$C$2:$C$1199,0)),"",INDEX('Compliance Database'!$M$2:$M$1199,MATCH(1058,Engine!$C$2:$C$1199,0)))</f>
        <v/>
      </c>
      <c r="N1071" s="7" t="str">
        <f>IF(ISNA(MATCH(1058,Engine!$C$2:$C$1199,0)),"",INDEX('Compliance Database'!$N$2:$N$1199,MATCH(1058,Engine!$C$2:$C$1199,0)))</f>
        <v/>
      </c>
      <c r="O1071" s="7" t="str">
        <f>IF(ISNA(MATCH(1058,Engine!$C$2:$C$1199,0)),"",INDEX('Compliance Database'!$O$2:$O$1199,MATCH(1058,Engine!$C$2:$C$1199,0)))</f>
        <v/>
      </c>
      <c r="P1071" s="6" t="str">
        <f>IF(ISNA(MATCH(1058,Engine!$C$2:$C$1199,0)),"",HYPERLINK("#Acts!A"&amp;INDEX('Compliance Database'!$P$2:$P$1199,MATCH(1058,Engine!$C$2:$C$1199,0)),"Go to Act"))</f>
        <v/>
      </c>
    </row>
    <row r="1072" spans="1:16" ht="172.95" customHeight="1" x14ac:dyDescent="0.3">
      <c r="A1072" s="6" t="str">
        <f>IF(ISNA(MATCH(1059,Engine!$C$2:$C$1199,0)),"",INDEX('Compliance Database'!$A$2:$A$1199,MATCH(1059,Engine!$C$2:$C$1199,0)))</f>
        <v/>
      </c>
      <c r="B1072" s="6" t="str">
        <f>IF(ISNA(MATCH(1059,Engine!$C$2:$C$1199,0)),"",INDEX('Compliance Database'!$B$2:$B$1199,MATCH(1059,Engine!$C$2:$C$1199,0)))</f>
        <v/>
      </c>
      <c r="C1072" s="6" t="str">
        <f>IF(ISNA(MATCH(1059,Engine!$C$2:$C$1199,0)),"",INDEX('Compliance Database'!$C$2:$C$1199,MATCH(1059,Engine!$C$2:$C$1199,0)))</f>
        <v/>
      </c>
      <c r="D1072" s="7" t="str">
        <f>IF(ISNA(MATCH(1059,Engine!$C$2:$C$1199,0)),"",INDEX('Compliance Database'!$D$2:$D$1199,MATCH(1059,Engine!$C$2:$C$1199,0)))</f>
        <v/>
      </c>
      <c r="E1072" s="6" t="str">
        <f>IF(ISNA(MATCH(1059,Engine!$C$2:$C$1199,0)),"",INDEX('Compliance Database'!$E$2:$E$1199,MATCH(1059,Engine!$C$2:$C$1199,0)))</f>
        <v/>
      </c>
      <c r="F1072" s="6" t="str">
        <f>IF(ISNA(MATCH(1059,Engine!$C$2:$C$1199,0)),"",INDEX('Compliance Database'!$F$2:$F$1199,MATCH(1059,Engine!$C$2:$C$1199,0)))</f>
        <v/>
      </c>
      <c r="G1072" s="6" t="str">
        <f>IF(ISNA(MATCH(1059,Engine!$C$2:$C$1199,0)),"",INDEX('Compliance Database'!$G$2:$G$1199,MATCH(1059,Engine!$C$2:$C$1199,0)))</f>
        <v/>
      </c>
      <c r="H1072" s="7" t="str">
        <f>IF(ISNA(MATCH(1059,Engine!$C$2:$C$1199,0)),"",INDEX('Compliance Database'!$H$2:$H$1199,MATCH(1059,Engine!$C$2:$C$1199,0)))</f>
        <v/>
      </c>
      <c r="I1072" s="7" t="str">
        <f>IF(ISNA(MATCH(1059,Engine!$C$2:$C$1199,0)),"",INDEX('Compliance Database'!$I$2:$I$1199,MATCH(1059,Engine!$C$2:$C$1199,0)))</f>
        <v/>
      </c>
      <c r="J1072" s="6" t="str">
        <f>IF(ISNA(MATCH(1059,Engine!$C$2:$C$1199,0)),"",INDEX('Compliance Database'!$J$2:$J$1199,MATCH(1059,Engine!$C$2:$C$1199,0)))</f>
        <v/>
      </c>
      <c r="K1072" s="7" t="str">
        <f>IF(ISNA(MATCH(1059,Engine!$C$2:$C$1199,0)),"",INDEX('Compliance Database'!$K$2:$K$1199,MATCH(1059,Engine!$C$2:$C$1199,0)))</f>
        <v/>
      </c>
      <c r="L1072" s="7" t="str">
        <f>IF(ISNA(MATCH(1059,Engine!$C$2:$C$1199,0)),"",INDEX('Compliance Database'!$L$2:$L$1199,MATCH(1059,Engine!$C$2:$C$1199,0)))</f>
        <v/>
      </c>
      <c r="M1072" s="7" t="str">
        <f>IF(ISNA(MATCH(1059,Engine!$C$2:$C$1199,0)),"",INDEX('Compliance Database'!$M$2:$M$1199,MATCH(1059,Engine!$C$2:$C$1199,0)))</f>
        <v/>
      </c>
      <c r="N1072" s="7" t="str">
        <f>IF(ISNA(MATCH(1059,Engine!$C$2:$C$1199,0)),"",INDEX('Compliance Database'!$N$2:$N$1199,MATCH(1059,Engine!$C$2:$C$1199,0)))</f>
        <v/>
      </c>
      <c r="O1072" s="7" t="str">
        <f>IF(ISNA(MATCH(1059,Engine!$C$2:$C$1199,0)),"",INDEX('Compliance Database'!$O$2:$O$1199,MATCH(1059,Engine!$C$2:$C$1199,0)))</f>
        <v/>
      </c>
      <c r="P1072" s="6" t="str">
        <f>IF(ISNA(MATCH(1059,Engine!$C$2:$C$1199,0)),"",HYPERLINK("#Acts!A"&amp;INDEX('Compliance Database'!$P$2:$P$1199,MATCH(1059,Engine!$C$2:$C$1199,0)),"Go to Act"))</f>
        <v/>
      </c>
    </row>
    <row r="1073" spans="1:16" ht="172.95" customHeight="1" x14ac:dyDescent="0.3">
      <c r="A1073" s="6" t="str">
        <f>IF(ISNA(MATCH(1060,Engine!$C$2:$C$1199,0)),"",INDEX('Compliance Database'!$A$2:$A$1199,MATCH(1060,Engine!$C$2:$C$1199,0)))</f>
        <v/>
      </c>
      <c r="B1073" s="6" t="str">
        <f>IF(ISNA(MATCH(1060,Engine!$C$2:$C$1199,0)),"",INDEX('Compliance Database'!$B$2:$B$1199,MATCH(1060,Engine!$C$2:$C$1199,0)))</f>
        <v/>
      </c>
      <c r="C1073" s="6" t="str">
        <f>IF(ISNA(MATCH(1060,Engine!$C$2:$C$1199,0)),"",INDEX('Compliance Database'!$C$2:$C$1199,MATCH(1060,Engine!$C$2:$C$1199,0)))</f>
        <v/>
      </c>
      <c r="D1073" s="7" t="str">
        <f>IF(ISNA(MATCH(1060,Engine!$C$2:$C$1199,0)),"",INDEX('Compliance Database'!$D$2:$D$1199,MATCH(1060,Engine!$C$2:$C$1199,0)))</f>
        <v/>
      </c>
      <c r="E1073" s="6" t="str">
        <f>IF(ISNA(MATCH(1060,Engine!$C$2:$C$1199,0)),"",INDEX('Compliance Database'!$E$2:$E$1199,MATCH(1060,Engine!$C$2:$C$1199,0)))</f>
        <v/>
      </c>
      <c r="F1073" s="6" t="str">
        <f>IF(ISNA(MATCH(1060,Engine!$C$2:$C$1199,0)),"",INDEX('Compliance Database'!$F$2:$F$1199,MATCH(1060,Engine!$C$2:$C$1199,0)))</f>
        <v/>
      </c>
      <c r="G1073" s="6" t="str">
        <f>IF(ISNA(MATCH(1060,Engine!$C$2:$C$1199,0)),"",INDEX('Compliance Database'!$G$2:$G$1199,MATCH(1060,Engine!$C$2:$C$1199,0)))</f>
        <v/>
      </c>
      <c r="H1073" s="7" t="str">
        <f>IF(ISNA(MATCH(1060,Engine!$C$2:$C$1199,0)),"",INDEX('Compliance Database'!$H$2:$H$1199,MATCH(1060,Engine!$C$2:$C$1199,0)))</f>
        <v/>
      </c>
      <c r="I1073" s="7" t="str">
        <f>IF(ISNA(MATCH(1060,Engine!$C$2:$C$1199,0)),"",INDEX('Compliance Database'!$I$2:$I$1199,MATCH(1060,Engine!$C$2:$C$1199,0)))</f>
        <v/>
      </c>
      <c r="J1073" s="6" t="str">
        <f>IF(ISNA(MATCH(1060,Engine!$C$2:$C$1199,0)),"",INDEX('Compliance Database'!$J$2:$J$1199,MATCH(1060,Engine!$C$2:$C$1199,0)))</f>
        <v/>
      </c>
      <c r="K1073" s="7" t="str">
        <f>IF(ISNA(MATCH(1060,Engine!$C$2:$C$1199,0)),"",INDEX('Compliance Database'!$K$2:$K$1199,MATCH(1060,Engine!$C$2:$C$1199,0)))</f>
        <v/>
      </c>
      <c r="L1073" s="7" t="str">
        <f>IF(ISNA(MATCH(1060,Engine!$C$2:$C$1199,0)),"",INDEX('Compliance Database'!$L$2:$L$1199,MATCH(1060,Engine!$C$2:$C$1199,0)))</f>
        <v/>
      </c>
      <c r="M1073" s="7" t="str">
        <f>IF(ISNA(MATCH(1060,Engine!$C$2:$C$1199,0)),"",INDEX('Compliance Database'!$M$2:$M$1199,MATCH(1060,Engine!$C$2:$C$1199,0)))</f>
        <v/>
      </c>
      <c r="N1073" s="7" t="str">
        <f>IF(ISNA(MATCH(1060,Engine!$C$2:$C$1199,0)),"",INDEX('Compliance Database'!$N$2:$N$1199,MATCH(1060,Engine!$C$2:$C$1199,0)))</f>
        <v/>
      </c>
      <c r="O1073" s="7" t="str">
        <f>IF(ISNA(MATCH(1060,Engine!$C$2:$C$1199,0)),"",INDEX('Compliance Database'!$O$2:$O$1199,MATCH(1060,Engine!$C$2:$C$1199,0)))</f>
        <v/>
      </c>
      <c r="P1073" s="6" t="str">
        <f>IF(ISNA(MATCH(1060,Engine!$C$2:$C$1199,0)),"",HYPERLINK("#Acts!A"&amp;INDEX('Compliance Database'!$P$2:$P$1199,MATCH(1060,Engine!$C$2:$C$1199,0)),"Go to Act"))</f>
        <v/>
      </c>
    </row>
    <row r="1074" spans="1:16" ht="172.95" customHeight="1" x14ac:dyDescent="0.3">
      <c r="A1074" s="6" t="str">
        <f>IF(ISNA(MATCH(1061,Engine!$C$2:$C$1199,0)),"",INDEX('Compliance Database'!$A$2:$A$1199,MATCH(1061,Engine!$C$2:$C$1199,0)))</f>
        <v/>
      </c>
      <c r="B1074" s="6" t="str">
        <f>IF(ISNA(MATCH(1061,Engine!$C$2:$C$1199,0)),"",INDEX('Compliance Database'!$B$2:$B$1199,MATCH(1061,Engine!$C$2:$C$1199,0)))</f>
        <v/>
      </c>
      <c r="C1074" s="6" t="str">
        <f>IF(ISNA(MATCH(1061,Engine!$C$2:$C$1199,0)),"",INDEX('Compliance Database'!$C$2:$C$1199,MATCH(1061,Engine!$C$2:$C$1199,0)))</f>
        <v/>
      </c>
      <c r="D1074" s="7" t="str">
        <f>IF(ISNA(MATCH(1061,Engine!$C$2:$C$1199,0)),"",INDEX('Compliance Database'!$D$2:$D$1199,MATCH(1061,Engine!$C$2:$C$1199,0)))</f>
        <v/>
      </c>
      <c r="E1074" s="6" t="str">
        <f>IF(ISNA(MATCH(1061,Engine!$C$2:$C$1199,0)),"",INDEX('Compliance Database'!$E$2:$E$1199,MATCH(1061,Engine!$C$2:$C$1199,0)))</f>
        <v/>
      </c>
      <c r="F1074" s="6" t="str">
        <f>IF(ISNA(MATCH(1061,Engine!$C$2:$C$1199,0)),"",INDEX('Compliance Database'!$F$2:$F$1199,MATCH(1061,Engine!$C$2:$C$1199,0)))</f>
        <v/>
      </c>
      <c r="G1074" s="6" t="str">
        <f>IF(ISNA(MATCH(1061,Engine!$C$2:$C$1199,0)),"",INDEX('Compliance Database'!$G$2:$G$1199,MATCH(1061,Engine!$C$2:$C$1199,0)))</f>
        <v/>
      </c>
      <c r="H1074" s="7" t="str">
        <f>IF(ISNA(MATCH(1061,Engine!$C$2:$C$1199,0)),"",INDEX('Compliance Database'!$H$2:$H$1199,MATCH(1061,Engine!$C$2:$C$1199,0)))</f>
        <v/>
      </c>
      <c r="I1074" s="7" t="str">
        <f>IF(ISNA(MATCH(1061,Engine!$C$2:$C$1199,0)),"",INDEX('Compliance Database'!$I$2:$I$1199,MATCH(1061,Engine!$C$2:$C$1199,0)))</f>
        <v/>
      </c>
      <c r="J1074" s="6" t="str">
        <f>IF(ISNA(MATCH(1061,Engine!$C$2:$C$1199,0)),"",INDEX('Compliance Database'!$J$2:$J$1199,MATCH(1061,Engine!$C$2:$C$1199,0)))</f>
        <v/>
      </c>
      <c r="K1074" s="7" t="str">
        <f>IF(ISNA(MATCH(1061,Engine!$C$2:$C$1199,0)),"",INDEX('Compliance Database'!$K$2:$K$1199,MATCH(1061,Engine!$C$2:$C$1199,0)))</f>
        <v/>
      </c>
      <c r="L1074" s="7" t="str">
        <f>IF(ISNA(MATCH(1061,Engine!$C$2:$C$1199,0)),"",INDEX('Compliance Database'!$L$2:$L$1199,MATCH(1061,Engine!$C$2:$C$1199,0)))</f>
        <v/>
      </c>
      <c r="M1074" s="7" t="str">
        <f>IF(ISNA(MATCH(1061,Engine!$C$2:$C$1199,0)),"",INDEX('Compliance Database'!$M$2:$M$1199,MATCH(1061,Engine!$C$2:$C$1199,0)))</f>
        <v/>
      </c>
      <c r="N1074" s="7" t="str">
        <f>IF(ISNA(MATCH(1061,Engine!$C$2:$C$1199,0)),"",INDEX('Compliance Database'!$N$2:$N$1199,MATCH(1061,Engine!$C$2:$C$1199,0)))</f>
        <v/>
      </c>
      <c r="O1074" s="7" t="str">
        <f>IF(ISNA(MATCH(1061,Engine!$C$2:$C$1199,0)),"",INDEX('Compliance Database'!$O$2:$O$1199,MATCH(1061,Engine!$C$2:$C$1199,0)))</f>
        <v/>
      </c>
      <c r="P1074" s="6" t="str">
        <f>IF(ISNA(MATCH(1061,Engine!$C$2:$C$1199,0)),"",HYPERLINK("#Acts!A"&amp;INDEX('Compliance Database'!$P$2:$P$1199,MATCH(1061,Engine!$C$2:$C$1199,0)),"Go to Act"))</f>
        <v/>
      </c>
    </row>
    <row r="1075" spans="1:16" ht="172.95" customHeight="1" x14ac:dyDescent="0.3">
      <c r="A1075" s="6" t="str">
        <f>IF(ISNA(MATCH(1062,Engine!$C$2:$C$1199,0)),"",INDEX('Compliance Database'!$A$2:$A$1199,MATCH(1062,Engine!$C$2:$C$1199,0)))</f>
        <v/>
      </c>
      <c r="B1075" s="6" t="str">
        <f>IF(ISNA(MATCH(1062,Engine!$C$2:$C$1199,0)),"",INDEX('Compliance Database'!$B$2:$B$1199,MATCH(1062,Engine!$C$2:$C$1199,0)))</f>
        <v/>
      </c>
      <c r="C1075" s="6" t="str">
        <f>IF(ISNA(MATCH(1062,Engine!$C$2:$C$1199,0)),"",INDEX('Compliance Database'!$C$2:$C$1199,MATCH(1062,Engine!$C$2:$C$1199,0)))</f>
        <v/>
      </c>
      <c r="D1075" s="7" t="str">
        <f>IF(ISNA(MATCH(1062,Engine!$C$2:$C$1199,0)),"",INDEX('Compliance Database'!$D$2:$D$1199,MATCH(1062,Engine!$C$2:$C$1199,0)))</f>
        <v/>
      </c>
      <c r="E1075" s="6" t="str">
        <f>IF(ISNA(MATCH(1062,Engine!$C$2:$C$1199,0)),"",INDEX('Compliance Database'!$E$2:$E$1199,MATCH(1062,Engine!$C$2:$C$1199,0)))</f>
        <v/>
      </c>
      <c r="F1075" s="6" t="str">
        <f>IF(ISNA(MATCH(1062,Engine!$C$2:$C$1199,0)),"",INDEX('Compliance Database'!$F$2:$F$1199,MATCH(1062,Engine!$C$2:$C$1199,0)))</f>
        <v/>
      </c>
      <c r="G1075" s="6" t="str">
        <f>IF(ISNA(MATCH(1062,Engine!$C$2:$C$1199,0)),"",INDEX('Compliance Database'!$G$2:$G$1199,MATCH(1062,Engine!$C$2:$C$1199,0)))</f>
        <v/>
      </c>
      <c r="H1075" s="7" t="str">
        <f>IF(ISNA(MATCH(1062,Engine!$C$2:$C$1199,0)),"",INDEX('Compliance Database'!$H$2:$H$1199,MATCH(1062,Engine!$C$2:$C$1199,0)))</f>
        <v/>
      </c>
      <c r="I1075" s="7" t="str">
        <f>IF(ISNA(MATCH(1062,Engine!$C$2:$C$1199,0)),"",INDEX('Compliance Database'!$I$2:$I$1199,MATCH(1062,Engine!$C$2:$C$1199,0)))</f>
        <v/>
      </c>
      <c r="J1075" s="6" t="str">
        <f>IF(ISNA(MATCH(1062,Engine!$C$2:$C$1199,0)),"",INDEX('Compliance Database'!$J$2:$J$1199,MATCH(1062,Engine!$C$2:$C$1199,0)))</f>
        <v/>
      </c>
      <c r="K1075" s="7" t="str">
        <f>IF(ISNA(MATCH(1062,Engine!$C$2:$C$1199,0)),"",INDEX('Compliance Database'!$K$2:$K$1199,MATCH(1062,Engine!$C$2:$C$1199,0)))</f>
        <v/>
      </c>
      <c r="L1075" s="7" t="str">
        <f>IF(ISNA(MATCH(1062,Engine!$C$2:$C$1199,0)),"",INDEX('Compliance Database'!$L$2:$L$1199,MATCH(1062,Engine!$C$2:$C$1199,0)))</f>
        <v/>
      </c>
      <c r="M1075" s="7" t="str">
        <f>IF(ISNA(MATCH(1062,Engine!$C$2:$C$1199,0)),"",INDEX('Compliance Database'!$M$2:$M$1199,MATCH(1062,Engine!$C$2:$C$1199,0)))</f>
        <v/>
      </c>
      <c r="N1075" s="7" t="str">
        <f>IF(ISNA(MATCH(1062,Engine!$C$2:$C$1199,0)),"",INDEX('Compliance Database'!$N$2:$N$1199,MATCH(1062,Engine!$C$2:$C$1199,0)))</f>
        <v/>
      </c>
      <c r="O1075" s="7" t="str">
        <f>IF(ISNA(MATCH(1062,Engine!$C$2:$C$1199,0)),"",INDEX('Compliance Database'!$O$2:$O$1199,MATCH(1062,Engine!$C$2:$C$1199,0)))</f>
        <v/>
      </c>
      <c r="P1075" s="6" t="str">
        <f>IF(ISNA(MATCH(1062,Engine!$C$2:$C$1199,0)),"",HYPERLINK("#Acts!A"&amp;INDEX('Compliance Database'!$P$2:$P$1199,MATCH(1062,Engine!$C$2:$C$1199,0)),"Go to Act"))</f>
        <v/>
      </c>
    </row>
    <row r="1076" spans="1:16" ht="172.95" customHeight="1" x14ac:dyDescent="0.3">
      <c r="A1076" s="6" t="str">
        <f>IF(ISNA(MATCH(1063,Engine!$C$2:$C$1199,0)),"",INDEX('Compliance Database'!$A$2:$A$1199,MATCH(1063,Engine!$C$2:$C$1199,0)))</f>
        <v/>
      </c>
      <c r="B1076" s="6" t="str">
        <f>IF(ISNA(MATCH(1063,Engine!$C$2:$C$1199,0)),"",INDEX('Compliance Database'!$B$2:$B$1199,MATCH(1063,Engine!$C$2:$C$1199,0)))</f>
        <v/>
      </c>
      <c r="C1076" s="6" t="str">
        <f>IF(ISNA(MATCH(1063,Engine!$C$2:$C$1199,0)),"",INDEX('Compliance Database'!$C$2:$C$1199,MATCH(1063,Engine!$C$2:$C$1199,0)))</f>
        <v/>
      </c>
      <c r="D1076" s="7" t="str">
        <f>IF(ISNA(MATCH(1063,Engine!$C$2:$C$1199,0)),"",INDEX('Compliance Database'!$D$2:$D$1199,MATCH(1063,Engine!$C$2:$C$1199,0)))</f>
        <v/>
      </c>
      <c r="E1076" s="6" t="str">
        <f>IF(ISNA(MATCH(1063,Engine!$C$2:$C$1199,0)),"",INDEX('Compliance Database'!$E$2:$E$1199,MATCH(1063,Engine!$C$2:$C$1199,0)))</f>
        <v/>
      </c>
      <c r="F1076" s="6" t="str">
        <f>IF(ISNA(MATCH(1063,Engine!$C$2:$C$1199,0)),"",INDEX('Compliance Database'!$F$2:$F$1199,MATCH(1063,Engine!$C$2:$C$1199,0)))</f>
        <v/>
      </c>
      <c r="G1076" s="6" t="str">
        <f>IF(ISNA(MATCH(1063,Engine!$C$2:$C$1199,0)),"",INDEX('Compliance Database'!$G$2:$G$1199,MATCH(1063,Engine!$C$2:$C$1199,0)))</f>
        <v/>
      </c>
      <c r="H1076" s="7" t="str">
        <f>IF(ISNA(MATCH(1063,Engine!$C$2:$C$1199,0)),"",INDEX('Compliance Database'!$H$2:$H$1199,MATCH(1063,Engine!$C$2:$C$1199,0)))</f>
        <v/>
      </c>
      <c r="I1076" s="7" t="str">
        <f>IF(ISNA(MATCH(1063,Engine!$C$2:$C$1199,0)),"",INDEX('Compliance Database'!$I$2:$I$1199,MATCH(1063,Engine!$C$2:$C$1199,0)))</f>
        <v/>
      </c>
      <c r="J1076" s="6" t="str">
        <f>IF(ISNA(MATCH(1063,Engine!$C$2:$C$1199,0)),"",INDEX('Compliance Database'!$J$2:$J$1199,MATCH(1063,Engine!$C$2:$C$1199,0)))</f>
        <v/>
      </c>
      <c r="K1076" s="7" t="str">
        <f>IF(ISNA(MATCH(1063,Engine!$C$2:$C$1199,0)),"",INDEX('Compliance Database'!$K$2:$K$1199,MATCH(1063,Engine!$C$2:$C$1199,0)))</f>
        <v/>
      </c>
      <c r="L1076" s="7" t="str">
        <f>IF(ISNA(MATCH(1063,Engine!$C$2:$C$1199,0)),"",INDEX('Compliance Database'!$L$2:$L$1199,MATCH(1063,Engine!$C$2:$C$1199,0)))</f>
        <v/>
      </c>
      <c r="M1076" s="7" t="str">
        <f>IF(ISNA(MATCH(1063,Engine!$C$2:$C$1199,0)),"",INDEX('Compliance Database'!$M$2:$M$1199,MATCH(1063,Engine!$C$2:$C$1199,0)))</f>
        <v/>
      </c>
      <c r="N1076" s="7" t="str">
        <f>IF(ISNA(MATCH(1063,Engine!$C$2:$C$1199,0)),"",INDEX('Compliance Database'!$N$2:$N$1199,MATCH(1063,Engine!$C$2:$C$1199,0)))</f>
        <v/>
      </c>
      <c r="O1076" s="7" t="str">
        <f>IF(ISNA(MATCH(1063,Engine!$C$2:$C$1199,0)),"",INDEX('Compliance Database'!$O$2:$O$1199,MATCH(1063,Engine!$C$2:$C$1199,0)))</f>
        <v/>
      </c>
      <c r="P1076" s="6" t="str">
        <f>IF(ISNA(MATCH(1063,Engine!$C$2:$C$1199,0)),"",HYPERLINK("#Acts!A"&amp;INDEX('Compliance Database'!$P$2:$P$1199,MATCH(1063,Engine!$C$2:$C$1199,0)),"Go to Act"))</f>
        <v/>
      </c>
    </row>
    <row r="1077" spans="1:16" ht="172.95" customHeight="1" x14ac:dyDescent="0.3">
      <c r="A1077" s="6" t="str">
        <f>IF(ISNA(MATCH(1064,Engine!$C$2:$C$1199,0)),"",INDEX('Compliance Database'!$A$2:$A$1199,MATCH(1064,Engine!$C$2:$C$1199,0)))</f>
        <v/>
      </c>
      <c r="B1077" s="6" t="str">
        <f>IF(ISNA(MATCH(1064,Engine!$C$2:$C$1199,0)),"",INDEX('Compliance Database'!$B$2:$B$1199,MATCH(1064,Engine!$C$2:$C$1199,0)))</f>
        <v/>
      </c>
      <c r="C1077" s="6" t="str">
        <f>IF(ISNA(MATCH(1064,Engine!$C$2:$C$1199,0)),"",INDEX('Compliance Database'!$C$2:$C$1199,MATCH(1064,Engine!$C$2:$C$1199,0)))</f>
        <v/>
      </c>
      <c r="D1077" s="7" t="str">
        <f>IF(ISNA(MATCH(1064,Engine!$C$2:$C$1199,0)),"",INDEX('Compliance Database'!$D$2:$D$1199,MATCH(1064,Engine!$C$2:$C$1199,0)))</f>
        <v/>
      </c>
      <c r="E1077" s="6" t="str">
        <f>IF(ISNA(MATCH(1064,Engine!$C$2:$C$1199,0)),"",INDEX('Compliance Database'!$E$2:$E$1199,MATCH(1064,Engine!$C$2:$C$1199,0)))</f>
        <v/>
      </c>
      <c r="F1077" s="6" t="str">
        <f>IF(ISNA(MATCH(1064,Engine!$C$2:$C$1199,0)),"",INDEX('Compliance Database'!$F$2:$F$1199,MATCH(1064,Engine!$C$2:$C$1199,0)))</f>
        <v/>
      </c>
      <c r="G1077" s="6" t="str">
        <f>IF(ISNA(MATCH(1064,Engine!$C$2:$C$1199,0)),"",INDEX('Compliance Database'!$G$2:$G$1199,MATCH(1064,Engine!$C$2:$C$1199,0)))</f>
        <v/>
      </c>
      <c r="H1077" s="7" t="str">
        <f>IF(ISNA(MATCH(1064,Engine!$C$2:$C$1199,0)),"",INDEX('Compliance Database'!$H$2:$H$1199,MATCH(1064,Engine!$C$2:$C$1199,0)))</f>
        <v/>
      </c>
      <c r="I1077" s="7" t="str">
        <f>IF(ISNA(MATCH(1064,Engine!$C$2:$C$1199,0)),"",INDEX('Compliance Database'!$I$2:$I$1199,MATCH(1064,Engine!$C$2:$C$1199,0)))</f>
        <v/>
      </c>
      <c r="J1077" s="6" t="str">
        <f>IF(ISNA(MATCH(1064,Engine!$C$2:$C$1199,0)),"",INDEX('Compliance Database'!$J$2:$J$1199,MATCH(1064,Engine!$C$2:$C$1199,0)))</f>
        <v/>
      </c>
      <c r="K1077" s="7" t="str">
        <f>IF(ISNA(MATCH(1064,Engine!$C$2:$C$1199,0)),"",INDEX('Compliance Database'!$K$2:$K$1199,MATCH(1064,Engine!$C$2:$C$1199,0)))</f>
        <v/>
      </c>
      <c r="L1077" s="7" t="str">
        <f>IF(ISNA(MATCH(1064,Engine!$C$2:$C$1199,0)),"",INDEX('Compliance Database'!$L$2:$L$1199,MATCH(1064,Engine!$C$2:$C$1199,0)))</f>
        <v/>
      </c>
      <c r="M1077" s="7" t="str">
        <f>IF(ISNA(MATCH(1064,Engine!$C$2:$C$1199,0)),"",INDEX('Compliance Database'!$M$2:$M$1199,MATCH(1064,Engine!$C$2:$C$1199,0)))</f>
        <v/>
      </c>
      <c r="N1077" s="7" t="str">
        <f>IF(ISNA(MATCH(1064,Engine!$C$2:$C$1199,0)),"",INDEX('Compliance Database'!$N$2:$N$1199,MATCH(1064,Engine!$C$2:$C$1199,0)))</f>
        <v/>
      </c>
      <c r="O1077" s="7" t="str">
        <f>IF(ISNA(MATCH(1064,Engine!$C$2:$C$1199,0)),"",INDEX('Compliance Database'!$O$2:$O$1199,MATCH(1064,Engine!$C$2:$C$1199,0)))</f>
        <v/>
      </c>
      <c r="P1077" s="6" t="str">
        <f>IF(ISNA(MATCH(1064,Engine!$C$2:$C$1199,0)),"",HYPERLINK("#Acts!A"&amp;INDEX('Compliance Database'!$P$2:$P$1199,MATCH(1064,Engine!$C$2:$C$1199,0)),"Go to Act"))</f>
        <v/>
      </c>
    </row>
    <row r="1078" spans="1:16" ht="172.95" customHeight="1" x14ac:dyDescent="0.3">
      <c r="A1078" s="6" t="str">
        <f>IF(ISNA(MATCH(1065,Engine!$C$2:$C$1199,0)),"",INDEX('Compliance Database'!$A$2:$A$1199,MATCH(1065,Engine!$C$2:$C$1199,0)))</f>
        <v/>
      </c>
      <c r="B1078" s="6" t="str">
        <f>IF(ISNA(MATCH(1065,Engine!$C$2:$C$1199,0)),"",INDEX('Compliance Database'!$B$2:$B$1199,MATCH(1065,Engine!$C$2:$C$1199,0)))</f>
        <v/>
      </c>
      <c r="C1078" s="6" t="str">
        <f>IF(ISNA(MATCH(1065,Engine!$C$2:$C$1199,0)),"",INDEX('Compliance Database'!$C$2:$C$1199,MATCH(1065,Engine!$C$2:$C$1199,0)))</f>
        <v/>
      </c>
      <c r="D1078" s="7" t="str">
        <f>IF(ISNA(MATCH(1065,Engine!$C$2:$C$1199,0)),"",INDEX('Compliance Database'!$D$2:$D$1199,MATCH(1065,Engine!$C$2:$C$1199,0)))</f>
        <v/>
      </c>
      <c r="E1078" s="6" t="str">
        <f>IF(ISNA(MATCH(1065,Engine!$C$2:$C$1199,0)),"",INDEX('Compliance Database'!$E$2:$E$1199,MATCH(1065,Engine!$C$2:$C$1199,0)))</f>
        <v/>
      </c>
      <c r="F1078" s="6" t="str">
        <f>IF(ISNA(MATCH(1065,Engine!$C$2:$C$1199,0)),"",INDEX('Compliance Database'!$F$2:$F$1199,MATCH(1065,Engine!$C$2:$C$1199,0)))</f>
        <v/>
      </c>
      <c r="G1078" s="6" t="str">
        <f>IF(ISNA(MATCH(1065,Engine!$C$2:$C$1199,0)),"",INDEX('Compliance Database'!$G$2:$G$1199,MATCH(1065,Engine!$C$2:$C$1199,0)))</f>
        <v/>
      </c>
      <c r="H1078" s="7" t="str">
        <f>IF(ISNA(MATCH(1065,Engine!$C$2:$C$1199,0)),"",INDEX('Compliance Database'!$H$2:$H$1199,MATCH(1065,Engine!$C$2:$C$1199,0)))</f>
        <v/>
      </c>
      <c r="I1078" s="7" t="str">
        <f>IF(ISNA(MATCH(1065,Engine!$C$2:$C$1199,0)),"",INDEX('Compliance Database'!$I$2:$I$1199,MATCH(1065,Engine!$C$2:$C$1199,0)))</f>
        <v/>
      </c>
      <c r="J1078" s="6" t="str">
        <f>IF(ISNA(MATCH(1065,Engine!$C$2:$C$1199,0)),"",INDEX('Compliance Database'!$J$2:$J$1199,MATCH(1065,Engine!$C$2:$C$1199,0)))</f>
        <v/>
      </c>
      <c r="K1078" s="7" t="str">
        <f>IF(ISNA(MATCH(1065,Engine!$C$2:$C$1199,0)),"",INDEX('Compliance Database'!$K$2:$K$1199,MATCH(1065,Engine!$C$2:$C$1199,0)))</f>
        <v/>
      </c>
      <c r="L1078" s="7" t="str">
        <f>IF(ISNA(MATCH(1065,Engine!$C$2:$C$1199,0)),"",INDEX('Compliance Database'!$L$2:$L$1199,MATCH(1065,Engine!$C$2:$C$1199,0)))</f>
        <v/>
      </c>
      <c r="M1078" s="7" t="str">
        <f>IF(ISNA(MATCH(1065,Engine!$C$2:$C$1199,0)),"",INDEX('Compliance Database'!$M$2:$M$1199,MATCH(1065,Engine!$C$2:$C$1199,0)))</f>
        <v/>
      </c>
      <c r="N1078" s="7" t="str">
        <f>IF(ISNA(MATCH(1065,Engine!$C$2:$C$1199,0)),"",INDEX('Compliance Database'!$N$2:$N$1199,MATCH(1065,Engine!$C$2:$C$1199,0)))</f>
        <v/>
      </c>
      <c r="O1078" s="7" t="str">
        <f>IF(ISNA(MATCH(1065,Engine!$C$2:$C$1199,0)),"",INDEX('Compliance Database'!$O$2:$O$1199,MATCH(1065,Engine!$C$2:$C$1199,0)))</f>
        <v/>
      </c>
      <c r="P1078" s="6" t="str">
        <f>IF(ISNA(MATCH(1065,Engine!$C$2:$C$1199,0)),"",HYPERLINK("#Acts!A"&amp;INDEX('Compliance Database'!$P$2:$P$1199,MATCH(1065,Engine!$C$2:$C$1199,0)),"Go to Act"))</f>
        <v/>
      </c>
    </row>
    <row r="1079" spans="1:16" ht="172.95" customHeight="1" x14ac:dyDescent="0.3">
      <c r="A1079" s="6" t="str">
        <f>IF(ISNA(MATCH(1066,Engine!$C$2:$C$1199,0)),"",INDEX('Compliance Database'!$A$2:$A$1199,MATCH(1066,Engine!$C$2:$C$1199,0)))</f>
        <v/>
      </c>
      <c r="B1079" s="6" t="str">
        <f>IF(ISNA(MATCH(1066,Engine!$C$2:$C$1199,0)),"",INDEX('Compliance Database'!$B$2:$B$1199,MATCH(1066,Engine!$C$2:$C$1199,0)))</f>
        <v/>
      </c>
      <c r="C1079" s="6" t="str">
        <f>IF(ISNA(MATCH(1066,Engine!$C$2:$C$1199,0)),"",INDEX('Compliance Database'!$C$2:$C$1199,MATCH(1066,Engine!$C$2:$C$1199,0)))</f>
        <v/>
      </c>
      <c r="D1079" s="7" t="str">
        <f>IF(ISNA(MATCH(1066,Engine!$C$2:$C$1199,0)),"",INDEX('Compliance Database'!$D$2:$D$1199,MATCH(1066,Engine!$C$2:$C$1199,0)))</f>
        <v/>
      </c>
      <c r="E1079" s="6" t="str">
        <f>IF(ISNA(MATCH(1066,Engine!$C$2:$C$1199,0)),"",INDEX('Compliance Database'!$E$2:$E$1199,MATCH(1066,Engine!$C$2:$C$1199,0)))</f>
        <v/>
      </c>
      <c r="F1079" s="6" t="str">
        <f>IF(ISNA(MATCH(1066,Engine!$C$2:$C$1199,0)),"",INDEX('Compliance Database'!$F$2:$F$1199,MATCH(1066,Engine!$C$2:$C$1199,0)))</f>
        <v/>
      </c>
      <c r="G1079" s="6" t="str">
        <f>IF(ISNA(MATCH(1066,Engine!$C$2:$C$1199,0)),"",INDEX('Compliance Database'!$G$2:$G$1199,MATCH(1066,Engine!$C$2:$C$1199,0)))</f>
        <v/>
      </c>
      <c r="H1079" s="7" t="str">
        <f>IF(ISNA(MATCH(1066,Engine!$C$2:$C$1199,0)),"",INDEX('Compliance Database'!$H$2:$H$1199,MATCH(1066,Engine!$C$2:$C$1199,0)))</f>
        <v/>
      </c>
      <c r="I1079" s="7" t="str">
        <f>IF(ISNA(MATCH(1066,Engine!$C$2:$C$1199,0)),"",INDEX('Compliance Database'!$I$2:$I$1199,MATCH(1066,Engine!$C$2:$C$1199,0)))</f>
        <v/>
      </c>
      <c r="J1079" s="6" t="str">
        <f>IF(ISNA(MATCH(1066,Engine!$C$2:$C$1199,0)),"",INDEX('Compliance Database'!$J$2:$J$1199,MATCH(1066,Engine!$C$2:$C$1199,0)))</f>
        <v/>
      </c>
      <c r="K1079" s="7" t="str">
        <f>IF(ISNA(MATCH(1066,Engine!$C$2:$C$1199,0)),"",INDEX('Compliance Database'!$K$2:$K$1199,MATCH(1066,Engine!$C$2:$C$1199,0)))</f>
        <v/>
      </c>
      <c r="L1079" s="7" t="str">
        <f>IF(ISNA(MATCH(1066,Engine!$C$2:$C$1199,0)),"",INDEX('Compliance Database'!$L$2:$L$1199,MATCH(1066,Engine!$C$2:$C$1199,0)))</f>
        <v/>
      </c>
      <c r="M1079" s="7" t="str">
        <f>IF(ISNA(MATCH(1066,Engine!$C$2:$C$1199,0)),"",INDEX('Compliance Database'!$M$2:$M$1199,MATCH(1066,Engine!$C$2:$C$1199,0)))</f>
        <v/>
      </c>
      <c r="N1079" s="7" t="str">
        <f>IF(ISNA(MATCH(1066,Engine!$C$2:$C$1199,0)),"",INDEX('Compliance Database'!$N$2:$N$1199,MATCH(1066,Engine!$C$2:$C$1199,0)))</f>
        <v/>
      </c>
      <c r="O1079" s="7" t="str">
        <f>IF(ISNA(MATCH(1066,Engine!$C$2:$C$1199,0)),"",INDEX('Compliance Database'!$O$2:$O$1199,MATCH(1066,Engine!$C$2:$C$1199,0)))</f>
        <v/>
      </c>
      <c r="P1079" s="6" t="str">
        <f>IF(ISNA(MATCH(1066,Engine!$C$2:$C$1199,0)),"",HYPERLINK("#Acts!A"&amp;INDEX('Compliance Database'!$P$2:$P$1199,MATCH(1066,Engine!$C$2:$C$1199,0)),"Go to Act"))</f>
        <v/>
      </c>
    </row>
    <row r="1080" spans="1:16" ht="172.95" customHeight="1" x14ac:dyDescent="0.3">
      <c r="A1080" s="6" t="str">
        <f>IF(ISNA(MATCH(1067,Engine!$C$2:$C$1199,0)),"",INDEX('Compliance Database'!$A$2:$A$1199,MATCH(1067,Engine!$C$2:$C$1199,0)))</f>
        <v/>
      </c>
      <c r="B1080" s="6" t="str">
        <f>IF(ISNA(MATCH(1067,Engine!$C$2:$C$1199,0)),"",INDEX('Compliance Database'!$B$2:$B$1199,MATCH(1067,Engine!$C$2:$C$1199,0)))</f>
        <v/>
      </c>
      <c r="C1080" s="6" t="str">
        <f>IF(ISNA(MATCH(1067,Engine!$C$2:$C$1199,0)),"",INDEX('Compliance Database'!$C$2:$C$1199,MATCH(1067,Engine!$C$2:$C$1199,0)))</f>
        <v/>
      </c>
      <c r="D1080" s="7" t="str">
        <f>IF(ISNA(MATCH(1067,Engine!$C$2:$C$1199,0)),"",INDEX('Compliance Database'!$D$2:$D$1199,MATCH(1067,Engine!$C$2:$C$1199,0)))</f>
        <v/>
      </c>
      <c r="E1080" s="6" t="str">
        <f>IF(ISNA(MATCH(1067,Engine!$C$2:$C$1199,0)),"",INDEX('Compliance Database'!$E$2:$E$1199,MATCH(1067,Engine!$C$2:$C$1199,0)))</f>
        <v/>
      </c>
      <c r="F1080" s="6" t="str">
        <f>IF(ISNA(MATCH(1067,Engine!$C$2:$C$1199,0)),"",INDEX('Compliance Database'!$F$2:$F$1199,MATCH(1067,Engine!$C$2:$C$1199,0)))</f>
        <v/>
      </c>
      <c r="G1080" s="6" t="str">
        <f>IF(ISNA(MATCH(1067,Engine!$C$2:$C$1199,0)),"",INDEX('Compliance Database'!$G$2:$G$1199,MATCH(1067,Engine!$C$2:$C$1199,0)))</f>
        <v/>
      </c>
      <c r="H1080" s="7" t="str">
        <f>IF(ISNA(MATCH(1067,Engine!$C$2:$C$1199,0)),"",INDEX('Compliance Database'!$H$2:$H$1199,MATCH(1067,Engine!$C$2:$C$1199,0)))</f>
        <v/>
      </c>
      <c r="I1080" s="7" t="str">
        <f>IF(ISNA(MATCH(1067,Engine!$C$2:$C$1199,0)),"",INDEX('Compliance Database'!$I$2:$I$1199,MATCH(1067,Engine!$C$2:$C$1199,0)))</f>
        <v/>
      </c>
      <c r="J1080" s="6" t="str">
        <f>IF(ISNA(MATCH(1067,Engine!$C$2:$C$1199,0)),"",INDEX('Compliance Database'!$J$2:$J$1199,MATCH(1067,Engine!$C$2:$C$1199,0)))</f>
        <v/>
      </c>
      <c r="K1080" s="7" t="str">
        <f>IF(ISNA(MATCH(1067,Engine!$C$2:$C$1199,0)),"",INDEX('Compliance Database'!$K$2:$K$1199,MATCH(1067,Engine!$C$2:$C$1199,0)))</f>
        <v/>
      </c>
      <c r="L1080" s="7" t="str">
        <f>IF(ISNA(MATCH(1067,Engine!$C$2:$C$1199,0)),"",INDEX('Compliance Database'!$L$2:$L$1199,MATCH(1067,Engine!$C$2:$C$1199,0)))</f>
        <v/>
      </c>
      <c r="M1080" s="7" t="str">
        <f>IF(ISNA(MATCH(1067,Engine!$C$2:$C$1199,0)),"",INDEX('Compliance Database'!$M$2:$M$1199,MATCH(1067,Engine!$C$2:$C$1199,0)))</f>
        <v/>
      </c>
      <c r="N1080" s="7" t="str">
        <f>IF(ISNA(MATCH(1067,Engine!$C$2:$C$1199,0)),"",INDEX('Compliance Database'!$N$2:$N$1199,MATCH(1067,Engine!$C$2:$C$1199,0)))</f>
        <v/>
      </c>
      <c r="O1080" s="7" t="str">
        <f>IF(ISNA(MATCH(1067,Engine!$C$2:$C$1199,0)),"",INDEX('Compliance Database'!$O$2:$O$1199,MATCH(1067,Engine!$C$2:$C$1199,0)))</f>
        <v/>
      </c>
      <c r="P1080" s="6" t="str">
        <f>IF(ISNA(MATCH(1067,Engine!$C$2:$C$1199,0)),"",HYPERLINK("#Acts!A"&amp;INDEX('Compliance Database'!$P$2:$P$1199,MATCH(1067,Engine!$C$2:$C$1199,0)),"Go to Act"))</f>
        <v/>
      </c>
    </row>
    <row r="1081" spans="1:16" ht="172.95" customHeight="1" x14ac:dyDescent="0.3">
      <c r="A1081" s="6" t="str">
        <f>IF(ISNA(MATCH(1068,Engine!$C$2:$C$1199,0)),"",INDEX('Compliance Database'!$A$2:$A$1199,MATCH(1068,Engine!$C$2:$C$1199,0)))</f>
        <v/>
      </c>
      <c r="B1081" s="6" t="str">
        <f>IF(ISNA(MATCH(1068,Engine!$C$2:$C$1199,0)),"",INDEX('Compliance Database'!$B$2:$B$1199,MATCH(1068,Engine!$C$2:$C$1199,0)))</f>
        <v/>
      </c>
      <c r="C1081" s="6" t="str">
        <f>IF(ISNA(MATCH(1068,Engine!$C$2:$C$1199,0)),"",INDEX('Compliance Database'!$C$2:$C$1199,MATCH(1068,Engine!$C$2:$C$1199,0)))</f>
        <v/>
      </c>
      <c r="D1081" s="7" t="str">
        <f>IF(ISNA(MATCH(1068,Engine!$C$2:$C$1199,0)),"",INDEX('Compliance Database'!$D$2:$D$1199,MATCH(1068,Engine!$C$2:$C$1199,0)))</f>
        <v/>
      </c>
      <c r="E1081" s="6" t="str">
        <f>IF(ISNA(MATCH(1068,Engine!$C$2:$C$1199,0)),"",INDEX('Compliance Database'!$E$2:$E$1199,MATCH(1068,Engine!$C$2:$C$1199,0)))</f>
        <v/>
      </c>
      <c r="F1081" s="6" t="str">
        <f>IF(ISNA(MATCH(1068,Engine!$C$2:$C$1199,0)),"",INDEX('Compliance Database'!$F$2:$F$1199,MATCH(1068,Engine!$C$2:$C$1199,0)))</f>
        <v/>
      </c>
      <c r="G1081" s="6" t="str">
        <f>IF(ISNA(MATCH(1068,Engine!$C$2:$C$1199,0)),"",INDEX('Compliance Database'!$G$2:$G$1199,MATCH(1068,Engine!$C$2:$C$1199,0)))</f>
        <v/>
      </c>
      <c r="H1081" s="7" t="str">
        <f>IF(ISNA(MATCH(1068,Engine!$C$2:$C$1199,0)),"",INDEX('Compliance Database'!$H$2:$H$1199,MATCH(1068,Engine!$C$2:$C$1199,0)))</f>
        <v/>
      </c>
      <c r="I1081" s="7" t="str">
        <f>IF(ISNA(MATCH(1068,Engine!$C$2:$C$1199,0)),"",INDEX('Compliance Database'!$I$2:$I$1199,MATCH(1068,Engine!$C$2:$C$1199,0)))</f>
        <v/>
      </c>
      <c r="J1081" s="6" t="str">
        <f>IF(ISNA(MATCH(1068,Engine!$C$2:$C$1199,0)),"",INDEX('Compliance Database'!$J$2:$J$1199,MATCH(1068,Engine!$C$2:$C$1199,0)))</f>
        <v/>
      </c>
      <c r="K1081" s="7" t="str">
        <f>IF(ISNA(MATCH(1068,Engine!$C$2:$C$1199,0)),"",INDEX('Compliance Database'!$K$2:$K$1199,MATCH(1068,Engine!$C$2:$C$1199,0)))</f>
        <v/>
      </c>
      <c r="L1081" s="7" t="str">
        <f>IF(ISNA(MATCH(1068,Engine!$C$2:$C$1199,0)),"",INDEX('Compliance Database'!$L$2:$L$1199,MATCH(1068,Engine!$C$2:$C$1199,0)))</f>
        <v/>
      </c>
      <c r="M1081" s="7" t="str">
        <f>IF(ISNA(MATCH(1068,Engine!$C$2:$C$1199,0)),"",INDEX('Compliance Database'!$M$2:$M$1199,MATCH(1068,Engine!$C$2:$C$1199,0)))</f>
        <v/>
      </c>
      <c r="N1081" s="7" t="str">
        <f>IF(ISNA(MATCH(1068,Engine!$C$2:$C$1199,0)),"",INDEX('Compliance Database'!$N$2:$N$1199,MATCH(1068,Engine!$C$2:$C$1199,0)))</f>
        <v/>
      </c>
      <c r="O1081" s="7" t="str">
        <f>IF(ISNA(MATCH(1068,Engine!$C$2:$C$1199,0)),"",INDEX('Compliance Database'!$O$2:$O$1199,MATCH(1068,Engine!$C$2:$C$1199,0)))</f>
        <v/>
      </c>
      <c r="P1081" s="6" t="str">
        <f>IF(ISNA(MATCH(1068,Engine!$C$2:$C$1199,0)),"",HYPERLINK("#Acts!A"&amp;INDEX('Compliance Database'!$P$2:$P$1199,MATCH(1068,Engine!$C$2:$C$1199,0)),"Go to Act"))</f>
        <v/>
      </c>
    </row>
    <row r="1082" spans="1:16" ht="172.95" customHeight="1" x14ac:dyDescent="0.3">
      <c r="A1082" s="6" t="str">
        <f>IF(ISNA(MATCH(1069,Engine!$C$2:$C$1199,0)),"",INDEX('Compliance Database'!$A$2:$A$1199,MATCH(1069,Engine!$C$2:$C$1199,0)))</f>
        <v/>
      </c>
      <c r="B1082" s="6" t="str">
        <f>IF(ISNA(MATCH(1069,Engine!$C$2:$C$1199,0)),"",INDEX('Compliance Database'!$B$2:$B$1199,MATCH(1069,Engine!$C$2:$C$1199,0)))</f>
        <v/>
      </c>
      <c r="C1082" s="6" t="str">
        <f>IF(ISNA(MATCH(1069,Engine!$C$2:$C$1199,0)),"",INDEX('Compliance Database'!$C$2:$C$1199,MATCH(1069,Engine!$C$2:$C$1199,0)))</f>
        <v/>
      </c>
      <c r="D1082" s="7" t="str">
        <f>IF(ISNA(MATCH(1069,Engine!$C$2:$C$1199,0)),"",INDEX('Compliance Database'!$D$2:$D$1199,MATCH(1069,Engine!$C$2:$C$1199,0)))</f>
        <v/>
      </c>
      <c r="E1082" s="6" t="str">
        <f>IF(ISNA(MATCH(1069,Engine!$C$2:$C$1199,0)),"",INDEX('Compliance Database'!$E$2:$E$1199,MATCH(1069,Engine!$C$2:$C$1199,0)))</f>
        <v/>
      </c>
      <c r="F1082" s="6" t="str">
        <f>IF(ISNA(MATCH(1069,Engine!$C$2:$C$1199,0)),"",INDEX('Compliance Database'!$F$2:$F$1199,MATCH(1069,Engine!$C$2:$C$1199,0)))</f>
        <v/>
      </c>
      <c r="G1082" s="6" t="str">
        <f>IF(ISNA(MATCH(1069,Engine!$C$2:$C$1199,0)),"",INDEX('Compliance Database'!$G$2:$G$1199,MATCH(1069,Engine!$C$2:$C$1199,0)))</f>
        <v/>
      </c>
      <c r="H1082" s="7" t="str">
        <f>IF(ISNA(MATCH(1069,Engine!$C$2:$C$1199,0)),"",INDEX('Compliance Database'!$H$2:$H$1199,MATCH(1069,Engine!$C$2:$C$1199,0)))</f>
        <v/>
      </c>
      <c r="I1082" s="7" t="str">
        <f>IF(ISNA(MATCH(1069,Engine!$C$2:$C$1199,0)),"",INDEX('Compliance Database'!$I$2:$I$1199,MATCH(1069,Engine!$C$2:$C$1199,0)))</f>
        <v/>
      </c>
      <c r="J1082" s="6" t="str">
        <f>IF(ISNA(MATCH(1069,Engine!$C$2:$C$1199,0)),"",INDEX('Compliance Database'!$J$2:$J$1199,MATCH(1069,Engine!$C$2:$C$1199,0)))</f>
        <v/>
      </c>
      <c r="K1082" s="7" t="str">
        <f>IF(ISNA(MATCH(1069,Engine!$C$2:$C$1199,0)),"",INDEX('Compliance Database'!$K$2:$K$1199,MATCH(1069,Engine!$C$2:$C$1199,0)))</f>
        <v/>
      </c>
      <c r="L1082" s="7" t="str">
        <f>IF(ISNA(MATCH(1069,Engine!$C$2:$C$1199,0)),"",INDEX('Compliance Database'!$L$2:$L$1199,MATCH(1069,Engine!$C$2:$C$1199,0)))</f>
        <v/>
      </c>
      <c r="M1082" s="7" t="str">
        <f>IF(ISNA(MATCH(1069,Engine!$C$2:$C$1199,0)),"",INDEX('Compliance Database'!$M$2:$M$1199,MATCH(1069,Engine!$C$2:$C$1199,0)))</f>
        <v/>
      </c>
      <c r="N1082" s="7" t="str">
        <f>IF(ISNA(MATCH(1069,Engine!$C$2:$C$1199,0)),"",INDEX('Compliance Database'!$N$2:$N$1199,MATCH(1069,Engine!$C$2:$C$1199,0)))</f>
        <v/>
      </c>
      <c r="O1082" s="7" t="str">
        <f>IF(ISNA(MATCH(1069,Engine!$C$2:$C$1199,0)),"",INDEX('Compliance Database'!$O$2:$O$1199,MATCH(1069,Engine!$C$2:$C$1199,0)))</f>
        <v/>
      </c>
      <c r="P1082" s="6" t="str">
        <f>IF(ISNA(MATCH(1069,Engine!$C$2:$C$1199,0)),"",HYPERLINK("#Acts!A"&amp;INDEX('Compliance Database'!$P$2:$P$1199,MATCH(1069,Engine!$C$2:$C$1199,0)),"Go to Act"))</f>
        <v/>
      </c>
    </row>
    <row r="1083" spans="1:16" ht="172.95" customHeight="1" x14ac:dyDescent="0.3">
      <c r="A1083" s="6" t="str">
        <f>IF(ISNA(MATCH(1070,Engine!$C$2:$C$1199,0)),"",INDEX('Compliance Database'!$A$2:$A$1199,MATCH(1070,Engine!$C$2:$C$1199,0)))</f>
        <v/>
      </c>
      <c r="B1083" s="6" t="str">
        <f>IF(ISNA(MATCH(1070,Engine!$C$2:$C$1199,0)),"",INDEX('Compliance Database'!$B$2:$B$1199,MATCH(1070,Engine!$C$2:$C$1199,0)))</f>
        <v/>
      </c>
      <c r="C1083" s="6" t="str">
        <f>IF(ISNA(MATCH(1070,Engine!$C$2:$C$1199,0)),"",INDEX('Compliance Database'!$C$2:$C$1199,MATCH(1070,Engine!$C$2:$C$1199,0)))</f>
        <v/>
      </c>
      <c r="D1083" s="7" t="str">
        <f>IF(ISNA(MATCH(1070,Engine!$C$2:$C$1199,0)),"",INDEX('Compliance Database'!$D$2:$D$1199,MATCH(1070,Engine!$C$2:$C$1199,0)))</f>
        <v/>
      </c>
      <c r="E1083" s="6" t="str">
        <f>IF(ISNA(MATCH(1070,Engine!$C$2:$C$1199,0)),"",INDEX('Compliance Database'!$E$2:$E$1199,MATCH(1070,Engine!$C$2:$C$1199,0)))</f>
        <v/>
      </c>
      <c r="F1083" s="6" t="str">
        <f>IF(ISNA(MATCH(1070,Engine!$C$2:$C$1199,0)),"",INDEX('Compliance Database'!$F$2:$F$1199,MATCH(1070,Engine!$C$2:$C$1199,0)))</f>
        <v/>
      </c>
      <c r="G1083" s="6" t="str">
        <f>IF(ISNA(MATCH(1070,Engine!$C$2:$C$1199,0)),"",INDEX('Compliance Database'!$G$2:$G$1199,MATCH(1070,Engine!$C$2:$C$1199,0)))</f>
        <v/>
      </c>
      <c r="H1083" s="7" t="str">
        <f>IF(ISNA(MATCH(1070,Engine!$C$2:$C$1199,0)),"",INDEX('Compliance Database'!$H$2:$H$1199,MATCH(1070,Engine!$C$2:$C$1199,0)))</f>
        <v/>
      </c>
      <c r="I1083" s="7" t="str">
        <f>IF(ISNA(MATCH(1070,Engine!$C$2:$C$1199,0)),"",INDEX('Compliance Database'!$I$2:$I$1199,MATCH(1070,Engine!$C$2:$C$1199,0)))</f>
        <v/>
      </c>
      <c r="J1083" s="6" t="str">
        <f>IF(ISNA(MATCH(1070,Engine!$C$2:$C$1199,0)),"",INDEX('Compliance Database'!$J$2:$J$1199,MATCH(1070,Engine!$C$2:$C$1199,0)))</f>
        <v/>
      </c>
      <c r="K1083" s="7" t="str">
        <f>IF(ISNA(MATCH(1070,Engine!$C$2:$C$1199,0)),"",INDEX('Compliance Database'!$K$2:$K$1199,MATCH(1070,Engine!$C$2:$C$1199,0)))</f>
        <v/>
      </c>
      <c r="L1083" s="7" t="str">
        <f>IF(ISNA(MATCH(1070,Engine!$C$2:$C$1199,0)),"",INDEX('Compliance Database'!$L$2:$L$1199,MATCH(1070,Engine!$C$2:$C$1199,0)))</f>
        <v/>
      </c>
      <c r="M1083" s="7" t="str">
        <f>IF(ISNA(MATCH(1070,Engine!$C$2:$C$1199,0)),"",INDEX('Compliance Database'!$M$2:$M$1199,MATCH(1070,Engine!$C$2:$C$1199,0)))</f>
        <v/>
      </c>
      <c r="N1083" s="7" t="str">
        <f>IF(ISNA(MATCH(1070,Engine!$C$2:$C$1199,0)),"",INDEX('Compliance Database'!$N$2:$N$1199,MATCH(1070,Engine!$C$2:$C$1199,0)))</f>
        <v/>
      </c>
      <c r="O1083" s="7" t="str">
        <f>IF(ISNA(MATCH(1070,Engine!$C$2:$C$1199,0)),"",INDEX('Compliance Database'!$O$2:$O$1199,MATCH(1070,Engine!$C$2:$C$1199,0)))</f>
        <v/>
      </c>
      <c r="P1083" s="6" t="str">
        <f>IF(ISNA(MATCH(1070,Engine!$C$2:$C$1199,0)),"",HYPERLINK("#Acts!A"&amp;INDEX('Compliance Database'!$P$2:$P$1199,MATCH(1070,Engine!$C$2:$C$1199,0)),"Go to Act"))</f>
        <v/>
      </c>
    </row>
    <row r="1084" spans="1:16" ht="172.95" customHeight="1" x14ac:dyDescent="0.3">
      <c r="A1084" s="6" t="str">
        <f>IF(ISNA(MATCH(1071,Engine!$C$2:$C$1199,0)),"",INDEX('Compliance Database'!$A$2:$A$1199,MATCH(1071,Engine!$C$2:$C$1199,0)))</f>
        <v/>
      </c>
      <c r="B1084" s="6" t="str">
        <f>IF(ISNA(MATCH(1071,Engine!$C$2:$C$1199,0)),"",INDEX('Compliance Database'!$B$2:$B$1199,MATCH(1071,Engine!$C$2:$C$1199,0)))</f>
        <v/>
      </c>
      <c r="C1084" s="6" t="str">
        <f>IF(ISNA(MATCH(1071,Engine!$C$2:$C$1199,0)),"",INDEX('Compliance Database'!$C$2:$C$1199,MATCH(1071,Engine!$C$2:$C$1199,0)))</f>
        <v/>
      </c>
      <c r="D1084" s="7" t="str">
        <f>IF(ISNA(MATCH(1071,Engine!$C$2:$C$1199,0)),"",INDEX('Compliance Database'!$D$2:$D$1199,MATCH(1071,Engine!$C$2:$C$1199,0)))</f>
        <v/>
      </c>
      <c r="E1084" s="6" t="str">
        <f>IF(ISNA(MATCH(1071,Engine!$C$2:$C$1199,0)),"",INDEX('Compliance Database'!$E$2:$E$1199,MATCH(1071,Engine!$C$2:$C$1199,0)))</f>
        <v/>
      </c>
      <c r="F1084" s="6" t="str">
        <f>IF(ISNA(MATCH(1071,Engine!$C$2:$C$1199,0)),"",INDEX('Compliance Database'!$F$2:$F$1199,MATCH(1071,Engine!$C$2:$C$1199,0)))</f>
        <v/>
      </c>
      <c r="G1084" s="6" t="str">
        <f>IF(ISNA(MATCH(1071,Engine!$C$2:$C$1199,0)),"",INDEX('Compliance Database'!$G$2:$G$1199,MATCH(1071,Engine!$C$2:$C$1199,0)))</f>
        <v/>
      </c>
      <c r="H1084" s="7" t="str">
        <f>IF(ISNA(MATCH(1071,Engine!$C$2:$C$1199,0)),"",INDEX('Compliance Database'!$H$2:$H$1199,MATCH(1071,Engine!$C$2:$C$1199,0)))</f>
        <v/>
      </c>
      <c r="I1084" s="7" t="str">
        <f>IF(ISNA(MATCH(1071,Engine!$C$2:$C$1199,0)),"",INDEX('Compliance Database'!$I$2:$I$1199,MATCH(1071,Engine!$C$2:$C$1199,0)))</f>
        <v/>
      </c>
      <c r="J1084" s="6" t="str">
        <f>IF(ISNA(MATCH(1071,Engine!$C$2:$C$1199,0)),"",INDEX('Compliance Database'!$J$2:$J$1199,MATCH(1071,Engine!$C$2:$C$1199,0)))</f>
        <v/>
      </c>
      <c r="K1084" s="7" t="str">
        <f>IF(ISNA(MATCH(1071,Engine!$C$2:$C$1199,0)),"",INDEX('Compliance Database'!$K$2:$K$1199,MATCH(1071,Engine!$C$2:$C$1199,0)))</f>
        <v/>
      </c>
      <c r="L1084" s="7" t="str">
        <f>IF(ISNA(MATCH(1071,Engine!$C$2:$C$1199,0)),"",INDEX('Compliance Database'!$L$2:$L$1199,MATCH(1071,Engine!$C$2:$C$1199,0)))</f>
        <v/>
      </c>
      <c r="M1084" s="7" t="str">
        <f>IF(ISNA(MATCH(1071,Engine!$C$2:$C$1199,0)),"",INDEX('Compliance Database'!$M$2:$M$1199,MATCH(1071,Engine!$C$2:$C$1199,0)))</f>
        <v/>
      </c>
      <c r="N1084" s="7" t="str">
        <f>IF(ISNA(MATCH(1071,Engine!$C$2:$C$1199,0)),"",INDEX('Compliance Database'!$N$2:$N$1199,MATCH(1071,Engine!$C$2:$C$1199,0)))</f>
        <v/>
      </c>
      <c r="O1084" s="7" t="str">
        <f>IF(ISNA(MATCH(1071,Engine!$C$2:$C$1199,0)),"",INDEX('Compliance Database'!$O$2:$O$1199,MATCH(1071,Engine!$C$2:$C$1199,0)))</f>
        <v/>
      </c>
      <c r="P1084" s="6" t="str">
        <f>IF(ISNA(MATCH(1071,Engine!$C$2:$C$1199,0)),"",HYPERLINK("#Acts!A"&amp;INDEX('Compliance Database'!$P$2:$P$1199,MATCH(1071,Engine!$C$2:$C$1199,0)),"Go to Act"))</f>
        <v/>
      </c>
    </row>
    <row r="1085" spans="1:16" ht="172.95" customHeight="1" x14ac:dyDescent="0.3">
      <c r="A1085" s="6" t="str">
        <f>IF(ISNA(MATCH(1072,Engine!$C$2:$C$1199,0)),"",INDEX('Compliance Database'!$A$2:$A$1199,MATCH(1072,Engine!$C$2:$C$1199,0)))</f>
        <v/>
      </c>
      <c r="B1085" s="6" t="str">
        <f>IF(ISNA(MATCH(1072,Engine!$C$2:$C$1199,0)),"",INDEX('Compliance Database'!$B$2:$B$1199,MATCH(1072,Engine!$C$2:$C$1199,0)))</f>
        <v/>
      </c>
      <c r="C1085" s="6" t="str">
        <f>IF(ISNA(MATCH(1072,Engine!$C$2:$C$1199,0)),"",INDEX('Compliance Database'!$C$2:$C$1199,MATCH(1072,Engine!$C$2:$C$1199,0)))</f>
        <v/>
      </c>
      <c r="D1085" s="7" t="str">
        <f>IF(ISNA(MATCH(1072,Engine!$C$2:$C$1199,0)),"",INDEX('Compliance Database'!$D$2:$D$1199,MATCH(1072,Engine!$C$2:$C$1199,0)))</f>
        <v/>
      </c>
      <c r="E1085" s="6" t="str">
        <f>IF(ISNA(MATCH(1072,Engine!$C$2:$C$1199,0)),"",INDEX('Compliance Database'!$E$2:$E$1199,MATCH(1072,Engine!$C$2:$C$1199,0)))</f>
        <v/>
      </c>
      <c r="F1085" s="6" t="str">
        <f>IF(ISNA(MATCH(1072,Engine!$C$2:$C$1199,0)),"",INDEX('Compliance Database'!$F$2:$F$1199,MATCH(1072,Engine!$C$2:$C$1199,0)))</f>
        <v/>
      </c>
      <c r="G1085" s="6" t="str">
        <f>IF(ISNA(MATCH(1072,Engine!$C$2:$C$1199,0)),"",INDEX('Compliance Database'!$G$2:$G$1199,MATCH(1072,Engine!$C$2:$C$1199,0)))</f>
        <v/>
      </c>
      <c r="H1085" s="7" t="str">
        <f>IF(ISNA(MATCH(1072,Engine!$C$2:$C$1199,0)),"",INDEX('Compliance Database'!$H$2:$H$1199,MATCH(1072,Engine!$C$2:$C$1199,0)))</f>
        <v/>
      </c>
      <c r="I1085" s="7" t="str">
        <f>IF(ISNA(MATCH(1072,Engine!$C$2:$C$1199,0)),"",INDEX('Compliance Database'!$I$2:$I$1199,MATCH(1072,Engine!$C$2:$C$1199,0)))</f>
        <v/>
      </c>
      <c r="J1085" s="6" t="str">
        <f>IF(ISNA(MATCH(1072,Engine!$C$2:$C$1199,0)),"",INDEX('Compliance Database'!$J$2:$J$1199,MATCH(1072,Engine!$C$2:$C$1199,0)))</f>
        <v/>
      </c>
      <c r="K1085" s="7" t="str">
        <f>IF(ISNA(MATCH(1072,Engine!$C$2:$C$1199,0)),"",INDEX('Compliance Database'!$K$2:$K$1199,MATCH(1072,Engine!$C$2:$C$1199,0)))</f>
        <v/>
      </c>
      <c r="L1085" s="7" t="str">
        <f>IF(ISNA(MATCH(1072,Engine!$C$2:$C$1199,0)),"",INDEX('Compliance Database'!$L$2:$L$1199,MATCH(1072,Engine!$C$2:$C$1199,0)))</f>
        <v/>
      </c>
      <c r="M1085" s="7" t="str">
        <f>IF(ISNA(MATCH(1072,Engine!$C$2:$C$1199,0)),"",INDEX('Compliance Database'!$M$2:$M$1199,MATCH(1072,Engine!$C$2:$C$1199,0)))</f>
        <v/>
      </c>
      <c r="N1085" s="7" t="str">
        <f>IF(ISNA(MATCH(1072,Engine!$C$2:$C$1199,0)),"",INDEX('Compliance Database'!$N$2:$N$1199,MATCH(1072,Engine!$C$2:$C$1199,0)))</f>
        <v/>
      </c>
      <c r="O1085" s="7" t="str">
        <f>IF(ISNA(MATCH(1072,Engine!$C$2:$C$1199,0)),"",INDEX('Compliance Database'!$O$2:$O$1199,MATCH(1072,Engine!$C$2:$C$1199,0)))</f>
        <v/>
      </c>
      <c r="P1085" s="6" t="str">
        <f>IF(ISNA(MATCH(1072,Engine!$C$2:$C$1199,0)),"",HYPERLINK("#Acts!A"&amp;INDEX('Compliance Database'!$P$2:$P$1199,MATCH(1072,Engine!$C$2:$C$1199,0)),"Go to Act"))</f>
        <v/>
      </c>
    </row>
    <row r="1086" spans="1:16" ht="172.95" customHeight="1" x14ac:dyDescent="0.3">
      <c r="A1086" s="6" t="str">
        <f>IF(ISNA(MATCH(1073,Engine!$C$2:$C$1199,0)),"",INDEX('Compliance Database'!$A$2:$A$1199,MATCH(1073,Engine!$C$2:$C$1199,0)))</f>
        <v/>
      </c>
      <c r="B1086" s="6" t="str">
        <f>IF(ISNA(MATCH(1073,Engine!$C$2:$C$1199,0)),"",INDEX('Compliance Database'!$B$2:$B$1199,MATCH(1073,Engine!$C$2:$C$1199,0)))</f>
        <v/>
      </c>
      <c r="C1086" s="6" t="str">
        <f>IF(ISNA(MATCH(1073,Engine!$C$2:$C$1199,0)),"",INDEX('Compliance Database'!$C$2:$C$1199,MATCH(1073,Engine!$C$2:$C$1199,0)))</f>
        <v/>
      </c>
      <c r="D1086" s="7" t="str">
        <f>IF(ISNA(MATCH(1073,Engine!$C$2:$C$1199,0)),"",INDEX('Compliance Database'!$D$2:$D$1199,MATCH(1073,Engine!$C$2:$C$1199,0)))</f>
        <v/>
      </c>
      <c r="E1086" s="6" t="str">
        <f>IF(ISNA(MATCH(1073,Engine!$C$2:$C$1199,0)),"",INDEX('Compliance Database'!$E$2:$E$1199,MATCH(1073,Engine!$C$2:$C$1199,0)))</f>
        <v/>
      </c>
      <c r="F1086" s="6" t="str">
        <f>IF(ISNA(MATCH(1073,Engine!$C$2:$C$1199,0)),"",INDEX('Compliance Database'!$F$2:$F$1199,MATCH(1073,Engine!$C$2:$C$1199,0)))</f>
        <v/>
      </c>
      <c r="G1086" s="6" t="str">
        <f>IF(ISNA(MATCH(1073,Engine!$C$2:$C$1199,0)),"",INDEX('Compliance Database'!$G$2:$G$1199,MATCH(1073,Engine!$C$2:$C$1199,0)))</f>
        <v/>
      </c>
      <c r="H1086" s="7" t="str">
        <f>IF(ISNA(MATCH(1073,Engine!$C$2:$C$1199,0)),"",INDEX('Compliance Database'!$H$2:$H$1199,MATCH(1073,Engine!$C$2:$C$1199,0)))</f>
        <v/>
      </c>
      <c r="I1086" s="7" t="str">
        <f>IF(ISNA(MATCH(1073,Engine!$C$2:$C$1199,0)),"",INDEX('Compliance Database'!$I$2:$I$1199,MATCH(1073,Engine!$C$2:$C$1199,0)))</f>
        <v/>
      </c>
      <c r="J1086" s="6" t="str">
        <f>IF(ISNA(MATCH(1073,Engine!$C$2:$C$1199,0)),"",INDEX('Compliance Database'!$J$2:$J$1199,MATCH(1073,Engine!$C$2:$C$1199,0)))</f>
        <v/>
      </c>
      <c r="K1086" s="7" t="str">
        <f>IF(ISNA(MATCH(1073,Engine!$C$2:$C$1199,0)),"",INDEX('Compliance Database'!$K$2:$K$1199,MATCH(1073,Engine!$C$2:$C$1199,0)))</f>
        <v/>
      </c>
      <c r="L1086" s="7" t="str">
        <f>IF(ISNA(MATCH(1073,Engine!$C$2:$C$1199,0)),"",INDEX('Compliance Database'!$L$2:$L$1199,MATCH(1073,Engine!$C$2:$C$1199,0)))</f>
        <v/>
      </c>
      <c r="M1086" s="7" t="str">
        <f>IF(ISNA(MATCH(1073,Engine!$C$2:$C$1199,0)),"",INDEX('Compliance Database'!$M$2:$M$1199,MATCH(1073,Engine!$C$2:$C$1199,0)))</f>
        <v/>
      </c>
      <c r="N1086" s="7" t="str">
        <f>IF(ISNA(MATCH(1073,Engine!$C$2:$C$1199,0)),"",INDEX('Compliance Database'!$N$2:$N$1199,MATCH(1073,Engine!$C$2:$C$1199,0)))</f>
        <v/>
      </c>
      <c r="O1086" s="7" t="str">
        <f>IF(ISNA(MATCH(1073,Engine!$C$2:$C$1199,0)),"",INDEX('Compliance Database'!$O$2:$O$1199,MATCH(1073,Engine!$C$2:$C$1199,0)))</f>
        <v/>
      </c>
      <c r="P1086" s="6" t="str">
        <f>IF(ISNA(MATCH(1073,Engine!$C$2:$C$1199,0)),"",HYPERLINK("#Acts!A"&amp;INDEX('Compliance Database'!$P$2:$P$1199,MATCH(1073,Engine!$C$2:$C$1199,0)),"Go to Act"))</f>
        <v/>
      </c>
    </row>
    <row r="1087" spans="1:16" ht="172.95" customHeight="1" x14ac:dyDescent="0.3">
      <c r="A1087" s="6" t="str">
        <f>IF(ISNA(MATCH(1074,Engine!$C$2:$C$1199,0)),"",INDEX('Compliance Database'!$A$2:$A$1199,MATCH(1074,Engine!$C$2:$C$1199,0)))</f>
        <v/>
      </c>
      <c r="B1087" s="6" t="str">
        <f>IF(ISNA(MATCH(1074,Engine!$C$2:$C$1199,0)),"",INDEX('Compliance Database'!$B$2:$B$1199,MATCH(1074,Engine!$C$2:$C$1199,0)))</f>
        <v/>
      </c>
      <c r="C1087" s="6" t="str">
        <f>IF(ISNA(MATCH(1074,Engine!$C$2:$C$1199,0)),"",INDEX('Compliance Database'!$C$2:$C$1199,MATCH(1074,Engine!$C$2:$C$1199,0)))</f>
        <v/>
      </c>
      <c r="D1087" s="7" t="str">
        <f>IF(ISNA(MATCH(1074,Engine!$C$2:$C$1199,0)),"",INDEX('Compliance Database'!$D$2:$D$1199,MATCH(1074,Engine!$C$2:$C$1199,0)))</f>
        <v/>
      </c>
      <c r="E1087" s="6" t="str">
        <f>IF(ISNA(MATCH(1074,Engine!$C$2:$C$1199,0)),"",INDEX('Compliance Database'!$E$2:$E$1199,MATCH(1074,Engine!$C$2:$C$1199,0)))</f>
        <v/>
      </c>
      <c r="F1087" s="6" t="str">
        <f>IF(ISNA(MATCH(1074,Engine!$C$2:$C$1199,0)),"",INDEX('Compliance Database'!$F$2:$F$1199,MATCH(1074,Engine!$C$2:$C$1199,0)))</f>
        <v/>
      </c>
      <c r="G1087" s="6" t="str">
        <f>IF(ISNA(MATCH(1074,Engine!$C$2:$C$1199,0)),"",INDEX('Compliance Database'!$G$2:$G$1199,MATCH(1074,Engine!$C$2:$C$1199,0)))</f>
        <v/>
      </c>
      <c r="H1087" s="7" t="str">
        <f>IF(ISNA(MATCH(1074,Engine!$C$2:$C$1199,0)),"",INDEX('Compliance Database'!$H$2:$H$1199,MATCH(1074,Engine!$C$2:$C$1199,0)))</f>
        <v/>
      </c>
      <c r="I1087" s="7" t="str">
        <f>IF(ISNA(MATCH(1074,Engine!$C$2:$C$1199,0)),"",INDEX('Compliance Database'!$I$2:$I$1199,MATCH(1074,Engine!$C$2:$C$1199,0)))</f>
        <v/>
      </c>
      <c r="J1087" s="6" t="str">
        <f>IF(ISNA(MATCH(1074,Engine!$C$2:$C$1199,0)),"",INDEX('Compliance Database'!$J$2:$J$1199,MATCH(1074,Engine!$C$2:$C$1199,0)))</f>
        <v/>
      </c>
      <c r="K1087" s="7" t="str">
        <f>IF(ISNA(MATCH(1074,Engine!$C$2:$C$1199,0)),"",INDEX('Compliance Database'!$K$2:$K$1199,MATCH(1074,Engine!$C$2:$C$1199,0)))</f>
        <v/>
      </c>
      <c r="L1087" s="7" t="str">
        <f>IF(ISNA(MATCH(1074,Engine!$C$2:$C$1199,0)),"",INDEX('Compliance Database'!$L$2:$L$1199,MATCH(1074,Engine!$C$2:$C$1199,0)))</f>
        <v/>
      </c>
      <c r="M1087" s="7" t="str">
        <f>IF(ISNA(MATCH(1074,Engine!$C$2:$C$1199,0)),"",INDEX('Compliance Database'!$M$2:$M$1199,MATCH(1074,Engine!$C$2:$C$1199,0)))</f>
        <v/>
      </c>
      <c r="N1087" s="7" t="str">
        <f>IF(ISNA(MATCH(1074,Engine!$C$2:$C$1199,0)),"",INDEX('Compliance Database'!$N$2:$N$1199,MATCH(1074,Engine!$C$2:$C$1199,0)))</f>
        <v/>
      </c>
      <c r="O1087" s="7" t="str">
        <f>IF(ISNA(MATCH(1074,Engine!$C$2:$C$1199,0)),"",INDEX('Compliance Database'!$O$2:$O$1199,MATCH(1074,Engine!$C$2:$C$1199,0)))</f>
        <v/>
      </c>
      <c r="P1087" s="6" t="str">
        <f>IF(ISNA(MATCH(1074,Engine!$C$2:$C$1199,0)),"",HYPERLINK("#Acts!A"&amp;INDEX('Compliance Database'!$P$2:$P$1199,MATCH(1074,Engine!$C$2:$C$1199,0)),"Go to Act"))</f>
        <v/>
      </c>
    </row>
    <row r="1088" spans="1:16" ht="172.95" customHeight="1" x14ac:dyDescent="0.3">
      <c r="A1088" s="6" t="str">
        <f>IF(ISNA(MATCH(1075,Engine!$C$2:$C$1199,0)),"",INDEX('Compliance Database'!$A$2:$A$1199,MATCH(1075,Engine!$C$2:$C$1199,0)))</f>
        <v/>
      </c>
      <c r="B1088" s="6" t="str">
        <f>IF(ISNA(MATCH(1075,Engine!$C$2:$C$1199,0)),"",INDEX('Compliance Database'!$B$2:$B$1199,MATCH(1075,Engine!$C$2:$C$1199,0)))</f>
        <v/>
      </c>
      <c r="C1088" s="6" t="str">
        <f>IF(ISNA(MATCH(1075,Engine!$C$2:$C$1199,0)),"",INDEX('Compliance Database'!$C$2:$C$1199,MATCH(1075,Engine!$C$2:$C$1199,0)))</f>
        <v/>
      </c>
      <c r="D1088" s="7" t="str">
        <f>IF(ISNA(MATCH(1075,Engine!$C$2:$C$1199,0)),"",INDEX('Compliance Database'!$D$2:$D$1199,MATCH(1075,Engine!$C$2:$C$1199,0)))</f>
        <v/>
      </c>
      <c r="E1088" s="6" t="str">
        <f>IF(ISNA(MATCH(1075,Engine!$C$2:$C$1199,0)),"",INDEX('Compliance Database'!$E$2:$E$1199,MATCH(1075,Engine!$C$2:$C$1199,0)))</f>
        <v/>
      </c>
      <c r="F1088" s="6" t="str">
        <f>IF(ISNA(MATCH(1075,Engine!$C$2:$C$1199,0)),"",INDEX('Compliance Database'!$F$2:$F$1199,MATCH(1075,Engine!$C$2:$C$1199,0)))</f>
        <v/>
      </c>
      <c r="G1088" s="6" t="str">
        <f>IF(ISNA(MATCH(1075,Engine!$C$2:$C$1199,0)),"",INDEX('Compliance Database'!$G$2:$G$1199,MATCH(1075,Engine!$C$2:$C$1199,0)))</f>
        <v/>
      </c>
      <c r="H1088" s="7" t="str">
        <f>IF(ISNA(MATCH(1075,Engine!$C$2:$C$1199,0)),"",INDEX('Compliance Database'!$H$2:$H$1199,MATCH(1075,Engine!$C$2:$C$1199,0)))</f>
        <v/>
      </c>
      <c r="I1088" s="7" t="str">
        <f>IF(ISNA(MATCH(1075,Engine!$C$2:$C$1199,0)),"",INDEX('Compliance Database'!$I$2:$I$1199,MATCH(1075,Engine!$C$2:$C$1199,0)))</f>
        <v/>
      </c>
      <c r="J1088" s="6" t="str">
        <f>IF(ISNA(MATCH(1075,Engine!$C$2:$C$1199,0)),"",INDEX('Compliance Database'!$J$2:$J$1199,MATCH(1075,Engine!$C$2:$C$1199,0)))</f>
        <v/>
      </c>
      <c r="K1088" s="7" t="str">
        <f>IF(ISNA(MATCH(1075,Engine!$C$2:$C$1199,0)),"",INDEX('Compliance Database'!$K$2:$K$1199,MATCH(1075,Engine!$C$2:$C$1199,0)))</f>
        <v/>
      </c>
      <c r="L1088" s="7" t="str">
        <f>IF(ISNA(MATCH(1075,Engine!$C$2:$C$1199,0)),"",INDEX('Compliance Database'!$L$2:$L$1199,MATCH(1075,Engine!$C$2:$C$1199,0)))</f>
        <v/>
      </c>
      <c r="M1088" s="7" t="str">
        <f>IF(ISNA(MATCH(1075,Engine!$C$2:$C$1199,0)),"",INDEX('Compliance Database'!$M$2:$M$1199,MATCH(1075,Engine!$C$2:$C$1199,0)))</f>
        <v/>
      </c>
      <c r="N1088" s="7" t="str">
        <f>IF(ISNA(MATCH(1075,Engine!$C$2:$C$1199,0)),"",INDEX('Compliance Database'!$N$2:$N$1199,MATCH(1075,Engine!$C$2:$C$1199,0)))</f>
        <v/>
      </c>
      <c r="O1088" s="7" t="str">
        <f>IF(ISNA(MATCH(1075,Engine!$C$2:$C$1199,0)),"",INDEX('Compliance Database'!$O$2:$O$1199,MATCH(1075,Engine!$C$2:$C$1199,0)))</f>
        <v/>
      </c>
      <c r="P1088" s="6" t="str">
        <f>IF(ISNA(MATCH(1075,Engine!$C$2:$C$1199,0)),"",HYPERLINK("#Acts!A"&amp;INDEX('Compliance Database'!$P$2:$P$1199,MATCH(1075,Engine!$C$2:$C$1199,0)),"Go to Act"))</f>
        <v/>
      </c>
    </row>
    <row r="1089" spans="1:16" ht="172.95" customHeight="1" x14ac:dyDescent="0.3">
      <c r="A1089" s="6" t="str">
        <f>IF(ISNA(MATCH(1076,Engine!$C$2:$C$1199,0)),"",INDEX('Compliance Database'!$A$2:$A$1199,MATCH(1076,Engine!$C$2:$C$1199,0)))</f>
        <v/>
      </c>
      <c r="B1089" s="6" t="str">
        <f>IF(ISNA(MATCH(1076,Engine!$C$2:$C$1199,0)),"",INDEX('Compliance Database'!$B$2:$B$1199,MATCH(1076,Engine!$C$2:$C$1199,0)))</f>
        <v/>
      </c>
      <c r="C1089" s="6" t="str">
        <f>IF(ISNA(MATCH(1076,Engine!$C$2:$C$1199,0)),"",INDEX('Compliance Database'!$C$2:$C$1199,MATCH(1076,Engine!$C$2:$C$1199,0)))</f>
        <v/>
      </c>
      <c r="D1089" s="7" t="str">
        <f>IF(ISNA(MATCH(1076,Engine!$C$2:$C$1199,0)),"",INDEX('Compliance Database'!$D$2:$D$1199,MATCH(1076,Engine!$C$2:$C$1199,0)))</f>
        <v/>
      </c>
      <c r="E1089" s="6" t="str">
        <f>IF(ISNA(MATCH(1076,Engine!$C$2:$C$1199,0)),"",INDEX('Compliance Database'!$E$2:$E$1199,MATCH(1076,Engine!$C$2:$C$1199,0)))</f>
        <v/>
      </c>
      <c r="F1089" s="6" t="str">
        <f>IF(ISNA(MATCH(1076,Engine!$C$2:$C$1199,0)),"",INDEX('Compliance Database'!$F$2:$F$1199,MATCH(1076,Engine!$C$2:$C$1199,0)))</f>
        <v/>
      </c>
      <c r="G1089" s="6" t="str">
        <f>IF(ISNA(MATCH(1076,Engine!$C$2:$C$1199,0)),"",INDEX('Compliance Database'!$G$2:$G$1199,MATCH(1076,Engine!$C$2:$C$1199,0)))</f>
        <v/>
      </c>
      <c r="H1089" s="7" t="str">
        <f>IF(ISNA(MATCH(1076,Engine!$C$2:$C$1199,0)),"",INDEX('Compliance Database'!$H$2:$H$1199,MATCH(1076,Engine!$C$2:$C$1199,0)))</f>
        <v/>
      </c>
      <c r="I1089" s="7" t="str">
        <f>IF(ISNA(MATCH(1076,Engine!$C$2:$C$1199,0)),"",INDEX('Compliance Database'!$I$2:$I$1199,MATCH(1076,Engine!$C$2:$C$1199,0)))</f>
        <v/>
      </c>
      <c r="J1089" s="6" t="str">
        <f>IF(ISNA(MATCH(1076,Engine!$C$2:$C$1199,0)),"",INDEX('Compliance Database'!$J$2:$J$1199,MATCH(1076,Engine!$C$2:$C$1199,0)))</f>
        <v/>
      </c>
      <c r="K1089" s="7" t="str">
        <f>IF(ISNA(MATCH(1076,Engine!$C$2:$C$1199,0)),"",INDEX('Compliance Database'!$K$2:$K$1199,MATCH(1076,Engine!$C$2:$C$1199,0)))</f>
        <v/>
      </c>
      <c r="L1089" s="7" t="str">
        <f>IF(ISNA(MATCH(1076,Engine!$C$2:$C$1199,0)),"",INDEX('Compliance Database'!$L$2:$L$1199,MATCH(1076,Engine!$C$2:$C$1199,0)))</f>
        <v/>
      </c>
      <c r="M1089" s="7" t="str">
        <f>IF(ISNA(MATCH(1076,Engine!$C$2:$C$1199,0)),"",INDEX('Compliance Database'!$M$2:$M$1199,MATCH(1076,Engine!$C$2:$C$1199,0)))</f>
        <v/>
      </c>
      <c r="N1089" s="7" t="str">
        <f>IF(ISNA(MATCH(1076,Engine!$C$2:$C$1199,0)),"",INDEX('Compliance Database'!$N$2:$N$1199,MATCH(1076,Engine!$C$2:$C$1199,0)))</f>
        <v/>
      </c>
      <c r="O1089" s="7" t="str">
        <f>IF(ISNA(MATCH(1076,Engine!$C$2:$C$1199,0)),"",INDEX('Compliance Database'!$O$2:$O$1199,MATCH(1076,Engine!$C$2:$C$1199,0)))</f>
        <v/>
      </c>
      <c r="P1089" s="6" t="str">
        <f>IF(ISNA(MATCH(1076,Engine!$C$2:$C$1199,0)),"",HYPERLINK("#Acts!A"&amp;INDEX('Compliance Database'!$P$2:$P$1199,MATCH(1076,Engine!$C$2:$C$1199,0)),"Go to Act"))</f>
        <v/>
      </c>
    </row>
    <row r="1090" spans="1:16" ht="172.95" customHeight="1" x14ac:dyDescent="0.3">
      <c r="A1090" s="6" t="str">
        <f>IF(ISNA(MATCH(1077,Engine!$C$2:$C$1199,0)),"",INDEX('Compliance Database'!$A$2:$A$1199,MATCH(1077,Engine!$C$2:$C$1199,0)))</f>
        <v/>
      </c>
      <c r="B1090" s="6" t="str">
        <f>IF(ISNA(MATCH(1077,Engine!$C$2:$C$1199,0)),"",INDEX('Compliance Database'!$B$2:$B$1199,MATCH(1077,Engine!$C$2:$C$1199,0)))</f>
        <v/>
      </c>
      <c r="C1090" s="6" t="str">
        <f>IF(ISNA(MATCH(1077,Engine!$C$2:$C$1199,0)),"",INDEX('Compliance Database'!$C$2:$C$1199,MATCH(1077,Engine!$C$2:$C$1199,0)))</f>
        <v/>
      </c>
      <c r="D1090" s="7" t="str">
        <f>IF(ISNA(MATCH(1077,Engine!$C$2:$C$1199,0)),"",INDEX('Compliance Database'!$D$2:$D$1199,MATCH(1077,Engine!$C$2:$C$1199,0)))</f>
        <v/>
      </c>
      <c r="E1090" s="6" t="str">
        <f>IF(ISNA(MATCH(1077,Engine!$C$2:$C$1199,0)),"",INDEX('Compliance Database'!$E$2:$E$1199,MATCH(1077,Engine!$C$2:$C$1199,0)))</f>
        <v/>
      </c>
      <c r="F1090" s="6" t="str">
        <f>IF(ISNA(MATCH(1077,Engine!$C$2:$C$1199,0)),"",INDEX('Compliance Database'!$F$2:$F$1199,MATCH(1077,Engine!$C$2:$C$1199,0)))</f>
        <v/>
      </c>
      <c r="G1090" s="6" t="str">
        <f>IF(ISNA(MATCH(1077,Engine!$C$2:$C$1199,0)),"",INDEX('Compliance Database'!$G$2:$G$1199,MATCH(1077,Engine!$C$2:$C$1199,0)))</f>
        <v/>
      </c>
      <c r="H1090" s="7" t="str">
        <f>IF(ISNA(MATCH(1077,Engine!$C$2:$C$1199,0)),"",INDEX('Compliance Database'!$H$2:$H$1199,MATCH(1077,Engine!$C$2:$C$1199,0)))</f>
        <v/>
      </c>
      <c r="I1090" s="7" t="str">
        <f>IF(ISNA(MATCH(1077,Engine!$C$2:$C$1199,0)),"",INDEX('Compliance Database'!$I$2:$I$1199,MATCH(1077,Engine!$C$2:$C$1199,0)))</f>
        <v/>
      </c>
      <c r="J1090" s="6" t="str">
        <f>IF(ISNA(MATCH(1077,Engine!$C$2:$C$1199,0)),"",INDEX('Compliance Database'!$J$2:$J$1199,MATCH(1077,Engine!$C$2:$C$1199,0)))</f>
        <v/>
      </c>
      <c r="K1090" s="7" t="str">
        <f>IF(ISNA(MATCH(1077,Engine!$C$2:$C$1199,0)),"",INDEX('Compliance Database'!$K$2:$K$1199,MATCH(1077,Engine!$C$2:$C$1199,0)))</f>
        <v/>
      </c>
      <c r="L1090" s="7" t="str">
        <f>IF(ISNA(MATCH(1077,Engine!$C$2:$C$1199,0)),"",INDEX('Compliance Database'!$L$2:$L$1199,MATCH(1077,Engine!$C$2:$C$1199,0)))</f>
        <v/>
      </c>
      <c r="M1090" s="7" t="str">
        <f>IF(ISNA(MATCH(1077,Engine!$C$2:$C$1199,0)),"",INDEX('Compliance Database'!$M$2:$M$1199,MATCH(1077,Engine!$C$2:$C$1199,0)))</f>
        <v/>
      </c>
      <c r="N1090" s="7" t="str">
        <f>IF(ISNA(MATCH(1077,Engine!$C$2:$C$1199,0)),"",INDEX('Compliance Database'!$N$2:$N$1199,MATCH(1077,Engine!$C$2:$C$1199,0)))</f>
        <v/>
      </c>
      <c r="O1090" s="7" t="str">
        <f>IF(ISNA(MATCH(1077,Engine!$C$2:$C$1199,0)),"",INDEX('Compliance Database'!$O$2:$O$1199,MATCH(1077,Engine!$C$2:$C$1199,0)))</f>
        <v/>
      </c>
      <c r="P1090" s="6" t="str">
        <f>IF(ISNA(MATCH(1077,Engine!$C$2:$C$1199,0)),"",HYPERLINK("#Acts!A"&amp;INDEX('Compliance Database'!$P$2:$P$1199,MATCH(1077,Engine!$C$2:$C$1199,0)),"Go to Act"))</f>
        <v/>
      </c>
    </row>
    <row r="1091" spans="1:16" ht="172.95" customHeight="1" x14ac:dyDescent="0.3">
      <c r="A1091" s="6" t="str">
        <f>IF(ISNA(MATCH(1078,Engine!$C$2:$C$1199,0)),"",INDEX('Compliance Database'!$A$2:$A$1199,MATCH(1078,Engine!$C$2:$C$1199,0)))</f>
        <v/>
      </c>
      <c r="B1091" s="6" t="str">
        <f>IF(ISNA(MATCH(1078,Engine!$C$2:$C$1199,0)),"",INDEX('Compliance Database'!$B$2:$B$1199,MATCH(1078,Engine!$C$2:$C$1199,0)))</f>
        <v/>
      </c>
      <c r="C1091" s="6" t="str">
        <f>IF(ISNA(MATCH(1078,Engine!$C$2:$C$1199,0)),"",INDEX('Compliance Database'!$C$2:$C$1199,MATCH(1078,Engine!$C$2:$C$1199,0)))</f>
        <v/>
      </c>
      <c r="D1091" s="7" t="str">
        <f>IF(ISNA(MATCH(1078,Engine!$C$2:$C$1199,0)),"",INDEX('Compliance Database'!$D$2:$D$1199,MATCH(1078,Engine!$C$2:$C$1199,0)))</f>
        <v/>
      </c>
      <c r="E1091" s="6" t="str">
        <f>IF(ISNA(MATCH(1078,Engine!$C$2:$C$1199,0)),"",INDEX('Compliance Database'!$E$2:$E$1199,MATCH(1078,Engine!$C$2:$C$1199,0)))</f>
        <v/>
      </c>
      <c r="F1091" s="6" t="str">
        <f>IF(ISNA(MATCH(1078,Engine!$C$2:$C$1199,0)),"",INDEX('Compliance Database'!$F$2:$F$1199,MATCH(1078,Engine!$C$2:$C$1199,0)))</f>
        <v/>
      </c>
      <c r="G1091" s="6" t="str">
        <f>IF(ISNA(MATCH(1078,Engine!$C$2:$C$1199,0)),"",INDEX('Compliance Database'!$G$2:$G$1199,MATCH(1078,Engine!$C$2:$C$1199,0)))</f>
        <v/>
      </c>
      <c r="H1091" s="7" t="str">
        <f>IF(ISNA(MATCH(1078,Engine!$C$2:$C$1199,0)),"",INDEX('Compliance Database'!$H$2:$H$1199,MATCH(1078,Engine!$C$2:$C$1199,0)))</f>
        <v/>
      </c>
      <c r="I1091" s="7" t="str">
        <f>IF(ISNA(MATCH(1078,Engine!$C$2:$C$1199,0)),"",INDEX('Compliance Database'!$I$2:$I$1199,MATCH(1078,Engine!$C$2:$C$1199,0)))</f>
        <v/>
      </c>
      <c r="J1091" s="6" t="str">
        <f>IF(ISNA(MATCH(1078,Engine!$C$2:$C$1199,0)),"",INDEX('Compliance Database'!$J$2:$J$1199,MATCH(1078,Engine!$C$2:$C$1199,0)))</f>
        <v/>
      </c>
      <c r="K1091" s="7" t="str">
        <f>IF(ISNA(MATCH(1078,Engine!$C$2:$C$1199,0)),"",INDEX('Compliance Database'!$K$2:$K$1199,MATCH(1078,Engine!$C$2:$C$1199,0)))</f>
        <v/>
      </c>
      <c r="L1091" s="7" t="str">
        <f>IF(ISNA(MATCH(1078,Engine!$C$2:$C$1199,0)),"",INDEX('Compliance Database'!$L$2:$L$1199,MATCH(1078,Engine!$C$2:$C$1199,0)))</f>
        <v/>
      </c>
      <c r="M1091" s="7" t="str">
        <f>IF(ISNA(MATCH(1078,Engine!$C$2:$C$1199,0)),"",INDEX('Compliance Database'!$M$2:$M$1199,MATCH(1078,Engine!$C$2:$C$1199,0)))</f>
        <v/>
      </c>
      <c r="N1091" s="7" t="str">
        <f>IF(ISNA(MATCH(1078,Engine!$C$2:$C$1199,0)),"",INDEX('Compliance Database'!$N$2:$N$1199,MATCH(1078,Engine!$C$2:$C$1199,0)))</f>
        <v/>
      </c>
      <c r="O1091" s="7" t="str">
        <f>IF(ISNA(MATCH(1078,Engine!$C$2:$C$1199,0)),"",INDEX('Compliance Database'!$O$2:$O$1199,MATCH(1078,Engine!$C$2:$C$1199,0)))</f>
        <v/>
      </c>
      <c r="P1091" s="6" t="str">
        <f>IF(ISNA(MATCH(1078,Engine!$C$2:$C$1199,0)),"",HYPERLINK("#Acts!A"&amp;INDEX('Compliance Database'!$P$2:$P$1199,MATCH(1078,Engine!$C$2:$C$1199,0)),"Go to Act"))</f>
        <v/>
      </c>
    </row>
    <row r="1092" spans="1:16" ht="172.95" customHeight="1" x14ac:dyDescent="0.3">
      <c r="A1092" s="6" t="str">
        <f>IF(ISNA(MATCH(1079,Engine!$C$2:$C$1199,0)),"",INDEX('Compliance Database'!$A$2:$A$1199,MATCH(1079,Engine!$C$2:$C$1199,0)))</f>
        <v/>
      </c>
      <c r="B1092" s="6" t="str">
        <f>IF(ISNA(MATCH(1079,Engine!$C$2:$C$1199,0)),"",INDEX('Compliance Database'!$B$2:$B$1199,MATCH(1079,Engine!$C$2:$C$1199,0)))</f>
        <v/>
      </c>
      <c r="C1092" s="6" t="str">
        <f>IF(ISNA(MATCH(1079,Engine!$C$2:$C$1199,0)),"",INDEX('Compliance Database'!$C$2:$C$1199,MATCH(1079,Engine!$C$2:$C$1199,0)))</f>
        <v/>
      </c>
      <c r="D1092" s="7" t="str">
        <f>IF(ISNA(MATCH(1079,Engine!$C$2:$C$1199,0)),"",INDEX('Compliance Database'!$D$2:$D$1199,MATCH(1079,Engine!$C$2:$C$1199,0)))</f>
        <v/>
      </c>
      <c r="E1092" s="6" t="str">
        <f>IF(ISNA(MATCH(1079,Engine!$C$2:$C$1199,0)),"",INDEX('Compliance Database'!$E$2:$E$1199,MATCH(1079,Engine!$C$2:$C$1199,0)))</f>
        <v/>
      </c>
      <c r="F1092" s="6" t="str">
        <f>IF(ISNA(MATCH(1079,Engine!$C$2:$C$1199,0)),"",INDEX('Compliance Database'!$F$2:$F$1199,MATCH(1079,Engine!$C$2:$C$1199,0)))</f>
        <v/>
      </c>
      <c r="G1092" s="6" t="str">
        <f>IF(ISNA(MATCH(1079,Engine!$C$2:$C$1199,0)),"",INDEX('Compliance Database'!$G$2:$G$1199,MATCH(1079,Engine!$C$2:$C$1199,0)))</f>
        <v/>
      </c>
      <c r="H1092" s="7" t="str">
        <f>IF(ISNA(MATCH(1079,Engine!$C$2:$C$1199,0)),"",INDEX('Compliance Database'!$H$2:$H$1199,MATCH(1079,Engine!$C$2:$C$1199,0)))</f>
        <v/>
      </c>
      <c r="I1092" s="7" t="str">
        <f>IF(ISNA(MATCH(1079,Engine!$C$2:$C$1199,0)),"",INDEX('Compliance Database'!$I$2:$I$1199,MATCH(1079,Engine!$C$2:$C$1199,0)))</f>
        <v/>
      </c>
      <c r="J1092" s="6" t="str">
        <f>IF(ISNA(MATCH(1079,Engine!$C$2:$C$1199,0)),"",INDEX('Compliance Database'!$J$2:$J$1199,MATCH(1079,Engine!$C$2:$C$1199,0)))</f>
        <v/>
      </c>
      <c r="K1092" s="7" t="str">
        <f>IF(ISNA(MATCH(1079,Engine!$C$2:$C$1199,0)),"",INDEX('Compliance Database'!$K$2:$K$1199,MATCH(1079,Engine!$C$2:$C$1199,0)))</f>
        <v/>
      </c>
      <c r="L1092" s="7" t="str">
        <f>IF(ISNA(MATCH(1079,Engine!$C$2:$C$1199,0)),"",INDEX('Compliance Database'!$L$2:$L$1199,MATCH(1079,Engine!$C$2:$C$1199,0)))</f>
        <v/>
      </c>
      <c r="M1092" s="7" t="str">
        <f>IF(ISNA(MATCH(1079,Engine!$C$2:$C$1199,0)),"",INDEX('Compliance Database'!$M$2:$M$1199,MATCH(1079,Engine!$C$2:$C$1199,0)))</f>
        <v/>
      </c>
      <c r="N1092" s="7" t="str">
        <f>IF(ISNA(MATCH(1079,Engine!$C$2:$C$1199,0)),"",INDEX('Compliance Database'!$N$2:$N$1199,MATCH(1079,Engine!$C$2:$C$1199,0)))</f>
        <v/>
      </c>
      <c r="O1092" s="7" t="str">
        <f>IF(ISNA(MATCH(1079,Engine!$C$2:$C$1199,0)),"",INDEX('Compliance Database'!$O$2:$O$1199,MATCH(1079,Engine!$C$2:$C$1199,0)))</f>
        <v/>
      </c>
      <c r="P1092" s="6" t="str">
        <f>IF(ISNA(MATCH(1079,Engine!$C$2:$C$1199,0)),"",HYPERLINK("#Acts!A"&amp;INDEX('Compliance Database'!$P$2:$P$1199,MATCH(1079,Engine!$C$2:$C$1199,0)),"Go to Act"))</f>
        <v/>
      </c>
    </row>
    <row r="1093" spans="1:16" ht="172.95" customHeight="1" x14ac:dyDescent="0.3">
      <c r="A1093" s="6" t="str">
        <f>IF(ISNA(MATCH(1080,Engine!$C$2:$C$1199,0)),"",INDEX('Compliance Database'!$A$2:$A$1199,MATCH(1080,Engine!$C$2:$C$1199,0)))</f>
        <v/>
      </c>
      <c r="B1093" s="6" t="str">
        <f>IF(ISNA(MATCH(1080,Engine!$C$2:$C$1199,0)),"",INDEX('Compliance Database'!$B$2:$B$1199,MATCH(1080,Engine!$C$2:$C$1199,0)))</f>
        <v/>
      </c>
      <c r="C1093" s="6" t="str">
        <f>IF(ISNA(MATCH(1080,Engine!$C$2:$C$1199,0)),"",INDEX('Compliance Database'!$C$2:$C$1199,MATCH(1080,Engine!$C$2:$C$1199,0)))</f>
        <v/>
      </c>
      <c r="D1093" s="7" t="str">
        <f>IF(ISNA(MATCH(1080,Engine!$C$2:$C$1199,0)),"",INDEX('Compliance Database'!$D$2:$D$1199,MATCH(1080,Engine!$C$2:$C$1199,0)))</f>
        <v/>
      </c>
      <c r="E1093" s="6" t="str">
        <f>IF(ISNA(MATCH(1080,Engine!$C$2:$C$1199,0)),"",INDEX('Compliance Database'!$E$2:$E$1199,MATCH(1080,Engine!$C$2:$C$1199,0)))</f>
        <v/>
      </c>
      <c r="F1093" s="6" t="str">
        <f>IF(ISNA(MATCH(1080,Engine!$C$2:$C$1199,0)),"",INDEX('Compliance Database'!$F$2:$F$1199,MATCH(1080,Engine!$C$2:$C$1199,0)))</f>
        <v/>
      </c>
      <c r="G1093" s="6" t="str">
        <f>IF(ISNA(MATCH(1080,Engine!$C$2:$C$1199,0)),"",INDEX('Compliance Database'!$G$2:$G$1199,MATCH(1080,Engine!$C$2:$C$1199,0)))</f>
        <v/>
      </c>
      <c r="H1093" s="7" t="str">
        <f>IF(ISNA(MATCH(1080,Engine!$C$2:$C$1199,0)),"",INDEX('Compliance Database'!$H$2:$H$1199,MATCH(1080,Engine!$C$2:$C$1199,0)))</f>
        <v/>
      </c>
      <c r="I1093" s="7" t="str">
        <f>IF(ISNA(MATCH(1080,Engine!$C$2:$C$1199,0)),"",INDEX('Compliance Database'!$I$2:$I$1199,MATCH(1080,Engine!$C$2:$C$1199,0)))</f>
        <v/>
      </c>
      <c r="J1093" s="6" t="str">
        <f>IF(ISNA(MATCH(1080,Engine!$C$2:$C$1199,0)),"",INDEX('Compliance Database'!$J$2:$J$1199,MATCH(1080,Engine!$C$2:$C$1199,0)))</f>
        <v/>
      </c>
      <c r="K1093" s="7" t="str">
        <f>IF(ISNA(MATCH(1080,Engine!$C$2:$C$1199,0)),"",INDEX('Compliance Database'!$K$2:$K$1199,MATCH(1080,Engine!$C$2:$C$1199,0)))</f>
        <v/>
      </c>
      <c r="L1093" s="7" t="str">
        <f>IF(ISNA(MATCH(1080,Engine!$C$2:$C$1199,0)),"",INDEX('Compliance Database'!$L$2:$L$1199,MATCH(1080,Engine!$C$2:$C$1199,0)))</f>
        <v/>
      </c>
      <c r="M1093" s="7" t="str">
        <f>IF(ISNA(MATCH(1080,Engine!$C$2:$C$1199,0)),"",INDEX('Compliance Database'!$M$2:$M$1199,MATCH(1080,Engine!$C$2:$C$1199,0)))</f>
        <v/>
      </c>
      <c r="N1093" s="7" t="str">
        <f>IF(ISNA(MATCH(1080,Engine!$C$2:$C$1199,0)),"",INDEX('Compliance Database'!$N$2:$N$1199,MATCH(1080,Engine!$C$2:$C$1199,0)))</f>
        <v/>
      </c>
      <c r="O1093" s="7" t="str">
        <f>IF(ISNA(MATCH(1080,Engine!$C$2:$C$1199,0)),"",INDEX('Compliance Database'!$O$2:$O$1199,MATCH(1080,Engine!$C$2:$C$1199,0)))</f>
        <v/>
      </c>
      <c r="P1093" s="6" t="str">
        <f>IF(ISNA(MATCH(1080,Engine!$C$2:$C$1199,0)),"",HYPERLINK("#Acts!A"&amp;INDEX('Compliance Database'!$P$2:$P$1199,MATCH(1080,Engine!$C$2:$C$1199,0)),"Go to Act"))</f>
        <v/>
      </c>
    </row>
    <row r="1094" spans="1:16" ht="172.95" customHeight="1" x14ac:dyDescent="0.3">
      <c r="A1094" s="6" t="str">
        <f>IF(ISNA(MATCH(1081,Engine!$C$2:$C$1199,0)),"",INDEX('Compliance Database'!$A$2:$A$1199,MATCH(1081,Engine!$C$2:$C$1199,0)))</f>
        <v/>
      </c>
      <c r="B1094" s="6" t="str">
        <f>IF(ISNA(MATCH(1081,Engine!$C$2:$C$1199,0)),"",INDEX('Compliance Database'!$B$2:$B$1199,MATCH(1081,Engine!$C$2:$C$1199,0)))</f>
        <v/>
      </c>
      <c r="C1094" s="6" t="str">
        <f>IF(ISNA(MATCH(1081,Engine!$C$2:$C$1199,0)),"",INDEX('Compliance Database'!$C$2:$C$1199,MATCH(1081,Engine!$C$2:$C$1199,0)))</f>
        <v/>
      </c>
      <c r="D1094" s="7" t="str">
        <f>IF(ISNA(MATCH(1081,Engine!$C$2:$C$1199,0)),"",INDEX('Compliance Database'!$D$2:$D$1199,MATCH(1081,Engine!$C$2:$C$1199,0)))</f>
        <v/>
      </c>
      <c r="E1094" s="6" t="str">
        <f>IF(ISNA(MATCH(1081,Engine!$C$2:$C$1199,0)),"",INDEX('Compliance Database'!$E$2:$E$1199,MATCH(1081,Engine!$C$2:$C$1199,0)))</f>
        <v/>
      </c>
      <c r="F1094" s="6" t="str">
        <f>IF(ISNA(MATCH(1081,Engine!$C$2:$C$1199,0)),"",INDEX('Compliance Database'!$F$2:$F$1199,MATCH(1081,Engine!$C$2:$C$1199,0)))</f>
        <v/>
      </c>
      <c r="G1094" s="6" t="str">
        <f>IF(ISNA(MATCH(1081,Engine!$C$2:$C$1199,0)),"",INDEX('Compliance Database'!$G$2:$G$1199,MATCH(1081,Engine!$C$2:$C$1199,0)))</f>
        <v/>
      </c>
      <c r="H1094" s="7" t="str">
        <f>IF(ISNA(MATCH(1081,Engine!$C$2:$C$1199,0)),"",INDEX('Compliance Database'!$H$2:$H$1199,MATCH(1081,Engine!$C$2:$C$1199,0)))</f>
        <v/>
      </c>
      <c r="I1094" s="7" t="str">
        <f>IF(ISNA(MATCH(1081,Engine!$C$2:$C$1199,0)),"",INDEX('Compliance Database'!$I$2:$I$1199,MATCH(1081,Engine!$C$2:$C$1199,0)))</f>
        <v/>
      </c>
      <c r="J1094" s="6" t="str">
        <f>IF(ISNA(MATCH(1081,Engine!$C$2:$C$1199,0)),"",INDEX('Compliance Database'!$J$2:$J$1199,MATCH(1081,Engine!$C$2:$C$1199,0)))</f>
        <v/>
      </c>
      <c r="K1094" s="7" t="str">
        <f>IF(ISNA(MATCH(1081,Engine!$C$2:$C$1199,0)),"",INDEX('Compliance Database'!$K$2:$K$1199,MATCH(1081,Engine!$C$2:$C$1199,0)))</f>
        <v/>
      </c>
      <c r="L1094" s="7" t="str">
        <f>IF(ISNA(MATCH(1081,Engine!$C$2:$C$1199,0)),"",INDEX('Compliance Database'!$L$2:$L$1199,MATCH(1081,Engine!$C$2:$C$1199,0)))</f>
        <v/>
      </c>
      <c r="M1094" s="7" t="str">
        <f>IF(ISNA(MATCH(1081,Engine!$C$2:$C$1199,0)),"",INDEX('Compliance Database'!$M$2:$M$1199,MATCH(1081,Engine!$C$2:$C$1199,0)))</f>
        <v/>
      </c>
      <c r="N1094" s="7" t="str">
        <f>IF(ISNA(MATCH(1081,Engine!$C$2:$C$1199,0)),"",INDEX('Compliance Database'!$N$2:$N$1199,MATCH(1081,Engine!$C$2:$C$1199,0)))</f>
        <v/>
      </c>
      <c r="O1094" s="7" t="str">
        <f>IF(ISNA(MATCH(1081,Engine!$C$2:$C$1199,0)),"",INDEX('Compliance Database'!$O$2:$O$1199,MATCH(1081,Engine!$C$2:$C$1199,0)))</f>
        <v/>
      </c>
      <c r="P1094" s="6" t="str">
        <f>IF(ISNA(MATCH(1081,Engine!$C$2:$C$1199,0)),"",HYPERLINK("#Acts!A"&amp;INDEX('Compliance Database'!$P$2:$P$1199,MATCH(1081,Engine!$C$2:$C$1199,0)),"Go to Act"))</f>
        <v/>
      </c>
    </row>
    <row r="1095" spans="1:16" ht="172.95" customHeight="1" x14ac:dyDescent="0.3">
      <c r="A1095" s="6" t="str">
        <f>IF(ISNA(MATCH(1082,Engine!$C$2:$C$1199,0)),"",INDEX('Compliance Database'!$A$2:$A$1199,MATCH(1082,Engine!$C$2:$C$1199,0)))</f>
        <v/>
      </c>
      <c r="B1095" s="6" t="str">
        <f>IF(ISNA(MATCH(1082,Engine!$C$2:$C$1199,0)),"",INDEX('Compliance Database'!$B$2:$B$1199,MATCH(1082,Engine!$C$2:$C$1199,0)))</f>
        <v/>
      </c>
      <c r="C1095" s="6" t="str">
        <f>IF(ISNA(MATCH(1082,Engine!$C$2:$C$1199,0)),"",INDEX('Compliance Database'!$C$2:$C$1199,MATCH(1082,Engine!$C$2:$C$1199,0)))</f>
        <v/>
      </c>
      <c r="D1095" s="7" t="str">
        <f>IF(ISNA(MATCH(1082,Engine!$C$2:$C$1199,0)),"",INDEX('Compliance Database'!$D$2:$D$1199,MATCH(1082,Engine!$C$2:$C$1199,0)))</f>
        <v/>
      </c>
      <c r="E1095" s="6" t="str">
        <f>IF(ISNA(MATCH(1082,Engine!$C$2:$C$1199,0)),"",INDEX('Compliance Database'!$E$2:$E$1199,MATCH(1082,Engine!$C$2:$C$1199,0)))</f>
        <v/>
      </c>
      <c r="F1095" s="6" t="str">
        <f>IF(ISNA(MATCH(1082,Engine!$C$2:$C$1199,0)),"",INDEX('Compliance Database'!$F$2:$F$1199,MATCH(1082,Engine!$C$2:$C$1199,0)))</f>
        <v/>
      </c>
      <c r="G1095" s="6" t="str">
        <f>IF(ISNA(MATCH(1082,Engine!$C$2:$C$1199,0)),"",INDEX('Compliance Database'!$G$2:$G$1199,MATCH(1082,Engine!$C$2:$C$1199,0)))</f>
        <v/>
      </c>
      <c r="H1095" s="7" t="str">
        <f>IF(ISNA(MATCH(1082,Engine!$C$2:$C$1199,0)),"",INDEX('Compliance Database'!$H$2:$H$1199,MATCH(1082,Engine!$C$2:$C$1199,0)))</f>
        <v/>
      </c>
      <c r="I1095" s="7" t="str">
        <f>IF(ISNA(MATCH(1082,Engine!$C$2:$C$1199,0)),"",INDEX('Compliance Database'!$I$2:$I$1199,MATCH(1082,Engine!$C$2:$C$1199,0)))</f>
        <v/>
      </c>
      <c r="J1095" s="6" t="str">
        <f>IF(ISNA(MATCH(1082,Engine!$C$2:$C$1199,0)),"",INDEX('Compliance Database'!$J$2:$J$1199,MATCH(1082,Engine!$C$2:$C$1199,0)))</f>
        <v/>
      </c>
      <c r="K1095" s="7" t="str">
        <f>IF(ISNA(MATCH(1082,Engine!$C$2:$C$1199,0)),"",INDEX('Compliance Database'!$K$2:$K$1199,MATCH(1082,Engine!$C$2:$C$1199,0)))</f>
        <v/>
      </c>
      <c r="L1095" s="7" t="str">
        <f>IF(ISNA(MATCH(1082,Engine!$C$2:$C$1199,0)),"",INDEX('Compliance Database'!$L$2:$L$1199,MATCH(1082,Engine!$C$2:$C$1199,0)))</f>
        <v/>
      </c>
      <c r="M1095" s="7" t="str">
        <f>IF(ISNA(MATCH(1082,Engine!$C$2:$C$1199,0)),"",INDEX('Compliance Database'!$M$2:$M$1199,MATCH(1082,Engine!$C$2:$C$1199,0)))</f>
        <v/>
      </c>
      <c r="N1095" s="7" t="str">
        <f>IF(ISNA(MATCH(1082,Engine!$C$2:$C$1199,0)),"",INDEX('Compliance Database'!$N$2:$N$1199,MATCH(1082,Engine!$C$2:$C$1199,0)))</f>
        <v/>
      </c>
      <c r="O1095" s="7" t="str">
        <f>IF(ISNA(MATCH(1082,Engine!$C$2:$C$1199,0)),"",INDEX('Compliance Database'!$O$2:$O$1199,MATCH(1082,Engine!$C$2:$C$1199,0)))</f>
        <v/>
      </c>
      <c r="P1095" s="6" t="str">
        <f>IF(ISNA(MATCH(1082,Engine!$C$2:$C$1199,0)),"",HYPERLINK("#Acts!A"&amp;INDEX('Compliance Database'!$P$2:$P$1199,MATCH(1082,Engine!$C$2:$C$1199,0)),"Go to Act"))</f>
        <v/>
      </c>
    </row>
    <row r="1096" spans="1:16" ht="172.95" customHeight="1" x14ac:dyDescent="0.3">
      <c r="A1096" s="6" t="str">
        <f>IF(ISNA(MATCH(1083,Engine!$C$2:$C$1199,0)),"",INDEX('Compliance Database'!$A$2:$A$1199,MATCH(1083,Engine!$C$2:$C$1199,0)))</f>
        <v/>
      </c>
      <c r="B1096" s="6" t="str">
        <f>IF(ISNA(MATCH(1083,Engine!$C$2:$C$1199,0)),"",INDEX('Compliance Database'!$B$2:$B$1199,MATCH(1083,Engine!$C$2:$C$1199,0)))</f>
        <v/>
      </c>
      <c r="C1096" s="6" t="str">
        <f>IF(ISNA(MATCH(1083,Engine!$C$2:$C$1199,0)),"",INDEX('Compliance Database'!$C$2:$C$1199,MATCH(1083,Engine!$C$2:$C$1199,0)))</f>
        <v/>
      </c>
      <c r="D1096" s="7" t="str">
        <f>IF(ISNA(MATCH(1083,Engine!$C$2:$C$1199,0)),"",INDEX('Compliance Database'!$D$2:$D$1199,MATCH(1083,Engine!$C$2:$C$1199,0)))</f>
        <v/>
      </c>
      <c r="E1096" s="6" t="str">
        <f>IF(ISNA(MATCH(1083,Engine!$C$2:$C$1199,0)),"",INDEX('Compliance Database'!$E$2:$E$1199,MATCH(1083,Engine!$C$2:$C$1199,0)))</f>
        <v/>
      </c>
      <c r="F1096" s="6" t="str">
        <f>IF(ISNA(MATCH(1083,Engine!$C$2:$C$1199,0)),"",INDEX('Compliance Database'!$F$2:$F$1199,MATCH(1083,Engine!$C$2:$C$1199,0)))</f>
        <v/>
      </c>
      <c r="G1096" s="6" t="str">
        <f>IF(ISNA(MATCH(1083,Engine!$C$2:$C$1199,0)),"",INDEX('Compliance Database'!$G$2:$G$1199,MATCH(1083,Engine!$C$2:$C$1199,0)))</f>
        <v/>
      </c>
      <c r="H1096" s="7" t="str">
        <f>IF(ISNA(MATCH(1083,Engine!$C$2:$C$1199,0)),"",INDEX('Compliance Database'!$H$2:$H$1199,MATCH(1083,Engine!$C$2:$C$1199,0)))</f>
        <v/>
      </c>
      <c r="I1096" s="7" t="str">
        <f>IF(ISNA(MATCH(1083,Engine!$C$2:$C$1199,0)),"",INDEX('Compliance Database'!$I$2:$I$1199,MATCH(1083,Engine!$C$2:$C$1199,0)))</f>
        <v/>
      </c>
      <c r="J1096" s="6" t="str">
        <f>IF(ISNA(MATCH(1083,Engine!$C$2:$C$1199,0)),"",INDEX('Compliance Database'!$J$2:$J$1199,MATCH(1083,Engine!$C$2:$C$1199,0)))</f>
        <v/>
      </c>
      <c r="K1096" s="7" t="str">
        <f>IF(ISNA(MATCH(1083,Engine!$C$2:$C$1199,0)),"",INDEX('Compliance Database'!$K$2:$K$1199,MATCH(1083,Engine!$C$2:$C$1199,0)))</f>
        <v/>
      </c>
      <c r="L1096" s="7" t="str">
        <f>IF(ISNA(MATCH(1083,Engine!$C$2:$C$1199,0)),"",INDEX('Compliance Database'!$L$2:$L$1199,MATCH(1083,Engine!$C$2:$C$1199,0)))</f>
        <v/>
      </c>
      <c r="M1096" s="7" t="str">
        <f>IF(ISNA(MATCH(1083,Engine!$C$2:$C$1199,0)),"",INDEX('Compliance Database'!$M$2:$M$1199,MATCH(1083,Engine!$C$2:$C$1199,0)))</f>
        <v/>
      </c>
      <c r="N1096" s="7" t="str">
        <f>IF(ISNA(MATCH(1083,Engine!$C$2:$C$1199,0)),"",INDEX('Compliance Database'!$N$2:$N$1199,MATCH(1083,Engine!$C$2:$C$1199,0)))</f>
        <v/>
      </c>
      <c r="O1096" s="7" t="str">
        <f>IF(ISNA(MATCH(1083,Engine!$C$2:$C$1199,0)),"",INDEX('Compliance Database'!$O$2:$O$1199,MATCH(1083,Engine!$C$2:$C$1199,0)))</f>
        <v/>
      </c>
      <c r="P1096" s="6" t="str">
        <f>IF(ISNA(MATCH(1083,Engine!$C$2:$C$1199,0)),"",HYPERLINK("#Acts!A"&amp;INDEX('Compliance Database'!$P$2:$P$1199,MATCH(1083,Engine!$C$2:$C$1199,0)),"Go to Act"))</f>
        <v/>
      </c>
    </row>
    <row r="1097" spans="1:16" ht="172.95" customHeight="1" x14ac:dyDescent="0.3">
      <c r="A1097" s="6" t="str">
        <f>IF(ISNA(MATCH(1084,Engine!$C$2:$C$1199,0)),"",INDEX('Compliance Database'!$A$2:$A$1199,MATCH(1084,Engine!$C$2:$C$1199,0)))</f>
        <v/>
      </c>
      <c r="B1097" s="6" t="str">
        <f>IF(ISNA(MATCH(1084,Engine!$C$2:$C$1199,0)),"",INDEX('Compliance Database'!$B$2:$B$1199,MATCH(1084,Engine!$C$2:$C$1199,0)))</f>
        <v/>
      </c>
      <c r="C1097" s="6" t="str">
        <f>IF(ISNA(MATCH(1084,Engine!$C$2:$C$1199,0)),"",INDEX('Compliance Database'!$C$2:$C$1199,MATCH(1084,Engine!$C$2:$C$1199,0)))</f>
        <v/>
      </c>
      <c r="D1097" s="7" t="str">
        <f>IF(ISNA(MATCH(1084,Engine!$C$2:$C$1199,0)),"",INDEX('Compliance Database'!$D$2:$D$1199,MATCH(1084,Engine!$C$2:$C$1199,0)))</f>
        <v/>
      </c>
      <c r="E1097" s="6" t="str">
        <f>IF(ISNA(MATCH(1084,Engine!$C$2:$C$1199,0)),"",INDEX('Compliance Database'!$E$2:$E$1199,MATCH(1084,Engine!$C$2:$C$1199,0)))</f>
        <v/>
      </c>
      <c r="F1097" s="6" t="str">
        <f>IF(ISNA(MATCH(1084,Engine!$C$2:$C$1199,0)),"",INDEX('Compliance Database'!$F$2:$F$1199,MATCH(1084,Engine!$C$2:$C$1199,0)))</f>
        <v/>
      </c>
      <c r="G1097" s="6" t="str">
        <f>IF(ISNA(MATCH(1084,Engine!$C$2:$C$1199,0)),"",INDEX('Compliance Database'!$G$2:$G$1199,MATCH(1084,Engine!$C$2:$C$1199,0)))</f>
        <v/>
      </c>
      <c r="H1097" s="7" t="str">
        <f>IF(ISNA(MATCH(1084,Engine!$C$2:$C$1199,0)),"",INDEX('Compliance Database'!$H$2:$H$1199,MATCH(1084,Engine!$C$2:$C$1199,0)))</f>
        <v/>
      </c>
      <c r="I1097" s="7" t="str">
        <f>IF(ISNA(MATCH(1084,Engine!$C$2:$C$1199,0)),"",INDEX('Compliance Database'!$I$2:$I$1199,MATCH(1084,Engine!$C$2:$C$1199,0)))</f>
        <v/>
      </c>
      <c r="J1097" s="6" t="str">
        <f>IF(ISNA(MATCH(1084,Engine!$C$2:$C$1199,0)),"",INDEX('Compliance Database'!$J$2:$J$1199,MATCH(1084,Engine!$C$2:$C$1199,0)))</f>
        <v/>
      </c>
      <c r="K1097" s="7" t="str">
        <f>IF(ISNA(MATCH(1084,Engine!$C$2:$C$1199,0)),"",INDEX('Compliance Database'!$K$2:$K$1199,MATCH(1084,Engine!$C$2:$C$1199,0)))</f>
        <v/>
      </c>
      <c r="L1097" s="7" t="str">
        <f>IF(ISNA(MATCH(1084,Engine!$C$2:$C$1199,0)),"",INDEX('Compliance Database'!$L$2:$L$1199,MATCH(1084,Engine!$C$2:$C$1199,0)))</f>
        <v/>
      </c>
      <c r="M1097" s="7" t="str">
        <f>IF(ISNA(MATCH(1084,Engine!$C$2:$C$1199,0)),"",INDEX('Compliance Database'!$M$2:$M$1199,MATCH(1084,Engine!$C$2:$C$1199,0)))</f>
        <v/>
      </c>
      <c r="N1097" s="7" t="str">
        <f>IF(ISNA(MATCH(1084,Engine!$C$2:$C$1199,0)),"",INDEX('Compliance Database'!$N$2:$N$1199,MATCH(1084,Engine!$C$2:$C$1199,0)))</f>
        <v/>
      </c>
      <c r="O1097" s="7" t="str">
        <f>IF(ISNA(MATCH(1084,Engine!$C$2:$C$1199,0)),"",INDEX('Compliance Database'!$O$2:$O$1199,MATCH(1084,Engine!$C$2:$C$1199,0)))</f>
        <v/>
      </c>
      <c r="P1097" s="6" t="str">
        <f>IF(ISNA(MATCH(1084,Engine!$C$2:$C$1199,0)),"",HYPERLINK("#Acts!A"&amp;INDEX('Compliance Database'!$P$2:$P$1199,MATCH(1084,Engine!$C$2:$C$1199,0)),"Go to Act"))</f>
        <v/>
      </c>
    </row>
    <row r="1098" spans="1:16" ht="172.95" customHeight="1" x14ac:dyDescent="0.3">
      <c r="A1098" s="6" t="str">
        <f>IF(ISNA(MATCH(1085,Engine!$C$2:$C$1199,0)),"",INDEX('Compliance Database'!$A$2:$A$1199,MATCH(1085,Engine!$C$2:$C$1199,0)))</f>
        <v/>
      </c>
      <c r="B1098" s="6" t="str">
        <f>IF(ISNA(MATCH(1085,Engine!$C$2:$C$1199,0)),"",INDEX('Compliance Database'!$B$2:$B$1199,MATCH(1085,Engine!$C$2:$C$1199,0)))</f>
        <v/>
      </c>
      <c r="C1098" s="6" t="str">
        <f>IF(ISNA(MATCH(1085,Engine!$C$2:$C$1199,0)),"",INDEX('Compliance Database'!$C$2:$C$1199,MATCH(1085,Engine!$C$2:$C$1199,0)))</f>
        <v/>
      </c>
      <c r="D1098" s="7" t="str">
        <f>IF(ISNA(MATCH(1085,Engine!$C$2:$C$1199,0)),"",INDEX('Compliance Database'!$D$2:$D$1199,MATCH(1085,Engine!$C$2:$C$1199,0)))</f>
        <v/>
      </c>
      <c r="E1098" s="6" t="str">
        <f>IF(ISNA(MATCH(1085,Engine!$C$2:$C$1199,0)),"",INDEX('Compliance Database'!$E$2:$E$1199,MATCH(1085,Engine!$C$2:$C$1199,0)))</f>
        <v/>
      </c>
      <c r="F1098" s="6" t="str">
        <f>IF(ISNA(MATCH(1085,Engine!$C$2:$C$1199,0)),"",INDEX('Compliance Database'!$F$2:$F$1199,MATCH(1085,Engine!$C$2:$C$1199,0)))</f>
        <v/>
      </c>
      <c r="G1098" s="6" t="str">
        <f>IF(ISNA(MATCH(1085,Engine!$C$2:$C$1199,0)),"",INDEX('Compliance Database'!$G$2:$G$1199,MATCH(1085,Engine!$C$2:$C$1199,0)))</f>
        <v/>
      </c>
      <c r="H1098" s="7" t="str">
        <f>IF(ISNA(MATCH(1085,Engine!$C$2:$C$1199,0)),"",INDEX('Compliance Database'!$H$2:$H$1199,MATCH(1085,Engine!$C$2:$C$1199,0)))</f>
        <v/>
      </c>
      <c r="I1098" s="7" t="str">
        <f>IF(ISNA(MATCH(1085,Engine!$C$2:$C$1199,0)),"",INDEX('Compliance Database'!$I$2:$I$1199,MATCH(1085,Engine!$C$2:$C$1199,0)))</f>
        <v/>
      </c>
      <c r="J1098" s="6" t="str">
        <f>IF(ISNA(MATCH(1085,Engine!$C$2:$C$1199,0)),"",INDEX('Compliance Database'!$J$2:$J$1199,MATCH(1085,Engine!$C$2:$C$1199,0)))</f>
        <v/>
      </c>
      <c r="K1098" s="7" t="str">
        <f>IF(ISNA(MATCH(1085,Engine!$C$2:$C$1199,0)),"",INDEX('Compliance Database'!$K$2:$K$1199,MATCH(1085,Engine!$C$2:$C$1199,0)))</f>
        <v/>
      </c>
      <c r="L1098" s="7" t="str">
        <f>IF(ISNA(MATCH(1085,Engine!$C$2:$C$1199,0)),"",INDEX('Compliance Database'!$L$2:$L$1199,MATCH(1085,Engine!$C$2:$C$1199,0)))</f>
        <v/>
      </c>
      <c r="M1098" s="7" t="str">
        <f>IF(ISNA(MATCH(1085,Engine!$C$2:$C$1199,0)),"",INDEX('Compliance Database'!$M$2:$M$1199,MATCH(1085,Engine!$C$2:$C$1199,0)))</f>
        <v/>
      </c>
      <c r="N1098" s="7" t="str">
        <f>IF(ISNA(MATCH(1085,Engine!$C$2:$C$1199,0)),"",INDEX('Compliance Database'!$N$2:$N$1199,MATCH(1085,Engine!$C$2:$C$1199,0)))</f>
        <v/>
      </c>
      <c r="O1098" s="7" t="str">
        <f>IF(ISNA(MATCH(1085,Engine!$C$2:$C$1199,0)),"",INDEX('Compliance Database'!$O$2:$O$1199,MATCH(1085,Engine!$C$2:$C$1199,0)))</f>
        <v/>
      </c>
      <c r="P1098" s="6" t="str">
        <f>IF(ISNA(MATCH(1085,Engine!$C$2:$C$1199,0)),"",HYPERLINK("#Acts!A"&amp;INDEX('Compliance Database'!$P$2:$P$1199,MATCH(1085,Engine!$C$2:$C$1199,0)),"Go to Act"))</f>
        <v/>
      </c>
    </row>
    <row r="1099" spans="1:16" ht="172.95" customHeight="1" x14ac:dyDescent="0.3">
      <c r="A1099" s="6" t="str">
        <f>IF(ISNA(MATCH(1086,Engine!$C$2:$C$1199,0)),"",INDEX('Compliance Database'!$A$2:$A$1199,MATCH(1086,Engine!$C$2:$C$1199,0)))</f>
        <v/>
      </c>
      <c r="B1099" s="6" t="str">
        <f>IF(ISNA(MATCH(1086,Engine!$C$2:$C$1199,0)),"",INDEX('Compliance Database'!$B$2:$B$1199,MATCH(1086,Engine!$C$2:$C$1199,0)))</f>
        <v/>
      </c>
      <c r="C1099" s="6" t="str">
        <f>IF(ISNA(MATCH(1086,Engine!$C$2:$C$1199,0)),"",INDEX('Compliance Database'!$C$2:$C$1199,MATCH(1086,Engine!$C$2:$C$1199,0)))</f>
        <v/>
      </c>
      <c r="D1099" s="7" t="str">
        <f>IF(ISNA(MATCH(1086,Engine!$C$2:$C$1199,0)),"",INDEX('Compliance Database'!$D$2:$D$1199,MATCH(1086,Engine!$C$2:$C$1199,0)))</f>
        <v/>
      </c>
      <c r="E1099" s="6" t="str">
        <f>IF(ISNA(MATCH(1086,Engine!$C$2:$C$1199,0)),"",INDEX('Compliance Database'!$E$2:$E$1199,MATCH(1086,Engine!$C$2:$C$1199,0)))</f>
        <v/>
      </c>
      <c r="F1099" s="6" t="str">
        <f>IF(ISNA(MATCH(1086,Engine!$C$2:$C$1199,0)),"",INDEX('Compliance Database'!$F$2:$F$1199,MATCH(1086,Engine!$C$2:$C$1199,0)))</f>
        <v/>
      </c>
      <c r="G1099" s="6" t="str">
        <f>IF(ISNA(MATCH(1086,Engine!$C$2:$C$1199,0)),"",INDEX('Compliance Database'!$G$2:$G$1199,MATCH(1086,Engine!$C$2:$C$1199,0)))</f>
        <v/>
      </c>
      <c r="H1099" s="7" t="str">
        <f>IF(ISNA(MATCH(1086,Engine!$C$2:$C$1199,0)),"",INDEX('Compliance Database'!$H$2:$H$1199,MATCH(1086,Engine!$C$2:$C$1199,0)))</f>
        <v/>
      </c>
      <c r="I1099" s="7" t="str">
        <f>IF(ISNA(MATCH(1086,Engine!$C$2:$C$1199,0)),"",INDEX('Compliance Database'!$I$2:$I$1199,MATCH(1086,Engine!$C$2:$C$1199,0)))</f>
        <v/>
      </c>
      <c r="J1099" s="6" t="str">
        <f>IF(ISNA(MATCH(1086,Engine!$C$2:$C$1199,0)),"",INDEX('Compliance Database'!$J$2:$J$1199,MATCH(1086,Engine!$C$2:$C$1199,0)))</f>
        <v/>
      </c>
      <c r="K1099" s="7" t="str">
        <f>IF(ISNA(MATCH(1086,Engine!$C$2:$C$1199,0)),"",INDEX('Compliance Database'!$K$2:$K$1199,MATCH(1086,Engine!$C$2:$C$1199,0)))</f>
        <v/>
      </c>
      <c r="L1099" s="7" t="str">
        <f>IF(ISNA(MATCH(1086,Engine!$C$2:$C$1199,0)),"",INDEX('Compliance Database'!$L$2:$L$1199,MATCH(1086,Engine!$C$2:$C$1199,0)))</f>
        <v/>
      </c>
      <c r="M1099" s="7" t="str">
        <f>IF(ISNA(MATCH(1086,Engine!$C$2:$C$1199,0)),"",INDEX('Compliance Database'!$M$2:$M$1199,MATCH(1086,Engine!$C$2:$C$1199,0)))</f>
        <v/>
      </c>
      <c r="N1099" s="7" t="str">
        <f>IF(ISNA(MATCH(1086,Engine!$C$2:$C$1199,0)),"",INDEX('Compliance Database'!$N$2:$N$1199,MATCH(1086,Engine!$C$2:$C$1199,0)))</f>
        <v/>
      </c>
      <c r="O1099" s="7" t="str">
        <f>IF(ISNA(MATCH(1086,Engine!$C$2:$C$1199,0)),"",INDEX('Compliance Database'!$O$2:$O$1199,MATCH(1086,Engine!$C$2:$C$1199,0)))</f>
        <v/>
      </c>
      <c r="P1099" s="6" t="str">
        <f>IF(ISNA(MATCH(1086,Engine!$C$2:$C$1199,0)),"",HYPERLINK("#Acts!A"&amp;INDEX('Compliance Database'!$P$2:$P$1199,MATCH(1086,Engine!$C$2:$C$1199,0)),"Go to Act"))</f>
        <v/>
      </c>
    </row>
    <row r="1100" spans="1:16" ht="172.95" customHeight="1" x14ac:dyDescent="0.3">
      <c r="A1100" s="6" t="str">
        <f>IF(ISNA(MATCH(1087,Engine!$C$2:$C$1199,0)),"",INDEX('Compliance Database'!$A$2:$A$1199,MATCH(1087,Engine!$C$2:$C$1199,0)))</f>
        <v/>
      </c>
      <c r="B1100" s="6" t="str">
        <f>IF(ISNA(MATCH(1087,Engine!$C$2:$C$1199,0)),"",INDEX('Compliance Database'!$B$2:$B$1199,MATCH(1087,Engine!$C$2:$C$1199,0)))</f>
        <v/>
      </c>
      <c r="C1100" s="6" t="str">
        <f>IF(ISNA(MATCH(1087,Engine!$C$2:$C$1199,0)),"",INDEX('Compliance Database'!$C$2:$C$1199,MATCH(1087,Engine!$C$2:$C$1199,0)))</f>
        <v/>
      </c>
      <c r="D1100" s="7" t="str">
        <f>IF(ISNA(MATCH(1087,Engine!$C$2:$C$1199,0)),"",INDEX('Compliance Database'!$D$2:$D$1199,MATCH(1087,Engine!$C$2:$C$1199,0)))</f>
        <v/>
      </c>
      <c r="E1100" s="6" t="str">
        <f>IF(ISNA(MATCH(1087,Engine!$C$2:$C$1199,0)),"",INDEX('Compliance Database'!$E$2:$E$1199,MATCH(1087,Engine!$C$2:$C$1199,0)))</f>
        <v/>
      </c>
      <c r="F1100" s="6" t="str">
        <f>IF(ISNA(MATCH(1087,Engine!$C$2:$C$1199,0)),"",INDEX('Compliance Database'!$F$2:$F$1199,MATCH(1087,Engine!$C$2:$C$1199,0)))</f>
        <v/>
      </c>
      <c r="G1100" s="6" t="str">
        <f>IF(ISNA(MATCH(1087,Engine!$C$2:$C$1199,0)),"",INDEX('Compliance Database'!$G$2:$G$1199,MATCH(1087,Engine!$C$2:$C$1199,0)))</f>
        <v/>
      </c>
      <c r="H1100" s="7" t="str">
        <f>IF(ISNA(MATCH(1087,Engine!$C$2:$C$1199,0)),"",INDEX('Compliance Database'!$H$2:$H$1199,MATCH(1087,Engine!$C$2:$C$1199,0)))</f>
        <v/>
      </c>
      <c r="I1100" s="7" t="str">
        <f>IF(ISNA(MATCH(1087,Engine!$C$2:$C$1199,0)),"",INDEX('Compliance Database'!$I$2:$I$1199,MATCH(1087,Engine!$C$2:$C$1199,0)))</f>
        <v/>
      </c>
      <c r="J1100" s="6" t="str">
        <f>IF(ISNA(MATCH(1087,Engine!$C$2:$C$1199,0)),"",INDEX('Compliance Database'!$J$2:$J$1199,MATCH(1087,Engine!$C$2:$C$1199,0)))</f>
        <v/>
      </c>
      <c r="K1100" s="7" t="str">
        <f>IF(ISNA(MATCH(1087,Engine!$C$2:$C$1199,0)),"",INDEX('Compliance Database'!$K$2:$K$1199,MATCH(1087,Engine!$C$2:$C$1199,0)))</f>
        <v/>
      </c>
      <c r="L1100" s="7" t="str">
        <f>IF(ISNA(MATCH(1087,Engine!$C$2:$C$1199,0)),"",INDEX('Compliance Database'!$L$2:$L$1199,MATCH(1087,Engine!$C$2:$C$1199,0)))</f>
        <v/>
      </c>
      <c r="M1100" s="7" t="str">
        <f>IF(ISNA(MATCH(1087,Engine!$C$2:$C$1199,0)),"",INDEX('Compliance Database'!$M$2:$M$1199,MATCH(1087,Engine!$C$2:$C$1199,0)))</f>
        <v/>
      </c>
      <c r="N1100" s="7" t="str">
        <f>IF(ISNA(MATCH(1087,Engine!$C$2:$C$1199,0)),"",INDEX('Compliance Database'!$N$2:$N$1199,MATCH(1087,Engine!$C$2:$C$1199,0)))</f>
        <v/>
      </c>
      <c r="O1100" s="7" t="str">
        <f>IF(ISNA(MATCH(1087,Engine!$C$2:$C$1199,0)),"",INDEX('Compliance Database'!$O$2:$O$1199,MATCH(1087,Engine!$C$2:$C$1199,0)))</f>
        <v/>
      </c>
      <c r="P1100" s="6" t="str">
        <f>IF(ISNA(MATCH(1087,Engine!$C$2:$C$1199,0)),"",HYPERLINK("#Acts!A"&amp;INDEX('Compliance Database'!$P$2:$P$1199,MATCH(1087,Engine!$C$2:$C$1199,0)),"Go to Act"))</f>
        <v/>
      </c>
    </row>
    <row r="1101" spans="1:16" ht="172.95" customHeight="1" x14ac:dyDescent="0.3">
      <c r="A1101" s="6" t="str">
        <f>IF(ISNA(MATCH(1088,Engine!$C$2:$C$1199,0)),"",INDEX('Compliance Database'!$A$2:$A$1199,MATCH(1088,Engine!$C$2:$C$1199,0)))</f>
        <v/>
      </c>
      <c r="B1101" s="6" t="str">
        <f>IF(ISNA(MATCH(1088,Engine!$C$2:$C$1199,0)),"",INDEX('Compliance Database'!$B$2:$B$1199,MATCH(1088,Engine!$C$2:$C$1199,0)))</f>
        <v/>
      </c>
      <c r="C1101" s="6" t="str">
        <f>IF(ISNA(MATCH(1088,Engine!$C$2:$C$1199,0)),"",INDEX('Compliance Database'!$C$2:$C$1199,MATCH(1088,Engine!$C$2:$C$1199,0)))</f>
        <v/>
      </c>
      <c r="D1101" s="7" t="str">
        <f>IF(ISNA(MATCH(1088,Engine!$C$2:$C$1199,0)),"",INDEX('Compliance Database'!$D$2:$D$1199,MATCH(1088,Engine!$C$2:$C$1199,0)))</f>
        <v/>
      </c>
      <c r="E1101" s="6" t="str">
        <f>IF(ISNA(MATCH(1088,Engine!$C$2:$C$1199,0)),"",INDEX('Compliance Database'!$E$2:$E$1199,MATCH(1088,Engine!$C$2:$C$1199,0)))</f>
        <v/>
      </c>
      <c r="F1101" s="6" t="str">
        <f>IF(ISNA(MATCH(1088,Engine!$C$2:$C$1199,0)),"",INDEX('Compliance Database'!$F$2:$F$1199,MATCH(1088,Engine!$C$2:$C$1199,0)))</f>
        <v/>
      </c>
      <c r="G1101" s="6" t="str">
        <f>IF(ISNA(MATCH(1088,Engine!$C$2:$C$1199,0)),"",INDEX('Compliance Database'!$G$2:$G$1199,MATCH(1088,Engine!$C$2:$C$1199,0)))</f>
        <v/>
      </c>
      <c r="H1101" s="7" t="str">
        <f>IF(ISNA(MATCH(1088,Engine!$C$2:$C$1199,0)),"",INDEX('Compliance Database'!$H$2:$H$1199,MATCH(1088,Engine!$C$2:$C$1199,0)))</f>
        <v/>
      </c>
      <c r="I1101" s="7" t="str">
        <f>IF(ISNA(MATCH(1088,Engine!$C$2:$C$1199,0)),"",INDEX('Compliance Database'!$I$2:$I$1199,MATCH(1088,Engine!$C$2:$C$1199,0)))</f>
        <v/>
      </c>
      <c r="J1101" s="6" t="str">
        <f>IF(ISNA(MATCH(1088,Engine!$C$2:$C$1199,0)),"",INDEX('Compliance Database'!$J$2:$J$1199,MATCH(1088,Engine!$C$2:$C$1199,0)))</f>
        <v/>
      </c>
      <c r="K1101" s="7" t="str">
        <f>IF(ISNA(MATCH(1088,Engine!$C$2:$C$1199,0)),"",INDEX('Compliance Database'!$K$2:$K$1199,MATCH(1088,Engine!$C$2:$C$1199,0)))</f>
        <v/>
      </c>
      <c r="L1101" s="7" t="str">
        <f>IF(ISNA(MATCH(1088,Engine!$C$2:$C$1199,0)),"",INDEX('Compliance Database'!$L$2:$L$1199,MATCH(1088,Engine!$C$2:$C$1199,0)))</f>
        <v/>
      </c>
      <c r="M1101" s="7" t="str">
        <f>IF(ISNA(MATCH(1088,Engine!$C$2:$C$1199,0)),"",INDEX('Compliance Database'!$M$2:$M$1199,MATCH(1088,Engine!$C$2:$C$1199,0)))</f>
        <v/>
      </c>
      <c r="N1101" s="7" t="str">
        <f>IF(ISNA(MATCH(1088,Engine!$C$2:$C$1199,0)),"",INDEX('Compliance Database'!$N$2:$N$1199,MATCH(1088,Engine!$C$2:$C$1199,0)))</f>
        <v/>
      </c>
      <c r="O1101" s="7" t="str">
        <f>IF(ISNA(MATCH(1088,Engine!$C$2:$C$1199,0)),"",INDEX('Compliance Database'!$O$2:$O$1199,MATCH(1088,Engine!$C$2:$C$1199,0)))</f>
        <v/>
      </c>
      <c r="P1101" s="6" t="str">
        <f>IF(ISNA(MATCH(1088,Engine!$C$2:$C$1199,0)),"",HYPERLINK("#Acts!A"&amp;INDEX('Compliance Database'!$P$2:$P$1199,MATCH(1088,Engine!$C$2:$C$1199,0)),"Go to Act"))</f>
        <v/>
      </c>
    </row>
    <row r="1102" spans="1:16" ht="172.95" customHeight="1" x14ac:dyDescent="0.3">
      <c r="A1102" s="6" t="str">
        <f>IF(ISNA(MATCH(1089,Engine!$C$2:$C$1199,0)),"",INDEX('Compliance Database'!$A$2:$A$1199,MATCH(1089,Engine!$C$2:$C$1199,0)))</f>
        <v/>
      </c>
      <c r="B1102" s="6" t="str">
        <f>IF(ISNA(MATCH(1089,Engine!$C$2:$C$1199,0)),"",INDEX('Compliance Database'!$B$2:$B$1199,MATCH(1089,Engine!$C$2:$C$1199,0)))</f>
        <v/>
      </c>
      <c r="C1102" s="6" t="str">
        <f>IF(ISNA(MATCH(1089,Engine!$C$2:$C$1199,0)),"",INDEX('Compliance Database'!$C$2:$C$1199,MATCH(1089,Engine!$C$2:$C$1199,0)))</f>
        <v/>
      </c>
      <c r="D1102" s="7" t="str">
        <f>IF(ISNA(MATCH(1089,Engine!$C$2:$C$1199,0)),"",INDEX('Compliance Database'!$D$2:$D$1199,MATCH(1089,Engine!$C$2:$C$1199,0)))</f>
        <v/>
      </c>
      <c r="E1102" s="6" t="str">
        <f>IF(ISNA(MATCH(1089,Engine!$C$2:$C$1199,0)),"",INDEX('Compliance Database'!$E$2:$E$1199,MATCH(1089,Engine!$C$2:$C$1199,0)))</f>
        <v/>
      </c>
      <c r="F1102" s="6" t="str">
        <f>IF(ISNA(MATCH(1089,Engine!$C$2:$C$1199,0)),"",INDEX('Compliance Database'!$F$2:$F$1199,MATCH(1089,Engine!$C$2:$C$1199,0)))</f>
        <v/>
      </c>
      <c r="G1102" s="6" t="str">
        <f>IF(ISNA(MATCH(1089,Engine!$C$2:$C$1199,0)),"",INDEX('Compliance Database'!$G$2:$G$1199,MATCH(1089,Engine!$C$2:$C$1199,0)))</f>
        <v/>
      </c>
      <c r="H1102" s="7" t="str">
        <f>IF(ISNA(MATCH(1089,Engine!$C$2:$C$1199,0)),"",INDEX('Compliance Database'!$H$2:$H$1199,MATCH(1089,Engine!$C$2:$C$1199,0)))</f>
        <v/>
      </c>
      <c r="I1102" s="7" t="str">
        <f>IF(ISNA(MATCH(1089,Engine!$C$2:$C$1199,0)),"",INDEX('Compliance Database'!$I$2:$I$1199,MATCH(1089,Engine!$C$2:$C$1199,0)))</f>
        <v/>
      </c>
      <c r="J1102" s="6" t="str">
        <f>IF(ISNA(MATCH(1089,Engine!$C$2:$C$1199,0)),"",INDEX('Compliance Database'!$J$2:$J$1199,MATCH(1089,Engine!$C$2:$C$1199,0)))</f>
        <v/>
      </c>
      <c r="K1102" s="7" t="str">
        <f>IF(ISNA(MATCH(1089,Engine!$C$2:$C$1199,0)),"",INDEX('Compliance Database'!$K$2:$K$1199,MATCH(1089,Engine!$C$2:$C$1199,0)))</f>
        <v/>
      </c>
      <c r="L1102" s="7" t="str">
        <f>IF(ISNA(MATCH(1089,Engine!$C$2:$C$1199,0)),"",INDEX('Compliance Database'!$L$2:$L$1199,MATCH(1089,Engine!$C$2:$C$1199,0)))</f>
        <v/>
      </c>
      <c r="M1102" s="7" t="str">
        <f>IF(ISNA(MATCH(1089,Engine!$C$2:$C$1199,0)),"",INDEX('Compliance Database'!$M$2:$M$1199,MATCH(1089,Engine!$C$2:$C$1199,0)))</f>
        <v/>
      </c>
      <c r="N1102" s="7" t="str">
        <f>IF(ISNA(MATCH(1089,Engine!$C$2:$C$1199,0)),"",INDEX('Compliance Database'!$N$2:$N$1199,MATCH(1089,Engine!$C$2:$C$1199,0)))</f>
        <v/>
      </c>
      <c r="O1102" s="7" t="str">
        <f>IF(ISNA(MATCH(1089,Engine!$C$2:$C$1199,0)),"",INDEX('Compliance Database'!$O$2:$O$1199,MATCH(1089,Engine!$C$2:$C$1199,0)))</f>
        <v/>
      </c>
      <c r="P1102" s="6" t="str">
        <f>IF(ISNA(MATCH(1089,Engine!$C$2:$C$1199,0)),"",HYPERLINK("#Acts!A"&amp;INDEX('Compliance Database'!$P$2:$P$1199,MATCH(1089,Engine!$C$2:$C$1199,0)),"Go to Act"))</f>
        <v/>
      </c>
    </row>
    <row r="1103" spans="1:16" ht="172.95" customHeight="1" x14ac:dyDescent="0.3">
      <c r="A1103" s="6" t="str">
        <f>IF(ISNA(MATCH(1090,Engine!$C$2:$C$1199,0)),"",INDEX('Compliance Database'!$A$2:$A$1199,MATCH(1090,Engine!$C$2:$C$1199,0)))</f>
        <v/>
      </c>
      <c r="B1103" s="6" t="str">
        <f>IF(ISNA(MATCH(1090,Engine!$C$2:$C$1199,0)),"",INDEX('Compliance Database'!$B$2:$B$1199,MATCH(1090,Engine!$C$2:$C$1199,0)))</f>
        <v/>
      </c>
      <c r="C1103" s="6" t="str">
        <f>IF(ISNA(MATCH(1090,Engine!$C$2:$C$1199,0)),"",INDEX('Compliance Database'!$C$2:$C$1199,MATCH(1090,Engine!$C$2:$C$1199,0)))</f>
        <v/>
      </c>
      <c r="D1103" s="7" t="str">
        <f>IF(ISNA(MATCH(1090,Engine!$C$2:$C$1199,0)),"",INDEX('Compliance Database'!$D$2:$D$1199,MATCH(1090,Engine!$C$2:$C$1199,0)))</f>
        <v/>
      </c>
      <c r="E1103" s="6" t="str">
        <f>IF(ISNA(MATCH(1090,Engine!$C$2:$C$1199,0)),"",INDEX('Compliance Database'!$E$2:$E$1199,MATCH(1090,Engine!$C$2:$C$1199,0)))</f>
        <v/>
      </c>
      <c r="F1103" s="6" t="str">
        <f>IF(ISNA(MATCH(1090,Engine!$C$2:$C$1199,0)),"",INDEX('Compliance Database'!$F$2:$F$1199,MATCH(1090,Engine!$C$2:$C$1199,0)))</f>
        <v/>
      </c>
      <c r="G1103" s="6" t="str">
        <f>IF(ISNA(MATCH(1090,Engine!$C$2:$C$1199,0)),"",INDEX('Compliance Database'!$G$2:$G$1199,MATCH(1090,Engine!$C$2:$C$1199,0)))</f>
        <v/>
      </c>
      <c r="H1103" s="7" t="str">
        <f>IF(ISNA(MATCH(1090,Engine!$C$2:$C$1199,0)),"",INDEX('Compliance Database'!$H$2:$H$1199,MATCH(1090,Engine!$C$2:$C$1199,0)))</f>
        <v/>
      </c>
      <c r="I1103" s="7" t="str">
        <f>IF(ISNA(MATCH(1090,Engine!$C$2:$C$1199,0)),"",INDEX('Compliance Database'!$I$2:$I$1199,MATCH(1090,Engine!$C$2:$C$1199,0)))</f>
        <v/>
      </c>
      <c r="J1103" s="6" t="str">
        <f>IF(ISNA(MATCH(1090,Engine!$C$2:$C$1199,0)),"",INDEX('Compliance Database'!$J$2:$J$1199,MATCH(1090,Engine!$C$2:$C$1199,0)))</f>
        <v/>
      </c>
      <c r="K1103" s="7" t="str">
        <f>IF(ISNA(MATCH(1090,Engine!$C$2:$C$1199,0)),"",INDEX('Compliance Database'!$K$2:$K$1199,MATCH(1090,Engine!$C$2:$C$1199,0)))</f>
        <v/>
      </c>
      <c r="L1103" s="7" t="str">
        <f>IF(ISNA(MATCH(1090,Engine!$C$2:$C$1199,0)),"",INDEX('Compliance Database'!$L$2:$L$1199,MATCH(1090,Engine!$C$2:$C$1199,0)))</f>
        <v/>
      </c>
      <c r="M1103" s="7" t="str">
        <f>IF(ISNA(MATCH(1090,Engine!$C$2:$C$1199,0)),"",INDEX('Compliance Database'!$M$2:$M$1199,MATCH(1090,Engine!$C$2:$C$1199,0)))</f>
        <v/>
      </c>
      <c r="N1103" s="7" t="str">
        <f>IF(ISNA(MATCH(1090,Engine!$C$2:$C$1199,0)),"",INDEX('Compliance Database'!$N$2:$N$1199,MATCH(1090,Engine!$C$2:$C$1199,0)))</f>
        <v/>
      </c>
      <c r="O1103" s="7" t="str">
        <f>IF(ISNA(MATCH(1090,Engine!$C$2:$C$1199,0)),"",INDEX('Compliance Database'!$O$2:$O$1199,MATCH(1090,Engine!$C$2:$C$1199,0)))</f>
        <v/>
      </c>
      <c r="P1103" s="6" t="str">
        <f>IF(ISNA(MATCH(1090,Engine!$C$2:$C$1199,0)),"",HYPERLINK("#Acts!A"&amp;INDEX('Compliance Database'!$P$2:$P$1199,MATCH(1090,Engine!$C$2:$C$1199,0)),"Go to Act"))</f>
        <v/>
      </c>
    </row>
    <row r="1104" spans="1:16" ht="172.95" customHeight="1" x14ac:dyDescent="0.3">
      <c r="A1104" s="6" t="str">
        <f>IF(ISNA(MATCH(1091,Engine!$C$2:$C$1199,0)),"",INDEX('Compliance Database'!$A$2:$A$1199,MATCH(1091,Engine!$C$2:$C$1199,0)))</f>
        <v/>
      </c>
      <c r="B1104" s="6" t="str">
        <f>IF(ISNA(MATCH(1091,Engine!$C$2:$C$1199,0)),"",INDEX('Compliance Database'!$B$2:$B$1199,MATCH(1091,Engine!$C$2:$C$1199,0)))</f>
        <v/>
      </c>
      <c r="C1104" s="6" t="str">
        <f>IF(ISNA(MATCH(1091,Engine!$C$2:$C$1199,0)),"",INDEX('Compliance Database'!$C$2:$C$1199,MATCH(1091,Engine!$C$2:$C$1199,0)))</f>
        <v/>
      </c>
      <c r="D1104" s="7" t="str">
        <f>IF(ISNA(MATCH(1091,Engine!$C$2:$C$1199,0)),"",INDEX('Compliance Database'!$D$2:$D$1199,MATCH(1091,Engine!$C$2:$C$1199,0)))</f>
        <v/>
      </c>
      <c r="E1104" s="6" t="str">
        <f>IF(ISNA(MATCH(1091,Engine!$C$2:$C$1199,0)),"",INDEX('Compliance Database'!$E$2:$E$1199,MATCH(1091,Engine!$C$2:$C$1199,0)))</f>
        <v/>
      </c>
      <c r="F1104" s="6" t="str">
        <f>IF(ISNA(MATCH(1091,Engine!$C$2:$C$1199,0)),"",INDEX('Compliance Database'!$F$2:$F$1199,MATCH(1091,Engine!$C$2:$C$1199,0)))</f>
        <v/>
      </c>
      <c r="G1104" s="6" t="str">
        <f>IF(ISNA(MATCH(1091,Engine!$C$2:$C$1199,0)),"",INDEX('Compliance Database'!$G$2:$G$1199,MATCH(1091,Engine!$C$2:$C$1199,0)))</f>
        <v/>
      </c>
      <c r="H1104" s="7" t="str">
        <f>IF(ISNA(MATCH(1091,Engine!$C$2:$C$1199,0)),"",INDEX('Compliance Database'!$H$2:$H$1199,MATCH(1091,Engine!$C$2:$C$1199,0)))</f>
        <v/>
      </c>
      <c r="I1104" s="7" t="str">
        <f>IF(ISNA(MATCH(1091,Engine!$C$2:$C$1199,0)),"",INDEX('Compliance Database'!$I$2:$I$1199,MATCH(1091,Engine!$C$2:$C$1199,0)))</f>
        <v/>
      </c>
      <c r="J1104" s="6" t="str">
        <f>IF(ISNA(MATCH(1091,Engine!$C$2:$C$1199,0)),"",INDEX('Compliance Database'!$J$2:$J$1199,MATCH(1091,Engine!$C$2:$C$1199,0)))</f>
        <v/>
      </c>
      <c r="K1104" s="7" t="str">
        <f>IF(ISNA(MATCH(1091,Engine!$C$2:$C$1199,0)),"",INDEX('Compliance Database'!$K$2:$K$1199,MATCH(1091,Engine!$C$2:$C$1199,0)))</f>
        <v/>
      </c>
      <c r="L1104" s="7" t="str">
        <f>IF(ISNA(MATCH(1091,Engine!$C$2:$C$1199,0)),"",INDEX('Compliance Database'!$L$2:$L$1199,MATCH(1091,Engine!$C$2:$C$1199,0)))</f>
        <v/>
      </c>
      <c r="M1104" s="7" t="str">
        <f>IF(ISNA(MATCH(1091,Engine!$C$2:$C$1199,0)),"",INDEX('Compliance Database'!$M$2:$M$1199,MATCH(1091,Engine!$C$2:$C$1199,0)))</f>
        <v/>
      </c>
      <c r="N1104" s="7" t="str">
        <f>IF(ISNA(MATCH(1091,Engine!$C$2:$C$1199,0)),"",INDEX('Compliance Database'!$N$2:$N$1199,MATCH(1091,Engine!$C$2:$C$1199,0)))</f>
        <v/>
      </c>
      <c r="O1104" s="7" t="str">
        <f>IF(ISNA(MATCH(1091,Engine!$C$2:$C$1199,0)),"",INDEX('Compliance Database'!$O$2:$O$1199,MATCH(1091,Engine!$C$2:$C$1199,0)))</f>
        <v/>
      </c>
      <c r="P1104" s="6" t="str">
        <f>IF(ISNA(MATCH(1091,Engine!$C$2:$C$1199,0)),"",HYPERLINK("#Acts!A"&amp;INDEX('Compliance Database'!$P$2:$P$1199,MATCH(1091,Engine!$C$2:$C$1199,0)),"Go to Act"))</f>
        <v/>
      </c>
    </row>
    <row r="1105" spans="1:16" ht="172.95" customHeight="1" x14ac:dyDescent="0.3">
      <c r="A1105" s="6" t="str">
        <f>IF(ISNA(MATCH(1092,Engine!$C$2:$C$1199,0)),"",INDEX('Compliance Database'!$A$2:$A$1199,MATCH(1092,Engine!$C$2:$C$1199,0)))</f>
        <v/>
      </c>
      <c r="B1105" s="6" t="str">
        <f>IF(ISNA(MATCH(1092,Engine!$C$2:$C$1199,0)),"",INDEX('Compliance Database'!$B$2:$B$1199,MATCH(1092,Engine!$C$2:$C$1199,0)))</f>
        <v/>
      </c>
      <c r="C1105" s="6" t="str">
        <f>IF(ISNA(MATCH(1092,Engine!$C$2:$C$1199,0)),"",INDEX('Compliance Database'!$C$2:$C$1199,MATCH(1092,Engine!$C$2:$C$1199,0)))</f>
        <v/>
      </c>
      <c r="D1105" s="7" t="str">
        <f>IF(ISNA(MATCH(1092,Engine!$C$2:$C$1199,0)),"",INDEX('Compliance Database'!$D$2:$D$1199,MATCH(1092,Engine!$C$2:$C$1199,0)))</f>
        <v/>
      </c>
      <c r="E1105" s="6" t="str">
        <f>IF(ISNA(MATCH(1092,Engine!$C$2:$C$1199,0)),"",INDEX('Compliance Database'!$E$2:$E$1199,MATCH(1092,Engine!$C$2:$C$1199,0)))</f>
        <v/>
      </c>
      <c r="F1105" s="6" t="str">
        <f>IF(ISNA(MATCH(1092,Engine!$C$2:$C$1199,0)),"",INDEX('Compliance Database'!$F$2:$F$1199,MATCH(1092,Engine!$C$2:$C$1199,0)))</f>
        <v/>
      </c>
      <c r="G1105" s="6" t="str">
        <f>IF(ISNA(MATCH(1092,Engine!$C$2:$C$1199,0)),"",INDEX('Compliance Database'!$G$2:$G$1199,MATCH(1092,Engine!$C$2:$C$1199,0)))</f>
        <v/>
      </c>
      <c r="H1105" s="7" t="str">
        <f>IF(ISNA(MATCH(1092,Engine!$C$2:$C$1199,0)),"",INDEX('Compliance Database'!$H$2:$H$1199,MATCH(1092,Engine!$C$2:$C$1199,0)))</f>
        <v/>
      </c>
      <c r="I1105" s="7" t="str">
        <f>IF(ISNA(MATCH(1092,Engine!$C$2:$C$1199,0)),"",INDEX('Compliance Database'!$I$2:$I$1199,MATCH(1092,Engine!$C$2:$C$1199,0)))</f>
        <v/>
      </c>
      <c r="J1105" s="6" t="str">
        <f>IF(ISNA(MATCH(1092,Engine!$C$2:$C$1199,0)),"",INDEX('Compliance Database'!$J$2:$J$1199,MATCH(1092,Engine!$C$2:$C$1199,0)))</f>
        <v/>
      </c>
      <c r="K1105" s="7" t="str">
        <f>IF(ISNA(MATCH(1092,Engine!$C$2:$C$1199,0)),"",INDEX('Compliance Database'!$K$2:$K$1199,MATCH(1092,Engine!$C$2:$C$1199,0)))</f>
        <v/>
      </c>
      <c r="L1105" s="7" t="str">
        <f>IF(ISNA(MATCH(1092,Engine!$C$2:$C$1199,0)),"",INDEX('Compliance Database'!$L$2:$L$1199,MATCH(1092,Engine!$C$2:$C$1199,0)))</f>
        <v/>
      </c>
      <c r="M1105" s="7" t="str">
        <f>IF(ISNA(MATCH(1092,Engine!$C$2:$C$1199,0)),"",INDEX('Compliance Database'!$M$2:$M$1199,MATCH(1092,Engine!$C$2:$C$1199,0)))</f>
        <v/>
      </c>
      <c r="N1105" s="7" t="str">
        <f>IF(ISNA(MATCH(1092,Engine!$C$2:$C$1199,0)),"",INDEX('Compliance Database'!$N$2:$N$1199,MATCH(1092,Engine!$C$2:$C$1199,0)))</f>
        <v/>
      </c>
      <c r="O1105" s="7" t="str">
        <f>IF(ISNA(MATCH(1092,Engine!$C$2:$C$1199,0)),"",INDEX('Compliance Database'!$O$2:$O$1199,MATCH(1092,Engine!$C$2:$C$1199,0)))</f>
        <v/>
      </c>
      <c r="P1105" s="6" t="str">
        <f>IF(ISNA(MATCH(1092,Engine!$C$2:$C$1199,0)),"",HYPERLINK("#Acts!A"&amp;INDEX('Compliance Database'!$P$2:$P$1199,MATCH(1092,Engine!$C$2:$C$1199,0)),"Go to Act"))</f>
        <v/>
      </c>
    </row>
    <row r="1106" spans="1:16" ht="172.95" customHeight="1" x14ac:dyDescent="0.3">
      <c r="A1106" s="6" t="str">
        <f>IF(ISNA(MATCH(1093,Engine!$C$2:$C$1199,0)),"",INDEX('Compliance Database'!$A$2:$A$1199,MATCH(1093,Engine!$C$2:$C$1199,0)))</f>
        <v/>
      </c>
      <c r="B1106" s="6" t="str">
        <f>IF(ISNA(MATCH(1093,Engine!$C$2:$C$1199,0)),"",INDEX('Compliance Database'!$B$2:$B$1199,MATCH(1093,Engine!$C$2:$C$1199,0)))</f>
        <v/>
      </c>
      <c r="C1106" s="6" t="str">
        <f>IF(ISNA(MATCH(1093,Engine!$C$2:$C$1199,0)),"",INDEX('Compliance Database'!$C$2:$C$1199,MATCH(1093,Engine!$C$2:$C$1199,0)))</f>
        <v/>
      </c>
      <c r="D1106" s="7" t="str">
        <f>IF(ISNA(MATCH(1093,Engine!$C$2:$C$1199,0)),"",INDEX('Compliance Database'!$D$2:$D$1199,MATCH(1093,Engine!$C$2:$C$1199,0)))</f>
        <v/>
      </c>
      <c r="E1106" s="6" t="str">
        <f>IF(ISNA(MATCH(1093,Engine!$C$2:$C$1199,0)),"",INDEX('Compliance Database'!$E$2:$E$1199,MATCH(1093,Engine!$C$2:$C$1199,0)))</f>
        <v/>
      </c>
      <c r="F1106" s="6" t="str">
        <f>IF(ISNA(MATCH(1093,Engine!$C$2:$C$1199,0)),"",INDEX('Compliance Database'!$F$2:$F$1199,MATCH(1093,Engine!$C$2:$C$1199,0)))</f>
        <v/>
      </c>
      <c r="G1106" s="6" t="str">
        <f>IF(ISNA(MATCH(1093,Engine!$C$2:$C$1199,0)),"",INDEX('Compliance Database'!$G$2:$G$1199,MATCH(1093,Engine!$C$2:$C$1199,0)))</f>
        <v/>
      </c>
      <c r="H1106" s="7" t="str">
        <f>IF(ISNA(MATCH(1093,Engine!$C$2:$C$1199,0)),"",INDEX('Compliance Database'!$H$2:$H$1199,MATCH(1093,Engine!$C$2:$C$1199,0)))</f>
        <v/>
      </c>
      <c r="I1106" s="7" t="str">
        <f>IF(ISNA(MATCH(1093,Engine!$C$2:$C$1199,0)),"",INDEX('Compliance Database'!$I$2:$I$1199,MATCH(1093,Engine!$C$2:$C$1199,0)))</f>
        <v/>
      </c>
      <c r="J1106" s="6" t="str">
        <f>IF(ISNA(MATCH(1093,Engine!$C$2:$C$1199,0)),"",INDEX('Compliance Database'!$J$2:$J$1199,MATCH(1093,Engine!$C$2:$C$1199,0)))</f>
        <v/>
      </c>
      <c r="K1106" s="7" t="str">
        <f>IF(ISNA(MATCH(1093,Engine!$C$2:$C$1199,0)),"",INDEX('Compliance Database'!$K$2:$K$1199,MATCH(1093,Engine!$C$2:$C$1199,0)))</f>
        <v/>
      </c>
      <c r="L1106" s="7" t="str">
        <f>IF(ISNA(MATCH(1093,Engine!$C$2:$C$1199,0)),"",INDEX('Compliance Database'!$L$2:$L$1199,MATCH(1093,Engine!$C$2:$C$1199,0)))</f>
        <v/>
      </c>
      <c r="M1106" s="7" t="str">
        <f>IF(ISNA(MATCH(1093,Engine!$C$2:$C$1199,0)),"",INDEX('Compliance Database'!$M$2:$M$1199,MATCH(1093,Engine!$C$2:$C$1199,0)))</f>
        <v/>
      </c>
      <c r="N1106" s="7" t="str">
        <f>IF(ISNA(MATCH(1093,Engine!$C$2:$C$1199,0)),"",INDEX('Compliance Database'!$N$2:$N$1199,MATCH(1093,Engine!$C$2:$C$1199,0)))</f>
        <v/>
      </c>
      <c r="O1106" s="7" t="str">
        <f>IF(ISNA(MATCH(1093,Engine!$C$2:$C$1199,0)),"",INDEX('Compliance Database'!$O$2:$O$1199,MATCH(1093,Engine!$C$2:$C$1199,0)))</f>
        <v/>
      </c>
      <c r="P1106" s="6" t="str">
        <f>IF(ISNA(MATCH(1093,Engine!$C$2:$C$1199,0)),"",HYPERLINK("#Acts!A"&amp;INDEX('Compliance Database'!$P$2:$P$1199,MATCH(1093,Engine!$C$2:$C$1199,0)),"Go to Act"))</f>
        <v/>
      </c>
    </row>
    <row r="1107" spans="1:16" ht="172.95" customHeight="1" x14ac:dyDescent="0.3">
      <c r="A1107" s="6" t="str">
        <f>IF(ISNA(MATCH(1094,Engine!$C$2:$C$1199,0)),"",INDEX('Compliance Database'!$A$2:$A$1199,MATCH(1094,Engine!$C$2:$C$1199,0)))</f>
        <v/>
      </c>
      <c r="B1107" s="6" t="str">
        <f>IF(ISNA(MATCH(1094,Engine!$C$2:$C$1199,0)),"",INDEX('Compliance Database'!$B$2:$B$1199,MATCH(1094,Engine!$C$2:$C$1199,0)))</f>
        <v/>
      </c>
      <c r="C1107" s="6" t="str">
        <f>IF(ISNA(MATCH(1094,Engine!$C$2:$C$1199,0)),"",INDEX('Compliance Database'!$C$2:$C$1199,MATCH(1094,Engine!$C$2:$C$1199,0)))</f>
        <v/>
      </c>
      <c r="D1107" s="7" t="str">
        <f>IF(ISNA(MATCH(1094,Engine!$C$2:$C$1199,0)),"",INDEX('Compliance Database'!$D$2:$D$1199,MATCH(1094,Engine!$C$2:$C$1199,0)))</f>
        <v/>
      </c>
      <c r="E1107" s="6" t="str">
        <f>IF(ISNA(MATCH(1094,Engine!$C$2:$C$1199,0)),"",INDEX('Compliance Database'!$E$2:$E$1199,MATCH(1094,Engine!$C$2:$C$1199,0)))</f>
        <v/>
      </c>
      <c r="F1107" s="6" t="str">
        <f>IF(ISNA(MATCH(1094,Engine!$C$2:$C$1199,0)),"",INDEX('Compliance Database'!$F$2:$F$1199,MATCH(1094,Engine!$C$2:$C$1199,0)))</f>
        <v/>
      </c>
      <c r="G1107" s="6" t="str">
        <f>IF(ISNA(MATCH(1094,Engine!$C$2:$C$1199,0)),"",INDEX('Compliance Database'!$G$2:$G$1199,MATCH(1094,Engine!$C$2:$C$1199,0)))</f>
        <v/>
      </c>
      <c r="H1107" s="7" t="str">
        <f>IF(ISNA(MATCH(1094,Engine!$C$2:$C$1199,0)),"",INDEX('Compliance Database'!$H$2:$H$1199,MATCH(1094,Engine!$C$2:$C$1199,0)))</f>
        <v/>
      </c>
      <c r="I1107" s="7" t="str">
        <f>IF(ISNA(MATCH(1094,Engine!$C$2:$C$1199,0)),"",INDEX('Compliance Database'!$I$2:$I$1199,MATCH(1094,Engine!$C$2:$C$1199,0)))</f>
        <v/>
      </c>
      <c r="J1107" s="6" t="str">
        <f>IF(ISNA(MATCH(1094,Engine!$C$2:$C$1199,0)),"",INDEX('Compliance Database'!$J$2:$J$1199,MATCH(1094,Engine!$C$2:$C$1199,0)))</f>
        <v/>
      </c>
      <c r="K1107" s="7" t="str">
        <f>IF(ISNA(MATCH(1094,Engine!$C$2:$C$1199,0)),"",INDEX('Compliance Database'!$K$2:$K$1199,MATCH(1094,Engine!$C$2:$C$1199,0)))</f>
        <v/>
      </c>
      <c r="L1107" s="7" t="str">
        <f>IF(ISNA(MATCH(1094,Engine!$C$2:$C$1199,0)),"",INDEX('Compliance Database'!$L$2:$L$1199,MATCH(1094,Engine!$C$2:$C$1199,0)))</f>
        <v/>
      </c>
      <c r="M1107" s="7" t="str">
        <f>IF(ISNA(MATCH(1094,Engine!$C$2:$C$1199,0)),"",INDEX('Compliance Database'!$M$2:$M$1199,MATCH(1094,Engine!$C$2:$C$1199,0)))</f>
        <v/>
      </c>
      <c r="N1107" s="7" t="str">
        <f>IF(ISNA(MATCH(1094,Engine!$C$2:$C$1199,0)),"",INDEX('Compliance Database'!$N$2:$N$1199,MATCH(1094,Engine!$C$2:$C$1199,0)))</f>
        <v/>
      </c>
      <c r="O1107" s="7" t="str">
        <f>IF(ISNA(MATCH(1094,Engine!$C$2:$C$1199,0)),"",INDEX('Compliance Database'!$O$2:$O$1199,MATCH(1094,Engine!$C$2:$C$1199,0)))</f>
        <v/>
      </c>
      <c r="P1107" s="6" t="str">
        <f>IF(ISNA(MATCH(1094,Engine!$C$2:$C$1199,0)),"",HYPERLINK("#Acts!A"&amp;INDEX('Compliance Database'!$P$2:$P$1199,MATCH(1094,Engine!$C$2:$C$1199,0)),"Go to Act"))</f>
        <v/>
      </c>
    </row>
    <row r="1108" spans="1:16" ht="172.95" customHeight="1" x14ac:dyDescent="0.3">
      <c r="A1108" s="6" t="str">
        <f>IF(ISNA(MATCH(1095,Engine!$C$2:$C$1199,0)),"",INDEX('Compliance Database'!$A$2:$A$1199,MATCH(1095,Engine!$C$2:$C$1199,0)))</f>
        <v/>
      </c>
      <c r="B1108" s="6" t="str">
        <f>IF(ISNA(MATCH(1095,Engine!$C$2:$C$1199,0)),"",INDEX('Compliance Database'!$B$2:$B$1199,MATCH(1095,Engine!$C$2:$C$1199,0)))</f>
        <v/>
      </c>
      <c r="C1108" s="6" t="str">
        <f>IF(ISNA(MATCH(1095,Engine!$C$2:$C$1199,0)),"",INDEX('Compliance Database'!$C$2:$C$1199,MATCH(1095,Engine!$C$2:$C$1199,0)))</f>
        <v/>
      </c>
      <c r="D1108" s="7" t="str">
        <f>IF(ISNA(MATCH(1095,Engine!$C$2:$C$1199,0)),"",INDEX('Compliance Database'!$D$2:$D$1199,MATCH(1095,Engine!$C$2:$C$1199,0)))</f>
        <v/>
      </c>
      <c r="E1108" s="6" t="str">
        <f>IF(ISNA(MATCH(1095,Engine!$C$2:$C$1199,0)),"",INDEX('Compliance Database'!$E$2:$E$1199,MATCH(1095,Engine!$C$2:$C$1199,0)))</f>
        <v/>
      </c>
      <c r="F1108" s="6" t="str">
        <f>IF(ISNA(MATCH(1095,Engine!$C$2:$C$1199,0)),"",INDEX('Compliance Database'!$F$2:$F$1199,MATCH(1095,Engine!$C$2:$C$1199,0)))</f>
        <v/>
      </c>
      <c r="G1108" s="6" t="str">
        <f>IF(ISNA(MATCH(1095,Engine!$C$2:$C$1199,0)),"",INDEX('Compliance Database'!$G$2:$G$1199,MATCH(1095,Engine!$C$2:$C$1199,0)))</f>
        <v/>
      </c>
      <c r="H1108" s="7" t="str">
        <f>IF(ISNA(MATCH(1095,Engine!$C$2:$C$1199,0)),"",INDEX('Compliance Database'!$H$2:$H$1199,MATCH(1095,Engine!$C$2:$C$1199,0)))</f>
        <v/>
      </c>
      <c r="I1108" s="7" t="str">
        <f>IF(ISNA(MATCH(1095,Engine!$C$2:$C$1199,0)),"",INDEX('Compliance Database'!$I$2:$I$1199,MATCH(1095,Engine!$C$2:$C$1199,0)))</f>
        <v/>
      </c>
      <c r="J1108" s="6" t="str">
        <f>IF(ISNA(MATCH(1095,Engine!$C$2:$C$1199,0)),"",INDEX('Compliance Database'!$J$2:$J$1199,MATCH(1095,Engine!$C$2:$C$1199,0)))</f>
        <v/>
      </c>
      <c r="K1108" s="7" t="str">
        <f>IF(ISNA(MATCH(1095,Engine!$C$2:$C$1199,0)),"",INDEX('Compliance Database'!$K$2:$K$1199,MATCH(1095,Engine!$C$2:$C$1199,0)))</f>
        <v/>
      </c>
      <c r="L1108" s="7" t="str">
        <f>IF(ISNA(MATCH(1095,Engine!$C$2:$C$1199,0)),"",INDEX('Compliance Database'!$L$2:$L$1199,MATCH(1095,Engine!$C$2:$C$1199,0)))</f>
        <v/>
      </c>
      <c r="M1108" s="7" t="str">
        <f>IF(ISNA(MATCH(1095,Engine!$C$2:$C$1199,0)),"",INDEX('Compliance Database'!$M$2:$M$1199,MATCH(1095,Engine!$C$2:$C$1199,0)))</f>
        <v/>
      </c>
      <c r="N1108" s="7" t="str">
        <f>IF(ISNA(MATCH(1095,Engine!$C$2:$C$1199,0)),"",INDEX('Compliance Database'!$N$2:$N$1199,MATCH(1095,Engine!$C$2:$C$1199,0)))</f>
        <v/>
      </c>
      <c r="O1108" s="7" t="str">
        <f>IF(ISNA(MATCH(1095,Engine!$C$2:$C$1199,0)),"",INDEX('Compliance Database'!$O$2:$O$1199,MATCH(1095,Engine!$C$2:$C$1199,0)))</f>
        <v/>
      </c>
      <c r="P1108" s="6" t="str">
        <f>IF(ISNA(MATCH(1095,Engine!$C$2:$C$1199,0)),"",HYPERLINK("#Acts!A"&amp;INDEX('Compliance Database'!$P$2:$P$1199,MATCH(1095,Engine!$C$2:$C$1199,0)),"Go to Act"))</f>
        <v/>
      </c>
    </row>
    <row r="1109" spans="1:16" ht="172.95" customHeight="1" x14ac:dyDescent="0.3">
      <c r="A1109" s="6" t="str">
        <f>IF(ISNA(MATCH(1096,Engine!$C$2:$C$1199,0)),"",INDEX('Compliance Database'!$A$2:$A$1199,MATCH(1096,Engine!$C$2:$C$1199,0)))</f>
        <v/>
      </c>
      <c r="B1109" s="6" t="str">
        <f>IF(ISNA(MATCH(1096,Engine!$C$2:$C$1199,0)),"",INDEX('Compliance Database'!$B$2:$B$1199,MATCH(1096,Engine!$C$2:$C$1199,0)))</f>
        <v/>
      </c>
      <c r="C1109" s="6" t="str">
        <f>IF(ISNA(MATCH(1096,Engine!$C$2:$C$1199,0)),"",INDEX('Compliance Database'!$C$2:$C$1199,MATCH(1096,Engine!$C$2:$C$1199,0)))</f>
        <v/>
      </c>
      <c r="D1109" s="7" t="str">
        <f>IF(ISNA(MATCH(1096,Engine!$C$2:$C$1199,0)),"",INDEX('Compliance Database'!$D$2:$D$1199,MATCH(1096,Engine!$C$2:$C$1199,0)))</f>
        <v/>
      </c>
      <c r="E1109" s="6" t="str">
        <f>IF(ISNA(MATCH(1096,Engine!$C$2:$C$1199,0)),"",INDEX('Compliance Database'!$E$2:$E$1199,MATCH(1096,Engine!$C$2:$C$1199,0)))</f>
        <v/>
      </c>
      <c r="F1109" s="6" t="str">
        <f>IF(ISNA(MATCH(1096,Engine!$C$2:$C$1199,0)),"",INDEX('Compliance Database'!$F$2:$F$1199,MATCH(1096,Engine!$C$2:$C$1199,0)))</f>
        <v/>
      </c>
      <c r="G1109" s="6" t="str">
        <f>IF(ISNA(MATCH(1096,Engine!$C$2:$C$1199,0)),"",INDEX('Compliance Database'!$G$2:$G$1199,MATCH(1096,Engine!$C$2:$C$1199,0)))</f>
        <v/>
      </c>
      <c r="H1109" s="7" t="str">
        <f>IF(ISNA(MATCH(1096,Engine!$C$2:$C$1199,0)),"",INDEX('Compliance Database'!$H$2:$H$1199,MATCH(1096,Engine!$C$2:$C$1199,0)))</f>
        <v/>
      </c>
      <c r="I1109" s="7" t="str">
        <f>IF(ISNA(MATCH(1096,Engine!$C$2:$C$1199,0)),"",INDEX('Compliance Database'!$I$2:$I$1199,MATCH(1096,Engine!$C$2:$C$1199,0)))</f>
        <v/>
      </c>
      <c r="J1109" s="6" t="str">
        <f>IF(ISNA(MATCH(1096,Engine!$C$2:$C$1199,0)),"",INDEX('Compliance Database'!$J$2:$J$1199,MATCH(1096,Engine!$C$2:$C$1199,0)))</f>
        <v/>
      </c>
      <c r="K1109" s="7" t="str">
        <f>IF(ISNA(MATCH(1096,Engine!$C$2:$C$1199,0)),"",INDEX('Compliance Database'!$K$2:$K$1199,MATCH(1096,Engine!$C$2:$C$1199,0)))</f>
        <v/>
      </c>
      <c r="L1109" s="7" t="str">
        <f>IF(ISNA(MATCH(1096,Engine!$C$2:$C$1199,0)),"",INDEX('Compliance Database'!$L$2:$L$1199,MATCH(1096,Engine!$C$2:$C$1199,0)))</f>
        <v/>
      </c>
      <c r="M1109" s="7" t="str">
        <f>IF(ISNA(MATCH(1096,Engine!$C$2:$C$1199,0)),"",INDEX('Compliance Database'!$M$2:$M$1199,MATCH(1096,Engine!$C$2:$C$1199,0)))</f>
        <v/>
      </c>
      <c r="N1109" s="7" t="str">
        <f>IF(ISNA(MATCH(1096,Engine!$C$2:$C$1199,0)),"",INDEX('Compliance Database'!$N$2:$N$1199,MATCH(1096,Engine!$C$2:$C$1199,0)))</f>
        <v/>
      </c>
      <c r="O1109" s="7" t="str">
        <f>IF(ISNA(MATCH(1096,Engine!$C$2:$C$1199,0)),"",INDEX('Compliance Database'!$O$2:$O$1199,MATCH(1096,Engine!$C$2:$C$1199,0)))</f>
        <v/>
      </c>
      <c r="P1109" s="6" t="str">
        <f>IF(ISNA(MATCH(1096,Engine!$C$2:$C$1199,0)),"",HYPERLINK("#Acts!A"&amp;INDEX('Compliance Database'!$P$2:$P$1199,MATCH(1096,Engine!$C$2:$C$1199,0)),"Go to Act"))</f>
        <v/>
      </c>
    </row>
    <row r="1110" spans="1:16" ht="172.95" customHeight="1" x14ac:dyDescent="0.3">
      <c r="A1110" s="6" t="str">
        <f>IF(ISNA(MATCH(1097,Engine!$C$2:$C$1199,0)),"",INDEX('Compliance Database'!$A$2:$A$1199,MATCH(1097,Engine!$C$2:$C$1199,0)))</f>
        <v/>
      </c>
      <c r="B1110" s="6" t="str">
        <f>IF(ISNA(MATCH(1097,Engine!$C$2:$C$1199,0)),"",INDEX('Compliance Database'!$B$2:$B$1199,MATCH(1097,Engine!$C$2:$C$1199,0)))</f>
        <v/>
      </c>
      <c r="C1110" s="6" t="str">
        <f>IF(ISNA(MATCH(1097,Engine!$C$2:$C$1199,0)),"",INDEX('Compliance Database'!$C$2:$C$1199,MATCH(1097,Engine!$C$2:$C$1199,0)))</f>
        <v/>
      </c>
      <c r="D1110" s="7" t="str">
        <f>IF(ISNA(MATCH(1097,Engine!$C$2:$C$1199,0)),"",INDEX('Compliance Database'!$D$2:$D$1199,MATCH(1097,Engine!$C$2:$C$1199,0)))</f>
        <v/>
      </c>
      <c r="E1110" s="6" t="str">
        <f>IF(ISNA(MATCH(1097,Engine!$C$2:$C$1199,0)),"",INDEX('Compliance Database'!$E$2:$E$1199,MATCH(1097,Engine!$C$2:$C$1199,0)))</f>
        <v/>
      </c>
      <c r="F1110" s="6" t="str">
        <f>IF(ISNA(MATCH(1097,Engine!$C$2:$C$1199,0)),"",INDEX('Compliance Database'!$F$2:$F$1199,MATCH(1097,Engine!$C$2:$C$1199,0)))</f>
        <v/>
      </c>
      <c r="G1110" s="6" t="str">
        <f>IF(ISNA(MATCH(1097,Engine!$C$2:$C$1199,0)),"",INDEX('Compliance Database'!$G$2:$G$1199,MATCH(1097,Engine!$C$2:$C$1199,0)))</f>
        <v/>
      </c>
      <c r="H1110" s="7" t="str">
        <f>IF(ISNA(MATCH(1097,Engine!$C$2:$C$1199,0)),"",INDEX('Compliance Database'!$H$2:$H$1199,MATCH(1097,Engine!$C$2:$C$1199,0)))</f>
        <v/>
      </c>
      <c r="I1110" s="7" t="str">
        <f>IF(ISNA(MATCH(1097,Engine!$C$2:$C$1199,0)),"",INDEX('Compliance Database'!$I$2:$I$1199,MATCH(1097,Engine!$C$2:$C$1199,0)))</f>
        <v/>
      </c>
      <c r="J1110" s="6" t="str">
        <f>IF(ISNA(MATCH(1097,Engine!$C$2:$C$1199,0)),"",INDEX('Compliance Database'!$J$2:$J$1199,MATCH(1097,Engine!$C$2:$C$1199,0)))</f>
        <v/>
      </c>
      <c r="K1110" s="7" t="str">
        <f>IF(ISNA(MATCH(1097,Engine!$C$2:$C$1199,0)),"",INDEX('Compliance Database'!$K$2:$K$1199,MATCH(1097,Engine!$C$2:$C$1199,0)))</f>
        <v/>
      </c>
      <c r="L1110" s="7" t="str">
        <f>IF(ISNA(MATCH(1097,Engine!$C$2:$C$1199,0)),"",INDEX('Compliance Database'!$L$2:$L$1199,MATCH(1097,Engine!$C$2:$C$1199,0)))</f>
        <v/>
      </c>
      <c r="M1110" s="7" t="str">
        <f>IF(ISNA(MATCH(1097,Engine!$C$2:$C$1199,0)),"",INDEX('Compliance Database'!$M$2:$M$1199,MATCH(1097,Engine!$C$2:$C$1199,0)))</f>
        <v/>
      </c>
      <c r="N1110" s="7" t="str">
        <f>IF(ISNA(MATCH(1097,Engine!$C$2:$C$1199,0)),"",INDEX('Compliance Database'!$N$2:$N$1199,MATCH(1097,Engine!$C$2:$C$1199,0)))</f>
        <v/>
      </c>
      <c r="O1110" s="7" t="str">
        <f>IF(ISNA(MATCH(1097,Engine!$C$2:$C$1199,0)),"",INDEX('Compliance Database'!$O$2:$O$1199,MATCH(1097,Engine!$C$2:$C$1199,0)))</f>
        <v/>
      </c>
      <c r="P1110" s="6" t="str">
        <f>IF(ISNA(MATCH(1097,Engine!$C$2:$C$1199,0)),"",HYPERLINK("#Acts!A"&amp;INDEX('Compliance Database'!$P$2:$P$1199,MATCH(1097,Engine!$C$2:$C$1199,0)),"Go to Act"))</f>
        <v/>
      </c>
    </row>
    <row r="1111" spans="1:16" ht="172.95" customHeight="1" x14ac:dyDescent="0.3">
      <c r="A1111" s="6" t="str">
        <f>IF(ISNA(MATCH(1098,Engine!$C$2:$C$1199,0)),"",INDEX('Compliance Database'!$A$2:$A$1199,MATCH(1098,Engine!$C$2:$C$1199,0)))</f>
        <v/>
      </c>
      <c r="B1111" s="6" t="str">
        <f>IF(ISNA(MATCH(1098,Engine!$C$2:$C$1199,0)),"",INDEX('Compliance Database'!$B$2:$B$1199,MATCH(1098,Engine!$C$2:$C$1199,0)))</f>
        <v/>
      </c>
      <c r="C1111" s="6" t="str">
        <f>IF(ISNA(MATCH(1098,Engine!$C$2:$C$1199,0)),"",INDEX('Compliance Database'!$C$2:$C$1199,MATCH(1098,Engine!$C$2:$C$1199,0)))</f>
        <v/>
      </c>
      <c r="D1111" s="7" t="str">
        <f>IF(ISNA(MATCH(1098,Engine!$C$2:$C$1199,0)),"",INDEX('Compliance Database'!$D$2:$D$1199,MATCH(1098,Engine!$C$2:$C$1199,0)))</f>
        <v/>
      </c>
      <c r="E1111" s="6" t="str">
        <f>IF(ISNA(MATCH(1098,Engine!$C$2:$C$1199,0)),"",INDEX('Compliance Database'!$E$2:$E$1199,MATCH(1098,Engine!$C$2:$C$1199,0)))</f>
        <v/>
      </c>
      <c r="F1111" s="6" t="str">
        <f>IF(ISNA(MATCH(1098,Engine!$C$2:$C$1199,0)),"",INDEX('Compliance Database'!$F$2:$F$1199,MATCH(1098,Engine!$C$2:$C$1199,0)))</f>
        <v/>
      </c>
      <c r="G1111" s="6" t="str">
        <f>IF(ISNA(MATCH(1098,Engine!$C$2:$C$1199,0)),"",INDEX('Compliance Database'!$G$2:$G$1199,MATCH(1098,Engine!$C$2:$C$1199,0)))</f>
        <v/>
      </c>
      <c r="H1111" s="7" t="str">
        <f>IF(ISNA(MATCH(1098,Engine!$C$2:$C$1199,0)),"",INDEX('Compliance Database'!$H$2:$H$1199,MATCH(1098,Engine!$C$2:$C$1199,0)))</f>
        <v/>
      </c>
      <c r="I1111" s="7" t="str">
        <f>IF(ISNA(MATCH(1098,Engine!$C$2:$C$1199,0)),"",INDEX('Compliance Database'!$I$2:$I$1199,MATCH(1098,Engine!$C$2:$C$1199,0)))</f>
        <v/>
      </c>
      <c r="J1111" s="6" t="str">
        <f>IF(ISNA(MATCH(1098,Engine!$C$2:$C$1199,0)),"",INDEX('Compliance Database'!$J$2:$J$1199,MATCH(1098,Engine!$C$2:$C$1199,0)))</f>
        <v/>
      </c>
      <c r="K1111" s="7" t="str">
        <f>IF(ISNA(MATCH(1098,Engine!$C$2:$C$1199,0)),"",INDEX('Compliance Database'!$K$2:$K$1199,MATCH(1098,Engine!$C$2:$C$1199,0)))</f>
        <v/>
      </c>
      <c r="L1111" s="7" t="str">
        <f>IF(ISNA(MATCH(1098,Engine!$C$2:$C$1199,0)),"",INDEX('Compliance Database'!$L$2:$L$1199,MATCH(1098,Engine!$C$2:$C$1199,0)))</f>
        <v/>
      </c>
      <c r="M1111" s="7" t="str">
        <f>IF(ISNA(MATCH(1098,Engine!$C$2:$C$1199,0)),"",INDEX('Compliance Database'!$M$2:$M$1199,MATCH(1098,Engine!$C$2:$C$1199,0)))</f>
        <v/>
      </c>
      <c r="N1111" s="7" t="str">
        <f>IF(ISNA(MATCH(1098,Engine!$C$2:$C$1199,0)),"",INDEX('Compliance Database'!$N$2:$N$1199,MATCH(1098,Engine!$C$2:$C$1199,0)))</f>
        <v/>
      </c>
      <c r="O1111" s="7" t="str">
        <f>IF(ISNA(MATCH(1098,Engine!$C$2:$C$1199,0)),"",INDEX('Compliance Database'!$O$2:$O$1199,MATCH(1098,Engine!$C$2:$C$1199,0)))</f>
        <v/>
      </c>
      <c r="P1111" s="6" t="str">
        <f>IF(ISNA(MATCH(1098,Engine!$C$2:$C$1199,0)),"",HYPERLINK("#Acts!A"&amp;INDEX('Compliance Database'!$P$2:$P$1199,MATCH(1098,Engine!$C$2:$C$1199,0)),"Go to Act"))</f>
        <v/>
      </c>
    </row>
    <row r="1112" spans="1:16" ht="172.95" customHeight="1" x14ac:dyDescent="0.3">
      <c r="A1112" s="6" t="str">
        <f>IF(ISNA(MATCH(1099,Engine!$C$2:$C$1199,0)),"",INDEX('Compliance Database'!$A$2:$A$1199,MATCH(1099,Engine!$C$2:$C$1199,0)))</f>
        <v/>
      </c>
      <c r="B1112" s="6" t="str">
        <f>IF(ISNA(MATCH(1099,Engine!$C$2:$C$1199,0)),"",INDEX('Compliance Database'!$B$2:$B$1199,MATCH(1099,Engine!$C$2:$C$1199,0)))</f>
        <v/>
      </c>
      <c r="C1112" s="6" t="str">
        <f>IF(ISNA(MATCH(1099,Engine!$C$2:$C$1199,0)),"",INDEX('Compliance Database'!$C$2:$C$1199,MATCH(1099,Engine!$C$2:$C$1199,0)))</f>
        <v/>
      </c>
      <c r="D1112" s="7" t="str">
        <f>IF(ISNA(MATCH(1099,Engine!$C$2:$C$1199,0)),"",INDEX('Compliance Database'!$D$2:$D$1199,MATCH(1099,Engine!$C$2:$C$1199,0)))</f>
        <v/>
      </c>
      <c r="E1112" s="6" t="str">
        <f>IF(ISNA(MATCH(1099,Engine!$C$2:$C$1199,0)),"",INDEX('Compliance Database'!$E$2:$E$1199,MATCH(1099,Engine!$C$2:$C$1199,0)))</f>
        <v/>
      </c>
      <c r="F1112" s="6" t="str">
        <f>IF(ISNA(MATCH(1099,Engine!$C$2:$C$1199,0)),"",INDEX('Compliance Database'!$F$2:$F$1199,MATCH(1099,Engine!$C$2:$C$1199,0)))</f>
        <v/>
      </c>
      <c r="G1112" s="6" t="str">
        <f>IF(ISNA(MATCH(1099,Engine!$C$2:$C$1199,0)),"",INDEX('Compliance Database'!$G$2:$G$1199,MATCH(1099,Engine!$C$2:$C$1199,0)))</f>
        <v/>
      </c>
      <c r="H1112" s="7" t="str">
        <f>IF(ISNA(MATCH(1099,Engine!$C$2:$C$1199,0)),"",INDEX('Compliance Database'!$H$2:$H$1199,MATCH(1099,Engine!$C$2:$C$1199,0)))</f>
        <v/>
      </c>
      <c r="I1112" s="7" t="str">
        <f>IF(ISNA(MATCH(1099,Engine!$C$2:$C$1199,0)),"",INDEX('Compliance Database'!$I$2:$I$1199,MATCH(1099,Engine!$C$2:$C$1199,0)))</f>
        <v/>
      </c>
      <c r="J1112" s="6" t="str">
        <f>IF(ISNA(MATCH(1099,Engine!$C$2:$C$1199,0)),"",INDEX('Compliance Database'!$J$2:$J$1199,MATCH(1099,Engine!$C$2:$C$1199,0)))</f>
        <v/>
      </c>
      <c r="K1112" s="7" t="str">
        <f>IF(ISNA(MATCH(1099,Engine!$C$2:$C$1199,0)),"",INDEX('Compliance Database'!$K$2:$K$1199,MATCH(1099,Engine!$C$2:$C$1199,0)))</f>
        <v/>
      </c>
      <c r="L1112" s="7" t="str">
        <f>IF(ISNA(MATCH(1099,Engine!$C$2:$C$1199,0)),"",INDEX('Compliance Database'!$L$2:$L$1199,MATCH(1099,Engine!$C$2:$C$1199,0)))</f>
        <v/>
      </c>
      <c r="M1112" s="7" t="str">
        <f>IF(ISNA(MATCH(1099,Engine!$C$2:$C$1199,0)),"",INDEX('Compliance Database'!$M$2:$M$1199,MATCH(1099,Engine!$C$2:$C$1199,0)))</f>
        <v/>
      </c>
      <c r="N1112" s="7" t="str">
        <f>IF(ISNA(MATCH(1099,Engine!$C$2:$C$1199,0)),"",INDEX('Compliance Database'!$N$2:$N$1199,MATCH(1099,Engine!$C$2:$C$1199,0)))</f>
        <v/>
      </c>
      <c r="O1112" s="7" t="str">
        <f>IF(ISNA(MATCH(1099,Engine!$C$2:$C$1199,0)),"",INDEX('Compliance Database'!$O$2:$O$1199,MATCH(1099,Engine!$C$2:$C$1199,0)))</f>
        <v/>
      </c>
      <c r="P1112" s="6" t="str">
        <f>IF(ISNA(MATCH(1099,Engine!$C$2:$C$1199,0)),"",HYPERLINK("#Acts!A"&amp;INDEX('Compliance Database'!$P$2:$P$1199,MATCH(1099,Engine!$C$2:$C$1199,0)),"Go to Act"))</f>
        <v/>
      </c>
    </row>
    <row r="1113" spans="1:16" ht="172.95" customHeight="1" x14ac:dyDescent="0.3">
      <c r="A1113" s="6" t="str">
        <f>IF(ISNA(MATCH(1100,Engine!$C$2:$C$1199,0)),"",INDEX('Compliance Database'!$A$2:$A$1199,MATCH(1100,Engine!$C$2:$C$1199,0)))</f>
        <v/>
      </c>
      <c r="B1113" s="6" t="str">
        <f>IF(ISNA(MATCH(1100,Engine!$C$2:$C$1199,0)),"",INDEX('Compliance Database'!$B$2:$B$1199,MATCH(1100,Engine!$C$2:$C$1199,0)))</f>
        <v/>
      </c>
      <c r="C1113" s="6" t="str">
        <f>IF(ISNA(MATCH(1100,Engine!$C$2:$C$1199,0)),"",INDEX('Compliance Database'!$C$2:$C$1199,MATCH(1100,Engine!$C$2:$C$1199,0)))</f>
        <v/>
      </c>
      <c r="D1113" s="7" t="str">
        <f>IF(ISNA(MATCH(1100,Engine!$C$2:$C$1199,0)),"",INDEX('Compliance Database'!$D$2:$D$1199,MATCH(1100,Engine!$C$2:$C$1199,0)))</f>
        <v/>
      </c>
      <c r="E1113" s="6" t="str">
        <f>IF(ISNA(MATCH(1100,Engine!$C$2:$C$1199,0)),"",INDEX('Compliance Database'!$E$2:$E$1199,MATCH(1100,Engine!$C$2:$C$1199,0)))</f>
        <v/>
      </c>
      <c r="F1113" s="6" t="str">
        <f>IF(ISNA(MATCH(1100,Engine!$C$2:$C$1199,0)),"",INDEX('Compliance Database'!$F$2:$F$1199,MATCH(1100,Engine!$C$2:$C$1199,0)))</f>
        <v/>
      </c>
      <c r="G1113" s="6" t="str">
        <f>IF(ISNA(MATCH(1100,Engine!$C$2:$C$1199,0)),"",INDEX('Compliance Database'!$G$2:$G$1199,MATCH(1100,Engine!$C$2:$C$1199,0)))</f>
        <v/>
      </c>
      <c r="H1113" s="7" t="str">
        <f>IF(ISNA(MATCH(1100,Engine!$C$2:$C$1199,0)),"",INDEX('Compliance Database'!$H$2:$H$1199,MATCH(1100,Engine!$C$2:$C$1199,0)))</f>
        <v/>
      </c>
      <c r="I1113" s="7" t="str">
        <f>IF(ISNA(MATCH(1100,Engine!$C$2:$C$1199,0)),"",INDEX('Compliance Database'!$I$2:$I$1199,MATCH(1100,Engine!$C$2:$C$1199,0)))</f>
        <v/>
      </c>
      <c r="J1113" s="6" t="str">
        <f>IF(ISNA(MATCH(1100,Engine!$C$2:$C$1199,0)),"",INDEX('Compliance Database'!$J$2:$J$1199,MATCH(1100,Engine!$C$2:$C$1199,0)))</f>
        <v/>
      </c>
      <c r="K1113" s="7" t="str">
        <f>IF(ISNA(MATCH(1100,Engine!$C$2:$C$1199,0)),"",INDEX('Compliance Database'!$K$2:$K$1199,MATCH(1100,Engine!$C$2:$C$1199,0)))</f>
        <v/>
      </c>
      <c r="L1113" s="7" t="str">
        <f>IF(ISNA(MATCH(1100,Engine!$C$2:$C$1199,0)),"",INDEX('Compliance Database'!$L$2:$L$1199,MATCH(1100,Engine!$C$2:$C$1199,0)))</f>
        <v/>
      </c>
      <c r="M1113" s="7" t="str">
        <f>IF(ISNA(MATCH(1100,Engine!$C$2:$C$1199,0)),"",INDEX('Compliance Database'!$M$2:$M$1199,MATCH(1100,Engine!$C$2:$C$1199,0)))</f>
        <v/>
      </c>
      <c r="N1113" s="7" t="str">
        <f>IF(ISNA(MATCH(1100,Engine!$C$2:$C$1199,0)),"",INDEX('Compliance Database'!$N$2:$N$1199,MATCH(1100,Engine!$C$2:$C$1199,0)))</f>
        <v/>
      </c>
      <c r="O1113" s="7" t="str">
        <f>IF(ISNA(MATCH(1100,Engine!$C$2:$C$1199,0)),"",INDEX('Compliance Database'!$O$2:$O$1199,MATCH(1100,Engine!$C$2:$C$1199,0)))</f>
        <v/>
      </c>
      <c r="P1113" s="6" t="str">
        <f>IF(ISNA(MATCH(1100,Engine!$C$2:$C$1199,0)),"",HYPERLINK("#Acts!A"&amp;INDEX('Compliance Database'!$P$2:$P$1199,MATCH(1100,Engine!$C$2:$C$1199,0)),"Go to Act"))</f>
        <v/>
      </c>
    </row>
    <row r="1114" spans="1:16" ht="172.95" customHeight="1" x14ac:dyDescent="0.3">
      <c r="A1114" s="6" t="str">
        <f>IF(ISNA(MATCH(1101,Engine!$C$2:$C$1199,0)),"",INDEX('Compliance Database'!$A$2:$A$1199,MATCH(1101,Engine!$C$2:$C$1199,0)))</f>
        <v/>
      </c>
      <c r="B1114" s="6" t="str">
        <f>IF(ISNA(MATCH(1101,Engine!$C$2:$C$1199,0)),"",INDEX('Compliance Database'!$B$2:$B$1199,MATCH(1101,Engine!$C$2:$C$1199,0)))</f>
        <v/>
      </c>
      <c r="C1114" s="6" t="str">
        <f>IF(ISNA(MATCH(1101,Engine!$C$2:$C$1199,0)),"",INDEX('Compliance Database'!$C$2:$C$1199,MATCH(1101,Engine!$C$2:$C$1199,0)))</f>
        <v/>
      </c>
      <c r="D1114" s="7" t="str">
        <f>IF(ISNA(MATCH(1101,Engine!$C$2:$C$1199,0)),"",INDEX('Compliance Database'!$D$2:$D$1199,MATCH(1101,Engine!$C$2:$C$1199,0)))</f>
        <v/>
      </c>
      <c r="E1114" s="6" t="str">
        <f>IF(ISNA(MATCH(1101,Engine!$C$2:$C$1199,0)),"",INDEX('Compliance Database'!$E$2:$E$1199,MATCH(1101,Engine!$C$2:$C$1199,0)))</f>
        <v/>
      </c>
      <c r="F1114" s="6" t="str">
        <f>IF(ISNA(MATCH(1101,Engine!$C$2:$C$1199,0)),"",INDEX('Compliance Database'!$F$2:$F$1199,MATCH(1101,Engine!$C$2:$C$1199,0)))</f>
        <v/>
      </c>
      <c r="G1114" s="6" t="str">
        <f>IF(ISNA(MATCH(1101,Engine!$C$2:$C$1199,0)),"",INDEX('Compliance Database'!$G$2:$G$1199,MATCH(1101,Engine!$C$2:$C$1199,0)))</f>
        <v/>
      </c>
      <c r="H1114" s="7" t="str">
        <f>IF(ISNA(MATCH(1101,Engine!$C$2:$C$1199,0)),"",INDEX('Compliance Database'!$H$2:$H$1199,MATCH(1101,Engine!$C$2:$C$1199,0)))</f>
        <v/>
      </c>
      <c r="I1114" s="7" t="str">
        <f>IF(ISNA(MATCH(1101,Engine!$C$2:$C$1199,0)),"",INDEX('Compliance Database'!$I$2:$I$1199,MATCH(1101,Engine!$C$2:$C$1199,0)))</f>
        <v/>
      </c>
      <c r="J1114" s="6" t="str">
        <f>IF(ISNA(MATCH(1101,Engine!$C$2:$C$1199,0)),"",INDEX('Compliance Database'!$J$2:$J$1199,MATCH(1101,Engine!$C$2:$C$1199,0)))</f>
        <v/>
      </c>
      <c r="K1114" s="7" t="str">
        <f>IF(ISNA(MATCH(1101,Engine!$C$2:$C$1199,0)),"",INDEX('Compliance Database'!$K$2:$K$1199,MATCH(1101,Engine!$C$2:$C$1199,0)))</f>
        <v/>
      </c>
      <c r="L1114" s="7" t="str">
        <f>IF(ISNA(MATCH(1101,Engine!$C$2:$C$1199,0)),"",INDEX('Compliance Database'!$L$2:$L$1199,MATCH(1101,Engine!$C$2:$C$1199,0)))</f>
        <v/>
      </c>
      <c r="M1114" s="7" t="str">
        <f>IF(ISNA(MATCH(1101,Engine!$C$2:$C$1199,0)),"",INDEX('Compliance Database'!$M$2:$M$1199,MATCH(1101,Engine!$C$2:$C$1199,0)))</f>
        <v/>
      </c>
      <c r="N1114" s="7" t="str">
        <f>IF(ISNA(MATCH(1101,Engine!$C$2:$C$1199,0)),"",INDEX('Compliance Database'!$N$2:$N$1199,MATCH(1101,Engine!$C$2:$C$1199,0)))</f>
        <v/>
      </c>
      <c r="O1114" s="7" t="str">
        <f>IF(ISNA(MATCH(1101,Engine!$C$2:$C$1199,0)),"",INDEX('Compliance Database'!$O$2:$O$1199,MATCH(1101,Engine!$C$2:$C$1199,0)))</f>
        <v/>
      </c>
      <c r="P1114" s="6" t="str">
        <f>IF(ISNA(MATCH(1101,Engine!$C$2:$C$1199,0)),"",HYPERLINK("#Acts!A"&amp;INDEX('Compliance Database'!$P$2:$P$1199,MATCH(1101,Engine!$C$2:$C$1199,0)),"Go to Act"))</f>
        <v/>
      </c>
    </row>
    <row r="1115" spans="1:16" ht="172.95" customHeight="1" x14ac:dyDescent="0.3">
      <c r="A1115" s="6" t="str">
        <f>IF(ISNA(MATCH(1102,Engine!$C$2:$C$1199,0)),"",INDEX('Compliance Database'!$A$2:$A$1199,MATCH(1102,Engine!$C$2:$C$1199,0)))</f>
        <v/>
      </c>
      <c r="B1115" s="6" t="str">
        <f>IF(ISNA(MATCH(1102,Engine!$C$2:$C$1199,0)),"",INDEX('Compliance Database'!$B$2:$B$1199,MATCH(1102,Engine!$C$2:$C$1199,0)))</f>
        <v/>
      </c>
      <c r="C1115" s="6" t="str">
        <f>IF(ISNA(MATCH(1102,Engine!$C$2:$C$1199,0)),"",INDEX('Compliance Database'!$C$2:$C$1199,MATCH(1102,Engine!$C$2:$C$1199,0)))</f>
        <v/>
      </c>
      <c r="D1115" s="7" t="str">
        <f>IF(ISNA(MATCH(1102,Engine!$C$2:$C$1199,0)),"",INDEX('Compliance Database'!$D$2:$D$1199,MATCH(1102,Engine!$C$2:$C$1199,0)))</f>
        <v/>
      </c>
      <c r="E1115" s="6" t="str">
        <f>IF(ISNA(MATCH(1102,Engine!$C$2:$C$1199,0)),"",INDEX('Compliance Database'!$E$2:$E$1199,MATCH(1102,Engine!$C$2:$C$1199,0)))</f>
        <v/>
      </c>
      <c r="F1115" s="6" t="str">
        <f>IF(ISNA(MATCH(1102,Engine!$C$2:$C$1199,0)),"",INDEX('Compliance Database'!$F$2:$F$1199,MATCH(1102,Engine!$C$2:$C$1199,0)))</f>
        <v/>
      </c>
      <c r="G1115" s="6" t="str">
        <f>IF(ISNA(MATCH(1102,Engine!$C$2:$C$1199,0)),"",INDEX('Compliance Database'!$G$2:$G$1199,MATCH(1102,Engine!$C$2:$C$1199,0)))</f>
        <v/>
      </c>
      <c r="H1115" s="7" t="str">
        <f>IF(ISNA(MATCH(1102,Engine!$C$2:$C$1199,0)),"",INDEX('Compliance Database'!$H$2:$H$1199,MATCH(1102,Engine!$C$2:$C$1199,0)))</f>
        <v/>
      </c>
      <c r="I1115" s="7" t="str">
        <f>IF(ISNA(MATCH(1102,Engine!$C$2:$C$1199,0)),"",INDEX('Compliance Database'!$I$2:$I$1199,MATCH(1102,Engine!$C$2:$C$1199,0)))</f>
        <v/>
      </c>
      <c r="J1115" s="6" t="str">
        <f>IF(ISNA(MATCH(1102,Engine!$C$2:$C$1199,0)),"",INDEX('Compliance Database'!$J$2:$J$1199,MATCH(1102,Engine!$C$2:$C$1199,0)))</f>
        <v/>
      </c>
      <c r="K1115" s="7" t="str">
        <f>IF(ISNA(MATCH(1102,Engine!$C$2:$C$1199,0)),"",INDEX('Compliance Database'!$K$2:$K$1199,MATCH(1102,Engine!$C$2:$C$1199,0)))</f>
        <v/>
      </c>
      <c r="L1115" s="7" t="str">
        <f>IF(ISNA(MATCH(1102,Engine!$C$2:$C$1199,0)),"",INDEX('Compliance Database'!$L$2:$L$1199,MATCH(1102,Engine!$C$2:$C$1199,0)))</f>
        <v/>
      </c>
      <c r="M1115" s="7" t="str">
        <f>IF(ISNA(MATCH(1102,Engine!$C$2:$C$1199,0)),"",INDEX('Compliance Database'!$M$2:$M$1199,MATCH(1102,Engine!$C$2:$C$1199,0)))</f>
        <v/>
      </c>
      <c r="N1115" s="7" t="str">
        <f>IF(ISNA(MATCH(1102,Engine!$C$2:$C$1199,0)),"",INDEX('Compliance Database'!$N$2:$N$1199,MATCH(1102,Engine!$C$2:$C$1199,0)))</f>
        <v/>
      </c>
      <c r="O1115" s="7" t="str">
        <f>IF(ISNA(MATCH(1102,Engine!$C$2:$C$1199,0)),"",INDEX('Compliance Database'!$O$2:$O$1199,MATCH(1102,Engine!$C$2:$C$1199,0)))</f>
        <v/>
      </c>
      <c r="P1115" s="6" t="str">
        <f>IF(ISNA(MATCH(1102,Engine!$C$2:$C$1199,0)),"",HYPERLINK("#Acts!A"&amp;INDEX('Compliance Database'!$P$2:$P$1199,MATCH(1102,Engine!$C$2:$C$1199,0)),"Go to Act"))</f>
        <v/>
      </c>
    </row>
    <row r="1116" spans="1:16" ht="172.95" customHeight="1" x14ac:dyDescent="0.3">
      <c r="A1116" s="6" t="str">
        <f>IF(ISNA(MATCH(1103,Engine!$C$2:$C$1199,0)),"",INDEX('Compliance Database'!$A$2:$A$1199,MATCH(1103,Engine!$C$2:$C$1199,0)))</f>
        <v/>
      </c>
      <c r="B1116" s="6" t="str">
        <f>IF(ISNA(MATCH(1103,Engine!$C$2:$C$1199,0)),"",INDEX('Compliance Database'!$B$2:$B$1199,MATCH(1103,Engine!$C$2:$C$1199,0)))</f>
        <v/>
      </c>
      <c r="C1116" s="6" t="str">
        <f>IF(ISNA(MATCH(1103,Engine!$C$2:$C$1199,0)),"",INDEX('Compliance Database'!$C$2:$C$1199,MATCH(1103,Engine!$C$2:$C$1199,0)))</f>
        <v/>
      </c>
      <c r="D1116" s="7" t="str">
        <f>IF(ISNA(MATCH(1103,Engine!$C$2:$C$1199,0)),"",INDEX('Compliance Database'!$D$2:$D$1199,MATCH(1103,Engine!$C$2:$C$1199,0)))</f>
        <v/>
      </c>
      <c r="E1116" s="6" t="str">
        <f>IF(ISNA(MATCH(1103,Engine!$C$2:$C$1199,0)),"",INDEX('Compliance Database'!$E$2:$E$1199,MATCH(1103,Engine!$C$2:$C$1199,0)))</f>
        <v/>
      </c>
      <c r="F1116" s="6" t="str">
        <f>IF(ISNA(MATCH(1103,Engine!$C$2:$C$1199,0)),"",INDEX('Compliance Database'!$F$2:$F$1199,MATCH(1103,Engine!$C$2:$C$1199,0)))</f>
        <v/>
      </c>
      <c r="G1116" s="6" t="str">
        <f>IF(ISNA(MATCH(1103,Engine!$C$2:$C$1199,0)),"",INDEX('Compliance Database'!$G$2:$G$1199,MATCH(1103,Engine!$C$2:$C$1199,0)))</f>
        <v/>
      </c>
      <c r="H1116" s="7" t="str">
        <f>IF(ISNA(MATCH(1103,Engine!$C$2:$C$1199,0)),"",INDEX('Compliance Database'!$H$2:$H$1199,MATCH(1103,Engine!$C$2:$C$1199,0)))</f>
        <v/>
      </c>
      <c r="I1116" s="7" t="str">
        <f>IF(ISNA(MATCH(1103,Engine!$C$2:$C$1199,0)),"",INDEX('Compliance Database'!$I$2:$I$1199,MATCH(1103,Engine!$C$2:$C$1199,0)))</f>
        <v/>
      </c>
      <c r="J1116" s="6" t="str">
        <f>IF(ISNA(MATCH(1103,Engine!$C$2:$C$1199,0)),"",INDEX('Compliance Database'!$J$2:$J$1199,MATCH(1103,Engine!$C$2:$C$1199,0)))</f>
        <v/>
      </c>
      <c r="K1116" s="7" t="str">
        <f>IF(ISNA(MATCH(1103,Engine!$C$2:$C$1199,0)),"",INDEX('Compliance Database'!$K$2:$K$1199,MATCH(1103,Engine!$C$2:$C$1199,0)))</f>
        <v/>
      </c>
      <c r="L1116" s="7" t="str">
        <f>IF(ISNA(MATCH(1103,Engine!$C$2:$C$1199,0)),"",INDEX('Compliance Database'!$L$2:$L$1199,MATCH(1103,Engine!$C$2:$C$1199,0)))</f>
        <v/>
      </c>
      <c r="M1116" s="7" t="str">
        <f>IF(ISNA(MATCH(1103,Engine!$C$2:$C$1199,0)),"",INDEX('Compliance Database'!$M$2:$M$1199,MATCH(1103,Engine!$C$2:$C$1199,0)))</f>
        <v/>
      </c>
      <c r="N1116" s="7" t="str">
        <f>IF(ISNA(MATCH(1103,Engine!$C$2:$C$1199,0)),"",INDEX('Compliance Database'!$N$2:$N$1199,MATCH(1103,Engine!$C$2:$C$1199,0)))</f>
        <v/>
      </c>
      <c r="O1116" s="7" t="str">
        <f>IF(ISNA(MATCH(1103,Engine!$C$2:$C$1199,0)),"",INDEX('Compliance Database'!$O$2:$O$1199,MATCH(1103,Engine!$C$2:$C$1199,0)))</f>
        <v/>
      </c>
      <c r="P1116" s="6" t="str">
        <f>IF(ISNA(MATCH(1103,Engine!$C$2:$C$1199,0)),"",HYPERLINK("#Acts!A"&amp;INDEX('Compliance Database'!$P$2:$P$1199,MATCH(1103,Engine!$C$2:$C$1199,0)),"Go to Act"))</f>
        <v/>
      </c>
    </row>
    <row r="1117" spans="1:16" ht="172.95" customHeight="1" x14ac:dyDescent="0.3">
      <c r="A1117" s="6" t="str">
        <f>IF(ISNA(MATCH(1104,Engine!$C$2:$C$1199,0)),"",INDEX('Compliance Database'!$A$2:$A$1199,MATCH(1104,Engine!$C$2:$C$1199,0)))</f>
        <v/>
      </c>
      <c r="B1117" s="6" t="str">
        <f>IF(ISNA(MATCH(1104,Engine!$C$2:$C$1199,0)),"",INDEX('Compliance Database'!$B$2:$B$1199,MATCH(1104,Engine!$C$2:$C$1199,0)))</f>
        <v/>
      </c>
      <c r="C1117" s="6" t="str">
        <f>IF(ISNA(MATCH(1104,Engine!$C$2:$C$1199,0)),"",INDEX('Compliance Database'!$C$2:$C$1199,MATCH(1104,Engine!$C$2:$C$1199,0)))</f>
        <v/>
      </c>
      <c r="D1117" s="7" t="str">
        <f>IF(ISNA(MATCH(1104,Engine!$C$2:$C$1199,0)),"",INDEX('Compliance Database'!$D$2:$D$1199,MATCH(1104,Engine!$C$2:$C$1199,0)))</f>
        <v/>
      </c>
      <c r="E1117" s="6" t="str">
        <f>IF(ISNA(MATCH(1104,Engine!$C$2:$C$1199,0)),"",INDEX('Compliance Database'!$E$2:$E$1199,MATCH(1104,Engine!$C$2:$C$1199,0)))</f>
        <v/>
      </c>
      <c r="F1117" s="6" t="str">
        <f>IF(ISNA(MATCH(1104,Engine!$C$2:$C$1199,0)),"",INDEX('Compliance Database'!$F$2:$F$1199,MATCH(1104,Engine!$C$2:$C$1199,0)))</f>
        <v/>
      </c>
      <c r="G1117" s="6" t="str">
        <f>IF(ISNA(MATCH(1104,Engine!$C$2:$C$1199,0)),"",INDEX('Compliance Database'!$G$2:$G$1199,MATCH(1104,Engine!$C$2:$C$1199,0)))</f>
        <v/>
      </c>
      <c r="H1117" s="7" t="str">
        <f>IF(ISNA(MATCH(1104,Engine!$C$2:$C$1199,0)),"",INDEX('Compliance Database'!$H$2:$H$1199,MATCH(1104,Engine!$C$2:$C$1199,0)))</f>
        <v/>
      </c>
      <c r="I1117" s="7" t="str">
        <f>IF(ISNA(MATCH(1104,Engine!$C$2:$C$1199,0)),"",INDEX('Compliance Database'!$I$2:$I$1199,MATCH(1104,Engine!$C$2:$C$1199,0)))</f>
        <v/>
      </c>
      <c r="J1117" s="6" t="str">
        <f>IF(ISNA(MATCH(1104,Engine!$C$2:$C$1199,0)),"",INDEX('Compliance Database'!$J$2:$J$1199,MATCH(1104,Engine!$C$2:$C$1199,0)))</f>
        <v/>
      </c>
      <c r="K1117" s="7" t="str">
        <f>IF(ISNA(MATCH(1104,Engine!$C$2:$C$1199,0)),"",INDEX('Compliance Database'!$K$2:$K$1199,MATCH(1104,Engine!$C$2:$C$1199,0)))</f>
        <v/>
      </c>
      <c r="L1117" s="7" t="str">
        <f>IF(ISNA(MATCH(1104,Engine!$C$2:$C$1199,0)),"",INDEX('Compliance Database'!$L$2:$L$1199,MATCH(1104,Engine!$C$2:$C$1199,0)))</f>
        <v/>
      </c>
      <c r="M1117" s="7" t="str">
        <f>IF(ISNA(MATCH(1104,Engine!$C$2:$C$1199,0)),"",INDEX('Compliance Database'!$M$2:$M$1199,MATCH(1104,Engine!$C$2:$C$1199,0)))</f>
        <v/>
      </c>
      <c r="N1117" s="7" t="str">
        <f>IF(ISNA(MATCH(1104,Engine!$C$2:$C$1199,0)),"",INDEX('Compliance Database'!$N$2:$N$1199,MATCH(1104,Engine!$C$2:$C$1199,0)))</f>
        <v/>
      </c>
      <c r="O1117" s="7" t="str">
        <f>IF(ISNA(MATCH(1104,Engine!$C$2:$C$1199,0)),"",INDEX('Compliance Database'!$O$2:$O$1199,MATCH(1104,Engine!$C$2:$C$1199,0)))</f>
        <v/>
      </c>
      <c r="P1117" s="6" t="str">
        <f>IF(ISNA(MATCH(1104,Engine!$C$2:$C$1199,0)),"",HYPERLINK("#Acts!A"&amp;INDEX('Compliance Database'!$P$2:$P$1199,MATCH(1104,Engine!$C$2:$C$1199,0)),"Go to Act"))</f>
        <v/>
      </c>
    </row>
    <row r="1118" spans="1:16" ht="172.95" customHeight="1" x14ac:dyDescent="0.3">
      <c r="A1118" s="6" t="str">
        <f>IF(ISNA(MATCH(1105,Engine!$C$2:$C$1199,0)),"",INDEX('Compliance Database'!$A$2:$A$1199,MATCH(1105,Engine!$C$2:$C$1199,0)))</f>
        <v/>
      </c>
      <c r="B1118" s="6" t="str">
        <f>IF(ISNA(MATCH(1105,Engine!$C$2:$C$1199,0)),"",INDEX('Compliance Database'!$B$2:$B$1199,MATCH(1105,Engine!$C$2:$C$1199,0)))</f>
        <v/>
      </c>
      <c r="C1118" s="6" t="str">
        <f>IF(ISNA(MATCH(1105,Engine!$C$2:$C$1199,0)),"",INDEX('Compliance Database'!$C$2:$C$1199,MATCH(1105,Engine!$C$2:$C$1199,0)))</f>
        <v/>
      </c>
      <c r="D1118" s="7" t="str">
        <f>IF(ISNA(MATCH(1105,Engine!$C$2:$C$1199,0)),"",INDEX('Compliance Database'!$D$2:$D$1199,MATCH(1105,Engine!$C$2:$C$1199,0)))</f>
        <v/>
      </c>
      <c r="E1118" s="6" t="str">
        <f>IF(ISNA(MATCH(1105,Engine!$C$2:$C$1199,0)),"",INDEX('Compliance Database'!$E$2:$E$1199,MATCH(1105,Engine!$C$2:$C$1199,0)))</f>
        <v/>
      </c>
      <c r="F1118" s="6" t="str">
        <f>IF(ISNA(MATCH(1105,Engine!$C$2:$C$1199,0)),"",INDEX('Compliance Database'!$F$2:$F$1199,MATCH(1105,Engine!$C$2:$C$1199,0)))</f>
        <v/>
      </c>
      <c r="G1118" s="6" t="str">
        <f>IF(ISNA(MATCH(1105,Engine!$C$2:$C$1199,0)),"",INDEX('Compliance Database'!$G$2:$G$1199,MATCH(1105,Engine!$C$2:$C$1199,0)))</f>
        <v/>
      </c>
      <c r="H1118" s="7" t="str">
        <f>IF(ISNA(MATCH(1105,Engine!$C$2:$C$1199,0)),"",INDEX('Compliance Database'!$H$2:$H$1199,MATCH(1105,Engine!$C$2:$C$1199,0)))</f>
        <v/>
      </c>
      <c r="I1118" s="7" t="str">
        <f>IF(ISNA(MATCH(1105,Engine!$C$2:$C$1199,0)),"",INDEX('Compliance Database'!$I$2:$I$1199,MATCH(1105,Engine!$C$2:$C$1199,0)))</f>
        <v/>
      </c>
      <c r="J1118" s="6" t="str">
        <f>IF(ISNA(MATCH(1105,Engine!$C$2:$C$1199,0)),"",INDEX('Compliance Database'!$J$2:$J$1199,MATCH(1105,Engine!$C$2:$C$1199,0)))</f>
        <v/>
      </c>
      <c r="K1118" s="7" t="str">
        <f>IF(ISNA(MATCH(1105,Engine!$C$2:$C$1199,0)),"",INDEX('Compliance Database'!$K$2:$K$1199,MATCH(1105,Engine!$C$2:$C$1199,0)))</f>
        <v/>
      </c>
      <c r="L1118" s="7" t="str">
        <f>IF(ISNA(MATCH(1105,Engine!$C$2:$C$1199,0)),"",INDEX('Compliance Database'!$L$2:$L$1199,MATCH(1105,Engine!$C$2:$C$1199,0)))</f>
        <v/>
      </c>
      <c r="M1118" s="7" t="str">
        <f>IF(ISNA(MATCH(1105,Engine!$C$2:$C$1199,0)),"",INDEX('Compliance Database'!$M$2:$M$1199,MATCH(1105,Engine!$C$2:$C$1199,0)))</f>
        <v/>
      </c>
      <c r="N1118" s="7" t="str">
        <f>IF(ISNA(MATCH(1105,Engine!$C$2:$C$1199,0)),"",INDEX('Compliance Database'!$N$2:$N$1199,MATCH(1105,Engine!$C$2:$C$1199,0)))</f>
        <v/>
      </c>
      <c r="O1118" s="7" t="str">
        <f>IF(ISNA(MATCH(1105,Engine!$C$2:$C$1199,0)),"",INDEX('Compliance Database'!$O$2:$O$1199,MATCH(1105,Engine!$C$2:$C$1199,0)))</f>
        <v/>
      </c>
      <c r="P1118" s="6" t="str">
        <f>IF(ISNA(MATCH(1105,Engine!$C$2:$C$1199,0)),"",HYPERLINK("#Acts!A"&amp;INDEX('Compliance Database'!$P$2:$P$1199,MATCH(1105,Engine!$C$2:$C$1199,0)),"Go to Act"))</f>
        <v/>
      </c>
    </row>
    <row r="1119" spans="1:16" ht="172.95" customHeight="1" x14ac:dyDescent="0.3">
      <c r="A1119" s="6" t="str">
        <f>IF(ISNA(MATCH(1106,Engine!$C$2:$C$1199,0)),"",INDEX('Compliance Database'!$A$2:$A$1199,MATCH(1106,Engine!$C$2:$C$1199,0)))</f>
        <v/>
      </c>
      <c r="B1119" s="6" t="str">
        <f>IF(ISNA(MATCH(1106,Engine!$C$2:$C$1199,0)),"",INDEX('Compliance Database'!$B$2:$B$1199,MATCH(1106,Engine!$C$2:$C$1199,0)))</f>
        <v/>
      </c>
      <c r="C1119" s="6" t="str">
        <f>IF(ISNA(MATCH(1106,Engine!$C$2:$C$1199,0)),"",INDEX('Compliance Database'!$C$2:$C$1199,MATCH(1106,Engine!$C$2:$C$1199,0)))</f>
        <v/>
      </c>
      <c r="D1119" s="7" t="str">
        <f>IF(ISNA(MATCH(1106,Engine!$C$2:$C$1199,0)),"",INDEX('Compliance Database'!$D$2:$D$1199,MATCH(1106,Engine!$C$2:$C$1199,0)))</f>
        <v/>
      </c>
      <c r="E1119" s="6" t="str">
        <f>IF(ISNA(MATCH(1106,Engine!$C$2:$C$1199,0)),"",INDEX('Compliance Database'!$E$2:$E$1199,MATCH(1106,Engine!$C$2:$C$1199,0)))</f>
        <v/>
      </c>
      <c r="F1119" s="6" t="str">
        <f>IF(ISNA(MATCH(1106,Engine!$C$2:$C$1199,0)),"",INDEX('Compliance Database'!$F$2:$F$1199,MATCH(1106,Engine!$C$2:$C$1199,0)))</f>
        <v/>
      </c>
      <c r="G1119" s="6" t="str">
        <f>IF(ISNA(MATCH(1106,Engine!$C$2:$C$1199,0)),"",INDEX('Compliance Database'!$G$2:$G$1199,MATCH(1106,Engine!$C$2:$C$1199,0)))</f>
        <v/>
      </c>
      <c r="H1119" s="7" t="str">
        <f>IF(ISNA(MATCH(1106,Engine!$C$2:$C$1199,0)),"",INDEX('Compliance Database'!$H$2:$H$1199,MATCH(1106,Engine!$C$2:$C$1199,0)))</f>
        <v/>
      </c>
      <c r="I1119" s="7" t="str">
        <f>IF(ISNA(MATCH(1106,Engine!$C$2:$C$1199,0)),"",INDEX('Compliance Database'!$I$2:$I$1199,MATCH(1106,Engine!$C$2:$C$1199,0)))</f>
        <v/>
      </c>
      <c r="J1119" s="6" t="str">
        <f>IF(ISNA(MATCH(1106,Engine!$C$2:$C$1199,0)),"",INDEX('Compliance Database'!$J$2:$J$1199,MATCH(1106,Engine!$C$2:$C$1199,0)))</f>
        <v/>
      </c>
      <c r="K1119" s="7" t="str">
        <f>IF(ISNA(MATCH(1106,Engine!$C$2:$C$1199,0)),"",INDEX('Compliance Database'!$K$2:$K$1199,MATCH(1106,Engine!$C$2:$C$1199,0)))</f>
        <v/>
      </c>
      <c r="L1119" s="7" t="str">
        <f>IF(ISNA(MATCH(1106,Engine!$C$2:$C$1199,0)),"",INDEX('Compliance Database'!$L$2:$L$1199,MATCH(1106,Engine!$C$2:$C$1199,0)))</f>
        <v/>
      </c>
      <c r="M1119" s="7" t="str">
        <f>IF(ISNA(MATCH(1106,Engine!$C$2:$C$1199,0)),"",INDEX('Compliance Database'!$M$2:$M$1199,MATCH(1106,Engine!$C$2:$C$1199,0)))</f>
        <v/>
      </c>
      <c r="N1119" s="7" t="str">
        <f>IF(ISNA(MATCH(1106,Engine!$C$2:$C$1199,0)),"",INDEX('Compliance Database'!$N$2:$N$1199,MATCH(1106,Engine!$C$2:$C$1199,0)))</f>
        <v/>
      </c>
      <c r="O1119" s="7" t="str">
        <f>IF(ISNA(MATCH(1106,Engine!$C$2:$C$1199,0)),"",INDEX('Compliance Database'!$O$2:$O$1199,MATCH(1106,Engine!$C$2:$C$1199,0)))</f>
        <v/>
      </c>
      <c r="P1119" s="6" t="str">
        <f>IF(ISNA(MATCH(1106,Engine!$C$2:$C$1199,0)),"",HYPERLINK("#Acts!A"&amp;INDEX('Compliance Database'!$P$2:$P$1199,MATCH(1106,Engine!$C$2:$C$1199,0)),"Go to Act"))</f>
        <v/>
      </c>
    </row>
    <row r="1120" spans="1:16" ht="172.95" customHeight="1" x14ac:dyDescent="0.3">
      <c r="A1120" s="6" t="str">
        <f>IF(ISNA(MATCH(1107,Engine!$C$2:$C$1199,0)),"",INDEX('Compliance Database'!$A$2:$A$1199,MATCH(1107,Engine!$C$2:$C$1199,0)))</f>
        <v/>
      </c>
      <c r="B1120" s="6" t="str">
        <f>IF(ISNA(MATCH(1107,Engine!$C$2:$C$1199,0)),"",INDEX('Compliance Database'!$B$2:$B$1199,MATCH(1107,Engine!$C$2:$C$1199,0)))</f>
        <v/>
      </c>
      <c r="C1120" s="6" t="str">
        <f>IF(ISNA(MATCH(1107,Engine!$C$2:$C$1199,0)),"",INDEX('Compliance Database'!$C$2:$C$1199,MATCH(1107,Engine!$C$2:$C$1199,0)))</f>
        <v/>
      </c>
      <c r="D1120" s="7" t="str">
        <f>IF(ISNA(MATCH(1107,Engine!$C$2:$C$1199,0)),"",INDEX('Compliance Database'!$D$2:$D$1199,MATCH(1107,Engine!$C$2:$C$1199,0)))</f>
        <v/>
      </c>
      <c r="E1120" s="6" t="str">
        <f>IF(ISNA(MATCH(1107,Engine!$C$2:$C$1199,0)),"",INDEX('Compliance Database'!$E$2:$E$1199,MATCH(1107,Engine!$C$2:$C$1199,0)))</f>
        <v/>
      </c>
      <c r="F1120" s="6" t="str">
        <f>IF(ISNA(MATCH(1107,Engine!$C$2:$C$1199,0)),"",INDEX('Compliance Database'!$F$2:$F$1199,MATCH(1107,Engine!$C$2:$C$1199,0)))</f>
        <v/>
      </c>
      <c r="G1120" s="6" t="str">
        <f>IF(ISNA(MATCH(1107,Engine!$C$2:$C$1199,0)),"",INDEX('Compliance Database'!$G$2:$G$1199,MATCH(1107,Engine!$C$2:$C$1199,0)))</f>
        <v/>
      </c>
      <c r="H1120" s="7" t="str">
        <f>IF(ISNA(MATCH(1107,Engine!$C$2:$C$1199,0)),"",INDEX('Compliance Database'!$H$2:$H$1199,MATCH(1107,Engine!$C$2:$C$1199,0)))</f>
        <v/>
      </c>
      <c r="I1120" s="7" t="str">
        <f>IF(ISNA(MATCH(1107,Engine!$C$2:$C$1199,0)),"",INDEX('Compliance Database'!$I$2:$I$1199,MATCH(1107,Engine!$C$2:$C$1199,0)))</f>
        <v/>
      </c>
      <c r="J1120" s="6" t="str">
        <f>IF(ISNA(MATCH(1107,Engine!$C$2:$C$1199,0)),"",INDEX('Compliance Database'!$J$2:$J$1199,MATCH(1107,Engine!$C$2:$C$1199,0)))</f>
        <v/>
      </c>
      <c r="K1120" s="7" t="str">
        <f>IF(ISNA(MATCH(1107,Engine!$C$2:$C$1199,0)),"",INDEX('Compliance Database'!$K$2:$K$1199,MATCH(1107,Engine!$C$2:$C$1199,0)))</f>
        <v/>
      </c>
      <c r="L1120" s="7" t="str">
        <f>IF(ISNA(MATCH(1107,Engine!$C$2:$C$1199,0)),"",INDEX('Compliance Database'!$L$2:$L$1199,MATCH(1107,Engine!$C$2:$C$1199,0)))</f>
        <v/>
      </c>
      <c r="M1120" s="7" t="str">
        <f>IF(ISNA(MATCH(1107,Engine!$C$2:$C$1199,0)),"",INDEX('Compliance Database'!$M$2:$M$1199,MATCH(1107,Engine!$C$2:$C$1199,0)))</f>
        <v/>
      </c>
      <c r="N1120" s="7" t="str">
        <f>IF(ISNA(MATCH(1107,Engine!$C$2:$C$1199,0)),"",INDEX('Compliance Database'!$N$2:$N$1199,MATCH(1107,Engine!$C$2:$C$1199,0)))</f>
        <v/>
      </c>
      <c r="O1120" s="7" t="str">
        <f>IF(ISNA(MATCH(1107,Engine!$C$2:$C$1199,0)),"",INDEX('Compliance Database'!$O$2:$O$1199,MATCH(1107,Engine!$C$2:$C$1199,0)))</f>
        <v/>
      </c>
      <c r="P1120" s="6" t="str">
        <f>IF(ISNA(MATCH(1107,Engine!$C$2:$C$1199,0)),"",HYPERLINK("#Acts!A"&amp;INDEX('Compliance Database'!$P$2:$P$1199,MATCH(1107,Engine!$C$2:$C$1199,0)),"Go to Act"))</f>
        <v/>
      </c>
    </row>
    <row r="1121" spans="1:16" ht="172.95" customHeight="1" x14ac:dyDescent="0.3">
      <c r="A1121" s="6" t="str">
        <f>IF(ISNA(MATCH(1108,Engine!$C$2:$C$1199,0)),"",INDEX('Compliance Database'!$A$2:$A$1199,MATCH(1108,Engine!$C$2:$C$1199,0)))</f>
        <v/>
      </c>
      <c r="B1121" s="6" t="str">
        <f>IF(ISNA(MATCH(1108,Engine!$C$2:$C$1199,0)),"",INDEX('Compliance Database'!$B$2:$B$1199,MATCH(1108,Engine!$C$2:$C$1199,0)))</f>
        <v/>
      </c>
      <c r="C1121" s="6" t="str">
        <f>IF(ISNA(MATCH(1108,Engine!$C$2:$C$1199,0)),"",INDEX('Compliance Database'!$C$2:$C$1199,MATCH(1108,Engine!$C$2:$C$1199,0)))</f>
        <v/>
      </c>
      <c r="D1121" s="7" t="str">
        <f>IF(ISNA(MATCH(1108,Engine!$C$2:$C$1199,0)),"",INDEX('Compliance Database'!$D$2:$D$1199,MATCH(1108,Engine!$C$2:$C$1199,0)))</f>
        <v/>
      </c>
      <c r="E1121" s="6" t="str">
        <f>IF(ISNA(MATCH(1108,Engine!$C$2:$C$1199,0)),"",INDEX('Compliance Database'!$E$2:$E$1199,MATCH(1108,Engine!$C$2:$C$1199,0)))</f>
        <v/>
      </c>
      <c r="F1121" s="6" t="str">
        <f>IF(ISNA(MATCH(1108,Engine!$C$2:$C$1199,0)),"",INDEX('Compliance Database'!$F$2:$F$1199,MATCH(1108,Engine!$C$2:$C$1199,0)))</f>
        <v/>
      </c>
      <c r="G1121" s="6" t="str">
        <f>IF(ISNA(MATCH(1108,Engine!$C$2:$C$1199,0)),"",INDEX('Compliance Database'!$G$2:$G$1199,MATCH(1108,Engine!$C$2:$C$1199,0)))</f>
        <v/>
      </c>
      <c r="H1121" s="7" t="str">
        <f>IF(ISNA(MATCH(1108,Engine!$C$2:$C$1199,0)),"",INDEX('Compliance Database'!$H$2:$H$1199,MATCH(1108,Engine!$C$2:$C$1199,0)))</f>
        <v/>
      </c>
      <c r="I1121" s="7" t="str">
        <f>IF(ISNA(MATCH(1108,Engine!$C$2:$C$1199,0)),"",INDEX('Compliance Database'!$I$2:$I$1199,MATCH(1108,Engine!$C$2:$C$1199,0)))</f>
        <v/>
      </c>
      <c r="J1121" s="6" t="str">
        <f>IF(ISNA(MATCH(1108,Engine!$C$2:$C$1199,0)),"",INDEX('Compliance Database'!$J$2:$J$1199,MATCH(1108,Engine!$C$2:$C$1199,0)))</f>
        <v/>
      </c>
      <c r="K1121" s="7" t="str">
        <f>IF(ISNA(MATCH(1108,Engine!$C$2:$C$1199,0)),"",INDEX('Compliance Database'!$K$2:$K$1199,MATCH(1108,Engine!$C$2:$C$1199,0)))</f>
        <v/>
      </c>
      <c r="L1121" s="7" t="str">
        <f>IF(ISNA(MATCH(1108,Engine!$C$2:$C$1199,0)),"",INDEX('Compliance Database'!$L$2:$L$1199,MATCH(1108,Engine!$C$2:$C$1199,0)))</f>
        <v/>
      </c>
      <c r="M1121" s="7" t="str">
        <f>IF(ISNA(MATCH(1108,Engine!$C$2:$C$1199,0)),"",INDEX('Compliance Database'!$M$2:$M$1199,MATCH(1108,Engine!$C$2:$C$1199,0)))</f>
        <v/>
      </c>
      <c r="N1121" s="7" t="str">
        <f>IF(ISNA(MATCH(1108,Engine!$C$2:$C$1199,0)),"",INDEX('Compliance Database'!$N$2:$N$1199,MATCH(1108,Engine!$C$2:$C$1199,0)))</f>
        <v/>
      </c>
      <c r="O1121" s="7" t="str">
        <f>IF(ISNA(MATCH(1108,Engine!$C$2:$C$1199,0)),"",INDEX('Compliance Database'!$O$2:$O$1199,MATCH(1108,Engine!$C$2:$C$1199,0)))</f>
        <v/>
      </c>
      <c r="P1121" s="6" t="str">
        <f>IF(ISNA(MATCH(1108,Engine!$C$2:$C$1199,0)),"",HYPERLINK("#Acts!A"&amp;INDEX('Compliance Database'!$P$2:$P$1199,MATCH(1108,Engine!$C$2:$C$1199,0)),"Go to Act"))</f>
        <v/>
      </c>
    </row>
    <row r="1122" spans="1:16" ht="172.95" customHeight="1" x14ac:dyDescent="0.3">
      <c r="A1122" s="6" t="str">
        <f>IF(ISNA(MATCH(1109,Engine!$C$2:$C$1199,0)),"",INDEX('Compliance Database'!$A$2:$A$1199,MATCH(1109,Engine!$C$2:$C$1199,0)))</f>
        <v/>
      </c>
      <c r="B1122" s="6" t="str">
        <f>IF(ISNA(MATCH(1109,Engine!$C$2:$C$1199,0)),"",INDEX('Compliance Database'!$B$2:$B$1199,MATCH(1109,Engine!$C$2:$C$1199,0)))</f>
        <v/>
      </c>
      <c r="C1122" s="6" t="str">
        <f>IF(ISNA(MATCH(1109,Engine!$C$2:$C$1199,0)),"",INDEX('Compliance Database'!$C$2:$C$1199,MATCH(1109,Engine!$C$2:$C$1199,0)))</f>
        <v/>
      </c>
      <c r="D1122" s="7" t="str">
        <f>IF(ISNA(MATCH(1109,Engine!$C$2:$C$1199,0)),"",INDEX('Compliance Database'!$D$2:$D$1199,MATCH(1109,Engine!$C$2:$C$1199,0)))</f>
        <v/>
      </c>
      <c r="E1122" s="6" t="str">
        <f>IF(ISNA(MATCH(1109,Engine!$C$2:$C$1199,0)),"",INDEX('Compliance Database'!$E$2:$E$1199,MATCH(1109,Engine!$C$2:$C$1199,0)))</f>
        <v/>
      </c>
      <c r="F1122" s="6" t="str">
        <f>IF(ISNA(MATCH(1109,Engine!$C$2:$C$1199,0)),"",INDEX('Compliance Database'!$F$2:$F$1199,MATCH(1109,Engine!$C$2:$C$1199,0)))</f>
        <v/>
      </c>
      <c r="G1122" s="6" t="str">
        <f>IF(ISNA(MATCH(1109,Engine!$C$2:$C$1199,0)),"",INDEX('Compliance Database'!$G$2:$G$1199,MATCH(1109,Engine!$C$2:$C$1199,0)))</f>
        <v/>
      </c>
      <c r="H1122" s="7" t="str">
        <f>IF(ISNA(MATCH(1109,Engine!$C$2:$C$1199,0)),"",INDEX('Compliance Database'!$H$2:$H$1199,MATCH(1109,Engine!$C$2:$C$1199,0)))</f>
        <v/>
      </c>
      <c r="I1122" s="7" t="str">
        <f>IF(ISNA(MATCH(1109,Engine!$C$2:$C$1199,0)),"",INDEX('Compliance Database'!$I$2:$I$1199,MATCH(1109,Engine!$C$2:$C$1199,0)))</f>
        <v/>
      </c>
      <c r="J1122" s="6" t="str">
        <f>IF(ISNA(MATCH(1109,Engine!$C$2:$C$1199,0)),"",INDEX('Compliance Database'!$J$2:$J$1199,MATCH(1109,Engine!$C$2:$C$1199,0)))</f>
        <v/>
      </c>
      <c r="K1122" s="7" t="str">
        <f>IF(ISNA(MATCH(1109,Engine!$C$2:$C$1199,0)),"",INDEX('Compliance Database'!$K$2:$K$1199,MATCH(1109,Engine!$C$2:$C$1199,0)))</f>
        <v/>
      </c>
      <c r="L1122" s="7" t="str">
        <f>IF(ISNA(MATCH(1109,Engine!$C$2:$C$1199,0)),"",INDEX('Compliance Database'!$L$2:$L$1199,MATCH(1109,Engine!$C$2:$C$1199,0)))</f>
        <v/>
      </c>
      <c r="M1122" s="7" t="str">
        <f>IF(ISNA(MATCH(1109,Engine!$C$2:$C$1199,0)),"",INDEX('Compliance Database'!$M$2:$M$1199,MATCH(1109,Engine!$C$2:$C$1199,0)))</f>
        <v/>
      </c>
      <c r="N1122" s="7" t="str">
        <f>IF(ISNA(MATCH(1109,Engine!$C$2:$C$1199,0)),"",INDEX('Compliance Database'!$N$2:$N$1199,MATCH(1109,Engine!$C$2:$C$1199,0)))</f>
        <v/>
      </c>
      <c r="O1122" s="7" t="str">
        <f>IF(ISNA(MATCH(1109,Engine!$C$2:$C$1199,0)),"",INDEX('Compliance Database'!$O$2:$O$1199,MATCH(1109,Engine!$C$2:$C$1199,0)))</f>
        <v/>
      </c>
      <c r="P1122" s="6" t="str">
        <f>IF(ISNA(MATCH(1109,Engine!$C$2:$C$1199,0)),"",HYPERLINK("#Acts!A"&amp;INDEX('Compliance Database'!$P$2:$P$1199,MATCH(1109,Engine!$C$2:$C$1199,0)),"Go to Act"))</f>
        <v/>
      </c>
    </row>
    <row r="1123" spans="1:16" ht="172.95" customHeight="1" x14ac:dyDescent="0.3">
      <c r="A1123" s="6" t="str">
        <f>IF(ISNA(MATCH(1110,Engine!$C$2:$C$1199,0)),"",INDEX('Compliance Database'!$A$2:$A$1199,MATCH(1110,Engine!$C$2:$C$1199,0)))</f>
        <v/>
      </c>
      <c r="B1123" s="6" t="str">
        <f>IF(ISNA(MATCH(1110,Engine!$C$2:$C$1199,0)),"",INDEX('Compliance Database'!$B$2:$B$1199,MATCH(1110,Engine!$C$2:$C$1199,0)))</f>
        <v/>
      </c>
      <c r="C1123" s="6" t="str">
        <f>IF(ISNA(MATCH(1110,Engine!$C$2:$C$1199,0)),"",INDEX('Compliance Database'!$C$2:$C$1199,MATCH(1110,Engine!$C$2:$C$1199,0)))</f>
        <v/>
      </c>
      <c r="D1123" s="7" t="str">
        <f>IF(ISNA(MATCH(1110,Engine!$C$2:$C$1199,0)),"",INDEX('Compliance Database'!$D$2:$D$1199,MATCH(1110,Engine!$C$2:$C$1199,0)))</f>
        <v/>
      </c>
      <c r="E1123" s="6" t="str">
        <f>IF(ISNA(MATCH(1110,Engine!$C$2:$C$1199,0)),"",INDEX('Compliance Database'!$E$2:$E$1199,MATCH(1110,Engine!$C$2:$C$1199,0)))</f>
        <v/>
      </c>
      <c r="F1123" s="6" t="str">
        <f>IF(ISNA(MATCH(1110,Engine!$C$2:$C$1199,0)),"",INDEX('Compliance Database'!$F$2:$F$1199,MATCH(1110,Engine!$C$2:$C$1199,0)))</f>
        <v/>
      </c>
      <c r="G1123" s="6" t="str">
        <f>IF(ISNA(MATCH(1110,Engine!$C$2:$C$1199,0)),"",INDEX('Compliance Database'!$G$2:$G$1199,MATCH(1110,Engine!$C$2:$C$1199,0)))</f>
        <v/>
      </c>
      <c r="H1123" s="7" t="str">
        <f>IF(ISNA(MATCH(1110,Engine!$C$2:$C$1199,0)),"",INDEX('Compliance Database'!$H$2:$H$1199,MATCH(1110,Engine!$C$2:$C$1199,0)))</f>
        <v/>
      </c>
      <c r="I1123" s="7" t="str">
        <f>IF(ISNA(MATCH(1110,Engine!$C$2:$C$1199,0)),"",INDEX('Compliance Database'!$I$2:$I$1199,MATCH(1110,Engine!$C$2:$C$1199,0)))</f>
        <v/>
      </c>
      <c r="J1123" s="6" t="str">
        <f>IF(ISNA(MATCH(1110,Engine!$C$2:$C$1199,0)),"",INDEX('Compliance Database'!$J$2:$J$1199,MATCH(1110,Engine!$C$2:$C$1199,0)))</f>
        <v/>
      </c>
      <c r="K1123" s="7" t="str">
        <f>IF(ISNA(MATCH(1110,Engine!$C$2:$C$1199,0)),"",INDEX('Compliance Database'!$K$2:$K$1199,MATCH(1110,Engine!$C$2:$C$1199,0)))</f>
        <v/>
      </c>
      <c r="L1123" s="7" t="str">
        <f>IF(ISNA(MATCH(1110,Engine!$C$2:$C$1199,0)),"",INDEX('Compliance Database'!$L$2:$L$1199,MATCH(1110,Engine!$C$2:$C$1199,0)))</f>
        <v/>
      </c>
      <c r="M1123" s="7" t="str">
        <f>IF(ISNA(MATCH(1110,Engine!$C$2:$C$1199,0)),"",INDEX('Compliance Database'!$M$2:$M$1199,MATCH(1110,Engine!$C$2:$C$1199,0)))</f>
        <v/>
      </c>
      <c r="N1123" s="7" t="str">
        <f>IF(ISNA(MATCH(1110,Engine!$C$2:$C$1199,0)),"",INDEX('Compliance Database'!$N$2:$N$1199,MATCH(1110,Engine!$C$2:$C$1199,0)))</f>
        <v/>
      </c>
      <c r="O1123" s="7" t="str">
        <f>IF(ISNA(MATCH(1110,Engine!$C$2:$C$1199,0)),"",INDEX('Compliance Database'!$O$2:$O$1199,MATCH(1110,Engine!$C$2:$C$1199,0)))</f>
        <v/>
      </c>
      <c r="P1123" s="6" t="str">
        <f>IF(ISNA(MATCH(1110,Engine!$C$2:$C$1199,0)),"",HYPERLINK("#Acts!A"&amp;INDEX('Compliance Database'!$P$2:$P$1199,MATCH(1110,Engine!$C$2:$C$1199,0)),"Go to Act"))</f>
        <v/>
      </c>
    </row>
    <row r="1124" spans="1:16" ht="172.95" customHeight="1" x14ac:dyDescent="0.3">
      <c r="A1124" s="6" t="str">
        <f>IF(ISNA(MATCH(1111,Engine!$C$2:$C$1199,0)),"",INDEX('Compliance Database'!$A$2:$A$1199,MATCH(1111,Engine!$C$2:$C$1199,0)))</f>
        <v/>
      </c>
      <c r="B1124" s="6" t="str">
        <f>IF(ISNA(MATCH(1111,Engine!$C$2:$C$1199,0)),"",INDEX('Compliance Database'!$B$2:$B$1199,MATCH(1111,Engine!$C$2:$C$1199,0)))</f>
        <v/>
      </c>
      <c r="C1124" s="6" t="str">
        <f>IF(ISNA(MATCH(1111,Engine!$C$2:$C$1199,0)),"",INDEX('Compliance Database'!$C$2:$C$1199,MATCH(1111,Engine!$C$2:$C$1199,0)))</f>
        <v/>
      </c>
      <c r="D1124" s="7" t="str">
        <f>IF(ISNA(MATCH(1111,Engine!$C$2:$C$1199,0)),"",INDEX('Compliance Database'!$D$2:$D$1199,MATCH(1111,Engine!$C$2:$C$1199,0)))</f>
        <v/>
      </c>
      <c r="E1124" s="6" t="str">
        <f>IF(ISNA(MATCH(1111,Engine!$C$2:$C$1199,0)),"",INDEX('Compliance Database'!$E$2:$E$1199,MATCH(1111,Engine!$C$2:$C$1199,0)))</f>
        <v/>
      </c>
      <c r="F1124" s="6" t="str">
        <f>IF(ISNA(MATCH(1111,Engine!$C$2:$C$1199,0)),"",INDEX('Compliance Database'!$F$2:$F$1199,MATCH(1111,Engine!$C$2:$C$1199,0)))</f>
        <v/>
      </c>
      <c r="G1124" s="6" t="str">
        <f>IF(ISNA(MATCH(1111,Engine!$C$2:$C$1199,0)),"",INDEX('Compliance Database'!$G$2:$G$1199,MATCH(1111,Engine!$C$2:$C$1199,0)))</f>
        <v/>
      </c>
      <c r="H1124" s="7" t="str">
        <f>IF(ISNA(MATCH(1111,Engine!$C$2:$C$1199,0)),"",INDEX('Compliance Database'!$H$2:$H$1199,MATCH(1111,Engine!$C$2:$C$1199,0)))</f>
        <v/>
      </c>
      <c r="I1124" s="7" t="str">
        <f>IF(ISNA(MATCH(1111,Engine!$C$2:$C$1199,0)),"",INDEX('Compliance Database'!$I$2:$I$1199,MATCH(1111,Engine!$C$2:$C$1199,0)))</f>
        <v/>
      </c>
      <c r="J1124" s="6" t="str">
        <f>IF(ISNA(MATCH(1111,Engine!$C$2:$C$1199,0)),"",INDEX('Compliance Database'!$J$2:$J$1199,MATCH(1111,Engine!$C$2:$C$1199,0)))</f>
        <v/>
      </c>
      <c r="K1124" s="7" t="str">
        <f>IF(ISNA(MATCH(1111,Engine!$C$2:$C$1199,0)),"",INDEX('Compliance Database'!$K$2:$K$1199,MATCH(1111,Engine!$C$2:$C$1199,0)))</f>
        <v/>
      </c>
      <c r="L1124" s="7" t="str">
        <f>IF(ISNA(MATCH(1111,Engine!$C$2:$C$1199,0)),"",INDEX('Compliance Database'!$L$2:$L$1199,MATCH(1111,Engine!$C$2:$C$1199,0)))</f>
        <v/>
      </c>
      <c r="M1124" s="7" t="str">
        <f>IF(ISNA(MATCH(1111,Engine!$C$2:$C$1199,0)),"",INDEX('Compliance Database'!$M$2:$M$1199,MATCH(1111,Engine!$C$2:$C$1199,0)))</f>
        <v/>
      </c>
      <c r="N1124" s="7" t="str">
        <f>IF(ISNA(MATCH(1111,Engine!$C$2:$C$1199,0)),"",INDEX('Compliance Database'!$N$2:$N$1199,MATCH(1111,Engine!$C$2:$C$1199,0)))</f>
        <v/>
      </c>
      <c r="O1124" s="7" t="str">
        <f>IF(ISNA(MATCH(1111,Engine!$C$2:$C$1199,0)),"",INDEX('Compliance Database'!$O$2:$O$1199,MATCH(1111,Engine!$C$2:$C$1199,0)))</f>
        <v/>
      </c>
      <c r="P1124" s="6" t="str">
        <f>IF(ISNA(MATCH(1111,Engine!$C$2:$C$1199,0)),"",HYPERLINK("#Acts!A"&amp;INDEX('Compliance Database'!$P$2:$P$1199,MATCH(1111,Engine!$C$2:$C$1199,0)),"Go to Act"))</f>
        <v/>
      </c>
    </row>
    <row r="1125" spans="1:16" ht="172.95" customHeight="1" x14ac:dyDescent="0.3">
      <c r="A1125" s="6" t="str">
        <f>IF(ISNA(MATCH(1112,Engine!$C$2:$C$1199,0)),"",INDEX('Compliance Database'!$A$2:$A$1199,MATCH(1112,Engine!$C$2:$C$1199,0)))</f>
        <v/>
      </c>
      <c r="B1125" s="6" t="str">
        <f>IF(ISNA(MATCH(1112,Engine!$C$2:$C$1199,0)),"",INDEX('Compliance Database'!$B$2:$B$1199,MATCH(1112,Engine!$C$2:$C$1199,0)))</f>
        <v/>
      </c>
      <c r="C1125" s="6" t="str">
        <f>IF(ISNA(MATCH(1112,Engine!$C$2:$C$1199,0)),"",INDEX('Compliance Database'!$C$2:$C$1199,MATCH(1112,Engine!$C$2:$C$1199,0)))</f>
        <v/>
      </c>
      <c r="D1125" s="7" t="str">
        <f>IF(ISNA(MATCH(1112,Engine!$C$2:$C$1199,0)),"",INDEX('Compliance Database'!$D$2:$D$1199,MATCH(1112,Engine!$C$2:$C$1199,0)))</f>
        <v/>
      </c>
      <c r="E1125" s="6" t="str">
        <f>IF(ISNA(MATCH(1112,Engine!$C$2:$C$1199,0)),"",INDEX('Compliance Database'!$E$2:$E$1199,MATCH(1112,Engine!$C$2:$C$1199,0)))</f>
        <v/>
      </c>
      <c r="F1125" s="6" t="str">
        <f>IF(ISNA(MATCH(1112,Engine!$C$2:$C$1199,0)),"",INDEX('Compliance Database'!$F$2:$F$1199,MATCH(1112,Engine!$C$2:$C$1199,0)))</f>
        <v/>
      </c>
      <c r="G1125" s="6" t="str">
        <f>IF(ISNA(MATCH(1112,Engine!$C$2:$C$1199,0)),"",INDEX('Compliance Database'!$G$2:$G$1199,MATCH(1112,Engine!$C$2:$C$1199,0)))</f>
        <v/>
      </c>
      <c r="H1125" s="7" t="str">
        <f>IF(ISNA(MATCH(1112,Engine!$C$2:$C$1199,0)),"",INDEX('Compliance Database'!$H$2:$H$1199,MATCH(1112,Engine!$C$2:$C$1199,0)))</f>
        <v/>
      </c>
      <c r="I1125" s="7" t="str">
        <f>IF(ISNA(MATCH(1112,Engine!$C$2:$C$1199,0)),"",INDEX('Compliance Database'!$I$2:$I$1199,MATCH(1112,Engine!$C$2:$C$1199,0)))</f>
        <v/>
      </c>
      <c r="J1125" s="6" t="str">
        <f>IF(ISNA(MATCH(1112,Engine!$C$2:$C$1199,0)),"",INDEX('Compliance Database'!$J$2:$J$1199,MATCH(1112,Engine!$C$2:$C$1199,0)))</f>
        <v/>
      </c>
      <c r="K1125" s="7" t="str">
        <f>IF(ISNA(MATCH(1112,Engine!$C$2:$C$1199,0)),"",INDEX('Compliance Database'!$K$2:$K$1199,MATCH(1112,Engine!$C$2:$C$1199,0)))</f>
        <v/>
      </c>
      <c r="L1125" s="7" t="str">
        <f>IF(ISNA(MATCH(1112,Engine!$C$2:$C$1199,0)),"",INDEX('Compliance Database'!$L$2:$L$1199,MATCH(1112,Engine!$C$2:$C$1199,0)))</f>
        <v/>
      </c>
      <c r="M1125" s="7" t="str">
        <f>IF(ISNA(MATCH(1112,Engine!$C$2:$C$1199,0)),"",INDEX('Compliance Database'!$M$2:$M$1199,MATCH(1112,Engine!$C$2:$C$1199,0)))</f>
        <v/>
      </c>
      <c r="N1125" s="7" t="str">
        <f>IF(ISNA(MATCH(1112,Engine!$C$2:$C$1199,0)),"",INDEX('Compliance Database'!$N$2:$N$1199,MATCH(1112,Engine!$C$2:$C$1199,0)))</f>
        <v/>
      </c>
      <c r="O1125" s="7" t="str">
        <f>IF(ISNA(MATCH(1112,Engine!$C$2:$C$1199,0)),"",INDEX('Compliance Database'!$O$2:$O$1199,MATCH(1112,Engine!$C$2:$C$1199,0)))</f>
        <v/>
      </c>
      <c r="P1125" s="6" t="str">
        <f>IF(ISNA(MATCH(1112,Engine!$C$2:$C$1199,0)),"",HYPERLINK("#Acts!A"&amp;INDEX('Compliance Database'!$P$2:$P$1199,MATCH(1112,Engine!$C$2:$C$1199,0)),"Go to Act"))</f>
        <v/>
      </c>
    </row>
    <row r="1126" spans="1:16" ht="172.95" customHeight="1" x14ac:dyDescent="0.3">
      <c r="A1126" s="6" t="str">
        <f>IF(ISNA(MATCH(1113,Engine!$C$2:$C$1199,0)),"",INDEX('Compliance Database'!$A$2:$A$1199,MATCH(1113,Engine!$C$2:$C$1199,0)))</f>
        <v/>
      </c>
      <c r="B1126" s="6" t="str">
        <f>IF(ISNA(MATCH(1113,Engine!$C$2:$C$1199,0)),"",INDEX('Compliance Database'!$B$2:$B$1199,MATCH(1113,Engine!$C$2:$C$1199,0)))</f>
        <v/>
      </c>
      <c r="C1126" s="6" t="str">
        <f>IF(ISNA(MATCH(1113,Engine!$C$2:$C$1199,0)),"",INDEX('Compliance Database'!$C$2:$C$1199,MATCH(1113,Engine!$C$2:$C$1199,0)))</f>
        <v/>
      </c>
      <c r="D1126" s="7" t="str">
        <f>IF(ISNA(MATCH(1113,Engine!$C$2:$C$1199,0)),"",INDEX('Compliance Database'!$D$2:$D$1199,MATCH(1113,Engine!$C$2:$C$1199,0)))</f>
        <v/>
      </c>
      <c r="E1126" s="6" t="str">
        <f>IF(ISNA(MATCH(1113,Engine!$C$2:$C$1199,0)),"",INDEX('Compliance Database'!$E$2:$E$1199,MATCH(1113,Engine!$C$2:$C$1199,0)))</f>
        <v/>
      </c>
      <c r="F1126" s="6" t="str">
        <f>IF(ISNA(MATCH(1113,Engine!$C$2:$C$1199,0)),"",INDEX('Compliance Database'!$F$2:$F$1199,MATCH(1113,Engine!$C$2:$C$1199,0)))</f>
        <v/>
      </c>
      <c r="G1126" s="6" t="str">
        <f>IF(ISNA(MATCH(1113,Engine!$C$2:$C$1199,0)),"",INDEX('Compliance Database'!$G$2:$G$1199,MATCH(1113,Engine!$C$2:$C$1199,0)))</f>
        <v/>
      </c>
      <c r="H1126" s="7" t="str">
        <f>IF(ISNA(MATCH(1113,Engine!$C$2:$C$1199,0)),"",INDEX('Compliance Database'!$H$2:$H$1199,MATCH(1113,Engine!$C$2:$C$1199,0)))</f>
        <v/>
      </c>
      <c r="I1126" s="7" t="str">
        <f>IF(ISNA(MATCH(1113,Engine!$C$2:$C$1199,0)),"",INDEX('Compliance Database'!$I$2:$I$1199,MATCH(1113,Engine!$C$2:$C$1199,0)))</f>
        <v/>
      </c>
      <c r="J1126" s="6" t="str">
        <f>IF(ISNA(MATCH(1113,Engine!$C$2:$C$1199,0)),"",INDEX('Compliance Database'!$J$2:$J$1199,MATCH(1113,Engine!$C$2:$C$1199,0)))</f>
        <v/>
      </c>
      <c r="K1126" s="7" t="str">
        <f>IF(ISNA(MATCH(1113,Engine!$C$2:$C$1199,0)),"",INDEX('Compliance Database'!$K$2:$K$1199,MATCH(1113,Engine!$C$2:$C$1199,0)))</f>
        <v/>
      </c>
      <c r="L1126" s="7" t="str">
        <f>IF(ISNA(MATCH(1113,Engine!$C$2:$C$1199,0)),"",INDEX('Compliance Database'!$L$2:$L$1199,MATCH(1113,Engine!$C$2:$C$1199,0)))</f>
        <v/>
      </c>
      <c r="M1126" s="7" t="str">
        <f>IF(ISNA(MATCH(1113,Engine!$C$2:$C$1199,0)),"",INDEX('Compliance Database'!$M$2:$M$1199,MATCH(1113,Engine!$C$2:$C$1199,0)))</f>
        <v/>
      </c>
      <c r="N1126" s="7" t="str">
        <f>IF(ISNA(MATCH(1113,Engine!$C$2:$C$1199,0)),"",INDEX('Compliance Database'!$N$2:$N$1199,MATCH(1113,Engine!$C$2:$C$1199,0)))</f>
        <v/>
      </c>
      <c r="O1126" s="7" t="str">
        <f>IF(ISNA(MATCH(1113,Engine!$C$2:$C$1199,0)),"",INDEX('Compliance Database'!$O$2:$O$1199,MATCH(1113,Engine!$C$2:$C$1199,0)))</f>
        <v/>
      </c>
      <c r="P1126" s="6" t="str">
        <f>IF(ISNA(MATCH(1113,Engine!$C$2:$C$1199,0)),"",HYPERLINK("#Acts!A"&amp;INDEX('Compliance Database'!$P$2:$P$1199,MATCH(1113,Engine!$C$2:$C$1199,0)),"Go to Act"))</f>
        <v/>
      </c>
    </row>
    <row r="1127" spans="1:16" ht="172.95" customHeight="1" x14ac:dyDescent="0.3">
      <c r="A1127" s="6" t="str">
        <f>IF(ISNA(MATCH(1114,Engine!$C$2:$C$1199,0)),"",INDEX('Compliance Database'!$A$2:$A$1199,MATCH(1114,Engine!$C$2:$C$1199,0)))</f>
        <v/>
      </c>
      <c r="B1127" s="6" t="str">
        <f>IF(ISNA(MATCH(1114,Engine!$C$2:$C$1199,0)),"",INDEX('Compliance Database'!$B$2:$B$1199,MATCH(1114,Engine!$C$2:$C$1199,0)))</f>
        <v/>
      </c>
      <c r="C1127" s="6" t="str">
        <f>IF(ISNA(MATCH(1114,Engine!$C$2:$C$1199,0)),"",INDEX('Compliance Database'!$C$2:$C$1199,MATCH(1114,Engine!$C$2:$C$1199,0)))</f>
        <v/>
      </c>
      <c r="D1127" s="7" t="str">
        <f>IF(ISNA(MATCH(1114,Engine!$C$2:$C$1199,0)),"",INDEX('Compliance Database'!$D$2:$D$1199,MATCH(1114,Engine!$C$2:$C$1199,0)))</f>
        <v/>
      </c>
      <c r="E1127" s="6" t="str">
        <f>IF(ISNA(MATCH(1114,Engine!$C$2:$C$1199,0)),"",INDEX('Compliance Database'!$E$2:$E$1199,MATCH(1114,Engine!$C$2:$C$1199,0)))</f>
        <v/>
      </c>
      <c r="F1127" s="6" t="str">
        <f>IF(ISNA(MATCH(1114,Engine!$C$2:$C$1199,0)),"",INDEX('Compliance Database'!$F$2:$F$1199,MATCH(1114,Engine!$C$2:$C$1199,0)))</f>
        <v/>
      </c>
      <c r="G1127" s="6" t="str">
        <f>IF(ISNA(MATCH(1114,Engine!$C$2:$C$1199,0)),"",INDEX('Compliance Database'!$G$2:$G$1199,MATCH(1114,Engine!$C$2:$C$1199,0)))</f>
        <v/>
      </c>
      <c r="H1127" s="7" t="str">
        <f>IF(ISNA(MATCH(1114,Engine!$C$2:$C$1199,0)),"",INDEX('Compliance Database'!$H$2:$H$1199,MATCH(1114,Engine!$C$2:$C$1199,0)))</f>
        <v/>
      </c>
      <c r="I1127" s="7" t="str">
        <f>IF(ISNA(MATCH(1114,Engine!$C$2:$C$1199,0)),"",INDEX('Compliance Database'!$I$2:$I$1199,MATCH(1114,Engine!$C$2:$C$1199,0)))</f>
        <v/>
      </c>
      <c r="J1127" s="6" t="str">
        <f>IF(ISNA(MATCH(1114,Engine!$C$2:$C$1199,0)),"",INDEX('Compliance Database'!$J$2:$J$1199,MATCH(1114,Engine!$C$2:$C$1199,0)))</f>
        <v/>
      </c>
      <c r="K1127" s="7" t="str">
        <f>IF(ISNA(MATCH(1114,Engine!$C$2:$C$1199,0)),"",INDEX('Compliance Database'!$K$2:$K$1199,MATCH(1114,Engine!$C$2:$C$1199,0)))</f>
        <v/>
      </c>
      <c r="L1127" s="7" t="str">
        <f>IF(ISNA(MATCH(1114,Engine!$C$2:$C$1199,0)),"",INDEX('Compliance Database'!$L$2:$L$1199,MATCH(1114,Engine!$C$2:$C$1199,0)))</f>
        <v/>
      </c>
      <c r="M1127" s="7" t="str">
        <f>IF(ISNA(MATCH(1114,Engine!$C$2:$C$1199,0)),"",INDEX('Compliance Database'!$M$2:$M$1199,MATCH(1114,Engine!$C$2:$C$1199,0)))</f>
        <v/>
      </c>
      <c r="N1127" s="7" t="str">
        <f>IF(ISNA(MATCH(1114,Engine!$C$2:$C$1199,0)),"",INDEX('Compliance Database'!$N$2:$N$1199,MATCH(1114,Engine!$C$2:$C$1199,0)))</f>
        <v/>
      </c>
      <c r="O1127" s="7" t="str">
        <f>IF(ISNA(MATCH(1114,Engine!$C$2:$C$1199,0)),"",INDEX('Compliance Database'!$O$2:$O$1199,MATCH(1114,Engine!$C$2:$C$1199,0)))</f>
        <v/>
      </c>
      <c r="P1127" s="6" t="str">
        <f>IF(ISNA(MATCH(1114,Engine!$C$2:$C$1199,0)),"",HYPERLINK("#Acts!A"&amp;INDEX('Compliance Database'!$P$2:$P$1199,MATCH(1114,Engine!$C$2:$C$1199,0)),"Go to Act"))</f>
        <v/>
      </c>
    </row>
    <row r="1128" spans="1:16" ht="172.95" customHeight="1" x14ac:dyDescent="0.3">
      <c r="A1128" s="6" t="str">
        <f>IF(ISNA(MATCH(1115,Engine!$C$2:$C$1199,0)),"",INDEX('Compliance Database'!$A$2:$A$1199,MATCH(1115,Engine!$C$2:$C$1199,0)))</f>
        <v/>
      </c>
      <c r="B1128" s="6" t="str">
        <f>IF(ISNA(MATCH(1115,Engine!$C$2:$C$1199,0)),"",INDEX('Compliance Database'!$B$2:$B$1199,MATCH(1115,Engine!$C$2:$C$1199,0)))</f>
        <v/>
      </c>
      <c r="C1128" s="6" t="str">
        <f>IF(ISNA(MATCH(1115,Engine!$C$2:$C$1199,0)),"",INDEX('Compliance Database'!$C$2:$C$1199,MATCH(1115,Engine!$C$2:$C$1199,0)))</f>
        <v/>
      </c>
      <c r="D1128" s="7" t="str">
        <f>IF(ISNA(MATCH(1115,Engine!$C$2:$C$1199,0)),"",INDEX('Compliance Database'!$D$2:$D$1199,MATCH(1115,Engine!$C$2:$C$1199,0)))</f>
        <v/>
      </c>
      <c r="E1128" s="6" t="str">
        <f>IF(ISNA(MATCH(1115,Engine!$C$2:$C$1199,0)),"",INDEX('Compliance Database'!$E$2:$E$1199,MATCH(1115,Engine!$C$2:$C$1199,0)))</f>
        <v/>
      </c>
      <c r="F1128" s="6" t="str">
        <f>IF(ISNA(MATCH(1115,Engine!$C$2:$C$1199,0)),"",INDEX('Compliance Database'!$F$2:$F$1199,MATCH(1115,Engine!$C$2:$C$1199,0)))</f>
        <v/>
      </c>
      <c r="G1128" s="6" t="str">
        <f>IF(ISNA(MATCH(1115,Engine!$C$2:$C$1199,0)),"",INDEX('Compliance Database'!$G$2:$G$1199,MATCH(1115,Engine!$C$2:$C$1199,0)))</f>
        <v/>
      </c>
      <c r="H1128" s="7" t="str">
        <f>IF(ISNA(MATCH(1115,Engine!$C$2:$C$1199,0)),"",INDEX('Compliance Database'!$H$2:$H$1199,MATCH(1115,Engine!$C$2:$C$1199,0)))</f>
        <v/>
      </c>
      <c r="I1128" s="7" t="str">
        <f>IF(ISNA(MATCH(1115,Engine!$C$2:$C$1199,0)),"",INDEX('Compliance Database'!$I$2:$I$1199,MATCH(1115,Engine!$C$2:$C$1199,0)))</f>
        <v/>
      </c>
      <c r="J1128" s="6" t="str">
        <f>IF(ISNA(MATCH(1115,Engine!$C$2:$C$1199,0)),"",INDEX('Compliance Database'!$J$2:$J$1199,MATCH(1115,Engine!$C$2:$C$1199,0)))</f>
        <v/>
      </c>
      <c r="K1128" s="7" t="str">
        <f>IF(ISNA(MATCH(1115,Engine!$C$2:$C$1199,0)),"",INDEX('Compliance Database'!$K$2:$K$1199,MATCH(1115,Engine!$C$2:$C$1199,0)))</f>
        <v/>
      </c>
      <c r="L1128" s="7" t="str">
        <f>IF(ISNA(MATCH(1115,Engine!$C$2:$C$1199,0)),"",INDEX('Compliance Database'!$L$2:$L$1199,MATCH(1115,Engine!$C$2:$C$1199,0)))</f>
        <v/>
      </c>
      <c r="M1128" s="7" t="str">
        <f>IF(ISNA(MATCH(1115,Engine!$C$2:$C$1199,0)),"",INDEX('Compliance Database'!$M$2:$M$1199,MATCH(1115,Engine!$C$2:$C$1199,0)))</f>
        <v/>
      </c>
      <c r="N1128" s="7" t="str">
        <f>IF(ISNA(MATCH(1115,Engine!$C$2:$C$1199,0)),"",INDEX('Compliance Database'!$N$2:$N$1199,MATCH(1115,Engine!$C$2:$C$1199,0)))</f>
        <v/>
      </c>
      <c r="O1128" s="7" t="str">
        <f>IF(ISNA(MATCH(1115,Engine!$C$2:$C$1199,0)),"",INDEX('Compliance Database'!$O$2:$O$1199,MATCH(1115,Engine!$C$2:$C$1199,0)))</f>
        <v/>
      </c>
      <c r="P1128" s="6" t="str">
        <f>IF(ISNA(MATCH(1115,Engine!$C$2:$C$1199,0)),"",HYPERLINK("#Acts!A"&amp;INDEX('Compliance Database'!$P$2:$P$1199,MATCH(1115,Engine!$C$2:$C$1199,0)),"Go to Act"))</f>
        <v/>
      </c>
    </row>
    <row r="1129" spans="1:16" ht="172.95" customHeight="1" x14ac:dyDescent="0.3">
      <c r="A1129" s="6" t="str">
        <f>IF(ISNA(MATCH(1116,Engine!$C$2:$C$1199,0)),"",INDEX('Compliance Database'!$A$2:$A$1199,MATCH(1116,Engine!$C$2:$C$1199,0)))</f>
        <v/>
      </c>
      <c r="B1129" s="6" t="str">
        <f>IF(ISNA(MATCH(1116,Engine!$C$2:$C$1199,0)),"",INDEX('Compliance Database'!$B$2:$B$1199,MATCH(1116,Engine!$C$2:$C$1199,0)))</f>
        <v/>
      </c>
      <c r="C1129" s="6" t="str">
        <f>IF(ISNA(MATCH(1116,Engine!$C$2:$C$1199,0)),"",INDEX('Compliance Database'!$C$2:$C$1199,MATCH(1116,Engine!$C$2:$C$1199,0)))</f>
        <v/>
      </c>
      <c r="D1129" s="7" t="str">
        <f>IF(ISNA(MATCH(1116,Engine!$C$2:$C$1199,0)),"",INDEX('Compliance Database'!$D$2:$D$1199,MATCH(1116,Engine!$C$2:$C$1199,0)))</f>
        <v/>
      </c>
      <c r="E1129" s="6" t="str">
        <f>IF(ISNA(MATCH(1116,Engine!$C$2:$C$1199,0)),"",INDEX('Compliance Database'!$E$2:$E$1199,MATCH(1116,Engine!$C$2:$C$1199,0)))</f>
        <v/>
      </c>
      <c r="F1129" s="6" t="str">
        <f>IF(ISNA(MATCH(1116,Engine!$C$2:$C$1199,0)),"",INDEX('Compliance Database'!$F$2:$F$1199,MATCH(1116,Engine!$C$2:$C$1199,0)))</f>
        <v/>
      </c>
      <c r="G1129" s="6" t="str">
        <f>IF(ISNA(MATCH(1116,Engine!$C$2:$C$1199,0)),"",INDEX('Compliance Database'!$G$2:$G$1199,MATCH(1116,Engine!$C$2:$C$1199,0)))</f>
        <v/>
      </c>
      <c r="H1129" s="7" t="str">
        <f>IF(ISNA(MATCH(1116,Engine!$C$2:$C$1199,0)),"",INDEX('Compliance Database'!$H$2:$H$1199,MATCH(1116,Engine!$C$2:$C$1199,0)))</f>
        <v/>
      </c>
      <c r="I1129" s="7" t="str">
        <f>IF(ISNA(MATCH(1116,Engine!$C$2:$C$1199,0)),"",INDEX('Compliance Database'!$I$2:$I$1199,MATCH(1116,Engine!$C$2:$C$1199,0)))</f>
        <v/>
      </c>
      <c r="J1129" s="6" t="str">
        <f>IF(ISNA(MATCH(1116,Engine!$C$2:$C$1199,0)),"",INDEX('Compliance Database'!$J$2:$J$1199,MATCH(1116,Engine!$C$2:$C$1199,0)))</f>
        <v/>
      </c>
      <c r="K1129" s="7" t="str">
        <f>IF(ISNA(MATCH(1116,Engine!$C$2:$C$1199,0)),"",INDEX('Compliance Database'!$K$2:$K$1199,MATCH(1116,Engine!$C$2:$C$1199,0)))</f>
        <v/>
      </c>
      <c r="L1129" s="7" t="str">
        <f>IF(ISNA(MATCH(1116,Engine!$C$2:$C$1199,0)),"",INDEX('Compliance Database'!$L$2:$L$1199,MATCH(1116,Engine!$C$2:$C$1199,0)))</f>
        <v/>
      </c>
      <c r="M1129" s="7" t="str">
        <f>IF(ISNA(MATCH(1116,Engine!$C$2:$C$1199,0)),"",INDEX('Compliance Database'!$M$2:$M$1199,MATCH(1116,Engine!$C$2:$C$1199,0)))</f>
        <v/>
      </c>
      <c r="N1129" s="7" t="str">
        <f>IF(ISNA(MATCH(1116,Engine!$C$2:$C$1199,0)),"",INDEX('Compliance Database'!$N$2:$N$1199,MATCH(1116,Engine!$C$2:$C$1199,0)))</f>
        <v/>
      </c>
      <c r="O1129" s="7" t="str">
        <f>IF(ISNA(MATCH(1116,Engine!$C$2:$C$1199,0)),"",INDEX('Compliance Database'!$O$2:$O$1199,MATCH(1116,Engine!$C$2:$C$1199,0)))</f>
        <v/>
      </c>
      <c r="P1129" s="6" t="str">
        <f>IF(ISNA(MATCH(1116,Engine!$C$2:$C$1199,0)),"",HYPERLINK("#Acts!A"&amp;INDEX('Compliance Database'!$P$2:$P$1199,MATCH(1116,Engine!$C$2:$C$1199,0)),"Go to Act"))</f>
        <v/>
      </c>
    </row>
    <row r="1130" spans="1:16" ht="172.95" customHeight="1" x14ac:dyDescent="0.3">
      <c r="A1130" s="6" t="str">
        <f>IF(ISNA(MATCH(1117,Engine!$C$2:$C$1199,0)),"",INDEX('Compliance Database'!$A$2:$A$1199,MATCH(1117,Engine!$C$2:$C$1199,0)))</f>
        <v/>
      </c>
      <c r="B1130" s="6" t="str">
        <f>IF(ISNA(MATCH(1117,Engine!$C$2:$C$1199,0)),"",INDEX('Compliance Database'!$B$2:$B$1199,MATCH(1117,Engine!$C$2:$C$1199,0)))</f>
        <v/>
      </c>
      <c r="C1130" s="6" t="str">
        <f>IF(ISNA(MATCH(1117,Engine!$C$2:$C$1199,0)),"",INDEX('Compliance Database'!$C$2:$C$1199,MATCH(1117,Engine!$C$2:$C$1199,0)))</f>
        <v/>
      </c>
      <c r="D1130" s="7" t="str">
        <f>IF(ISNA(MATCH(1117,Engine!$C$2:$C$1199,0)),"",INDEX('Compliance Database'!$D$2:$D$1199,MATCH(1117,Engine!$C$2:$C$1199,0)))</f>
        <v/>
      </c>
      <c r="E1130" s="6" t="str">
        <f>IF(ISNA(MATCH(1117,Engine!$C$2:$C$1199,0)),"",INDEX('Compliance Database'!$E$2:$E$1199,MATCH(1117,Engine!$C$2:$C$1199,0)))</f>
        <v/>
      </c>
      <c r="F1130" s="6" t="str">
        <f>IF(ISNA(MATCH(1117,Engine!$C$2:$C$1199,0)),"",INDEX('Compliance Database'!$F$2:$F$1199,MATCH(1117,Engine!$C$2:$C$1199,0)))</f>
        <v/>
      </c>
      <c r="G1130" s="6" t="str">
        <f>IF(ISNA(MATCH(1117,Engine!$C$2:$C$1199,0)),"",INDEX('Compliance Database'!$G$2:$G$1199,MATCH(1117,Engine!$C$2:$C$1199,0)))</f>
        <v/>
      </c>
      <c r="H1130" s="7" t="str">
        <f>IF(ISNA(MATCH(1117,Engine!$C$2:$C$1199,0)),"",INDEX('Compliance Database'!$H$2:$H$1199,MATCH(1117,Engine!$C$2:$C$1199,0)))</f>
        <v/>
      </c>
      <c r="I1130" s="7" t="str">
        <f>IF(ISNA(MATCH(1117,Engine!$C$2:$C$1199,0)),"",INDEX('Compliance Database'!$I$2:$I$1199,MATCH(1117,Engine!$C$2:$C$1199,0)))</f>
        <v/>
      </c>
      <c r="J1130" s="6" t="str">
        <f>IF(ISNA(MATCH(1117,Engine!$C$2:$C$1199,0)),"",INDEX('Compliance Database'!$J$2:$J$1199,MATCH(1117,Engine!$C$2:$C$1199,0)))</f>
        <v/>
      </c>
      <c r="K1130" s="7" t="str">
        <f>IF(ISNA(MATCH(1117,Engine!$C$2:$C$1199,0)),"",INDEX('Compliance Database'!$K$2:$K$1199,MATCH(1117,Engine!$C$2:$C$1199,0)))</f>
        <v/>
      </c>
      <c r="L1130" s="7" t="str">
        <f>IF(ISNA(MATCH(1117,Engine!$C$2:$C$1199,0)),"",INDEX('Compliance Database'!$L$2:$L$1199,MATCH(1117,Engine!$C$2:$C$1199,0)))</f>
        <v/>
      </c>
      <c r="M1130" s="7" t="str">
        <f>IF(ISNA(MATCH(1117,Engine!$C$2:$C$1199,0)),"",INDEX('Compliance Database'!$M$2:$M$1199,MATCH(1117,Engine!$C$2:$C$1199,0)))</f>
        <v/>
      </c>
      <c r="N1130" s="7" t="str">
        <f>IF(ISNA(MATCH(1117,Engine!$C$2:$C$1199,0)),"",INDEX('Compliance Database'!$N$2:$N$1199,MATCH(1117,Engine!$C$2:$C$1199,0)))</f>
        <v/>
      </c>
      <c r="O1130" s="7" t="str">
        <f>IF(ISNA(MATCH(1117,Engine!$C$2:$C$1199,0)),"",INDEX('Compliance Database'!$O$2:$O$1199,MATCH(1117,Engine!$C$2:$C$1199,0)))</f>
        <v/>
      </c>
      <c r="P1130" s="6" t="str">
        <f>IF(ISNA(MATCH(1117,Engine!$C$2:$C$1199,0)),"",HYPERLINK("#Acts!A"&amp;INDEX('Compliance Database'!$P$2:$P$1199,MATCH(1117,Engine!$C$2:$C$1199,0)),"Go to Act"))</f>
        <v/>
      </c>
    </row>
    <row r="1131" spans="1:16" ht="172.95" customHeight="1" x14ac:dyDescent="0.3">
      <c r="A1131" s="6" t="str">
        <f>IF(ISNA(MATCH(1118,Engine!$C$2:$C$1199,0)),"",INDEX('Compliance Database'!$A$2:$A$1199,MATCH(1118,Engine!$C$2:$C$1199,0)))</f>
        <v/>
      </c>
      <c r="B1131" s="6" t="str">
        <f>IF(ISNA(MATCH(1118,Engine!$C$2:$C$1199,0)),"",INDEX('Compliance Database'!$B$2:$B$1199,MATCH(1118,Engine!$C$2:$C$1199,0)))</f>
        <v/>
      </c>
      <c r="C1131" s="6" t="str">
        <f>IF(ISNA(MATCH(1118,Engine!$C$2:$C$1199,0)),"",INDEX('Compliance Database'!$C$2:$C$1199,MATCH(1118,Engine!$C$2:$C$1199,0)))</f>
        <v/>
      </c>
      <c r="D1131" s="7" t="str">
        <f>IF(ISNA(MATCH(1118,Engine!$C$2:$C$1199,0)),"",INDEX('Compliance Database'!$D$2:$D$1199,MATCH(1118,Engine!$C$2:$C$1199,0)))</f>
        <v/>
      </c>
      <c r="E1131" s="6" t="str">
        <f>IF(ISNA(MATCH(1118,Engine!$C$2:$C$1199,0)),"",INDEX('Compliance Database'!$E$2:$E$1199,MATCH(1118,Engine!$C$2:$C$1199,0)))</f>
        <v/>
      </c>
      <c r="F1131" s="6" t="str">
        <f>IF(ISNA(MATCH(1118,Engine!$C$2:$C$1199,0)),"",INDEX('Compliance Database'!$F$2:$F$1199,MATCH(1118,Engine!$C$2:$C$1199,0)))</f>
        <v/>
      </c>
      <c r="G1131" s="6" t="str">
        <f>IF(ISNA(MATCH(1118,Engine!$C$2:$C$1199,0)),"",INDEX('Compliance Database'!$G$2:$G$1199,MATCH(1118,Engine!$C$2:$C$1199,0)))</f>
        <v/>
      </c>
      <c r="H1131" s="7" t="str">
        <f>IF(ISNA(MATCH(1118,Engine!$C$2:$C$1199,0)),"",INDEX('Compliance Database'!$H$2:$H$1199,MATCH(1118,Engine!$C$2:$C$1199,0)))</f>
        <v/>
      </c>
      <c r="I1131" s="7" t="str">
        <f>IF(ISNA(MATCH(1118,Engine!$C$2:$C$1199,0)),"",INDEX('Compliance Database'!$I$2:$I$1199,MATCH(1118,Engine!$C$2:$C$1199,0)))</f>
        <v/>
      </c>
      <c r="J1131" s="6" t="str">
        <f>IF(ISNA(MATCH(1118,Engine!$C$2:$C$1199,0)),"",INDEX('Compliance Database'!$J$2:$J$1199,MATCH(1118,Engine!$C$2:$C$1199,0)))</f>
        <v/>
      </c>
      <c r="K1131" s="7" t="str">
        <f>IF(ISNA(MATCH(1118,Engine!$C$2:$C$1199,0)),"",INDEX('Compliance Database'!$K$2:$K$1199,MATCH(1118,Engine!$C$2:$C$1199,0)))</f>
        <v/>
      </c>
      <c r="L1131" s="7" t="str">
        <f>IF(ISNA(MATCH(1118,Engine!$C$2:$C$1199,0)),"",INDEX('Compliance Database'!$L$2:$L$1199,MATCH(1118,Engine!$C$2:$C$1199,0)))</f>
        <v/>
      </c>
      <c r="M1131" s="7" t="str">
        <f>IF(ISNA(MATCH(1118,Engine!$C$2:$C$1199,0)),"",INDEX('Compliance Database'!$M$2:$M$1199,MATCH(1118,Engine!$C$2:$C$1199,0)))</f>
        <v/>
      </c>
      <c r="N1131" s="7" t="str">
        <f>IF(ISNA(MATCH(1118,Engine!$C$2:$C$1199,0)),"",INDEX('Compliance Database'!$N$2:$N$1199,MATCH(1118,Engine!$C$2:$C$1199,0)))</f>
        <v/>
      </c>
      <c r="O1131" s="7" t="str">
        <f>IF(ISNA(MATCH(1118,Engine!$C$2:$C$1199,0)),"",INDEX('Compliance Database'!$O$2:$O$1199,MATCH(1118,Engine!$C$2:$C$1199,0)))</f>
        <v/>
      </c>
      <c r="P1131" s="6" t="str">
        <f>IF(ISNA(MATCH(1118,Engine!$C$2:$C$1199,0)),"",HYPERLINK("#Acts!A"&amp;INDEX('Compliance Database'!$P$2:$P$1199,MATCH(1118,Engine!$C$2:$C$1199,0)),"Go to Act"))</f>
        <v/>
      </c>
    </row>
    <row r="1132" spans="1:16" ht="172.95" customHeight="1" x14ac:dyDescent="0.3">
      <c r="A1132" s="6" t="str">
        <f>IF(ISNA(MATCH(1119,Engine!$C$2:$C$1199,0)),"",INDEX('Compliance Database'!$A$2:$A$1199,MATCH(1119,Engine!$C$2:$C$1199,0)))</f>
        <v/>
      </c>
      <c r="B1132" s="6" t="str">
        <f>IF(ISNA(MATCH(1119,Engine!$C$2:$C$1199,0)),"",INDEX('Compliance Database'!$B$2:$B$1199,MATCH(1119,Engine!$C$2:$C$1199,0)))</f>
        <v/>
      </c>
      <c r="C1132" s="6" t="str">
        <f>IF(ISNA(MATCH(1119,Engine!$C$2:$C$1199,0)),"",INDEX('Compliance Database'!$C$2:$C$1199,MATCH(1119,Engine!$C$2:$C$1199,0)))</f>
        <v/>
      </c>
      <c r="D1132" s="7" t="str">
        <f>IF(ISNA(MATCH(1119,Engine!$C$2:$C$1199,0)),"",INDEX('Compliance Database'!$D$2:$D$1199,MATCH(1119,Engine!$C$2:$C$1199,0)))</f>
        <v/>
      </c>
      <c r="E1132" s="6" t="str">
        <f>IF(ISNA(MATCH(1119,Engine!$C$2:$C$1199,0)),"",INDEX('Compliance Database'!$E$2:$E$1199,MATCH(1119,Engine!$C$2:$C$1199,0)))</f>
        <v/>
      </c>
      <c r="F1132" s="6" t="str">
        <f>IF(ISNA(MATCH(1119,Engine!$C$2:$C$1199,0)),"",INDEX('Compliance Database'!$F$2:$F$1199,MATCH(1119,Engine!$C$2:$C$1199,0)))</f>
        <v/>
      </c>
      <c r="G1132" s="6" t="str">
        <f>IF(ISNA(MATCH(1119,Engine!$C$2:$C$1199,0)),"",INDEX('Compliance Database'!$G$2:$G$1199,MATCH(1119,Engine!$C$2:$C$1199,0)))</f>
        <v/>
      </c>
      <c r="H1132" s="7" t="str">
        <f>IF(ISNA(MATCH(1119,Engine!$C$2:$C$1199,0)),"",INDEX('Compliance Database'!$H$2:$H$1199,MATCH(1119,Engine!$C$2:$C$1199,0)))</f>
        <v/>
      </c>
      <c r="I1132" s="7" t="str">
        <f>IF(ISNA(MATCH(1119,Engine!$C$2:$C$1199,0)),"",INDEX('Compliance Database'!$I$2:$I$1199,MATCH(1119,Engine!$C$2:$C$1199,0)))</f>
        <v/>
      </c>
      <c r="J1132" s="6" t="str">
        <f>IF(ISNA(MATCH(1119,Engine!$C$2:$C$1199,0)),"",INDEX('Compliance Database'!$J$2:$J$1199,MATCH(1119,Engine!$C$2:$C$1199,0)))</f>
        <v/>
      </c>
      <c r="K1132" s="7" t="str">
        <f>IF(ISNA(MATCH(1119,Engine!$C$2:$C$1199,0)),"",INDEX('Compliance Database'!$K$2:$K$1199,MATCH(1119,Engine!$C$2:$C$1199,0)))</f>
        <v/>
      </c>
      <c r="L1132" s="7" t="str">
        <f>IF(ISNA(MATCH(1119,Engine!$C$2:$C$1199,0)),"",INDEX('Compliance Database'!$L$2:$L$1199,MATCH(1119,Engine!$C$2:$C$1199,0)))</f>
        <v/>
      </c>
      <c r="M1132" s="7" t="str">
        <f>IF(ISNA(MATCH(1119,Engine!$C$2:$C$1199,0)),"",INDEX('Compliance Database'!$M$2:$M$1199,MATCH(1119,Engine!$C$2:$C$1199,0)))</f>
        <v/>
      </c>
      <c r="N1132" s="7" t="str">
        <f>IF(ISNA(MATCH(1119,Engine!$C$2:$C$1199,0)),"",INDEX('Compliance Database'!$N$2:$N$1199,MATCH(1119,Engine!$C$2:$C$1199,0)))</f>
        <v/>
      </c>
      <c r="O1132" s="7" t="str">
        <f>IF(ISNA(MATCH(1119,Engine!$C$2:$C$1199,0)),"",INDEX('Compliance Database'!$O$2:$O$1199,MATCH(1119,Engine!$C$2:$C$1199,0)))</f>
        <v/>
      </c>
      <c r="P1132" s="6" t="str">
        <f>IF(ISNA(MATCH(1119,Engine!$C$2:$C$1199,0)),"",HYPERLINK("#Acts!A"&amp;INDEX('Compliance Database'!$P$2:$P$1199,MATCH(1119,Engine!$C$2:$C$1199,0)),"Go to Act"))</f>
        <v/>
      </c>
    </row>
    <row r="1133" spans="1:16" ht="172.95" customHeight="1" x14ac:dyDescent="0.3">
      <c r="A1133" s="6" t="str">
        <f>IF(ISNA(MATCH(1120,Engine!$C$2:$C$1199,0)),"",INDEX('Compliance Database'!$A$2:$A$1199,MATCH(1120,Engine!$C$2:$C$1199,0)))</f>
        <v/>
      </c>
      <c r="B1133" s="6" t="str">
        <f>IF(ISNA(MATCH(1120,Engine!$C$2:$C$1199,0)),"",INDEX('Compliance Database'!$B$2:$B$1199,MATCH(1120,Engine!$C$2:$C$1199,0)))</f>
        <v/>
      </c>
      <c r="C1133" s="6" t="str">
        <f>IF(ISNA(MATCH(1120,Engine!$C$2:$C$1199,0)),"",INDEX('Compliance Database'!$C$2:$C$1199,MATCH(1120,Engine!$C$2:$C$1199,0)))</f>
        <v/>
      </c>
      <c r="D1133" s="7" t="str">
        <f>IF(ISNA(MATCH(1120,Engine!$C$2:$C$1199,0)),"",INDEX('Compliance Database'!$D$2:$D$1199,MATCH(1120,Engine!$C$2:$C$1199,0)))</f>
        <v/>
      </c>
      <c r="E1133" s="6" t="str">
        <f>IF(ISNA(MATCH(1120,Engine!$C$2:$C$1199,0)),"",INDEX('Compliance Database'!$E$2:$E$1199,MATCH(1120,Engine!$C$2:$C$1199,0)))</f>
        <v/>
      </c>
      <c r="F1133" s="6" t="str">
        <f>IF(ISNA(MATCH(1120,Engine!$C$2:$C$1199,0)),"",INDEX('Compliance Database'!$F$2:$F$1199,MATCH(1120,Engine!$C$2:$C$1199,0)))</f>
        <v/>
      </c>
      <c r="G1133" s="6" t="str">
        <f>IF(ISNA(MATCH(1120,Engine!$C$2:$C$1199,0)),"",INDEX('Compliance Database'!$G$2:$G$1199,MATCH(1120,Engine!$C$2:$C$1199,0)))</f>
        <v/>
      </c>
      <c r="H1133" s="7" t="str">
        <f>IF(ISNA(MATCH(1120,Engine!$C$2:$C$1199,0)),"",INDEX('Compliance Database'!$H$2:$H$1199,MATCH(1120,Engine!$C$2:$C$1199,0)))</f>
        <v/>
      </c>
      <c r="I1133" s="7" t="str">
        <f>IF(ISNA(MATCH(1120,Engine!$C$2:$C$1199,0)),"",INDEX('Compliance Database'!$I$2:$I$1199,MATCH(1120,Engine!$C$2:$C$1199,0)))</f>
        <v/>
      </c>
      <c r="J1133" s="6" t="str">
        <f>IF(ISNA(MATCH(1120,Engine!$C$2:$C$1199,0)),"",INDEX('Compliance Database'!$J$2:$J$1199,MATCH(1120,Engine!$C$2:$C$1199,0)))</f>
        <v/>
      </c>
      <c r="K1133" s="7" t="str">
        <f>IF(ISNA(MATCH(1120,Engine!$C$2:$C$1199,0)),"",INDEX('Compliance Database'!$K$2:$K$1199,MATCH(1120,Engine!$C$2:$C$1199,0)))</f>
        <v/>
      </c>
      <c r="L1133" s="7" t="str">
        <f>IF(ISNA(MATCH(1120,Engine!$C$2:$C$1199,0)),"",INDEX('Compliance Database'!$L$2:$L$1199,MATCH(1120,Engine!$C$2:$C$1199,0)))</f>
        <v/>
      </c>
      <c r="M1133" s="7" t="str">
        <f>IF(ISNA(MATCH(1120,Engine!$C$2:$C$1199,0)),"",INDEX('Compliance Database'!$M$2:$M$1199,MATCH(1120,Engine!$C$2:$C$1199,0)))</f>
        <v/>
      </c>
      <c r="N1133" s="7" t="str">
        <f>IF(ISNA(MATCH(1120,Engine!$C$2:$C$1199,0)),"",INDEX('Compliance Database'!$N$2:$N$1199,MATCH(1120,Engine!$C$2:$C$1199,0)))</f>
        <v/>
      </c>
      <c r="O1133" s="7" t="str">
        <f>IF(ISNA(MATCH(1120,Engine!$C$2:$C$1199,0)),"",INDEX('Compliance Database'!$O$2:$O$1199,MATCH(1120,Engine!$C$2:$C$1199,0)))</f>
        <v/>
      </c>
      <c r="P1133" s="6" t="str">
        <f>IF(ISNA(MATCH(1120,Engine!$C$2:$C$1199,0)),"",HYPERLINK("#Acts!A"&amp;INDEX('Compliance Database'!$P$2:$P$1199,MATCH(1120,Engine!$C$2:$C$1199,0)),"Go to Act"))</f>
        <v/>
      </c>
    </row>
    <row r="1134" spans="1:16" ht="172.95" customHeight="1" x14ac:dyDescent="0.3">
      <c r="A1134" s="6" t="str">
        <f>IF(ISNA(MATCH(1121,Engine!$C$2:$C$1199,0)),"",INDEX('Compliance Database'!$A$2:$A$1199,MATCH(1121,Engine!$C$2:$C$1199,0)))</f>
        <v/>
      </c>
      <c r="B1134" s="6" t="str">
        <f>IF(ISNA(MATCH(1121,Engine!$C$2:$C$1199,0)),"",INDEX('Compliance Database'!$B$2:$B$1199,MATCH(1121,Engine!$C$2:$C$1199,0)))</f>
        <v/>
      </c>
      <c r="C1134" s="6" t="str">
        <f>IF(ISNA(MATCH(1121,Engine!$C$2:$C$1199,0)),"",INDEX('Compliance Database'!$C$2:$C$1199,MATCH(1121,Engine!$C$2:$C$1199,0)))</f>
        <v/>
      </c>
      <c r="D1134" s="7" t="str">
        <f>IF(ISNA(MATCH(1121,Engine!$C$2:$C$1199,0)),"",INDEX('Compliance Database'!$D$2:$D$1199,MATCH(1121,Engine!$C$2:$C$1199,0)))</f>
        <v/>
      </c>
      <c r="E1134" s="6" t="str">
        <f>IF(ISNA(MATCH(1121,Engine!$C$2:$C$1199,0)),"",INDEX('Compliance Database'!$E$2:$E$1199,MATCH(1121,Engine!$C$2:$C$1199,0)))</f>
        <v/>
      </c>
      <c r="F1134" s="6" t="str">
        <f>IF(ISNA(MATCH(1121,Engine!$C$2:$C$1199,0)),"",INDEX('Compliance Database'!$F$2:$F$1199,MATCH(1121,Engine!$C$2:$C$1199,0)))</f>
        <v/>
      </c>
      <c r="G1134" s="6" t="str">
        <f>IF(ISNA(MATCH(1121,Engine!$C$2:$C$1199,0)),"",INDEX('Compliance Database'!$G$2:$G$1199,MATCH(1121,Engine!$C$2:$C$1199,0)))</f>
        <v/>
      </c>
      <c r="H1134" s="7" t="str">
        <f>IF(ISNA(MATCH(1121,Engine!$C$2:$C$1199,0)),"",INDEX('Compliance Database'!$H$2:$H$1199,MATCH(1121,Engine!$C$2:$C$1199,0)))</f>
        <v/>
      </c>
      <c r="I1134" s="7" t="str">
        <f>IF(ISNA(MATCH(1121,Engine!$C$2:$C$1199,0)),"",INDEX('Compliance Database'!$I$2:$I$1199,MATCH(1121,Engine!$C$2:$C$1199,0)))</f>
        <v/>
      </c>
      <c r="J1134" s="6" t="str">
        <f>IF(ISNA(MATCH(1121,Engine!$C$2:$C$1199,0)),"",INDEX('Compliance Database'!$J$2:$J$1199,MATCH(1121,Engine!$C$2:$C$1199,0)))</f>
        <v/>
      </c>
      <c r="K1134" s="7" t="str">
        <f>IF(ISNA(MATCH(1121,Engine!$C$2:$C$1199,0)),"",INDEX('Compliance Database'!$K$2:$K$1199,MATCH(1121,Engine!$C$2:$C$1199,0)))</f>
        <v/>
      </c>
      <c r="L1134" s="7" t="str">
        <f>IF(ISNA(MATCH(1121,Engine!$C$2:$C$1199,0)),"",INDEX('Compliance Database'!$L$2:$L$1199,MATCH(1121,Engine!$C$2:$C$1199,0)))</f>
        <v/>
      </c>
      <c r="M1134" s="7" t="str">
        <f>IF(ISNA(MATCH(1121,Engine!$C$2:$C$1199,0)),"",INDEX('Compliance Database'!$M$2:$M$1199,MATCH(1121,Engine!$C$2:$C$1199,0)))</f>
        <v/>
      </c>
      <c r="N1134" s="7" t="str">
        <f>IF(ISNA(MATCH(1121,Engine!$C$2:$C$1199,0)),"",INDEX('Compliance Database'!$N$2:$N$1199,MATCH(1121,Engine!$C$2:$C$1199,0)))</f>
        <v/>
      </c>
      <c r="O1134" s="7" t="str">
        <f>IF(ISNA(MATCH(1121,Engine!$C$2:$C$1199,0)),"",INDEX('Compliance Database'!$O$2:$O$1199,MATCH(1121,Engine!$C$2:$C$1199,0)))</f>
        <v/>
      </c>
      <c r="P1134" s="6" t="str">
        <f>IF(ISNA(MATCH(1121,Engine!$C$2:$C$1199,0)),"",HYPERLINK("#Acts!A"&amp;INDEX('Compliance Database'!$P$2:$P$1199,MATCH(1121,Engine!$C$2:$C$1199,0)),"Go to Act"))</f>
        <v/>
      </c>
    </row>
    <row r="1135" spans="1:16" ht="172.95" customHeight="1" x14ac:dyDescent="0.3">
      <c r="A1135" s="6" t="str">
        <f>IF(ISNA(MATCH(1122,Engine!$C$2:$C$1199,0)),"",INDEX('Compliance Database'!$A$2:$A$1199,MATCH(1122,Engine!$C$2:$C$1199,0)))</f>
        <v/>
      </c>
      <c r="B1135" s="6" t="str">
        <f>IF(ISNA(MATCH(1122,Engine!$C$2:$C$1199,0)),"",INDEX('Compliance Database'!$B$2:$B$1199,MATCH(1122,Engine!$C$2:$C$1199,0)))</f>
        <v/>
      </c>
      <c r="C1135" s="6" t="str">
        <f>IF(ISNA(MATCH(1122,Engine!$C$2:$C$1199,0)),"",INDEX('Compliance Database'!$C$2:$C$1199,MATCH(1122,Engine!$C$2:$C$1199,0)))</f>
        <v/>
      </c>
      <c r="D1135" s="7" t="str">
        <f>IF(ISNA(MATCH(1122,Engine!$C$2:$C$1199,0)),"",INDEX('Compliance Database'!$D$2:$D$1199,MATCH(1122,Engine!$C$2:$C$1199,0)))</f>
        <v/>
      </c>
      <c r="E1135" s="6" t="str">
        <f>IF(ISNA(MATCH(1122,Engine!$C$2:$C$1199,0)),"",INDEX('Compliance Database'!$E$2:$E$1199,MATCH(1122,Engine!$C$2:$C$1199,0)))</f>
        <v/>
      </c>
      <c r="F1135" s="6" t="str">
        <f>IF(ISNA(MATCH(1122,Engine!$C$2:$C$1199,0)),"",INDEX('Compliance Database'!$F$2:$F$1199,MATCH(1122,Engine!$C$2:$C$1199,0)))</f>
        <v/>
      </c>
      <c r="G1135" s="6" t="str">
        <f>IF(ISNA(MATCH(1122,Engine!$C$2:$C$1199,0)),"",INDEX('Compliance Database'!$G$2:$G$1199,MATCH(1122,Engine!$C$2:$C$1199,0)))</f>
        <v/>
      </c>
      <c r="H1135" s="7" t="str">
        <f>IF(ISNA(MATCH(1122,Engine!$C$2:$C$1199,0)),"",INDEX('Compliance Database'!$H$2:$H$1199,MATCH(1122,Engine!$C$2:$C$1199,0)))</f>
        <v/>
      </c>
      <c r="I1135" s="7" t="str">
        <f>IF(ISNA(MATCH(1122,Engine!$C$2:$C$1199,0)),"",INDEX('Compliance Database'!$I$2:$I$1199,MATCH(1122,Engine!$C$2:$C$1199,0)))</f>
        <v/>
      </c>
      <c r="J1135" s="6" t="str">
        <f>IF(ISNA(MATCH(1122,Engine!$C$2:$C$1199,0)),"",INDEX('Compliance Database'!$J$2:$J$1199,MATCH(1122,Engine!$C$2:$C$1199,0)))</f>
        <v/>
      </c>
      <c r="K1135" s="7" t="str">
        <f>IF(ISNA(MATCH(1122,Engine!$C$2:$C$1199,0)),"",INDEX('Compliance Database'!$K$2:$K$1199,MATCH(1122,Engine!$C$2:$C$1199,0)))</f>
        <v/>
      </c>
      <c r="L1135" s="7" t="str">
        <f>IF(ISNA(MATCH(1122,Engine!$C$2:$C$1199,0)),"",INDEX('Compliance Database'!$L$2:$L$1199,MATCH(1122,Engine!$C$2:$C$1199,0)))</f>
        <v/>
      </c>
      <c r="M1135" s="7" t="str">
        <f>IF(ISNA(MATCH(1122,Engine!$C$2:$C$1199,0)),"",INDEX('Compliance Database'!$M$2:$M$1199,MATCH(1122,Engine!$C$2:$C$1199,0)))</f>
        <v/>
      </c>
      <c r="N1135" s="7" t="str">
        <f>IF(ISNA(MATCH(1122,Engine!$C$2:$C$1199,0)),"",INDEX('Compliance Database'!$N$2:$N$1199,MATCH(1122,Engine!$C$2:$C$1199,0)))</f>
        <v/>
      </c>
      <c r="O1135" s="7" t="str">
        <f>IF(ISNA(MATCH(1122,Engine!$C$2:$C$1199,0)),"",INDEX('Compliance Database'!$O$2:$O$1199,MATCH(1122,Engine!$C$2:$C$1199,0)))</f>
        <v/>
      </c>
      <c r="P1135" s="6" t="str">
        <f>IF(ISNA(MATCH(1122,Engine!$C$2:$C$1199,0)),"",HYPERLINK("#Acts!A"&amp;INDEX('Compliance Database'!$P$2:$P$1199,MATCH(1122,Engine!$C$2:$C$1199,0)),"Go to Act"))</f>
        <v/>
      </c>
    </row>
    <row r="1136" spans="1:16" ht="172.95" customHeight="1" x14ac:dyDescent="0.3">
      <c r="A1136" s="6" t="str">
        <f>IF(ISNA(MATCH(1123,Engine!$C$2:$C$1199,0)),"",INDEX('Compliance Database'!$A$2:$A$1199,MATCH(1123,Engine!$C$2:$C$1199,0)))</f>
        <v/>
      </c>
      <c r="B1136" s="6" t="str">
        <f>IF(ISNA(MATCH(1123,Engine!$C$2:$C$1199,0)),"",INDEX('Compliance Database'!$B$2:$B$1199,MATCH(1123,Engine!$C$2:$C$1199,0)))</f>
        <v/>
      </c>
      <c r="C1136" s="6" t="str">
        <f>IF(ISNA(MATCH(1123,Engine!$C$2:$C$1199,0)),"",INDEX('Compliance Database'!$C$2:$C$1199,MATCH(1123,Engine!$C$2:$C$1199,0)))</f>
        <v/>
      </c>
      <c r="D1136" s="7" t="str">
        <f>IF(ISNA(MATCH(1123,Engine!$C$2:$C$1199,0)),"",INDEX('Compliance Database'!$D$2:$D$1199,MATCH(1123,Engine!$C$2:$C$1199,0)))</f>
        <v/>
      </c>
      <c r="E1136" s="6" t="str">
        <f>IF(ISNA(MATCH(1123,Engine!$C$2:$C$1199,0)),"",INDEX('Compliance Database'!$E$2:$E$1199,MATCH(1123,Engine!$C$2:$C$1199,0)))</f>
        <v/>
      </c>
      <c r="F1136" s="6" t="str">
        <f>IF(ISNA(MATCH(1123,Engine!$C$2:$C$1199,0)),"",INDEX('Compliance Database'!$F$2:$F$1199,MATCH(1123,Engine!$C$2:$C$1199,0)))</f>
        <v/>
      </c>
      <c r="G1136" s="6" t="str">
        <f>IF(ISNA(MATCH(1123,Engine!$C$2:$C$1199,0)),"",INDEX('Compliance Database'!$G$2:$G$1199,MATCH(1123,Engine!$C$2:$C$1199,0)))</f>
        <v/>
      </c>
      <c r="H1136" s="7" t="str">
        <f>IF(ISNA(MATCH(1123,Engine!$C$2:$C$1199,0)),"",INDEX('Compliance Database'!$H$2:$H$1199,MATCH(1123,Engine!$C$2:$C$1199,0)))</f>
        <v/>
      </c>
      <c r="I1136" s="7" t="str">
        <f>IF(ISNA(MATCH(1123,Engine!$C$2:$C$1199,0)),"",INDEX('Compliance Database'!$I$2:$I$1199,MATCH(1123,Engine!$C$2:$C$1199,0)))</f>
        <v/>
      </c>
      <c r="J1136" s="6" t="str">
        <f>IF(ISNA(MATCH(1123,Engine!$C$2:$C$1199,0)),"",INDEX('Compliance Database'!$J$2:$J$1199,MATCH(1123,Engine!$C$2:$C$1199,0)))</f>
        <v/>
      </c>
      <c r="K1136" s="7" t="str">
        <f>IF(ISNA(MATCH(1123,Engine!$C$2:$C$1199,0)),"",INDEX('Compliance Database'!$K$2:$K$1199,MATCH(1123,Engine!$C$2:$C$1199,0)))</f>
        <v/>
      </c>
      <c r="L1136" s="7" t="str">
        <f>IF(ISNA(MATCH(1123,Engine!$C$2:$C$1199,0)),"",INDEX('Compliance Database'!$L$2:$L$1199,MATCH(1123,Engine!$C$2:$C$1199,0)))</f>
        <v/>
      </c>
      <c r="M1136" s="7" t="str">
        <f>IF(ISNA(MATCH(1123,Engine!$C$2:$C$1199,0)),"",INDEX('Compliance Database'!$M$2:$M$1199,MATCH(1123,Engine!$C$2:$C$1199,0)))</f>
        <v/>
      </c>
      <c r="N1136" s="7" t="str">
        <f>IF(ISNA(MATCH(1123,Engine!$C$2:$C$1199,0)),"",INDEX('Compliance Database'!$N$2:$N$1199,MATCH(1123,Engine!$C$2:$C$1199,0)))</f>
        <v/>
      </c>
      <c r="O1136" s="7" t="str">
        <f>IF(ISNA(MATCH(1123,Engine!$C$2:$C$1199,0)),"",INDEX('Compliance Database'!$O$2:$O$1199,MATCH(1123,Engine!$C$2:$C$1199,0)))</f>
        <v/>
      </c>
      <c r="P1136" s="6" t="str">
        <f>IF(ISNA(MATCH(1123,Engine!$C$2:$C$1199,0)),"",HYPERLINK("#Acts!A"&amp;INDEX('Compliance Database'!$P$2:$P$1199,MATCH(1123,Engine!$C$2:$C$1199,0)),"Go to Act"))</f>
        <v/>
      </c>
    </row>
    <row r="1137" spans="1:16" ht="172.95" customHeight="1" x14ac:dyDescent="0.3">
      <c r="A1137" s="6" t="str">
        <f>IF(ISNA(MATCH(1124,Engine!$C$2:$C$1199,0)),"",INDEX('Compliance Database'!$A$2:$A$1199,MATCH(1124,Engine!$C$2:$C$1199,0)))</f>
        <v/>
      </c>
      <c r="B1137" s="6" t="str">
        <f>IF(ISNA(MATCH(1124,Engine!$C$2:$C$1199,0)),"",INDEX('Compliance Database'!$B$2:$B$1199,MATCH(1124,Engine!$C$2:$C$1199,0)))</f>
        <v/>
      </c>
      <c r="C1137" s="6" t="str">
        <f>IF(ISNA(MATCH(1124,Engine!$C$2:$C$1199,0)),"",INDEX('Compliance Database'!$C$2:$C$1199,MATCH(1124,Engine!$C$2:$C$1199,0)))</f>
        <v/>
      </c>
      <c r="D1137" s="7" t="str">
        <f>IF(ISNA(MATCH(1124,Engine!$C$2:$C$1199,0)),"",INDEX('Compliance Database'!$D$2:$D$1199,MATCH(1124,Engine!$C$2:$C$1199,0)))</f>
        <v/>
      </c>
      <c r="E1137" s="6" t="str">
        <f>IF(ISNA(MATCH(1124,Engine!$C$2:$C$1199,0)),"",INDEX('Compliance Database'!$E$2:$E$1199,MATCH(1124,Engine!$C$2:$C$1199,0)))</f>
        <v/>
      </c>
      <c r="F1137" s="6" t="str">
        <f>IF(ISNA(MATCH(1124,Engine!$C$2:$C$1199,0)),"",INDEX('Compliance Database'!$F$2:$F$1199,MATCH(1124,Engine!$C$2:$C$1199,0)))</f>
        <v/>
      </c>
      <c r="G1137" s="6" t="str">
        <f>IF(ISNA(MATCH(1124,Engine!$C$2:$C$1199,0)),"",INDEX('Compliance Database'!$G$2:$G$1199,MATCH(1124,Engine!$C$2:$C$1199,0)))</f>
        <v/>
      </c>
      <c r="H1137" s="7" t="str">
        <f>IF(ISNA(MATCH(1124,Engine!$C$2:$C$1199,0)),"",INDEX('Compliance Database'!$H$2:$H$1199,MATCH(1124,Engine!$C$2:$C$1199,0)))</f>
        <v/>
      </c>
      <c r="I1137" s="7" t="str">
        <f>IF(ISNA(MATCH(1124,Engine!$C$2:$C$1199,0)),"",INDEX('Compliance Database'!$I$2:$I$1199,MATCH(1124,Engine!$C$2:$C$1199,0)))</f>
        <v/>
      </c>
      <c r="J1137" s="6" t="str">
        <f>IF(ISNA(MATCH(1124,Engine!$C$2:$C$1199,0)),"",INDEX('Compliance Database'!$J$2:$J$1199,MATCH(1124,Engine!$C$2:$C$1199,0)))</f>
        <v/>
      </c>
      <c r="K1137" s="7" t="str">
        <f>IF(ISNA(MATCH(1124,Engine!$C$2:$C$1199,0)),"",INDEX('Compliance Database'!$K$2:$K$1199,MATCH(1124,Engine!$C$2:$C$1199,0)))</f>
        <v/>
      </c>
      <c r="L1137" s="7" t="str">
        <f>IF(ISNA(MATCH(1124,Engine!$C$2:$C$1199,0)),"",INDEX('Compliance Database'!$L$2:$L$1199,MATCH(1124,Engine!$C$2:$C$1199,0)))</f>
        <v/>
      </c>
      <c r="M1137" s="7" t="str">
        <f>IF(ISNA(MATCH(1124,Engine!$C$2:$C$1199,0)),"",INDEX('Compliance Database'!$M$2:$M$1199,MATCH(1124,Engine!$C$2:$C$1199,0)))</f>
        <v/>
      </c>
      <c r="N1137" s="7" t="str">
        <f>IF(ISNA(MATCH(1124,Engine!$C$2:$C$1199,0)),"",INDEX('Compliance Database'!$N$2:$N$1199,MATCH(1124,Engine!$C$2:$C$1199,0)))</f>
        <v/>
      </c>
      <c r="O1137" s="7" t="str">
        <f>IF(ISNA(MATCH(1124,Engine!$C$2:$C$1199,0)),"",INDEX('Compliance Database'!$O$2:$O$1199,MATCH(1124,Engine!$C$2:$C$1199,0)))</f>
        <v/>
      </c>
      <c r="P1137" s="6" t="str">
        <f>IF(ISNA(MATCH(1124,Engine!$C$2:$C$1199,0)),"",HYPERLINK("#Acts!A"&amp;INDEX('Compliance Database'!$P$2:$P$1199,MATCH(1124,Engine!$C$2:$C$1199,0)),"Go to Act"))</f>
        <v/>
      </c>
    </row>
    <row r="1138" spans="1:16" ht="172.95" customHeight="1" x14ac:dyDescent="0.3">
      <c r="A1138" s="6" t="str">
        <f>IF(ISNA(MATCH(1125,Engine!$C$2:$C$1199,0)),"",INDEX('Compliance Database'!$A$2:$A$1199,MATCH(1125,Engine!$C$2:$C$1199,0)))</f>
        <v/>
      </c>
      <c r="B1138" s="6" t="str">
        <f>IF(ISNA(MATCH(1125,Engine!$C$2:$C$1199,0)),"",INDEX('Compliance Database'!$B$2:$B$1199,MATCH(1125,Engine!$C$2:$C$1199,0)))</f>
        <v/>
      </c>
      <c r="C1138" s="6" t="str">
        <f>IF(ISNA(MATCH(1125,Engine!$C$2:$C$1199,0)),"",INDEX('Compliance Database'!$C$2:$C$1199,MATCH(1125,Engine!$C$2:$C$1199,0)))</f>
        <v/>
      </c>
      <c r="D1138" s="7" t="str">
        <f>IF(ISNA(MATCH(1125,Engine!$C$2:$C$1199,0)),"",INDEX('Compliance Database'!$D$2:$D$1199,MATCH(1125,Engine!$C$2:$C$1199,0)))</f>
        <v/>
      </c>
      <c r="E1138" s="6" t="str">
        <f>IF(ISNA(MATCH(1125,Engine!$C$2:$C$1199,0)),"",INDEX('Compliance Database'!$E$2:$E$1199,MATCH(1125,Engine!$C$2:$C$1199,0)))</f>
        <v/>
      </c>
      <c r="F1138" s="6" t="str">
        <f>IF(ISNA(MATCH(1125,Engine!$C$2:$C$1199,0)),"",INDEX('Compliance Database'!$F$2:$F$1199,MATCH(1125,Engine!$C$2:$C$1199,0)))</f>
        <v/>
      </c>
      <c r="G1138" s="6" t="str">
        <f>IF(ISNA(MATCH(1125,Engine!$C$2:$C$1199,0)),"",INDEX('Compliance Database'!$G$2:$G$1199,MATCH(1125,Engine!$C$2:$C$1199,0)))</f>
        <v/>
      </c>
      <c r="H1138" s="7" t="str">
        <f>IF(ISNA(MATCH(1125,Engine!$C$2:$C$1199,0)),"",INDEX('Compliance Database'!$H$2:$H$1199,MATCH(1125,Engine!$C$2:$C$1199,0)))</f>
        <v/>
      </c>
      <c r="I1138" s="7" t="str">
        <f>IF(ISNA(MATCH(1125,Engine!$C$2:$C$1199,0)),"",INDEX('Compliance Database'!$I$2:$I$1199,MATCH(1125,Engine!$C$2:$C$1199,0)))</f>
        <v/>
      </c>
      <c r="J1138" s="6" t="str">
        <f>IF(ISNA(MATCH(1125,Engine!$C$2:$C$1199,0)),"",INDEX('Compliance Database'!$J$2:$J$1199,MATCH(1125,Engine!$C$2:$C$1199,0)))</f>
        <v/>
      </c>
      <c r="K1138" s="7" t="str">
        <f>IF(ISNA(MATCH(1125,Engine!$C$2:$C$1199,0)),"",INDEX('Compliance Database'!$K$2:$K$1199,MATCH(1125,Engine!$C$2:$C$1199,0)))</f>
        <v/>
      </c>
      <c r="L1138" s="7" t="str">
        <f>IF(ISNA(MATCH(1125,Engine!$C$2:$C$1199,0)),"",INDEX('Compliance Database'!$L$2:$L$1199,MATCH(1125,Engine!$C$2:$C$1199,0)))</f>
        <v/>
      </c>
      <c r="M1138" s="7" t="str">
        <f>IF(ISNA(MATCH(1125,Engine!$C$2:$C$1199,0)),"",INDEX('Compliance Database'!$M$2:$M$1199,MATCH(1125,Engine!$C$2:$C$1199,0)))</f>
        <v/>
      </c>
      <c r="N1138" s="7" t="str">
        <f>IF(ISNA(MATCH(1125,Engine!$C$2:$C$1199,0)),"",INDEX('Compliance Database'!$N$2:$N$1199,MATCH(1125,Engine!$C$2:$C$1199,0)))</f>
        <v/>
      </c>
      <c r="O1138" s="7" t="str">
        <f>IF(ISNA(MATCH(1125,Engine!$C$2:$C$1199,0)),"",INDEX('Compliance Database'!$O$2:$O$1199,MATCH(1125,Engine!$C$2:$C$1199,0)))</f>
        <v/>
      </c>
      <c r="P1138" s="6" t="str">
        <f>IF(ISNA(MATCH(1125,Engine!$C$2:$C$1199,0)),"",HYPERLINK("#Acts!A"&amp;INDEX('Compliance Database'!$P$2:$P$1199,MATCH(1125,Engine!$C$2:$C$1199,0)),"Go to Act"))</f>
        <v/>
      </c>
    </row>
    <row r="1139" spans="1:16" ht="172.95" customHeight="1" x14ac:dyDescent="0.3">
      <c r="A1139" s="6" t="str">
        <f>IF(ISNA(MATCH(1126,Engine!$C$2:$C$1199,0)),"",INDEX('Compliance Database'!$A$2:$A$1199,MATCH(1126,Engine!$C$2:$C$1199,0)))</f>
        <v/>
      </c>
      <c r="B1139" s="6" t="str">
        <f>IF(ISNA(MATCH(1126,Engine!$C$2:$C$1199,0)),"",INDEX('Compliance Database'!$B$2:$B$1199,MATCH(1126,Engine!$C$2:$C$1199,0)))</f>
        <v/>
      </c>
      <c r="C1139" s="6" t="str">
        <f>IF(ISNA(MATCH(1126,Engine!$C$2:$C$1199,0)),"",INDEX('Compliance Database'!$C$2:$C$1199,MATCH(1126,Engine!$C$2:$C$1199,0)))</f>
        <v/>
      </c>
      <c r="D1139" s="7" t="str">
        <f>IF(ISNA(MATCH(1126,Engine!$C$2:$C$1199,0)),"",INDEX('Compliance Database'!$D$2:$D$1199,MATCH(1126,Engine!$C$2:$C$1199,0)))</f>
        <v/>
      </c>
      <c r="E1139" s="6" t="str">
        <f>IF(ISNA(MATCH(1126,Engine!$C$2:$C$1199,0)),"",INDEX('Compliance Database'!$E$2:$E$1199,MATCH(1126,Engine!$C$2:$C$1199,0)))</f>
        <v/>
      </c>
      <c r="F1139" s="6" t="str">
        <f>IF(ISNA(MATCH(1126,Engine!$C$2:$C$1199,0)),"",INDEX('Compliance Database'!$F$2:$F$1199,MATCH(1126,Engine!$C$2:$C$1199,0)))</f>
        <v/>
      </c>
      <c r="G1139" s="6" t="str">
        <f>IF(ISNA(MATCH(1126,Engine!$C$2:$C$1199,0)),"",INDEX('Compliance Database'!$G$2:$G$1199,MATCH(1126,Engine!$C$2:$C$1199,0)))</f>
        <v/>
      </c>
      <c r="H1139" s="7" t="str">
        <f>IF(ISNA(MATCH(1126,Engine!$C$2:$C$1199,0)),"",INDEX('Compliance Database'!$H$2:$H$1199,MATCH(1126,Engine!$C$2:$C$1199,0)))</f>
        <v/>
      </c>
      <c r="I1139" s="7" t="str">
        <f>IF(ISNA(MATCH(1126,Engine!$C$2:$C$1199,0)),"",INDEX('Compliance Database'!$I$2:$I$1199,MATCH(1126,Engine!$C$2:$C$1199,0)))</f>
        <v/>
      </c>
      <c r="J1139" s="6" t="str">
        <f>IF(ISNA(MATCH(1126,Engine!$C$2:$C$1199,0)),"",INDEX('Compliance Database'!$J$2:$J$1199,MATCH(1126,Engine!$C$2:$C$1199,0)))</f>
        <v/>
      </c>
      <c r="K1139" s="7" t="str">
        <f>IF(ISNA(MATCH(1126,Engine!$C$2:$C$1199,0)),"",INDEX('Compliance Database'!$K$2:$K$1199,MATCH(1126,Engine!$C$2:$C$1199,0)))</f>
        <v/>
      </c>
      <c r="L1139" s="7" t="str">
        <f>IF(ISNA(MATCH(1126,Engine!$C$2:$C$1199,0)),"",INDEX('Compliance Database'!$L$2:$L$1199,MATCH(1126,Engine!$C$2:$C$1199,0)))</f>
        <v/>
      </c>
      <c r="M1139" s="7" t="str">
        <f>IF(ISNA(MATCH(1126,Engine!$C$2:$C$1199,0)),"",INDEX('Compliance Database'!$M$2:$M$1199,MATCH(1126,Engine!$C$2:$C$1199,0)))</f>
        <v/>
      </c>
      <c r="N1139" s="7" t="str">
        <f>IF(ISNA(MATCH(1126,Engine!$C$2:$C$1199,0)),"",INDEX('Compliance Database'!$N$2:$N$1199,MATCH(1126,Engine!$C$2:$C$1199,0)))</f>
        <v/>
      </c>
      <c r="O1139" s="7" t="str">
        <f>IF(ISNA(MATCH(1126,Engine!$C$2:$C$1199,0)),"",INDEX('Compliance Database'!$O$2:$O$1199,MATCH(1126,Engine!$C$2:$C$1199,0)))</f>
        <v/>
      </c>
      <c r="P1139" s="6" t="str">
        <f>IF(ISNA(MATCH(1126,Engine!$C$2:$C$1199,0)),"",HYPERLINK("#Acts!A"&amp;INDEX('Compliance Database'!$P$2:$P$1199,MATCH(1126,Engine!$C$2:$C$1199,0)),"Go to Act"))</f>
        <v/>
      </c>
    </row>
    <row r="1140" spans="1:16" ht="172.95" customHeight="1" x14ac:dyDescent="0.3">
      <c r="A1140" s="6" t="str">
        <f>IF(ISNA(MATCH(1127,Engine!$C$2:$C$1199,0)),"",INDEX('Compliance Database'!$A$2:$A$1199,MATCH(1127,Engine!$C$2:$C$1199,0)))</f>
        <v/>
      </c>
      <c r="B1140" s="6" t="str">
        <f>IF(ISNA(MATCH(1127,Engine!$C$2:$C$1199,0)),"",INDEX('Compliance Database'!$B$2:$B$1199,MATCH(1127,Engine!$C$2:$C$1199,0)))</f>
        <v/>
      </c>
      <c r="C1140" s="6" t="str">
        <f>IF(ISNA(MATCH(1127,Engine!$C$2:$C$1199,0)),"",INDEX('Compliance Database'!$C$2:$C$1199,MATCH(1127,Engine!$C$2:$C$1199,0)))</f>
        <v/>
      </c>
      <c r="D1140" s="7" t="str">
        <f>IF(ISNA(MATCH(1127,Engine!$C$2:$C$1199,0)),"",INDEX('Compliance Database'!$D$2:$D$1199,MATCH(1127,Engine!$C$2:$C$1199,0)))</f>
        <v/>
      </c>
      <c r="E1140" s="6" t="str">
        <f>IF(ISNA(MATCH(1127,Engine!$C$2:$C$1199,0)),"",INDEX('Compliance Database'!$E$2:$E$1199,MATCH(1127,Engine!$C$2:$C$1199,0)))</f>
        <v/>
      </c>
      <c r="F1140" s="6" t="str">
        <f>IF(ISNA(MATCH(1127,Engine!$C$2:$C$1199,0)),"",INDEX('Compliance Database'!$F$2:$F$1199,MATCH(1127,Engine!$C$2:$C$1199,0)))</f>
        <v/>
      </c>
      <c r="G1140" s="6" t="str">
        <f>IF(ISNA(MATCH(1127,Engine!$C$2:$C$1199,0)),"",INDEX('Compliance Database'!$G$2:$G$1199,MATCH(1127,Engine!$C$2:$C$1199,0)))</f>
        <v/>
      </c>
      <c r="H1140" s="7" t="str">
        <f>IF(ISNA(MATCH(1127,Engine!$C$2:$C$1199,0)),"",INDEX('Compliance Database'!$H$2:$H$1199,MATCH(1127,Engine!$C$2:$C$1199,0)))</f>
        <v/>
      </c>
      <c r="I1140" s="7" t="str">
        <f>IF(ISNA(MATCH(1127,Engine!$C$2:$C$1199,0)),"",INDEX('Compliance Database'!$I$2:$I$1199,MATCH(1127,Engine!$C$2:$C$1199,0)))</f>
        <v/>
      </c>
      <c r="J1140" s="6" t="str">
        <f>IF(ISNA(MATCH(1127,Engine!$C$2:$C$1199,0)),"",INDEX('Compliance Database'!$J$2:$J$1199,MATCH(1127,Engine!$C$2:$C$1199,0)))</f>
        <v/>
      </c>
      <c r="K1140" s="7" t="str">
        <f>IF(ISNA(MATCH(1127,Engine!$C$2:$C$1199,0)),"",INDEX('Compliance Database'!$K$2:$K$1199,MATCH(1127,Engine!$C$2:$C$1199,0)))</f>
        <v/>
      </c>
      <c r="L1140" s="7" t="str">
        <f>IF(ISNA(MATCH(1127,Engine!$C$2:$C$1199,0)),"",INDEX('Compliance Database'!$L$2:$L$1199,MATCH(1127,Engine!$C$2:$C$1199,0)))</f>
        <v/>
      </c>
      <c r="M1140" s="7" t="str">
        <f>IF(ISNA(MATCH(1127,Engine!$C$2:$C$1199,0)),"",INDEX('Compliance Database'!$M$2:$M$1199,MATCH(1127,Engine!$C$2:$C$1199,0)))</f>
        <v/>
      </c>
      <c r="N1140" s="7" t="str">
        <f>IF(ISNA(MATCH(1127,Engine!$C$2:$C$1199,0)),"",INDEX('Compliance Database'!$N$2:$N$1199,MATCH(1127,Engine!$C$2:$C$1199,0)))</f>
        <v/>
      </c>
      <c r="O1140" s="7" t="str">
        <f>IF(ISNA(MATCH(1127,Engine!$C$2:$C$1199,0)),"",INDEX('Compliance Database'!$O$2:$O$1199,MATCH(1127,Engine!$C$2:$C$1199,0)))</f>
        <v/>
      </c>
      <c r="P1140" s="6" t="str">
        <f>IF(ISNA(MATCH(1127,Engine!$C$2:$C$1199,0)),"",HYPERLINK("#Acts!A"&amp;INDEX('Compliance Database'!$P$2:$P$1199,MATCH(1127,Engine!$C$2:$C$1199,0)),"Go to Act"))</f>
        <v/>
      </c>
    </row>
    <row r="1141" spans="1:16" ht="172.95" customHeight="1" x14ac:dyDescent="0.3">
      <c r="A1141" s="6" t="str">
        <f>IF(ISNA(MATCH(1128,Engine!$C$2:$C$1199,0)),"",INDEX('Compliance Database'!$A$2:$A$1199,MATCH(1128,Engine!$C$2:$C$1199,0)))</f>
        <v/>
      </c>
      <c r="B1141" s="6" t="str">
        <f>IF(ISNA(MATCH(1128,Engine!$C$2:$C$1199,0)),"",INDEX('Compliance Database'!$B$2:$B$1199,MATCH(1128,Engine!$C$2:$C$1199,0)))</f>
        <v/>
      </c>
      <c r="C1141" s="6" t="str">
        <f>IF(ISNA(MATCH(1128,Engine!$C$2:$C$1199,0)),"",INDEX('Compliance Database'!$C$2:$C$1199,MATCH(1128,Engine!$C$2:$C$1199,0)))</f>
        <v/>
      </c>
      <c r="D1141" s="7" t="str">
        <f>IF(ISNA(MATCH(1128,Engine!$C$2:$C$1199,0)),"",INDEX('Compliance Database'!$D$2:$D$1199,MATCH(1128,Engine!$C$2:$C$1199,0)))</f>
        <v/>
      </c>
      <c r="E1141" s="6" t="str">
        <f>IF(ISNA(MATCH(1128,Engine!$C$2:$C$1199,0)),"",INDEX('Compliance Database'!$E$2:$E$1199,MATCH(1128,Engine!$C$2:$C$1199,0)))</f>
        <v/>
      </c>
      <c r="F1141" s="6" t="str">
        <f>IF(ISNA(MATCH(1128,Engine!$C$2:$C$1199,0)),"",INDEX('Compliance Database'!$F$2:$F$1199,MATCH(1128,Engine!$C$2:$C$1199,0)))</f>
        <v/>
      </c>
      <c r="G1141" s="6" t="str">
        <f>IF(ISNA(MATCH(1128,Engine!$C$2:$C$1199,0)),"",INDEX('Compliance Database'!$G$2:$G$1199,MATCH(1128,Engine!$C$2:$C$1199,0)))</f>
        <v/>
      </c>
      <c r="H1141" s="7" t="str">
        <f>IF(ISNA(MATCH(1128,Engine!$C$2:$C$1199,0)),"",INDEX('Compliance Database'!$H$2:$H$1199,MATCH(1128,Engine!$C$2:$C$1199,0)))</f>
        <v/>
      </c>
      <c r="I1141" s="7" t="str">
        <f>IF(ISNA(MATCH(1128,Engine!$C$2:$C$1199,0)),"",INDEX('Compliance Database'!$I$2:$I$1199,MATCH(1128,Engine!$C$2:$C$1199,0)))</f>
        <v/>
      </c>
      <c r="J1141" s="6" t="str">
        <f>IF(ISNA(MATCH(1128,Engine!$C$2:$C$1199,0)),"",INDEX('Compliance Database'!$J$2:$J$1199,MATCH(1128,Engine!$C$2:$C$1199,0)))</f>
        <v/>
      </c>
      <c r="K1141" s="7" t="str">
        <f>IF(ISNA(MATCH(1128,Engine!$C$2:$C$1199,0)),"",INDEX('Compliance Database'!$K$2:$K$1199,MATCH(1128,Engine!$C$2:$C$1199,0)))</f>
        <v/>
      </c>
      <c r="L1141" s="7" t="str">
        <f>IF(ISNA(MATCH(1128,Engine!$C$2:$C$1199,0)),"",INDEX('Compliance Database'!$L$2:$L$1199,MATCH(1128,Engine!$C$2:$C$1199,0)))</f>
        <v/>
      </c>
      <c r="M1141" s="7" t="str">
        <f>IF(ISNA(MATCH(1128,Engine!$C$2:$C$1199,0)),"",INDEX('Compliance Database'!$M$2:$M$1199,MATCH(1128,Engine!$C$2:$C$1199,0)))</f>
        <v/>
      </c>
      <c r="N1141" s="7" t="str">
        <f>IF(ISNA(MATCH(1128,Engine!$C$2:$C$1199,0)),"",INDEX('Compliance Database'!$N$2:$N$1199,MATCH(1128,Engine!$C$2:$C$1199,0)))</f>
        <v/>
      </c>
      <c r="O1141" s="7" t="str">
        <f>IF(ISNA(MATCH(1128,Engine!$C$2:$C$1199,0)),"",INDEX('Compliance Database'!$O$2:$O$1199,MATCH(1128,Engine!$C$2:$C$1199,0)))</f>
        <v/>
      </c>
      <c r="P1141" s="6" t="str">
        <f>IF(ISNA(MATCH(1128,Engine!$C$2:$C$1199,0)),"",HYPERLINK("#Acts!A"&amp;INDEX('Compliance Database'!$P$2:$P$1199,MATCH(1128,Engine!$C$2:$C$1199,0)),"Go to Act"))</f>
        <v/>
      </c>
    </row>
    <row r="1142" spans="1:16" ht="172.95" customHeight="1" x14ac:dyDescent="0.3">
      <c r="A1142" s="6" t="str">
        <f>IF(ISNA(MATCH(1129,Engine!$C$2:$C$1199,0)),"",INDEX('Compliance Database'!$A$2:$A$1199,MATCH(1129,Engine!$C$2:$C$1199,0)))</f>
        <v/>
      </c>
      <c r="B1142" s="6" t="str">
        <f>IF(ISNA(MATCH(1129,Engine!$C$2:$C$1199,0)),"",INDEX('Compliance Database'!$B$2:$B$1199,MATCH(1129,Engine!$C$2:$C$1199,0)))</f>
        <v/>
      </c>
      <c r="C1142" s="6" t="str">
        <f>IF(ISNA(MATCH(1129,Engine!$C$2:$C$1199,0)),"",INDEX('Compliance Database'!$C$2:$C$1199,MATCH(1129,Engine!$C$2:$C$1199,0)))</f>
        <v/>
      </c>
      <c r="D1142" s="7" t="str">
        <f>IF(ISNA(MATCH(1129,Engine!$C$2:$C$1199,0)),"",INDEX('Compliance Database'!$D$2:$D$1199,MATCH(1129,Engine!$C$2:$C$1199,0)))</f>
        <v/>
      </c>
      <c r="E1142" s="6" t="str">
        <f>IF(ISNA(MATCH(1129,Engine!$C$2:$C$1199,0)),"",INDEX('Compliance Database'!$E$2:$E$1199,MATCH(1129,Engine!$C$2:$C$1199,0)))</f>
        <v/>
      </c>
      <c r="F1142" s="6" t="str">
        <f>IF(ISNA(MATCH(1129,Engine!$C$2:$C$1199,0)),"",INDEX('Compliance Database'!$F$2:$F$1199,MATCH(1129,Engine!$C$2:$C$1199,0)))</f>
        <v/>
      </c>
      <c r="G1142" s="6" t="str">
        <f>IF(ISNA(MATCH(1129,Engine!$C$2:$C$1199,0)),"",INDEX('Compliance Database'!$G$2:$G$1199,MATCH(1129,Engine!$C$2:$C$1199,0)))</f>
        <v/>
      </c>
      <c r="H1142" s="7" t="str">
        <f>IF(ISNA(MATCH(1129,Engine!$C$2:$C$1199,0)),"",INDEX('Compliance Database'!$H$2:$H$1199,MATCH(1129,Engine!$C$2:$C$1199,0)))</f>
        <v/>
      </c>
      <c r="I1142" s="7" t="str">
        <f>IF(ISNA(MATCH(1129,Engine!$C$2:$C$1199,0)),"",INDEX('Compliance Database'!$I$2:$I$1199,MATCH(1129,Engine!$C$2:$C$1199,0)))</f>
        <v/>
      </c>
      <c r="J1142" s="6" t="str">
        <f>IF(ISNA(MATCH(1129,Engine!$C$2:$C$1199,0)),"",INDEX('Compliance Database'!$J$2:$J$1199,MATCH(1129,Engine!$C$2:$C$1199,0)))</f>
        <v/>
      </c>
      <c r="K1142" s="7" t="str">
        <f>IF(ISNA(MATCH(1129,Engine!$C$2:$C$1199,0)),"",INDEX('Compliance Database'!$K$2:$K$1199,MATCH(1129,Engine!$C$2:$C$1199,0)))</f>
        <v/>
      </c>
      <c r="L1142" s="7" t="str">
        <f>IF(ISNA(MATCH(1129,Engine!$C$2:$C$1199,0)),"",INDEX('Compliance Database'!$L$2:$L$1199,MATCH(1129,Engine!$C$2:$C$1199,0)))</f>
        <v/>
      </c>
      <c r="M1142" s="7" t="str">
        <f>IF(ISNA(MATCH(1129,Engine!$C$2:$C$1199,0)),"",INDEX('Compliance Database'!$M$2:$M$1199,MATCH(1129,Engine!$C$2:$C$1199,0)))</f>
        <v/>
      </c>
      <c r="N1142" s="7" t="str">
        <f>IF(ISNA(MATCH(1129,Engine!$C$2:$C$1199,0)),"",INDEX('Compliance Database'!$N$2:$N$1199,MATCH(1129,Engine!$C$2:$C$1199,0)))</f>
        <v/>
      </c>
      <c r="O1142" s="7" t="str">
        <f>IF(ISNA(MATCH(1129,Engine!$C$2:$C$1199,0)),"",INDEX('Compliance Database'!$O$2:$O$1199,MATCH(1129,Engine!$C$2:$C$1199,0)))</f>
        <v/>
      </c>
      <c r="P1142" s="6" t="str">
        <f>IF(ISNA(MATCH(1129,Engine!$C$2:$C$1199,0)),"",HYPERLINK("#Acts!A"&amp;INDEX('Compliance Database'!$P$2:$P$1199,MATCH(1129,Engine!$C$2:$C$1199,0)),"Go to Act"))</f>
        <v/>
      </c>
    </row>
    <row r="1143" spans="1:16" ht="172.95" customHeight="1" x14ac:dyDescent="0.3">
      <c r="A1143" s="6" t="str">
        <f>IF(ISNA(MATCH(1130,Engine!$C$2:$C$1199,0)),"",INDEX('Compliance Database'!$A$2:$A$1199,MATCH(1130,Engine!$C$2:$C$1199,0)))</f>
        <v/>
      </c>
      <c r="B1143" s="6" t="str">
        <f>IF(ISNA(MATCH(1130,Engine!$C$2:$C$1199,0)),"",INDEX('Compliance Database'!$B$2:$B$1199,MATCH(1130,Engine!$C$2:$C$1199,0)))</f>
        <v/>
      </c>
      <c r="C1143" s="6" t="str">
        <f>IF(ISNA(MATCH(1130,Engine!$C$2:$C$1199,0)),"",INDEX('Compliance Database'!$C$2:$C$1199,MATCH(1130,Engine!$C$2:$C$1199,0)))</f>
        <v/>
      </c>
      <c r="D1143" s="7" t="str">
        <f>IF(ISNA(MATCH(1130,Engine!$C$2:$C$1199,0)),"",INDEX('Compliance Database'!$D$2:$D$1199,MATCH(1130,Engine!$C$2:$C$1199,0)))</f>
        <v/>
      </c>
      <c r="E1143" s="6" t="str">
        <f>IF(ISNA(MATCH(1130,Engine!$C$2:$C$1199,0)),"",INDEX('Compliance Database'!$E$2:$E$1199,MATCH(1130,Engine!$C$2:$C$1199,0)))</f>
        <v/>
      </c>
      <c r="F1143" s="6" t="str">
        <f>IF(ISNA(MATCH(1130,Engine!$C$2:$C$1199,0)),"",INDEX('Compliance Database'!$F$2:$F$1199,MATCH(1130,Engine!$C$2:$C$1199,0)))</f>
        <v/>
      </c>
      <c r="G1143" s="6" t="str">
        <f>IF(ISNA(MATCH(1130,Engine!$C$2:$C$1199,0)),"",INDEX('Compliance Database'!$G$2:$G$1199,MATCH(1130,Engine!$C$2:$C$1199,0)))</f>
        <v/>
      </c>
      <c r="H1143" s="7" t="str">
        <f>IF(ISNA(MATCH(1130,Engine!$C$2:$C$1199,0)),"",INDEX('Compliance Database'!$H$2:$H$1199,MATCH(1130,Engine!$C$2:$C$1199,0)))</f>
        <v/>
      </c>
      <c r="I1143" s="7" t="str">
        <f>IF(ISNA(MATCH(1130,Engine!$C$2:$C$1199,0)),"",INDEX('Compliance Database'!$I$2:$I$1199,MATCH(1130,Engine!$C$2:$C$1199,0)))</f>
        <v/>
      </c>
      <c r="J1143" s="6" t="str">
        <f>IF(ISNA(MATCH(1130,Engine!$C$2:$C$1199,0)),"",INDEX('Compliance Database'!$J$2:$J$1199,MATCH(1130,Engine!$C$2:$C$1199,0)))</f>
        <v/>
      </c>
      <c r="K1143" s="7" t="str">
        <f>IF(ISNA(MATCH(1130,Engine!$C$2:$C$1199,0)),"",INDEX('Compliance Database'!$K$2:$K$1199,MATCH(1130,Engine!$C$2:$C$1199,0)))</f>
        <v/>
      </c>
      <c r="L1143" s="7" t="str">
        <f>IF(ISNA(MATCH(1130,Engine!$C$2:$C$1199,0)),"",INDEX('Compliance Database'!$L$2:$L$1199,MATCH(1130,Engine!$C$2:$C$1199,0)))</f>
        <v/>
      </c>
      <c r="M1143" s="7" t="str">
        <f>IF(ISNA(MATCH(1130,Engine!$C$2:$C$1199,0)),"",INDEX('Compliance Database'!$M$2:$M$1199,MATCH(1130,Engine!$C$2:$C$1199,0)))</f>
        <v/>
      </c>
      <c r="N1143" s="7" t="str">
        <f>IF(ISNA(MATCH(1130,Engine!$C$2:$C$1199,0)),"",INDEX('Compliance Database'!$N$2:$N$1199,MATCH(1130,Engine!$C$2:$C$1199,0)))</f>
        <v/>
      </c>
      <c r="O1143" s="7" t="str">
        <f>IF(ISNA(MATCH(1130,Engine!$C$2:$C$1199,0)),"",INDEX('Compliance Database'!$O$2:$O$1199,MATCH(1130,Engine!$C$2:$C$1199,0)))</f>
        <v/>
      </c>
      <c r="P1143" s="6" t="str">
        <f>IF(ISNA(MATCH(1130,Engine!$C$2:$C$1199,0)),"",HYPERLINK("#Acts!A"&amp;INDEX('Compliance Database'!$P$2:$P$1199,MATCH(1130,Engine!$C$2:$C$1199,0)),"Go to Act"))</f>
        <v/>
      </c>
    </row>
    <row r="1144" spans="1:16" ht="172.95" customHeight="1" x14ac:dyDescent="0.3">
      <c r="A1144" s="6" t="str">
        <f>IF(ISNA(MATCH(1131,Engine!$C$2:$C$1199,0)),"",INDEX('Compliance Database'!$A$2:$A$1199,MATCH(1131,Engine!$C$2:$C$1199,0)))</f>
        <v/>
      </c>
      <c r="B1144" s="6" t="str">
        <f>IF(ISNA(MATCH(1131,Engine!$C$2:$C$1199,0)),"",INDEX('Compliance Database'!$B$2:$B$1199,MATCH(1131,Engine!$C$2:$C$1199,0)))</f>
        <v/>
      </c>
      <c r="C1144" s="6" t="str">
        <f>IF(ISNA(MATCH(1131,Engine!$C$2:$C$1199,0)),"",INDEX('Compliance Database'!$C$2:$C$1199,MATCH(1131,Engine!$C$2:$C$1199,0)))</f>
        <v/>
      </c>
      <c r="D1144" s="7" t="str">
        <f>IF(ISNA(MATCH(1131,Engine!$C$2:$C$1199,0)),"",INDEX('Compliance Database'!$D$2:$D$1199,MATCH(1131,Engine!$C$2:$C$1199,0)))</f>
        <v/>
      </c>
      <c r="E1144" s="6" t="str">
        <f>IF(ISNA(MATCH(1131,Engine!$C$2:$C$1199,0)),"",INDEX('Compliance Database'!$E$2:$E$1199,MATCH(1131,Engine!$C$2:$C$1199,0)))</f>
        <v/>
      </c>
      <c r="F1144" s="6" t="str">
        <f>IF(ISNA(MATCH(1131,Engine!$C$2:$C$1199,0)),"",INDEX('Compliance Database'!$F$2:$F$1199,MATCH(1131,Engine!$C$2:$C$1199,0)))</f>
        <v/>
      </c>
      <c r="G1144" s="6" t="str">
        <f>IF(ISNA(MATCH(1131,Engine!$C$2:$C$1199,0)),"",INDEX('Compliance Database'!$G$2:$G$1199,MATCH(1131,Engine!$C$2:$C$1199,0)))</f>
        <v/>
      </c>
      <c r="H1144" s="7" t="str">
        <f>IF(ISNA(MATCH(1131,Engine!$C$2:$C$1199,0)),"",INDEX('Compliance Database'!$H$2:$H$1199,MATCH(1131,Engine!$C$2:$C$1199,0)))</f>
        <v/>
      </c>
      <c r="I1144" s="7" t="str">
        <f>IF(ISNA(MATCH(1131,Engine!$C$2:$C$1199,0)),"",INDEX('Compliance Database'!$I$2:$I$1199,MATCH(1131,Engine!$C$2:$C$1199,0)))</f>
        <v/>
      </c>
      <c r="J1144" s="6" t="str">
        <f>IF(ISNA(MATCH(1131,Engine!$C$2:$C$1199,0)),"",INDEX('Compliance Database'!$J$2:$J$1199,MATCH(1131,Engine!$C$2:$C$1199,0)))</f>
        <v/>
      </c>
      <c r="K1144" s="7" t="str">
        <f>IF(ISNA(MATCH(1131,Engine!$C$2:$C$1199,0)),"",INDEX('Compliance Database'!$K$2:$K$1199,MATCH(1131,Engine!$C$2:$C$1199,0)))</f>
        <v/>
      </c>
      <c r="L1144" s="7" t="str">
        <f>IF(ISNA(MATCH(1131,Engine!$C$2:$C$1199,0)),"",INDEX('Compliance Database'!$L$2:$L$1199,MATCH(1131,Engine!$C$2:$C$1199,0)))</f>
        <v/>
      </c>
      <c r="M1144" s="7" t="str">
        <f>IF(ISNA(MATCH(1131,Engine!$C$2:$C$1199,0)),"",INDEX('Compliance Database'!$M$2:$M$1199,MATCH(1131,Engine!$C$2:$C$1199,0)))</f>
        <v/>
      </c>
      <c r="N1144" s="7" t="str">
        <f>IF(ISNA(MATCH(1131,Engine!$C$2:$C$1199,0)),"",INDEX('Compliance Database'!$N$2:$N$1199,MATCH(1131,Engine!$C$2:$C$1199,0)))</f>
        <v/>
      </c>
      <c r="O1144" s="7" t="str">
        <f>IF(ISNA(MATCH(1131,Engine!$C$2:$C$1199,0)),"",INDEX('Compliance Database'!$O$2:$O$1199,MATCH(1131,Engine!$C$2:$C$1199,0)))</f>
        <v/>
      </c>
      <c r="P1144" s="6" t="str">
        <f>IF(ISNA(MATCH(1131,Engine!$C$2:$C$1199,0)),"",HYPERLINK("#Acts!A"&amp;INDEX('Compliance Database'!$P$2:$P$1199,MATCH(1131,Engine!$C$2:$C$1199,0)),"Go to Act"))</f>
        <v/>
      </c>
    </row>
    <row r="1145" spans="1:16" ht="172.95" customHeight="1" x14ac:dyDescent="0.3">
      <c r="A1145" s="6" t="str">
        <f>IF(ISNA(MATCH(1132,Engine!$C$2:$C$1199,0)),"",INDEX('Compliance Database'!$A$2:$A$1199,MATCH(1132,Engine!$C$2:$C$1199,0)))</f>
        <v/>
      </c>
      <c r="B1145" s="6" t="str">
        <f>IF(ISNA(MATCH(1132,Engine!$C$2:$C$1199,0)),"",INDEX('Compliance Database'!$B$2:$B$1199,MATCH(1132,Engine!$C$2:$C$1199,0)))</f>
        <v/>
      </c>
      <c r="C1145" s="6" t="str">
        <f>IF(ISNA(MATCH(1132,Engine!$C$2:$C$1199,0)),"",INDEX('Compliance Database'!$C$2:$C$1199,MATCH(1132,Engine!$C$2:$C$1199,0)))</f>
        <v/>
      </c>
      <c r="D1145" s="7" t="str">
        <f>IF(ISNA(MATCH(1132,Engine!$C$2:$C$1199,0)),"",INDEX('Compliance Database'!$D$2:$D$1199,MATCH(1132,Engine!$C$2:$C$1199,0)))</f>
        <v/>
      </c>
      <c r="E1145" s="6" t="str">
        <f>IF(ISNA(MATCH(1132,Engine!$C$2:$C$1199,0)),"",INDEX('Compliance Database'!$E$2:$E$1199,MATCH(1132,Engine!$C$2:$C$1199,0)))</f>
        <v/>
      </c>
      <c r="F1145" s="6" t="str">
        <f>IF(ISNA(MATCH(1132,Engine!$C$2:$C$1199,0)),"",INDEX('Compliance Database'!$F$2:$F$1199,MATCH(1132,Engine!$C$2:$C$1199,0)))</f>
        <v/>
      </c>
      <c r="G1145" s="6" t="str">
        <f>IF(ISNA(MATCH(1132,Engine!$C$2:$C$1199,0)),"",INDEX('Compliance Database'!$G$2:$G$1199,MATCH(1132,Engine!$C$2:$C$1199,0)))</f>
        <v/>
      </c>
      <c r="H1145" s="7" t="str">
        <f>IF(ISNA(MATCH(1132,Engine!$C$2:$C$1199,0)),"",INDEX('Compliance Database'!$H$2:$H$1199,MATCH(1132,Engine!$C$2:$C$1199,0)))</f>
        <v/>
      </c>
      <c r="I1145" s="7" t="str">
        <f>IF(ISNA(MATCH(1132,Engine!$C$2:$C$1199,0)),"",INDEX('Compliance Database'!$I$2:$I$1199,MATCH(1132,Engine!$C$2:$C$1199,0)))</f>
        <v/>
      </c>
      <c r="J1145" s="6" t="str">
        <f>IF(ISNA(MATCH(1132,Engine!$C$2:$C$1199,0)),"",INDEX('Compliance Database'!$J$2:$J$1199,MATCH(1132,Engine!$C$2:$C$1199,0)))</f>
        <v/>
      </c>
      <c r="K1145" s="7" t="str">
        <f>IF(ISNA(MATCH(1132,Engine!$C$2:$C$1199,0)),"",INDEX('Compliance Database'!$K$2:$K$1199,MATCH(1132,Engine!$C$2:$C$1199,0)))</f>
        <v/>
      </c>
      <c r="L1145" s="7" t="str">
        <f>IF(ISNA(MATCH(1132,Engine!$C$2:$C$1199,0)),"",INDEX('Compliance Database'!$L$2:$L$1199,MATCH(1132,Engine!$C$2:$C$1199,0)))</f>
        <v/>
      </c>
      <c r="M1145" s="7" t="str">
        <f>IF(ISNA(MATCH(1132,Engine!$C$2:$C$1199,0)),"",INDEX('Compliance Database'!$M$2:$M$1199,MATCH(1132,Engine!$C$2:$C$1199,0)))</f>
        <v/>
      </c>
      <c r="N1145" s="7" t="str">
        <f>IF(ISNA(MATCH(1132,Engine!$C$2:$C$1199,0)),"",INDEX('Compliance Database'!$N$2:$N$1199,MATCH(1132,Engine!$C$2:$C$1199,0)))</f>
        <v/>
      </c>
      <c r="O1145" s="7" t="str">
        <f>IF(ISNA(MATCH(1132,Engine!$C$2:$C$1199,0)),"",INDEX('Compliance Database'!$O$2:$O$1199,MATCH(1132,Engine!$C$2:$C$1199,0)))</f>
        <v/>
      </c>
      <c r="P1145" s="6" t="str">
        <f>IF(ISNA(MATCH(1132,Engine!$C$2:$C$1199,0)),"",HYPERLINK("#Acts!A"&amp;INDEX('Compliance Database'!$P$2:$P$1199,MATCH(1132,Engine!$C$2:$C$1199,0)),"Go to Act"))</f>
        <v/>
      </c>
    </row>
    <row r="1146" spans="1:16" ht="172.95" customHeight="1" x14ac:dyDescent="0.3">
      <c r="A1146" s="6" t="str">
        <f>IF(ISNA(MATCH(1133,Engine!$C$2:$C$1199,0)),"",INDEX('Compliance Database'!$A$2:$A$1199,MATCH(1133,Engine!$C$2:$C$1199,0)))</f>
        <v/>
      </c>
      <c r="B1146" s="6" t="str">
        <f>IF(ISNA(MATCH(1133,Engine!$C$2:$C$1199,0)),"",INDEX('Compliance Database'!$B$2:$B$1199,MATCH(1133,Engine!$C$2:$C$1199,0)))</f>
        <v/>
      </c>
      <c r="C1146" s="6" t="str">
        <f>IF(ISNA(MATCH(1133,Engine!$C$2:$C$1199,0)),"",INDEX('Compliance Database'!$C$2:$C$1199,MATCH(1133,Engine!$C$2:$C$1199,0)))</f>
        <v/>
      </c>
      <c r="D1146" s="7" t="str">
        <f>IF(ISNA(MATCH(1133,Engine!$C$2:$C$1199,0)),"",INDEX('Compliance Database'!$D$2:$D$1199,MATCH(1133,Engine!$C$2:$C$1199,0)))</f>
        <v/>
      </c>
      <c r="E1146" s="6" t="str">
        <f>IF(ISNA(MATCH(1133,Engine!$C$2:$C$1199,0)),"",INDEX('Compliance Database'!$E$2:$E$1199,MATCH(1133,Engine!$C$2:$C$1199,0)))</f>
        <v/>
      </c>
      <c r="F1146" s="6" t="str">
        <f>IF(ISNA(MATCH(1133,Engine!$C$2:$C$1199,0)),"",INDEX('Compliance Database'!$F$2:$F$1199,MATCH(1133,Engine!$C$2:$C$1199,0)))</f>
        <v/>
      </c>
      <c r="G1146" s="6" t="str">
        <f>IF(ISNA(MATCH(1133,Engine!$C$2:$C$1199,0)),"",INDEX('Compliance Database'!$G$2:$G$1199,MATCH(1133,Engine!$C$2:$C$1199,0)))</f>
        <v/>
      </c>
      <c r="H1146" s="7" t="str">
        <f>IF(ISNA(MATCH(1133,Engine!$C$2:$C$1199,0)),"",INDEX('Compliance Database'!$H$2:$H$1199,MATCH(1133,Engine!$C$2:$C$1199,0)))</f>
        <v/>
      </c>
      <c r="I1146" s="7" t="str">
        <f>IF(ISNA(MATCH(1133,Engine!$C$2:$C$1199,0)),"",INDEX('Compliance Database'!$I$2:$I$1199,MATCH(1133,Engine!$C$2:$C$1199,0)))</f>
        <v/>
      </c>
      <c r="J1146" s="6" t="str">
        <f>IF(ISNA(MATCH(1133,Engine!$C$2:$C$1199,0)),"",INDEX('Compliance Database'!$J$2:$J$1199,MATCH(1133,Engine!$C$2:$C$1199,0)))</f>
        <v/>
      </c>
      <c r="K1146" s="7" t="str">
        <f>IF(ISNA(MATCH(1133,Engine!$C$2:$C$1199,0)),"",INDEX('Compliance Database'!$K$2:$K$1199,MATCH(1133,Engine!$C$2:$C$1199,0)))</f>
        <v/>
      </c>
      <c r="L1146" s="7" t="str">
        <f>IF(ISNA(MATCH(1133,Engine!$C$2:$C$1199,0)),"",INDEX('Compliance Database'!$L$2:$L$1199,MATCH(1133,Engine!$C$2:$C$1199,0)))</f>
        <v/>
      </c>
      <c r="M1146" s="7" t="str">
        <f>IF(ISNA(MATCH(1133,Engine!$C$2:$C$1199,0)),"",INDEX('Compliance Database'!$M$2:$M$1199,MATCH(1133,Engine!$C$2:$C$1199,0)))</f>
        <v/>
      </c>
      <c r="N1146" s="7" t="str">
        <f>IF(ISNA(MATCH(1133,Engine!$C$2:$C$1199,0)),"",INDEX('Compliance Database'!$N$2:$N$1199,MATCH(1133,Engine!$C$2:$C$1199,0)))</f>
        <v/>
      </c>
      <c r="O1146" s="7" t="str">
        <f>IF(ISNA(MATCH(1133,Engine!$C$2:$C$1199,0)),"",INDEX('Compliance Database'!$O$2:$O$1199,MATCH(1133,Engine!$C$2:$C$1199,0)))</f>
        <v/>
      </c>
      <c r="P1146" s="6" t="str">
        <f>IF(ISNA(MATCH(1133,Engine!$C$2:$C$1199,0)),"",HYPERLINK("#Acts!A"&amp;INDEX('Compliance Database'!$P$2:$P$1199,MATCH(1133,Engine!$C$2:$C$1199,0)),"Go to Act"))</f>
        <v/>
      </c>
    </row>
    <row r="1147" spans="1:16" ht="172.95" customHeight="1" x14ac:dyDescent="0.3">
      <c r="A1147" s="6" t="str">
        <f>IF(ISNA(MATCH(1134,Engine!$C$2:$C$1199,0)),"",INDEX('Compliance Database'!$A$2:$A$1199,MATCH(1134,Engine!$C$2:$C$1199,0)))</f>
        <v/>
      </c>
      <c r="B1147" s="6" t="str">
        <f>IF(ISNA(MATCH(1134,Engine!$C$2:$C$1199,0)),"",INDEX('Compliance Database'!$B$2:$B$1199,MATCH(1134,Engine!$C$2:$C$1199,0)))</f>
        <v/>
      </c>
      <c r="C1147" s="6" t="str">
        <f>IF(ISNA(MATCH(1134,Engine!$C$2:$C$1199,0)),"",INDEX('Compliance Database'!$C$2:$C$1199,MATCH(1134,Engine!$C$2:$C$1199,0)))</f>
        <v/>
      </c>
      <c r="D1147" s="7" t="str">
        <f>IF(ISNA(MATCH(1134,Engine!$C$2:$C$1199,0)),"",INDEX('Compliance Database'!$D$2:$D$1199,MATCH(1134,Engine!$C$2:$C$1199,0)))</f>
        <v/>
      </c>
      <c r="E1147" s="6" t="str">
        <f>IF(ISNA(MATCH(1134,Engine!$C$2:$C$1199,0)),"",INDEX('Compliance Database'!$E$2:$E$1199,MATCH(1134,Engine!$C$2:$C$1199,0)))</f>
        <v/>
      </c>
      <c r="F1147" s="6" t="str">
        <f>IF(ISNA(MATCH(1134,Engine!$C$2:$C$1199,0)),"",INDEX('Compliance Database'!$F$2:$F$1199,MATCH(1134,Engine!$C$2:$C$1199,0)))</f>
        <v/>
      </c>
      <c r="G1147" s="6" t="str">
        <f>IF(ISNA(MATCH(1134,Engine!$C$2:$C$1199,0)),"",INDEX('Compliance Database'!$G$2:$G$1199,MATCH(1134,Engine!$C$2:$C$1199,0)))</f>
        <v/>
      </c>
      <c r="H1147" s="7" t="str">
        <f>IF(ISNA(MATCH(1134,Engine!$C$2:$C$1199,0)),"",INDEX('Compliance Database'!$H$2:$H$1199,MATCH(1134,Engine!$C$2:$C$1199,0)))</f>
        <v/>
      </c>
      <c r="I1147" s="7" t="str">
        <f>IF(ISNA(MATCH(1134,Engine!$C$2:$C$1199,0)),"",INDEX('Compliance Database'!$I$2:$I$1199,MATCH(1134,Engine!$C$2:$C$1199,0)))</f>
        <v/>
      </c>
      <c r="J1147" s="6" t="str">
        <f>IF(ISNA(MATCH(1134,Engine!$C$2:$C$1199,0)),"",INDEX('Compliance Database'!$J$2:$J$1199,MATCH(1134,Engine!$C$2:$C$1199,0)))</f>
        <v/>
      </c>
      <c r="K1147" s="7" t="str">
        <f>IF(ISNA(MATCH(1134,Engine!$C$2:$C$1199,0)),"",INDEX('Compliance Database'!$K$2:$K$1199,MATCH(1134,Engine!$C$2:$C$1199,0)))</f>
        <v/>
      </c>
      <c r="L1147" s="7" t="str">
        <f>IF(ISNA(MATCH(1134,Engine!$C$2:$C$1199,0)),"",INDEX('Compliance Database'!$L$2:$L$1199,MATCH(1134,Engine!$C$2:$C$1199,0)))</f>
        <v/>
      </c>
      <c r="M1147" s="7" t="str">
        <f>IF(ISNA(MATCH(1134,Engine!$C$2:$C$1199,0)),"",INDEX('Compliance Database'!$M$2:$M$1199,MATCH(1134,Engine!$C$2:$C$1199,0)))</f>
        <v/>
      </c>
      <c r="N1147" s="7" t="str">
        <f>IF(ISNA(MATCH(1134,Engine!$C$2:$C$1199,0)),"",INDEX('Compliance Database'!$N$2:$N$1199,MATCH(1134,Engine!$C$2:$C$1199,0)))</f>
        <v/>
      </c>
      <c r="O1147" s="7" t="str">
        <f>IF(ISNA(MATCH(1134,Engine!$C$2:$C$1199,0)),"",INDEX('Compliance Database'!$O$2:$O$1199,MATCH(1134,Engine!$C$2:$C$1199,0)))</f>
        <v/>
      </c>
      <c r="P1147" s="6" t="str">
        <f>IF(ISNA(MATCH(1134,Engine!$C$2:$C$1199,0)),"",HYPERLINK("#Acts!A"&amp;INDEX('Compliance Database'!$P$2:$P$1199,MATCH(1134,Engine!$C$2:$C$1199,0)),"Go to Act"))</f>
        <v/>
      </c>
    </row>
    <row r="1148" spans="1:16" ht="172.95" customHeight="1" x14ac:dyDescent="0.3">
      <c r="A1148" s="6" t="str">
        <f>IF(ISNA(MATCH(1135,Engine!$C$2:$C$1199,0)),"",INDEX('Compliance Database'!$A$2:$A$1199,MATCH(1135,Engine!$C$2:$C$1199,0)))</f>
        <v/>
      </c>
      <c r="B1148" s="6" t="str">
        <f>IF(ISNA(MATCH(1135,Engine!$C$2:$C$1199,0)),"",INDEX('Compliance Database'!$B$2:$B$1199,MATCH(1135,Engine!$C$2:$C$1199,0)))</f>
        <v/>
      </c>
      <c r="C1148" s="6" t="str">
        <f>IF(ISNA(MATCH(1135,Engine!$C$2:$C$1199,0)),"",INDEX('Compliance Database'!$C$2:$C$1199,MATCH(1135,Engine!$C$2:$C$1199,0)))</f>
        <v/>
      </c>
      <c r="D1148" s="7" t="str">
        <f>IF(ISNA(MATCH(1135,Engine!$C$2:$C$1199,0)),"",INDEX('Compliance Database'!$D$2:$D$1199,MATCH(1135,Engine!$C$2:$C$1199,0)))</f>
        <v/>
      </c>
      <c r="E1148" s="6" t="str">
        <f>IF(ISNA(MATCH(1135,Engine!$C$2:$C$1199,0)),"",INDEX('Compliance Database'!$E$2:$E$1199,MATCH(1135,Engine!$C$2:$C$1199,0)))</f>
        <v/>
      </c>
      <c r="F1148" s="6" t="str">
        <f>IF(ISNA(MATCH(1135,Engine!$C$2:$C$1199,0)),"",INDEX('Compliance Database'!$F$2:$F$1199,MATCH(1135,Engine!$C$2:$C$1199,0)))</f>
        <v/>
      </c>
      <c r="G1148" s="6" t="str">
        <f>IF(ISNA(MATCH(1135,Engine!$C$2:$C$1199,0)),"",INDEX('Compliance Database'!$G$2:$G$1199,MATCH(1135,Engine!$C$2:$C$1199,0)))</f>
        <v/>
      </c>
      <c r="H1148" s="7" t="str">
        <f>IF(ISNA(MATCH(1135,Engine!$C$2:$C$1199,0)),"",INDEX('Compliance Database'!$H$2:$H$1199,MATCH(1135,Engine!$C$2:$C$1199,0)))</f>
        <v/>
      </c>
      <c r="I1148" s="7" t="str">
        <f>IF(ISNA(MATCH(1135,Engine!$C$2:$C$1199,0)),"",INDEX('Compliance Database'!$I$2:$I$1199,MATCH(1135,Engine!$C$2:$C$1199,0)))</f>
        <v/>
      </c>
      <c r="J1148" s="6" t="str">
        <f>IF(ISNA(MATCH(1135,Engine!$C$2:$C$1199,0)),"",INDEX('Compliance Database'!$J$2:$J$1199,MATCH(1135,Engine!$C$2:$C$1199,0)))</f>
        <v/>
      </c>
      <c r="K1148" s="7" t="str">
        <f>IF(ISNA(MATCH(1135,Engine!$C$2:$C$1199,0)),"",INDEX('Compliance Database'!$K$2:$K$1199,MATCH(1135,Engine!$C$2:$C$1199,0)))</f>
        <v/>
      </c>
      <c r="L1148" s="7" t="str">
        <f>IF(ISNA(MATCH(1135,Engine!$C$2:$C$1199,0)),"",INDEX('Compliance Database'!$L$2:$L$1199,MATCH(1135,Engine!$C$2:$C$1199,0)))</f>
        <v/>
      </c>
      <c r="M1148" s="7" t="str">
        <f>IF(ISNA(MATCH(1135,Engine!$C$2:$C$1199,0)),"",INDEX('Compliance Database'!$M$2:$M$1199,MATCH(1135,Engine!$C$2:$C$1199,0)))</f>
        <v/>
      </c>
      <c r="N1148" s="7" t="str">
        <f>IF(ISNA(MATCH(1135,Engine!$C$2:$C$1199,0)),"",INDEX('Compliance Database'!$N$2:$N$1199,MATCH(1135,Engine!$C$2:$C$1199,0)))</f>
        <v/>
      </c>
      <c r="O1148" s="7" t="str">
        <f>IF(ISNA(MATCH(1135,Engine!$C$2:$C$1199,0)),"",INDEX('Compliance Database'!$O$2:$O$1199,MATCH(1135,Engine!$C$2:$C$1199,0)))</f>
        <v/>
      </c>
      <c r="P1148" s="6" t="str">
        <f>IF(ISNA(MATCH(1135,Engine!$C$2:$C$1199,0)),"",HYPERLINK("#Acts!A"&amp;INDEX('Compliance Database'!$P$2:$P$1199,MATCH(1135,Engine!$C$2:$C$1199,0)),"Go to Act"))</f>
        <v/>
      </c>
    </row>
    <row r="1149" spans="1:16" ht="172.95" customHeight="1" x14ac:dyDescent="0.3">
      <c r="A1149" s="6" t="str">
        <f>IF(ISNA(MATCH(1136,Engine!$C$2:$C$1199,0)),"",INDEX('Compliance Database'!$A$2:$A$1199,MATCH(1136,Engine!$C$2:$C$1199,0)))</f>
        <v/>
      </c>
      <c r="B1149" s="6" t="str">
        <f>IF(ISNA(MATCH(1136,Engine!$C$2:$C$1199,0)),"",INDEX('Compliance Database'!$B$2:$B$1199,MATCH(1136,Engine!$C$2:$C$1199,0)))</f>
        <v/>
      </c>
      <c r="C1149" s="6" t="str">
        <f>IF(ISNA(MATCH(1136,Engine!$C$2:$C$1199,0)),"",INDEX('Compliance Database'!$C$2:$C$1199,MATCH(1136,Engine!$C$2:$C$1199,0)))</f>
        <v/>
      </c>
      <c r="D1149" s="7" t="str">
        <f>IF(ISNA(MATCH(1136,Engine!$C$2:$C$1199,0)),"",INDEX('Compliance Database'!$D$2:$D$1199,MATCH(1136,Engine!$C$2:$C$1199,0)))</f>
        <v/>
      </c>
      <c r="E1149" s="6" t="str">
        <f>IF(ISNA(MATCH(1136,Engine!$C$2:$C$1199,0)),"",INDEX('Compliance Database'!$E$2:$E$1199,MATCH(1136,Engine!$C$2:$C$1199,0)))</f>
        <v/>
      </c>
      <c r="F1149" s="6" t="str">
        <f>IF(ISNA(MATCH(1136,Engine!$C$2:$C$1199,0)),"",INDEX('Compliance Database'!$F$2:$F$1199,MATCH(1136,Engine!$C$2:$C$1199,0)))</f>
        <v/>
      </c>
      <c r="G1149" s="6" t="str">
        <f>IF(ISNA(MATCH(1136,Engine!$C$2:$C$1199,0)),"",INDEX('Compliance Database'!$G$2:$G$1199,MATCH(1136,Engine!$C$2:$C$1199,0)))</f>
        <v/>
      </c>
      <c r="H1149" s="7" t="str">
        <f>IF(ISNA(MATCH(1136,Engine!$C$2:$C$1199,0)),"",INDEX('Compliance Database'!$H$2:$H$1199,MATCH(1136,Engine!$C$2:$C$1199,0)))</f>
        <v/>
      </c>
      <c r="I1149" s="7" t="str">
        <f>IF(ISNA(MATCH(1136,Engine!$C$2:$C$1199,0)),"",INDEX('Compliance Database'!$I$2:$I$1199,MATCH(1136,Engine!$C$2:$C$1199,0)))</f>
        <v/>
      </c>
      <c r="J1149" s="6" t="str">
        <f>IF(ISNA(MATCH(1136,Engine!$C$2:$C$1199,0)),"",INDEX('Compliance Database'!$J$2:$J$1199,MATCH(1136,Engine!$C$2:$C$1199,0)))</f>
        <v/>
      </c>
      <c r="K1149" s="7" t="str">
        <f>IF(ISNA(MATCH(1136,Engine!$C$2:$C$1199,0)),"",INDEX('Compliance Database'!$K$2:$K$1199,MATCH(1136,Engine!$C$2:$C$1199,0)))</f>
        <v/>
      </c>
      <c r="L1149" s="7" t="str">
        <f>IF(ISNA(MATCH(1136,Engine!$C$2:$C$1199,0)),"",INDEX('Compliance Database'!$L$2:$L$1199,MATCH(1136,Engine!$C$2:$C$1199,0)))</f>
        <v/>
      </c>
      <c r="M1149" s="7" t="str">
        <f>IF(ISNA(MATCH(1136,Engine!$C$2:$C$1199,0)),"",INDEX('Compliance Database'!$M$2:$M$1199,MATCH(1136,Engine!$C$2:$C$1199,0)))</f>
        <v/>
      </c>
      <c r="N1149" s="7" t="str">
        <f>IF(ISNA(MATCH(1136,Engine!$C$2:$C$1199,0)),"",INDEX('Compliance Database'!$N$2:$N$1199,MATCH(1136,Engine!$C$2:$C$1199,0)))</f>
        <v/>
      </c>
      <c r="O1149" s="7" t="str">
        <f>IF(ISNA(MATCH(1136,Engine!$C$2:$C$1199,0)),"",INDEX('Compliance Database'!$O$2:$O$1199,MATCH(1136,Engine!$C$2:$C$1199,0)))</f>
        <v/>
      </c>
      <c r="P1149" s="6" t="str">
        <f>IF(ISNA(MATCH(1136,Engine!$C$2:$C$1199,0)),"",HYPERLINK("#Acts!A"&amp;INDEX('Compliance Database'!$P$2:$P$1199,MATCH(1136,Engine!$C$2:$C$1199,0)),"Go to Act"))</f>
        <v/>
      </c>
    </row>
    <row r="1150" spans="1:16" ht="172.95" customHeight="1" x14ac:dyDescent="0.3">
      <c r="A1150" s="6" t="str">
        <f>IF(ISNA(MATCH(1137,Engine!$C$2:$C$1199,0)),"",INDEX('Compliance Database'!$A$2:$A$1199,MATCH(1137,Engine!$C$2:$C$1199,0)))</f>
        <v/>
      </c>
      <c r="B1150" s="6" t="str">
        <f>IF(ISNA(MATCH(1137,Engine!$C$2:$C$1199,0)),"",INDEX('Compliance Database'!$B$2:$B$1199,MATCH(1137,Engine!$C$2:$C$1199,0)))</f>
        <v/>
      </c>
      <c r="C1150" s="6" t="str">
        <f>IF(ISNA(MATCH(1137,Engine!$C$2:$C$1199,0)),"",INDEX('Compliance Database'!$C$2:$C$1199,MATCH(1137,Engine!$C$2:$C$1199,0)))</f>
        <v/>
      </c>
      <c r="D1150" s="7" t="str">
        <f>IF(ISNA(MATCH(1137,Engine!$C$2:$C$1199,0)),"",INDEX('Compliance Database'!$D$2:$D$1199,MATCH(1137,Engine!$C$2:$C$1199,0)))</f>
        <v/>
      </c>
      <c r="E1150" s="6" t="str">
        <f>IF(ISNA(MATCH(1137,Engine!$C$2:$C$1199,0)),"",INDEX('Compliance Database'!$E$2:$E$1199,MATCH(1137,Engine!$C$2:$C$1199,0)))</f>
        <v/>
      </c>
      <c r="F1150" s="6" t="str">
        <f>IF(ISNA(MATCH(1137,Engine!$C$2:$C$1199,0)),"",INDEX('Compliance Database'!$F$2:$F$1199,MATCH(1137,Engine!$C$2:$C$1199,0)))</f>
        <v/>
      </c>
      <c r="G1150" s="6" t="str">
        <f>IF(ISNA(MATCH(1137,Engine!$C$2:$C$1199,0)),"",INDEX('Compliance Database'!$G$2:$G$1199,MATCH(1137,Engine!$C$2:$C$1199,0)))</f>
        <v/>
      </c>
      <c r="H1150" s="7" t="str">
        <f>IF(ISNA(MATCH(1137,Engine!$C$2:$C$1199,0)),"",INDEX('Compliance Database'!$H$2:$H$1199,MATCH(1137,Engine!$C$2:$C$1199,0)))</f>
        <v/>
      </c>
      <c r="I1150" s="7" t="str">
        <f>IF(ISNA(MATCH(1137,Engine!$C$2:$C$1199,0)),"",INDEX('Compliance Database'!$I$2:$I$1199,MATCH(1137,Engine!$C$2:$C$1199,0)))</f>
        <v/>
      </c>
      <c r="J1150" s="6" t="str">
        <f>IF(ISNA(MATCH(1137,Engine!$C$2:$C$1199,0)),"",INDEX('Compliance Database'!$J$2:$J$1199,MATCH(1137,Engine!$C$2:$C$1199,0)))</f>
        <v/>
      </c>
      <c r="K1150" s="7" t="str">
        <f>IF(ISNA(MATCH(1137,Engine!$C$2:$C$1199,0)),"",INDEX('Compliance Database'!$K$2:$K$1199,MATCH(1137,Engine!$C$2:$C$1199,0)))</f>
        <v/>
      </c>
      <c r="L1150" s="7" t="str">
        <f>IF(ISNA(MATCH(1137,Engine!$C$2:$C$1199,0)),"",INDEX('Compliance Database'!$L$2:$L$1199,MATCH(1137,Engine!$C$2:$C$1199,0)))</f>
        <v/>
      </c>
      <c r="M1150" s="7" t="str">
        <f>IF(ISNA(MATCH(1137,Engine!$C$2:$C$1199,0)),"",INDEX('Compliance Database'!$M$2:$M$1199,MATCH(1137,Engine!$C$2:$C$1199,0)))</f>
        <v/>
      </c>
      <c r="N1150" s="7" t="str">
        <f>IF(ISNA(MATCH(1137,Engine!$C$2:$C$1199,0)),"",INDEX('Compliance Database'!$N$2:$N$1199,MATCH(1137,Engine!$C$2:$C$1199,0)))</f>
        <v/>
      </c>
      <c r="O1150" s="7" t="str">
        <f>IF(ISNA(MATCH(1137,Engine!$C$2:$C$1199,0)),"",INDEX('Compliance Database'!$O$2:$O$1199,MATCH(1137,Engine!$C$2:$C$1199,0)))</f>
        <v/>
      </c>
      <c r="P1150" s="6" t="str">
        <f>IF(ISNA(MATCH(1137,Engine!$C$2:$C$1199,0)),"",HYPERLINK("#Acts!A"&amp;INDEX('Compliance Database'!$P$2:$P$1199,MATCH(1137,Engine!$C$2:$C$1199,0)),"Go to Act"))</f>
        <v/>
      </c>
    </row>
    <row r="1151" spans="1:16" ht="172.95" customHeight="1" x14ac:dyDescent="0.3">
      <c r="A1151" s="6" t="str">
        <f>IF(ISNA(MATCH(1138,Engine!$C$2:$C$1199,0)),"",INDEX('Compliance Database'!$A$2:$A$1199,MATCH(1138,Engine!$C$2:$C$1199,0)))</f>
        <v/>
      </c>
      <c r="B1151" s="6" t="str">
        <f>IF(ISNA(MATCH(1138,Engine!$C$2:$C$1199,0)),"",INDEX('Compliance Database'!$B$2:$B$1199,MATCH(1138,Engine!$C$2:$C$1199,0)))</f>
        <v/>
      </c>
      <c r="C1151" s="6" t="str">
        <f>IF(ISNA(MATCH(1138,Engine!$C$2:$C$1199,0)),"",INDEX('Compliance Database'!$C$2:$C$1199,MATCH(1138,Engine!$C$2:$C$1199,0)))</f>
        <v/>
      </c>
      <c r="D1151" s="7" t="str">
        <f>IF(ISNA(MATCH(1138,Engine!$C$2:$C$1199,0)),"",INDEX('Compliance Database'!$D$2:$D$1199,MATCH(1138,Engine!$C$2:$C$1199,0)))</f>
        <v/>
      </c>
      <c r="E1151" s="6" t="str">
        <f>IF(ISNA(MATCH(1138,Engine!$C$2:$C$1199,0)),"",INDEX('Compliance Database'!$E$2:$E$1199,MATCH(1138,Engine!$C$2:$C$1199,0)))</f>
        <v/>
      </c>
      <c r="F1151" s="6" t="str">
        <f>IF(ISNA(MATCH(1138,Engine!$C$2:$C$1199,0)),"",INDEX('Compliance Database'!$F$2:$F$1199,MATCH(1138,Engine!$C$2:$C$1199,0)))</f>
        <v/>
      </c>
      <c r="G1151" s="6" t="str">
        <f>IF(ISNA(MATCH(1138,Engine!$C$2:$C$1199,0)),"",INDEX('Compliance Database'!$G$2:$G$1199,MATCH(1138,Engine!$C$2:$C$1199,0)))</f>
        <v/>
      </c>
      <c r="H1151" s="7" t="str">
        <f>IF(ISNA(MATCH(1138,Engine!$C$2:$C$1199,0)),"",INDEX('Compliance Database'!$H$2:$H$1199,MATCH(1138,Engine!$C$2:$C$1199,0)))</f>
        <v/>
      </c>
      <c r="I1151" s="7" t="str">
        <f>IF(ISNA(MATCH(1138,Engine!$C$2:$C$1199,0)),"",INDEX('Compliance Database'!$I$2:$I$1199,MATCH(1138,Engine!$C$2:$C$1199,0)))</f>
        <v/>
      </c>
      <c r="J1151" s="6" t="str">
        <f>IF(ISNA(MATCH(1138,Engine!$C$2:$C$1199,0)),"",INDEX('Compliance Database'!$J$2:$J$1199,MATCH(1138,Engine!$C$2:$C$1199,0)))</f>
        <v/>
      </c>
      <c r="K1151" s="7" t="str">
        <f>IF(ISNA(MATCH(1138,Engine!$C$2:$C$1199,0)),"",INDEX('Compliance Database'!$K$2:$K$1199,MATCH(1138,Engine!$C$2:$C$1199,0)))</f>
        <v/>
      </c>
      <c r="L1151" s="7" t="str">
        <f>IF(ISNA(MATCH(1138,Engine!$C$2:$C$1199,0)),"",INDEX('Compliance Database'!$L$2:$L$1199,MATCH(1138,Engine!$C$2:$C$1199,0)))</f>
        <v/>
      </c>
      <c r="M1151" s="7" t="str">
        <f>IF(ISNA(MATCH(1138,Engine!$C$2:$C$1199,0)),"",INDEX('Compliance Database'!$M$2:$M$1199,MATCH(1138,Engine!$C$2:$C$1199,0)))</f>
        <v/>
      </c>
      <c r="N1151" s="7" t="str">
        <f>IF(ISNA(MATCH(1138,Engine!$C$2:$C$1199,0)),"",INDEX('Compliance Database'!$N$2:$N$1199,MATCH(1138,Engine!$C$2:$C$1199,0)))</f>
        <v/>
      </c>
      <c r="O1151" s="7" t="str">
        <f>IF(ISNA(MATCH(1138,Engine!$C$2:$C$1199,0)),"",INDEX('Compliance Database'!$O$2:$O$1199,MATCH(1138,Engine!$C$2:$C$1199,0)))</f>
        <v/>
      </c>
      <c r="P1151" s="6" t="str">
        <f>IF(ISNA(MATCH(1138,Engine!$C$2:$C$1199,0)),"",HYPERLINK("#Acts!A"&amp;INDEX('Compliance Database'!$P$2:$P$1199,MATCH(1138,Engine!$C$2:$C$1199,0)),"Go to Act"))</f>
        <v/>
      </c>
    </row>
    <row r="1152" spans="1:16" ht="172.95" customHeight="1" x14ac:dyDescent="0.3">
      <c r="A1152" s="6" t="str">
        <f>IF(ISNA(MATCH(1139,Engine!$C$2:$C$1199,0)),"",INDEX('Compliance Database'!$A$2:$A$1199,MATCH(1139,Engine!$C$2:$C$1199,0)))</f>
        <v/>
      </c>
      <c r="B1152" s="6" t="str">
        <f>IF(ISNA(MATCH(1139,Engine!$C$2:$C$1199,0)),"",INDEX('Compliance Database'!$B$2:$B$1199,MATCH(1139,Engine!$C$2:$C$1199,0)))</f>
        <v/>
      </c>
      <c r="C1152" s="6" t="str">
        <f>IF(ISNA(MATCH(1139,Engine!$C$2:$C$1199,0)),"",INDEX('Compliance Database'!$C$2:$C$1199,MATCH(1139,Engine!$C$2:$C$1199,0)))</f>
        <v/>
      </c>
      <c r="D1152" s="7" t="str">
        <f>IF(ISNA(MATCH(1139,Engine!$C$2:$C$1199,0)),"",INDEX('Compliance Database'!$D$2:$D$1199,MATCH(1139,Engine!$C$2:$C$1199,0)))</f>
        <v/>
      </c>
      <c r="E1152" s="6" t="str">
        <f>IF(ISNA(MATCH(1139,Engine!$C$2:$C$1199,0)),"",INDEX('Compliance Database'!$E$2:$E$1199,MATCH(1139,Engine!$C$2:$C$1199,0)))</f>
        <v/>
      </c>
      <c r="F1152" s="6" t="str">
        <f>IF(ISNA(MATCH(1139,Engine!$C$2:$C$1199,0)),"",INDEX('Compliance Database'!$F$2:$F$1199,MATCH(1139,Engine!$C$2:$C$1199,0)))</f>
        <v/>
      </c>
      <c r="G1152" s="6" t="str">
        <f>IF(ISNA(MATCH(1139,Engine!$C$2:$C$1199,0)),"",INDEX('Compliance Database'!$G$2:$G$1199,MATCH(1139,Engine!$C$2:$C$1199,0)))</f>
        <v/>
      </c>
      <c r="H1152" s="7" t="str">
        <f>IF(ISNA(MATCH(1139,Engine!$C$2:$C$1199,0)),"",INDEX('Compliance Database'!$H$2:$H$1199,MATCH(1139,Engine!$C$2:$C$1199,0)))</f>
        <v/>
      </c>
      <c r="I1152" s="7" t="str">
        <f>IF(ISNA(MATCH(1139,Engine!$C$2:$C$1199,0)),"",INDEX('Compliance Database'!$I$2:$I$1199,MATCH(1139,Engine!$C$2:$C$1199,0)))</f>
        <v/>
      </c>
      <c r="J1152" s="6" t="str">
        <f>IF(ISNA(MATCH(1139,Engine!$C$2:$C$1199,0)),"",INDEX('Compliance Database'!$J$2:$J$1199,MATCH(1139,Engine!$C$2:$C$1199,0)))</f>
        <v/>
      </c>
      <c r="K1152" s="7" t="str">
        <f>IF(ISNA(MATCH(1139,Engine!$C$2:$C$1199,0)),"",INDEX('Compliance Database'!$K$2:$K$1199,MATCH(1139,Engine!$C$2:$C$1199,0)))</f>
        <v/>
      </c>
      <c r="L1152" s="7" t="str">
        <f>IF(ISNA(MATCH(1139,Engine!$C$2:$C$1199,0)),"",INDEX('Compliance Database'!$L$2:$L$1199,MATCH(1139,Engine!$C$2:$C$1199,0)))</f>
        <v/>
      </c>
      <c r="M1152" s="7" t="str">
        <f>IF(ISNA(MATCH(1139,Engine!$C$2:$C$1199,0)),"",INDEX('Compliance Database'!$M$2:$M$1199,MATCH(1139,Engine!$C$2:$C$1199,0)))</f>
        <v/>
      </c>
      <c r="N1152" s="7" t="str">
        <f>IF(ISNA(MATCH(1139,Engine!$C$2:$C$1199,0)),"",INDEX('Compliance Database'!$N$2:$N$1199,MATCH(1139,Engine!$C$2:$C$1199,0)))</f>
        <v/>
      </c>
      <c r="O1152" s="7" t="str">
        <f>IF(ISNA(MATCH(1139,Engine!$C$2:$C$1199,0)),"",INDEX('Compliance Database'!$O$2:$O$1199,MATCH(1139,Engine!$C$2:$C$1199,0)))</f>
        <v/>
      </c>
      <c r="P1152" s="6" t="str">
        <f>IF(ISNA(MATCH(1139,Engine!$C$2:$C$1199,0)),"",HYPERLINK("#Acts!A"&amp;INDEX('Compliance Database'!$P$2:$P$1199,MATCH(1139,Engine!$C$2:$C$1199,0)),"Go to Act"))</f>
        <v/>
      </c>
    </row>
    <row r="1153" spans="1:16" ht="172.95" customHeight="1" x14ac:dyDescent="0.3">
      <c r="A1153" s="6" t="str">
        <f>IF(ISNA(MATCH(1140,Engine!$C$2:$C$1199,0)),"",INDEX('Compliance Database'!$A$2:$A$1199,MATCH(1140,Engine!$C$2:$C$1199,0)))</f>
        <v/>
      </c>
      <c r="B1153" s="6" t="str">
        <f>IF(ISNA(MATCH(1140,Engine!$C$2:$C$1199,0)),"",INDEX('Compliance Database'!$B$2:$B$1199,MATCH(1140,Engine!$C$2:$C$1199,0)))</f>
        <v/>
      </c>
      <c r="C1153" s="6" t="str">
        <f>IF(ISNA(MATCH(1140,Engine!$C$2:$C$1199,0)),"",INDEX('Compliance Database'!$C$2:$C$1199,MATCH(1140,Engine!$C$2:$C$1199,0)))</f>
        <v/>
      </c>
      <c r="D1153" s="7" t="str">
        <f>IF(ISNA(MATCH(1140,Engine!$C$2:$C$1199,0)),"",INDEX('Compliance Database'!$D$2:$D$1199,MATCH(1140,Engine!$C$2:$C$1199,0)))</f>
        <v/>
      </c>
      <c r="E1153" s="6" t="str">
        <f>IF(ISNA(MATCH(1140,Engine!$C$2:$C$1199,0)),"",INDEX('Compliance Database'!$E$2:$E$1199,MATCH(1140,Engine!$C$2:$C$1199,0)))</f>
        <v/>
      </c>
      <c r="F1153" s="6" t="str">
        <f>IF(ISNA(MATCH(1140,Engine!$C$2:$C$1199,0)),"",INDEX('Compliance Database'!$F$2:$F$1199,MATCH(1140,Engine!$C$2:$C$1199,0)))</f>
        <v/>
      </c>
      <c r="G1153" s="6" t="str">
        <f>IF(ISNA(MATCH(1140,Engine!$C$2:$C$1199,0)),"",INDEX('Compliance Database'!$G$2:$G$1199,MATCH(1140,Engine!$C$2:$C$1199,0)))</f>
        <v/>
      </c>
      <c r="H1153" s="7" t="str">
        <f>IF(ISNA(MATCH(1140,Engine!$C$2:$C$1199,0)),"",INDEX('Compliance Database'!$H$2:$H$1199,MATCH(1140,Engine!$C$2:$C$1199,0)))</f>
        <v/>
      </c>
      <c r="I1153" s="7" t="str">
        <f>IF(ISNA(MATCH(1140,Engine!$C$2:$C$1199,0)),"",INDEX('Compliance Database'!$I$2:$I$1199,MATCH(1140,Engine!$C$2:$C$1199,0)))</f>
        <v/>
      </c>
      <c r="J1153" s="6" t="str">
        <f>IF(ISNA(MATCH(1140,Engine!$C$2:$C$1199,0)),"",INDEX('Compliance Database'!$J$2:$J$1199,MATCH(1140,Engine!$C$2:$C$1199,0)))</f>
        <v/>
      </c>
      <c r="K1153" s="7" t="str">
        <f>IF(ISNA(MATCH(1140,Engine!$C$2:$C$1199,0)),"",INDEX('Compliance Database'!$K$2:$K$1199,MATCH(1140,Engine!$C$2:$C$1199,0)))</f>
        <v/>
      </c>
      <c r="L1153" s="7" t="str">
        <f>IF(ISNA(MATCH(1140,Engine!$C$2:$C$1199,0)),"",INDEX('Compliance Database'!$L$2:$L$1199,MATCH(1140,Engine!$C$2:$C$1199,0)))</f>
        <v/>
      </c>
      <c r="M1153" s="7" t="str">
        <f>IF(ISNA(MATCH(1140,Engine!$C$2:$C$1199,0)),"",INDEX('Compliance Database'!$M$2:$M$1199,MATCH(1140,Engine!$C$2:$C$1199,0)))</f>
        <v/>
      </c>
      <c r="N1153" s="7" t="str">
        <f>IF(ISNA(MATCH(1140,Engine!$C$2:$C$1199,0)),"",INDEX('Compliance Database'!$N$2:$N$1199,MATCH(1140,Engine!$C$2:$C$1199,0)))</f>
        <v/>
      </c>
      <c r="O1153" s="7" t="str">
        <f>IF(ISNA(MATCH(1140,Engine!$C$2:$C$1199,0)),"",INDEX('Compliance Database'!$O$2:$O$1199,MATCH(1140,Engine!$C$2:$C$1199,0)))</f>
        <v/>
      </c>
      <c r="P1153" s="6" t="str">
        <f>IF(ISNA(MATCH(1140,Engine!$C$2:$C$1199,0)),"",HYPERLINK("#Acts!A"&amp;INDEX('Compliance Database'!$P$2:$P$1199,MATCH(1140,Engine!$C$2:$C$1199,0)),"Go to Act"))</f>
        <v/>
      </c>
    </row>
    <row r="1154" spans="1:16" ht="172.95" customHeight="1" x14ac:dyDescent="0.3">
      <c r="A1154" s="6" t="str">
        <f>IF(ISNA(MATCH(1141,Engine!$C$2:$C$1199,0)),"",INDEX('Compliance Database'!$A$2:$A$1199,MATCH(1141,Engine!$C$2:$C$1199,0)))</f>
        <v/>
      </c>
      <c r="B1154" s="6" t="str">
        <f>IF(ISNA(MATCH(1141,Engine!$C$2:$C$1199,0)),"",INDEX('Compliance Database'!$B$2:$B$1199,MATCH(1141,Engine!$C$2:$C$1199,0)))</f>
        <v/>
      </c>
      <c r="C1154" s="6" t="str">
        <f>IF(ISNA(MATCH(1141,Engine!$C$2:$C$1199,0)),"",INDEX('Compliance Database'!$C$2:$C$1199,MATCH(1141,Engine!$C$2:$C$1199,0)))</f>
        <v/>
      </c>
      <c r="D1154" s="7" t="str">
        <f>IF(ISNA(MATCH(1141,Engine!$C$2:$C$1199,0)),"",INDEX('Compliance Database'!$D$2:$D$1199,MATCH(1141,Engine!$C$2:$C$1199,0)))</f>
        <v/>
      </c>
      <c r="E1154" s="6" t="str">
        <f>IF(ISNA(MATCH(1141,Engine!$C$2:$C$1199,0)),"",INDEX('Compliance Database'!$E$2:$E$1199,MATCH(1141,Engine!$C$2:$C$1199,0)))</f>
        <v/>
      </c>
      <c r="F1154" s="6" t="str">
        <f>IF(ISNA(MATCH(1141,Engine!$C$2:$C$1199,0)),"",INDEX('Compliance Database'!$F$2:$F$1199,MATCH(1141,Engine!$C$2:$C$1199,0)))</f>
        <v/>
      </c>
      <c r="G1154" s="6" t="str">
        <f>IF(ISNA(MATCH(1141,Engine!$C$2:$C$1199,0)),"",INDEX('Compliance Database'!$G$2:$G$1199,MATCH(1141,Engine!$C$2:$C$1199,0)))</f>
        <v/>
      </c>
      <c r="H1154" s="7" t="str">
        <f>IF(ISNA(MATCH(1141,Engine!$C$2:$C$1199,0)),"",INDEX('Compliance Database'!$H$2:$H$1199,MATCH(1141,Engine!$C$2:$C$1199,0)))</f>
        <v/>
      </c>
      <c r="I1154" s="7" t="str">
        <f>IF(ISNA(MATCH(1141,Engine!$C$2:$C$1199,0)),"",INDEX('Compliance Database'!$I$2:$I$1199,MATCH(1141,Engine!$C$2:$C$1199,0)))</f>
        <v/>
      </c>
      <c r="J1154" s="6" t="str">
        <f>IF(ISNA(MATCH(1141,Engine!$C$2:$C$1199,0)),"",INDEX('Compliance Database'!$J$2:$J$1199,MATCH(1141,Engine!$C$2:$C$1199,0)))</f>
        <v/>
      </c>
      <c r="K1154" s="7" t="str">
        <f>IF(ISNA(MATCH(1141,Engine!$C$2:$C$1199,0)),"",INDEX('Compliance Database'!$K$2:$K$1199,MATCH(1141,Engine!$C$2:$C$1199,0)))</f>
        <v/>
      </c>
      <c r="L1154" s="7" t="str">
        <f>IF(ISNA(MATCH(1141,Engine!$C$2:$C$1199,0)),"",INDEX('Compliance Database'!$L$2:$L$1199,MATCH(1141,Engine!$C$2:$C$1199,0)))</f>
        <v/>
      </c>
      <c r="M1154" s="7" t="str">
        <f>IF(ISNA(MATCH(1141,Engine!$C$2:$C$1199,0)),"",INDEX('Compliance Database'!$M$2:$M$1199,MATCH(1141,Engine!$C$2:$C$1199,0)))</f>
        <v/>
      </c>
      <c r="N1154" s="7" t="str">
        <f>IF(ISNA(MATCH(1141,Engine!$C$2:$C$1199,0)),"",INDEX('Compliance Database'!$N$2:$N$1199,MATCH(1141,Engine!$C$2:$C$1199,0)))</f>
        <v/>
      </c>
      <c r="O1154" s="7" t="str">
        <f>IF(ISNA(MATCH(1141,Engine!$C$2:$C$1199,0)),"",INDEX('Compliance Database'!$O$2:$O$1199,MATCH(1141,Engine!$C$2:$C$1199,0)))</f>
        <v/>
      </c>
      <c r="P1154" s="6" t="str">
        <f>IF(ISNA(MATCH(1141,Engine!$C$2:$C$1199,0)),"",HYPERLINK("#Acts!A"&amp;INDEX('Compliance Database'!$P$2:$P$1199,MATCH(1141,Engine!$C$2:$C$1199,0)),"Go to Act"))</f>
        <v/>
      </c>
    </row>
    <row r="1155" spans="1:16" ht="172.95" customHeight="1" x14ac:dyDescent="0.3">
      <c r="A1155" s="6" t="str">
        <f>IF(ISNA(MATCH(1142,Engine!$C$2:$C$1199,0)),"",INDEX('Compliance Database'!$A$2:$A$1199,MATCH(1142,Engine!$C$2:$C$1199,0)))</f>
        <v/>
      </c>
      <c r="B1155" s="6" t="str">
        <f>IF(ISNA(MATCH(1142,Engine!$C$2:$C$1199,0)),"",INDEX('Compliance Database'!$B$2:$B$1199,MATCH(1142,Engine!$C$2:$C$1199,0)))</f>
        <v/>
      </c>
      <c r="C1155" s="6" t="str">
        <f>IF(ISNA(MATCH(1142,Engine!$C$2:$C$1199,0)),"",INDEX('Compliance Database'!$C$2:$C$1199,MATCH(1142,Engine!$C$2:$C$1199,0)))</f>
        <v/>
      </c>
      <c r="D1155" s="7" t="str">
        <f>IF(ISNA(MATCH(1142,Engine!$C$2:$C$1199,0)),"",INDEX('Compliance Database'!$D$2:$D$1199,MATCH(1142,Engine!$C$2:$C$1199,0)))</f>
        <v/>
      </c>
      <c r="E1155" s="6" t="str">
        <f>IF(ISNA(MATCH(1142,Engine!$C$2:$C$1199,0)),"",INDEX('Compliance Database'!$E$2:$E$1199,MATCH(1142,Engine!$C$2:$C$1199,0)))</f>
        <v/>
      </c>
      <c r="F1155" s="6" t="str">
        <f>IF(ISNA(MATCH(1142,Engine!$C$2:$C$1199,0)),"",INDEX('Compliance Database'!$F$2:$F$1199,MATCH(1142,Engine!$C$2:$C$1199,0)))</f>
        <v/>
      </c>
      <c r="G1155" s="6" t="str">
        <f>IF(ISNA(MATCH(1142,Engine!$C$2:$C$1199,0)),"",INDEX('Compliance Database'!$G$2:$G$1199,MATCH(1142,Engine!$C$2:$C$1199,0)))</f>
        <v/>
      </c>
      <c r="H1155" s="7" t="str">
        <f>IF(ISNA(MATCH(1142,Engine!$C$2:$C$1199,0)),"",INDEX('Compliance Database'!$H$2:$H$1199,MATCH(1142,Engine!$C$2:$C$1199,0)))</f>
        <v/>
      </c>
      <c r="I1155" s="7" t="str">
        <f>IF(ISNA(MATCH(1142,Engine!$C$2:$C$1199,0)),"",INDEX('Compliance Database'!$I$2:$I$1199,MATCH(1142,Engine!$C$2:$C$1199,0)))</f>
        <v/>
      </c>
      <c r="J1155" s="6" t="str">
        <f>IF(ISNA(MATCH(1142,Engine!$C$2:$C$1199,0)),"",INDEX('Compliance Database'!$J$2:$J$1199,MATCH(1142,Engine!$C$2:$C$1199,0)))</f>
        <v/>
      </c>
      <c r="K1155" s="7" t="str">
        <f>IF(ISNA(MATCH(1142,Engine!$C$2:$C$1199,0)),"",INDEX('Compliance Database'!$K$2:$K$1199,MATCH(1142,Engine!$C$2:$C$1199,0)))</f>
        <v/>
      </c>
      <c r="L1155" s="7" t="str">
        <f>IF(ISNA(MATCH(1142,Engine!$C$2:$C$1199,0)),"",INDEX('Compliance Database'!$L$2:$L$1199,MATCH(1142,Engine!$C$2:$C$1199,0)))</f>
        <v/>
      </c>
      <c r="M1155" s="7" t="str">
        <f>IF(ISNA(MATCH(1142,Engine!$C$2:$C$1199,0)),"",INDEX('Compliance Database'!$M$2:$M$1199,MATCH(1142,Engine!$C$2:$C$1199,0)))</f>
        <v/>
      </c>
      <c r="N1155" s="7" t="str">
        <f>IF(ISNA(MATCH(1142,Engine!$C$2:$C$1199,0)),"",INDEX('Compliance Database'!$N$2:$N$1199,MATCH(1142,Engine!$C$2:$C$1199,0)))</f>
        <v/>
      </c>
      <c r="O1155" s="7" t="str">
        <f>IF(ISNA(MATCH(1142,Engine!$C$2:$C$1199,0)),"",INDEX('Compliance Database'!$O$2:$O$1199,MATCH(1142,Engine!$C$2:$C$1199,0)))</f>
        <v/>
      </c>
      <c r="P1155" s="6" t="str">
        <f>IF(ISNA(MATCH(1142,Engine!$C$2:$C$1199,0)),"",HYPERLINK("#Acts!A"&amp;INDEX('Compliance Database'!$P$2:$P$1199,MATCH(1142,Engine!$C$2:$C$1199,0)),"Go to Act"))</f>
        <v/>
      </c>
    </row>
    <row r="1156" spans="1:16" ht="172.95" customHeight="1" x14ac:dyDescent="0.3">
      <c r="A1156" s="6" t="str">
        <f>IF(ISNA(MATCH(1143,Engine!$C$2:$C$1199,0)),"",INDEX('Compliance Database'!$A$2:$A$1199,MATCH(1143,Engine!$C$2:$C$1199,0)))</f>
        <v/>
      </c>
      <c r="B1156" s="6" t="str">
        <f>IF(ISNA(MATCH(1143,Engine!$C$2:$C$1199,0)),"",INDEX('Compliance Database'!$B$2:$B$1199,MATCH(1143,Engine!$C$2:$C$1199,0)))</f>
        <v/>
      </c>
      <c r="C1156" s="6" t="str">
        <f>IF(ISNA(MATCH(1143,Engine!$C$2:$C$1199,0)),"",INDEX('Compliance Database'!$C$2:$C$1199,MATCH(1143,Engine!$C$2:$C$1199,0)))</f>
        <v/>
      </c>
      <c r="D1156" s="7" t="str">
        <f>IF(ISNA(MATCH(1143,Engine!$C$2:$C$1199,0)),"",INDEX('Compliance Database'!$D$2:$D$1199,MATCH(1143,Engine!$C$2:$C$1199,0)))</f>
        <v/>
      </c>
      <c r="E1156" s="6" t="str">
        <f>IF(ISNA(MATCH(1143,Engine!$C$2:$C$1199,0)),"",INDEX('Compliance Database'!$E$2:$E$1199,MATCH(1143,Engine!$C$2:$C$1199,0)))</f>
        <v/>
      </c>
      <c r="F1156" s="6" t="str">
        <f>IF(ISNA(MATCH(1143,Engine!$C$2:$C$1199,0)),"",INDEX('Compliance Database'!$F$2:$F$1199,MATCH(1143,Engine!$C$2:$C$1199,0)))</f>
        <v/>
      </c>
      <c r="G1156" s="6" t="str">
        <f>IF(ISNA(MATCH(1143,Engine!$C$2:$C$1199,0)),"",INDEX('Compliance Database'!$G$2:$G$1199,MATCH(1143,Engine!$C$2:$C$1199,0)))</f>
        <v/>
      </c>
      <c r="H1156" s="7" t="str">
        <f>IF(ISNA(MATCH(1143,Engine!$C$2:$C$1199,0)),"",INDEX('Compliance Database'!$H$2:$H$1199,MATCH(1143,Engine!$C$2:$C$1199,0)))</f>
        <v/>
      </c>
      <c r="I1156" s="7" t="str">
        <f>IF(ISNA(MATCH(1143,Engine!$C$2:$C$1199,0)),"",INDEX('Compliance Database'!$I$2:$I$1199,MATCH(1143,Engine!$C$2:$C$1199,0)))</f>
        <v/>
      </c>
      <c r="J1156" s="6" t="str">
        <f>IF(ISNA(MATCH(1143,Engine!$C$2:$C$1199,0)),"",INDEX('Compliance Database'!$J$2:$J$1199,MATCH(1143,Engine!$C$2:$C$1199,0)))</f>
        <v/>
      </c>
      <c r="K1156" s="7" t="str">
        <f>IF(ISNA(MATCH(1143,Engine!$C$2:$C$1199,0)),"",INDEX('Compliance Database'!$K$2:$K$1199,MATCH(1143,Engine!$C$2:$C$1199,0)))</f>
        <v/>
      </c>
      <c r="L1156" s="7" t="str">
        <f>IF(ISNA(MATCH(1143,Engine!$C$2:$C$1199,0)),"",INDEX('Compliance Database'!$L$2:$L$1199,MATCH(1143,Engine!$C$2:$C$1199,0)))</f>
        <v/>
      </c>
      <c r="M1156" s="7" t="str">
        <f>IF(ISNA(MATCH(1143,Engine!$C$2:$C$1199,0)),"",INDEX('Compliance Database'!$M$2:$M$1199,MATCH(1143,Engine!$C$2:$C$1199,0)))</f>
        <v/>
      </c>
      <c r="N1156" s="7" t="str">
        <f>IF(ISNA(MATCH(1143,Engine!$C$2:$C$1199,0)),"",INDEX('Compliance Database'!$N$2:$N$1199,MATCH(1143,Engine!$C$2:$C$1199,0)))</f>
        <v/>
      </c>
      <c r="O1156" s="7" t="str">
        <f>IF(ISNA(MATCH(1143,Engine!$C$2:$C$1199,0)),"",INDEX('Compliance Database'!$O$2:$O$1199,MATCH(1143,Engine!$C$2:$C$1199,0)))</f>
        <v/>
      </c>
      <c r="P1156" s="6" t="str">
        <f>IF(ISNA(MATCH(1143,Engine!$C$2:$C$1199,0)),"",HYPERLINK("#Acts!A"&amp;INDEX('Compliance Database'!$P$2:$P$1199,MATCH(1143,Engine!$C$2:$C$1199,0)),"Go to Act"))</f>
        <v/>
      </c>
    </row>
    <row r="1157" spans="1:16" ht="172.95" customHeight="1" x14ac:dyDescent="0.3">
      <c r="A1157" s="6" t="str">
        <f>IF(ISNA(MATCH(1144,Engine!$C$2:$C$1199,0)),"",INDEX('Compliance Database'!$A$2:$A$1199,MATCH(1144,Engine!$C$2:$C$1199,0)))</f>
        <v/>
      </c>
      <c r="B1157" s="6" t="str">
        <f>IF(ISNA(MATCH(1144,Engine!$C$2:$C$1199,0)),"",INDEX('Compliance Database'!$B$2:$B$1199,MATCH(1144,Engine!$C$2:$C$1199,0)))</f>
        <v/>
      </c>
      <c r="C1157" s="6" t="str">
        <f>IF(ISNA(MATCH(1144,Engine!$C$2:$C$1199,0)),"",INDEX('Compliance Database'!$C$2:$C$1199,MATCH(1144,Engine!$C$2:$C$1199,0)))</f>
        <v/>
      </c>
      <c r="D1157" s="7" t="str">
        <f>IF(ISNA(MATCH(1144,Engine!$C$2:$C$1199,0)),"",INDEX('Compliance Database'!$D$2:$D$1199,MATCH(1144,Engine!$C$2:$C$1199,0)))</f>
        <v/>
      </c>
      <c r="E1157" s="6" t="str">
        <f>IF(ISNA(MATCH(1144,Engine!$C$2:$C$1199,0)),"",INDEX('Compliance Database'!$E$2:$E$1199,MATCH(1144,Engine!$C$2:$C$1199,0)))</f>
        <v/>
      </c>
      <c r="F1157" s="6" t="str">
        <f>IF(ISNA(MATCH(1144,Engine!$C$2:$C$1199,0)),"",INDEX('Compliance Database'!$F$2:$F$1199,MATCH(1144,Engine!$C$2:$C$1199,0)))</f>
        <v/>
      </c>
      <c r="G1157" s="6" t="str">
        <f>IF(ISNA(MATCH(1144,Engine!$C$2:$C$1199,0)),"",INDEX('Compliance Database'!$G$2:$G$1199,MATCH(1144,Engine!$C$2:$C$1199,0)))</f>
        <v/>
      </c>
      <c r="H1157" s="7" t="str">
        <f>IF(ISNA(MATCH(1144,Engine!$C$2:$C$1199,0)),"",INDEX('Compliance Database'!$H$2:$H$1199,MATCH(1144,Engine!$C$2:$C$1199,0)))</f>
        <v/>
      </c>
      <c r="I1157" s="7" t="str">
        <f>IF(ISNA(MATCH(1144,Engine!$C$2:$C$1199,0)),"",INDEX('Compliance Database'!$I$2:$I$1199,MATCH(1144,Engine!$C$2:$C$1199,0)))</f>
        <v/>
      </c>
      <c r="J1157" s="6" t="str">
        <f>IF(ISNA(MATCH(1144,Engine!$C$2:$C$1199,0)),"",INDEX('Compliance Database'!$J$2:$J$1199,MATCH(1144,Engine!$C$2:$C$1199,0)))</f>
        <v/>
      </c>
      <c r="K1157" s="7" t="str">
        <f>IF(ISNA(MATCH(1144,Engine!$C$2:$C$1199,0)),"",INDEX('Compliance Database'!$K$2:$K$1199,MATCH(1144,Engine!$C$2:$C$1199,0)))</f>
        <v/>
      </c>
      <c r="L1157" s="7" t="str">
        <f>IF(ISNA(MATCH(1144,Engine!$C$2:$C$1199,0)),"",INDEX('Compliance Database'!$L$2:$L$1199,MATCH(1144,Engine!$C$2:$C$1199,0)))</f>
        <v/>
      </c>
      <c r="M1157" s="7" t="str">
        <f>IF(ISNA(MATCH(1144,Engine!$C$2:$C$1199,0)),"",INDEX('Compliance Database'!$M$2:$M$1199,MATCH(1144,Engine!$C$2:$C$1199,0)))</f>
        <v/>
      </c>
      <c r="N1157" s="7" t="str">
        <f>IF(ISNA(MATCH(1144,Engine!$C$2:$C$1199,0)),"",INDEX('Compliance Database'!$N$2:$N$1199,MATCH(1144,Engine!$C$2:$C$1199,0)))</f>
        <v/>
      </c>
      <c r="O1157" s="7" t="str">
        <f>IF(ISNA(MATCH(1144,Engine!$C$2:$C$1199,0)),"",INDEX('Compliance Database'!$O$2:$O$1199,MATCH(1144,Engine!$C$2:$C$1199,0)))</f>
        <v/>
      </c>
      <c r="P1157" s="6" t="str">
        <f>IF(ISNA(MATCH(1144,Engine!$C$2:$C$1199,0)),"",HYPERLINK("#Acts!A"&amp;INDEX('Compliance Database'!$P$2:$P$1199,MATCH(1144,Engine!$C$2:$C$1199,0)),"Go to Act"))</f>
        <v/>
      </c>
    </row>
    <row r="1158" spans="1:16" ht="172.95" customHeight="1" x14ac:dyDescent="0.3">
      <c r="A1158" s="6" t="str">
        <f>IF(ISNA(MATCH(1145,Engine!$C$2:$C$1199,0)),"",INDEX('Compliance Database'!$A$2:$A$1199,MATCH(1145,Engine!$C$2:$C$1199,0)))</f>
        <v/>
      </c>
      <c r="B1158" s="6" t="str">
        <f>IF(ISNA(MATCH(1145,Engine!$C$2:$C$1199,0)),"",INDEX('Compliance Database'!$B$2:$B$1199,MATCH(1145,Engine!$C$2:$C$1199,0)))</f>
        <v/>
      </c>
      <c r="C1158" s="6" t="str">
        <f>IF(ISNA(MATCH(1145,Engine!$C$2:$C$1199,0)),"",INDEX('Compliance Database'!$C$2:$C$1199,MATCH(1145,Engine!$C$2:$C$1199,0)))</f>
        <v/>
      </c>
      <c r="D1158" s="7" t="str">
        <f>IF(ISNA(MATCH(1145,Engine!$C$2:$C$1199,0)),"",INDEX('Compliance Database'!$D$2:$D$1199,MATCH(1145,Engine!$C$2:$C$1199,0)))</f>
        <v/>
      </c>
      <c r="E1158" s="6" t="str">
        <f>IF(ISNA(MATCH(1145,Engine!$C$2:$C$1199,0)),"",INDEX('Compliance Database'!$E$2:$E$1199,MATCH(1145,Engine!$C$2:$C$1199,0)))</f>
        <v/>
      </c>
      <c r="F1158" s="6" t="str">
        <f>IF(ISNA(MATCH(1145,Engine!$C$2:$C$1199,0)),"",INDEX('Compliance Database'!$F$2:$F$1199,MATCH(1145,Engine!$C$2:$C$1199,0)))</f>
        <v/>
      </c>
      <c r="G1158" s="6" t="str">
        <f>IF(ISNA(MATCH(1145,Engine!$C$2:$C$1199,0)),"",INDEX('Compliance Database'!$G$2:$G$1199,MATCH(1145,Engine!$C$2:$C$1199,0)))</f>
        <v/>
      </c>
      <c r="H1158" s="7" t="str">
        <f>IF(ISNA(MATCH(1145,Engine!$C$2:$C$1199,0)),"",INDEX('Compliance Database'!$H$2:$H$1199,MATCH(1145,Engine!$C$2:$C$1199,0)))</f>
        <v/>
      </c>
      <c r="I1158" s="7" t="str">
        <f>IF(ISNA(MATCH(1145,Engine!$C$2:$C$1199,0)),"",INDEX('Compliance Database'!$I$2:$I$1199,MATCH(1145,Engine!$C$2:$C$1199,0)))</f>
        <v/>
      </c>
      <c r="J1158" s="6" t="str">
        <f>IF(ISNA(MATCH(1145,Engine!$C$2:$C$1199,0)),"",INDEX('Compliance Database'!$J$2:$J$1199,MATCH(1145,Engine!$C$2:$C$1199,0)))</f>
        <v/>
      </c>
      <c r="K1158" s="7" t="str">
        <f>IF(ISNA(MATCH(1145,Engine!$C$2:$C$1199,0)),"",INDEX('Compliance Database'!$K$2:$K$1199,MATCH(1145,Engine!$C$2:$C$1199,0)))</f>
        <v/>
      </c>
      <c r="L1158" s="7" t="str">
        <f>IF(ISNA(MATCH(1145,Engine!$C$2:$C$1199,0)),"",INDEX('Compliance Database'!$L$2:$L$1199,MATCH(1145,Engine!$C$2:$C$1199,0)))</f>
        <v/>
      </c>
      <c r="M1158" s="7" t="str">
        <f>IF(ISNA(MATCH(1145,Engine!$C$2:$C$1199,0)),"",INDEX('Compliance Database'!$M$2:$M$1199,MATCH(1145,Engine!$C$2:$C$1199,0)))</f>
        <v/>
      </c>
      <c r="N1158" s="7" t="str">
        <f>IF(ISNA(MATCH(1145,Engine!$C$2:$C$1199,0)),"",INDEX('Compliance Database'!$N$2:$N$1199,MATCH(1145,Engine!$C$2:$C$1199,0)))</f>
        <v/>
      </c>
      <c r="O1158" s="7" t="str">
        <f>IF(ISNA(MATCH(1145,Engine!$C$2:$C$1199,0)),"",INDEX('Compliance Database'!$O$2:$O$1199,MATCH(1145,Engine!$C$2:$C$1199,0)))</f>
        <v/>
      </c>
      <c r="P1158" s="6" t="str">
        <f>IF(ISNA(MATCH(1145,Engine!$C$2:$C$1199,0)),"",HYPERLINK("#Acts!A"&amp;INDEX('Compliance Database'!$P$2:$P$1199,MATCH(1145,Engine!$C$2:$C$1199,0)),"Go to Act"))</f>
        <v/>
      </c>
    </row>
    <row r="1159" spans="1:16" ht="172.95" customHeight="1" x14ac:dyDescent="0.3">
      <c r="A1159" s="6" t="str">
        <f>IF(ISNA(MATCH(1146,Engine!$C$2:$C$1199,0)),"",INDEX('Compliance Database'!$A$2:$A$1199,MATCH(1146,Engine!$C$2:$C$1199,0)))</f>
        <v/>
      </c>
      <c r="B1159" s="6" t="str">
        <f>IF(ISNA(MATCH(1146,Engine!$C$2:$C$1199,0)),"",INDEX('Compliance Database'!$B$2:$B$1199,MATCH(1146,Engine!$C$2:$C$1199,0)))</f>
        <v/>
      </c>
      <c r="C1159" s="6" t="str">
        <f>IF(ISNA(MATCH(1146,Engine!$C$2:$C$1199,0)),"",INDEX('Compliance Database'!$C$2:$C$1199,MATCH(1146,Engine!$C$2:$C$1199,0)))</f>
        <v/>
      </c>
      <c r="D1159" s="7" t="str">
        <f>IF(ISNA(MATCH(1146,Engine!$C$2:$C$1199,0)),"",INDEX('Compliance Database'!$D$2:$D$1199,MATCH(1146,Engine!$C$2:$C$1199,0)))</f>
        <v/>
      </c>
      <c r="E1159" s="6" t="str">
        <f>IF(ISNA(MATCH(1146,Engine!$C$2:$C$1199,0)),"",INDEX('Compliance Database'!$E$2:$E$1199,MATCH(1146,Engine!$C$2:$C$1199,0)))</f>
        <v/>
      </c>
      <c r="F1159" s="6" t="str">
        <f>IF(ISNA(MATCH(1146,Engine!$C$2:$C$1199,0)),"",INDEX('Compliance Database'!$F$2:$F$1199,MATCH(1146,Engine!$C$2:$C$1199,0)))</f>
        <v/>
      </c>
      <c r="G1159" s="6" t="str">
        <f>IF(ISNA(MATCH(1146,Engine!$C$2:$C$1199,0)),"",INDEX('Compliance Database'!$G$2:$G$1199,MATCH(1146,Engine!$C$2:$C$1199,0)))</f>
        <v/>
      </c>
      <c r="H1159" s="7" t="str">
        <f>IF(ISNA(MATCH(1146,Engine!$C$2:$C$1199,0)),"",INDEX('Compliance Database'!$H$2:$H$1199,MATCH(1146,Engine!$C$2:$C$1199,0)))</f>
        <v/>
      </c>
      <c r="I1159" s="7" t="str">
        <f>IF(ISNA(MATCH(1146,Engine!$C$2:$C$1199,0)),"",INDEX('Compliance Database'!$I$2:$I$1199,MATCH(1146,Engine!$C$2:$C$1199,0)))</f>
        <v/>
      </c>
      <c r="J1159" s="6" t="str">
        <f>IF(ISNA(MATCH(1146,Engine!$C$2:$C$1199,0)),"",INDEX('Compliance Database'!$J$2:$J$1199,MATCH(1146,Engine!$C$2:$C$1199,0)))</f>
        <v/>
      </c>
      <c r="K1159" s="7" t="str">
        <f>IF(ISNA(MATCH(1146,Engine!$C$2:$C$1199,0)),"",INDEX('Compliance Database'!$K$2:$K$1199,MATCH(1146,Engine!$C$2:$C$1199,0)))</f>
        <v/>
      </c>
      <c r="L1159" s="7" t="str">
        <f>IF(ISNA(MATCH(1146,Engine!$C$2:$C$1199,0)),"",INDEX('Compliance Database'!$L$2:$L$1199,MATCH(1146,Engine!$C$2:$C$1199,0)))</f>
        <v/>
      </c>
      <c r="M1159" s="7" t="str">
        <f>IF(ISNA(MATCH(1146,Engine!$C$2:$C$1199,0)),"",INDEX('Compliance Database'!$M$2:$M$1199,MATCH(1146,Engine!$C$2:$C$1199,0)))</f>
        <v/>
      </c>
      <c r="N1159" s="7" t="str">
        <f>IF(ISNA(MATCH(1146,Engine!$C$2:$C$1199,0)),"",INDEX('Compliance Database'!$N$2:$N$1199,MATCH(1146,Engine!$C$2:$C$1199,0)))</f>
        <v/>
      </c>
      <c r="O1159" s="7" t="str">
        <f>IF(ISNA(MATCH(1146,Engine!$C$2:$C$1199,0)),"",INDEX('Compliance Database'!$O$2:$O$1199,MATCH(1146,Engine!$C$2:$C$1199,0)))</f>
        <v/>
      </c>
      <c r="P1159" s="6" t="str">
        <f>IF(ISNA(MATCH(1146,Engine!$C$2:$C$1199,0)),"",HYPERLINK("#Acts!A"&amp;INDEX('Compliance Database'!$P$2:$P$1199,MATCH(1146,Engine!$C$2:$C$1199,0)),"Go to Act"))</f>
        <v/>
      </c>
    </row>
    <row r="1160" spans="1:16" ht="172.95" customHeight="1" x14ac:dyDescent="0.3">
      <c r="A1160" s="6" t="str">
        <f>IF(ISNA(MATCH(1147,Engine!$C$2:$C$1199,0)),"",INDEX('Compliance Database'!$A$2:$A$1199,MATCH(1147,Engine!$C$2:$C$1199,0)))</f>
        <v/>
      </c>
      <c r="B1160" s="6" t="str">
        <f>IF(ISNA(MATCH(1147,Engine!$C$2:$C$1199,0)),"",INDEX('Compliance Database'!$B$2:$B$1199,MATCH(1147,Engine!$C$2:$C$1199,0)))</f>
        <v/>
      </c>
      <c r="C1160" s="6" t="str">
        <f>IF(ISNA(MATCH(1147,Engine!$C$2:$C$1199,0)),"",INDEX('Compliance Database'!$C$2:$C$1199,MATCH(1147,Engine!$C$2:$C$1199,0)))</f>
        <v/>
      </c>
      <c r="D1160" s="7" t="str">
        <f>IF(ISNA(MATCH(1147,Engine!$C$2:$C$1199,0)),"",INDEX('Compliance Database'!$D$2:$D$1199,MATCH(1147,Engine!$C$2:$C$1199,0)))</f>
        <v/>
      </c>
      <c r="E1160" s="6" t="str">
        <f>IF(ISNA(MATCH(1147,Engine!$C$2:$C$1199,0)),"",INDEX('Compliance Database'!$E$2:$E$1199,MATCH(1147,Engine!$C$2:$C$1199,0)))</f>
        <v/>
      </c>
      <c r="F1160" s="6" t="str">
        <f>IF(ISNA(MATCH(1147,Engine!$C$2:$C$1199,0)),"",INDEX('Compliance Database'!$F$2:$F$1199,MATCH(1147,Engine!$C$2:$C$1199,0)))</f>
        <v/>
      </c>
      <c r="G1160" s="6" t="str">
        <f>IF(ISNA(MATCH(1147,Engine!$C$2:$C$1199,0)),"",INDEX('Compliance Database'!$G$2:$G$1199,MATCH(1147,Engine!$C$2:$C$1199,0)))</f>
        <v/>
      </c>
      <c r="H1160" s="7" t="str">
        <f>IF(ISNA(MATCH(1147,Engine!$C$2:$C$1199,0)),"",INDEX('Compliance Database'!$H$2:$H$1199,MATCH(1147,Engine!$C$2:$C$1199,0)))</f>
        <v/>
      </c>
      <c r="I1160" s="7" t="str">
        <f>IF(ISNA(MATCH(1147,Engine!$C$2:$C$1199,0)),"",INDEX('Compliance Database'!$I$2:$I$1199,MATCH(1147,Engine!$C$2:$C$1199,0)))</f>
        <v/>
      </c>
      <c r="J1160" s="6" t="str">
        <f>IF(ISNA(MATCH(1147,Engine!$C$2:$C$1199,0)),"",INDEX('Compliance Database'!$J$2:$J$1199,MATCH(1147,Engine!$C$2:$C$1199,0)))</f>
        <v/>
      </c>
      <c r="K1160" s="7" t="str">
        <f>IF(ISNA(MATCH(1147,Engine!$C$2:$C$1199,0)),"",INDEX('Compliance Database'!$K$2:$K$1199,MATCH(1147,Engine!$C$2:$C$1199,0)))</f>
        <v/>
      </c>
      <c r="L1160" s="7" t="str">
        <f>IF(ISNA(MATCH(1147,Engine!$C$2:$C$1199,0)),"",INDEX('Compliance Database'!$L$2:$L$1199,MATCH(1147,Engine!$C$2:$C$1199,0)))</f>
        <v/>
      </c>
      <c r="M1160" s="7" t="str">
        <f>IF(ISNA(MATCH(1147,Engine!$C$2:$C$1199,0)),"",INDEX('Compliance Database'!$M$2:$M$1199,MATCH(1147,Engine!$C$2:$C$1199,0)))</f>
        <v/>
      </c>
      <c r="N1160" s="7" t="str">
        <f>IF(ISNA(MATCH(1147,Engine!$C$2:$C$1199,0)),"",INDEX('Compliance Database'!$N$2:$N$1199,MATCH(1147,Engine!$C$2:$C$1199,0)))</f>
        <v/>
      </c>
      <c r="O1160" s="7" t="str">
        <f>IF(ISNA(MATCH(1147,Engine!$C$2:$C$1199,0)),"",INDEX('Compliance Database'!$O$2:$O$1199,MATCH(1147,Engine!$C$2:$C$1199,0)))</f>
        <v/>
      </c>
      <c r="P1160" s="6" t="str">
        <f>IF(ISNA(MATCH(1147,Engine!$C$2:$C$1199,0)),"",HYPERLINK("#Acts!A"&amp;INDEX('Compliance Database'!$P$2:$P$1199,MATCH(1147,Engine!$C$2:$C$1199,0)),"Go to Act"))</f>
        <v/>
      </c>
    </row>
    <row r="1161" spans="1:16" ht="172.95" customHeight="1" x14ac:dyDescent="0.3">
      <c r="A1161" s="6" t="str">
        <f>IF(ISNA(MATCH(1148,Engine!$C$2:$C$1199,0)),"",INDEX('Compliance Database'!$A$2:$A$1199,MATCH(1148,Engine!$C$2:$C$1199,0)))</f>
        <v/>
      </c>
      <c r="B1161" s="6" t="str">
        <f>IF(ISNA(MATCH(1148,Engine!$C$2:$C$1199,0)),"",INDEX('Compliance Database'!$B$2:$B$1199,MATCH(1148,Engine!$C$2:$C$1199,0)))</f>
        <v/>
      </c>
      <c r="C1161" s="6" t="str">
        <f>IF(ISNA(MATCH(1148,Engine!$C$2:$C$1199,0)),"",INDEX('Compliance Database'!$C$2:$C$1199,MATCH(1148,Engine!$C$2:$C$1199,0)))</f>
        <v/>
      </c>
      <c r="D1161" s="7" t="str">
        <f>IF(ISNA(MATCH(1148,Engine!$C$2:$C$1199,0)),"",INDEX('Compliance Database'!$D$2:$D$1199,MATCH(1148,Engine!$C$2:$C$1199,0)))</f>
        <v/>
      </c>
      <c r="E1161" s="6" t="str">
        <f>IF(ISNA(MATCH(1148,Engine!$C$2:$C$1199,0)),"",INDEX('Compliance Database'!$E$2:$E$1199,MATCH(1148,Engine!$C$2:$C$1199,0)))</f>
        <v/>
      </c>
      <c r="F1161" s="6" t="str">
        <f>IF(ISNA(MATCH(1148,Engine!$C$2:$C$1199,0)),"",INDEX('Compliance Database'!$F$2:$F$1199,MATCH(1148,Engine!$C$2:$C$1199,0)))</f>
        <v/>
      </c>
      <c r="G1161" s="6" t="str">
        <f>IF(ISNA(MATCH(1148,Engine!$C$2:$C$1199,0)),"",INDEX('Compliance Database'!$G$2:$G$1199,MATCH(1148,Engine!$C$2:$C$1199,0)))</f>
        <v/>
      </c>
      <c r="H1161" s="7" t="str">
        <f>IF(ISNA(MATCH(1148,Engine!$C$2:$C$1199,0)),"",INDEX('Compliance Database'!$H$2:$H$1199,MATCH(1148,Engine!$C$2:$C$1199,0)))</f>
        <v/>
      </c>
      <c r="I1161" s="7" t="str">
        <f>IF(ISNA(MATCH(1148,Engine!$C$2:$C$1199,0)),"",INDEX('Compliance Database'!$I$2:$I$1199,MATCH(1148,Engine!$C$2:$C$1199,0)))</f>
        <v/>
      </c>
      <c r="J1161" s="6" t="str">
        <f>IF(ISNA(MATCH(1148,Engine!$C$2:$C$1199,0)),"",INDEX('Compliance Database'!$J$2:$J$1199,MATCH(1148,Engine!$C$2:$C$1199,0)))</f>
        <v/>
      </c>
      <c r="K1161" s="7" t="str">
        <f>IF(ISNA(MATCH(1148,Engine!$C$2:$C$1199,0)),"",INDEX('Compliance Database'!$K$2:$K$1199,MATCH(1148,Engine!$C$2:$C$1199,0)))</f>
        <v/>
      </c>
      <c r="L1161" s="7" t="str">
        <f>IF(ISNA(MATCH(1148,Engine!$C$2:$C$1199,0)),"",INDEX('Compliance Database'!$L$2:$L$1199,MATCH(1148,Engine!$C$2:$C$1199,0)))</f>
        <v/>
      </c>
      <c r="M1161" s="7" t="str">
        <f>IF(ISNA(MATCH(1148,Engine!$C$2:$C$1199,0)),"",INDEX('Compliance Database'!$M$2:$M$1199,MATCH(1148,Engine!$C$2:$C$1199,0)))</f>
        <v/>
      </c>
      <c r="N1161" s="7" t="str">
        <f>IF(ISNA(MATCH(1148,Engine!$C$2:$C$1199,0)),"",INDEX('Compliance Database'!$N$2:$N$1199,MATCH(1148,Engine!$C$2:$C$1199,0)))</f>
        <v/>
      </c>
      <c r="O1161" s="7" t="str">
        <f>IF(ISNA(MATCH(1148,Engine!$C$2:$C$1199,0)),"",INDEX('Compliance Database'!$O$2:$O$1199,MATCH(1148,Engine!$C$2:$C$1199,0)))</f>
        <v/>
      </c>
      <c r="P1161" s="6" t="str">
        <f>IF(ISNA(MATCH(1148,Engine!$C$2:$C$1199,0)),"",HYPERLINK("#Acts!A"&amp;INDEX('Compliance Database'!$P$2:$P$1199,MATCH(1148,Engine!$C$2:$C$1199,0)),"Go to Act"))</f>
        <v/>
      </c>
    </row>
    <row r="1162" spans="1:16" ht="172.95" customHeight="1" x14ac:dyDescent="0.3">
      <c r="A1162" s="6" t="str">
        <f>IF(ISNA(MATCH(1149,Engine!$C$2:$C$1199,0)),"",INDEX('Compliance Database'!$A$2:$A$1199,MATCH(1149,Engine!$C$2:$C$1199,0)))</f>
        <v/>
      </c>
      <c r="B1162" s="6" t="str">
        <f>IF(ISNA(MATCH(1149,Engine!$C$2:$C$1199,0)),"",INDEX('Compliance Database'!$B$2:$B$1199,MATCH(1149,Engine!$C$2:$C$1199,0)))</f>
        <v/>
      </c>
      <c r="C1162" s="6" t="str">
        <f>IF(ISNA(MATCH(1149,Engine!$C$2:$C$1199,0)),"",INDEX('Compliance Database'!$C$2:$C$1199,MATCH(1149,Engine!$C$2:$C$1199,0)))</f>
        <v/>
      </c>
      <c r="D1162" s="7" t="str">
        <f>IF(ISNA(MATCH(1149,Engine!$C$2:$C$1199,0)),"",INDEX('Compliance Database'!$D$2:$D$1199,MATCH(1149,Engine!$C$2:$C$1199,0)))</f>
        <v/>
      </c>
      <c r="E1162" s="6" t="str">
        <f>IF(ISNA(MATCH(1149,Engine!$C$2:$C$1199,0)),"",INDEX('Compliance Database'!$E$2:$E$1199,MATCH(1149,Engine!$C$2:$C$1199,0)))</f>
        <v/>
      </c>
      <c r="F1162" s="6" t="str">
        <f>IF(ISNA(MATCH(1149,Engine!$C$2:$C$1199,0)),"",INDEX('Compliance Database'!$F$2:$F$1199,MATCH(1149,Engine!$C$2:$C$1199,0)))</f>
        <v/>
      </c>
      <c r="G1162" s="6" t="str">
        <f>IF(ISNA(MATCH(1149,Engine!$C$2:$C$1199,0)),"",INDEX('Compliance Database'!$G$2:$G$1199,MATCH(1149,Engine!$C$2:$C$1199,0)))</f>
        <v/>
      </c>
      <c r="H1162" s="7" t="str">
        <f>IF(ISNA(MATCH(1149,Engine!$C$2:$C$1199,0)),"",INDEX('Compliance Database'!$H$2:$H$1199,MATCH(1149,Engine!$C$2:$C$1199,0)))</f>
        <v/>
      </c>
      <c r="I1162" s="7" t="str">
        <f>IF(ISNA(MATCH(1149,Engine!$C$2:$C$1199,0)),"",INDEX('Compliance Database'!$I$2:$I$1199,MATCH(1149,Engine!$C$2:$C$1199,0)))</f>
        <v/>
      </c>
      <c r="J1162" s="6" t="str">
        <f>IF(ISNA(MATCH(1149,Engine!$C$2:$C$1199,0)),"",INDEX('Compliance Database'!$J$2:$J$1199,MATCH(1149,Engine!$C$2:$C$1199,0)))</f>
        <v/>
      </c>
      <c r="K1162" s="7" t="str">
        <f>IF(ISNA(MATCH(1149,Engine!$C$2:$C$1199,0)),"",INDEX('Compliance Database'!$K$2:$K$1199,MATCH(1149,Engine!$C$2:$C$1199,0)))</f>
        <v/>
      </c>
      <c r="L1162" s="7" t="str">
        <f>IF(ISNA(MATCH(1149,Engine!$C$2:$C$1199,0)),"",INDEX('Compliance Database'!$L$2:$L$1199,MATCH(1149,Engine!$C$2:$C$1199,0)))</f>
        <v/>
      </c>
      <c r="M1162" s="7" t="str">
        <f>IF(ISNA(MATCH(1149,Engine!$C$2:$C$1199,0)),"",INDEX('Compliance Database'!$M$2:$M$1199,MATCH(1149,Engine!$C$2:$C$1199,0)))</f>
        <v/>
      </c>
      <c r="N1162" s="7" t="str">
        <f>IF(ISNA(MATCH(1149,Engine!$C$2:$C$1199,0)),"",INDEX('Compliance Database'!$N$2:$N$1199,MATCH(1149,Engine!$C$2:$C$1199,0)))</f>
        <v/>
      </c>
      <c r="O1162" s="7" t="str">
        <f>IF(ISNA(MATCH(1149,Engine!$C$2:$C$1199,0)),"",INDEX('Compliance Database'!$O$2:$O$1199,MATCH(1149,Engine!$C$2:$C$1199,0)))</f>
        <v/>
      </c>
      <c r="P1162" s="6" t="str">
        <f>IF(ISNA(MATCH(1149,Engine!$C$2:$C$1199,0)),"",HYPERLINK("#Acts!A"&amp;INDEX('Compliance Database'!$P$2:$P$1199,MATCH(1149,Engine!$C$2:$C$1199,0)),"Go to Act"))</f>
        <v/>
      </c>
    </row>
    <row r="1163" spans="1:16" ht="172.95" customHeight="1" x14ac:dyDescent="0.3">
      <c r="A1163" s="6" t="str">
        <f>IF(ISNA(MATCH(1150,Engine!$C$2:$C$1199,0)),"",INDEX('Compliance Database'!$A$2:$A$1199,MATCH(1150,Engine!$C$2:$C$1199,0)))</f>
        <v/>
      </c>
      <c r="B1163" s="6" t="str">
        <f>IF(ISNA(MATCH(1150,Engine!$C$2:$C$1199,0)),"",INDEX('Compliance Database'!$B$2:$B$1199,MATCH(1150,Engine!$C$2:$C$1199,0)))</f>
        <v/>
      </c>
      <c r="C1163" s="6" t="str">
        <f>IF(ISNA(MATCH(1150,Engine!$C$2:$C$1199,0)),"",INDEX('Compliance Database'!$C$2:$C$1199,MATCH(1150,Engine!$C$2:$C$1199,0)))</f>
        <v/>
      </c>
      <c r="D1163" s="7" t="str">
        <f>IF(ISNA(MATCH(1150,Engine!$C$2:$C$1199,0)),"",INDEX('Compliance Database'!$D$2:$D$1199,MATCH(1150,Engine!$C$2:$C$1199,0)))</f>
        <v/>
      </c>
      <c r="E1163" s="6" t="str">
        <f>IF(ISNA(MATCH(1150,Engine!$C$2:$C$1199,0)),"",INDEX('Compliance Database'!$E$2:$E$1199,MATCH(1150,Engine!$C$2:$C$1199,0)))</f>
        <v/>
      </c>
      <c r="F1163" s="6" t="str">
        <f>IF(ISNA(MATCH(1150,Engine!$C$2:$C$1199,0)),"",INDEX('Compliance Database'!$F$2:$F$1199,MATCH(1150,Engine!$C$2:$C$1199,0)))</f>
        <v/>
      </c>
      <c r="G1163" s="6" t="str">
        <f>IF(ISNA(MATCH(1150,Engine!$C$2:$C$1199,0)),"",INDEX('Compliance Database'!$G$2:$G$1199,MATCH(1150,Engine!$C$2:$C$1199,0)))</f>
        <v/>
      </c>
      <c r="H1163" s="7" t="str">
        <f>IF(ISNA(MATCH(1150,Engine!$C$2:$C$1199,0)),"",INDEX('Compliance Database'!$H$2:$H$1199,MATCH(1150,Engine!$C$2:$C$1199,0)))</f>
        <v/>
      </c>
      <c r="I1163" s="7" t="str">
        <f>IF(ISNA(MATCH(1150,Engine!$C$2:$C$1199,0)),"",INDEX('Compliance Database'!$I$2:$I$1199,MATCH(1150,Engine!$C$2:$C$1199,0)))</f>
        <v/>
      </c>
      <c r="J1163" s="6" t="str">
        <f>IF(ISNA(MATCH(1150,Engine!$C$2:$C$1199,0)),"",INDEX('Compliance Database'!$J$2:$J$1199,MATCH(1150,Engine!$C$2:$C$1199,0)))</f>
        <v/>
      </c>
      <c r="K1163" s="7" t="str">
        <f>IF(ISNA(MATCH(1150,Engine!$C$2:$C$1199,0)),"",INDEX('Compliance Database'!$K$2:$K$1199,MATCH(1150,Engine!$C$2:$C$1199,0)))</f>
        <v/>
      </c>
      <c r="L1163" s="7" t="str">
        <f>IF(ISNA(MATCH(1150,Engine!$C$2:$C$1199,0)),"",INDEX('Compliance Database'!$L$2:$L$1199,MATCH(1150,Engine!$C$2:$C$1199,0)))</f>
        <v/>
      </c>
      <c r="M1163" s="7" t="str">
        <f>IF(ISNA(MATCH(1150,Engine!$C$2:$C$1199,0)),"",INDEX('Compliance Database'!$M$2:$M$1199,MATCH(1150,Engine!$C$2:$C$1199,0)))</f>
        <v/>
      </c>
      <c r="N1163" s="7" t="str">
        <f>IF(ISNA(MATCH(1150,Engine!$C$2:$C$1199,0)),"",INDEX('Compliance Database'!$N$2:$N$1199,MATCH(1150,Engine!$C$2:$C$1199,0)))</f>
        <v/>
      </c>
      <c r="O1163" s="7" t="str">
        <f>IF(ISNA(MATCH(1150,Engine!$C$2:$C$1199,0)),"",INDEX('Compliance Database'!$O$2:$O$1199,MATCH(1150,Engine!$C$2:$C$1199,0)))</f>
        <v/>
      </c>
      <c r="P1163" s="6" t="str">
        <f>IF(ISNA(MATCH(1150,Engine!$C$2:$C$1199,0)),"",HYPERLINK("#Acts!A"&amp;INDEX('Compliance Database'!$P$2:$P$1199,MATCH(1150,Engine!$C$2:$C$1199,0)),"Go to Act"))</f>
        <v/>
      </c>
    </row>
    <row r="1164" spans="1:16" ht="172.95" customHeight="1" x14ac:dyDescent="0.3">
      <c r="A1164" s="6" t="str">
        <f>IF(ISNA(MATCH(1151,Engine!$C$2:$C$1199,0)),"",INDEX('Compliance Database'!$A$2:$A$1199,MATCH(1151,Engine!$C$2:$C$1199,0)))</f>
        <v/>
      </c>
      <c r="B1164" s="6" t="str">
        <f>IF(ISNA(MATCH(1151,Engine!$C$2:$C$1199,0)),"",INDEX('Compliance Database'!$B$2:$B$1199,MATCH(1151,Engine!$C$2:$C$1199,0)))</f>
        <v/>
      </c>
      <c r="C1164" s="6" t="str">
        <f>IF(ISNA(MATCH(1151,Engine!$C$2:$C$1199,0)),"",INDEX('Compliance Database'!$C$2:$C$1199,MATCH(1151,Engine!$C$2:$C$1199,0)))</f>
        <v/>
      </c>
      <c r="D1164" s="7" t="str">
        <f>IF(ISNA(MATCH(1151,Engine!$C$2:$C$1199,0)),"",INDEX('Compliance Database'!$D$2:$D$1199,MATCH(1151,Engine!$C$2:$C$1199,0)))</f>
        <v/>
      </c>
      <c r="E1164" s="6" t="str">
        <f>IF(ISNA(MATCH(1151,Engine!$C$2:$C$1199,0)),"",INDEX('Compliance Database'!$E$2:$E$1199,MATCH(1151,Engine!$C$2:$C$1199,0)))</f>
        <v/>
      </c>
      <c r="F1164" s="6" t="str">
        <f>IF(ISNA(MATCH(1151,Engine!$C$2:$C$1199,0)),"",INDEX('Compliance Database'!$F$2:$F$1199,MATCH(1151,Engine!$C$2:$C$1199,0)))</f>
        <v/>
      </c>
      <c r="G1164" s="6" t="str">
        <f>IF(ISNA(MATCH(1151,Engine!$C$2:$C$1199,0)),"",INDEX('Compliance Database'!$G$2:$G$1199,MATCH(1151,Engine!$C$2:$C$1199,0)))</f>
        <v/>
      </c>
      <c r="H1164" s="7" t="str">
        <f>IF(ISNA(MATCH(1151,Engine!$C$2:$C$1199,0)),"",INDEX('Compliance Database'!$H$2:$H$1199,MATCH(1151,Engine!$C$2:$C$1199,0)))</f>
        <v/>
      </c>
      <c r="I1164" s="7" t="str">
        <f>IF(ISNA(MATCH(1151,Engine!$C$2:$C$1199,0)),"",INDEX('Compliance Database'!$I$2:$I$1199,MATCH(1151,Engine!$C$2:$C$1199,0)))</f>
        <v/>
      </c>
      <c r="J1164" s="6" t="str">
        <f>IF(ISNA(MATCH(1151,Engine!$C$2:$C$1199,0)),"",INDEX('Compliance Database'!$J$2:$J$1199,MATCH(1151,Engine!$C$2:$C$1199,0)))</f>
        <v/>
      </c>
      <c r="K1164" s="7" t="str">
        <f>IF(ISNA(MATCH(1151,Engine!$C$2:$C$1199,0)),"",INDEX('Compliance Database'!$K$2:$K$1199,MATCH(1151,Engine!$C$2:$C$1199,0)))</f>
        <v/>
      </c>
      <c r="L1164" s="7" t="str">
        <f>IF(ISNA(MATCH(1151,Engine!$C$2:$C$1199,0)),"",INDEX('Compliance Database'!$L$2:$L$1199,MATCH(1151,Engine!$C$2:$C$1199,0)))</f>
        <v/>
      </c>
      <c r="M1164" s="7" t="str">
        <f>IF(ISNA(MATCH(1151,Engine!$C$2:$C$1199,0)),"",INDEX('Compliance Database'!$M$2:$M$1199,MATCH(1151,Engine!$C$2:$C$1199,0)))</f>
        <v/>
      </c>
      <c r="N1164" s="7" t="str">
        <f>IF(ISNA(MATCH(1151,Engine!$C$2:$C$1199,0)),"",INDEX('Compliance Database'!$N$2:$N$1199,MATCH(1151,Engine!$C$2:$C$1199,0)))</f>
        <v/>
      </c>
      <c r="O1164" s="7" t="str">
        <f>IF(ISNA(MATCH(1151,Engine!$C$2:$C$1199,0)),"",INDEX('Compliance Database'!$O$2:$O$1199,MATCH(1151,Engine!$C$2:$C$1199,0)))</f>
        <v/>
      </c>
      <c r="P1164" s="6" t="str">
        <f>IF(ISNA(MATCH(1151,Engine!$C$2:$C$1199,0)),"",HYPERLINK("#Acts!A"&amp;INDEX('Compliance Database'!$P$2:$P$1199,MATCH(1151,Engine!$C$2:$C$1199,0)),"Go to Act"))</f>
        <v/>
      </c>
    </row>
    <row r="1165" spans="1:16" ht="172.95" customHeight="1" x14ac:dyDescent="0.3">
      <c r="A1165" s="6" t="str">
        <f>IF(ISNA(MATCH(1152,Engine!$C$2:$C$1199,0)),"",INDEX('Compliance Database'!$A$2:$A$1199,MATCH(1152,Engine!$C$2:$C$1199,0)))</f>
        <v/>
      </c>
      <c r="B1165" s="6" t="str">
        <f>IF(ISNA(MATCH(1152,Engine!$C$2:$C$1199,0)),"",INDEX('Compliance Database'!$B$2:$B$1199,MATCH(1152,Engine!$C$2:$C$1199,0)))</f>
        <v/>
      </c>
      <c r="C1165" s="6" t="str">
        <f>IF(ISNA(MATCH(1152,Engine!$C$2:$C$1199,0)),"",INDEX('Compliance Database'!$C$2:$C$1199,MATCH(1152,Engine!$C$2:$C$1199,0)))</f>
        <v/>
      </c>
      <c r="D1165" s="7" t="str">
        <f>IF(ISNA(MATCH(1152,Engine!$C$2:$C$1199,0)),"",INDEX('Compliance Database'!$D$2:$D$1199,MATCH(1152,Engine!$C$2:$C$1199,0)))</f>
        <v/>
      </c>
      <c r="E1165" s="6" t="str">
        <f>IF(ISNA(MATCH(1152,Engine!$C$2:$C$1199,0)),"",INDEX('Compliance Database'!$E$2:$E$1199,MATCH(1152,Engine!$C$2:$C$1199,0)))</f>
        <v/>
      </c>
      <c r="F1165" s="6" t="str">
        <f>IF(ISNA(MATCH(1152,Engine!$C$2:$C$1199,0)),"",INDEX('Compliance Database'!$F$2:$F$1199,MATCH(1152,Engine!$C$2:$C$1199,0)))</f>
        <v/>
      </c>
      <c r="G1165" s="6" t="str">
        <f>IF(ISNA(MATCH(1152,Engine!$C$2:$C$1199,0)),"",INDEX('Compliance Database'!$G$2:$G$1199,MATCH(1152,Engine!$C$2:$C$1199,0)))</f>
        <v/>
      </c>
      <c r="H1165" s="7" t="str">
        <f>IF(ISNA(MATCH(1152,Engine!$C$2:$C$1199,0)),"",INDEX('Compliance Database'!$H$2:$H$1199,MATCH(1152,Engine!$C$2:$C$1199,0)))</f>
        <v/>
      </c>
      <c r="I1165" s="7" t="str">
        <f>IF(ISNA(MATCH(1152,Engine!$C$2:$C$1199,0)),"",INDEX('Compliance Database'!$I$2:$I$1199,MATCH(1152,Engine!$C$2:$C$1199,0)))</f>
        <v/>
      </c>
      <c r="J1165" s="6" t="str">
        <f>IF(ISNA(MATCH(1152,Engine!$C$2:$C$1199,0)),"",INDEX('Compliance Database'!$J$2:$J$1199,MATCH(1152,Engine!$C$2:$C$1199,0)))</f>
        <v/>
      </c>
      <c r="K1165" s="7" t="str">
        <f>IF(ISNA(MATCH(1152,Engine!$C$2:$C$1199,0)),"",INDEX('Compliance Database'!$K$2:$K$1199,MATCH(1152,Engine!$C$2:$C$1199,0)))</f>
        <v/>
      </c>
      <c r="L1165" s="7" t="str">
        <f>IF(ISNA(MATCH(1152,Engine!$C$2:$C$1199,0)),"",INDEX('Compliance Database'!$L$2:$L$1199,MATCH(1152,Engine!$C$2:$C$1199,0)))</f>
        <v/>
      </c>
      <c r="M1165" s="7" t="str">
        <f>IF(ISNA(MATCH(1152,Engine!$C$2:$C$1199,0)),"",INDEX('Compliance Database'!$M$2:$M$1199,MATCH(1152,Engine!$C$2:$C$1199,0)))</f>
        <v/>
      </c>
      <c r="N1165" s="7" t="str">
        <f>IF(ISNA(MATCH(1152,Engine!$C$2:$C$1199,0)),"",INDEX('Compliance Database'!$N$2:$N$1199,MATCH(1152,Engine!$C$2:$C$1199,0)))</f>
        <v/>
      </c>
      <c r="O1165" s="7" t="str">
        <f>IF(ISNA(MATCH(1152,Engine!$C$2:$C$1199,0)),"",INDEX('Compliance Database'!$O$2:$O$1199,MATCH(1152,Engine!$C$2:$C$1199,0)))</f>
        <v/>
      </c>
      <c r="P1165" s="6" t="str">
        <f>IF(ISNA(MATCH(1152,Engine!$C$2:$C$1199,0)),"",HYPERLINK("#Acts!A"&amp;INDEX('Compliance Database'!$P$2:$P$1199,MATCH(1152,Engine!$C$2:$C$1199,0)),"Go to Act"))</f>
        <v/>
      </c>
    </row>
    <row r="1166" spans="1:16" ht="172.95" customHeight="1" x14ac:dyDescent="0.3">
      <c r="A1166" s="6" t="str">
        <f>IF(ISNA(MATCH(1153,Engine!$C$2:$C$1199,0)),"",INDEX('Compliance Database'!$A$2:$A$1199,MATCH(1153,Engine!$C$2:$C$1199,0)))</f>
        <v/>
      </c>
      <c r="B1166" s="6" t="str">
        <f>IF(ISNA(MATCH(1153,Engine!$C$2:$C$1199,0)),"",INDEX('Compliance Database'!$B$2:$B$1199,MATCH(1153,Engine!$C$2:$C$1199,0)))</f>
        <v/>
      </c>
      <c r="C1166" s="6" t="str">
        <f>IF(ISNA(MATCH(1153,Engine!$C$2:$C$1199,0)),"",INDEX('Compliance Database'!$C$2:$C$1199,MATCH(1153,Engine!$C$2:$C$1199,0)))</f>
        <v/>
      </c>
      <c r="D1166" s="7" t="str">
        <f>IF(ISNA(MATCH(1153,Engine!$C$2:$C$1199,0)),"",INDEX('Compliance Database'!$D$2:$D$1199,MATCH(1153,Engine!$C$2:$C$1199,0)))</f>
        <v/>
      </c>
      <c r="E1166" s="6" t="str">
        <f>IF(ISNA(MATCH(1153,Engine!$C$2:$C$1199,0)),"",INDEX('Compliance Database'!$E$2:$E$1199,MATCH(1153,Engine!$C$2:$C$1199,0)))</f>
        <v/>
      </c>
      <c r="F1166" s="6" t="str">
        <f>IF(ISNA(MATCH(1153,Engine!$C$2:$C$1199,0)),"",INDEX('Compliance Database'!$F$2:$F$1199,MATCH(1153,Engine!$C$2:$C$1199,0)))</f>
        <v/>
      </c>
      <c r="G1166" s="6" t="str">
        <f>IF(ISNA(MATCH(1153,Engine!$C$2:$C$1199,0)),"",INDEX('Compliance Database'!$G$2:$G$1199,MATCH(1153,Engine!$C$2:$C$1199,0)))</f>
        <v/>
      </c>
      <c r="H1166" s="7" t="str">
        <f>IF(ISNA(MATCH(1153,Engine!$C$2:$C$1199,0)),"",INDEX('Compliance Database'!$H$2:$H$1199,MATCH(1153,Engine!$C$2:$C$1199,0)))</f>
        <v/>
      </c>
      <c r="I1166" s="7" t="str">
        <f>IF(ISNA(MATCH(1153,Engine!$C$2:$C$1199,0)),"",INDEX('Compliance Database'!$I$2:$I$1199,MATCH(1153,Engine!$C$2:$C$1199,0)))</f>
        <v/>
      </c>
      <c r="J1166" s="6" t="str">
        <f>IF(ISNA(MATCH(1153,Engine!$C$2:$C$1199,0)),"",INDEX('Compliance Database'!$J$2:$J$1199,MATCH(1153,Engine!$C$2:$C$1199,0)))</f>
        <v/>
      </c>
      <c r="K1166" s="7" t="str">
        <f>IF(ISNA(MATCH(1153,Engine!$C$2:$C$1199,0)),"",INDEX('Compliance Database'!$K$2:$K$1199,MATCH(1153,Engine!$C$2:$C$1199,0)))</f>
        <v/>
      </c>
      <c r="L1166" s="7" t="str">
        <f>IF(ISNA(MATCH(1153,Engine!$C$2:$C$1199,0)),"",INDEX('Compliance Database'!$L$2:$L$1199,MATCH(1153,Engine!$C$2:$C$1199,0)))</f>
        <v/>
      </c>
      <c r="M1166" s="7" t="str">
        <f>IF(ISNA(MATCH(1153,Engine!$C$2:$C$1199,0)),"",INDEX('Compliance Database'!$M$2:$M$1199,MATCH(1153,Engine!$C$2:$C$1199,0)))</f>
        <v/>
      </c>
      <c r="N1166" s="7" t="str">
        <f>IF(ISNA(MATCH(1153,Engine!$C$2:$C$1199,0)),"",INDEX('Compliance Database'!$N$2:$N$1199,MATCH(1153,Engine!$C$2:$C$1199,0)))</f>
        <v/>
      </c>
      <c r="O1166" s="7" t="str">
        <f>IF(ISNA(MATCH(1153,Engine!$C$2:$C$1199,0)),"",INDEX('Compliance Database'!$O$2:$O$1199,MATCH(1153,Engine!$C$2:$C$1199,0)))</f>
        <v/>
      </c>
      <c r="P1166" s="6" t="str">
        <f>IF(ISNA(MATCH(1153,Engine!$C$2:$C$1199,0)),"",HYPERLINK("#Acts!A"&amp;INDEX('Compliance Database'!$P$2:$P$1199,MATCH(1153,Engine!$C$2:$C$1199,0)),"Go to Act"))</f>
        <v/>
      </c>
    </row>
    <row r="1167" spans="1:16" ht="172.95" customHeight="1" x14ac:dyDescent="0.3">
      <c r="A1167" s="6" t="str">
        <f>IF(ISNA(MATCH(1154,Engine!$C$2:$C$1199,0)),"",INDEX('Compliance Database'!$A$2:$A$1199,MATCH(1154,Engine!$C$2:$C$1199,0)))</f>
        <v/>
      </c>
      <c r="B1167" s="6" t="str">
        <f>IF(ISNA(MATCH(1154,Engine!$C$2:$C$1199,0)),"",INDEX('Compliance Database'!$B$2:$B$1199,MATCH(1154,Engine!$C$2:$C$1199,0)))</f>
        <v/>
      </c>
      <c r="C1167" s="6" t="str">
        <f>IF(ISNA(MATCH(1154,Engine!$C$2:$C$1199,0)),"",INDEX('Compliance Database'!$C$2:$C$1199,MATCH(1154,Engine!$C$2:$C$1199,0)))</f>
        <v/>
      </c>
      <c r="D1167" s="7" t="str">
        <f>IF(ISNA(MATCH(1154,Engine!$C$2:$C$1199,0)),"",INDEX('Compliance Database'!$D$2:$D$1199,MATCH(1154,Engine!$C$2:$C$1199,0)))</f>
        <v/>
      </c>
      <c r="E1167" s="6" t="str">
        <f>IF(ISNA(MATCH(1154,Engine!$C$2:$C$1199,0)),"",INDEX('Compliance Database'!$E$2:$E$1199,MATCH(1154,Engine!$C$2:$C$1199,0)))</f>
        <v/>
      </c>
      <c r="F1167" s="6" t="str">
        <f>IF(ISNA(MATCH(1154,Engine!$C$2:$C$1199,0)),"",INDEX('Compliance Database'!$F$2:$F$1199,MATCH(1154,Engine!$C$2:$C$1199,0)))</f>
        <v/>
      </c>
      <c r="G1167" s="6" t="str">
        <f>IF(ISNA(MATCH(1154,Engine!$C$2:$C$1199,0)),"",INDEX('Compliance Database'!$G$2:$G$1199,MATCH(1154,Engine!$C$2:$C$1199,0)))</f>
        <v/>
      </c>
      <c r="H1167" s="7" t="str">
        <f>IF(ISNA(MATCH(1154,Engine!$C$2:$C$1199,0)),"",INDEX('Compliance Database'!$H$2:$H$1199,MATCH(1154,Engine!$C$2:$C$1199,0)))</f>
        <v/>
      </c>
      <c r="I1167" s="7" t="str">
        <f>IF(ISNA(MATCH(1154,Engine!$C$2:$C$1199,0)),"",INDEX('Compliance Database'!$I$2:$I$1199,MATCH(1154,Engine!$C$2:$C$1199,0)))</f>
        <v/>
      </c>
      <c r="J1167" s="6" t="str">
        <f>IF(ISNA(MATCH(1154,Engine!$C$2:$C$1199,0)),"",INDEX('Compliance Database'!$J$2:$J$1199,MATCH(1154,Engine!$C$2:$C$1199,0)))</f>
        <v/>
      </c>
      <c r="K1167" s="7" t="str">
        <f>IF(ISNA(MATCH(1154,Engine!$C$2:$C$1199,0)),"",INDEX('Compliance Database'!$K$2:$K$1199,MATCH(1154,Engine!$C$2:$C$1199,0)))</f>
        <v/>
      </c>
      <c r="L1167" s="7" t="str">
        <f>IF(ISNA(MATCH(1154,Engine!$C$2:$C$1199,0)),"",INDEX('Compliance Database'!$L$2:$L$1199,MATCH(1154,Engine!$C$2:$C$1199,0)))</f>
        <v/>
      </c>
      <c r="M1167" s="7" t="str">
        <f>IF(ISNA(MATCH(1154,Engine!$C$2:$C$1199,0)),"",INDEX('Compliance Database'!$M$2:$M$1199,MATCH(1154,Engine!$C$2:$C$1199,0)))</f>
        <v/>
      </c>
      <c r="N1167" s="7" t="str">
        <f>IF(ISNA(MATCH(1154,Engine!$C$2:$C$1199,0)),"",INDEX('Compliance Database'!$N$2:$N$1199,MATCH(1154,Engine!$C$2:$C$1199,0)))</f>
        <v/>
      </c>
      <c r="O1167" s="7" t="str">
        <f>IF(ISNA(MATCH(1154,Engine!$C$2:$C$1199,0)),"",INDEX('Compliance Database'!$O$2:$O$1199,MATCH(1154,Engine!$C$2:$C$1199,0)))</f>
        <v/>
      </c>
      <c r="P1167" s="6" t="str">
        <f>IF(ISNA(MATCH(1154,Engine!$C$2:$C$1199,0)),"",HYPERLINK("#Acts!A"&amp;INDEX('Compliance Database'!$P$2:$P$1199,MATCH(1154,Engine!$C$2:$C$1199,0)),"Go to Act"))</f>
        <v/>
      </c>
    </row>
    <row r="1168" spans="1:16" ht="172.95" customHeight="1" x14ac:dyDescent="0.3">
      <c r="A1168" s="6" t="str">
        <f>IF(ISNA(MATCH(1155,Engine!$C$2:$C$1199,0)),"",INDEX('Compliance Database'!$A$2:$A$1199,MATCH(1155,Engine!$C$2:$C$1199,0)))</f>
        <v/>
      </c>
      <c r="B1168" s="6" t="str">
        <f>IF(ISNA(MATCH(1155,Engine!$C$2:$C$1199,0)),"",INDEX('Compliance Database'!$B$2:$B$1199,MATCH(1155,Engine!$C$2:$C$1199,0)))</f>
        <v/>
      </c>
      <c r="C1168" s="6" t="str">
        <f>IF(ISNA(MATCH(1155,Engine!$C$2:$C$1199,0)),"",INDEX('Compliance Database'!$C$2:$C$1199,MATCH(1155,Engine!$C$2:$C$1199,0)))</f>
        <v/>
      </c>
      <c r="D1168" s="7" t="str">
        <f>IF(ISNA(MATCH(1155,Engine!$C$2:$C$1199,0)),"",INDEX('Compliance Database'!$D$2:$D$1199,MATCH(1155,Engine!$C$2:$C$1199,0)))</f>
        <v/>
      </c>
      <c r="E1168" s="6" t="str">
        <f>IF(ISNA(MATCH(1155,Engine!$C$2:$C$1199,0)),"",INDEX('Compliance Database'!$E$2:$E$1199,MATCH(1155,Engine!$C$2:$C$1199,0)))</f>
        <v/>
      </c>
      <c r="F1168" s="6" t="str">
        <f>IF(ISNA(MATCH(1155,Engine!$C$2:$C$1199,0)),"",INDEX('Compliance Database'!$F$2:$F$1199,MATCH(1155,Engine!$C$2:$C$1199,0)))</f>
        <v/>
      </c>
      <c r="G1168" s="6" t="str">
        <f>IF(ISNA(MATCH(1155,Engine!$C$2:$C$1199,0)),"",INDEX('Compliance Database'!$G$2:$G$1199,MATCH(1155,Engine!$C$2:$C$1199,0)))</f>
        <v/>
      </c>
      <c r="H1168" s="7" t="str">
        <f>IF(ISNA(MATCH(1155,Engine!$C$2:$C$1199,0)),"",INDEX('Compliance Database'!$H$2:$H$1199,MATCH(1155,Engine!$C$2:$C$1199,0)))</f>
        <v/>
      </c>
      <c r="I1168" s="7" t="str">
        <f>IF(ISNA(MATCH(1155,Engine!$C$2:$C$1199,0)),"",INDEX('Compliance Database'!$I$2:$I$1199,MATCH(1155,Engine!$C$2:$C$1199,0)))</f>
        <v/>
      </c>
      <c r="J1168" s="6" t="str">
        <f>IF(ISNA(MATCH(1155,Engine!$C$2:$C$1199,0)),"",INDEX('Compliance Database'!$J$2:$J$1199,MATCH(1155,Engine!$C$2:$C$1199,0)))</f>
        <v/>
      </c>
      <c r="K1168" s="7" t="str">
        <f>IF(ISNA(MATCH(1155,Engine!$C$2:$C$1199,0)),"",INDEX('Compliance Database'!$K$2:$K$1199,MATCH(1155,Engine!$C$2:$C$1199,0)))</f>
        <v/>
      </c>
      <c r="L1168" s="7" t="str">
        <f>IF(ISNA(MATCH(1155,Engine!$C$2:$C$1199,0)),"",INDEX('Compliance Database'!$L$2:$L$1199,MATCH(1155,Engine!$C$2:$C$1199,0)))</f>
        <v/>
      </c>
      <c r="M1168" s="7" t="str">
        <f>IF(ISNA(MATCH(1155,Engine!$C$2:$C$1199,0)),"",INDEX('Compliance Database'!$M$2:$M$1199,MATCH(1155,Engine!$C$2:$C$1199,0)))</f>
        <v/>
      </c>
      <c r="N1168" s="7" t="str">
        <f>IF(ISNA(MATCH(1155,Engine!$C$2:$C$1199,0)),"",INDEX('Compliance Database'!$N$2:$N$1199,MATCH(1155,Engine!$C$2:$C$1199,0)))</f>
        <v/>
      </c>
      <c r="O1168" s="7" t="str">
        <f>IF(ISNA(MATCH(1155,Engine!$C$2:$C$1199,0)),"",INDEX('Compliance Database'!$O$2:$O$1199,MATCH(1155,Engine!$C$2:$C$1199,0)))</f>
        <v/>
      </c>
      <c r="P1168" s="6" t="str">
        <f>IF(ISNA(MATCH(1155,Engine!$C$2:$C$1199,0)),"",HYPERLINK("#Acts!A"&amp;INDEX('Compliance Database'!$P$2:$P$1199,MATCH(1155,Engine!$C$2:$C$1199,0)),"Go to Act"))</f>
        <v/>
      </c>
    </row>
    <row r="1169" spans="1:16" ht="172.95" customHeight="1" x14ac:dyDescent="0.3">
      <c r="A1169" s="6" t="str">
        <f>IF(ISNA(MATCH(1156,Engine!$C$2:$C$1199,0)),"",INDEX('Compliance Database'!$A$2:$A$1199,MATCH(1156,Engine!$C$2:$C$1199,0)))</f>
        <v/>
      </c>
      <c r="B1169" s="6" t="str">
        <f>IF(ISNA(MATCH(1156,Engine!$C$2:$C$1199,0)),"",INDEX('Compliance Database'!$B$2:$B$1199,MATCH(1156,Engine!$C$2:$C$1199,0)))</f>
        <v/>
      </c>
      <c r="C1169" s="6" t="str">
        <f>IF(ISNA(MATCH(1156,Engine!$C$2:$C$1199,0)),"",INDEX('Compliance Database'!$C$2:$C$1199,MATCH(1156,Engine!$C$2:$C$1199,0)))</f>
        <v/>
      </c>
      <c r="D1169" s="7" t="str">
        <f>IF(ISNA(MATCH(1156,Engine!$C$2:$C$1199,0)),"",INDEX('Compliance Database'!$D$2:$D$1199,MATCH(1156,Engine!$C$2:$C$1199,0)))</f>
        <v/>
      </c>
      <c r="E1169" s="6" t="str">
        <f>IF(ISNA(MATCH(1156,Engine!$C$2:$C$1199,0)),"",INDEX('Compliance Database'!$E$2:$E$1199,MATCH(1156,Engine!$C$2:$C$1199,0)))</f>
        <v/>
      </c>
      <c r="F1169" s="6" t="str">
        <f>IF(ISNA(MATCH(1156,Engine!$C$2:$C$1199,0)),"",INDEX('Compliance Database'!$F$2:$F$1199,MATCH(1156,Engine!$C$2:$C$1199,0)))</f>
        <v/>
      </c>
      <c r="G1169" s="6" t="str">
        <f>IF(ISNA(MATCH(1156,Engine!$C$2:$C$1199,0)),"",INDEX('Compliance Database'!$G$2:$G$1199,MATCH(1156,Engine!$C$2:$C$1199,0)))</f>
        <v/>
      </c>
      <c r="H1169" s="7" t="str">
        <f>IF(ISNA(MATCH(1156,Engine!$C$2:$C$1199,0)),"",INDEX('Compliance Database'!$H$2:$H$1199,MATCH(1156,Engine!$C$2:$C$1199,0)))</f>
        <v/>
      </c>
      <c r="I1169" s="7" t="str">
        <f>IF(ISNA(MATCH(1156,Engine!$C$2:$C$1199,0)),"",INDEX('Compliance Database'!$I$2:$I$1199,MATCH(1156,Engine!$C$2:$C$1199,0)))</f>
        <v/>
      </c>
      <c r="J1169" s="6" t="str">
        <f>IF(ISNA(MATCH(1156,Engine!$C$2:$C$1199,0)),"",INDEX('Compliance Database'!$J$2:$J$1199,MATCH(1156,Engine!$C$2:$C$1199,0)))</f>
        <v/>
      </c>
      <c r="K1169" s="7" t="str">
        <f>IF(ISNA(MATCH(1156,Engine!$C$2:$C$1199,0)),"",INDEX('Compliance Database'!$K$2:$K$1199,MATCH(1156,Engine!$C$2:$C$1199,0)))</f>
        <v/>
      </c>
      <c r="L1169" s="7" t="str">
        <f>IF(ISNA(MATCH(1156,Engine!$C$2:$C$1199,0)),"",INDEX('Compliance Database'!$L$2:$L$1199,MATCH(1156,Engine!$C$2:$C$1199,0)))</f>
        <v/>
      </c>
      <c r="M1169" s="7" t="str">
        <f>IF(ISNA(MATCH(1156,Engine!$C$2:$C$1199,0)),"",INDEX('Compliance Database'!$M$2:$M$1199,MATCH(1156,Engine!$C$2:$C$1199,0)))</f>
        <v/>
      </c>
      <c r="N1169" s="7" t="str">
        <f>IF(ISNA(MATCH(1156,Engine!$C$2:$C$1199,0)),"",INDEX('Compliance Database'!$N$2:$N$1199,MATCH(1156,Engine!$C$2:$C$1199,0)))</f>
        <v/>
      </c>
      <c r="O1169" s="7" t="str">
        <f>IF(ISNA(MATCH(1156,Engine!$C$2:$C$1199,0)),"",INDEX('Compliance Database'!$O$2:$O$1199,MATCH(1156,Engine!$C$2:$C$1199,0)))</f>
        <v/>
      </c>
      <c r="P1169" s="6" t="str">
        <f>IF(ISNA(MATCH(1156,Engine!$C$2:$C$1199,0)),"",HYPERLINK("#Acts!A"&amp;INDEX('Compliance Database'!$P$2:$P$1199,MATCH(1156,Engine!$C$2:$C$1199,0)),"Go to Act"))</f>
        <v/>
      </c>
    </row>
    <row r="1170" spans="1:16" ht="172.95" customHeight="1" x14ac:dyDescent="0.3">
      <c r="A1170" s="6" t="str">
        <f>IF(ISNA(MATCH(1157,Engine!$C$2:$C$1199,0)),"",INDEX('Compliance Database'!$A$2:$A$1199,MATCH(1157,Engine!$C$2:$C$1199,0)))</f>
        <v/>
      </c>
      <c r="B1170" s="6" t="str">
        <f>IF(ISNA(MATCH(1157,Engine!$C$2:$C$1199,0)),"",INDEX('Compliance Database'!$B$2:$B$1199,MATCH(1157,Engine!$C$2:$C$1199,0)))</f>
        <v/>
      </c>
      <c r="C1170" s="6" t="str">
        <f>IF(ISNA(MATCH(1157,Engine!$C$2:$C$1199,0)),"",INDEX('Compliance Database'!$C$2:$C$1199,MATCH(1157,Engine!$C$2:$C$1199,0)))</f>
        <v/>
      </c>
      <c r="D1170" s="7" t="str">
        <f>IF(ISNA(MATCH(1157,Engine!$C$2:$C$1199,0)),"",INDEX('Compliance Database'!$D$2:$D$1199,MATCH(1157,Engine!$C$2:$C$1199,0)))</f>
        <v/>
      </c>
      <c r="E1170" s="6" t="str">
        <f>IF(ISNA(MATCH(1157,Engine!$C$2:$C$1199,0)),"",INDEX('Compliance Database'!$E$2:$E$1199,MATCH(1157,Engine!$C$2:$C$1199,0)))</f>
        <v/>
      </c>
      <c r="F1170" s="6" t="str">
        <f>IF(ISNA(MATCH(1157,Engine!$C$2:$C$1199,0)),"",INDEX('Compliance Database'!$F$2:$F$1199,MATCH(1157,Engine!$C$2:$C$1199,0)))</f>
        <v/>
      </c>
      <c r="G1170" s="6" t="str">
        <f>IF(ISNA(MATCH(1157,Engine!$C$2:$C$1199,0)),"",INDEX('Compliance Database'!$G$2:$G$1199,MATCH(1157,Engine!$C$2:$C$1199,0)))</f>
        <v/>
      </c>
      <c r="H1170" s="7" t="str">
        <f>IF(ISNA(MATCH(1157,Engine!$C$2:$C$1199,0)),"",INDEX('Compliance Database'!$H$2:$H$1199,MATCH(1157,Engine!$C$2:$C$1199,0)))</f>
        <v/>
      </c>
      <c r="I1170" s="7" t="str">
        <f>IF(ISNA(MATCH(1157,Engine!$C$2:$C$1199,0)),"",INDEX('Compliance Database'!$I$2:$I$1199,MATCH(1157,Engine!$C$2:$C$1199,0)))</f>
        <v/>
      </c>
      <c r="J1170" s="6" t="str">
        <f>IF(ISNA(MATCH(1157,Engine!$C$2:$C$1199,0)),"",INDEX('Compliance Database'!$J$2:$J$1199,MATCH(1157,Engine!$C$2:$C$1199,0)))</f>
        <v/>
      </c>
      <c r="K1170" s="7" t="str">
        <f>IF(ISNA(MATCH(1157,Engine!$C$2:$C$1199,0)),"",INDEX('Compliance Database'!$K$2:$K$1199,MATCH(1157,Engine!$C$2:$C$1199,0)))</f>
        <v/>
      </c>
      <c r="L1170" s="7" t="str">
        <f>IF(ISNA(MATCH(1157,Engine!$C$2:$C$1199,0)),"",INDEX('Compliance Database'!$L$2:$L$1199,MATCH(1157,Engine!$C$2:$C$1199,0)))</f>
        <v/>
      </c>
      <c r="M1170" s="7" t="str">
        <f>IF(ISNA(MATCH(1157,Engine!$C$2:$C$1199,0)),"",INDEX('Compliance Database'!$M$2:$M$1199,MATCH(1157,Engine!$C$2:$C$1199,0)))</f>
        <v/>
      </c>
      <c r="N1170" s="7" t="str">
        <f>IF(ISNA(MATCH(1157,Engine!$C$2:$C$1199,0)),"",INDEX('Compliance Database'!$N$2:$N$1199,MATCH(1157,Engine!$C$2:$C$1199,0)))</f>
        <v/>
      </c>
      <c r="O1170" s="7" t="str">
        <f>IF(ISNA(MATCH(1157,Engine!$C$2:$C$1199,0)),"",INDEX('Compliance Database'!$O$2:$O$1199,MATCH(1157,Engine!$C$2:$C$1199,0)))</f>
        <v/>
      </c>
      <c r="P1170" s="6" t="str">
        <f>IF(ISNA(MATCH(1157,Engine!$C$2:$C$1199,0)),"",HYPERLINK("#Acts!A"&amp;INDEX('Compliance Database'!$P$2:$P$1199,MATCH(1157,Engine!$C$2:$C$1199,0)),"Go to Act"))</f>
        <v/>
      </c>
    </row>
    <row r="1171" spans="1:16" ht="172.95" customHeight="1" x14ac:dyDescent="0.3">
      <c r="A1171" s="6" t="str">
        <f>IF(ISNA(MATCH(1158,Engine!$C$2:$C$1199,0)),"",INDEX('Compliance Database'!$A$2:$A$1199,MATCH(1158,Engine!$C$2:$C$1199,0)))</f>
        <v/>
      </c>
      <c r="B1171" s="6" t="str">
        <f>IF(ISNA(MATCH(1158,Engine!$C$2:$C$1199,0)),"",INDEX('Compliance Database'!$B$2:$B$1199,MATCH(1158,Engine!$C$2:$C$1199,0)))</f>
        <v/>
      </c>
      <c r="C1171" s="6" t="str">
        <f>IF(ISNA(MATCH(1158,Engine!$C$2:$C$1199,0)),"",INDEX('Compliance Database'!$C$2:$C$1199,MATCH(1158,Engine!$C$2:$C$1199,0)))</f>
        <v/>
      </c>
      <c r="D1171" s="7" t="str">
        <f>IF(ISNA(MATCH(1158,Engine!$C$2:$C$1199,0)),"",INDEX('Compliance Database'!$D$2:$D$1199,MATCH(1158,Engine!$C$2:$C$1199,0)))</f>
        <v/>
      </c>
      <c r="E1171" s="6" t="str">
        <f>IF(ISNA(MATCH(1158,Engine!$C$2:$C$1199,0)),"",INDEX('Compliance Database'!$E$2:$E$1199,MATCH(1158,Engine!$C$2:$C$1199,0)))</f>
        <v/>
      </c>
      <c r="F1171" s="6" t="str">
        <f>IF(ISNA(MATCH(1158,Engine!$C$2:$C$1199,0)),"",INDEX('Compliance Database'!$F$2:$F$1199,MATCH(1158,Engine!$C$2:$C$1199,0)))</f>
        <v/>
      </c>
      <c r="G1171" s="6" t="str">
        <f>IF(ISNA(MATCH(1158,Engine!$C$2:$C$1199,0)),"",INDEX('Compliance Database'!$G$2:$G$1199,MATCH(1158,Engine!$C$2:$C$1199,0)))</f>
        <v/>
      </c>
      <c r="H1171" s="7" t="str">
        <f>IF(ISNA(MATCH(1158,Engine!$C$2:$C$1199,0)),"",INDEX('Compliance Database'!$H$2:$H$1199,MATCH(1158,Engine!$C$2:$C$1199,0)))</f>
        <v/>
      </c>
      <c r="I1171" s="7" t="str">
        <f>IF(ISNA(MATCH(1158,Engine!$C$2:$C$1199,0)),"",INDEX('Compliance Database'!$I$2:$I$1199,MATCH(1158,Engine!$C$2:$C$1199,0)))</f>
        <v/>
      </c>
      <c r="J1171" s="6" t="str">
        <f>IF(ISNA(MATCH(1158,Engine!$C$2:$C$1199,0)),"",INDEX('Compliance Database'!$J$2:$J$1199,MATCH(1158,Engine!$C$2:$C$1199,0)))</f>
        <v/>
      </c>
      <c r="K1171" s="7" t="str">
        <f>IF(ISNA(MATCH(1158,Engine!$C$2:$C$1199,0)),"",INDEX('Compliance Database'!$K$2:$K$1199,MATCH(1158,Engine!$C$2:$C$1199,0)))</f>
        <v/>
      </c>
      <c r="L1171" s="7" t="str">
        <f>IF(ISNA(MATCH(1158,Engine!$C$2:$C$1199,0)),"",INDEX('Compliance Database'!$L$2:$L$1199,MATCH(1158,Engine!$C$2:$C$1199,0)))</f>
        <v/>
      </c>
      <c r="M1171" s="7" t="str">
        <f>IF(ISNA(MATCH(1158,Engine!$C$2:$C$1199,0)),"",INDEX('Compliance Database'!$M$2:$M$1199,MATCH(1158,Engine!$C$2:$C$1199,0)))</f>
        <v/>
      </c>
      <c r="N1171" s="7" t="str">
        <f>IF(ISNA(MATCH(1158,Engine!$C$2:$C$1199,0)),"",INDEX('Compliance Database'!$N$2:$N$1199,MATCH(1158,Engine!$C$2:$C$1199,0)))</f>
        <v/>
      </c>
      <c r="O1171" s="7" t="str">
        <f>IF(ISNA(MATCH(1158,Engine!$C$2:$C$1199,0)),"",INDEX('Compliance Database'!$O$2:$O$1199,MATCH(1158,Engine!$C$2:$C$1199,0)))</f>
        <v/>
      </c>
      <c r="P1171" s="6" t="str">
        <f>IF(ISNA(MATCH(1158,Engine!$C$2:$C$1199,0)),"",HYPERLINK("#Acts!A"&amp;INDEX('Compliance Database'!$P$2:$P$1199,MATCH(1158,Engine!$C$2:$C$1199,0)),"Go to Act"))</f>
        <v/>
      </c>
    </row>
    <row r="1172" spans="1:16" ht="172.95" customHeight="1" x14ac:dyDescent="0.3">
      <c r="A1172" s="6" t="str">
        <f>IF(ISNA(MATCH(1159,Engine!$C$2:$C$1199,0)),"",INDEX('Compliance Database'!$A$2:$A$1199,MATCH(1159,Engine!$C$2:$C$1199,0)))</f>
        <v/>
      </c>
      <c r="B1172" s="6" t="str">
        <f>IF(ISNA(MATCH(1159,Engine!$C$2:$C$1199,0)),"",INDEX('Compliance Database'!$B$2:$B$1199,MATCH(1159,Engine!$C$2:$C$1199,0)))</f>
        <v/>
      </c>
      <c r="C1172" s="6" t="str">
        <f>IF(ISNA(MATCH(1159,Engine!$C$2:$C$1199,0)),"",INDEX('Compliance Database'!$C$2:$C$1199,MATCH(1159,Engine!$C$2:$C$1199,0)))</f>
        <v/>
      </c>
      <c r="D1172" s="7" t="str">
        <f>IF(ISNA(MATCH(1159,Engine!$C$2:$C$1199,0)),"",INDEX('Compliance Database'!$D$2:$D$1199,MATCH(1159,Engine!$C$2:$C$1199,0)))</f>
        <v/>
      </c>
      <c r="E1172" s="6" t="str">
        <f>IF(ISNA(MATCH(1159,Engine!$C$2:$C$1199,0)),"",INDEX('Compliance Database'!$E$2:$E$1199,MATCH(1159,Engine!$C$2:$C$1199,0)))</f>
        <v/>
      </c>
      <c r="F1172" s="6" t="str">
        <f>IF(ISNA(MATCH(1159,Engine!$C$2:$C$1199,0)),"",INDEX('Compliance Database'!$F$2:$F$1199,MATCH(1159,Engine!$C$2:$C$1199,0)))</f>
        <v/>
      </c>
      <c r="G1172" s="6" t="str">
        <f>IF(ISNA(MATCH(1159,Engine!$C$2:$C$1199,0)),"",INDEX('Compliance Database'!$G$2:$G$1199,MATCH(1159,Engine!$C$2:$C$1199,0)))</f>
        <v/>
      </c>
      <c r="H1172" s="7" t="str">
        <f>IF(ISNA(MATCH(1159,Engine!$C$2:$C$1199,0)),"",INDEX('Compliance Database'!$H$2:$H$1199,MATCH(1159,Engine!$C$2:$C$1199,0)))</f>
        <v/>
      </c>
      <c r="I1172" s="7" t="str">
        <f>IF(ISNA(MATCH(1159,Engine!$C$2:$C$1199,0)),"",INDEX('Compliance Database'!$I$2:$I$1199,MATCH(1159,Engine!$C$2:$C$1199,0)))</f>
        <v/>
      </c>
      <c r="J1172" s="6" t="str">
        <f>IF(ISNA(MATCH(1159,Engine!$C$2:$C$1199,0)),"",INDEX('Compliance Database'!$J$2:$J$1199,MATCH(1159,Engine!$C$2:$C$1199,0)))</f>
        <v/>
      </c>
      <c r="K1172" s="7" t="str">
        <f>IF(ISNA(MATCH(1159,Engine!$C$2:$C$1199,0)),"",INDEX('Compliance Database'!$K$2:$K$1199,MATCH(1159,Engine!$C$2:$C$1199,0)))</f>
        <v/>
      </c>
      <c r="L1172" s="7" t="str">
        <f>IF(ISNA(MATCH(1159,Engine!$C$2:$C$1199,0)),"",INDEX('Compliance Database'!$L$2:$L$1199,MATCH(1159,Engine!$C$2:$C$1199,0)))</f>
        <v/>
      </c>
      <c r="M1172" s="7" t="str">
        <f>IF(ISNA(MATCH(1159,Engine!$C$2:$C$1199,0)),"",INDEX('Compliance Database'!$M$2:$M$1199,MATCH(1159,Engine!$C$2:$C$1199,0)))</f>
        <v/>
      </c>
      <c r="N1172" s="7" t="str">
        <f>IF(ISNA(MATCH(1159,Engine!$C$2:$C$1199,0)),"",INDEX('Compliance Database'!$N$2:$N$1199,MATCH(1159,Engine!$C$2:$C$1199,0)))</f>
        <v/>
      </c>
      <c r="O1172" s="7" t="str">
        <f>IF(ISNA(MATCH(1159,Engine!$C$2:$C$1199,0)),"",INDEX('Compliance Database'!$O$2:$O$1199,MATCH(1159,Engine!$C$2:$C$1199,0)))</f>
        <v/>
      </c>
      <c r="P1172" s="6" t="str">
        <f>IF(ISNA(MATCH(1159,Engine!$C$2:$C$1199,0)),"",HYPERLINK("#Acts!A"&amp;INDEX('Compliance Database'!$P$2:$P$1199,MATCH(1159,Engine!$C$2:$C$1199,0)),"Go to Act"))</f>
        <v/>
      </c>
    </row>
    <row r="1173" spans="1:16" ht="172.95" customHeight="1" x14ac:dyDescent="0.3">
      <c r="A1173" s="6" t="str">
        <f>IF(ISNA(MATCH(1160,Engine!$C$2:$C$1199,0)),"",INDEX('Compliance Database'!$A$2:$A$1199,MATCH(1160,Engine!$C$2:$C$1199,0)))</f>
        <v/>
      </c>
      <c r="B1173" s="6" t="str">
        <f>IF(ISNA(MATCH(1160,Engine!$C$2:$C$1199,0)),"",INDEX('Compliance Database'!$B$2:$B$1199,MATCH(1160,Engine!$C$2:$C$1199,0)))</f>
        <v/>
      </c>
      <c r="C1173" s="6" t="str">
        <f>IF(ISNA(MATCH(1160,Engine!$C$2:$C$1199,0)),"",INDEX('Compliance Database'!$C$2:$C$1199,MATCH(1160,Engine!$C$2:$C$1199,0)))</f>
        <v/>
      </c>
      <c r="D1173" s="7" t="str">
        <f>IF(ISNA(MATCH(1160,Engine!$C$2:$C$1199,0)),"",INDEX('Compliance Database'!$D$2:$D$1199,MATCH(1160,Engine!$C$2:$C$1199,0)))</f>
        <v/>
      </c>
      <c r="E1173" s="6" t="str">
        <f>IF(ISNA(MATCH(1160,Engine!$C$2:$C$1199,0)),"",INDEX('Compliance Database'!$E$2:$E$1199,MATCH(1160,Engine!$C$2:$C$1199,0)))</f>
        <v/>
      </c>
      <c r="F1173" s="6" t="str">
        <f>IF(ISNA(MATCH(1160,Engine!$C$2:$C$1199,0)),"",INDEX('Compliance Database'!$F$2:$F$1199,MATCH(1160,Engine!$C$2:$C$1199,0)))</f>
        <v/>
      </c>
      <c r="G1173" s="6" t="str">
        <f>IF(ISNA(MATCH(1160,Engine!$C$2:$C$1199,0)),"",INDEX('Compliance Database'!$G$2:$G$1199,MATCH(1160,Engine!$C$2:$C$1199,0)))</f>
        <v/>
      </c>
      <c r="H1173" s="7" t="str">
        <f>IF(ISNA(MATCH(1160,Engine!$C$2:$C$1199,0)),"",INDEX('Compliance Database'!$H$2:$H$1199,MATCH(1160,Engine!$C$2:$C$1199,0)))</f>
        <v/>
      </c>
      <c r="I1173" s="7" t="str">
        <f>IF(ISNA(MATCH(1160,Engine!$C$2:$C$1199,0)),"",INDEX('Compliance Database'!$I$2:$I$1199,MATCH(1160,Engine!$C$2:$C$1199,0)))</f>
        <v/>
      </c>
      <c r="J1173" s="6" t="str">
        <f>IF(ISNA(MATCH(1160,Engine!$C$2:$C$1199,0)),"",INDEX('Compliance Database'!$J$2:$J$1199,MATCH(1160,Engine!$C$2:$C$1199,0)))</f>
        <v/>
      </c>
      <c r="K1173" s="7" t="str">
        <f>IF(ISNA(MATCH(1160,Engine!$C$2:$C$1199,0)),"",INDEX('Compliance Database'!$K$2:$K$1199,MATCH(1160,Engine!$C$2:$C$1199,0)))</f>
        <v/>
      </c>
      <c r="L1173" s="7" t="str">
        <f>IF(ISNA(MATCH(1160,Engine!$C$2:$C$1199,0)),"",INDEX('Compliance Database'!$L$2:$L$1199,MATCH(1160,Engine!$C$2:$C$1199,0)))</f>
        <v/>
      </c>
      <c r="M1173" s="7" t="str">
        <f>IF(ISNA(MATCH(1160,Engine!$C$2:$C$1199,0)),"",INDEX('Compliance Database'!$M$2:$M$1199,MATCH(1160,Engine!$C$2:$C$1199,0)))</f>
        <v/>
      </c>
      <c r="N1173" s="7" t="str">
        <f>IF(ISNA(MATCH(1160,Engine!$C$2:$C$1199,0)),"",INDEX('Compliance Database'!$N$2:$N$1199,MATCH(1160,Engine!$C$2:$C$1199,0)))</f>
        <v/>
      </c>
      <c r="O1173" s="7" t="str">
        <f>IF(ISNA(MATCH(1160,Engine!$C$2:$C$1199,0)),"",INDEX('Compliance Database'!$O$2:$O$1199,MATCH(1160,Engine!$C$2:$C$1199,0)))</f>
        <v/>
      </c>
      <c r="P1173" s="6" t="str">
        <f>IF(ISNA(MATCH(1160,Engine!$C$2:$C$1199,0)),"",HYPERLINK("#Acts!A"&amp;INDEX('Compliance Database'!$P$2:$P$1199,MATCH(1160,Engine!$C$2:$C$1199,0)),"Go to Act"))</f>
        <v/>
      </c>
    </row>
    <row r="1174" spans="1:16" ht="172.95" customHeight="1" x14ac:dyDescent="0.3">
      <c r="A1174" s="6" t="str">
        <f>IF(ISNA(MATCH(1161,Engine!$C$2:$C$1199,0)),"",INDEX('Compliance Database'!$A$2:$A$1199,MATCH(1161,Engine!$C$2:$C$1199,0)))</f>
        <v/>
      </c>
      <c r="B1174" s="6" t="str">
        <f>IF(ISNA(MATCH(1161,Engine!$C$2:$C$1199,0)),"",INDEX('Compliance Database'!$B$2:$B$1199,MATCH(1161,Engine!$C$2:$C$1199,0)))</f>
        <v/>
      </c>
      <c r="C1174" s="6" t="str">
        <f>IF(ISNA(MATCH(1161,Engine!$C$2:$C$1199,0)),"",INDEX('Compliance Database'!$C$2:$C$1199,MATCH(1161,Engine!$C$2:$C$1199,0)))</f>
        <v/>
      </c>
      <c r="D1174" s="7" t="str">
        <f>IF(ISNA(MATCH(1161,Engine!$C$2:$C$1199,0)),"",INDEX('Compliance Database'!$D$2:$D$1199,MATCH(1161,Engine!$C$2:$C$1199,0)))</f>
        <v/>
      </c>
      <c r="E1174" s="6" t="str">
        <f>IF(ISNA(MATCH(1161,Engine!$C$2:$C$1199,0)),"",INDEX('Compliance Database'!$E$2:$E$1199,MATCH(1161,Engine!$C$2:$C$1199,0)))</f>
        <v/>
      </c>
      <c r="F1174" s="6" t="str">
        <f>IF(ISNA(MATCH(1161,Engine!$C$2:$C$1199,0)),"",INDEX('Compliance Database'!$F$2:$F$1199,MATCH(1161,Engine!$C$2:$C$1199,0)))</f>
        <v/>
      </c>
      <c r="G1174" s="6" t="str">
        <f>IF(ISNA(MATCH(1161,Engine!$C$2:$C$1199,0)),"",INDEX('Compliance Database'!$G$2:$G$1199,MATCH(1161,Engine!$C$2:$C$1199,0)))</f>
        <v/>
      </c>
      <c r="H1174" s="7" t="str">
        <f>IF(ISNA(MATCH(1161,Engine!$C$2:$C$1199,0)),"",INDEX('Compliance Database'!$H$2:$H$1199,MATCH(1161,Engine!$C$2:$C$1199,0)))</f>
        <v/>
      </c>
      <c r="I1174" s="7" t="str">
        <f>IF(ISNA(MATCH(1161,Engine!$C$2:$C$1199,0)),"",INDEX('Compliance Database'!$I$2:$I$1199,MATCH(1161,Engine!$C$2:$C$1199,0)))</f>
        <v/>
      </c>
      <c r="J1174" s="6" t="str">
        <f>IF(ISNA(MATCH(1161,Engine!$C$2:$C$1199,0)),"",INDEX('Compliance Database'!$J$2:$J$1199,MATCH(1161,Engine!$C$2:$C$1199,0)))</f>
        <v/>
      </c>
      <c r="K1174" s="7" t="str">
        <f>IF(ISNA(MATCH(1161,Engine!$C$2:$C$1199,0)),"",INDEX('Compliance Database'!$K$2:$K$1199,MATCH(1161,Engine!$C$2:$C$1199,0)))</f>
        <v/>
      </c>
      <c r="L1174" s="7" t="str">
        <f>IF(ISNA(MATCH(1161,Engine!$C$2:$C$1199,0)),"",INDEX('Compliance Database'!$L$2:$L$1199,MATCH(1161,Engine!$C$2:$C$1199,0)))</f>
        <v/>
      </c>
      <c r="M1174" s="7" t="str">
        <f>IF(ISNA(MATCH(1161,Engine!$C$2:$C$1199,0)),"",INDEX('Compliance Database'!$M$2:$M$1199,MATCH(1161,Engine!$C$2:$C$1199,0)))</f>
        <v/>
      </c>
      <c r="N1174" s="7" t="str">
        <f>IF(ISNA(MATCH(1161,Engine!$C$2:$C$1199,0)),"",INDEX('Compliance Database'!$N$2:$N$1199,MATCH(1161,Engine!$C$2:$C$1199,0)))</f>
        <v/>
      </c>
      <c r="O1174" s="7" t="str">
        <f>IF(ISNA(MATCH(1161,Engine!$C$2:$C$1199,0)),"",INDEX('Compliance Database'!$O$2:$O$1199,MATCH(1161,Engine!$C$2:$C$1199,0)))</f>
        <v/>
      </c>
      <c r="P1174" s="6" t="str">
        <f>IF(ISNA(MATCH(1161,Engine!$C$2:$C$1199,0)),"",HYPERLINK("#Acts!A"&amp;INDEX('Compliance Database'!$P$2:$P$1199,MATCH(1161,Engine!$C$2:$C$1199,0)),"Go to Act"))</f>
        <v/>
      </c>
    </row>
    <row r="1175" spans="1:16" ht="172.95" customHeight="1" x14ac:dyDescent="0.3">
      <c r="A1175" s="6" t="str">
        <f>IF(ISNA(MATCH(1162,Engine!$C$2:$C$1199,0)),"",INDEX('Compliance Database'!$A$2:$A$1199,MATCH(1162,Engine!$C$2:$C$1199,0)))</f>
        <v/>
      </c>
      <c r="B1175" s="6" t="str">
        <f>IF(ISNA(MATCH(1162,Engine!$C$2:$C$1199,0)),"",INDEX('Compliance Database'!$B$2:$B$1199,MATCH(1162,Engine!$C$2:$C$1199,0)))</f>
        <v/>
      </c>
      <c r="C1175" s="6" t="str">
        <f>IF(ISNA(MATCH(1162,Engine!$C$2:$C$1199,0)),"",INDEX('Compliance Database'!$C$2:$C$1199,MATCH(1162,Engine!$C$2:$C$1199,0)))</f>
        <v/>
      </c>
      <c r="D1175" s="7" t="str">
        <f>IF(ISNA(MATCH(1162,Engine!$C$2:$C$1199,0)),"",INDEX('Compliance Database'!$D$2:$D$1199,MATCH(1162,Engine!$C$2:$C$1199,0)))</f>
        <v/>
      </c>
      <c r="E1175" s="6" t="str">
        <f>IF(ISNA(MATCH(1162,Engine!$C$2:$C$1199,0)),"",INDEX('Compliance Database'!$E$2:$E$1199,MATCH(1162,Engine!$C$2:$C$1199,0)))</f>
        <v/>
      </c>
      <c r="F1175" s="6" t="str">
        <f>IF(ISNA(MATCH(1162,Engine!$C$2:$C$1199,0)),"",INDEX('Compliance Database'!$F$2:$F$1199,MATCH(1162,Engine!$C$2:$C$1199,0)))</f>
        <v/>
      </c>
      <c r="G1175" s="6" t="str">
        <f>IF(ISNA(MATCH(1162,Engine!$C$2:$C$1199,0)),"",INDEX('Compliance Database'!$G$2:$G$1199,MATCH(1162,Engine!$C$2:$C$1199,0)))</f>
        <v/>
      </c>
      <c r="H1175" s="7" t="str">
        <f>IF(ISNA(MATCH(1162,Engine!$C$2:$C$1199,0)),"",INDEX('Compliance Database'!$H$2:$H$1199,MATCH(1162,Engine!$C$2:$C$1199,0)))</f>
        <v/>
      </c>
      <c r="I1175" s="7" t="str">
        <f>IF(ISNA(MATCH(1162,Engine!$C$2:$C$1199,0)),"",INDEX('Compliance Database'!$I$2:$I$1199,MATCH(1162,Engine!$C$2:$C$1199,0)))</f>
        <v/>
      </c>
      <c r="J1175" s="6" t="str">
        <f>IF(ISNA(MATCH(1162,Engine!$C$2:$C$1199,0)),"",INDEX('Compliance Database'!$J$2:$J$1199,MATCH(1162,Engine!$C$2:$C$1199,0)))</f>
        <v/>
      </c>
      <c r="K1175" s="7" t="str">
        <f>IF(ISNA(MATCH(1162,Engine!$C$2:$C$1199,0)),"",INDEX('Compliance Database'!$K$2:$K$1199,MATCH(1162,Engine!$C$2:$C$1199,0)))</f>
        <v/>
      </c>
      <c r="L1175" s="7" t="str">
        <f>IF(ISNA(MATCH(1162,Engine!$C$2:$C$1199,0)),"",INDEX('Compliance Database'!$L$2:$L$1199,MATCH(1162,Engine!$C$2:$C$1199,0)))</f>
        <v/>
      </c>
      <c r="M1175" s="7" t="str">
        <f>IF(ISNA(MATCH(1162,Engine!$C$2:$C$1199,0)),"",INDEX('Compliance Database'!$M$2:$M$1199,MATCH(1162,Engine!$C$2:$C$1199,0)))</f>
        <v/>
      </c>
      <c r="N1175" s="7" t="str">
        <f>IF(ISNA(MATCH(1162,Engine!$C$2:$C$1199,0)),"",INDEX('Compliance Database'!$N$2:$N$1199,MATCH(1162,Engine!$C$2:$C$1199,0)))</f>
        <v/>
      </c>
      <c r="O1175" s="7" t="str">
        <f>IF(ISNA(MATCH(1162,Engine!$C$2:$C$1199,0)),"",INDEX('Compliance Database'!$O$2:$O$1199,MATCH(1162,Engine!$C$2:$C$1199,0)))</f>
        <v/>
      </c>
      <c r="P1175" s="6" t="str">
        <f>IF(ISNA(MATCH(1162,Engine!$C$2:$C$1199,0)),"",HYPERLINK("#Acts!A"&amp;INDEX('Compliance Database'!$P$2:$P$1199,MATCH(1162,Engine!$C$2:$C$1199,0)),"Go to Act"))</f>
        <v/>
      </c>
    </row>
    <row r="1176" spans="1:16" ht="172.95" customHeight="1" x14ac:dyDescent="0.3">
      <c r="A1176" s="6" t="str">
        <f>IF(ISNA(MATCH(1163,Engine!$C$2:$C$1199,0)),"",INDEX('Compliance Database'!$A$2:$A$1199,MATCH(1163,Engine!$C$2:$C$1199,0)))</f>
        <v/>
      </c>
      <c r="B1176" s="6" t="str">
        <f>IF(ISNA(MATCH(1163,Engine!$C$2:$C$1199,0)),"",INDEX('Compliance Database'!$B$2:$B$1199,MATCH(1163,Engine!$C$2:$C$1199,0)))</f>
        <v/>
      </c>
      <c r="C1176" s="6" t="str">
        <f>IF(ISNA(MATCH(1163,Engine!$C$2:$C$1199,0)),"",INDEX('Compliance Database'!$C$2:$C$1199,MATCH(1163,Engine!$C$2:$C$1199,0)))</f>
        <v/>
      </c>
      <c r="D1176" s="7" t="str">
        <f>IF(ISNA(MATCH(1163,Engine!$C$2:$C$1199,0)),"",INDEX('Compliance Database'!$D$2:$D$1199,MATCH(1163,Engine!$C$2:$C$1199,0)))</f>
        <v/>
      </c>
      <c r="E1176" s="6" t="str">
        <f>IF(ISNA(MATCH(1163,Engine!$C$2:$C$1199,0)),"",INDEX('Compliance Database'!$E$2:$E$1199,MATCH(1163,Engine!$C$2:$C$1199,0)))</f>
        <v/>
      </c>
      <c r="F1176" s="6" t="str">
        <f>IF(ISNA(MATCH(1163,Engine!$C$2:$C$1199,0)),"",INDEX('Compliance Database'!$F$2:$F$1199,MATCH(1163,Engine!$C$2:$C$1199,0)))</f>
        <v/>
      </c>
      <c r="G1176" s="6" t="str">
        <f>IF(ISNA(MATCH(1163,Engine!$C$2:$C$1199,0)),"",INDEX('Compliance Database'!$G$2:$G$1199,MATCH(1163,Engine!$C$2:$C$1199,0)))</f>
        <v/>
      </c>
      <c r="H1176" s="7" t="str">
        <f>IF(ISNA(MATCH(1163,Engine!$C$2:$C$1199,0)),"",INDEX('Compliance Database'!$H$2:$H$1199,MATCH(1163,Engine!$C$2:$C$1199,0)))</f>
        <v/>
      </c>
      <c r="I1176" s="7" t="str">
        <f>IF(ISNA(MATCH(1163,Engine!$C$2:$C$1199,0)),"",INDEX('Compliance Database'!$I$2:$I$1199,MATCH(1163,Engine!$C$2:$C$1199,0)))</f>
        <v/>
      </c>
      <c r="J1176" s="6" t="str">
        <f>IF(ISNA(MATCH(1163,Engine!$C$2:$C$1199,0)),"",INDEX('Compliance Database'!$J$2:$J$1199,MATCH(1163,Engine!$C$2:$C$1199,0)))</f>
        <v/>
      </c>
      <c r="K1176" s="7" t="str">
        <f>IF(ISNA(MATCH(1163,Engine!$C$2:$C$1199,0)),"",INDEX('Compliance Database'!$K$2:$K$1199,MATCH(1163,Engine!$C$2:$C$1199,0)))</f>
        <v/>
      </c>
      <c r="L1176" s="7" t="str">
        <f>IF(ISNA(MATCH(1163,Engine!$C$2:$C$1199,0)),"",INDEX('Compliance Database'!$L$2:$L$1199,MATCH(1163,Engine!$C$2:$C$1199,0)))</f>
        <v/>
      </c>
      <c r="M1176" s="7" t="str">
        <f>IF(ISNA(MATCH(1163,Engine!$C$2:$C$1199,0)),"",INDEX('Compliance Database'!$M$2:$M$1199,MATCH(1163,Engine!$C$2:$C$1199,0)))</f>
        <v/>
      </c>
      <c r="N1176" s="7" t="str">
        <f>IF(ISNA(MATCH(1163,Engine!$C$2:$C$1199,0)),"",INDEX('Compliance Database'!$N$2:$N$1199,MATCH(1163,Engine!$C$2:$C$1199,0)))</f>
        <v/>
      </c>
      <c r="O1176" s="7" t="str">
        <f>IF(ISNA(MATCH(1163,Engine!$C$2:$C$1199,0)),"",INDEX('Compliance Database'!$O$2:$O$1199,MATCH(1163,Engine!$C$2:$C$1199,0)))</f>
        <v/>
      </c>
      <c r="P1176" s="6" t="str">
        <f>IF(ISNA(MATCH(1163,Engine!$C$2:$C$1199,0)),"",HYPERLINK("#Acts!A"&amp;INDEX('Compliance Database'!$P$2:$P$1199,MATCH(1163,Engine!$C$2:$C$1199,0)),"Go to Act"))</f>
        <v/>
      </c>
    </row>
    <row r="1177" spans="1:16" ht="172.95" customHeight="1" x14ac:dyDescent="0.3">
      <c r="A1177" s="6" t="str">
        <f>IF(ISNA(MATCH(1164,Engine!$C$2:$C$1199,0)),"",INDEX('Compliance Database'!$A$2:$A$1199,MATCH(1164,Engine!$C$2:$C$1199,0)))</f>
        <v/>
      </c>
      <c r="B1177" s="6" t="str">
        <f>IF(ISNA(MATCH(1164,Engine!$C$2:$C$1199,0)),"",INDEX('Compliance Database'!$B$2:$B$1199,MATCH(1164,Engine!$C$2:$C$1199,0)))</f>
        <v/>
      </c>
      <c r="C1177" s="6" t="str">
        <f>IF(ISNA(MATCH(1164,Engine!$C$2:$C$1199,0)),"",INDEX('Compliance Database'!$C$2:$C$1199,MATCH(1164,Engine!$C$2:$C$1199,0)))</f>
        <v/>
      </c>
      <c r="D1177" s="7" t="str">
        <f>IF(ISNA(MATCH(1164,Engine!$C$2:$C$1199,0)),"",INDEX('Compliance Database'!$D$2:$D$1199,MATCH(1164,Engine!$C$2:$C$1199,0)))</f>
        <v/>
      </c>
      <c r="E1177" s="6" t="str">
        <f>IF(ISNA(MATCH(1164,Engine!$C$2:$C$1199,0)),"",INDEX('Compliance Database'!$E$2:$E$1199,MATCH(1164,Engine!$C$2:$C$1199,0)))</f>
        <v/>
      </c>
      <c r="F1177" s="6" t="str">
        <f>IF(ISNA(MATCH(1164,Engine!$C$2:$C$1199,0)),"",INDEX('Compliance Database'!$F$2:$F$1199,MATCH(1164,Engine!$C$2:$C$1199,0)))</f>
        <v/>
      </c>
      <c r="G1177" s="6" t="str">
        <f>IF(ISNA(MATCH(1164,Engine!$C$2:$C$1199,0)),"",INDEX('Compliance Database'!$G$2:$G$1199,MATCH(1164,Engine!$C$2:$C$1199,0)))</f>
        <v/>
      </c>
      <c r="H1177" s="7" t="str">
        <f>IF(ISNA(MATCH(1164,Engine!$C$2:$C$1199,0)),"",INDEX('Compliance Database'!$H$2:$H$1199,MATCH(1164,Engine!$C$2:$C$1199,0)))</f>
        <v/>
      </c>
      <c r="I1177" s="7" t="str">
        <f>IF(ISNA(MATCH(1164,Engine!$C$2:$C$1199,0)),"",INDEX('Compliance Database'!$I$2:$I$1199,MATCH(1164,Engine!$C$2:$C$1199,0)))</f>
        <v/>
      </c>
      <c r="J1177" s="6" t="str">
        <f>IF(ISNA(MATCH(1164,Engine!$C$2:$C$1199,0)),"",INDEX('Compliance Database'!$J$2:$J$1199,MATCH(1164,Engine!$C$2:$C$1199,0)))</f>
        <v/>
      </c>
      <c r="K1177" s="7" t="str">
        <f>IF(ISNA(MATCH(1164,Engine!$C$2:$C$1199,0)),"",INDEX('Compliance Database'!$K$2:$K$1199,MATCH(1164,Engine!$C$2:$C$1199,0)))</f>
        <v/>
      </c>
      <c r="L1177" s="7" t="str">
        <f>IF(ISNA(MATCH(1164,Engine!$C$2:$C$1199,0)),"",INDEX('Compliance Database'!$L$2:$L$1199,MATCH(1164,Engine!$C$2:$C$1199,0)))</f>
        <v/>
      </c>
      <c r="M1177" s="7" t="str">
        <f>IF(ISNA(MATCH(1164,Engine!$C$2:$C$1199,0)),"",INDEX('Compliance Database'!$M$2:$M$1199,MATCH(1164,Engine!$C$2:$C$1199,0)))</f>
        <v/>
      </c>
      <c r="N1177" s="7" t="str">
        <f>IF(ISNA(MATCH(1164,Engine!$C$2:$C$1199,0)),"",INDEX('Compliance Database'!$N$2:$N$1199,MATCH(1164,Engine!$C$2:$C$1199,0)))</f>
        <v/>
      </c>
      <c r="O1177" s="7" t="str">
        <f>IF(ISNA(MATCH(1164,Engine!$C$2:$C$1199,0)),"",INDEX('Compliance Database'!$O$2:$O$1199,MATCH(1164,Engine!$C$2:$C$1199,0)))</f>
        <v/>
      </c>
      <c r="P1177" s="6" t="str">
        <f>IF(ISNA(MATCH(1164,Engine!$C$2:$C$1199,0)),"",HYPERLINK("#Acts!A"&amp;INDEX('Compliance Database'!$P$2:$P$1199,MATCH(1164,Engine!$C$2:$C$1199,0)),"Go to Act"))</f>
        <v/>
      </c>
    </row>
    <row r="1178" spans="1:16" ht="172.95" customHeight="1" x14ac:dyDescent="0.3">
      <c r="A1178" s="6" t="str">
        <f>IF(ISNA(MATCH(1165,Engine!$C$2:$C$1199,0)),"",INDEX('Compliance Database'!$A$2:$A$1199,MATCH(1165,Engine!$C$2:$C$1199,0)))</f>
        <v/>
      </c>
      <c r="B1178" s="6" t="str">
        <f>IF(ISNA(MATCH(1165,Engine!$C$2:$C$1199,0)),"",INDEX('Compliance Database'!$B$2:$B$1199,MATCH(1165,Engine!$C$2:$C$1199,0)))</f>
        <v/>
      </c>
      <c r="C1178" s="6" t="str">
        <f>IF(ISNA(MATCH(1165,Engine!$C$2:$C$1199,0)),"",INDEX('Compliance Database'!$C$2:$C$1199,MATCH(1165,Engine!$C$2:$C$1199,0)))</f>
        <v/>
      </c>
      <c r="D1178" s="7" t="str">
        <f>IF(ISNA(MATCH(1165,Engine!$C$2:$C$1199,0)),"",INDEX('Compliance Database'!$D$2:$D$1199,MATCH(1165,Engine!$C$2:$C$1199,0)))</f>
        <v/>
      </c>
      <c r="E1178" s="6" t="str">
        <f>IF(ISNA(MATCH(1165,Engine!$C$2:$C$1199,0)),"",INDEX('Compliance Database'!$E$2:$E$1199,MATCH(1165,Engine!$C$2:$C$1199,0)))</f>
        <v/>
      </c>
      <c r="F1178" s="6" t="str">
        <f>IF(ISNA(MATCH(1165,Engine!$C$2:$C$1199,0)),"",INDEX('Compliance Database'!$F$2:$F$1199,MATCH(1165,Engine!$C$2:$C$1199,0)))</f>
        <v/>
      </c>
      <c r="G1178" s="6" t="str">
        <f>IF(ISNA(MATCH(1165,Engine!$C$2:$C$1199,0)),"",INDEX('Compliance Database'!$G$2:$G$1199,MATCH(1165,Engine!$C$2:$C$1199,0)))</f>
        <v/>
      </c>
      <c r="H1178" s="7" t="str">
        <f>IF(ISNA(MATCH(1165,Engine!$C$2:$C$1199,0)),"",INDEX('Compliance Database'!$H$2:$H$1199,MATCH(1165,Engine!$C$2:$C$1199,0)))</f>
        <v/>
      </c>
      <c r="I1178" s="7" t="str">
        <f>IF(ISNA(MATCH(1165,Engine!$C$2:$C$1199,0)),"",INDEX('Compliance Database'!$I$2:$I$1199,MATCH(1165,Engine!$C$2:$C$1199,0)))</f>
        <v/>
      </c>
      <c r="J1178" s="6" t="str">
        <f>IF(ISNA(MATCH(1165,Engine!$C$2:$C$1199,0)),"",INDEX('Compliance Database'!$J$2:$J$1199,MATCH(1165,Engine!$C$2:$C$1199,0)))</f>
        <v/>
      </c>
      <c r="K1178" s="7" t="str">
        <f>IF(ISNA(MATCH(1165,Engine!$C$2:$C$1199,0)),"",INDEX('Compliance Database'!$K$2:$K$1199,MATCH(1165,Engine!$C$2:$C$1199,0)))</f>
        <v/>
      </c>
      <c r="L1178" s="7" t="str">
        <f>IF(ISNA(MATCH(1165,Engine!$C$2:$C$1199,0)),"",INDEX('Compliance Database'!$L$2:$L$1199,MATCH(1165,Engine!$C$2:$C$1199,0)))</f>
        <v/>
      </c>
      <c r="M1178" s="7" t="str">
        <f>IF(ISNA(MATCH(1165,Engine!$C$2:$C$1199,0)),"",INDEX('Compliance Database'!$M$2:$M$1199,MATCH(1165,Engine!$C$2:$C$1199,0)))</f>
        <v/>
      </c>
      <c r="N1178" s="7" t="str">
        <f>IF(ISNA(MATCH(1165,Engine!$C$2:$C$1199,0)),"",INDEX('Compliance Database'!$N$2:$N$1199,MATCH(1165,Engine!$C$2:$C$1199,0)))</f>
        <v/>
      </c>
      <c r="O1178" s="7" t="str">
        <f>IF(ISNA(MATCH(1165,Engine!$C$2:$C$1199,0)),"",INDEX('Compliance Database'!$O$2:$O$1199,MATCH(1165,Engine!$C$2:$C$1199,0)))</f>
        <v/>
      </c>
      <c r="P1178" s="6" t="str">
        <f>IF(ISNA(MATCH(1165,Engine!$C$2:$C$1199,0)),"",HYPERLINK("#Acts!A"&amp;INDEX('Compliance Database'!$P$2:$P$1199,MATCH(1165,Engine!$C$2:$C$1199,0)),"Go to Act"))</f>
        <v/>
      </c>
    </row>
    <row r="1179" spans="1:16" ht="172.95" customHeight="1" x14ac:dyDescent="0.3">
      <c r="A1179" s="6" t="str">
        <f>IF(ISNA(MATCH(1166,Engine!$C$2:$C$1199,0)),"",INDEX('Compliance Database'!$A$2:$A$1199,MATCH(1166,Engine!$C$2:$C$1199,0)))</f>
        <v/>
      </c>
      <c r="B1179" s="6" t="str">
        <f>IF(ISNA(MATCH(1166,Engine!$C$2:$C$1199,0)),"",INDEX('Compliance Database'!$B$2:$B$1199,MATCH(1166,Engine!$C$2:$C$1199,0)))</f>
        <v/>
      </c>
      <c r="C1179" s="6" t="str">
        <f>IF(ISNA(MATCH(1166,Engine!$C$2:$C$1199,0)),"",INDEX('Compliance Database'!$C$2:$C$1199,MATCH(1166,Engine!$C$2:$C$1199,0)))</f>
        <v/>
      </c>
      <c r="D1179" s="7" t="str">
        <f>IF(ISNA(MATCH(1166,Engine!$C$2:$C$1199,0)),"",INDEX('Compliance Database'!$D$2:$D$1199,MATCH(1166,Engine!$C$2:$C$1199,0)))</f>
        <v/>
      </c>
      <c r="E1179" s="6" t="str">
        <f>IF(ISNA(MATCH(1166,Engine!$C$2:$C$1199,0)),"",INDEX('Compliance Database'!$E$2:$E$1199,MATCH(1166,Engine!$C$2:$C$1199,0)))</f>
        <v/>
      </c>
      <c r="F1179" s="6" t="str">
        <f>IF(ISNA(MATCH(1166,Engine!$C$2:$C$1199,0)),"",INDEX('Compliance Database'!$F$2:$F$1199,MATCH(1166,Engine!$C$2:$C$1199,0)))</f>
        <v/>
      </c>
      <c r="G1179" s="6" t="str">
        <f>IF(ISNA(MATCH(1166,Engine!$C$2:$C$1199,0)),"",INDEX('Compliance Database'!$G$2:$G$1199,MATCH(1166,Engine!$C$2:$C$1199,0)))</f>
        <v/>
      </c>
      <c r="H1179" s="7" t="str">
        <f>IF(ISNA(MATCH(1166,Engine!$C$2:$C$1199,0)),"",INDEX('Compliance Database'!$H$2:$H$1199,MATCH(1166,Engine!$C$2:$C$1199,0)))</f>
        <v/>
      </c>
      <c r="I1179" s="7" t="str">
        <f>IF(ISNA(MATCH(1166,Engine!$C$2:$C$1199,0)),"",INDEX('Compliance Database'!$I$2:$I$1199,MATCH(1166,Engine!$C$2:$C$1199,0)))</f>
        <v/>
      </c>
      <c r="J1179" s="6" t="str">
        <f>IF(ISNA(MATCH(1166,Engine!$C$2:$C$1199,0)),"",INDEX('Compliance Database'!$J$2:$J$1199,MATCH(1166,Engine!$C$2:$C$1199,0)))</f>
        <v/>
      </c>
      <c r="K1179" s="7" t="str">
        <f>IF(ISNA(MATCH(1166,Engine!$C$2:$C$1199,0)),"",INDEX('Compliance Database'!$K$2:$K$1199,MATCH(1166,Engine!$C$2:$C$1199,0)))</f>
        <v/>
      </c>
      <c r="L1179" s="7" t="str">
        <f>IF(ISNA(MATCH(1166,Engine!$C$2:$C$1199,0)),"",INDEX('Compliance Database'!$L$2:$L$1199,MATCH(1166,Engine!$C$2:$C$1199,0)))</f>
        <v/>
      </c>
      <c r="M1179" s="7" t="str">
        <f>IF(ISNA(MATCH(1166,Engine!$C$2:$C$1199,0)),"",INDEX('Compliance Database'!$M$2:$M$1199,MATCH(1166,Engine!$C$2:$C$1199,0)))</f>
        <v/>
      </c>
      <c r="N1179" s="7" t="str">
        <f>IF(ISNA(MATCH(1166,Engine!$C$2:$C$1199,0)),"",INDEX('Compliance Database'!$N$2:$N$1199,MATCH(1166,Engine!$C$2:$C$1199,0)))</f>
        <v/>
      </c>
      <c r="O1179" s="7" t="str">
        <f>IF(ISNA(MATCH(1166,Engine!$C$2:$C$1199,0)),"",INDEX('Compliance Database'!$O$2:$O$1199,MATCH(1166,Engine!$C$2:$C$1199,0)))</f>
        <v/>
      </c>
      <c r="P1179" s="6" t="str">
        <f>IF(ISNA(MATCH(1166,Engine!$C$2:$C$1199,0)),"",HYPERLINK("#Acts!A"&amp;INDEX('Compliance Database'!$P$2:$P$1199,MATCH(1166,Engine!$C$2:$C$1199,0)),"Go to Act"))</f>
        <v/>
      </c>
    </row>
    <row r="1180" spans="1:16" ht="172.95" customHeight="1" x14ac:dyDescent="0.3">
      <c r="A1180" s="6" t="str">
        <f>IF(ISNA(MATCH(1167,Engine!$C$2:$C$1199,0)),"",INDEX('Compliance Database'!$A$2:$A$1199,MATCH(1167,Engine!$C$2:$C$1199,0)))</f>
        <v/>
      </c>
      <c r="B1180" s="6" t="str">
        <f>IF(ISNA(MATCH(1167,Engine!$C$2:$C$1199,0)),"",INDEX('Compliance Database'!$B$2:$B$1199,MATCH(1167,Engine!$C$2:$C$1199,0)))</f>
        <v/>
      </c>
      <c r="C1180" s="6" t="str">
        <f>IF(ISNA(MATCH(1167,Engine!$C$2:$C$1199,0)),"",INDEX('Compliance Database'!$C$2:$C$1199,MATCH(1167,Engine!$C$2:$C$1199,0)))</f>
        <v/>
      </c>
      <c r="D1180" s="7" t="str">
        <f>IF(ISNA(MATCH(1167,Engine!$C$2:$C$1199,0)),"",INDEX('Compliance Database'!$D$2:$D$1199,MATCH(1167,Engine!$C$2:$C$1199,0)))</f>
        <v/>
      </c>
      <c r="E1180" s="6" t="str">
        <f>IF(ISNA(MATCH(1167,Engine!$C$2:$C$1199,0)),"",INDEX('Compliance Database'!$E$2:$E$1199,MATCH(1167,Engine!$C$2:$C$1199,0)))</f>
        <v/>
      </c>
      <c r="F1180" s="6" t="str">
        <f>IF(ISNA(MATCH(1167,Engine!$C$2:$C$1199,0)),"",INDEX('Compliance Database'!$F$2:$F$1199,MATCH(1167,Engine!$C$2:$C$1199,0)))</f>
        <v/>
      </c>
      <c r="G1180" s="6" t="str">
        <f>IF(ISNA(MATCH(1167,Engine!$C$2:$C$1199,0)),"",INDEX('Compliance Database'!$G$2:$G$1199,MATCH(1167,Engine!$C$2:$C$1199,0)))</f>
        <v/>
      </c>
      <c r="H1180" s="7" t="str">
        <f>IF(ISNA(MATCH(1167,Engine!$C$2:$C$1199,0)),"",INDEX('Compliance Database'!$H$2:$H$1199,MATCH(1167,Engine!$C$2:$C$1199,0)))</f>
        <v/>
      </c>
      <c r="I1180" s="7" t="str">
        <f>IF(ISNA(MATCH(1167,Engine!$C$2:$C$1199,0)),"",INDEX('Compliance Database'!$I$2:$I$1199,MATCH(1167,Engine!$C$2:$C$1199,0)))</f>
        <v/>
      </c>
      <c r="J1180" s="6" t="str">
        <f>IF(ISNA(MATCH(1167,Engine!$C$2:$C$1199,0)),"",INDEX('Compliance Database'!$J$2:$J$1199,MATCH(1167,Engine!$C$2:$C$1199,0)))</f>
        <v/>
      </c>
      <c r="K1180" s="7" t="str">
        <f>IF(ISNA(MATCH(1167,Engine!$C$2:$C$1199,0)),"",INDEX('Compliance Database'!$K$2:$K$1199,MATCH(1167,Engine!$C$2:$C$1199,0)))</f>
        <v/>
      </c>
      <c r="L1180" s="7" t="str">
        <f>IF(ISNA(MATCH(1167,Engine!$C$2:$C$1199,0)),"",INDEX('Compliance Database'!$L$2:$L$1199,MATCH(1167,Engine!$C$2:$C$1199,0)))</f>
        <v/>
      </c>
      <c r="M1180" s="7" t="str">
        <f>IF(ISNA(MATCH(1167,Engine!$C$2:$C$1199,0)),"",INDEX('Compliance Database'!$M$2:$M$1199,MATCH(1167,Engine!$C$2:$C$1199,0)))</f>
        <v/>
      </c>
      <c r="N1180" s="7" t="str">
        <f>IF(ISNA(MATCH(1167,Engine!$C$2:$C$1199,0)),"",INDEX('Compliance Database'!$N$2:$N$1199,MATCH(1167,Engine!$C$2:$C$1199,0)))</f>
        <v/>
      </c>
      <c r="O1180" s="7" t="str">
        <f>IF(ISNA(MATCH(1167,Engine!$C$2:$C$1199,0)),"",INDEX('Compliance Database'!$O$2:$O$1199,MATCH(1167,Engine!$C$2:$C$1199,0)))</f>
        <v/>
      </c>
      <c r="P1180" s="6" t="str">
        <f>IF(ISNA(MATCH(1167,Engine!$C$2:$C$1199,0)),"",HYPERLINK("#Acts!A"&amp;INDEX('Compliance Database'!$P$2:$P$1199,MATCH(1167,Engine!$C$2:$C$1199,0)),"Go to Act"))</f>
        <v/>
      </c>
    </row>
    <row r="1181" spans="1:16" ht="172.95" customHeight="1" x14ac:dyDescent="0.3">
      <c r="A1181" s="6" t="str">
        <f>IF(ISNA(MATCH(1168,Engine!$C$2:$C$1199,0)),"",INDEX('Compliance Database'!$A$2:$A$1199,MATCH(1168,Engine!$C$2:$C$1199,0)))</f>
        <v/>
      </c>
      <c r="B1181" s="6" t="str">
        <f>IF(ISNA(MATCH(1168,Engine!$C$2:$C$1199,0)),"",INDEX('Compliance Database'!$B$2:$B$1199,MATCH(1168,Engine!$C$2:$C$1199,0)))</f>
        <v/>
      </c>
      <c r="C1181" s="6" t="str">
        <f>IF(ISNA(MATCH(1168,Engine!$C$2:$C$1199,0)),"",INDEX('Compliance Database'!$C$2:$C$1199,MATCH(1168,Engine!$C$2:$C$1199,0)))</f>
        <v/>
      </c>
      <c r="D1181" s="7" t="str">
        <f>IF(ISNA(MATCH(1168,Engine!$C$2:$C$1199,0)),"",INDEX('Compliance Database'!$D$2:$D$1199,MATCH(1168,Engine!$C$2:$C$1199,0)))</f>
        <v/>
      </c>
      <c r="E1181" s="6" t="str">
        <f>IF(ISNA(MATCH(1168,Engine!$C$2:$C$1199,0)),"",INDEX('Compliance Database'!$E$2:$E$1199,MATCH(1168,Engine!$C$2:$C$1199,0)))</f>
        <v/>
      </c>
      <c r="F1181" s="6" t="str">
        <f>IF(ISNA(MATCH(1168,Engine!$C$2:$C$1199,0)),"",INDEX('Compliance Database'!$F$2:$F$1199,MATCH(1168,Engine!$C$2:$C$1199,0)))</f>
        <v/>
      </c>
      <c r="G1181" s="6" t="str">
        <f>IF(ISNA(MATCH(1168,Engine!$C$2:$C$1199,0)),"",INDEX('Compliance Database'!$G$2:$G$1199,MATCH(1168,Engine!$C$2:$C$1199,0)))</f>
        <v/>
      </c>
      <c r="H1181" s="7" t="str">
        <f>IF(ISNA(MATCH(1168,Engine!$C$2:$C$1199,0)),"",INDEX('Compliance Database'!$H$2:$H$1199,MATCH(1168,Engine!$C$2:$C$1199,0)))</f>
        <v/>
      </c>
      <c r="I1181" s="7" t="str">
        <f>IF(ISNA(MATCH(1168,Engine!$C$2:$C$1199,0)),"",INDEX('Compliance Database'!$I$2:$I$1199,MATCH(1168,Engine!$C$2:$C$1199,0)))</f>
        <v/>
      </c>
      <c r="J1181" s="6" t="str">
        <f>IF(ISNA(MATCH(1168,Engine!$C$2:$C$1199,0)),"",INDEX('Compliance Database'!$J$2:$J$1199,MATCH(1168,Engine!$C$2:$C$1199,0)))</f>
        <v/>
      </c>
      <c r="K1181" s="7" t="str">
        <f>IF(ISNA(MATCH(1168,Engine!$C$2:$C$1199,0)),"",INDEX('Compliance Database'!$K$2:$K$1199,MATCH(1168,Engine!$C$2:$C$1199,0)))</f>
        <v/>
      </c>
      <c r="L1181" s="7" t="str">
        <f>IF(ISNA(MATCH(1168,Engine!$C$2:$C$1199,0)),"",INDEX('Compliance Database'!$L$2:$L$1199,MATCH(1168,Engine!$C$2:$C$1199,0)))</f>
        <v/>
      </c>
      <c r="M1181" s="7" t="str">
        <f>IF(ISNA(MATCH(1168,Engine!$C$2:$C$1199,0)),"",INDEX('Compliance Database'!$M$2:$M$1199,MATCH(1168,Engine!$C$2:$C$1199,0)))</f>
        <v/>
      </c>
      <c r="N1181" s="7" t="str">
        <f>IF(ISNA(MATCH(1168,Engine!$C$2:$C$1199,0)),"",INDEX('Compliance Database'!$N$2:$N$1199,MATCH(1168,Engine!$C$2:$C$1199,0)))</f>
        <v/>
      </c>
      <c r="O1181" s="7" t="str">
        <f>IF(ISNA(MATCH(1168,Engine!$C$2:$C$1199,0)),"",INDEX('Compliance Database'!$O$2:$O$1199,MATCH(1168,Engine!$C$2:$C$1199,0)))</f>
        <v/>
      </c>
      <c r="P1181" s="6" t="str">
        <f>IF(ISNA(MATCH(1168,Engine!$C$2:$C$1199,0)),"",HYPERLINK("#Acts!A"&amp;INDEX('Compliance Database'!$P$2:$P$1199,MATCH(1168,Engine!$C$2:$C$1199,0)),"Go to Act"))</f>
        <v/>
      </c>
    </row>
    <row r="1182" spans="1:16" ht="172.95" customHeight="1" x14ac:dyDescent="0.3">
      <c r="A1182" s="6" t="str">
        <f>IF(ISNA(MATCH(1169,Engine!$C$2:$C$1199,0)),"",INDEX('Compliance Database'!$A$2:$A$1199,MATCH(1169,Engine!$C$2:$C$1199,0)))</f>
        <v/>
      </c>
      <c r="B1182" s="6" t="str">
        <f>IF(ISNA(MATCH(1169,Engine!$C$2:$C$1199,0)),"",INDEX('Compliance Database'!$B$2:$B$1199,MATCH(1169,Engine!$C$2:$C$1199,0)))</f>
        <v/>
      </c>
      <c r="C1182" s="6" t="str">
        <f>IF(ISNA(MATCH(1169,Engine!$C$2:$C$1199,0)),"",INDEX('Compliance Database'!$C$2:$C$1199,MATCH(1169,Engine!$C$2:$C$1199,0)))</f>
        <v/>
      </c>
      <c r="D1182" s="7" t="str">
        <f>IF(ISNA(MATCH(1169,Engine!$C$2:$C$1199,0)),"",INDEX('Compliance Database'!$D$2:$D$1199,MATCH(1169,Engine!$C$2:$C$1199,0)))</f>
        <v/>
      </c>
      <c r="E1182" s="6" t="str">
        <f>IF(ISNA(MATCH(1169,Engine!$C$2:$C$1199,0)),"",INDEX('Compliance Database'!$E$2:$E$1199,MATCH(1169,Engine!$C$2:$C$1199,0)))</f>
        <v/>
      </c>
      <c r="F1182" s="6" t="str">
        <f>IF(ISNA(MATCH(1169,Engine!$C$2:$C$1199,0)),"",INDEX('Compliance Database'!$F$2:$F$1199,MATCH(1169,Engine!$C$2:$C$1199,0)))</f>
        <v/>
      </c>
      <c r="G1182" s="6" t="str">
        <f>IF(ISNA(MATCH(1169,Engine!$C$2:$C$1199,0)),"",INDEX('Compliance Database'!$G$2:$G$1199,MATCH(1169,Engine!$C$2:$C$1199,0)))</f>
        <v/>
      </c>
      <c r="H1182" s="7" t="str">
        <f>IF(ISNA(MATCH(1169,Engine!$C$2:$C$1199,0)),"",INDEX('Compliance Database'!$H$2:$H$1199,MATCH(1169,Engine!$C$2:$C$1199,0)))</f>
        <v/>
      </c>
      <c r="I1182" s="7" t="str">
        <f>IF(ISNA(MATCH(1169,Engine!$C$2:$C$1199,0)),"",INDEX('Compliance Database'!$I$2:$I$1199,MATCH(1169,Engine!$C$2:$C$1199,0)))</f>
        <v/>
      </c>
      <c r="J1182" s="6" t="str">
        <f>IF(ISNA(MATCH(1169,Engine!$C$2:$C$1199,0)),"",INDEX('Compliance Database'!$J$2:$J$1199,MATCH(1169,Engine!$C$2:$C$1199,0)))</f>
        <v/>
      </c>
      <c r="K1182" s="7" t="str">
        <f>IF(ISNA(MATCH(1169,Engine!$C$2:$C$1199,0)),"",INDEX('Compliance Database'!$K$2:$K$1199,MATCH(1169,Engine!$C$2:$C$1199,0)))</f>
        <v/>
      </c>
      <c r="L1182" s="7" t="str">
        <f>IF(ISNA(MATCH(1169,Engine!$C$2:$C$1199,0)),"",INDEX('Compliance Database'!$L$2:$L$1199,MATCH(1169,Engine!$C$2:$C$1199,0)))</f>
        <v/>
      </c>
      <c r="M1182" s="7" t="str">
        <f>IF(ISNA(MATCH(1169,Engine!$C$2:$C$1199,0)),"",INDEX('Compliance Database'!$M$2:$M$1199,MATCH(1169,Engine!$C$2:$C$1199,0)))</f>
        <v/>
      </c>
      <c r="N1182" s="7" t="str">
        <f>IF(ISNA(MATCH(1169,Engine!$C$2:$C$1199,0)),"",INDEX('Compliance Database'!$N$2:$N$1199,MATCH(1169,Engine!$C$2:$C$1199,0)))</f>
        <v/>
      </c>
      <c r="O1182" s="7" t="str">
        <f>IF(ISNA(MATCH(1169,Engine!$C$2:$C$1199,0)),"",INDEX('Compliance Database'!$O$2:$O$1199,MATCH(1169,Engine!$C$2:$C$1199,0)))</f>
        <v/>
      </c>
      <c r="P1182" s="6" t="str">
        <f>IF(ISNA(MATCH(1169,Engine!$C$2:$C$1199,0)),"",HYPERLINK("#Acts!A"&amp;INDEX('Compliance Database'!$P$2:$P$1199,MATCH(1169,Engine!$C$2:$C$1199,0)),"Go to Act"))</f>
        <v/>
      </c>
    </row>
    <row r="1183" spans="1:16" ht="172.95" customHeight="1" x14ac:dyDescent="0.3">
      <c r="A1183" s="6" t="str">
        <f>IF(ISNA(MATCH(1170,Engine!$C$2:$C$1199,0)),"",INDEX('Compliance Database'!$A$2:$A$1199,MATCH(1170,Engine!$C$2:$C$1199,0)))</f>
        <v/>
      </c>
      <c r="B1183" s="6" t="str">
        <f>IF(ISNA(MATCH(1170,Engine!$C$2:$C$1199,0)),"",INDEX('Compliance Database'!$B$2:$B$1199,MATCH(1170,Engine!$C$2:$C$1199,0)))</f>
        <v/>
      </c>
      <c r="C1183" s="6" t="str">
        <f>IF(ISNA(MATCH(1170,Engine!$C$2:$C$1199,0)),"",INDEX('Compliance Database'!$C$2:$C$1199,MATCH(1170,Engine!$C$2:$C$1199,0)))</f>
        <v/>
      </c>
      <c r="D1183" s="7" t="str">
        <f>IF(ISNA(MATCH(1170,Engine!$C$2:$C$1199,0)),"",INDEX('Compliance Database'!$D$2:$D$1199,MATCH(1170,Engine!$C$2:$C$1199,0)))</f>
        <v/>
      </c>
      <c r="E1183" s="6" t="str">
        <f>IF(ISNA(MATCH(1170,Engine!$C$2:$C$1199,0)),"",INDEX('Compliance Database'!$E$2:$E$1199,MATCH(1170,Engine!$C$2:$C$1199,0)))</f>
        <v/>
      </c>
      <c r="F1183" s="6" t="str">
        <f>IF(ISNA(MATCH(1170,Engine!$C$2:$C$1199,0)),"",INDEX('Compliance Database'!$F$2:$F$1199,MATCH(1170,Engine!$C$2:$C$1199,0)))</f>
        <v/>
      </c>
      <c r="G1183" s="6" t="str">
        <f>IF(ISNA(MATCH(1170,Engine!$C$2:$C$1199,0)),"",INDEX('Compliance Database'!$G$2:$G$1199,MATCH(1170,Engine!$C$2:$C$1199,0)))</f>
        <v/>
      </c>
      <c r="H1183" s="7" t="str">
        <f>IF(ISNA(MATCH(1170,Engine!$C$2:$C$1199,0)),"",INDEX('Compliance Database'!$H$2:$H$1199,MATCH(1170,Engine!$C$2:$C$1199,0)))</f>
        <v/>
      </c>
      <c r="I1183" s="7" t="str">
        <f>IF(ISNA(MATCH(1170,Engine!$C$2:$C$1199,0)),"",INDEX('Compliance Database'!$I$2:$I$1199,MATCH(1170,Engine!$C$2:$C$1199,0)))</f>
        <v/>
      </c>
      <c r="J1183" s="6" t="str">
        <f>IF(ISNA(MATCH(1170,Engine!$C$2:$C$1199,0)),"",INDEX('Compliance Database'!$J$2:$J$1199,MATCH(1170,Engine!$C$2:$C$1199,0)))</f>
        <v/>
      </c>
      <c r="K1183" s="7" t="str">
        <f>IF(ISNA(MATCH(1170,Engine!$C$2:$C$1199,0)),"",INDEX('Compliance Database'!$K$2:$K$1199,MATCH(1170,Engine!$C$2:$C$1199,0)))</f>
        <v/>
      </c>
      <c r="L1183" s="7" t="str">
        <f>IF(ISNA(MATCH(1170,Engine!$C$2:$C$1199,0)),"",INDEX('Compliance Database'!$L$2:$L$1199,MATCH(1170,Engine!$C$2:$C$1199,0)))</f>
        <v/>
      </c>
      <c r="M1183" s="7" t="str">
        <f>IF(ISNA(MATCH(1170,Engine!$C$2:$C$1199,0)),"",INDEX('Compliance Database'!$M$2:$M$1199,MATCH(1170,Engine!$C$2:$C$1199,0)))</f>
        <v/>
      </c>
      <c r="N1183" s="7" t="str">
        <f>IF(ISNA(MATCH(1170,Engine!$C$2:$C$1199,0)),"",INDEX('Compliance Database'!$N$2:$N$1199,MATCH(1170,Engine!$C$2:$C$1199,0)))</f>
        <v/>
      </c>
      <c r="O1183" s="7" t="str">
        <f>IF(ISNA(MATCH(1170,Engine!$C$2:$C$1199,0)),"",INDEX('Compliance Database'!$O$2:$O$1199,MATCH(1170,Engine!$C$2:$C$1199,0)))</f>
        <v/>
      </c>
      <c r="P1183" s="6" t="str">
        <f>IF(ISNA(MATCH(1170,Engine!$C$2:$C$1199,0)),"",HYPERLINK("#Acts!A"&amp;INDEX('Compliance Database'!$P$2:$P$1199,MATCH(1170,Engine!$C$2:$C$1199,0)),"Go to Act"))</f>
        <v/>
      </c>
    </row>
    <row r="1184" spans="1:16" ht="172.95" customHeight="1" x14ac:dyDescent="0.3">
      <c r="A1184" s="6" t="str">
        <f>IF(ISNA(MATCH(1171,Engine!$C$2:$C$1199,0)),"",INDEX('Compliance Database'!$A$2:$A$1199,MATCH(1171,Engine!$C$2:$C$1199,0)))</f>
        <v/>
      </c>
      <c r="B1184" s="6" t="str">
        <f>IF(ISNA(MATCH(1171,Engine!$C$2:$C$1199,0)),"",INDEX('Compliance Database'!$B$2:$B$1199,MATCH(1171,Engine!$C$2:$C$1199,0)))</f>
        <v/>
      </c>
      <c r="C1184" s="6" t="str">
        <f>IF(ISNA(MATCH(1171,Engine!$C$2:$C$1199,0)),"",INDEX('Compliance Database'!$C$2:$C$1199,MATCH(1171,Engine!$C$2:$C$1199,0)))</f>
        <v/>
      </c>
      <c r="D1184" s="7" t="str">
        <f>IF(ISNA(MATCH(1171,Engine!$C$2:$C$1199,0)),"",INDEX('Compliance Database'!$D$2:$D$1199,MATCH(1171,Engine!$C$2:$C$1199,0)))</f>
        <v/>
      </c>
      <c r="E1184" s="6" t="str">
        <f>IF(ISNA(MATCH(1171,Engine!$C$2:$C$1199,0)),"",INDEX('Compliance Database'!$E$2:$E$1199,MATCH(1171,Engine!$C$2:$C$1199,0)))</f>
        <v/>
      </c>
      <c r="F1184" s="6" t="str">
        <f>IF(ISNA(MATCH(1171,Engine!$C$2:$C$1199,0)),"",INDEX('Compliance Database'!$F$2:$F$1199,MATCH(1171,Engine!$C$2:$C$1199,0)))</f>
        <v/>
      </c>
      <c r="G1184" s="6" t="str">
        <f>IF(ISNA(MATCH(1171,Engine!$C$2:$C$1199,0)),"",INDEX('Compliance Database'!$G$2:$G$1199,MATCH(1171,Engine!$C$2:$C$1199,0)))</f>
        <v/>
      </c>
      <c r="H1184" s="7" t="str">
        <f>IF(ISNA(MATCH(1171,Engine!$C$2:$C$1199,0)),"",INDEX('Compliance Database'!$H$2:$H$1199,MATCH(1171,Engine!$C$2:$C$1199,0)))</f>
        <v/>
      </c>
      <c r="I1184" s="7" t="str">
        <f>IF(ISNA(MATCH(1171,Engine!$C$2:$C$1199,0)),"",INDEX('Compliance Database'!$I$2:$I$1199,MATCH(1171,Engine!$C$2:$C$1199,0)))</f>
        <v/>
      </c>
      <c r="J1184" s="6" t="str">
        <f>IF(ISNA(MATCH(1171,Engine!$C$2:$C$1199,0)),"",INDEX('Compliance Database'!$J$2:$J$1199,MATCH(1171,Engine!$C$2:$C$1199,0)))</f>
        <v/>
      </c>
      <c r="K1184" s="7" t="str">
        <f>IF(ISNA(MATCH(1171,Engine!$C$2:$C$1199,0)),"",INDEX('Compliance Database'!$K$2:$K$1199,MATCH(1171,Engine!$C$2:$C$1199,0)))</f>
        <v/>
      </c>
      <c r="L1184" s="7" t="str">
        <f>IF(ISNA(MATCH(1171,Engine!$C$2:$C$1199,0)),"",INDEX('Compliance Database'!$L$2:$L$1199,MATCH(1171,Engine!$C$2:$C$1199,0)))</f>
        <v/>
      </c>
      <c r="M1184" s="7" t="str">
        <f>IF(ISNA(MATCH(1171,Engine!$C$2:$C$1199,0)),"",INDEX('Compliance Database'!$M$2:$M$1199,MATCH(1171,Engine!$C$2:$C$1199,0)))</f>
        <v/>
      </c>
      <c r="N1184" s="7" t="str">
        <f>IF(ISNA(MATCH(1171,Engine!$C$2:$C$1199,0)),"",INDEX('Compliance Database'!$N$2:$N$1199,MATCH(1171,Engine!$C$2:$C$1199,0)))</f>
        <v/>
      </c>
      <c r="O1184" s="7" t="str">
        <f>IF(ISNA(MATCH(1171,Engine!$C$2:$C$1199,0)),"",INDEX('Compliance Database'!$O$2:$O$1199,MATCH(1171,Engine!$C$2:$C$1199,0)))</f>
        <v/>
      </c>
      <c r="P1184" s="6" t="str">
        <f>IF(ISNA(MATCH(1171,Engine!$C$2:$C$1199,0)),"",HYPERLINK("#Acts!A"&amp;INDEX('Compliance Database'!$P$2:$P$1199,MATCH(1171,Engine!$C$2:$C$1199,0)),"Go to Act"))</f>
        <v/>
      </c>
    </row>
    <row r="1185" spans="1:16" ht="172.95" customHeight="1" x14ac:dyDescent="0.3">
      <c r="A1185" s="6" t="str">
        <f>IF(ISNA(MATCH(1172,Engine!$C$2:$C$1199,0)),"",INDEX('Compliance Database'!$A$2:$A$1199,MATCH(1172,Engine!$C$2:$C$1199,0)))</f>
        <v/>
      </c>
      <c r="B1185" s="6" t="str">
        <f>IF(ISNA(MATCH(1172,Engine!$C$2:$C$1199,0)),"",INDEX('Compliance Database'!$B$2:$B$1199,MATCH(1172,Engine!$C$2:$C$1199,0)))</f>
        <v/>
      </c>
      <c r="C1185" s="6" t="str">
        <f>IF(ISNA(MATCH(1172,Engine!$C$2:$C$1199,0)),"",INDEX('Compliance Database'!$C$2:$C$1199,MATCH(1172,Engine!$C$2:$C$1199,0)))</f>
        <v/>
      </c>
      <c r="D1185" s="7" t="str">
        <f>IF(ISNA(MATCH(1172,Engine!$C$2:$C$1199,0)),"",INDEX('Compliance Database'!$D$2:$D$1199,MATCH(1172,Engine!$C$2:$C$1199,0)))</f>
        <v/>
      </c>
      <c r="E1185" s="6" t="str">
        <f>IF(ISNA(MATCH(1172,Engine!$C$2:$C$1199,0)),"",INDEX('Compliance Database'!$E$2:$E$1199,MATCH(1172,Engine!$C$2:$C$1199,0)))</f>
        <v/>
      </c>
      <c r="F1185" s="6" t="str">
        <f>IF(ISNA(MATCH(1172,Engine!$C$2:$C$1199,0)),"",INDEX('Compliance Database'!$F$2:$F$1199,MATCH(1172,Engine!$C$2:$C$1199,0)))</f>
        <v/>
      </c>
      <c r="G1185" s="6" t="str">
        <f>IF(ISNA(MATCH(1172,Engine!$C$2:$C$1199,0)),"",INDEX('Compliance Database'!$G$2:$G$1199,MATCH(1172,Engine!$C$2:$C$1199,0)))</f>
        <v/>
      </c>
      <c r="H1185" s="7" t="str">
        <f>IF(ISNA(MATCH(1172,Engine!$C$2:$C$1199,0)),"",INDEX('Compliance Database'!$H$2:$H$1199,MATCH(1172,Engine!$C$2:$C$1199,0)))</f>
        <v/>
      </c>
      <c r="I1185" s="7" t="str">
        <f>IF(ISNA(MATCH(1172,Engine!$C$2:$C$1199,0)),"",INDEX('Compliance Database'!$I$2:$I$1199,MATCH(1172,Engine!$C$2:$C$1199,0)))</f>
        <v/>
      </c>
      <c r="J1185" s="6" t="str">
        <f>IF(ISNA(MATCH(1172,Engine!$C$2:$C$1199,0)),"",INDEX('Compliance Database'!$J$2:$J$1199,MATCH(1172,Engine!$C$2:$C$1199,0)))</f>
        <v/>
      </c>
      <c r="K1185" s="7" t="str">
        <f>IF(ISNA(MATCH(1172,Engine!$C$2:$C$1199,0)),"",INDEX('Compliance Database'!$K$2:$K$1199,MATCH(1172,Engine!$C$2:$C$1199,0)))</f>
        <v/>
      </c>
      <c r="L1185" s="7" t="str">
        <f>IF(ISNA(MATCH(1172,Engine!$C$2:$C$1199,0)),"",INDEX('Compliance Database'!$L$2:$L$1199,MATCH(1172,Engine!$C$2:$C$1199,0)))</f>
        <v/>
      </c>
      <c r="M1185" s="7" t="str">
        <f>IF(ISNA(MATCH(1172,Engine!$C$2:$C$1199,0)),"",INDEX('Compliance Database'!$M$2:$M$1199,MATCH(1172,Engine!$C$2:$C$1199,0)))</f>
        <v/>
      </c>
      <c r="N1185" s="7" t="str">
        <f>IF(ISNA(MATCH(1172,Engine!$C$2:$C$1199,0)),"",INDEX('Compliance Database'!$N$2:$N$1199,MATCH(1172,Engine!$C$2:$C$1199,0)))</f>
        <v/>
      </c>
      <c r="O1185" s="7" t="str">
        <f>IF(ISNA(MATCH(1172,Engine!$C$2:$C$1199,0)),"",INDEX('Compliance Database'!$O$2:$O$1199,MATCH(1172,Engine!$C$2:$C$1199,0)))</f>
        <v/>
      </c>
      <c r="P1185" s="6" t="str">
        <f>IF(ISNA(MATCH(1172,Engine!$C$2:$C$1199,0)),"",HYPERLINK("#Acts!A"&amp;INDEX('Compliance Database'!$P$2:$P$1199,MATCH(1172,Engine!$C$2:$C$1199,0)),"Go to Act"))</f>
        <v/>
      </c>
    </row>
    <row r="1186" spans="1:16" ht="172.95" customHeight="1" x14ac:dyDescent="0.3">
      <c r="A1186" s="6" t="str">
        <f>IF(ISNA(MATCH(1173,Engine!$C$2:$C$1199,0)),"",INDEX('Compliance Database'!$A$2:$A$1199,MATCH(1173,Engine!$C$2:$C$1199,0)))</f>
        <v/>
      </c>
      <c r="B1186" s="6" t="str">
        <f>IF(ISNA(MATCH(1173,Engine!$C$2:$C$1199,0)),"",INDEX('Compliance Database'!$B$2:$B$1199,MATCH(1173,Engine!$C$2:$C$1199,0)))</f>
        <v/>
      </c>
      <c r="C1186" s="6" t="str">
        <f>IF(ISNA(MATCH(1173,Engine!$C$2:$C$1199,0)),"",INDEX('Compliance Database'!$C$2:$C$1199,MATCH(1173,Engine!$C$2:$C$1199,0)))</f>
        <v/>
      </c>
      <c r="D1186" s="7" t="str">
        <f>IF(ISNA(MATCH(1173,Engine!$C$2:$C$1199,0)),"",INDEX('Compliance Database'!$D$2:$D$1199,MATCH(1173,Engine!$C$2:$C$1199,0)))</f>
        <v/>
      </c>
      <c r="E1186" s="6" t="str">
        <f>IF(ISNA(MATCH(1173,Engine!$C$2:$C$1199,0)),"",INDEX('Compliance Database'!$E$2:$E$1199,MATCH(1173,Engine!$C$2:$C$1199,0)))</f>
        <v/>
      </c>
      <c r="F1186" s="6" t="str">
        <f>IF(ISNA(MATCH(1173,Engine!$C$2:$C$1199,0)),"",INDEX('Compliance Database'!$F$2:$F$1199,MATCH(1173,Engine!$C$2:$C$1199,0)))</f>
        <v/>
      </c>
      <c r="G1186" s="6" t="str">
        <f>IF(ISNA(MATCH(1173,Engine!$C$2:$C$1199,0)),"",INDEX('Compliance Database'!$G$2:$G$1199,MATCH(1173,Engine!$C$2:$C$1199,0)))</f>
        <v/>
      </c>
      <c r="H1186" s="7" t="str">
        <f>IF(ISNA(MATCH(1173,Engine!$C$2:$C$1199,0)),"",INDEX('Compliance Database'!$H$2:$H$1199,MATCH(1173,Engine!$C$2:$C$1199,0)))</f>
        <v/>
      </c>
      <c r="I1186" s="7" t="str">
        <f>IF(ISNA(MATCH(1173,Engine!$C$2:$C$1199,0)),"",INDEX('Compliance Database'!$I$2:$I$1199,MATCH(1173,Engine!$C$2:$C$1199,0)))</f>
        <v/>
      </c>
      <c r="J1186" s="6" t="str">
        <f>IF(ISNA(MATCH(1173,Engine!$C$2:$C$1199,0)),"",INDEX('Compliance Database'!$J$2:$J$1199,MATCH(1173,Engine!$C$2:$C$1199,0)))</f>
        <v/>
      </c>
      <c r="K1186" s="7" t="str">
        <f>IF(ISNA(MATCH(1173,Engine!$C$2:$C$1199,0)),"",INDEX('Compliance Database'!$K$2:$K$1199,MATCH(1173,Engine!$C$2:$C$1199,0)))</f>
        <v/>
      </c>
      <c r="L1186" s="7" t="str">
        <f>IF(ISNA(MATCH(1173,Engine!$C$2:$C$1199,0)),"",INDEX('Compliance Database'!$L$2:$L$1199,MATCH(1173,Engine!$C$2:$C$1199,0)))</f>
        <v/>
      </c>
      <c r="M1186" s="7" t="str">
        <f>IF(ISNA(MATCH(1173,Engine!$C$2:$C$1199,0)),"",INDEX('Compliance Database'!$M$2:$M$1199,MATCH(1173,Engine!$C$2:$C$1199,0)))</f>
        <v/>
      </c>
      <c r="N1186" s="7" t="str">
        <f>IF(ISNA(MATCH(1173,Engine!$C$2:$C$1199,0)),"",INDEX('Compliance Database'!$N$2:$N$1199,MATCH(1173,Engine!$C$2:$C$1199,0)))</f>
        <v/>
      </c>
      <c r="O1186" s="7" t="str">
        <f>IF(ISNA(MATCH(1173,Engine!$C$2:$C$1199,0)),"",INDEX('Compliance Database'!$O$2:$O$1199,MATCH(1173,Engine!$C$2:$C$1199,0)))</f>
        <v/>
      </c>
      <c r="P1186" s="6" t="str">
        <f>IF(ISNA(MATCH(1173,Engine!$C$2:$C$1199,0)),"",HYPERLINK("#Acts!A"&amp;INDEX('Compliance Database'!$P$2:$P$1199,MATCH(1173,Engine!$C$2:$C$1199,0)),"Go to Act"))</f>
        <v/>
      </c>
    </row>
    <row r="1187" spans="1:16" ht="172.95" customHeight="1" x14ac:dyDescent="0.3">
      <c r="A1187" s="6" t="str">
        <f>IF(ISNA(MATCH(1174,Engine!$C$2:$C$1199,0)),"",INDEX('Compliance Database'!$A$2:$A$1199,MATCH(1174,Engine!$C$2:$C$1199,0)))</f>
        <v/>
      </c>
      <c r="B1187" s="6" t="str">
        <f>IF(ISNA(MATCH(1174,Engine!$C$2:$C$1199,0)),"",INDEX('Compliance Database'!$B$2:$B$1199,MATCH(1174,Engine!$C$2:$C$1199,0)))</f>
        <v/>
      </c>
      <c r="C1187" s="6" t="str">
        <f>IF(ISNA(MATCH(1174,Engine!$C$2:$C$1199,0)),"",INDEX('Compliance Database'!$C$2:$C$1199,MATCH(1174,Engine!$C$2:$C$1199,0)))</f>
        <v/>
      </c>
      <c r="D1187" s="7" t="str">
        <f>IF(ISNA(MATCH(1174,Engine!$C$2:$C$1199,0)),"",INDEX('Compliance Database'!$D$2:$D$1199,MATCH(1174,Engine!$C$2:$C$1199,0)))</f>
        <v/>
      </c>
      <c r="E1187" s="6" t="str">
        <f>IF(ISNA(MATCH(1174,Engine!$C$2:$C$1199,0)),"",INDEX('Compliance Database'!$E$2:$E$1199,MATCH(1174,Engine!$C$2:$C$1199,0)))</f>
        <v/>
      </c>
      <c r="F1187" s="6" t="str">
        <f>IF(ISNA(MATCH(1174,Engine!$C$2:$C$1199,0)),"",INDEX('Compliance Database'!$F$2:$F$1199,MATCH(1174,Engine!$C$2:$C$1199,0)))</f>
        <v/>
      </c>
      <c r="G1187" s="6" t="str">
        <f>IF(ISNA(MATCH(1174,Engine!$C$2:$C$1199,0)),"",INDEX('Compliance Database'!$G$2:$G$1199,MATCH(1174,Engine!$C$2:$C$1199,0)))</f>
        <v/>
      </c>
      <c r="H1187" s="7" t="str">
        <f>IF(ISNA(MATCH(1174,Engine!$C$2:$C$1199,0)),"",INDEX('Compliance Database'!$H$2:$H$1199,MATCH(1174,Engine!$C$2:$C$1199,0)))</f>
        <v/>
      </c>
      <c r="I1187" s="7" t="str">
        <f>IF(ISNA(MATCH(1174,Engine!$C$2:$C$1199,0)),"",INDEX('Compliance Database'!$I$2:$I$1199,MATCH(1174,Engine!$C$2:$C$1199,0)))</f>
        <v/>
      </c>
      <c r="J1187" s="6" t="str">
        <f>IF(ISNA(MATCH(1174,Engine!$C$2:$C$1199,0)),"",INDEX('Compliance Database'!$J$2:$J$1199,MATCH(1174,Engine!$C$2:$C$1199,0)))</f>
        <v/>
      </c>
      <c r="K1187" s="7" t="str">
        <f>IF(ISNA(MATCH(1174,Engine!$C$2:$C$1199,0)),"",INDEX('Compliance Database'!$K$2:$K$1199,MATCH(1174,Engine!$C$2:$C$1199,0)))</f>
        <v/>
      </c>
      <c r="L1187" s="7" t="str">
        <f>IF(ISNA(MATCH(1174,Engine!$C$2:$C$1199,0)),"",INDEX('Compliance Database'!$L$2:$L$1199,MATCH(1174,Engine!$C$2:$C$1199,0)))</f>
        <v/>
      </c>
      <c r="M1187" s="7" t="str">
        <f>IF(ISNA(MATCH(1174,Engine!$C$2:$C$1199,0)),"",INDEX('Compliance Database'!$M$2:$M$1199,MATCH(1174,Engine!$C$2:$C$1199,0)))</f>
        <v/>
      </c>
      <c r="N1187" s="7" t="str">
        <f>IF(ISNA(MATCH(1174,Engine!$C$2:$C$1199,0)),"",INDEX('Compliance Database'!$N$2:$N$1199,MATCH(1174,Engine!$C$2:$C$1199,0)))</f>
        <v/>
      </c>
      <c r="O1187" s="7" t="str">
        <f>IF(ISNA(MATCH(1174,Engine!$C$2:$C$1199,0)),"",INDEX('Compliance Database'!$O$2:$O$1199,MATCH(1174,Engine!$C$2:$C$1199,0)))</f>
        <v/>
      </c>
      <c r="P1187" s="6" t="str">
        <f>IF(ISNA(MATCH(1174,Engine!$C$2:$C$1199,0)),"",HYPERLINK("#Acts!A"&amp;INDEX('Compliance Database'!$P$2:$P$1199,MATCH(1174,Engine!$C$2:$C$1199,0)),"Go to Act"))</f>
        <v/>
      </c>
    </row>
    <row r="1188" spans="1:16" ht="172.95" customHeight="1" x14ac:dyDescent="0.3">
      <c r="A1188" s="6" t="str">
        <f>IF(ISNA(MATCH(1175,Engine!$C$2:$C$1199,0)),"",INDEX('Compliance Database'!$A$2:$A$1199,MATCH(1175,Engine!$C$2:$C$1199,0)))</f>
        <v/>
      </c>
      <c r="B1188" s="6" t="str">
        <f>IF(ISNA(MATCH(1175,Engine!$C$2:$C$1199,0)),"",INDEX('Compliance Database'!$B$2:$B$1199,MATCH(1175,Engine!$C$2:$C$1199,0)))</f>
        <v/>
      </c>
      <c r="C1188" s="6" t="str">
        <f>IF(ISNA(MATCH(1175,Engine!$C$2:$C$1199,0)),"",INDEX('Compliance Database'!$C$2:$C$1199,MATCH(1175,Engine!$C$2:$C$1199,0)))</f>
        <v/>
      </c>
      <c r="D1188" s="7" t="str">
        <f>IF(ISNA(MATCH(1175,Engine!$C$2:$C$1199,0)),"",INDEX('Compliance Database'!$D$2:$D$1199,MATCH(1175,Engine!$C$2:$C$1199,0)))</f>
        <v/>
      </c>
      <c r="E1188" s="6" t="str">
        <f>IF(ISNA(MATCH(1175,Engine!$C$2:$C$1199,0)),"",INDEX('Compliance Database'!$E$2:$E$1199,MATCH(1175,Engine!$C$2:$C$1199,0)))</f>
        <v/>
      </c>
      <c r="F1188" s="6" t="str">
        <f>IF(ISNA(MATCH(1175,Engine!$C$2:$C$1199,0)),"",INDEX('Compliance Database'!$F$2:$F$1199,MATCH(1175,Engine!$C$2:$C$1199,0)))</f>
        <v/>
      </c>
      <c r="G1188" s="6" t="str">
        <f>IF(ISNA(MATCH(1175,Engine!$C$2:$C$1199,0)),"",INDEX('Compliance Database'!$G$2:$G$1199,MATCH(1175,Engine!$C$2:$C$1199,0)))</f>
        <v/>
      </c>
      <c r="H1188" s="7" t="str">
        <f>IF(ISNA(MATCH(1175,Engine!$C$2:$C$1199,0)),"",INDEX('Compliance Database'!$H$2:$H$1199,MATCH(1175,Engine!$C$2:$C$1199,0)))</f>
        <v/>
      </c>
      <c r="I1188" s="7" t="str">
        <f>IF(ISNA(MATCH(1175,Engine!$C$2:$C$1199,0)),"",INDEX('Compliance Database'!$I$2:$I$1199,MATCH(1175,Engine!$C$2:$C$1199,0)))</f>
        <v/>
      </c>
      <c r="J1188" s="6" t="str">
        <f>IF(ISNA(MATCH(1175,Engine!$C$2:$C$1199,0)),"",INDEX('Compliance Database'!$J$2:$J$1199,MATCH(1175,Engine!$C$2:$C$1199,0)))</f>
        <v/>
      </c>
      <c r="K1188" s="7" t="str">
        <f>IF(ISNA(MATCH(1175,Engine!$C$2:$C$1199,0)),"",INDEX('Compliance Database'!$K$2:$K$1199,MATCH(1175,Engine!$C$2:$C$1199,0)))</f>
        <v/>
      </c>
      <c r="L1188" s="7" t="str">
        <f>IF(ISNA(MATCH(1175,Engine!$C$2:$C$1199,0)),"",INDEX('Compliance Database'!$L$2:$L$1199,MATCH(1175,Engine!$C$2:$C$1199,0)))</f>
        <v/>
      </c>
      <c r="M1188" s="7" t="str">
        <f>IF(ISNA(MATCH(1175,Engine!$C$2:$C$1199,0)),"",INDEX('Compliance Database'!$M$2:$M$1199,MATCH(1175,Engine!$C$2:$C$1199,0)))</f>
        <v/>
      </c>
      <c r="N1188" s="7" t="str">
        <f>IF(ISNA(MATCH(1175,Engine!$C$2:$C$1199,0)),"",INDEX('Compliance Database'!$N$2:$N$1199,MATCH(1175,Engine!$C$2:$C$1199,0)))</f>
        <v/>
      </c>
      <c r="O1188" s="7" t="str">
        <f>IF(ISNA(MATCH(1175,Engine!$C$2:$C$1199,0)),"",INDEX('Compliance Database'!$O$2:$O$1199,MATCH(1175,Engine!$C$2:$C$1199,0)))</f>
        <v/>
      </c>
      <c r="P1188" s="6" t="str">
        <f>IF(ISNA(MATCH(1175,Engine!$C$2:$C$1199,0)),"",HYPERLINK("#Acts!A"&amp;INDEX('Compliance Database'!$P$2:$P$1199,MATCH(1175,Engine!$C$2:$C$1199,0)),"Go to Act"))</f>
        <v/>
      </c>
    </row>
    <row r="1189" spans="1:16" ht="172.95" customHeight="1" x14ac:dyDescent="0.3">
      <c r="A1189" s="6" t="str">
        <f>IF(ISNA(MATCH(1176,Engine!$C$2:$C$1199,0)),"",INDEX('Compliance Database'!$A$2:$A$1199,MATCH(1176,Engine!$C$2:$C$1199,0)))</f>
        <v/>
      </c>
      <c r="B1189" s="6" t="str">
        <f>IF(ISNA(MATCH(1176,Engine!$C$2:$C$1199,0)),"",INDEX('Compliance Database'!$B$2:$B$1199,MATCH(1176,Engine!$C$2:$C$1199,0)))</f>
        <v/>
      </c>
      <c r="C1189" s="6" t="str">
        <f>IF(ISNA(MATCH(1176,Engine!$C$2:$C$1199,0)),"",INDEX('Compliance Database'!$C$2:$C$1199,MATCH(1176,Engine!$C$2:$C$1199,0)))</f>
        <v/>
      </c>
      <c r="D1189" s="7" t="str">
        <f>IF(ISNA(MATCH(1176,Engine!$C$2:$C$1199,0)),"",INDEX('Compliance Database'!$D$2:$D$1199,MATCH(1176,Engine!$C$2:$C$1199,0)))</f>
        <v/>
      </c>
      <c r="E1189" s="6" t="str">
        <f>IF(ISNA(MATCH(1176,Engine!$C$2:$C$1199,0)),"",INDEX('Compliance Database'!$E$2:$E$1199,MATCH(1176,Engine!$C$2:$C$1199,0)))</f>
        <v/>
      </c>
      <c r="F1189" s="6" t="str">
        <f>IF(ISNA(MATCH(1176,Engine!$C$2:$C$1199,0)),"",INDEX('Compliance Database'!$F$2:$F$1199,MATCH(1176,Engine!$C$2:$C$1199,0)))</f>
        <v/>
      </c>
      <c r="G1189" s="6" t="str">
        <f>IF(ISNA(MATCH(1176,Engine!$C$2:$C$1199,0)),"",INDEX('Compliance Database'!$G$2:$G$1199,MATCH(1176,Engine!$C$2:$C$1199,0)))</f>
        <v/>
      </c>
      <c r="H1189" s="7" t="str">
        <f>IF(ISNA(MATCH(1176,Engine!$C$2:$C$1199,0)),"",INDEX('Compliance Database'!$H$2:$H$1199,MATCH(1176,Engine!$C$2:$C$1199,0)))</f>
        <v/>
      </c>
      <c r="I1189" s="7" t="str">
        <f>IF(ISNA(MATCH(1176,Engine!$C$2:$C$1199,0)),"",INDEX('Compliance Database'!$I$2:$I$1199,MATCH(1176,Engine!$C$2:$C$1199,0)))</f>
        <v/>
      </c>
      <c r="J1189" s="6" t="str">
        <f>IF(ISNA(MATCH(1176,Engine!$C$2:$C$1199,0)),"",INDEX('Compliance Database'!$J$2:$J$1199,MATCH(1176,Engine!$C$2:$C$1199,0)))</f>
        <v/>
      </c>
      <c r="K1189" s="7" t="str">
        <f>IF(ISNA(MATCH(1176,Engine!$C$2:$C$1199,0)),"",INDEX('Compliance Database'!$K$2:$K$1199,MATCH(1176,Engine!$C$2:$C$1199,0)))</f>
        <v/>
      </c>
      <c r="L1189" s="7" t="str">
        <f>IF(ISNA(MATCH(1176,Engine!$C$2:$C$1199,0)),"",INDEX('Compliance Database'!$L$2:$L$1199,MATCH(1176,Engine!$C$2:$C$1199,0)))</f>
        <v/>
      </c>
      <c r="M1189" s="7" t="str">
        <f>IF(ISNA(MATCH(1176,Engine!$C$2:$C$1199,0)),"",INDEX('Compliance Database'!$M$2:$M$1199,MATCH(1176,Engine!$C$2:$C$1199,0)))</f>
        <v/>
      </c>
      <c r="N1189" s="7" t="str">
        <f>IF(ISNA(MATCH(1176,Engine!$C$2:$C$1199,0)),"",INDEX('Compliance Database'!$N$2:$N$1199,MATCH(1176,Engine!$C$2:$C$1199,0)))</f>
        <v/>
      </c>
      <c r="O1189" s="7" t="str">
        <f>IF(ISNA(MATCH(1176,Engine!$C$2:$C$1199,0)),"",INDEX('Compliance Database'!$O$2:$O$1199,MATCH(1176,Engine!$C$2:$C$1199,0)))</f>
        <v/>
      </c>
      <c r="P1189" s="6" t="str">
        <f>IF(ISNA(MATCH(1176,Engine!$C$2:$C$1199,0)),"",HYPERLINK("#Acts!A"&amp;INDEX('Compliance Database'!$P$2:$P$1199,MATCH(1176,Engine!$C$2:$C$1199,0)),"Go to Act"))</f>
        <v/>
      </c>
    </row>
    <row r="1190" spans="1:16" ht="172.95" customHeight="1" x14ac:dyDescent="0.3">
      <c r="A1190" s="6" t="str">
        <f>IF(ISNA(MATCH(1177,Engine!$C$2:$C$1199,0)),"",INDEX('Compliance Database'!$A$2:$A$1199,MATCH(1177,Engine!$C$2:$C$1199,0)))</f>
        <v/>
      </c>
      <c r="B1190" s="6" t="str">
        <f>IF(ISNA(MATCH(1177,Engine!$C$2:$C$1199,0)),"",INDEX('Compliance Database'!$B$2:$B$1199,MATCH(1177,Engine!$C$2:$C$1199,0)))</f>
        <v/>
      </c>
      <c r="C1190" s="6" t="str">
        <f>IF(ISNA(MATCH(1177,Engine!$C$2:$C$1199,0)),"",INDEX('Compliance Database'!$C$2:$C$1199,MATCH(1177,Engine!$C$2:$C$1199,0)))</f>
        <v/>
      </c>
      <c r="D1190" s="7" t="str">
        <f>IF(ISNA(MATCH(1177,Engine!$C$2:$C$1199,0)),"",INDEX('Compliance Database'!$D$2:$D$1199,MATCH(1177,Engine!$C$2:$C$1199,0)))</f>
        <v/>
      </c>
      <c r="E1190" s="6" t="str">
        <f>IF(ISNA(MATCH(1177,Engine!$C$2:$C$1199,0)),"",INDEX('Compliance Database'!$E$2:$E$1199,MATCH(1177,Engine!$C$2:$C$1199,0)))</f>
        <v/>
      </c>
      <c r="F1190" s="6" t="str">
        <f>IF(ISNA(MATCH(1177,Engine!$C$2:$C$1199,0)),"",INDEX('Compliance Database'!$F$2:$F$1199,MATCH(1177,Engine!$C$2:$C$1199,0)))</f>
        <v/>
      </c>
      <c r="G1190" s="6" t="str">
        <f>IF(ISNA(MATCH(1177,Engine!$C$2:$C$1199,0)),"",INDEX('Compliance Database'!$G$2:$G$1199,MATCH(1177,Engine!$C$2:$C$1199,0)))</f>
        <v/>
      </c>
      <c r="H1190" s="7" t="str">
        <f>IF(ISNA(MATCH(1177,Engine!$C$2:$C$1199,0)),"",INDEX('Compliance Database'!$H$2:$H$1199,MATCH(1177,Engine!$C$2:$C$1199,0)))</f>
        <v/>
      </c>
      <c r="I1190" s="7" t="str">
        <f>IF(ISNA(MATCH(1177,Engine!$C$2:$C$1199,0)),"",INDEX('Compliance Database'!$I$2:$I$1199,MATCH(1177,Engine!$C$2:$C$1199,0)))</f>
        <v/>
      </c>
      <c r="J1190" s="6" t="str">
        <f>IF(ISNA(MATCH(1177,Engine!$C$2:$C$1199,0)),"",INDEX('Compliance Database'!$J$2:$J$1199,MATCH(1177,Engine!$C$2:$C$1199,0)))</f>
        <v/>
      </c>
      <c r="K1190" s="7" t="str">
        <f>IF(ISNA(MATCH(1177,Engine!$C$2:$C$1199,0)),"",INDEX('Compliance Database'!$K$2:$K$1199,MATCH(1177,Engine!$C$2:$C$1199,0)))</f>
        <v/>
      </c>
      <c r="L1190" s="7" t="str">
        <f>IF(ISNA(MATCH(1177,Engine!$C$2:$C$1199,0)),"",INDEX('Compliance Database'!$L$2:$L$1199,MATCH(1177,Engine!$C$2:$C$1199,0)))</f>
        <v/>
      </c>
      <c r="M1190" s="7" t="str">
        <f>IF(ISNA(MATCH(1177,Engine!$C$2:$C$1199,0)),"",INDEX('Compliance Database'!$M$2:$M$1199,MATCH(1177,Engine!$C$2:$C$1199,0)))</f>
        <v/>
      </c>
      <c r="N1190" s="7" t="str">
        <f>IF(ISNA(MATCH(1177,Engine!$C$2:$C$1199,0)),"",INDEX('Compliance Database'!$N$2:$N$1199,MATCH(1177,Engine!$C$2:$C$1199,0)))</f>
        <v/>
      </c>
      <c r="O1190" s="7" t="str">
        <f>IF(ISNA(MATCH(1177,Engine!$C$2:$C$1199,0)),"",INDEX('Compliance Database'!$O$2:$O$1199,MATCH(1177,Engine!$C$2:$C$1199,0)))</f>
        <v/>
      </c>
      <c r="P1190" s="6" t="str">
        <f>IF(ISNA(MATCH(1177,Engine!$C$2:$C$1199,0)),"",HYPERLINK("#Acts!A"&amp;INDEX('Compliance Database'!$P$2:$P$1199,MATCH(1177,Engine!$C$2:$C$1199,0)),"Go to Act"))</f>
        <v/>
      </c>
    </row>
    <row r="1191" spans="1:16" ht="172.95" customHeight="1" x14ac:dyDescent="0.3">
      <c r="A1191" s="6" t="str">
        <f>IF(ISNA(MATCH(1178,Engine!$C$2:$C$1199,0)),"",INDEX('Compliance Database'!$A$2:$A$1199,MATCH(1178,Engine!$C$2:$C$1199,0)))</f>
        <v/>
      </c>
      <c r="B1191" s="6" t="str">
        <f>IF(ISNA(MATCH(1178,Engine!$C$2:$C$1199,0)),"",INDEX('Compliance Database'!$B$2:$B$1199,MATCH(1178,Engine!$C$2:$C$1199,0)))</f>
        <v/>
      </c>
      <c r="C1191" s="6" t="str">
        <f>IF(ISNA(MATCH(1178,Engine!$C$2:$C$1199,0)),"",INDEX('Compliance Database'!$C$2:$C$1199,MATCH(1178,Engine!$C$2:$C$1199,0)))</f>
        <v/>
      </c>
      <c r="D1191" s="7" t="str">
        <f>IF(ISNA(MATCH(1178,Engine!$C$2:$C$1199,0)),"",INDEX('Compliance Database'!$D$2:$D$1199,MATCH(1178,Engine!$C$2:$C$1199,0)))</f>
        <v/>
      </c>
      <c r="E1191" s="6" t="str">
        <f>IF(ISNA(MATCH(1178,Engine!$C$2:$C$1199,0)),"",INDEX('Compliance Database'!$E$2:$E$1199,MATCH(1178,Engine!$C$2:$C$1199,0)))</f>
        <v/>
      </c>
      <c r="F1191" s="6" t="str">
        <f>IF(ISNA(MATCH(1178,Engine!$C$2:$C$1199,0)),"",INDEX('Compliance Database'!$F$2:$F$1199,MATCH(1178,Engine!$C$2:$C$1199,0)))</f>
        <v/>
      </c>
      <c r="G1191" s="6" t="str">
        <f>IF(ISNA(MATCH(1178,Engine!$C$2:$C$1199,0)),"",INDEX('Compliance Database'!$G$2:$G$1199,MATCH(1178,Engine!$C$2:$C$1199,0)))</f>
        <v/>
      </c>
      <c r="H1191" s="7" t="str">
        <f>IF(ISNA(MATCH(1178,Engine!$C$2:$C$1199,0)),"",INDEX('Compliance Database'!$H$2:$H$1199,MATCH(1178,Engine!$C$2:$C$1199,0)))</f>
        <v/>
      </c>
      <c r="I1191" s="7" t="str">
        <f>IF(ISNA(MATCH(1178,Engine!$C$2:$C$1199,0)),"",INDEX('Compliance Database'!$I$2:$I$1199,MATCH(1178,Engine!$C$2:$C$1199,0)))</f>
        <v/>
      </c>
      <c r="J1191" s="6" t="str">
        <f>IF(ISNA(MATCH(1178,Engine!$C$2:$C$1199,0)),"",INDEX('Compliance Database'!$J$2:$J$1199,MATCH(1178,Engine!$C$2:$C$1199,0)))</f>
        <v/>
      </c>
      <c r="K1191" s="7" t="str">
        <f>IF(ISNA(MATCH(1178,Engine!$C$2:$C$1199,0)),"",INDEX('Compliance Database'!$K$2:$K$1199,MATCH(1178,Engine!$C$2:$C$1199,0)))</f>
        <v/>
      </c>
      <c r="L1191" s="7" t="str">
        <f>IF(ISNA(MATCH(1178,Engine!$C$2:$C$1199,0)),"",INDEX('Compliance Database'!$L$2:$L$1199,MATCH(1178,Engine!$C$2:$C$1199,0)))</f>
        <v/>
      </c>
      <c r="M1191" s="7" t="str">
        <f>IF(ISNA(MATCH(1178,Engine!$C$2:$C$1199,0)),"",INDEX('Compliance Database'!$M$2:$M$1199,MATCH(1178,Engine!$C$2:$C$1199,0)))</f>
        <v/>
      </c>
      <c r="N1191" s="7" t="str">
        <f>IF(ISNA(MATCH(1178,Engine!$C$2:$C$1199,0)),"",INDEX('Compliance Database'!$N$2:$N$1199,MATCH(1178,Engine!$C$2:$C$1199,0)))</f>
        <v/>
      </c>
      <c r="O1191" s="7" t="str">
        <f>IF(ISNA(MATCH(1178,Engine!$C$2:$C$1199,0)),"",INDEX('Compliance Database'!$O$2:$O$1199,MATCH(1178,Engine!$C$2:$C$1199,0)))</f>
        <v/>
      </c>
      <c r="P1191" s="6" t="str">
        <f>IF(ISNA(MATCH(1178,Engine!$C$2:$C$1199,0)),"",HYPERLINK("#Acts!A"&amp;INDEX('Compliance Database'!$P$2:$P$1199,MATCH(1178,Engine!$C$2:$C$1199,0)),"Go to Act"))</f>
        <v/>
      </c>
    </row>
    <row r="1192" spans="1:16" ht="172.95" customHeight="1" x14ac:dyDescent="0.3">
      <c r="A1192" s="6" t="str">
        <f>IF(ISNA(MATCH(1179,Engine!$C$2:$C$1199,0)),"",INDEX('Compliance Database'!$A$2:$A$1199,MATCH(1179,Engine!$C$2:$C$1199,0)))</f>
        <v/>
      </c>
      <c r="B1192" s="6" t="str">
        <f>IF(ISNA(MATCH(1179,Engine!$C$2:$C$1199,0)),"",INDEX('Compliance Database'!$B$2:$B$1199,MATCH(1179,Engine!$C$2:$C$1199,0)))</f>
        <v/>
      </c>
      <c r="C1192" s="6" t="str">
        <f>IF(ISNA(MATCH(1179,Engine!$C$2:$C$1199,0)),"",INDEX('Compliance Database'!$C$2:$C$1199,MATCH(1179,Engine!$C$2:$C$1199,0)))</f>
        <v/>
      </c>
      <c r="D1192" s="7" t="str">
        <f>IF(ISNA(MATCH(1179,Engine!$C$2:$C$1199,0)),"",INDEX('Compliance Database'!$D$2:$D$1199,MATCH(1179,Engine!$C$2:$C$1199,0)))</f>
        <v/>
      </c>
      <c r="E1192" s="6" t="str">
        <f>IF(ISNA(MATCH(1179,Engine!$C$2:$C$1199,0)),"",INDEX('Compliance Database'!$E$2:$E$1199,MATCH(1179,Engine!$C$2:$C$1199,0)))</f>
        <v/>
      </c>
      <c r="F1192" s="6" t="str">
        <f>IF(ISNA(MATCH(1179,Engine!$C$2:$C$1199,0)),"",INDEX('Compliance Database'!$F$2:$F$1199,MATCH(1179,Engine!$C$2:$C$1199,0)))</f>
        <v/>
      </c>
      <c r="G1192" s="6" t="str">
        <f>IF(ISNA(MATCH(1179,Engine!$C$2:$C$1199,0)),"",INDEX('Compliance Database'!$G$2:$G$1199,MATCH(1179,Engine!$C$2:$C$1199,0)))</f>
        <v/>
      </c>
      <c r="H1192" s="7" t="str">
        <f>IF(ISNA(MATCH(1179,Engine!$C$2:$C$1199,0)),"",INDEX('Compliance Database'!$H$2:$H$1199,MATCH(1179,Engine!$C$2:$C$1199,0)))</f>
        <v/>
      </c>
      <c r="I1192" s="7" t="str">
        <f>IF(ISNA(MATCH(1179,Engine!$C$2:$C$1199,0)),"",INDEX('Compliance Database'!$I$2:$I$1199,MATCH(1179,Engine!$C$2:$C$1199,0)))</f>
        <v/>
      </c>
      <c r="J1192" s="6" t="str">
        <f>IF(ISNA(MATCH(1179,Engine!$C$2:$C$1199,0)),"",INDEX('Compliance Database'!$J$2:$J$1199,MATCH(1179,Engine!$C$2:$C$1199,0)))</f>
        <v/>
      </c>
      <c r="K1192" s="7" t="str">
        <f>IF(ISNA(MATCH(1179,Engine!$C$2:$C$1199,0)),"",INDEX('Compliance Database'!$K$2:$K$1199,MATCH(1179,Engine!$C$2:$C$1199,0)))</f>
        <v/>
      </c>
      <c r="L1192" s="7" t="str">
        <f>IF(ISNA(MATCH(1179,Engine!$C$2:$C$1199,0)),"",INDEX('Compliance Database'!$L$2:$L$1199,MATCH(1179,Engine!$C$2:$C$1199,0)))</f>
        <v/>
      </c>
      <c r="M1192" s="7" t="str">
        <f>IF(ISNA(MATCH(1179,Engine!$C$2:$C$1199,0)),"",INDEX('Compliance Database'!$M$2:$M$1199,MATCH(1179,Engine!$C$2:$C$1199,0)))</f>
        <v/>
      </c>
      <c r="N1192" s="7" t="str">
        <f>IF(ISNA(MATCH(1179,Engine!$C$2:$C$1199,0)),"",INDEX('Compliance Database'!$N$2:$N$1199,MATCH(1179,Engine!$C$2:$C$1199,0)))</f>
        <v/>
      </c>
      <c r="O1192" s="7" t="str">
        <f>IF(ISNA(MATCH(1179,Engine!$C$2:$C$1199,0)),"",INDEX('Compliance Database'!$O$2:$O$1199,MATCH(1179,Engine!$C$2:$C$1199,0)))</f>
        <v/>
      </c>
      <c r="P1192" s="6" t="str">
        <f>IF(ISNA(MATCH(1179,Engine!$C$2:$C$1199,0)),"",HYPERLINK("#Acts!A"&amp;INDEX('Compliance Database'!$P$2:$P$1199,MATCH(1179,Engine!$C$2:$C$1199,0)),"Go to Act"))</f>
        <v/>
      </c>
    </row>
    <row r="1193" spans="1:16" ht="172.95" customHeight="1" x14ac:dyDescent="0.3">
      <c r="A1193" s="6" t="str">
        <f>IF(ISNA(MATCH(1180,Engine!$C$2:$C$1199,0)),"",INDEX('Compliance Database'!$A$2:$A$1199,MATCH(1180,Engine!$C$2:$C$1199,0)))</f>
        <v/>
      </c>
      <c r="B1193" s="6" t="str">
        <f>IF(ISNA(MATCH(1180,Engine!$C$2:$C$1199,0)),"",INDEX('Compliance Database'!$B$2:$B$1199,MATCH(1180,Engine!$C$2:$C$1199,0)))</f>
        <v/>
      </c>
      <c r="C1193" s="6" t="str">
        <f>IF(ISNA(MATCH(1180,Engine!$C$2:$C$1199,0)),"",INDEX('Compliance Database'!$C$2:$C$1199,MATCH(1180,Engine!$C$2:$C$1199,0)))</f>
        <v/>
      </c>
      <c r="D1193" s="7" t="str">
        <f>IF(ISNA(MATCH(1180,Engine!$C$2:$C$1199,0)),"",INDEX('Compliance Database'!$D$2:$D$1199,MATCH(1180,Engine!$C$2:$C$1199,0)))</f>
        <v/>
      </c>
      <c r="E1193" s="6" t="str">
        <f>IF(ISNA(MATCH(1180,Engine!$C$2:$C$1199,0)),"",INDEX('Compliance Database'!$E$2:$E$1199,MATCH(1180,Engine!$C$2:$C$1199,0)))</f>
        <v/>
      </c>
      <c r="F1193" s="6" t="str">
        <f>IF(ISNA(MATCH(1180,Engine!$C$2:$C$1199,0)),"",INDEX('Compliance Database'!$F$2:$F$1199,MATCH(1180,Engine!$C$2:$C$1199,0)))</f>
        <v/>
      </c>
      <c r="G1193" s="6" t="str">
        <f>IF(ISNA(MATCH(1180,Engine!$C$2:$C$1199,0)),"",INDEX('Compliance Database'!$G$2:$G$1199,MATCH(1180,Engine!$C$2:$C$1199,0)))</f>
        <v/>
      </c>
      <c r="H1193" s="7" t="str">
        <f>IF(ISNA(MATCH(1180,Engine!$C$2:$C$1199,0)),"",INDEX('Compliance Database'!$H$2:$H$1199,MATCH(1180,Engine!$C$2:$C$1199,0)))</f>
        <v/>
      </c>
      <c r="I1193" s="7" t="str">
        <f>IF(ISNA(MATCH(1180,Engine!$C$2:$C$1199,0)),"",INDEX('Compliance Database'!$I$2:$I$1199,MATCH(1180,Engine!$C$2:$C$1199,0)))</f>
        <v/>
      </c>
      <c r="J1193" s="6" t="str">
        <f>IF(ISNA(MATCH(1180,Engine!$C$2:$C$1199,0)),"",INDEX('Compliance Database'!$J$2:$J$1199,MATCH(1180,Engine!$C$2:$C$1199,0)))</f>
        <v/>
      </c>
      <c r="K1193" s="7" t="str">
        <f>IF(ISNA(MATCH(1180,Engine!$C$2:$C$1199,0)),"",INDEX('Compliance Database'!$K$2:$K$1199,MATCH(1180,Engine!$C$2:$C$1199,0)))</f>
        <v/>
      </c>
      <c r="L1193" s="7" t="str">
        <f>IF(ISNA(MATCH(1180,Engine!$C$2:$C$1199,0)),"",INDEX('Compliance Database'!$L$2:$L$1199,MATCH(1180,Engine!$C$2:$C$1199,0)))</f>
        <v/>
      </c>
      <c r="M1193" s="7" t="str">
        <f>IF(ISNA(MATCH(1180,Engine!$C$2:$C$1199,0)),"",INDEX('Compliance Database'!$M$2:$M$1199,MATCH(1180,Engine!$C$2:$C$1199,0)))</f>
        <v/>
      </c>
      <c r="N1193" s="7" t="str">
        <f>IF(ISNA(MATCH(1180,Engine!$C$2:$C$1199,0)),"",INDEX('Compliance Database'!$N$2:$N$1199,MATCH(1180,Engine!$C$2:$C$1199,0)))</f>
        <v/>
      </c>
      <c r="O1193" s="7" t="str">
        <f>IF(ISNA(MATCH(1180,Engine!$C$2:$C$1199,0)),"",INDEX('Compliance Database'!$O$2:$O$1199,MATCH(1180,Engine!$C$2:$C$1199,0)))</f>
        <v/>
      </c>
      <c r="P1193" s="6" t="str">
        <f>IF(ISNA(MATCH(1180,Engine!$C$2:$C$1199,0)),"",HYPERLINK("#Acts!A"&amp;INDEX('Compliance Database'!$P$2:$P$1199,MATCH(1180,Engine!$C$2:$C$1199,0)),"Go to Act"))</f>
        <v/>
      </c>
    </row>
    <row r="1194" spans="1:16" ht="172.95" customHeight="1" x14ac:dyDescent="0.3">
      <c r="A1194" s="6" t="str">
        <f>IF(ISNA(MATCH(1181,Engine!$C$2:$C$1199,0)),"",INDEX('Compliance Database'!$A$2:$A$1199,MATCH(1181,Engine!$C$2:$C$1199,0)))</f>
        <v/>
      </c>
      <c r="B1194" s="6" t="str">
        <f>IF(ISNA(MATCH(1181,Engine!$C$2:$C$1199,0)),"",INDEX('Compliance Database'!$B$2:$B$1199,MATCH(1181,Engine!$C$2:$C$1199,0)))</f>
        <v/>
      </c>
      <c r="C1194" s="6" t="str">
        <f>IF(ISNA(MATCH(1181,Engine!$C$2:$C$1199,0)),"",INDEX('Compliance Database'!$C$2:$C$1199,MATCH(1181,Engine!$C$2:$C$1199,0)))</f>
        <v/>
      </c>
      <c r="D1194" s="7" t="str">
        <f>IF(ISNA(MATCH(1181,Engine!$C$2:$C$1199,0)),"",INDEX('Compliance Database'!$D$2:$D$1199,MATCH(1181,Engine!$C$2:$C$1199,0)))</f>
        <v/>
      </c>
      <c r="E1194" s="6" t="str">
        <f>IF(ISNA(MATCH(1181,Engine!$C$2:$C$1199,0)),"",INDEX('Compliance Database'!$E$2:$E$1199,MATCH(1181,Engine!$C$2:$C$1199,0)))</f>
        <v/>
      </c>
      <c r="F1194" s="6" t="str">
        <f>IF(ISNA(MATCH(1181,Engine!$C$2:$C$1199,0)),"",INDEX('Compliance Database'!$F$2:$F$1199,MATCH(1181,Engine!$C$2:$C$1199,0)))</f>
        <v/>
      </c>
      <c r="G1194" s="6" t="str">
        <f>IF(ISNA(MATCH(1181,Engine!$C$2:$C$1199,0)),"",INDEX('Compliance Database'!$G$2:$G$1199,MATCH(1181,Engine!$C$2:$C$1199,0)))</f>
        <v/>
      </c>
      <c r="H1194" s="7" t="str">
        <f>IF(ISNA(MATCH(1181,Engine!$C$2:$C$1199,0)),"",INDEX('Compliance Database'!$H$2:$H$1199,MATCH(1181,Engine!$C$2:$C$1199,0)))</f>
        <v/>
      </c>
      <c r="I1194" s="7" t="str">
        <f>IF(ISNA(MATCH(1181,Engine!$C$2:$C$1199,0)),"",INDEX('Compliance Database'!$I$2:$I$1199,MATCH(1181,Engine!$C$2:$C$1199,0)))</f>
        <v/>
      </c>
      <c r="J1194" s="6" t="str">
        <f>IF(ISNA(MATCH(1181,Engine!$C$2:$C$1199,0)),"",INDEX('Compliance Database'!$J$2:$J$1199,MATCH(1181,Engine!$C$2:$C$1199,0)))</f>
        <v/>
      </c>
      <c r="K1194" s="7" t="str">
        <f>IF(ISNA(MATCH(1181,Engine!$C$2:$C$1199,0)),"",INDEX('Compliance Database'!$K$2:$K$1199,MATCH(1181,Engine!$C$2:$C$1199,0)))</f>
        <v/>
      </c>
      <c r="L1194" s="7" t="str">
        <f>IF(ISNA(MATCH(1181,Engine!$C$2:$C$1199,0)),"",INDEX('Compliance Database'!$L$2:$L$1199,MATCH(1181,Engine!$C$2:$C$1199,0)))</f>
        <v/>
      </c>
      <c r="M1194" s="7" t="str">
        <f>IF(ISNA(MATCH(1181,Engine!$C$2:$C$1199,0)),"",INDEX('Compliance Database'!$M$2:$M$1199,MATCH(1181,Engine!$C$2:$C$1199,0)))</f>
        <v/>
      </c>
      <c r="N1194" s="7" t="str">
        <f>IF(ISNA(MATCH(1181,Engine!$C$2:$C$1199,0)),"",INDEX('Compliance Database'!$N$2:$N$1199,MATCH(1181,Engine!$C$2:$C$1199,0)))</f>
        <v/>
      </c>
      <c r="O1194" s="7" t="str">
        <f>IF(ISNA(MATCH(1181,Engine!$C$2:$C$1199,0)),"",INDEX('Compliance Database'!$O$2:$O$1199,MATCH(1181,Engine!$C$2:$C$1199,0)))</f>
        <v/>
      </c>
      <c r="P1194" s="6" t="str">
        <f>IF(ISNA(MATCH(1181,Engine!$C$2:$C$1199,0)),"",HYPERLINK("#Acts!A"&amp;INDEX('Compliance Database'!$P$2:$P$1199,MATCH(1181,Engine!$C$2:$C$1199,0)),"Go to Act"))</f>
        <v/>
      </c>
    </row>
    <row r="1195" spans="1:16" ht="172.95" customHeight="1" x14ac:dyDescent="0.3">
      <c r="A1195" s="6" t="str">
        <f>IF(ISNA(MATCH(1182,Engine!$C$2:$C$1199,0)),"",INDEX('Compliance Database'!$A$2:$A$1199,MATCH(1182,Engine!$C$2:$C$1199,0)))</f>
        <v/>
      </c>
      <c r="B1195" s="6" t="str">
        <f>IF(ISNA(MATCH(1182,Engine!$C$2:$C$1199,0)),"",INDEX('Compliance Database'!$B$2:$B$1199,MATCH(1182,Engine!$C$2:$C$1199,0)))</f>
        <v/>
      </c>
      <c r="C1195" s="6" t="str">
        <f>IF(ISNA(MATCH(1182,Engine!$C$2:$C$1199,0)),"",INDEX('Compliance Database'!$C$2:$C$1199,MATCH(1182,Engine!$C$2:$C$1199,0)))</f>
        <v/>
      </c>
      <c r="D1195" s="7" t="str">
        <f>IF(ISNA(MATCH(1182,Engine!$C$2:$C$1199,0)),"",INDEX('Compliance Database'!$D$2:$D$1199,MATCH(1182,Engine!$C$2:$C$1199,0)))</f>
        <v/>
      </c>
      <c r="E1195" s="6" t="str">
        <f>IF(ISNA(MATCH(1182,Engine!$C$2:$C$1199,0)),"",INDEX('Compliance Database'!$E$2:$E$1199,MATCH(1182,Engine!$C$2:$C$1199,0)))</f>
        <v/>
      </c>
      <c r="F1195" s="6" t="str">
        <f>IF(ISNA(MATCH(1182,Engine!$C$2:$C$1199,0)),"",INDEX('Compliance Database'!$F$2:$F$1199,MATCH(1182,Engine!$C$2:$C$1199,0)))</f>
        <v/>
      </c>
      <c r="G1195" s="6" t="str">
        <f>IF(ISNA(MATCH(1182,Engine!$C$2:$C$1199,0)),"",INDEX('Compliance Database'!$G$2:$G$1199,MATCH(1182,Engine!$C$2:$C$1199,0)))</f>
        <v/>
      </c>
      <c r="H1195" s="7" t="str">
        <f>IF(ISNA(MATCH(1182,Engine!$C$2:$C$1199,0)),"",INDEX('Compliance Database'!$H$2:$H$1199,MATCH(1182,Engine!$C$2:$C$1199,0)))</f>
        <v/>
      </c>
      <c r="I1195" s="7" t="str">
        <f>IF(ISNA(MATCH(1182,Engine!$C$2:$C$1199,0)),"",INDEX('Compliance Database'!$I$2:$I$1199,MATCH(1182,Engine!$C$2:$C$1199,0)))</f>
        <v/>
      </c>
      <c r="J1195" s="6" t="str">
        <f>IF(ISNA(MATCH(1182,Engine!$C$2:$C$1199,0)),"",INDEX('Compliance Database'!$J$2:$J$1199,MATCH(1182,Engine!$C$2:$C$1199,0)))</f>
        <v/>
      </c>
      <c r="K1195" s="7" t="str">
        <f>IF(ISNA(MATCH(1182,Engine!$C$2:$C$1199,0)),"",INDEX('Compliance Database'!$K$2:$K$1199,MATCH(1182,Engine!$C$2:$C$1199,0)))</f>
        <v/>
      </c>
      <c r="L1195" s="7" t="str">
        <f>IF(ISNA(MATCH(1182,Engine!$C$2:$C$1199,0)),"",INDEX('Compliance Database'!$L$2:$L$1199,MATCH(1182,Engine!$C$2:$C$1199,0)))</f>
        <v/>
      </c>
      <c r="M1195" s="7" t="str">
        <f>IF(ISNA(MATCH(1182,Engine!$C$2:$C$1199,0)),"",INDEX('Compliance Database'!$M$2:$M$1199,MATCH(1182,Engine!$C$2:$C$1199,0)))</f>
        <v/>
      </c>
      <c r="N1195" s="7" t="str">
        <f>IF(ISNA(MATCH(1182,Engine!$C$2:$C$1199,0)),"",INDEX('Compliance Database'!$N$2:$N$1199,MATCH(1182,Engine!$C$2:$C$1199,0)))</f>
        <v/>
      </c>
      <c r="O1195" s="7" t="str">
        <f>IF(ISNA(MATCH(1182,Engine!$C$2:$C$1199,0)),"",INDEX('Compliance Database'!$O$2:$O$1199,MATCH(1182,Engine!$C$2:$C$1199,0)))</f>
        <v/>
      </c>
      <c r="P1195" s="6" t="str">
        <f>IF(ISNA(MATCH(1182,Engine!$C$2:$C$1199,0)),"",HYPERLINK("#Acts!A"&amp;INDEX('Compliance Database'!$P$2:$P$1199,MATCH(1182,Engine!$C$2:$C$1199,0)),"Go to Act"))</f>
        <v/>
      </c>
    </row>
    <row r="1196" spans="1:16" ht="172.95" customHeight="1" x14ac:dyDescent="0.3">
      <c r="A1196" s="6" t="str">
        <f>IF(ISNA(MATCH(1183,Engine!$C$2:$C$1199,0)),"",INDEX('Compliance Database'!$A$2:$A$1199,MATCH(1183,Engine!$C$2:$C$1199,0)))</f>
        <v/>
      </c>
      <c r="B1196" s="6" t="str">
        <f>IF(ISNA(MATCH(1183,Engine!$C$2:$C$1199,0)),"",INDEX('Compliance Database'!$B$2:$B$1199,MATCH(1183,Engine!$C$2:$C$1199,0)))</f>
        <v/>
      </c>
      <c r="C1196" s="6" t="str">
        <f>IF(ISNA(MATCH(1183,Engine!$C$2:$C$1199,0)),"",INDEX('Compliance Database'!$C$2:$C$1199,MATCH(1183,Engine!$C$2:$C$1199,0)))</f>
        <v/>
      </c>
      <c r="D1196" s="7" t="str">
        <f>IF(ISNA(MATCH(1183,Engine!$C$2:$C$1199,0)),"",INDEX('Compliance Database'!$D$2:$D$1199,MATCH(1183,Engine!$C$2:$C$1199,0)))</f>
        <v/>
      </c>
      <c r="E1196" s="6" t="str">
        <f>IF(ISNA(MATCH(1183,Engine!$C$2:$C$1199,0)),"",INDEX('Compliance Database'!$E$2:$E$1199,MATCH(1183,Engine!$C$2:$C$1199,0)))</f>
        <v/>
      </c>
      <c r="F1196" s="6" t="str">
        <f>IF(ISNA(MATCH(1183,Engine!$C$2:$C$1199,0)),"",INDEX('Compliance Database'!$F$2:$F$1199,MATCH(1183,Engine!$C$2:$C$1199,0)))</f>
        <v/>
      </c>
      <c r="G1196" s="6" t="str">
        <f>IF(ISNA(MATCH(1183,Engine!$C$2:$C$1199,0)),"",INDEX('Compliance Database'!$G$2:$G$1199,MATCH(1183,Engine!$C$2:$C$1199,0)))</f>
        <v/>
      </c>
      <c r="H1196" s="7" t="str">
        <f>IF(ISNA(MATCH(1183,Engine!$C$2:$C$1199,0)),"",INDEX('Compliance Database'!$H$2:$H$1199,MATCH(1183,Engine!$C$2:$C$1199,0)))</f>
        <v/>
      </c>
      <c r="I1196" s="7" t="str">
        <f>IF(ISNA(MATCH(1183,Engine!$C$2:$C$1199,0)),"",INDEX('Compliance Database'!$I$2:$I$1199,MATCH(1183,Engine!$C$2:$C$1199,0)))</f>
        <v/>
      </c>
      <c r="J1196" s="6" t="str">
        <f>IF(ISNA(MATCH(1183,Engine!$C$2:$C$1199,0)),"",INDEX('Compliance Database'!$J$2:$J$1199,MATCH(1183,Engine!$C$2:$C$1199,0)))</f>
        <v/>
      </c>
      <c r="K1196" s="7" t="str">
        <f>IF(ISNA(MATCH(1183,Engine!$C$2:$C$1199,0)),"",INDEX('Compliance Database'!$K$2:$K$1199,MATCH(1183,Engine!$C$2:$C$1199,0)))</f>
        <v/>
      </c>
      <c r="L1196" s="7" t="str">
        <f>IF(ISNA(MATCH(1183,Engine!$C$2:$C$1199,0)),"",INDEX('Compliance Database'!$L$2:$L$1199,MATCH(1183,Engine!$C$2:$C$1199,0)))</f>
        <v/>
      </c>
      <c r="M1196" s="7" t="str">
        <f>IF(ISNA(MATCH(1183,Engine!$C$2:$C$1199,0)),"",INDEX('Compliance Database'!$M$2:$M$1199,MATCH(1183,Engine!$C$2:$C$1199,0)))</f>
        <v/>
      </c>
      <c r="N1196" s="7" t="str">
        <f>IF(ISNA(MATCH(1183,Engine!$C$2:$C$1199,0)),"",INDEX('Compliance Database'!$N$2:$N$1199,MATCH(1183,Engine!$C$2:$C$1199,0)))</f>
        <v/>
      </c>
      <c r="O1196" s="7" t="str">
        <f>IF(ISNA(MATCH(1183,Engine!$C$2:$C$1199,0)),"",INDEX('Compliance Database'!$O$2:$O$1199,MATCH(1183,Engine!$C$2:$C$1199,0)))</f>
        <v/>
      </c>
      <c r="P1196" s="6" t="str">
        <f>IF(ISNA(MATCH(1183,Engine!$C$2:$C$1199,0)),"",HYPERLINK("#Acts!A"&amp;INDEX('Compliance Database'!$P$2:$P$1199,MATCH(1183,Engine!$C$2:$C$1199,0)),"Go to Act"))</f>
        <v/>
      </c>
    </row>
    <row r="1197" spans="1:16" ht="172.95" customHeight="1" x14ac:dyDescent="0.3">
      <c r="A1197" s="6" t="str">
        <f>IF(ISNA(MATCH(1184,Engine!$C$2:$C$1199,0)),"",INDEX('Compliance Database'!$A$2:$A$1199,MATCH(1184,Engine!$C$2:$C$1199,0)))</f>
        <v/>
      </c>
      <c r="B1197" s="6" t="str">
        <f>IF(ISNA(MATCH(1184,Engine!$C$2:$C$1199,0)),"",INDEX('Compliance Database'!$B$2:$B$1199,MATCH(1184,Engine!$C$2:$C$1199,0)))</f>
        <v/>
      </c>
      <c r="C1197" s="6" t="str">
        <f>IF(ISNA(MATCH(1184,Engine!$C$2:$C$1199,0)),"",INDEX('Compliance Database'!$C$2:$C$1199,MATCH(1184,Engine!$C$2:$C$1199,0)))</f>
        <v/>
      </c>
      <c r="D1197" s="7" t="str">
        <f>IF(ISNA(MATCH(1184,Engine!$C$2:$C$1199,0)),"",INDEX('Compliance Database'!$D$2:$D$1199,MATCH(1184,Engine!$C$2:$C$1199,0)))</f>
        <v/>
      </c>
      <c r="E1197" s="6" t="str">
        <f>IF(ISNA(MATCH(1184,Engine!$C$2:$C$1199,0)),"",INDEX('Compliance Database'!$E$2:$E$1199,MATCH(1184,Engine!$C$2:$C$1199,0)))</f>
        <v/>
      </c>
      <c r="F1197" s="6" t="str">
        <f>IF(ISNA(MATCH(1184,Engine!$C$2:$C$1199,0)),"",INDEX('Compliance Database'!$F$2:$F$1199,MATCH(1184,Engine!$C$2:$C$1199,0)))</f>
        <v/>
      </c>
      <c r="G1197" s="6" t="str">
        <f>IF(ISNA(MATCH(1184,Engine!$C$2:$C$1199,0)),"",INDEX('Compliance Database'!$G$2:$G$1199,MATCH(1184,Engine!$C$2:$C$1199,0)))</f>
        <v/>
      </c>
      <c r="H1197" s="7" t="str">
        <f>IF(ISNA(MATCH(1184,Engine!$C$2:$C$1199,0)),"",INDEX('Compliance Database'!$H$2:$H$1199,MATCH(1184,Engine!$C$2:$C$1199,0)))</f>
        <v/>
      </c>
      <c r="I1197" s="7" t="str">
        <f>IF(ISNA(MATCH(1184,Engine!$C$2:$C$1199,0)),"",INDEX('Compliance Database'!$I$2:$I$1199,MATCH(1184,Engine!$C$2:$C$1199,0)))</f>
        <v/>
      </c>
      <c r="J1197" s="6" t="str">
        <f>IF(ISNA(MATCH(1184,Engine!$C$2:$C$1199,0)),"",INDEX('Compliance Database'!$J$2:$J$1199,MATCH(1184,Engine!$C$2:$C$1199,0)))</f>
        <v/>
      </c>
      <c r="K1197" s="7" t="str">
        <f>IF(ISNA(MATCH(1184,Engine!$C$2:$C$1199,0)),"",INDEX('Compliance Database'!$K$2:$K$1199,MATCH(1184,Engine!$C$2:$C$1199,0)))</f>
        <v/>
      </c>
      <c r="L1197" s="7" t="str">
        <f>IF(ISNA(MATCH(1184,Engine!$C$2:$C$1199,0)),"",INDEX('Compliance Database'!$L$2:$L$1199,MATCH(1184,Engine!$C$2:$C$1199,0)))</f>
        <v/>
      </c>
      <c r="M1197" s="7" t="str">
        <f>IF(ISNA(MATCH(1184,Engine!$C$2:$C$1199,0)),"",INDEX('Compliance Database'!$M$2:$M$1199,MATCH(1184,Engine!$C$2:$C$1199,0)))</f>
        <v/>
      </c>
      <c r="N1197" s="7" t="str">
        <f>IF(ISNA(MATCH(1184,Engine!$C$2:$C$1199,0)),"",INDEX('Compliance Database'!$N$2:$N$1199,MATCH(1184,Engine!$C$2:$C$1199,0)))</f>
        <v/>
      </c>
      <c r="O1197" s="7" t="str">
        <f>IF(ISNA(MATCH(1184,Engine!$C$2:$C$1199,0)),"",INDEX('Compliance Database'!$O$2:$O$1199,MATCH(1184,Engine!$C$2:$C$1199,0)))</f>
        <v/>
      </c>
      <c r="P1197" s="6" t="str">
        <f>IF(ISNA(MATCH(1184,Engine!$C$2:$C$1199,0)),"",HYPERLINK("#Acts!A"&amp;INDEX('Compliance Database'!$P$2:$P$1199,MATCH(1184,Engine!$C$2:$C$1199,0)),"Go to Act"))</f>
        <v/>
      </c>
    </row>
    <row r="1198" spans="1:16" ht="172.95" customHeight="1" x14ac:dyDescent="0.3">
      <c r="A1198" s="6" t="str">
        <f>IF(ISNA(MATCH(1185,Engine!$C$2:$C$1199,0)),"",INDEX('Compliance Database'!$A$2:$A$1199,MATCH(1185,Engine!$C$2:$C$1199,0)))</f>
        <v/>
      </c>
      <c r="B1198" s="6" t="str">
        <f>IF(ISNA(MATCH(1185,Engine!$C$2:$C$1199,0)),"",INDEX('Compliance Database'!$B$2:$B$1199,MATCH(1185,Engine!$C$2:$C$1199,0)))</f>
        <v/>
      </c>
      <c r="C1198" s="6" t="str">
        <f>IF(ISNA(MATCH(1185,Engine!$C$2:$C$1199,0)),"",INDEX('Compliance Database'!$C$2:$C$1199,MATCH(1185,Engine!$C$2:$C$1199,0)))</f>
        <v/>
      </c>
      <c r="D1198" s="7" t="str">
        <f>IF(ISNA(MATCH(1185,Engine!$C$2:$C$1199,0)),"",INDEX('Compliance Database'!$D$2:$D$1199,MATCH(1185,Engine!$C$2:$C$1199,0)))</f>
        <v/>
      </c>
      <c r="E1198" s="6" t="str">
        <f>IF(ISNA(MATCH(1185,Engine!$C$2:$C$1199,0)),"",INDEX('Compliance Database'!$E$2:$E$1199,MATCH(1185,Engine!$C$2:$C$1199,0)))</f>
        <v/>
      </c>
      <c r="F1198" s="6" t="str">
        <f>IF(ISNA(MATCH(1185,Engine!$C$2:$C$1199,0)),"",INDEX('Compliance Database'!$F$2:$F$1199,MATCH(1185,Engine!$C$2:$C$1199,0)))</f>
        <v/>
      </c>
      <c r="G1198" s="6" t="str">
        <f>IF(ISNA(MATCH(1185,Engine!$C$2:$C$1199,0)),"",INDEX('Compliance Database'!$G$2:$G$1199,MATCH(1185,Engine!$C$2:$C$1199,0)))</f>
        <v/>
      </c>
      <c r="H1198" s="7" t="str">
        <f>IF(ISNA(MATCH(1185,Engine!$C$2:$C$1199,0)),"",INDEX('Compliance Database'!$H$2:$H$1199,MATCH(1185,Engine!$C$2:$C$1199,0)))</f>
        <v/>
      </c>
      <c r="I1198" s="7" t="str">
        <f>IF(ISNA(MATCH(1185,Engine!$C$2:$C$1199,0)),"",INDEX('Compliance Database'!$I$2:$I$1199,MATCH(1185,Engine!$C$2:$C$1199,0)))</f>
        <v/>
      </c>
      <c r="J1198" s="6" t="str">
        <f>IF(ISNA(MATCH(1185,Engine!$C$2:$C$1199,0)),"",INDEX('Compliance Database'!$J$2:$J$1199,MATCH(1185,Engine!$C$2:$C$1199,0)))</f>
        <v/>
      </c>
      <c r="K1198" s="7" t="str">
        <f>IF(ISNA(MATCH(1185,Engine!$C$2:$C$1199,0)),"",INDEX('Compliance Database'!$K$2:$K$1199,MATCH(1185,Engine!$C$2:$C$1199,0)))</f>
        <v/>
      </c>
      <c r="L1198" s="7" t="str">
        <f>IF(ISNA(MATCH(1185,Engine!$C$2:$C$1199,0)),"",INDEX('Compliance Database'!$L$2:$L$1199,MATCH(1185,Engine!$C$2:$C$1199,0)))</f>
        <v/>
      </c>
      <c r="M1198" s="7" t="str">
        <f>IF(ISNA(MATCH(1185,Engine!$C$2:$C$1199,0)),"",INDEX('Compliance Database'!$M$2:$M$1199,MATCH(1185,Engine!$C$2:$C$1199,0)))</f>
        <v/>
      </c>
      <c r="N1198" s="7" t="str">
        <f>IF(ISNA(MATCH(1185,Engine!$C$2:$C$1199,0)),"",INDEX('Compliance Database'!$N$2:$N$1199,MATCH(1185,Engine!$C$2:$C$1199,0)))</f>
        <v/>
      </c>
      <c r="O1198" s="7" t="str">
        <f>IF(ISNA(MATCH(1185,Engine!$C$2:$C$1199,0)),"",INDEX('Compliance Database'!$O$2:$O$1199,MATCH(1185,Engine!$C$2:$C$1199,0)))</f>
        <v/>
      </c>
      <c r="P1198" s="6" t="str">
        <f>IF(ISNA(MATCH(1185,Engine!$C$2:$C$1199,0)),"",HYPERLINK("#Acts!A"&amp;INDEX('Compliance Database'!$P$2:$P$1199,MATCH(1185,Engine!$C$2:$C$1199,0)),"Go to Act"))</f>
        <v/>
      </c>
    </row>
    <row r="1199" spans="1:16" ht="172.95" customHeight="1" x14ac:dyDescent="0.3">
      <c r="A1199" s="6" t="str">
        <f>IF(ISNA(MATCH(1186,Engine!$C$2:$C$1199,0)),"",INDEX('Compliance Database'!$A$2:$A$1199,MATCH(1186,Engine!$C$2:$C$1199,0)))</f>
        <v/>
      </c>
      <c r="B1199" s="6" t="str">
        <f>IF(ISNA(MATCH(1186,Engine!$C$2:$C$1199,0)),"",INDEX('Compliance Database'!$B$2:$B$1199,MATCH(1186,Engine!$C$2:$C$1199,0)))</f>
        <v/>
      </c>
      <c r="C1199" s="6" t="str">
        <f>IF(ISNA(MATCH(1186,Engine!$C$2:$C$1199,0)),"",INDEX('Compliance Database'!$C$2:$C$1199,MATCH(1186,Engine!$C$2:$C$1199,0)))</f>
        <v/>
      </c>
      <c r="D1199" s="7" t="str">
        <f>IF(ISNA(MATCH(1186,Engine!$C$2:$C$1199,0)),"",INDEX('Compliance Database'!$D$2:$D$1199,MATCH(1186,Engine!$C$2:$C$1199,0)))</f>
        <v/>
      </c>
      <c r="E1199" s="6" t="str">
        <f>IF(ISNA(MATCH(1186,Engine!$C$2:$C$1199,0)),"",INDEX('Compliance Database'!$E$2:$E$1199,MATCH(1186,Engine!$C$2:$C$1199,0)))</f>
        <v/>
      </c>
      <c r="F1199" s="6" t="str">
        <f>IF(ISNA(MATCH(1186,Engine!$C$2:$C$1199,0)),"",INDEX('Compliance Database'!$F$2:$F$1199,MATCH(1186,Engine!$C$2:$C$1199,0)))</f>
        <v/>
      </c>
      <c r="G1199" s="6" t="str">
        <f>IF(ISNA(MATCH(1186,Engine!$C$2:$C$1199,0)),"",INDEX('Compliance Database'!$G$2:$G$1199,MATCH(1186,Engine!$C$2:$C$1199,0)))</f>
        <v/>
      </c>
      <c r="H1199" s="7" t="str">
        <f>IF(ISNA(MATCH(1186,Engine!$C$2:$C$1199,0)),"",INDEX('Compliance Database'!$H$2:$H$1199,MATCH(1186,Engine!$C$2:$C$1199,0)))</f>
        <v/>
      </c>
      <c r="I1199" s="7" t="str">
        <f>IF(ISNA(MATCH(1186,Engine!$C$2:$C$1199,0)),"",INDEX('Compliance Database'!$I$2:$I$1199,MATCH(1186,Engine!$C$2:$C$1199,0)))</f>
        <v/>
      </c>
      <c r="J1199" s="6" t="str">
        <f>IF(ISNA(MATCH(1186,Engine!$C$2:$C$1199,0)),"",INDEX('Compliance Database'!$J$2:$J$1199,MATCH(1186,Engine!$C$2:$C$1199,0)))</f>
        <v/>
      </c>
      <c r="K1199" s="7" t="str">
        <f>IF(ISNA(MATCH(1186,Engine!$C$2:$C$1199,0)),"",INDEX('Compliance Database'!$K$2:$K$1199,MATCH(1186,Engine!$C$2:$C$1199,0)))</f>
        <v/>
      </c>
      <c r="L1199" s="7" t="str">
        <f>IF(ISNA(MATCH(1186,Engine!$C$2:$C$1199,0)),"",INDEX('Compliance Database'!$L$2:$L$1199,MATCH(1186,Engine!$C$2:$C$1199,0)))</f>
        <v/>
      </c>
      <c r="M1199" s="7" t="str">
        <f>IF(ISNA(MATCH(1186,Engine!$C$2:$C$1199,0)),"",INDEX('Compliance Database'!$M$2:$M$1199,MATCH(1186,Engine!$C$2:$C$1199,0)))</f>
        <v/>
      </c>
      <c r="N1199" s="7" t="str">
        <f>IF(ISNA(MATCH(1186,Engine!$C$2:$C$1199,0)),"",INDEX('Compliance Database'!$N$2:$N$1199,MATCH(1186,Engine!$C$2:$C$1199,0)))</f>
        <v/>
      </c>
      <c r="O1199" s="7" t="str">
        <f>IF(ISNA(MATCH(1186,Engine!$C$2:$C$1199,0)),"",INDEX('Compliance Database'!$O$2:$O$1199,MATCH(1186,Engine!$C$2:$C$1199,0)))</f>
        <v/>
      </c>
      <c r="P1199" s="6" t="str">
        <f>IF(ISNA(MATCH(1186,Engine!$C$2:$C$1199,0)),"",HYPERLINK("#Acts!A"&amp;INDEX('Compliance Database'!$P$2:$P$1199,MATCH(1186,Engine!$C$2:$C$1199,0)),"Go to Act"))</f>
        <v/>
      </c>
    </row>
    <row r="1200" spans="1:16" ht="172.95" customHeight="1" x14ac:dyDescent="0.3">
      <c r="A1200" s="6" t="str">
        <f>IF(ISNA(MATCH(1187,Engine!$C$2:$C$1199,0)),"",INDEX('Compliance Database'!$A$2:$A$1199,MATCH(1187,Engine!$C$2:$C$1199,0)))</f>
        <v/>
      </c>
      <c r="B1200" s="6" t="str">
        <f>IF(ISNA(MATCH(1187,Engine!$C$2:$C$1199,0)),"",INDEX('Compliance Database'!$B$2:$B$1199,MATCH(1187,Engine!$C$2:$C$1199,0)))</f>
        <v/>
      </c>
      <c r="C1200" s="6" t="str">
        <f>IF(ISNA(MATCH(1187,Engine!$C$2:$C$1199,0)),"",INDEX('Compliance Database'!$C$2:$C$1199,MATCH(1187,Engine!$C$2:$C$1199,0)))</f>
        <v/>
      </c>
      <c r="D1200" s="7" t="str">
        <f>IF(ISNA(MATCH(1187,Engine!$C$2:$C$1199,0)),"",INDEX('Compliance Database'!$D$2:$D$1199,MATCH(1187,Engine!$C$2:$C$1199,0)))</f>
        <v/>
      </c>
      <c r="E1200" s="6" t="str">
        <f>IF(ISNA(MATCH(1187,Engine!$C$2:$C$1199,0)),"",INDEX('Compliance Database'!$E$2:$E$1199,MATCH(1187,Engine!$C$2:$C$1199,0)))</f>
        <v/>
      </c>
      <c r="F1200" s="6" t="str">
        <f>IF(ISNA(MATCH(1187,Engine!$C$2:$C$1199,0)),"",INDEX('Compliance Database'!$F$2:$F$1199,MATCH(1187,Engine!$C$2:$C$1199,0)))</f>
        <v/>
      </c>
      <c r="G1200" s="6" t="str">
        <f>IF(ISNA(MATCH(1187,Engine!$C$2:$C$1199,0)),"",INDEX('Compliance Database'!$G$2:$G$1199,MATCH(1187,Engine!$C$2:$C$1199,0)))</f>
        <v/>
      </c>
      <c r="H1200" s="7" t="str">
        <f>IF(ISNA(MATCH(1187,Engine!$C$2:$C$1199,0)),"",INDEX('Compliance Database'!$H$2:$H$1199,MATCH(1187,Engine!$C$2:$C$1199,0)))</f>
        <v/>
      </c>
      <c r="I1200" s="7" t="str">
        <f>IF(ISNA(MATCH(1187,Engine!$C$2:$C$1199,0)),"",INDEX('Compliance Database'!$I$2:$I$1199,MATCH(1187,Engine!$C$2:$C$1199,0)))</f>
        <v/>
      </c>
      <c r="J1200" s="6" t="str">
        <f>IF(ISNA(MATCH(1187,Engine!$C$2:$C$1199,0)),"",INDEX('Compliance Database'!$J$2:$J$1199,MATCH(1187,Engine!$C$2:$C$1199,0)))</f>
        <v/>
      </c>
      <c r="K1200" s="7" t="str">
        <f>IF(ISNA(MATCH(1187,Engine!$C$2:$C$1199,0)),"",INDEX('Compliance Database'!$K$2:$K$1199,MATCH(1187,Engine!$C$2:$C$1199,0)))</f>
        <v/>
      </c>
      <c r="L1200" s="7" t="str">
        <f>IF(ISNA(MATCH(1187,Engine!$C$2:$C$1199,0)),"",INDEX('Compliance Database'!$L$2:$L$1199,MATCH(1187,Engine!$C$2:$C$1199,0)))</f>
        <v/>
      </c>
      <c r="M1200" s="7" t="str">
        <f>IF(ISNA(MATCH(1187,Engine!$C$2:$C$1199,0)),"",INDEX('Compliance Database'!$M$2:$M$1199,MATCH(1187,Engine!$C$2:$C$1199,0)))</f>
        <v/>
      </c>
      <c r="N1200" s="7" t="str">
        <f>IF(ISNA(MATCH(1187,Engine!$C$2:$C$1199,0)),"",INDEX('Compliance Database'!$N$2:$N$1199,MATCH(1187,Engine!$C$2:$C$1199,0)))</f>
        <v/>
      </c>
      <c r="O1200" s="7" t="str">
        <f>IF(ISNA(MATCH(1187,Engine!$C$2:$C$1199,0)),"",INDEX('Compliance Database'!$O$2:$O$1199,MATCH(1187,Engine!$C$2:$C$1199,0)))</f>
        <v/>
      </c>
      <c r="P1200" s="6" t="str">
        <f>IF(ISNA(MATCH(1187,Engine!$C$2:$C$1199,0)),"",HYPERLINK("#Acts!A"&amp;INDEX('Compliance Database'!$P$2:$P$1199,MATCH(1187,Engine!$C$2:$C$1199,0)),"Go to Act"))</f>
        <v/>
      </c>
    </row>
    <row r="1201" spans="1:16" ht="172.95" customHeight="1" x14ac:dyDescent="0.3">
      <c r="A1201" s="6" t="str">
        <f>IF(ISNA(MATCH(1188,Engine!$C$2:$C$1199,0)),"",INDEX('Compliance Database'!$A$2:$A$1199,MATCH(1188,Engine!$C$2:$C$1199,0)))</f>
        <v/>
      </c>
      <c r="B1201" s="6" t="str">
        <f>IF(ISNA(MATCH(1188,Engine!$C$2:$C$1199,0)),"",INDEX('Compliance Database'!$B$2:$B$1199,MATCH(1188,Engine!$C$2:$C$1199,0)))</f>
        <v/>
      </c>
      <c r="C1201" s="6" t="str">
        <f>IF(ISNA(MATCH(1188,Engine!$C$2:$C$1199,0)),"",INDEX('Compliance Database'!$C$2:$C$1199,MATCH(1188,Engine!$C$2:$C$1199,0)))</f>
        <v/>
      </c>
      <c r="D1201" s="7" t="str">
        <f>IF(ISNA(MATCH(1188,Engine!$C$2:$C$1199,0)),"",INDEX('Compliance Database'!$D$2:$D$1199,MATCH(1188,Engine!$C$2:$C$1199,0)))</f>
        <v/>
      </c>
      <c r="E1201" s="6" t="str">
        <f>IF(ISNA(MATCH(1188,Engine!$C$2:$C$1199,0)),"",INDEX('Compliance Database'!$E$2:$E$1199,MATCH(1188,Engine!$C$2:$C$1199,0)))</f>
        <v/>
      </c>
      <c r="F1201" s="6" t="str">
        <f>IF(ISNA(MATCH(1188,Engine!$C$2:$C$1199,0)),"",INDEX('Compliance Database'!$F$2:$F$1199,MATCH(1188,Engine!$C$2:$C$1199,0)))</f>
        <v/>
      </c>
      <c r="G1201" s="6" t="str">
        <f>IF(ISNA(MATCH(1188,Engine!$C$2:$C$1199,0)),"",INDEX('Compliance Database'!$G$2:$G$1199,MATCH(1188,Engine!$C$2:$C$1199,0)))</f>
        <v/>
      </c>
      <c r="H1201" s="7" t="str">
        <f>IF(ISNA(MATCH(1188,Engine!$C$2:$C$1199,0)),"",INDEX('Compliance Database'!$H$2:$H$1199,MATCH(1188,Engine!$C$2:$C$1199,0)))</f>
        <v/>
      </c>
      <c r="I1201" s="7" t="str">
        <f>IF(ISNA(MATCH(1188,Engine!$C$2:$C$1199,0)),"",INDEX('Compliance Database'!$I$2:$I$1199,MATCH(1188,Engine!$C$2:$C$1199,0)))</f>
        <v/>
      </c>
      <c r="J1201" s="6" t="str">
        <f>IF(ISNA(MATCH(1188,Engine!$C$2:$C$1199,0)),"",INDEX('Compliance Database'!$J$2:$J$1199,MATCH(1188,Engine!$C$2:$C$1199,0)))</f>
        <v/>
      </c>
      <c r="K1201" s="7" t="str">
        <f>IF(ISNA(MATCH(1188,Engine!$C$2:$C$1199,0)),"",INDEX('Compliance Database'!$K$2:$K$1199,MATCH(1188,Engine!$C$2:$C$1199,0)))</f>
        <v/>
      </c>
      <c r="L1201" s="7" t="str">
        <f>IF(ISNA(MATCH(1188,Engine!$C$2:$C$1199,0)),"",INDEX('Compliance Database'!$L$2:$L$1199,MATCH(1188,Engine!$C$2:$C$1199,0)))</f>
        <v/>
      </c>
      <c r="M1201" s="7" t="str">
        <f>IF(ISNA(MATCH(1188,Engine!$C$2:$C$1199,0)),"",INDEX('Compliance Database'!$M$2:$M$1199,MATCH(1188,Engine!$C$2:$C$1199,0)))</f>
        <v/>
      </c>
      <c r="N1201" s="7" t="str">
        <f>IF(ISNA(MATCH(1188,Engine!$C$2:$C$1199,0)),"",INDEX('Compliance Database'!$N$2:$N$1199,MATCH(1188,Engine!$C$2:$C$1199,0)))</f>
        <v/>
      </c>
      <c r="O1201" s="7" t="str">
        <f>IF(ISNA(MATCH(1188,Engine!$C$2:$C$1199,0)),"",INDEX('Compliance Database'!$O$2:$O$1199,MATCH(1188,Engine!$C$2:$C$1199,0)))</f>
        <v/>
      </c>
      <c r="P1201" s="6" t="str">
        <f>IF(ISNA(MATCH(1188,Engine!$C$2:$C$1199,0)),"",HYPERLINK("#Acts!A"&amp;INDEX('Compliance Database'!$P$2:$P$1199,MATCH(1188,Engine!$C$2:$C$1199,0)),"Go to Act"))</f>
        <v/>
      </c>
    </row>
    <row r="1202" spans="1:16" ht="172.95" customHeight="1" x14ac:dyDescent="0.3">
      <c r="A1202" s="6" t="str">
        <f>IF(ISNA(MATCH(1189,Engine!$C$2:$C$1199,0)),"",INDEX('Compliance Database'!$A$2:$A$1199,MATCH(1189,Engine!$C$2:$C$1199,0)))</f>
        <v/>
      </c>
      <c r="B1202" s="6" t="str">
        <f>IF(ISNA(MATCH(1189,Engine!$C$2:$C$1199,0)),"",INDEX('Compliance Database'!$B$2:$B$1199,MATCH(1189,Engine!$C$2:$C$1199,0)))</f>
        <v/>
      </c>
      <c r="C1202" s="6" t="str">
        <f>IF(ISNA(MATCH(1189,Engine!$C$2:$C$1199,0)),"",INDEX('Compliance Database'!$C$2:$C$1199,MATCH(1189,Engine!$C$2:$C$1199,0)))</f>
        <v/>
      </c>
      <c r="D1202" s="7" t="str">
        <f>IF(ISNA(MATCH(1189,Engine!$C$2:$C$1199,0)),"",INDEX('Compliance Database'!$D$2:$D$1199,MATCH(1189,Engine!$C$2:$C$1199,0)))</f>
        <v/>
      </c>
      <c r="E1202" s="6" t="str">
        <f>IF(ISNA(MATCH(1189,Engine!$C$2:$C$1199,0)),"",INDEX('Compliance Database'!$E$2:$E$1199,MATCH(1189,Engine!$C$2:$C$1199,0)))</f>
        <v/>
      </c>
      <c r="F1202" s="6" t="str">
        <f>IF(ISNA(MATCH(1189,Engine!$C$2:$C$1199,0)),"",INDEX('Compliance Database'!$F$2:$F$1199,MATCH(1189,Engine!$C$2:$C$1199,0)))</f>
        <v/>
      </c>
      <c r="G1202" s="6" t="str">
        <f>IF(ISNA(MATCH(1189,Engine!$C$2:$C$1199,0)),"",INDEX('Compliance Database'!$G$2:$G$1199,MATCH(1189,Engine!$C$2:$C$1199,0)))</f>
        <v/>
      </c>
      <c r="H1202" s="7" t="str">
        <f>IF(ISNA(MATCH(1189,Engine!$C$2:$C$1199,0)),"",INDEX('Compliance Database'!$H$2:$H$1199,MATCH(1189,Engine!$C$2:$C$1199,0)))</f>
        <v/>
      </c>
      <c r="I1202" s="7" t="str">
        <f>IF(ISNA(MATCH(1189,Engine!$C$2:$C$1199,0)),"",INDEX('Compliance Database'!$I$2:$I$1199,MATCH(1189,Engine!$C$2:$C$1199,0)))</f>
        <v/>
      </c>
      <c r="J1202" s="6" t="str">
        <f>IF(ISNA(MATCH(1189,Engine!$C$2:$C$1199,0)),"",INDEX('Compliance Database'!$J$2:$J$1199,MATCH(1189,Engine!$C$2:$C$1199,0)))</f>
        <v/>
      </c>
      <c r="K1202" s="7" t="str">
        <f>IF(ISNA(MATCH(1189,Engine!$C$2:$C$1199,0)),"",INDEX('Compliance Database'!$K$2:$K$1199,MATCH(1189,Engine!$C$2:$C$1199,0)))</f>
        <v/>
      </c>
      <c r="L1202" s="7" t="str">
        <f>IF(ISNA(MATCH(1189,Engine!$C$2:$C$1199,0)),"",INDEX('Compliance Database'!$L$2:$L$1199,MATCH(1189,Engine!$C$2:$C$1199,0)))</f>
        <v/>
      </c>
      <c r="M1202" s="7" t="str">
        <f>IF(ISNA(MATCH(1189,Engine!$C$2:$C$1199,0)),"",INDEX('Compliance Database'!$M$2:$M$1199,MATCH(1189,Engine!$C$2:$C$1199,0)))</f>
        <v/>
      </c>
      <c r="N1202" s="7" t="str">
        <f>IF(ISNA(MATCH(1189,Engine!$C$2:$C$1199,0)),"",INDEX('Compliance Database'!$N$2:$N$1199,MATCH(1189,Engine!$C$2:$C$1199,0)))</f>
        <v/>
      </c>
      <c r="O1202" s="7" t="str">
        <f>IF(ISNA(MATCH(1189,Engine!$C$2:$C$1199,0)),"",INDEX('Compliance Database'!$O$2:$O$1199,MATCH(1189,Engine!$C$2:$C$1199,0)))</f>
        <v/>
      </c>
      <c r="P1202" s="6" t="str">
        <f>IF(ISNA(MATCH(1189,Engine!$C$2:$C$1199,0)),"",HYPERLINK("#Acts!A"&amp;INDEX('Compliance Database'!$P$2:$P$1199,MATCH(1189,Engine!$C$2:$C$1199,0)),"Go to Act"))</f>
        <v/>
      </c>
    </row>
    <row r="1203" spans="1:16" ht="172.95" customHeight="1" x14ac:dyDescent="0.3">
      <c r="A1203" s="6" t="str">
        <f>IF(ISNA(MATCH(1190,Engine!$C$2:$C$1199,0)),"",INDEX('Compliance Database'!$A$2:$A$1199,MATCH(1190,Engine!$C$2:$C$1199,0)))</f>
        <v/>
      </c>
      <c r="B1203" s="6" t="str">
        <f>IF(ISNA(MATCH(1190,Engine!$C$2:$C$1199,0)),"",INDEX('Compliance Database'!$B$2:$B$1199,MATCH(1190,Engine!$C$2:$C$1199,0)))</f>
        <v/>
      </c>
      <c r="C1203" s="6" t="str">
        <f>IF(ISNA(MATCH(1190,Engine!$C$2:$C$1199,0)),"",INDEX('Compliance Database'!$C$2:$C$1199,MATCH(1190,Engine!$C$2:$C$1199,0)))</f>
        <v/>
      </c>
      <c r="D1203" s="7" t="str">
        <f>IF(ISNA(MATCH(1190,Engine!$C$2:$C$1199,0)),"",INDEX('Compliance Database'!$D$2:$D$1199,MATCH(1190,Engine!$C$2:$C$1199,0)))</f>
        <v/>
      </c>
      <c r="E1203" s="6" t="str">
        <f>IF(ISNA(MATCH(1190,Engine!$C$2:$C$1199,0)),"",INDEX('Compliance Database'!$E$2:$E$1199,MATCH(1190,Engine!$C$2:$C$1199,0)))</f>
        <v/>
      </c>
      <c r="F1203" s="6" t="str">
        <f>IF(ISNA(MATCH(1190,Engine!$C$2:$C$1199,0)),"",INDEX('Compliance Database'!$F$2:$F$1199,MATCH(1190,Engine!$C$2:$C$1199,0)))</f>
        <v/>
      </c>
      <c r="G1203" s="6" t="str">
        <f>IF(ISNA(MATCH(1190,Engine!$C$2:$C$1199,0)),"",INDEX('Compliance Database'!$G$2:$G$1199,MATCH(1190,Engine!$C$2:$C$1199,0)))</f>
        <v/>
      </c>
      <c r="H1203" s="7" t="str">
        <f>IF(ISNA(MATCH(1190,Engine!$C$2:$C$1199,0)),"",INDEX('Compliance Database'!$H$2:$H$1199,MATCH(1190,Engine!$C$2:$C$1199,0)))</f>
        <v/>
      </c>
      <c r="I1203" s="7" t="str">
        <f>IF(ISNA(MATCH(1190,Engine!$C$2:$C$1199,0)),"",INDEX('Compliance Database'!$I$2:$I$1199,MATCH(1190,Engine!$C$2:$C$1199,0)))</f>
        <v/>
      </c>
      <c r="J1203" s="6" t="str">
        <f>IF(ISNA(MATCH(1190,Engine!$C$2:$C$1199,0)),"",INDEX('Compliance Database'!$J$2:$J$1199,MATCH(1190,Engine!$C$2:$C$1199,0)))</f>
        <v/>
      </c>
      <c r="K1203" s="7" t="str">
        <f>IF(ISNA(MATCH(1190,Engine!$C$2:$C$1199,0)),"",INDEX('Compliance Database'!$K$2:$K$1199,MATCH(1190,Engine!$C$2:$C$1199,0)))</f>
        <v/>
      </c>
      <c r="L1203" s="7" t="str">
        <f>IF(ISNA(MATCH(1190,Engine!$C$2:$C$1199,0)),"",INDEX('Compliance Database'!$L$2:$L$1199,MATCH(1190,Engine!$C$2:$C$1199,0)))</f>
        <v/>
      </c>
      <c r="M1203" s="7" t="str">
        <f>IF(ISNA(MATCH(1190,Engine!$C$2:$C$1199,0)),"",INDEX('Compliance Database'!$M$2:$M$1199,MATCH(1190,Engine!$C$2:$C$1199,0)))</f>
        <v/>
      </c>
      <c r="N1203" s="7" t="str">
        <f>IF(ISNA(MATCH(1190,Engine!$C$2:$C$1199,0)),"",INDEX('Compliance Database'!$N$2:$N$1199,MATCH(1190,Engine!$C$2:$C$1199,0)))</f>
        <v/>
      </c>
      <c r="O1203" s="7" t="str">
        <f>IF(ISNA(MATCH(1190,Engine!$C$2:$C$1199,0)),"",INDEX('Compliance Database'!$O$2:$O$1199,MATCH(1190,Engine!$C$2:$C$1199,0)))</f>
        <v/>
      </c>
      <c r="P1203" s="6" t="str">
        <f>IF(ISNA(MATCH(1190,Engine!$C$2:$C$1199,0)),"",HYPERLINK("#Acts!A"&amp;INDEX('Compliance Database'!$P$2:$P$1199,MATCH(1190,Engine!$C$2:$C$1199,0)),"Go to Act"))</f>
        <v/>
      </c>
    </row>
    <row r="1204" spans="1:16" ht="172.95" customHeight="1" x14ac:dyDescent="0.3">
      <c r="A1204" s="6" t="str">
        <f>IF(ISNA(MATCH(1191,Engine!$C$2:$C$1199,0)),"",INDEX('Compliance Database'!$A$2:$A$1199,MATCH(1191,Engine!$C$2:$C$1199,0)))</f>
        <v/>
      </c>
      <c r="B1204" s="6" t="str">
        <f>IF(ISNA(MATCH(1191,Engine!$C$2:$C$1199,0)),"",INDEX('Compliance Database'!$B$2:$B$1199,MATCH(1191,Engine!$C$2:$C$1199,0)))</f>
        <v/>
      </c>
      <c r="C1204" s="6" t="str">
        <f>IF(ISNA(MATCH(1191,Engine!$C$2:$C$1199,0)),"",INDEX('Compliance Database'!$C$2:$C$1199,MATCH(1191,Engine!$C$2:$C$1199,0)))</f>
        <v/>
      </c>
      <c r="D1204" s="7" t="str">
        <f>IF(ISNA(MATCH(1191,Engine!$C$2:$C$1199,0)),"",INDEX('Compliance Database'!$D$2:$D$1199,MATCH(1191,Engine!$C$2:$C$1199,0)))</f>
        <v/>
      </c>
      <c r="E1204" s="6" t="str">
        <f>IF(ISNA(MATCH(1191,Engine!$C$2:$C$1199,0)),"",INDEX('Compliance Database'!$E$2:$E$1199,MATCH(1191,Engine!$C$2:$C$1199,0)))</f>
        <v/>
      </c>
      <c r="F1204" s="6" t="str">
        <f>IF(ISNA(MATCH(1191,Engine!$C$2:$C$1199,0)),"",INDEX('Compliance Database'!$F$2:$F$1199,MATCH(1191,Engine!$C$2:$C$1199,0)))</f>
        <v/>
      </c>
      <c r="G1204" s="6" t="str">
        <f>IF(ISNA(MATCH(1191,Engine!$C$2:$C$1199,0)),"",INDEX('Compliance Database'!$G$2:$G$1199,MATCH(1191,Engine!$C$2:$C$1199,0)))</f>
        <v/>
      </c>
      <c r="H1204" s="7" t="str">
        <f>IF(ISNA(MATCH(1191,Engine!$C$2:$C$1199,0)),"",INDEX('Compliance Database'!$H$2:$H$1199,MATCH(1191,Engine!$C$2:$C$1199,0)))</f>
        <v/>
      </c>
      <c r="I1204" s="7" t="str">
        <f>IF(ISNA(MATCH(1191,Engine!$C$2:$C$1199,0)),"",INDEX('Compliance Database'!$I$2:$I$1199,MATCH(1191,Engine!$C$2:$C$1199,0)))</f>
        <v/>
      </c>
      <c r="J1204" s="6" t="str">
        <f>IF(ISNA(MATCH(1191,Engine!$C$2:$C$1199,0)),"",INDEX('Compliance Database'!$J$2:$J$1199,MATCH(1191,Engine!$C$2:$C$1199,0)))</f>
        <v/>
      </c>
      <c r="K1204" s="7" t="str">
        <f>IF(ISNA(MATCH(1191,Engine!$C$2:$C$1199,0)),"",INDEX('Compliance Database'!$K$2:$K$1199,MATCH(1191,Engine!$C$2:$C$1199,0)))</f>
        <v/>
      </c>
      <c r="L1204" s="7" t="str">
        <f>IF(ISNA(MATCH(1191,Engine!$C$2:$C$1199,0)),"",INDEX('Compliance Database'!$L$2:$L$1199,MATCH(1191,Engine!$C$2:$C$1199,0)))</f>
        <v/>
      </c>
      <c r="M1204" s="7" t="str">
        <f>IF(ISNA(MATCH(1191,Engine!$C$2:$C$1199,0)),"",INDEX('Compliance Database'!$M$2:$M$1199,MATCH(1191,Engine!$C$2:$C$1199,0)))</f>
        <v/>
      </c>
      <c r="N1204" s="7" t="str">
        <f>IF(ISNA(MATCH(1191,Engine!$C$2:$C$1199,0)),"",INDEX('Compliance Database'!$N$2:$N$1199,MATCH(1191,Engine!$C$2:$C$1199,0)))</f>
        <v/>
      </c>
      <c r="O1204" s="7" t="str">
        <f>IF(ISNA(MATCH(1191,Engine!$C$2:$C$1199,0)),"",INDEX('Compliance Database'!$O$2:$O$1199,MATCH(1191,Engine!$C$2:$C$1199,0)))</f>
        <v/>
      </c>
      <c r="P1204" s="6" t="str">
        <f>IF(ISNA(MATCH(1191,Engine!$C$2:$C$1199,0)),"",HYPERLINK("#Acts!A"&amp;INDEX('Compliance Database'!$P$2:$P$1199,MATCH(1191,Engine!$C$2:$C$1199,0)),"Go to Act"))</f>
        <v/>
      </c>
    </row>
    <row r="1205" spans="1:16" ht="172.95" customHeight="1" x14ac:dyDescent="0.3">
      <c r="A1205" s="6" t="str">
        <f>IF(ISNA(MATCH(1192,Engine!$C$2:$C$1199,0)),"",INDEX('Compliance Database'!$A$2:$A$1199,MATCH(1192,Engine!$C$2:$C$1199,0)))</f>
        <v/>
      </c>
      <c r="B1205" s="6" t="str">
        <f>IF(ISNA(MATCH(1192,Engine!$C$2:$C$1199,0)),"",INDEX('Compliance Database'!$B$2:$B$1199,MATCH(1192,Engine!$C$2:$C$1199,0)))</f>
        <v/>
      </c>
      <c r="C1205" s="6" t="str">
        <f>IF(ISNA(MATCH(1192,Engine!$C$2:$C$1199,0)),"",INDEX('Compliance Database'!$C$2:$C$1199,MATCH(1192,Engine!$C$2:$C$1199,0)))</f>
        <v/>
      </c>
      <c r="D1205" s="7" t="str">
        <f>IF(ISNA(MATCH(1192,Engine!$C$2:$C$1199,0)),"",INDEX('Compliance Database'!$D$2:$D$1199,MATCH(1192,Engine!$C$2:$C$1199,0)))</f>
        <v/>
      </c>
      <c r="E1205" s="6" t="str">
        <f>IF(ISNA(MATCH(1192,Engine!$C$2:$C$1199,0)),"",INDEX('Compliance Database'!$E$2:$E$1199,MATCH(1192,Engine!$C$2:$C$1199,0)))</f>
        <v/>
      </c>
      <c r="F1205" s="6" t="str">
        <f>IF(ISNA(MATCH(1192,Engine!$C$2:$C$1199,0)),"",INDEX('Compliance Database'!$F$2:$F$1199,MATCH(1192,Engine!$C$2:$C$1199,0)))</f>
        <v/>
      </c>
      <c r="G1205" s="6" t="str">
        <f>IF(ISNA(MATCH(1192,Engine!$C$2:$C$1199,0)),"",INDEX('Compliance Database'!$G$2:$G$1199,MATCH(1192,Engine!$C$2:$C$1199,0)))</f>
        <v/>
      </c>
      <c r="H1205" s="7" t="str">
        <f>IF(ISNA(MATCH(1192,Engine!$C$2:$C$1199,0)),"",INDEX('Compliance Database'!$H$2:$H$1199,MATCH(1192,Engine!$C$2:$C$1199,0)))</f>
        <v/>
      </c>
      <c r="I1205" s="7" t="str">
        <f>IF(ISNA(MATCH(1192,Engine!$C$2:$C$1199,0)),"",INDEX('Compliance Database'!$I$2:$I$1199,MATCH(1192,Engine!$C$2:$C$1199,0)))</f>
        <v/>
      </c>
      <c r="J1205" s="6" t="str">
        <f>IF(ISNA(MATCH(1192,Engine!$C$2:$C$1199,0)),"",INDEX('Compliance Database'!$J$2:$J$1199,MATCH(1192,Engine!$C$2:$C$1199,0)))</f>
        <v/>
      </c>
      <c r="K1205" s="7" t="str">
        <f>IF(ISNA(MATCH(1192,Engine!$C$2:$C$1199,0)),"",INDEX('Compliance Database'!$K$2:$K$1199,MATCH(1192,Engine!$C$2:$C$1199,0)))</f>
        <v/>
      </c>
      <c r="L1205" s="7" t="str">
        <f>IF(ISNA(MATCH(1192,Engine!$C$2:$C$1199,0)),"",INDEX('Compliance Database'!$L$2:$L$1199,MATCH(1192,Engine!$C$2:$C$1199,0)))</f>
        <v/>
      </c>
      <c r="M1205" s="7" t="str">
        <f>IF(ISNA(MATCH(1192,Engine!$C$2:$C$1199,0)),"",INDEX('Compliance Database'!$M$2:$M$1199,MATCH(1192,Engine!$C$2:$C$1199,0)))</f>
        <v/>
      </c>
      <c r="N1205" s="7" t="str">
        <f>IF(ISNA(MATCH(1192,Engine!$C$2:$C$1199,0)),"",INDEX('Compliance Database'!$N$2:$N$1199,MATCH(1192,Engine!$C$2:$C$1199,0)))</f>
        <v/>
      </c>
      <c r="O1205" s="7" t="str">
        <f>IF(ISNA(MATCH(1192,Engine!$C$2:$C$1199,0)),"",INDEX('Compliance Database'!$O$2:$O$1199,MATCH(1192,Engine!$C$2:$C$1199,0)))</f>
        <v/>
      </c>
      <c r="P1205" s="6" t="str">
        <f>IF(ISNA(MATCH(1192,Engine!$C$2:$C$1199,0)),"",HYPERLINK("#Acts!A"&amp;INDEX('Compliance Database'!$P$2:$P$1199,MATCH(1192,Engine!$C$2:$C$1199,0)),"Go to Act"))</f>
        <v/>
      </c>
    </row>
    <row r="1206" spans="1:16" ht="172.95" customHeight="1" x14ac:dyDescent="0.3">
      <c r="A1206" s="6" t="str">
        <f>IF(ISNA(MATCH(1193,Engine!$C$2:$C$1199,0)),"",INDEX('Compliance Database'!$A$2:$A$1199,MATCH(1193,Engine!$C$2:$C$1199,0)))</f>
        <v/>
      </c>
      <c r="B1206" s="6" t="str">
        <f>IF(ISNA(MATCH(1193,Engine!$C$2:$C$1199,0)),"",INDEX('Compliance Database'!$B$2:$B$1199,MATCH(1193,Engine!$C$2:$C$1199,0)))</f>
        <v/>
      </c>
      <c r="C1206" s="6" t="str">
        <f>IF(ISNA(MATCH(1193,Engine!$C$2:$C$1199,0)),"",INDEX('Compliance Database'!$C$2:$C$1199,MATCH(1193,Engine!$C$2:$C$1199,0)))</f>
        <v/>
      </c>
      <c r="D1206" s="7" t="str">
        <f>IF(ISNA(MATCH(1193,Engine!$C$2:$C$1199,0)),"",INDEX('Compliance Database'!$D$2:$D$1199,MATCH(1193,Engine!$C$2:$C$1199,0)))</f>
        <v/>
      </c>
      <c r="E1206" s="6" t="str">
        <f>IF(ISNA(MATCH(1193,Engine!$C$2:$C$1199,0)),"",INDEX('Compliance Database'!$E$2:$E$1199,MATCH(1193,Engine!$C$2:$C$1199,0)))</f>
        <v/>
      </c>
      <c r="F1206" s="6" t="str">
        <f>IF(ISNA(MATCH(1193,Engine!$C$2:$C$1199,0)),"",INDEX('Compliance Database'!$F$2:$F$1199,MATCH(1193,Engine!$C$2:$C$1199,0)))</f>
        <v/>
      </c>
      <c r="G1206" s="6" t="str">
        <f>IF(ISNA(MATCH(1193,Engine!$C$2:$C$1199,0)),"",INDEX('Compliance Database'!$G$2:$G$1199,MATCH(1193,Engine!$C$2:$C$1199,0)))</f>
        <v/>
      </c>
      <c r="H1206" s="7" t="str">
        <f>IF(ISNA(MATCH(1193,Engine!$C$2:$C$1199,0)),"",INDEX('Compliance Database'!$H$2:$H$1199,MATCH(1193,Engine!$C$2:$C$1199,0)))</f>
        <v/>
      </c>
      <c r="I1206" s="7" t="str">
        <f>IF(ISNA(MATCH(1193,Engine!$C$2:$C$1199,0)),"",INDEX('Compliance Database'!$I$2:$I$1199,MATCH(1193,Engine!$C$2:$C$1199,0)))</f>
        <v/>
      </c>
      <c r="J1206" s="6" t="str">
        <f>IF(ISNA(MATCH(1193,Engine!$C$2:$C$1199,0)),"",INDEX('Compliance Database'!$J$2:$J$1199,MATCH(1193,Engine!$C$2:$C$1199,0)))</f>
        <v/>
      </c>
      <c r="K1206" s="7" t="str">
        <f>IF(ISNA(MATCH(1193,Engine!$C$2:$C$1199,0)),"",INDEX('Compliance Database'!$K$2:$K$1199,MATCH(1193,Engine!$C$2:$C$1199,0)))</f>
        <v/>
      </c>
      <c r="L1206" s="7" t="str">
        <f>IF(ISNA(MATCH(1193,Engine!$C$2:$C$1199,0)),"",INDEX('Compliance Database'!$L$2:$L$1199,MATCH(1193,Engine!$C$2:$C$1199,0)))</f>
        <v/>
      </c>
      <c r="M1206" s="7" t="str">
        <f>IF(ISNA(MATCH(1193,Engine!$C$2:$C$1199,0)),"",INDEX('Compliance Database'!$M$2:$M$1199,MATCH(1193,Engine!$C$2:$C$1199,0)))</f>
        <v/>
      </c>
      <c r="N1206" s="7" t="str">
        <f>IF(ISNA(MATCH(1193,Engine!$C$2:$C$1199,0)),"",INDEX('Compliance Database'!$N$2:$N$1199,MATCH(1193,Engine!$C$2:$C$1199,0)))</f>
        <v/>
      </c>
      <c r="O1206" s="7" t="str">
        <f>IF(ISNA(MATCH(1193,Engine!$C$2:$C$1199,0)),"",INDEX('Compliance Database'!$O$2:$O$1199,MATCH(1193,Engine!$C$2:$C$1199,0)))</f>
        <v/>
      </c>
      <c r="P1206" s="6" t="str">
        <f>IF(ISNA(MATCH(1193,Engine!$C$2:$C$1199,0)),"",HYPERLINK("#Acts!A"&amp;INDEX('Compliance Database'!$P$2:$P$1199,MATCH(1193,Engine!$C$2:$C$1199,0)),"Go to Act"))</f>
        <v/>
      </c>
    </row>
    <row r="1207" spans="1:16" ht="172.95" customHeight="1" x14ac:dyDescent="0.3">
      <c r="A1207" s="6" t="str">
        <f>IF(ISNA(MATCH(1194,Engine!$C$2:$C$1199,0)),"",INDEX('Compliance Database'!$A$2:$A$1199,MATCH(1194,Engine!$C$2:$C$1199,0)))</f>
        <v/>
      </c>
      <c r="B1207" s="6" t="str">
        <f>IF(ISNA(MATCH(1194,Engine!$C$2:$C$1199,0)),"",INDEX('Compliance Database'!$B$2:$B$1199,MATCH(1194,Engine!$C$2:$C$1199,0)))</f>
        <v/>
      </c>
      <c r="C1207" s="6" t="str">
        <f>IF(ISNA(MATCH(1194,Engine!$C$2:$C$1199,0)),"",INDEX('Compliance Database'!$C$2:$C$1199,MATCH(1194,Engine!$C$2:$C$1199,0)))</f>
        <v/>
      </c>
      <c r="D1207" s="7" t="str">
        <f>IF(ISNA(MATCH(1194,Engine!$C$2:$C$1199,0)),"",INDEX('Compliance Database'!$D$2:$D$1199,MATCH(1194,Engine!$C$2:$C$1199,0)))</f>
        <v/>
      </c>
      <c r="E1207" s="6" t="str">
        <f>IF(ISNA(MATCH(1194,Engine!$C$2:$C$1199,0)),"",INDEX('Compliance Database'!$E$2:$E$1199,MATCH(1194,Engine!$C$2:$C$1199,0)))</f>
        <v/>
      </c>
      <c r="F1207" s="6" t="str">
        <f>IF(ISNA(MATCH(1194,Engine!$C$2:$C$1199,0)),"",INDEX('Compliance Database'!$F$2:$F$1199,MATCH(1194,Engine!$C$2:$C$1199,0)))</f>
        <v/>
      </c>
      <c r="G1207" s="6" t="str">
        <f>IF(ISNA(MATCH(1194,Engine!$C$2:$C$1199,0)),"",INDEX('Compliance Database'!$G$2:$G$1199,MATCH(1194,Engine!$C$2:$C$1199,0)))</f>
        <v/>
      </c>
      <c r="H1207" s="7" t="str">
        <f>IF(ISNA(MATCH(1194,Engine!$C$2:$C$1199,0)),"",INDEX('Compliance Database'!$H$2:$H$1199,MATCH(1194,Engine!$C$2:$C$1199,0)))</f>
        <v/>
      </c>
      <c r="I1207" s="7" t="str">
        <f>IF(ISNA(MATCH(1194,Engine!$C$2:$C$1199,0)),"",INDEX('Compliance Database'!$I$2:$I$1199,MATCH(1194,Engine!$C$2:$C$1199,0)))</f>
        <v/>
      </c>
      <c r="J1207" s="6" t="str">
        <f>IF(ISNA(MATCH(1194,Engine!$C$2:$C$1199,0)),"",INDEX('Compliance Database'!$J$2:$J$1199,MATCH(1194,Engine!$C$2:$C$1199,0)))</f>
        <v/>
      </c>
      <c r="K1207" s="7" t="str">
        <f>IF(ISNA(MATCH(1194,Engine!$C$2:$C$1199,0)),"",INDEX('Compliance Database'!$K$2:$K$1199,MATCH(1194,Engine!$C$2:$C$1199,0)))</f>
        <v/>
      </c>
      <c r="L1207" s="7" t="str">
        <f>IF(ISNA(MATCH(1194,Engine!$C$2:$C$1199,0)),"",INDEX('Compliance Database'!$L$2:$L$1199,MATCH(1194,Engine!$C$2:$C$1199,0)))</f>
        <v/>
      </c>
      <c r="M1207" s="7" t="str">
        <f>IF(ISNA(MATCH(1194,Engine!$C$2:$C$1199,0)),"",INDEX('Compliance Database'!$M$2:$M$1199,MATCH(1194,Engine!$C$2:$C$1199,0)))</f>
        <v/>
      </c>
      <c r="N1207" s="7" t="str">
        <f>IF(ISNA(MATCH(1194,Engine!$C$2:$C$1199,0)),"",INDEX('Compliance Database'!$N$2:$N$1199,MATCH(1194,Engine!$C$2:$C$1199,0)))</f>
        <v/>
      </c>
      <c r="O1207" s="7" t="str">
        <f>IF(ISNA(MATCH(1194,Engine!$C$2:$C$1199,0)),"",INDEX('Compliance Database'!$O$2:$O$1199,MATCH(1194,Engine!$C$2:$C$1199,0)))</f>
        <v/>
      </c>
      <c r="P1207" s="6" t="str">
        <f>IF(ISNA(MATCH(1194,Engine!$C$2:$C$1199,0)),"",HYPERLINK("#Acts!A"&amp;INDEX('Compliance Database'!$P$2:$P$1199,MATCH(1194,Engine!$C$2:$C$1199,0)),"Go to Act"))</f>
        <v/>
      </c>
    </row>
    <row r="1208" spans="1:16" ht="172.95" customHeight="1" x14ac:dyDescent="0.3">
      <c r="A1208" s="6" t="str">
        <f>IF(ISNA(MATCH(1195,Engine!$C$2:$C$1199,0)),"",INDEX('Compliance Database'!$A$2:$A$1199,MATCH(1195,Engine!$C$2:$C$1199,0)))</f>
        <v/>
      </c>
      <c r="B1208" s="6" t="str">
        <f>IF(ISNA(MATCH(1195,Engine!$C$2:$C$1199,0)),"",INDEX('Compliance Database'!$B$2:$B$1199,MATCH(1195,Engine!$C$2:$C$1199,0)))</f>
        <v/>
      </c>
      <c r="C1208" s="6" t="str">
        <f>IF(ISNA(MATCH(1195,Engine!$C$2:$C$1199,0)),"",INDEX('Compliance Database'!$C$2:$C$1199,MATCH(1195,Engine!$C$2:$C$1199,0)))</f>
        <v/>
      </c>
      <c r="D1208" s="7" t="str">
        <f>IF(ISNA(MATCH(1195,Engine!$C$2:$C$1199,0)),"",INDEX('Compliance Database'!$D$2:$D$1199,MATCH(1195,Engine!$C$2:$C$1199,0)))</f>
        <v/>
      </c>
      <c r="E1208" s="6" t="str">
        <f>IF(ISNA(MATCH(1195,Engine!$C$2:$C$1199,0)),"",INDEX('Compliance Database'!$E$2:$E$1199,MATCH(1195,Engine!$C$2:$C$1199,0)))</f>
        <v/>
      </c>
      <c r="F1208" s="6" t="str">
        <f>IF(ISNA(MATCH(1195,Engine!$C$2:$C$1199,0)),"",INDEX('Compliance Database'!$F$2:$F$1199,MATCH(1195,Engine!$C$2:$C$1199,0)))</f>
        <v/>
      </c>
      <c r="G1208" s="6" t="str">
        <f>IF(ISNA(MATCH(1195,Engine!$C$2:$C$1199,0)),"",INDEX('Compliance Database'!$G$2:$G$1199,MATCH(1195,Engine!$C$2:$C$1199,0)))</f>
        <v/>
      </c>
      <c r="H1208" s="7" t="str">
        <f>IF(ISNA(MATCH(1195,Engine!$C$2:$C$1199,0)),"",INDEX('Compliance Database'!$H$2:$H$1199,MATCH(1195,Engine!$C$2:$C$1199,0)))</f>
        <v/>
      </c>
      <c r="I1208" s="7" t="str">
        <f>IF(ISNA(MATCH(1195,Engine!$C$2:$C$1199,0)),"",INDEX('Compliance Database'!$I$2:$I$1199,MATCH(1195,Engine!$C$2:$C$1199,0)))</f>
        <v/>
      </c>
      <c r="J1208" s="6" t="str">
        <f>IF(ISNA(MATCH(1195,Engine!$C$2:$C$1199,0)),"",INDEX('Compliance Database'!$J$2:$J$1199,MATCH(1195,Engine!$C$2:$C$1199,0)))</f>
        <v/>
      </c>
      <c r="K1208" s="7" t="str">
        <f>IF(ISNA(MATCH(1195,Engine!$C$2:$C$1199,0)),"",INDEX('Compliance Database'!$K$2:$K$1199,MATCH(1195,Engine!$C$2:$C$1199,0)))</f>
        <v/>
      </c>
      <c r="L1208" s="7" t="str">
        <f>IF(ISNA(MATCH(1195,Engine!$C$2:$C$1199,0)),"",INDEX('Compliance Database'!$L$2:$L$1199,MATCH(1195,Engine!$C$2:$C$1199,0)))</f>
        <v/>
      </c>
      <c r="M1208" s="7" t="str">
        <f>IF(ISNA(MATCH(1195,Engine!$C$2:$C$1199,0)),"",INDEX('Compliance Database'!$M$2:$M$1199,MATCH(1195,Engine!$C$2:$C$1199,0)))</f>
        <v/>
      </c>
      <c r="N1208" s="7" t="str">
        <f>IF(ISNA(MATCH(1195,Engine!$C$2:$C$1199,0)),"",INDEX('Compliance Database'!$N$2:$N$1199,MATCH(1195,Engine!$C$2:$C$1199,0)))</f>
        <v/>
      </c>
      <c r="O1208" s="7" t="str">
        <f>IF(ISNA(MATCH(1195,Engine!$C$2:$C$1199,0)),"",INDEX('Compliance Database'!$O$2:$O$1199,MATCH(1195,Engine!$C$2:$C$1199,0)))</f>
        <v/>
      </c>
      <c r="P1208" s="6" t="str">
        <f>IF(ISNA(MATCH(1195,Engine!$C$2:$C$1199,0)),"",HYPERLINK("#Acts!A"&amp;INDEX('Compliance Database'!$P$2:$P$1199,MATCH(1195,Engine!$C$2:$C$1199,0)),"Go to Act"))</f>
        <v/>
      </c>
    </row>
    <row r="1209" spans="1:16" ht="172.95" customHeight="1" x14ac:dyDescent="0.3">
      <c r="A1209" s="6" t="str">
        <f>IF(ISNA(MATCH(1196,Engine!$C$2:$C$1199,0)),"",INDEX('Compliance Database'!$A$2:$A$1199,MATCH(1196,Engine!$C$2:$C$1199,0)))</f>
        <v/>
      </c>
      <c r="B1209" s="6" t="str">
        <f>IF(ISNA(MATCH(1196,Engine!$C$2:$C$1199,0)),"",INDEX('Compliance Database'!$B$2:$B$1199,MATCH(1196,Engine!$C$2:$C$1199,0)))</f>
        <v/>
      </c>
      <c r="C1209" s="6" t="str">
        <f>IF(ISNA(MATCH(1196,Engine!$C$2:$C$1199,0)),"",INDEX('Compliance Database'!$C$2:$C$1199,MATCH(1196,Engine!$C$2:$C$1199,0)))</f>
        <v/>
      </c>
      <c r="D1209" s="7" t="str">
        <f>IF(ISNA(MATCH(1196,Engine!$C$2:$C$1199,0)),"",INDEX('Compliance Database'!$D$2:$D$1199,MATCH(1196,Engine!$C$2:$C$1199,0)))</f>
        <v/>
      </c>
      <c r="E1209" s="6" t="str">
        <f>IF(ISNA(MATCH(1196,Engine!$C$2:$C$1199,0)),"",INDEX('Compliance Database'!$E$2:$E$1199,MATCH(1196,Engine!$C$2:$C$1199,0)))</f>
        <v/>
      </c>
      <c r="F1209" s="6" t="str">
        <f>IF(ISNA(MATCH(1196,Engine!$C$2:$C$1199,0)),"",INDEX('Compliance Database'!$F$2:$F$1199,MATCH(1196,Engine!$C$2:$C$1199,0)))</f>
        <v/>
      </c>
      <c r="G1209" s="6" t="str">
        <f>IF(ISNA(MATCH(1196,Engine!$C$2:$C$1199,0)),"",INDEX('Compliance Database'!$G$2:$G$1199,MATCH(1196,Engine!$C$2:$C$1199,0)))</f>
        <v/>
      </c>
      <c r="H1209" s="7" t="str">
        <f>IF(ISNA(MATCH(1196,Engine!$C$2:$C$1199,0)),"",INDEX('Compliance Database'!$H$2:$H$1199,MATCH(1196,Engine!$C$2:$C$1199,0)))</f>
        <v/>
      </c>
      <c r="I1209" s="7" t="str">
        <f>IF(ISNA(MATCH(1196,Engine!$C$2:$C$1199,0)),"",INDEX('Compliance Database'!$I$2:$I$1199,MATCH(1196,Engine!$C$2:$C$1199,0)))</f>
        <v/>
      </c>
      <c r="J1209" s="6" t="str">
        <f>IF(ISNA(MATCH(1196,Engine!$C$2:$C$1199,0)),"",INDEX('Compliance Database'!$J$2:$J$1199,MATCH(1196,Engine!$C$2:$C$1199,0)))</f>
        <v/>
      </c>
      <c r="K1209" s="7" t="str">
        <f>IF(ISNA(MATCH(1196,Engine!$C$2:$C$1199,0)),"",INDEX('Compliance Database'!$K$2:$K$1199,MATCH(1196,Engine!$C$2:$C$1199,0)))</f>
        <v/>
      </c>
      <c r="L1209" s="7" t="str">
        <f>IF(ISNA(MATCH(1196,Engine!$C$2:$C$1199,0)),"",INDEX('Compliance Database'!$L$2:$L$1199,MATCH(1196,Engine!$C$2:$C$1199,0)))</f>
        <v/>
      </c>
      <c r="M1209" s="7" t="str">
        <f>IF(ISNA(MATCH(1196,Engine!$C$2:$C$1199,0)),"",INDEX('Compliance Database'!$M$2:$M$1199,MATCH(1196,Engine!$C$2:$C$1199,0)))</f>
        <v/>
      </c>
      <c r="N1209" s="7" t="str">
        <f>IF(ISNA(MATCH(1196,Engine!$C$2:$C$1199,0)),"",INDEX('Compliance Database'!$N$2:$N$1199,MATCH(1196,Engine!$C$2:$C$1199,0)))</f>
        <v/>
      </c>
      <c r="O1209" s="7" t="str">
        <f>IF(ISNA(MATCH(1196,Engine!$C$2:$C$1199,0)),"",INDEX('Compliance Database'!$O$2:$O$1199,MATCH(1196,Engine!$C$2:$C$1199,0)))</f>
        <v/>
      </c>
      <c r="P1209" s="6" t="str">
        <f>IF(ISNA(MATCH(1196,Engine!$C$2:$C$1199,0)),"",HYPERLINK("#Acts!A"&amp;INDEX('Compliance Database'!$P$2:$P$1199,MATCH(1196,Engine!$C$2:$C$1199,0)),"Go to Act"))</f>
        <v/>
      </c>
    </row>
    <row r="1210" spans="1:16" ht="172.95" customHeight="1" x14ac:dyDescent="0.3">
      <c r="A1210" s="6" t="str">
        <f>IF(ISNA(MATCH(1197,Engine!$C$2:$C$1199,0)),"",INDEX('Compliance Database'!$A$2:$A$1199,MATCH(1197,Engine!$C$2:$C$1199,0)))</f>
        <v/>
      </c>
      <c r="B1210" s="6" t="str">
        <f>IF(ISNA(MATCH(1197,Engine!$C$2:$C$1199,0)),"",INDEX('Compliance Database'!$B$2:$B$1199,MATCH(1197,Engine!$C$2:$C$1199,0)))</f>
        <v/>
      </c>
      <c r="C1210" s="6" t="str">
        <f>IF(ISNA(MATCH(1197,Engine!$C$2:$C$1199,0)),"",INDEX('Compliance Database'!$C$2:$C$1199,MATCH(1197,Engine!$C$2:$C$1199,0)))</f>
        <v/>
      </c>
      <c r="D1210" s="7" t="str">
        <f>IF(ISNA(MATCH(1197,Engine!$C$2:$C$1199,0)),"",INDEX('Compliance Database'!$D$2:$D$1199,MATCH(1197,Engine!$C$2:$C$1199,0)))</f>
        <v/>
      </c>
      <c r="E1210" s="6" t="str">
        <f>IF(ISNA(MATCH(1197,Engine!$C$2:$C$1199,0)),"",INDEX('Compliance Database'!$E$2:$E$1199,MATCH(1197,Engine!$C$2:$C$1199,0)))</f>
        <v/>
      </c>
      <c r="F1210" s="6" t="str">
        <f>IF(ISNA(MATCH(1197,Engine!$C$2:$C$1199,0)),"",INDEX('Compliance Database'!$F$2:$F$1199,MATCH(1197,Engine!$C$2:$C$1199,0)))</f>
        <v/>
      </c>
      <c r="G1210" s="6" t="str">
        <f>IF(ISNA(MATCH(1197,Engine!$C$2:$C$1199,0)),"",INDEX('Compliance Database'!$G$2:$G$1199,MATCH(1197,Engine!$C$2:$C$1199,0)))</f>
        <v/>
      </c>
      <c r="H1210" s="7" t="str">
        <f>IF(ISNA(MATCH(1197,Engine!$C$2:$C$1199,0)),"",INDEX('Compliance Database'!$H$2:$H$1199,MATCH(1197,Engine!$C$2:$C$1199,0)))</f>
        <v/>
      </c>
      <c r="I1210" s="7" t="str">
        <f>IF(ISNA(MATCH(1197,Engine!$C$2:$C$1199,0)),"",INDEX('Compliance Database'!$I$2:$I$1199,MATCH(1197,Engine!$C$2:$C$1199,0)))</f>
        <v/>
      </c>
      <c r="J1210" s="6" t="str">
        <f>IF(ISNA(MATCH(1197,Engine!$C$2:$C$1199,0)),"",INDEX('Compliance Database'!$J$2:$J$1199,MATCH(1197,Engine!$C$2:$C$1199,0)))</f>
        <v/>
      </c>
      <c r="K1210" s="7" t="str">
        <f>IF(ISNA(MATCH(1197,Engine!$C$2:$C$1199,0)),"",INDEX('Compliance Database'!$K$2:$K$1199,MATCH(1197,Engine!$C$2:$C$1199,0)))</f>
        <v/>
      </c>
      <c r="L1210" s="7" t="str">
        <f>IF(ISNA(MATCH(1197,Engine!$C$2:$C$1199,0)),"",INDEX('Compliance Database'!$L$2:$L$1199,MATCH(1197,Engine!$C$2:$C$1199,0)))</f>
        <v/>
      </c>
      <c r="M1210" s="7" t="str">
        <f>IF(ISNA(MATCH(1197,Engine!$C$2:$C$1199,0)),"",INDEX('Compliance Database'!$M$2:$M$1199,MATCH(1197,Engine!$C$2:$C$1199,0)))</f>
        <v/>
      </c>
      <c r="N1210" s="7" t="str">
        <f>IF(ISNA(MATCH(1197,Engine!$C$2:$C$1199,0)),"",INDEX('Compliance Database'!$N$2:$N$1199,MATCH(1197,Engine!$C$2:$C$1199,0)))</f>
        <v/>
      </c>
      <c r="O1210" s="7" t="str">
        <f>IF(ISNA(MATCH(1197,Engine!$C$2:$C$1199,0)),"",INDEX('Compliance Database'!$O$2:$O$1199,MATCH(1197,Engine!$C$2:$C$1199,0)))</f>
        <v/>
      </c>
      <c r="P1210" s="6" t="str">
        <f>IF(ISNA(MATCH(1197,Engine!$C$2:$C$1199,0)),"",HYPERLINK("#Acts!A"&amp;INDEX('Compliance Database'!$P$2:$P$1199,MATCH(1197,Engine!$C$2:$C$1199,0)),"Go to Act"))</f>
        <v/>
      </c>
    </row>
    <row r="1211" spans="1:16" ht="172.95" customHeight="1" x14ac:dyDescent="0.3">
      <c r="A1211" s="6" t="str">
        <f>IF(ISNA(MATCH(1198,Engine!$C$2:$C$1199,0)),"",INDEX('Compliance Database'!$A$2:$A$1199,MATCH(1198,Engine!$C$2:$C$1199,0)))</f>
        <v/>
      </c>
      <c r="B1211" s="6" t="str">
        <f>IF(ISNA(MATCH(1198,Engine!$C$2:$C$1199,0)),"",INDEX('Compliance Database'!$B$2:$B$1199,MATCH(1198,Engine!$C$2:$C$1199,0)))</f>
        <v/>
      </c>
      <c r="C1211" s="6" t="str">
        <f>IF(ISNA(MATCH(1198,Engine!$C$2:$C$1199,0)),"",INDEX('Compliance Database'!$C$2:$C$1199,MATCH(1198,Engine!$C$2:$C$1199,0)))</f>
        <v/>
      </c>
      <c r="D1211" s="7" t="str">
        <f>IF(ISNA(MATCH(1198,Engine!$C$2:$C$1199,0)),"",INDEX('Compliance Database'!$D$2:$D$1199,MATCH(1198,Engine!$C$2:$C$1199,0)))</f>
        <v/>
      </c>
      <c r="E1211" s="6" t="str">
        <f>IF(ISNA(MATCH(1198,Engine!$C$2:$C$1199,0)),"",INDEX('Compliance Database'!$E$2:$E$1199,MATCH(1198,Engine!$C$2:$C$1199,0)))</f>
        <v/>
      </c>
      <c r="F1211" s="6" t="str">
        <f>IF(ISNA(MATCH(1198,Engine!$C$2:$C$1199,0)),"",INDEX('Compliance Database'!$F$2:$F$1199,MATCH(1198,Engine!$C$2:$C$1199,0)))</f>
        <v/>
      </c>
      <c r="G1211" s="6" t="str">
        <f>IF(ISNA(MATCH(1198,Engine!$C$2:$C$1199,0)),"",INDEX('Compliance Database'!$G$2:$G$1199,MATCH(1198,Engine!$C$2:$C$1199,0)))</f>
        <v/>
      </c>
      <c r="H1211" s="7" t="str">
        <f>IF(ISNA(MATCH(1198,Engine!$C$2:$C$1199,0)),"",INDEX('Compliance Database'!$H$2:$H$1199,MATCH(1198,Engine!$C$2:$C$1199,0)))</f>
        <v/>
      </c>
      <c r="I1211" s="7" t="str">
        <f>IF(ISNA(MATCH(1198,Engine!$C$2:$C$1199,0)),"",INDEX('Compliance Database'!$I$2:$I$1199,MATCH(1198,Engine!$C$2:$C$1199,0)))</f>
        <v/>
      </c>
      <c r="J1211" s="6" t="str">
        <f>IF(ISNA(MATCH(1198,Engine!$C$2:$C$1199,0)),"",INDEX('Compliance Database'!$J$2:$J$1199,MATCH(1198,Engine!$C$2:$C$1199,0)))</f>
        <v/>
      </c>
      <c r="K1211" s="7" t="str">
        <f>IF(ISNA(MATCH(1198,Engine!$C$2:$C$1199,0)),"",INDEX('Compliance Database'!$K$2:$K$1199,MATCH(1198,Engine!$C$2:$C$1199,0)))</f>
        <v/>
      </c>
      <c r="L1211" s="7" t="str">
        <f>IF(ISNA(MATCH(1198,Engine!$C$2:$C$1199,0)),"",INDEX('Compliance Database'!$L$2:$L$1199,MATCH(1198,Engine!$C$2:$C$1199,0)))</f>
        <v/>
      </c>
      <c r="M1211" s="7" t="str">
        <f>IF(ISNA(MATCH(1198,Engine!$C$2:$C$1199,0)),"",INDEX('Compliance Database'!$M$2:$M$1199,MATCH(1198,Engine!$C$2:$C$1199,0)))</f>
        <v/>
      </c>
      <c r="N1211" s="7" t="str">
        <f>IF(ISNA(MATCH(1198,Engine!$C$2:$C$1199,0)),"",INDEX('Compliance Database'!$N$2:$N$1199,MATCH(1198,Engine!$C$2:$C$1199,0)))</f>
        <v/>
      </c>
      <c r="O1211" s="7" t="str">
        <f>IF(ISNA(MATCH(1198,Engine!$C$2:$C$1199,0)),"",INDEX('Compliance Database'!$O$2:$O$1199,MATCH(1198,Engine!$C$2:$C$1199,0)))</f>
        <v/>
      </c>
      <c r="P1211" s="6" t="str">
        <f>IF(ISNA(MATCH(1198,Engine!$C$2:$C$1199,0)),"",HYPERLINK("#Acts!A"&amp;INDEX('Compliance Database'!$P$2:$P$1199,MATCH(1198,Engine!$C$2:$C$1199,0)),"Go to Act"))</f>
        <v/>
      </c>
    </row>
  </sheetData>
  <mergeCells count="1">
    <mergeCell ref="A1:D1"/>
  </mergeCells>
  <dataValidations count="1">
    <dataValidation type="list" allowBlank="1" sqref="B10" xr:uid="{00000000-0002-0000-0100-000005000000}">
      <formula1>"Yes,No"</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5">
        <x14:dataValidation type="list" allowBlank="1" xr:uid="{00000000-0002-0000-0100-000000000000}">
          <x14:formula1>
            <xm:f>Lists!$A$2:$A$11</xm:f>
          </x14:formula1>
          <xm:sqref>B4</xm:sqref>
        </x14:dataValidation>
        <x14:dataValidation type="list" allowBlank="1" xr:uid="{00000000-0002-0000-0100-000001000000}">
          <x14:formula1>
            <xm:f>Lists!$B$2:$B$29</xm:f>
          </x14:formula1>
          <xm:sqref>B5</xm:sqref>
        </x14:dataValidation>
        <x14:dataValidation type="list" allowBlank="1" xr:uid="{00000000-0002-0000-0100-000002000000}">
          <x14:formula1>
            <xm:f>Lists!$C$2:$C$10</xm:f>
          </x14:formula1>
          <xm:sqref>B6</xm:sqref>
        </x14:dataValidation>
        <x14:dataValidation type="list" allowBlank="1" xr:uid="{00000000-0002-0000-0100-000003000000}">
          <x14:formula1>
            <xm:f>Lists!$D$2:$D$6</xm:f>
          </x14:formula1>
          <xm:sqref>B7</xm:sqref>
        </x14:dataValidation>
        <x14:dataValidation type="list" allowBlank="1" xr:uid="{00000000-0002-0000-0100-000004000000}">
          <x14:formula1>
            <xm:f>Lists!$E$2:$E$121</xm:f>
          </x14:formula1>
          <xm:sqref>B8</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P1207"/>
  <sheetViews>
    <sheetView showGridLines="0" workbookViewId="0">
      <pane ySplit="9" topLeftCell="A10" activePane="bottomLeft" state="frozen"/>
      <selection pane="bottomLeft"/>
    </sheetView>
  </sheetViews>
  <sheetFormatPr defaultRowHeight="14.4" x14ac:dyDescent="0.3"/>
  <cols>
    <col min="1" max="3" width="18" customWidth="1"/>
    <col min="4" max="4" width="45" customWidth="1"/>
    <col min="5" max="7" width="18" customWidth="1"/>
    <col min="8" max="9" width="45" customWidth="1"/>
    <col min="10" max="10" width="18" customWidth="1"/>
    <col min="11" max="12" width="45" customWidth="1"/>
    <col min="13" max="14" width="78" customWidth="1"/>
    <col min="15" max="15" width="45" customWidth="1"/>
    <col min="16" max="16" width="18" customWidth="1"/>
  </cols>
  <sheetData>
    <row r="1" spans="1:16" ht="21" x14ac:dyDescent="0.4">
      <c r="A1" s="13" t="s">
        <v>36</v>
      </c>
      <c r="B1" s="12"/>
      <c r="C1" s="12"/>
      <c r="D1" s="12"/>
    </row>
    <row r="3" spans="1:16" x14ac:dyDescent="0.3">
      <c r="A3" s="3" t="s">
        <v>37</v>
      </c>
    </row>
    <row r="4" spans="1:16" x14ac:dyDescent="0.3">
      <c r="A4" s="1" t="s">
        <v>38</v>
      </c>
      <c r="B4" s="4" t="s">
        <v>39</v>
      </c>
    </row>
    <row r="5" spans="1:16" x14ac:dyDescent="0.3">
      <c r="A5" s="1" t="s">
        <v>40</v>
      </c>
      <c r="B5" s="4" t="s">
        <v>41</v>
      </c>
    </row>
    <row r="6" spans="1:16" x14ac:dyDescent="0.3">
      <c r="A6" s="1" t="s">
        <v>20</v>
      </c>
      <c r="B6" s="4"/>
    </row>
    <row r="8" spans="1:16" x14ac:dyDescent="0.3">
      <c r="A8" s="1" t="s">
        <v>23</v>
      </c>
      <c r="C8" s="1">
        <f>'Transfer Engine'!$D$1</f>
        <v>368</v>
      </c>
    </row>
    <row r="9" spans="1:16" x14ac:dyDescent="0.3">
      <c r="A9" s="5" t="s">
        <v>14</v>
      </c>
      <c r="B9" s="5" t="s">
        <v>24</v>
      </c>
      <c r="C9" s="5" t="s">
        <v>25</v>
      </c>
      <c r="D9" s="5" t="s">
        <v>26</v>
      </c>
      <c r="E9" s="5" t="s">
        <v>27</v>
      </c>
      <c r="F9" s="5" t="s">
        <v>18</v>
      </c>
      <c r="G9" s="5" t="s">
        <v>28</v>
      </c>
      <c r="H9" s="5" t="s">
        <v>4</v>
      </c>
      <c r="I9" s="5" t="s">
        <v>29</v>
      </c>
      <c r="J9" s="5" t="s">
        <v>19</v>
      </c>
      <c r="K9" s="5" t="s">
        <v>30</v>
      </c>
      <c r="L9" s="5" t="s">
        <v>31</v>
      </c>
      <c r="M9" s="5" t="s">
        <v>32</v>
      </c>
      <c r="N9" s="5" t="s">
        <v>33</v>
      </c>
      <c r="O9" s="5" t="s">
        <v>34</v>
      </c>
      <c r="P9" s="5" t="s">
        <v>35</v>
      </c>
    </row>
    <row r="10" spans="1:16" ht="172.95" customHeight="1" x14ac:dyDescent="0.3">
      <c r="A10" s="6" t="str">
        <f>IF(ISNA(MATCH(1,'Transfer Engine'!$C$2:$C$1199,0)),"",INDEX('Compliance Database'!$A$2:$A$1199,MATCH(1,'Transfer Engine'!$C$2:$C$1199,0)))</f>
        <v>Australia</v>
      </c>
      <c r="B10" s="6" t="str">
        <f>IF(ISNA(MATCH(1,'Transfer Engine'!$C$2:$C$1199,0)),"",INDEX('Compliance Database'!$B$2:$B$1199,MATCH(1,'Transfer Engine'!$C$2:$C$1199,0)))</f>
        <v>C2004A01182 (Australia - Row 25)</v>
      </c>
      <c r="C10" s="6" t="str">
        <f>IF(ISNA(MATCH(1,'Transfer Engine'!$C$2:$C$1199,0)),"",INDEX('Compliance Database'!$C$2:$C$1199,MATCH(1,'Transfer Engine'!$C$2:$C$1199,0)))</f>
        <v>4</v>
      </c>
      <c r="D10" s="7" t="str">
        <f>IF(ISNA(MATCH(1,'Transfer Engine'!$C$2:$C$1199,0)),"",INDEX('Compliance Database'!$D$2:$D$1199,MATCH(1,'Transfer Engine'!$C$2:$C$1199,0)))</f>
        <v>Amendment of Vocational Education and Training Funding Act 1992</v>
      </c>
      <c r="E10" s="6" t="str">
        <f>IF(ISNA(MATCH(1,'Transfer Engine'!$C$2:$C$1199,0)),"",INDEX('Compliance Database'!$E$2:$E$1199,MATCH(1,'Transfer Engine'!$C$2:$C$1199,0)))</f>
        <v>3–10</v>
      </c>
      <c r="F10" s="6" t="str">
        <f>IF(ISNA(MATCH(1,'Transfer Engine'!$C$2:$C$1199,0)),"",INDEX('Compliance Database'!$F$2:$F$1199,MATCH(1,'Transfer Engine'!$C$2:$C$1199,0)))</f>
        <v>Medium</v>
      </c>
      <c r="G10" s="6" t="str">
        <f>IF(ISNA(MATCH(1,'Transfer Engine'!$C$2:$C$1199,0)),"",INDEX('Compliance Database'!$G$2:$G$1199,MATCH(1,'Transfer Engine'!$C$2:$C$1199,0)))</f>
        <v>High (explicit)</v>
      </c>
      <c r="H10" s="7" t="str">
        <f>IF(ISNA(MATCH(1,'Transfer Engine'!$C$2:$C$1199,0)),"",INDEX('Compliance Database'!$H$2:$H$1199,MATCH(1,'Transfer Engine'!$C$2:$C$1199,0)))</f>
        <v>Cross-border Transfer, International Processing, Data Storage, Security, Encryption, Access Control, Processing, Collection, Retention, Deletion, Data Sharing, Third Party Processing, Outsourcing, Cloud Services, Incident Reporting, Breach Notification, Consent, Customer Information, Employee Information, Special Personal Information, Children, Financial Data, KYC, AML, Governance, Record Keeping</v>
      </c>
      <c r="I10" s="7" t="str">
        <f>IF(ISNA(MATCH(1,'Transfer Engine'!$C$2:$C$1199,0)),"",INDEX('Compliance Database'!$I$2:$I$1199,MATCH(1,'Transfer Engine'!$C$2:$C$1199,0)))</f>
        <v>Personal Information, Financial Data, Customer Data, Employee Data, Health Data, Children's Data, Biometric Data, Special Personal Information</v>
      </c>
      <c r="J10" s="6">
        <f>IF(ISNA(MATCH(1,'Transfer Engine'!$C$2:$C$1199,0)),"",INDEX('Compliance Database'!$J$2:$J$1199,MATCH(1,'Transfer Engine'!$C$2:$C$1199,0)))</f>
        <v>0</v>
      </c>
      <c r="K10" s="7" t="str">
        <f>IF(ISNA(MATCH(1,'Transfer Engine'!$C$2:$C$1199,0)),"",INDEX('Compliance Database'!$K$2:$K$1199,MATCH(1,'Transfer Engine'!$C$2:$C$1199,0)))</f>
        <v>This section amends the Australian National Training Authority Act 1992 by altering membership requirements and definitions within the Australian National Training Authority (ANTA) Agreement. It specifies changes to the number of members, the structure of the agreement, and the procedures for presenting and publishing the agreement to Parliament. The amendments aim to update the ANTA Agreement to replace the 2001-2003 version with a new agreement framework effective from 2004.</v>
      </c>
      <c r="L10" s="7">
        <f>IF(ISNA(MATCH(1,'Transfer Engine'!$C$2:$C$1199,0)),"",INDEX('Compliance Database'!$L$2:$L$1199,MATCH(1,'Transfer Engine'!$C$2:$C$1199,0)))</f>
        <v>0</v>
      </c>
      <c r="M10" s="7" t="str">
        <f>IF(ISNA(MATCH(1,'Transfer Engine'!$C$2:$C$1199,0)),"",INDEX('Compliance Database'!$M$2:$M$1199,MATCH(1,'Transfer Engine'!$C$2:$C$1199,0)))</f>
        <v>• [Must] Omit '5', substitute '7' in paragraph 24(1)(c)
• [Must] Omit '3', substitute '4' in subsection 24(2)
• [Must] Omit '4 members', substitute '5 members' in subsections 36(3) and (5)
• [Must] Omit '4', substitute '5' in section 38
• [Must] Repeal the definition of Agreement, substitute a new definition
• [Must] Insert subsection 18A: Present agreement to Parliament within 15 sitting days</v>
      </c>
      <c r="N10" s="7" t="str">
        <f>IF(ISNA(MATCH(1,'Transfer Engine'!$C$2:$C$1199,0)),"",INDEX('Compliance Database'!$N$2:$N$1199,MATCH(1,'Transfer Engine'!$C$2:$C$1199,0)))</f>
        <v>• [Must] Insert subsection 18B: Publish agreement on website within 15 sitting days
• [Must] Repeal Schedule 1
• [Must] Savings provisions for Ministerial Council actions and decisions
• [Must] Before 'ANTA agreement', insert 'applicable' in subsection 9AB(1)
• [Must] Repeal subsection 9AB(3), substitute new definition of applicable ANTA agreement</v>
      </c>
      <c r="O10" s="7" t="str">
        <f>IF(ISNA(MATCH(1,'Transfer Engine'!$C$2:$C$1199,0)),"",INDEX('Compliance Database'!$O$2:$O$1199,MATCH(1,'Transfer Engine'!$C$2:$C$1199,0)))</f>
        <v>Australian National Training Authority Amendment Act 2003, 2003</v>
      </c>
      <c r="P10" s="6" t="str">
        <f>IF(ISNA(MATCH(1,'Transfer Engine'!$C$2:$C$1199,0)),"",HYPERLINK("#Acts!A"&amp;INDEX('Compliance Database'!$P$2:$P$1199,MATCH(1,'Transfer Engine'!$C$2:$C$1199,0)),"Go to Act"))</f>
        <v>Go to Act</v>
      </c>
    </row>
    <row r="11" spans="1:16" ht="172.95" customHeight="1" x14ac:dyDescent="0.3">
      <c r="A11" s="6" t="str">
        <f>IF(ISNA(MATCH(2,'Transfer Engine'!$C$2:$C$1199,0)),"",INDEX('Compliance Database'!$A$2:$A$1199,MATCH(2,'Transfer Engine'!$C$2:$C$1199,0)))</f>
        <v>Australia</v>
      </c>
      <c r="B11" s="6" t="str">
        <f>IF(ISNA(MATCH(2,'Transfer Engine'!$C$2:$C$1199,0)),"",INDEX('Compliance Database'!$B$2:$B$1199,MATCH(2,'Transfer Engine'!$C$2:$C$1199,0)))</f>
        <v>C2004C01271-1 (Australia - Row 7)</v>
      </c>
      <c r="C11" s="6" t="str">
        <f>IF(ISNA(MATCH(2,'Transfer Engine'!$C$2:$C$1199,0)),"",INDEX('Compliance Database'!$C$2:$C$1199,MATCH(2,'Transfer Engine'!$C$2:$C$1199,0)))</f>
        <v>7</v>
      </c>
      <c r="D11" s="7" t="str">
        <f>IF(ISNA(MATCH(2,'Transfer Engine'!$C$2:$C$1199,0)),"",INDEX('Compliance Database'!$D$2:$D$1199,MATCH(2,'Transfer Engine'!$C$2:$C$1199,0)))</f>
        <v>Tax deductions for film licensed investment company shares</v>
      </c>
      <c r="E11" s="6" t="str">
        <f>IF(ISNA(MATCH(2,'Transfer Engine'!$C$2:$C$1199,0)),"",INDEX('Compliance Database'!$E$2:$E$1199,MATCH(2,'Transfer Engine'!$C$2:$C$1199,0)))</f>
        <v>3–11</v>
      </c>
      <c r="F11" s="6" t="str">
        <f>IF(ISNA(MATCH(2,'Transfer Engine'!$C$2:$C$1199,0)),"",INDEX('Compliance Database'!$F$2:$F$1199,MATCH(2,'Transfer Engine'!$C$2:$C$1199,0)))</f>
        <v>Medium</v>
      </c>
      <c r="G11" s="6" t="str">
        <f>IF(ISNA(MATCH(2,'Transfer Engine'!$C$2:$C$1199,0)),"",INDEX('Compliance Database'!$G$2:$G$1199,MATCH(2,'Transfer Engine'!$C$2:$C$1199,0)))</f>
        <v>High (explicit)</v>
      </c>
      <c r="H11" s="7" t="str">
        <f>IF(ISNA(MATCH(2,'Transfer Engine'!$C$2:$C$1199,0)),"",INDEX('Compliance Database'!$H$2:$H$1199,MATCH(2,'Transfer Engine'!$C$2:$C$1199,0)))</f>
        <v>Financial Data, Customer Information, Employee Information</v>
      </c>
      <c r="I11" s="7" t="str">
        <f>IF(ISNA(MATCH(2,'Transfer Engine'!$C$2:$C$1199,0)),"",INDEX('Compliance Database'!$I$2:$I$1199,MATCH(2,'Transfer Engine'!$C$2:$C$1199,0)))</f>
        <v>Financial Data</v>
      </c>
      <c r="J11" s="6" t="str">
        <f>IF(ISNA(MATCH(2,'Transfer Engine'!$C$2:$C$1199,0)),"",INDEX('Compliance Database'!$J$2:$J$1199,MATCH(2,'Transfer Engine'!$C$2:$C$1199,0)))</f>
        <v>Arts Minister</v>
      </c>
      <c r="K11" s="7" t="str">
        <f>IF(ISNA(MATCH(2,'Transfer Engine'!$C$2:$C$1199,0)),"",INDEX('Compliance Database'!$K$2:$K$1199,MATCH(2,'Transfer Engine'!$C$2:$C$1199,0)))</f>
        <v>This section amends the Taxation Laws to allow deductions for shares in film licensed investment companies (FLICs) issued during the period the FLIC's concessional capital licence is active. Deductions apply only to shares issued before July 1, 2000, and are subject to specific conditions regarding the FLIC's licence status and the timing of share issuance. The deduction is available to individuals and partnerships holding shares in FLICs, with special rules for partners and partnerships.</v>
      </c>
      <c r="L11" s="7">
        <f>IF(ISNA(MATCH(2,'Transfer Engine'!$C$2:$C$1199,0)),"",INDEX('Compliance Database'!$L$2:$L$1199,MATCH(2,'Transfer Engine'!$C$2:$C$1199,0)))</f>
        <v>0</v>
      </c>
      <c r="M11" s="7" t="str">
        <f>IF(ISNA(MATCH(2,'Transfer Engine'!$C$2:$C$1199,0)),"",INDEX('Compliance Database'!$M$2:$M$1199,MATCH(2,'Transfer Engine'!$C$2:$C$1199,0)))</f>
        <v>• [Must] You can deduct money paid for shares in a film licensed investment company issued to you by the FLIC during the period the FLIC's concessional capital licence is in force.
• [Definition] A film licensed investment company is a company granted a licence to raise concessional capital under the Film Licensed Investment Company Act 1998.
• [Must Not] You lose entitlement to the deduction if the Arts Minister decides to remove the concessional status of your shares.</v>
      </c>
      <c r="N11" s="7" t="str">
        <f>IF(ISNA(MATCH(2,'Transfer Engine'!$C$2:$C$1199,0)),"",INDEX('Compliance Database'!$N$2:$N$1199,MATCH(2,'Transfer Engine'!$C$2:$C$1199,0)))</f>
        <v>• [Must Not] You lose entitlement to the deduction if the Commissioner is satisfied the FLIC breached conditions under the Film Licensed Investment Company Act 1998 and the Arts Minister has not acted within 6 months.
• [Must] The Commissioner must notify the Arts Minister within 28 days if the Commissioner is satisfied of the matters in subsection (2).
• [May] If you lose entitlement after claiming the deduction, your assessment may be amended to disallow the deduction.</v>
      </c>
      <c r="O11" s="7" t="str">
        <f>IF(ISNA(MATCH(2,'Transfer Engine'!$C$2:$C$1199,0)),"",INDEX('Compliance Database'!$O$2:$O$1199,MATCH(2,'Transfer Engine'!$C$2:$C$1199,0)))</f>
        <v>You can deduct amounts you have paid for shares issued to you by a film licensed investment company (FLIC). The deduction does not apply to shares issued after 1 July 2000.</v>
      </c>
      <c r="P11" s="6" t="str">
        <f>IF(ISNA(MATCH(2,'Transfer Engine'!$C$2:$C$1199,0)),"",HYPERLINK("#Acts!A"&amp;INDEX('Compliance Database'!$P$2:$P$1199,MATCH(2,'Transfer Engine'!$C$2:$C$1199,0)),"Go to Act"))</f>
        <v>Go to Act</v>
      </c>
    </row>
    <row r="12" spans="1:16" ht="172.95" customHeight="1" x14ac:dyDescent="0.3">
      <c r="A12" s="6" t="str">
        <f>IF(ISNA(MATCH(3,'Transfer Engine'!$C$2:$C$1199,0)),"",INDEX('Compliance Database'!$A$2:$A$1199,MATCH(3,'Transfer Engine'!$C$2:$C$1199,0)))</f>
        <v>Australia</v>
      </c>
      <c r="B12" s="6" t="str">
        <f>IF(ISNA(MATCH(3,'Transfer Engine'!$C$2:$C$1199,0)),"",INDEX('Compliance Database'!$B$2:$B$1199,MATCH(3,'Transfer Engine'!$C$2:$C$1199,0)))</f>
        <v>C2012C00866 (Australia - Row 12)</v>
      </c>
      <c r="C12" s="6" t="str">
        <f>IF(ISNA(MATCH(3,'Transfer Engine'!$C$2:$C$1199,0)),"",INDEX('Compliance Database'!$C$2:$C$1199,MATCH(3,'Transfer Engine'!$C$2:$C$1199,0)))</f>
        <v>2</v>
      </c>
      <c r="D12" s="7" t="str">
        <f>IF(ISNA(MATCH(3,'Transfer Engine'!$C$2:$C$1199,0)),"",INDEX('Compliance Database'!$D$2:$D$1199,MATCH(3,'Transfer Engine'!$C$2:$C$1199,0)))</f>
        <v>Schedule 1 commencement timing</v>
      </c>
      <c r="E12" s="6" t="str">
        <f>IF(ISNA(MATCH(3,'Transfer Engine'!$C$2:$C$1199,0)),"",INDEX('Compliance Database'!$E$2:$E$1199,MATCH(3,'Transfer Engine'!$C$2:$C$1199,0)))</f>
        <v>5</v>
      </c>
      <c r="F12" s="6" t="str">
        <f>IF(ISNA(MATCH(3,'Transfer Engine'!$C$2:$C$1199,0)),"",INDEX('Compliance Database'!$F$2:$F$1199,MATCH(3,'Transfer Engine'!$C$2:$C$1199,0)))</f>
        <v>None</v>
      </c>
      <c r="G12" s="6" t="str">
        <f>IF(ISNA(MATCH(3,'Transfer Engine'!$C$2:$C$1199,0)),"",INDEX('Compliance Database'!$G$2:$G$1199,MATCH(3,'Transfer Engine'!$C$2:$C$1199,0)))</f>
        <v>High (explicit)</v>
      </c>
      <c r="H12" s="7">
        <f>IF(ISNA(MATCH(3,'Transfer Engine'!$C$2:$C$1199,0)),"",INDEX('Compliance Database'!$H$2:$H$1199,MATCH(3,'Transfer Engine'!$C$2:$C$1199,0)))</f>
        <v>0</v>
      </c>
      <c r="I12" s="7">
        <f>IF(ISNA(MATCH(3,'Transfer Engine'!$C$2:$C$1199,0)),"",INDEX('Compliance Database'!$I$2:$I$1199,MATCH(3,'Transfer Engine'!$C$2:$C$1199,0)))</f>
        <v>0</v>
      </c>
      <c r="J12" s="6">
        <f>IF(ISNA(MATCH(3,'Transfer Engine'!$C$2:$C$1199,0)),"",INDEX('Compliance Database'!$J$2:$J$1199,MATCH(3,'Transfer Engine'!$C$2:$C$1199,0)))</f>
        <v>0</v>
      </c>
      <c r="K12" s="7" t="str">
        <f>IF(ISNA(MATCH(3,'Transfer Engine'!$C$2:$C$1199,0)),"",INDEX('Compliance Database'!$K$2:$K$1199,MATCH(3,'Transfer Engine'!$C$2:$C$1199,0)))</f>
        <v>This section specifies the commencement date for Schedule 1 of the Act. It states that Schedule 1 commences immediately after section 3 of the Australian Information Commissioner Act 2010 commences, with a fallback date of 1 November 2010 if section 3 does not commence. The provision is conditional on the commencement of section 3.</v>
      </c>
      <c r="L12" s="7">
        <f>IF(ISNA(MATCH(3,'Transfer Engine'!$C$2:$C$1199,0)),"",INDEX('Compliance Database'!$L$2:$L$1199,MATCH(3,'Transfer Engine'!$C$2:$C$1199,0)))</f>
        <v>0</v>
      </c>
      <c r="M12" s="7" t="str">
        <f>IF(ISNA(MATCH(3,'Transfer Engine'!$C$2:$C$1199,0)),"",INDEX('Compliance Database'!$M$2:$M$1199,MATCH(3,'Transfer Engine'!$C$2:$C$1199,0)))</f>
        <v>• [Condition] Schedule 1 commences immediately after section 3 of the Australian Information Commissioner Act 2010 commences</v>
      </c>
      <c r="N12" s="7" t="str">
        <f>IF(ISNA(MATCH(3,'Transfer Engine'!$C$2:$C$1199,0)),"",INDEX('Compliance Database'!$N$2:$N$1199,MATCH(3,'Transfer Engine'!$C$2:$C$1199,0)))</f>
        <v>• [Condition] If section 3 of the Australian Information Commissioner Act 2010 does not commence, Schedule 1 does not commence at all</v>
      </c>
      <c r="O12" s="7" t="str">
        <f>IF(ISNA(MATCH(3,'Transfer Engine'!$C$2:$C$1199,0)),"",INDEX('Compliance Database'!$O$2:$O$1199,MATCH(3,'Transfer Engine'!$C$2:$C$1199,0)))</f>
        <v>2. Schedule 1 Immediately after the commencement of section 3 of the Australian Information Commissioner Act 2010. However, if section 3 of the Australian Information Commissioner Act 2010 does not commence, the provision(s) do not commence at all.</v>
      </c>
      <c r="P12" s="6" t="str">
        <f>IF(ISNA(MATCH(3,'Transfer Engine'!$C$2:$C$1199,0)),"",HYPERLINK("#Acts!A"&amp;INDEX('Compliance Database'!$P$2:$P$1199,MATCH(3,'Transfer Engine'!$C$2:$C$1199,0)),"Go to Act"))</f>
        <v>Go to Act</v>
      </c>
    </row>
    <row r="13" spans="1:16" ht="172.95" customHeight="1" x14ac:dyDescent="0.3">
      <c r="A13" s="6" t="str">
        <f>IF(ISNA(MATCH(4,'Transfer Engine'!$C$2:$C$1199,0)),"",INDEX('Compliance Database'!$A$2:$A$1199,MATCH(4,'Transfer Engine'!$C$2:$C$1199,0)))</f>
        <v>Australia</v>
      </c>
      <c r="B13" s="6" t="str">
        <f>IF(ISNA(MATCH(4,'Transfer Engine'!$C$2:$C$1199,0)),"",INDEX('Compliance Database'!$B$2:$B$1199,MATCH(4,'Transfer Engine'!$C$2:$C$1199,0)))</f>
        <v>C2012C00866 (Australia - Row 12)</v>
      </c>
      <c r="C13" s="6" t="str">
        <f>IF(ISNA(MATCH(4,'Transfer Engine'!$C$2:$C$1199,0)),"",INDEX('Compliance Database'!$C$2:$C$1199,MATCH(4,'Transfer Engine'!$C$2:$C$1199,0)))</f>
        <v>3</v>
      </c>
      <c r="D13" s="7" t="str">
        <f>IF(ISNA(MATCH(4,'Transfer Engine'!$C$2:$C$1199,0)),"",INDEX('Compliance Database'!$D$2:$D$1199,MATCH(4,'Transfer Engine'!$C$2:$C$1199,0)))</f>
        <v>Schedule 2 commencement timing</v>
      </c>
      <c r="E13" s="6" t="str">
        <f>IF(ISNA(MATCH(4,'Transfer Engine'!$C$2:$C$1199,0)),"",INDEX('Compliance Database'!$E$2:$E$1199,MATCH(4,'Transfer Engine'!$C$2:$C$1199,0)))</f>
        <v>5–6</v>
      </c>
      <c r="F13" s="6" t="str">
        <f>IF(ISNA(MATCH(4,'Transfer Engine'!$C$2:$C$1199,0)),"",INDEX('Compliance Database'!$F$2:$F$1199,MATCH(4,'Transfer Engine'!$C$2:$C$1199,0)))</f>
        <v>None</v>
      </c>
      <c r="G13" s="6" t="str">
        <f>IF(ISNA(MATCH(4,'Transfer Engine'!$C$2:$C$1199,0)),"",INDEX('Compliance Database'!$G$2:$G$1199,MATCH(4,'Transfer Engine'!$C$2:$C$1199,0)))</f>
        <v>High (explicit)</v>
      </c>
      <c r="H13" s="7">
        <f>IF(ISNA(MATCH(4,'Transfer Engine'!$C$2:$C$1199,0)),"",INDEX('Compliance Database'!$H$2:$H$1199,MATCH(4,'Transfer Engine'!$C$2:$C$1199,0)))</f>
        <v>0</v>
      </c>
      <c r="I13" s="7">
        <f>IF(ISNA(MATCH(4,'Transfer Engine'!$C$2:$C$1199,0)),"",INDEX('Compliance Database'!$I$2:$I$1199,MATCH(4,'Transfer Engine'!$C$2:$C$1199,0)))</f>
        <v>0</v>
      </c>
      <c r="J13" s="6">
        <f>IF(ISNA(MATCH(4,'Transfer Engine'!$C$2:$C$1199,0)),"",INDEX('Compliance Database'!$J$2:$J$1199,MATCH(4,'Transfer Engine'!$C$2:$C$1199,0)))</f>
        <v>0</v>
      </c>
      <c r="K13" s="7" t="str">
        <f>IF(ISNA(MATCH(4,'Transfer Engine'!$C$2:$C$1199,0)),"",INDEX('Compliance Database'!$K$2:$K$1199,MATCH(4,'Transfer Engine'!$C$2:$C$1199,0)))</f>
        <v>This section specifies the commencement date for Schedule 2 of the Act. It states that Schedule 2 commences the day after the end of a 6-month period beginning from the commencement date of section 3 of the Australian Information Commissioner Act 2010, with a fallback date of 1 May 2011 if section 3 does not commence. The provision is conditional on the commencement of section 3.</v>
      </c>
      <c r="L13" s="7">
        <f>IF(ISNA(MATCH(4,'Transfer Engine'!$C$2:$C$1199,0)),"",INDEX('Compliance Database'!$L$2:$L$1199,MATCH(4,'Transfer Engine'!$C$2:$C$1199,0)))</f>
        <v>0</v>
      </c>
      <c r="M13" s="7" t="str">
        <f>IF(ISNA(MATCH(4,'Transfer Engine'!$C$2:$C$1199,0)),"",INDEX('Compliance Database'!$M$2:$M$1199,MATCH(4,'Transfer Engine'!$C$2:$C$1199,0)))</f>
        <v>• [Condition] Schedule 2 commences the day after the end of the period of 6 months beginning on the day section 3 of the Australian Information Commissioner Act 2010 commences</v>
      </c>
      <c r="N13" s="7" t="str">
        <f>IF(ISNA(MATCH(4,'Transfer Engine'!$C$2:$C$1199,0)),"",INDEX('Compliance Database'!$N$2:$N$1199,MATCH(4,'Transfer Engine'!$C$2:$C$1199,0)))</f>
        <v>• [Condition] If section 3 of the Australian Information Commissioner Act 2010 does not commence, Schedule 2 does not commence at all</v>
      </c>
      <c r="O13" s="7" t="str">
        <f>IF(ISNA(MATCH(4,'Transfer Engine'!$C$2:$C$1199,0)),"",INDEX('Compliance Database'!$O$2:$O$1199,MATCH(4,'Transfer Engine'!$C$2:$C$1199,0)))</f>
        <v>3. Schedule 2 The day after the end of the period of 6 months beginning on the day section 3 of the Australian Information Commissioner Act 2010 commences. However, if section 3 of the Australian Information Commissioner Act 2010 does not commence, the provision(s) do not commence at all.</v>
      </c>
      <c r="P13" s="6" t="str">
        <f>IF(ISNA(MATCH(4,'Transfer Engine'!$C$2:$C$1199,0)),"",HYPERLINK("#Acts!A"&amp;INDEX('Compliance Database'!$P$2:$P$1199,MATCH(4,'Transfer Engine'!$C$2:$C$1199,0)),"Go to Act"))</f>
        <v>Go to Act</v>
      </c>
    </row>
    <row r="14" spans="1:16" ht="172.95" customHeight="1" x14ac:dyDescent="0.3">
      <c r="A14" s="6" t="str">
        <f>IF(ISNA(MATCH(5,'Transfer Engine'!$C$2:$C$1199,0)),"",INDEX('Compliance Database'!$A$2:$A$1199,MATCH(5,'Transfer Engine'!$C$2:$C$1199,0)))</f>
        <v>Australia</v>
      </c>
      <c r="B14" s="6" t="str">
        <f>IF(ISNA(MATCH(5,'Transfer Engine'!$C$2:$C$1199,0)),"",INDEX('Compliance Database'!$B$2:$B$1199,MATCH(5,'Transfer Engine'!$C$2:$C$1199,0)))</f>
        <v>C2012C00866 (Australia - Row 12)</v>
      </c>
      <c r="C14" s="6" t="str">
        <f>IF(ISNA(MATCH(5,'Transfer Engine'!$C$2:$C$1199,0)),"",INDEX('Compliance Database'!$C$2:$C$1199,MATCH(5,'Transfer Engine'!$C$2:$C$1199,0)))</f>
        <v>4</v>
      </c>
      <c r="D14" s="7" t="str">
        <f>IF(ISNA(MATCH(5,'Transfer Engine'!$C$2:$C$1199,0)),"",INDEX('Compliance Database'!$D$2:$D$1199,MATCH(5,'Transfer Engine'!$C$2:$C$1199,0)))</f>
        <v>Schedule 3 items 1-14 commencement timing</v>
      </c>
      <c r="E14" s="6" t="str">
        <f>IF(ISNA(MATCH(5,'Transfer Engine'!$C$2:$C$1199,0)),"",INDEX('Compliance Database'!$E$2:$E$1199,MATCH(5,'Transfer Engine'!$C$2:$C$1199,0)))</f>
        <v>6</v>
      </c>
      <c r="F14" s="6" t="str">
        <f>IF(ISNA(MATCH(5,'Transfer Engine'!$C$2:$C$1199,0)),"",INDEX('Compliance Database'!$F$2:$F$1199,MATCH(5,'Transfer Engine'!$C$2:$C$1199,0)))</f>
        <v>None</v>
      </c>
      <c r="G14" s="6" t="str">
        <f>IF(ISNA(MATCH(5,'Transfer Engine'!$C$2:$C$1199,0)),"",INDEX('Compliance Database'!$G$2:$G$1199,MATCH(5,'Transfer Engine'!$C$2:$C$1199,0)))</f>
        <v>High (explicit)</v>
      </c>
      <c r="H14" s="7">
        <f>IF(ISNA(MATCH(5,'Transfer Engine'!$C$2:$C$1199,0)),"",INDEX('Compliance Database'!$H$2:$H$1199,MATCH(5,'Transfer Engine'!$C$2:$C$1199,0)))</f>
        <v>0</v>
      </c>
      <c r="I14" s="7">
        <f>IF(ISNA(MATCH(5,'Transfer Engine'!$C$2:$C$1199,0)),"",INDEX('Compliance Database'!$I$2:$I$1199,MATCH(5,'Transfer Engine'!$C$2:$C$1199,0)))</f>
        <v>0</v>
      </c>
      <c r="J14" s="6">
        <f>IF(ISNA(MATCH(5,'Transfer Engine'!$C$2:$C$1199,0)),"",INDEX('Compliance Database'!$J$2:$J$1199,MATCH(5,'Transfer Engine'!$C$2:$C$1199,0)))</f>
        <v>0</v>
      </c>
      <c r="K14" s="7" t="str">
        <f>IF(ISNA(MATCH(5,'Transfer Engine'!$C$2:$C$1199,0)),"",INDEX('Compliance Database'!$K$2:$K$1199,MATCH(5,'Transfer Engine'!$C$2:$C$1199,0)))</f>
        <v>This section specifies the commencement date for items 1 to 14 of Schedule 3. It states that these items commence immediately after section 3 of the Australian Information Commissioner Act 2010 commences, with a fallback date of 1 November 2010 if section 3 does not commence. The provision is conditional on the commencement of section 3.</v>
      </c>
      <c r="L14" s="7">
        <f>IF(ISNA(MATCH(5,'Transfer Engine'!$C$2:$C$1199,0)),"",INDEX('Compliance Database'!$L$2:$L$1199,MATCH(5,'Transfer Engine'!$C$2:$C$1199,0)))</f>
        <v>0</v>
      </c>
      <c r="M14" s="7" t="str">
        <f>IF(ISNA(MATCH(5,'Transfer Engine'!$C$2:$C$1199,0)),"",INDEX('Compliance Database'!$M$2:$M$1199,MATCH(5,'Transfer Engine'!$C$2:$C$1199,0)))</f>
        <v>• [Condition] Items 1 to 14 of Schedule 3 commence immediately after section 3 of the Australian Information Commissioner Act 2010 commences</v>
      </c>
      <c r="N14" s="7" t="str">
        <f>IF(ISNA(MATCH(5,'Transfer Engine'!$C$2:$C$1199,0)),"",INDEX('Compliance Database'!$N$2:$N$1199,MATCH(5,'Transfer Engine'!$C$2:$C$1199,0)))</f>
        <v>• [Condition] If section 3 of the Australian Information Commissioner Act 2010 does not commence, items 1 to 14 of Schedule 3 do not commence at all</v>
      </c>
      <c r="O14" s="7" t="str">
        <f>IF(ISNA(MATCH(5,'Transfer Engine'!$C$2:$C$1199,0)),"",INDEX('Compliance Database'!$O$2:$O$1199,MATCH(5,'Transfer Engine'!$C$2:$C$1199,0)))</f>
        <v>4. Schedule 3, items 1 to 14 Immediately after the commencement of section 3 of the Australian Information Commissioner Act 2010. However, if section 3 of the Australian Information Commissioner Act 2010 does not commence, the provision(s) do not commence at all.</v>
      </c>
      <c r="P14" s="6" t="str">
        <f>IF(ISNA(MATCH(5,'Transfer Engine'!$C$2:$C$1199,0)),"",HYPERLINK("#Acts!A"&amp;INDEX('Compliance Database'!$P$2:$P$1199,MATCH(5,'Transfer Engine'!$C$2:$C$1199,0)),"Go to Act"))</f>
        <v>Go to Act</v>
      </c>
    </row>
    <row r="15" spans="1:16" ht="172.95" customHeight="1" x14ac:dyDescent="0.3">
      <c r="A15" s="6" t="str">
        <f>IF(ISNA(MATCH(6,'Transfer Engine'!$C$2:$C$1199,0)),"",INDEX('Compliance Database'!$A$2:$A$1199,MATCH(6,'Transfer Engine'!$C$2:$C$1199,0)))</f>
        <v>Australia</v>
      </c>
      <c r="B15" s="6" t="str">
        <f>IF(ISNA(MATCH(6,'Transfer Engine'!$C$2:$C$1199,0)),"",INDEX('Compliance Database'!$B$2:$B$1199,MATCH(6,'Transfer Engine'!$C$2:$C$1199,0)))</f>
        <v>C2012C00866 (Australia - Row 12)</v>
      </c>
      <c r="C15" s="6" t="str">
        <f>IF(ISNA(MATCH(6,'Transfer Engine'!$C$2:$C$1199,0)),"",INDEX('Compliance Database'!$C$2:$C$1199,MATCH(6,'Transfer Engine'!$C$2:$C$1199,0)))</f>
        <v>5</v>
      </c>
      <c r="D15" s="7" t="str">
        <f>IF(ISNA(MATCH(6,'Transfer Engine'!$C$2:$C$1199,0)),"",INDEX('Compliance Database'!$D$2:$D$1199,MATCH(6,'Transfer Engine'!$C$2:$C$1199,0)))</f>
        <v>Schedule 3 item 15 commencement timing</v>
      </c>
      <c r="E15" s="6" t="str">
        <f>IF(ISNA(MATCH(6,'Transfer Engine'!$C$2:$C$1199,0)),"",INDEX('Compliance Database'!$E$2:$E$1199,MATCH(6,'Transfer Engine'!$C$2:$C$1199,0)))</f>
        <v>6</v>
      </c>
      <c r="F15" s="6" t="str">
        <f>IF(ISNA(MATCH(6,'Transfer Engine'!$C$2:$C$1199,0)),"",INDEX('Compliance Database'!$F$2:$F$1199,MATCH(6,'Transfer Engine'!$C$2:$C$1199,0)))</f>
        <v>None</v>
      </c>
      <c r="G15" s="6" t="str">
        <f>IF(ISNA(MATCH(6,'Transfer Engine'!$C$2:$C$1199,0)),"",INDEX('Compliance Database'!$G$2:$G$1199,MATCH(6,'Transfer Engine'!$C$2:$C$1199,0)))</f>
        <v>High (explicit)</v>
      </c>
      <c r="H15" s="7">
        <f>IF(ISNA(MATCH(6,'Transfer Engine'!$C$2:$C$1199,0)),"",INDEX('Compliance Database'!$H$2:$H$1199,MATCH(6,'Transfer Engine'!$C$2:$C$1199,0)))</f>
        <v>0</v>
      </c>
      <c r="I15" s="7">
        <f>IF(ISNA(MATCH(6,'Transfer Engine'!$C$2:$C$1199,0)),"",INDEX('Compliance Database'!$I$2:$I$1199,MATCH(6,'Transfer Engine'!$C$2:$C$1199,0)))</f>
        <v>0</v>
      </c>
      <c r="J15" s="6">
        <f>IF(ISNA(MATCH(6,'Transfer Engine'!$C$2:$C$1199,0)),"",INDEX('Compliance Database'!$J$2:$J$1199,MATCH(6,'Transfer Engine'!$C$2:$C$1199,0)))</f>
        <v>0</v>
      </c>
      <c r="K15" s="7" t="str">
        <f>IF(ISNA(MATCH(6,'Transfer Engine'!$C$2:$C$1199,0)),"",INDEX('Compliance Database'!$K$2:$K$1199,MATCH(6,'Transfer Engine'!$C$2:$C$1199,0)))</f>
        <v>This section specifies the commencement date for item 15 of Schedule 3. It states that this item commences the day after the end of a 6-month period beginning from the commencement date of section 3 of the Australian Information Commissioner Act 2010, with a fallback date of 1 May 2011 if section 3 does not commence. The provision is conditional on the commencement of section 3.</v>
      </c>
      <c r="L15" s="7">
        <f>IF(ISNA(MATCH(6,'Transfer Engine'!$C$2:$C$1199,0)),"",INDEX('Compliance Database'!$L$2:$L$1199,MATCH(6,'Transfer Engine'!$C$2:$C$1199,0)))</f>
        <v>0</v>
      </c>
      <c r="M15" s="7" t="str">
        <f>IF(ISNA(MATCH(6,'Transfer Engine'!$C$2:$C$1199,0)),"",INDEX('Compliance Database'!$M$2:$M$1199,MATCH(6,'Transfer Engine'!$C$2:$C$1199,0)))</f>
        <v>• [Condition] Item 15 of Schedule 3 commences the day after the end of the period of 6 months beginning on the day section 3 of the Australian Information Commissioner Act 2010 commences</v>
      </c>
      <c r="N15" s="7" t="str">
        <f>IF(ISNA(MATCH(6,'Transfer Engine'!$C$2:$C$1199,0)),"",INDEX('Compliance Database'!$N$2:$N$1199,MATCH(6,'Transfer Engine'!$C$2:$C$1199,0)))</f>
        <v>• [Condition] If section 3 of the Australian Information Commissioner Act 2010 does not commence, item 15 of Schedule 3 does not commence at all</v>
      </c>
      <c r="O15" s="7" t="str">
        <f>IF(ISNA(MATCH(6,'Transfer Engine'!$C$2:$C$1199,0)),"",INDEX('Compliance Database'!$O$2:$O$1199,MATCH(6,'Transfer Engine'!$C$2:$C$1199,0)))</f>
        <v>5. Schedule 3, item 15 The day after the end of the period of 6 months beginning on the day section 3 of the Australian Information Commissioner Act 2010 commences. However, if section 3 of the Australian Information Commissioner Act 2010 does not commence, the provision(s) do not commence at all.</v>
      </c>
      <c r="P15" s="6" t="str">
        <f>IF(ISNA(MATCH(6,'Transfer Engine'!$C$2:$C$1199,0)),"",HYPERLINK("#Acts!A"&amp;INDEX('Compliance Database'!$P$2:$P$1199,MATCH(6,'Transfer Engine'!$C$2:$C$1199,0)),"Go to Act"))</f>
        <v>Go to Act</v>
      </c>
    </row>
    <row r="16" spans="1:16" ht="172.95" customHeight="1" x14ac:dyDescent="0.3">
      <c r="A16" s="6" t="str">
        <f>IF(ISNA(MATCH(7,'Transfer Engine'!$C$2:$C$1199,0)),"",INDEX('Compliance Database'!$A$2:$A$1199,MATCH(7,'Transfer Engine'!$C$2:$C$1199,0)))</f>
        <v>Australia</v>
      </c>
      <c r="B16" s="6" t="str">
        <f>IF(ISNA(MATCH(7,'Transfer Engine'!$C$2:$C$1199,0)),"",INDEX('Compliance Database'!$B$2:$B$1199,MATCH(7,'Transfer Engine'!$C$2:$C$1199,0)))</f>
        <v>C2012C00866 (Australia - Row 12)</v>
      </c>
      <c r="C16" s="6" t="str">
        <f>IF(ISNA(MATCH(7,'Transfer Engine'!$C$2:$C$1199,0)),"",INDEX('Compliance Database'!$C$2:$C$1199,MATCH(7,'Transfer Engine'!$C$2:$C$1199,0)))</f>
        <v>6</v>
      </c>
      <c r="D16" s="7" t="str">
        <f>IF(ISNA(MATCH(7,'Transfer Engine'!$C$2:$C$1199,0)),"",INDEX('Compliance Database'!$D$2:$D$1199,MATCH(7,'Transfer Engine'!$C$2:$C$1199,0)))</f>
        <v>Schedule 3 items 16-40 commencement timing</v>
      </c>
      <c r="E16" s="6" t="str">
        <f>IF(ISNA(MATCH(7,'Transfer Engine'!$C$2:$C$1199,0)),"",INDEX('Compliance Database'!$E$2:$E$1199,MATCH(7,'Transfer Engine'!$C$2:$C$1199,0)))</f>
        <v>6</v>
      </c>
      <c r="F16" s="6" t="str">
        <f>IF(ISNA(MATCH(7,'Transfer Engine'!$C$2:$C$1199,0)),"",INDEX('Compliance Database'!$F$2:$F$1199,MATCH(7,'Transfer Engine'!$C$2:$C$1199,0)))</f>
        <v>None</v>
      </c>
      <c r="G16" s="6" t="str">
        <f>IF(ISNA(MATCH(7,'Transfer Engine'!$C$2:$C$1199,0)),"",INDEX('Compliance Database'!$G$2:$G$1199,MATCH(7,'Transfer Engine'!$C$2:$C$1199,0)))</f>
        <v>High (explicit)</v>
      </c>
      <c r="H16" s="7">
        <f>IF(ISNA(MATCH(7,'Transfer Engine'!$C$2:$C$1199,0)),"",INDEX('Compliance Database'!$H$2:$H$1199,MATCH(7,'Transfer Engine'!$C$2:$C$1199,0)))</f>
        <v>0</v>
      </c>
      <c r="I16" s="7">
        <f>IF(ISNA(MATCH(7,'Transfer Engine'!$C$2:$C$1199,0)),"",INDEX('Compliance Database'!$I$2:$I$1199,MATCH(7,'Transfer Engine'!$C$2:$C$1199,0)))</f>
        <v>0</v>
      </c>
      <c r="J16" s="6">
        <f>IF(ISNA(MATCH(7,'Transfer Engine'!$C$2:$C$1199,0)),"",INDEX('Compliance Database'!$J$2:$J$1199,MATCH(7,'Transfer Engine'!$C$2:$C$1199,0)))</f>
        <v>0</v>
      </c>
      <c r="K16" s="7" t="str">
        <f>IF(ISNA(MATCH(7,'Transfer Engine'!$C$2:$C$1199,0)),"",INDEX('Compliance Database'!$K$2:$K$1199,MATCH(7,'Transfer Engine'!$C$2:$C$1199,0)))</f>
        <v>This section specifies the commencement date for items 16 to 40 of Schedule 3. It states that these items commence immediately after section 3 of the Australian Information Commissioner Act 2010 commences, with a fallback date of 1 November 2010 if section 3 does not commence. The provision is conditional on the commencement of section 3.</v>
      </c>
      <c r="L16" s="7">
        <f>IF(ISNA(MATCH(7,'Transfer Engine'!$C$2:$C$1199,0)),"",INDEX('Compliance Database'!$L$2:$L$1199,MATCH(7,'Transfer Engine'!$C$2:$C$1199,0)))</f>
        <v>0</v>
      </c>
      <c r="M16" s="7" t="str">
        <f>IF(ISNA(MATCH(7,'Transfer Engine'!$C$2:$C$1199,0)),"",INDEX('Compliance Database'!$M$2:$M$1199,MATCH(7,'Transfer Engine'!$C$2:$C$1199,0)))</f>
        <v>• [Condition] Items 16 to 40 of Schedule 3 commence immediately after section 3 of the Australian Information Commissioner Act 2010 commences</v>
      </c>
      <c r="N16" s="7" t="str">
        <f>IF(ISNA(MATCH(7,'Transfer Engine'!$C$2:$C$1199,0)),"",INDEX('Compliance Database'!$N$2:$N$1199,MATCH(7,'Transfer Engine'!$C$2:$C$1199,0)))</f>
        <v>• [Condition] If section 3 of the Australian Information Commissioner Act 2010 does not commence, items 16 to 40 of Schedule 3 do not commence at all</v>
      </c>
      <c r="O16" s="7" t="str">
        <f>IF(ISNA(MATCH(7,'Transfer Engine'!$C$2:$C$1199,0)),"",INDEX('Compliance Database'!$O$2:$O$1199,MATCH(7,'Transfer Engine'!$C$2:$C$1199,0)))</f>
        <v>6. Schedule 3, items 16 to 40 Immediately after the commencement of section 3 of the Australian Information Commissioner Act 2010. However, if section 3 of the Australian Information Commissioner Act 2010 does not commence, the provision(s) do not commence at all.</v>
      </c>
      <c r="P16" s="6" t="str">
        <f>IF(ISNA(MATCH(7,'Transfer Engine'!$C$2:$C$1199,0)),"",HYPERLINK("#Acts!A"&amp;INDEX('Compliance Database'!$P$2:$P$1199,MATCH(7,'Transfer Engine'!$C$2:$C$1199,0)),"Go to Act"))</f>
        <v>Go to Act</v>
      </c>
    </row>
    <row r="17" spans="1:16" ht="172.95" customHeight="1" x14ac:dyDescent="0.3">
      <c r="A17" s="6" t="str">
        <f>IF(ISNA(MATCH(8,'Transfer Engine'!$C$2:$C$1199,0)),"",INDEX('Compliance Database'!$A$2:$A$1199,MATCH(8,'Transfer Engine'!$C$2:$C$1199,0)))</f>
        <v>Australia</v>
      </c>
      <c r="B17" s="6" t="str">
        <f>IF(ISNA(MATCH(8,'Transfer Engine'!$C$2:$C$1199,0)),"",INDEX('Compliance Database'!$B$2:$B$1199,MATCH(8,'Transfer Engine'!$C$2:$C$1199,0)))</f>
        <v>C2012C00866 (Australia - Row 12)</v>
      </c>
      <c r="C17" s="6" t="str">
        <f>IF(ISNA(MATCH(8,'Transfer Engine'!$C$2:$C$1199,0)),"",INDEX('Compliance Database'!$C$2:$C$1199,MATCH(8,'Transfer Engine'!$C$2:$C$1199,0)))</f>
        <v>7</v>
      </c>
      <c r="D17" s="7" t="str">
        <f>IF(ISNA(MATCH(8,'Transfer Engine'!$C$2:$C$1199,0)),"",INDEX('Compliance Database'!$D$2:$D$1199,MATCH(8,'Transfer Engine'!$C$2:$C$1199,0)))</f>
        <v>Schedules 4-7 commencement timing</v>
      </c>
      <c r="E17" s="6" t="str">
        <f>IF(ISNA(MATCH(8,'Transfer Engine'!$C$2:$C$1199,0)),"",INDEX('Compliance Database'!$E$2:$E$1199,MATCH(8,'Transfer Engine'!$C$2:$C$1199,0)))</f>
        <v>6–14</v>
      </c>
      <c r="F17" s="6" t="str">
        <f>IF(ISNA(MATCH(8,'Transfer Engine'!$C$2:$C$1199,0)),"",INDEX('Compliance Database'!$F$2:$F$1199,MATCH(8,'Transfer Engine'!$C$2:$C$1199,0)))</f>
        <v>None</v>
      </c>
      <c r="G17" s="6" t="str">
        <f>IF(ISNA(MATCH(8,'Transfer Engine'!$C$2:$C$1199,0)),"",INDEX('Compliance Database'!$G$2:$G$1199,MATCH(8,'Transfer Engine'!$C$2:$C$1199,0)))</f>
        <v>High (explicit)</v>
      </c>
      <c r="H17" s="7">
        <f>IF(ISNA(MATCH(8,'Transfer Engine'!$C$2:$C$1199,0)),"",INDEX('Compliance Database'!$H$2:$H$1199,MATCH(8,'Transfer Engine'!$C$2:$C$1199,0)))</f>
        <v>0</v>
      </c>
      <c r="I17" s="7">
        <f>IF(ISNA(MATCH(8,'Transfer Engine'!$C$2:$C$1199,0)),"",INDEX('Compliance Database'!$I$2:$I$1199,MATCH(8,'Transfer Engine'!$C$2:$C$1199,0)))</f>
        <v>0</v>
      </c>
      <c r="J17" s="6">
        <f>IF(ISNA(MATCH(8,'Transfer Engine'!$C$2:$C$1199,0)),"",INDEX('Compliance Database'!$J$2:$J$1199,MATCH(8,'Transfer Engine'!$C$2:$C$1199,0)))</f>
        <v>0</v>
      </c>
      <c r="K17" s="7" t="str">
        <f>IF(ISNA(MATCH(8,'Transfer Engine'!$C$2:$C$1199,0)),"",INDEX('Compliance Database'!$K$2:$K$1199,MATCH(8,'Transfer Engine'!$C$2:$C$1199,0)))</f>
        <v>This section specifies the commencement date for Schedules 4 to 7. It states that these schedules commence immediately after section 3 of the Australian Information Commissioner Act 2010 commences, with a fallback date of 1 November 2010 if section 3 does not commence. The provision is conditional on the commencement of section 3.</v>
      </c>
      <c r="L17" s="7">
        <f>IF(ISNA(MATCH(8,'Transfer Engine'!$C$2:$C$1199,0)),"",INDEX('Compliance Database'!$L$2:$L$1199,MATCH(8,'Transfer Engine'!$C$2:$C$1199,0)))</f>
        <v>0</v>
      </c>
      <c r="M17" s="7" t="str">
        <f>IF(ISNA(MATCH(8,'Transfer Engine'!$C$2:$C$1199,0)),"",INDEX('Compliance Database'!$M$2:$M$1199,MATCH(8,'Transfer Engine'!$C$2:$C$1199,0)))</f>
        <v>• [Condition] Schedules 4 to 7 commence immediately after section 3 of the Australian Information Commissioner Act 2010 commences</v>
      </c>
      <c r="N17" s="7" t="str">
        <f>IF(ISNA(MATCH(8,'Transfer Engine'!$C$2:$C$1199,0)),"",INDEX('Compliance Database'!$N$2:$N$1199,MATCH(8,'Transfer Engine'!$C$2:$C$1199,0)))</f>
        <v>• [Condition] If section 3 of the Australian Information Commissioner Act 2010 does not commence, Schedules 4 to 7 do not commence at all</v>
      </c>
      <c r="O17" s="7" t="str">
        <f>IF(ISNA(MATCH(8,'Transfer Engine'!$C$2:$C$1199,0)),"",INDEX('Compliance Database'!$O$2:$O$1199,MATCH(8,'Transfer Engine'!$C$2:$C$1199,0)))</f>
        <v>7. Schedules 4 to 7 Immediately after the commencement of section 3 of the Australian Information Commissioner Act 2010. However, if section 3 of the Australian Information Commissioner Act 2010 does not commence, the provision(s) do not commence at all.</v>
      </c>
      <c r="P17" s="6" t="str">
        <f>IF(ISNA(MATCH(8,'Transfer Engine'!$C$2:$C$1199,0)),"",HYPERLINK("#Acts!A"&amp;INDEX('Compliance Database'!$P$2:$P$1199,MATCH(8,'Transfer Engine'!$C$2:$C$1199,0)),"Go to Act"))</f>
        <v>Go to Act</v>
      </c>
    </row>
    <row r="18" spans="1:16" ht="172.95" customHeight="1" x14ac:dyDescent="0.3">
      <c r="A18" s="6" t="str">
        <f>IF(ISNA(MATCH(9,'Transfer Engine'!$C$2:$C$1199,0)),"",INDEX('Compliance Database'!$A$2:$A$1199,MATCH(9,'Transfer Engine'!$C$2:$C$1199,0)))</f>
        <v>Australia</v>
      </c>
      <c r="B18" s="6" t="str">
        <f>IF(ISNA(MATCH(9,'Transfer Engine'!$C$2:$C$1199,0)),"",INDEX('Compliance Database'!$B$2:$B$1199,MATCH(9,'Transfer Engine'!$C$2:$C$1199,0)))</f>
        <v>C2012C00866 (Australia - Row 12)</v>
      </c>
      <c r="C18" s="6" t="str">
        <f>IF(ISNA(MATCH(9,'Transfer Engine'!$C$2:$C$1199,0)),"",INDEX('Compliance Database'!$C$2:$C$1199,MATCH(9,'Transfer Engine'!$C$2:$C$1199,0)))</f>
        <v>7 (part 2)</v>
      </c>
      <c r="D18" s="7" t="str">
        <f>IF(ISNA(MATCH(9,'Transfer Engine'!$C$2:$C$1199,0)),"",INDEX('Compliance Database'!$D$2:$D$1199,MATCH(9,'Transfer Engine'!$C$2:$C$1199,0)))</f>
        <v>Publication of information requirements for agencies</v>
      </c>
      <c r="E18" s="6" t="str">
        <f>IF(ISNA(MATCH(9,'Transfer Engine'!$C$2:$C$1199,0)),"",INDEX('Compliance Database'!$E$2:$E$1199,MATCH(9,'Transfer Engine'!$C$2:$C$1199,0)))</f>
        <v>14–20</v>
      </c>
      <c r="F18" s="6" t="str">
        <f>IF(ISNA(MATCH(9,'Transfer Engine'!$C$2:$C$1199,0)),"",INDEX('Compliance Database'!$F$2:$F$1199,MATCH(9,'Transfer Engine'!$C$2:$C$1199,0)))</f>
        <v>Medium</v>
      </c>
      <c r="G18" s="6" t="str">
        <f>IF(ISNA(MATCH(9,'Transfer Engine'!$C$2:$C$1199,0)),"",INDEX('Compliance Database'!$G$2:$G$1199,MATCH(9,'Transfer Engine'!$C$2:$C$1199,0)))</f>
        <v>High (explicit)</v>
      </c>
      <c r="H18" s="7">
        <f>IF(ISNA(MATCH(9,'Transfer Engine'!$C$2:$C$1199,0)),"",INDEX('Compliance Database'!$H$2:$H$1199,MATCH(9,'Transfer Engine'!$C$2:$C$1199,0)))</f>
        <v>0</v>
      </c>
      <c r="I18" s="7" t="str">
        <f>IF(ISNA(MATCH(9,'Transfer Engine'!$C$2:$C$1199,0)),"",INDEX('Compliance Database'!$I$2:$I$1199,MATCH(9,'Transfer Engine'!$C$2:$C$1199,0)))</f>
        <v>Personal Information</v>
      </c>
      <c r="J18" s="6" t="str">
        <f>IF(ISNA(MATCH(9,'Transfer Engine'!$C$2:$C$1199,0)),"",INDEX('Compliance Database'!$J$2:$J$1199,MATCH(9,'Transfer Engine'!$C$2:$C$1199,0)))</f>
        <v>Information Commissioner</v>
      </c>
      <c r="K18" s="7" t="str">
        <f>IF(ISNA(MATCH(9,'Transfer Engine'!$C$2:$C$1199,0)),"",INDEX('Compliance Database'!$K$2:$K$1199,MATCH(9,'Transfer Engine'!$C$2:$C$1199,0)))</f>
        <v>Agencies must publish required information to the public generally, with optional publication to specific groups. Information must be accessible via website downloads or links. Agencies may charge for access only if the person doesn't download directly and the charge covers specific reproduction costs. Charges must be published alongside the information. The Information Commissioner may assist agencies with identifying and preparing information for publication.</v>
      </c>
      <c r="L18" s="7" t="str">
        <f>IF(ISNA(MATCH(9,'Transfer Engine'!$C$2:$C$1199,0)),"",INDEX('Compliance Database'!$L$2:$L$1199,MATCH(9,'Transfer Engine'!$C$2:$C$1199,0)))</f>
        <v>Requires agencies to publish information publicly via websites, with specific conditions on charges and access. Relevant for assessing how information is shared across borders when agencies publish data.</v>
      </c>
      <c r="M18" s="7" t="str">
        <f>IF(ISNA(MATCH(9,'Transfer Engine'!$C$2:$C$1199,0)),"",INDEX('Compliance Database'!$M$2:$M$1199,MATCH(9,'Transfer Engine'!$C$2:$C$1199,0)))</f>
        <v>• [Must] Agency must publish information required or permitted under this Part to members of the public generally
• [Must] Agency must publish information to particular classes of persons or entities if appropriate
• [Must] Agency must publish information on website by making available for download or providing links to download
• [May] Agency may impose charge for accessing information only if person does not download directly</v>
      </c>
      <c r="N18" s="7" t="str">
        <f>IF(ISNA(MATCH(9,'Transfer Engine'!$C$2:$C$1199,0)),"",INDEX('Compliance Database'!$N$2:$N$1199,MATCH(9,'Transfer Engine'!$C$2:$C$1199,0)))</f>
        <v>• [Must] Agency may impose charge only if charge covers specific reproduction costs
• [Must] Agency must publish details of charge in same way as information is published
• [May] Information Commissioner may provide assistance to agencies in identifying and preparing information for publication
• [May] Information Commissioner may determine how information is published</v>
      </c>
      <c r="O18" s="7" t="str">
        <f>IF(ISNA(MATCH(9,'Transfer Engine'!$C$2:$C$1199,0)),"",INDEX('Compliance Database'!$O$2:$O$1199,MATCH(9,'Transfer Engine'!$C$2:$C$1199,0)))</f>
        <v>An agency must publish information that is required or permitted to be published under this Part in accordance with this section. The agency must publish the information: (a) to members of the public generally; and (b) if the agency considers that it is appropriate to do so—to particular classes of persons or entities.</v>
      </c>
      <c r="P18" s="6" t="str">
        <f>IF(ISNA(MATCH(9,'Transfer Engine'!$C$2:$C$1199,0)),"",HYPERLINK("#Acts!A"&amp;INDEX('Compliance Database'!$P$2:$P$1199,MATCH(9,'Transfer Engine'!$C$2:$C$1199,0)),"Go to Act"))</f>
        <v>Go to Act</v>
      </c>
    </row>
    <row r="19" spans="1:16" ht="172.95" customHeight="1" x14ac:dyDescent="0.3">
      <c r="A19" s="6" t="str">
        <f>IF(ISNA(MATCH(10,'Transfer Engine'!$C$2:$C$1199,0)),"",INDEX('Compliance Database'!$A$2:$A$1199,MATCH(10,'Transfer Engine'!$C$2:$C$1199,0)))</f>
        <v>Australia</v>
      </c>
      <c r="B19" s="6" t="str">
        <f>IF(ISNA(MATCH(10,'Transfer Engine'!$C$2:$C$1199,0)),"",INDEX('Compliance Database'!$B$2:$B$1199,MATCH(10,'Transfer Engine'!$C$2:$C$1199,0)))</f>
        <v>C2012C00866 (Australia - Row 12)</v>
      </c>
      <c r="C19" s="6" t="str">
        <f>IF(ISNA(MATCH(10,'Transfer Engine'!$C$2:$C$1199,0)),"",INDEX('Compliance Database'!$C$2:$C$1199,MATCH(10,'Transfer Engine'!$C$2:$C$1199,0)))</f>
        <v>7 (part 3)</v>
      </c>
      <c r="D19" s="7" t="str">
        <f>IF(ISNA(MATCH(10,'Transfer Engine'!$C$2:$C$1199,0)),"",INDEX('Compliance Database'!$D$2:$D$1199,MATCH(10,'Transfer Engine'!$C$2:$C$1199,0)))</f>
        <v>Exemptions for information access periods</v>
      </c>
      <c r="E19" s="6" t="str">
        <f>IF(ISNA(MATCH(10,'Transfer Engine'!$C$2:$C$1199,0)),"",INDEX('Compliance Database'!$E$2:$E$1199,MATCH(10,'Transfer Engine'!$C$2:$C$1199,0)))</f>
        <v>20–26</v>
      </c>
      <c r="F19" s="6" t="str">
        <f>IF(ISNA(MATCH(10,'Transfer Engine'!$C$2:$C$1199,0)),"",INDEX('Compliance Database'!$F$2:$F$1199,MATCH(10,'Transfer Engine'!$C$2:$C$1199,0)))</f>
        <v>Low</v>
      </c>
      <c r="G19" s="6" t="str">
        <f>IF(ISNA(MATCH(10,'Transfer Engine'!$C$2:$C$1199,0)),"",INDEX('Compliance Database'!$G$2:$G$1199,MATCH(10,'Transfer Engine'!$C$2:$C$1199,0)))</f>
        <v>High (explicit)</v>
      </c>
      <c r="H19" s="7" t="str">
        <f>IF(ISNA(MATCH(10,'Transfer Engine'!$C$2:$C$1199,0)),"",INDEX('Compliance Database'!$H$2:$H$1199,MATCH(10,'Transfer Engine'!$C$2:$C$1199,0)))</f>
        <v>Retention</v>
      </c>
      <c r="I19" s="7">
        <f>IF(ISNA(MATCH(10,'Transfer Engine'!$C$2:$C$1199,0)),"",INDEX('Compliance Database'!$I$2:$I$1199,MATCH(10,'Transfer Engine'!$C$2:$C$1199,0)))</f>
        <v>0</v>
      </c>
      <c r="J19" s="6">
        <f>IF(ISNA(MATCH(10,'Transfer Engine'!$C$2:$C$1199,0)),"",INDEX('Compliance Database'!$J$2:$J$1199,MATCH(10,'Transfer Engine'!$C$2:$C$1199,0)))</f>
        <v>0</v>
      </c>
      <c r="K19" s="7" t="str">
        <f>IF(ISNA(MATCH(10,'Transfer Engine'!$C$2:$C$1199,0)),"",INDEX('Compliance Database'!$K$2:$K$1199,MATCH(10,'Transfer Engine'!$C$2:$C$1199,0)))</f>
        <v>This section amends the open access periods for records and Cabinet notebooks. It reduces the standard open access period from 25 to 15 years for most records, with specific calculations for different record creation years. Cabinet notebooks have different open access periods, with some requiring 31 years after creation for full access.</v>
      </c>
      <c r="L19" s="7" t="str">
        <f>IF(ISNA(MATCH(10,'Transfer Engine'!$C$2:$C$1199,0)),"",INDEX('Compliance Database'!$L$2:$L$1199,MATCH(10,'Transfer Engine'!$C$2:$C$1199,0)))</f>
        <v>Sets specific timeframes for when government records become publicly accessible after creation, relevant for data retention and publication timelines in cross-border contexts.</v>
      </c>
      <c r="M19" s="7" t="str">
        <f>IF(ISNA(MATCH(10,'Transfer Engine'!$C$2:$C$1199,0)),"",INDEX('Compliance Database'!$M$2:$M$1199,MATCH(10,'Transfer Engine'!$C$2:$C$1199,0)))</f>
        <v>• [Must] Open access period for records: 15 years after creation for records from 2000 onwards
• [Must] Open access period for records: 21 years after creation for records from 2001 onwards</v>
      </c>
      <c r="N19" s="7" t="str">
        <f>IF(ISNA(MATCH(10,'Transfer Engine'!$C$2:$C$1199,0)),"",INDEX('Compliance Database'!$N$2:$N$1199,MATCH(10,'Transfer Engine'!$C$2:$C$1199,0)))</f>
        <v>• [Must] Open access period for Cabinet notebooks: 31 years after creation for records from 1991 onwards</v>
      </c>
      <c r="O19" s="7" t="str">
        <f>IF(ISNA(MATCH(10,'Transfer Engine'!$C$2:$C$1199,0)),"",INDEX('Compliance Database'!$O$2:$O$1199,MATCH(10,'Transfer Engine'!$C$2:$C$1199,0)))</f>
        <v>For the purposes of this Act, subject to sections 22A and 22B, work out when a record is in the open access period in accordance with the following table: Open access period for records Item If the record came into existence in any of the following years (ending on 31 December): the record is in the open access period on and after the following day: 13 a year (the creation year) after 2000 1 January in the year that is 21 years after the creation year.</v>
      </c>
      <c r="P19" s="6" t="str">
        <f>IF(ISNA(MATCH(10,'Transfer Engine'!$C$2:$C$1199,0)),"",HYPERLINK("#Acts!A"&amp;INDEX('Compliance Database'!$P$2:$P$1199,MATCH(10,'Transfer Engine'!$C$2:$C$1199,0)),"Go to Act"))</f>
        <v>Go to Act</v>
      </c>
    </row>
    <row r="20" spans="1:16" ht="172.95" customHeight="1" x14ac:dyDescent="0.3">
      <c r="A20" s="6" t="str">
        <f>IF(ISNA(MATCH(11,'Transfer Engine'!$C$2:$C$1199,0)),"",INDEX('Compliance Database'!$A$2:$A$1199,MATCH(11,'Transfer Engine'!$C$2:$C$1199,0)))</f>
        <v>Australia</v>
      </c>
      <c r="B20" s="6" t="str">
        <f>IF(ISNA(MATCH(11,'Transfer Engine'!$C$2:$C$1199,0)),"",INDEX('Compliance Database'!$B$2:$B$1199,MATCH(11,'Transfer Engine'!$C$2:$C$1199,0)))</f>
        <v>C2012C00866 (Australia - Row 12)</v>
      </c>
      <c r="C20" s="6" t="str">
        <f>IF(ISNA(MATCH(11,'Transfer Engine'!$C$2:$C$1199,0)),"",INDEX('Compliance Database'!$C$2:$C$1199,MATCH(11,'Transfer Engine'!$C$2:$C$1199,0)))</f>
        <v>7 (part 4)</v>
      </c>
      <c r="D20" s="7" t="str">
        <f>IF(ISNA(MATCH(11,'Transfer Engine'!$C$2:$C$1199,0)),"",INDEX('Compliance Database'!$D$2:$D$1199,MATCH(11,'Transfer Engine'!$C$2:$C$1199,0)))</f>
        <v>Exemptions for information disclosure requests</v>
      </c>
      <c r="E20" s="6" t="str">
        <f>IF(ISNA(MATCH(11,'Transfer Engine'!$C$2:$C$1199,0)),"",INDEX('Compliance Database'!$E$2:$E$1199,MATCH(11,'Transfer Engine'!$C$2:$C$1199,0)))</f>
        <v>26–32</v>
      </c>
      <c r="F20" s="6" t="str">
        <f>IF(ISNA(MATCH(11,'Transfer Engine'!$C$2:$C$1199,0)),"",INDEX('Compliance Database'!$F$2:$F$1199,MATCH(11,'Transfer Engine'!$C$2:$C$1199,0)))</f>
        <v>Low</v>
      </c>
      <c r="G20" s="6" t="str">
        <f>IF(ISNA(MATCH(11,'Transfer Engine'!$C$2:$C$1199,0)),"",INDEX('Compliance Database'!$G$2:$G$1199,MATCH(11,'Transfer Engine'!$C$2:$C$1199,0)))</f>
        <v>High (explicit)</v>
      </c>
      <c r="H20" s="7">
        <f>IF(ISNA(MATCH(11,'Transfer Engine'!$C$2:$C$1199,0)),"",INDEX('Compliance Database'!$H$2:$H$1199,MATCH(11,'Transfer Engine'!$C$2:$C$1199,0)))</f>
        <v>0</v>
      </c>
      <c r="I20" s="7" t="str">
        <f>IF(ISNA(MATCH(11,'Transfer Engine'!$C$2:$C$1199,0)),"",INDEX('Compliance Database'!$I$2:$I$1199,MATCH(11,'Transfer Engine'!$C$2:$C$1199,0)))</f>
        <v>Personal Information</v>
      </c>
      <c r="J20" s="6" t="str">
        <f>IF(ISNA(MATCH(11,'Transfer Engine'!$C$2:$C$1199,0)),"",INDEX('Compliance Database'!$J$2:$J$1199,MATCH(11,'Transfer Engine'!$C$2:$C$1199,0)))</f>
        <v>Information Commissioner</v>
      </c>
      <c r="K20" s="7" t="str">
        <f>IF(ISNA(MATCH(11,'Transfer Engine'!$C$2:$C$1199,0)),"",INDEX('Compliance Database'!$K$2:$K$1199,MATCH(11,'Transfer Engine'!$C$2:$C$1199,0)))</f>
        <v>This section outlines conditions under which agencies or Ministers may refuse access to documents. It specifies that exempt information may be withheld if disclosure would be unreasonable, impracticable, or if the document contains irrelevant information. Agencies must publish information on websites, provide edited copies where necessary, and charge only for specific reproduction costs. The section also sets a 10-day publication deadline and defines working days for compliance.</v>
      </c>
      <c r="L20" s="7" t="str">
        <f>IF(ISNA(MATCH(11,'Transfer Engine'!$C$2:$C$1199,0)),"",INDEX('Compliance Database'!$L$2:$L$1199,MATCH(11,'Transfer Engine'!$C$2:$C$1199,0)))</f>
        <v>This section establishes conditions for exempting information from disclosure, including when edited copies must be provided and when charges can be imposed. It impacts DTIAs by defining when information can be withheld and the requirements for publishing edited copies.</v>
      </c>
      <c r="M20" s="7" t="str">
        <f>IF(ISNA(MATCH(11,'Transfer Engine'!$C$2:$C$1199,0)),"",INDEX('Compliance Database'!$M$2:$M$1199,MATCH(11,'Transfer Engine'!$C$2:$C$1199,0)))</f>
        <v>• [Must] The agency or Minister must publish the information on a website by making it available for downloading
• [Must] The agency or Minister must publish a link to another website where the information can be downloaded
• [Must] The agency or Minister must publish other details of how the information may be obtained
• [Must] The agency may impose a charge for accessing information only if the person does not directly download it from the website</v>
      </c>
      <c r="N20" s="7" t="str">
        <f>IF(ISNA(MATCH(11,'Transfer Engine'!$C$2:$C$1199,0)),"",INDEX('Compliance Database'!$N$2:$N$1199,MATCH(11,'Transfer Engine'!$C$2:$C$1199,0)))</f>
        <v>• [Must] The agency may impose a charge only if it reimburses specific reproduction costs or incidental costs
• [Must] The agency or Minister must publish details of any charge in the same way as the information
• [Must] The agency or Minister must comply with this section within 10 working days after the person is given access to the document</v>
      </c>
      <c r="O20" s="7" t="str">
        <f>IF(ISNA(MATCH(11,'Transfer Engine'!$C$2:$C$1199,0)),"",INDEX('Compliance Database'!$O$2:$O$1199,MATCH(11,'Transfer Engine'!$C$2:$C$1199,0)))</f>
        <v>The agency, or the Minister, must publish the information to members of the public generally on a website by: (a) making the information available for downloading from the website; or (b) publishing on the website a link to another website, from which the information can be downloaded; or (c) publishing on the website other details of how the information may be obtained.</v>
      </c>
      <c r="P20" s="6" t="str">
        <f>IF(ISNA(MATCH(11,'Transfer Engine'!$C$2:$C$1199,0)),"",HYPERLINK("#Acts!A"&amp;INDEX('Compliance Database'!$P$2:$P$1199,MATCH(11,'Transfer Engine'!$C$2:$C$1199,0)),"Go to Act"))</f>
        <v>Go to Act</v>
      </c>
    </row>
    <row r="21" spans="1:16" ht="172.95" customHeight="1" x14ac:dyDescent="0.3">
      <c r="A21" s="6" t="str">
        <f>IF(ISNA(MATCH(12,'Transfer Engine'!$C$2:$C$1199,0)),"",INDEX('Compliance Database'!$A$2:$A$1199,MATCH(12,'Transfer Engine'!$C$2:$C$1199,0)))</f>
        <v>Australia</v>
      </c>
      <c r="B21" s="6" t="str">
        <f>IF(ISNA(MATCH(12,'Transfer Engine'!$C$2:$C$1199,0)),"",INDEX('Compliance Database'!$B$2:$B$1199,MATCH(12,'Transfer Engine'!$C$2:$C$1199,0)))</f>
        <v>C2012C00866 (Australia - Row 12)</v>
      </c>
      <c r="C21" s="6" t="str">
        <f>IF(ISNA(MATCH(12,'Transfer Engine'!$C$2:$C$1199,0)),"",INDEX('Compliance Database'!$C$2:$C$1199,MATCH(12,'Transfer Engine'!$C$2:$C$1199,0)))</f>
        <v>7 (part 6)</v>
      </c>
      <c r="D21" s="7" t="str">
        <f>IF(ISNA(MATCH(12,'Transfer Engine'!$C$2:$C$1199,0)),"",INDEX('Compliance Database'!$D$2:$D$1199,MATCH(12,'Transfer Engine'!$C$2:$C$1199,0)))</f>
        <v>Exemptions for documents disclosing deliberative processes</v>
      </c>
      <c r="E21" s="6" t="str">
        <f>IF(ISNA(MATCH(12,'Transfer Engine'!$C$2:$C$1199,0)),"",INDEX('Compliance Database'!$E$2:$E$1199,MATCH(12,'Transfer Engine'!$C$2:$C$1199,0)))</f>
        <v>38–43</v>
      </c>
      <c r="F21" s="6" t="str">
        <f>IF(ISNA(MATCH(12,'Transfer Engine'!$C$2:$C$1199,0)),"",INDEX('Compliance Database'!$F$2:$F$1199,MATCH(12,'Transfer Engine'!$C$2:$C$1199,0)))</f>
        <v>Low</v>
      </c>
      <c r="G21" s="6" t="str">
        <f>IF(ISNA(MATCH(12,'Transfer Engine'!$C$2:$C$1199,0)),"",INDEX('Compliance Database'!$G$2:$G$1199,MATCH(12,'Transfer Engine'!$C$2:$C$1199,0)))</f>
        <v>High (explicit)</v>
      </c>
      <c r="H21" s="7">
        <f>IF(ISNA(MATCH(12,'Transfer Engine'!$C$2:$C$1199,0)),"",INDEX('Compliance Database'!$H$2:$H$1199,MATCH(12,'Transfer Engine'!$C$2:$C$1199,0)))</f>
        <v>0</v>
      </c>
      <c r="I21" s="7" t="str">
        <f>IF(ISNA(MATCH(12,'Transfer Engine'!$C$2:$C$1199,0)),"",INDEX('Compliance Database'!$I$2:$I$1199,MATCH(12,'Transfer Engine'!$C$2:$C$1199,0)))</f>
        <v>Personal Information</v>
      </c>
      <c r="J21" s="6" t="str">
        <f>IF(ISNA(MATCH(12,'Transfer Engine'!$C$2:$C$1199,0)),"",INDEX('Compliance Database'!$J$2:$J$1199,MATCH(12,'Transfer Engine'!$C$2:$C$1199,0)))</f>
        <v>Commonwealth</v>
      </c>
      <c r="K21" s="7" t="str">
        <f>IF(ISNA(MATCH(12,'Transfer Engine'!$C$2:$C$1199,0)),"",INDEX('Compliance Database'!$K$2:$K$1199,MATCH(12,'Transfer Engine'!$C$2:$C$1199,0)))</f>
        <v>This section specifies that documents involving deliberative processes (e.g., opinions, advice, recommendations) are conditionally exempt from disclosure unless disclosure would be contrary to the public interest. It excludes operational information and purely factual material. The exemption applies to Commonwealth and State agencies, with specific exceptions for certain types of reports and decisions.</v>
      </c>
      <c r="L21" s="7" t="str">
        <f>IF(ISNA(MATCH(12,'Transfer Engine'!$C$2:$C$1199,0)),"",INDEX('Compliance Database'!$L$2:$L$1199,MATCH(12,'Transfer Engine'!$C$2:$C$1199,0)))</f>
        <v>This section creates conditions for exempting documents involving internal deliberations, which may impact data transfer assessments when handling sensitive internal communications across jurisdictions.</v>
      </c>
      <c r="M21" s="7" t="str">
        <f>IF(ISNA(MATCH(12,'Transfer Engine'!$C$2:$C$1199,0)),"",INDEX('Compliance Database'!$M$2:$M$1199,MATCH(12,'Transfer Engine'!$C$2:$C$1199,0)))</f>
        <v>• [Must] A document is conditionally exempt if its disclosure would disclose matter in the nature of, or relating to, opinion, advice or recommendation obtained, prepared or recorded, or consultation or deliberation
• [Must Not] Deliberative matter does not include operational information
• [Must Not] Deliberative matter does not include purely factual material</v>
      </c>
      <c r="N21" s="7" t="str">
        <f>IF(ISNA(MATCH(12,'Transfer Engine'!$C$2:$C$1199,0)),"",INDEX('Compliance Database'!$N$2:$N$1199,MATCH(12,'Transfer Engine'!$C$2:$C$1199,0)))</f>
        <v>• [Must Not] This section does not apply to reports of scientific or technical experts
• [Must Not] This section does not apply to reports of bodies or organisations established within an agency
• [Must Not] This section does not apply to the record of final decisions</v>
      </c>
      <c r="O21" s="7" t="str">
        <f>IF(ISNA(MATCH(12,'Transfer Engine'!$C$2:$C$1199,0)),"",INDEX('Compliance Database'!$O$2:$O$1199,MATCH(12,'Transfer Engine'!$C$2:$C$1199,0)))</f>
        <v>A document is conditionally exempt if its disclosure under this Act would disclose matter (deliberative matter) in the nature of, or relating to, opinion, advice or recommendation obtained, prepared or recorded, or consultation or deliberation that has taken place, in the course of, or for the purposes of, the deliberative processes involved in the functions of an agency or Minister or of the Government of the Commonwealth.</v>
      </c>
      <c r="P21" s="6" t="str">
        <f>IF(ISNA(MATCH(12,'Transfer Engine'!$C$2:$C$1199,0)),"",HYPERLINK("#Acts!A"&amp;INDEX('Compliance Database'!$P$2:$P$1199,MATCH(12,'Transfer Engine'!$C$2:$C$1199,0)),"Go to Act"))</f>
        <v>Go to Act</v>
      </c>
    </row>
    <row r="22" spans="1:16" ht="172.95" customHeight="1" x14ac:dyDescent="0.3">
      <c r="A22" s="6" t="str">
        <f>IF(ISNA(MATCH(13,'Transfer Engine'!$C$2:$C$1199,0)),"",INDEX('Compliance Database'!$A$2:$A$1199,MATCH(13,'Transfer Engine'!$C$2:$C$1199,0)))</f>
        <v>Australia</v>
      </c>
      <c r="B22" s="6" t="str">
        <f>IF(ISNA(MATCH(13,'Transfer Engine'!$C$2:$C$1199,0)),"",INDEX('Compliance Database'!$B$2:$B$1199,MATCH(13,'Transfer Engine'!$C$2:$C$1199,0)))</f>
        <v>C2012C00866 (Australia - Row 12)</v>
      </c>
      <c r="C22" s="6" t="str">
        <f>IF(ISNA(MATCH(13,'Transfer Engine'!$C$2:$C$1199,0)),"",INDEX('Compliance Database'!$C$2:$C$1199,MATCH(13,'Transfer Engine'!$C$2:$C$1199,0)))</f>
        <v>7 (part 7)</v>
      </c>
      <c r="D22" s="7" t="str">
        <f>IF(ISNA(MATCH(13,'Transfer Engine'!$C$2:$C$1199,0)),"",INDEX('Compliance Database'!$D$2:$D$1199,MATCH(13,'Transfer Engine'!$C$2:$C$1199,0)))</f>
        <v>Exemptions for documents concerning business and professional affairs</v>
      </c>
      <c r="E22" s="6" t="str">
        <f>IF(ISNA(MATCH(13,'Transfer Engine'!$C$2:$C$1199,0)),"",INDEX('Compliance Database'!$E$2:$E$1199,MATCH(13,'Transfer Engine'!$C$2:$C$1199,0)))</f>
        <v>43–49</v>
      </c>
      <c r="F22" s="6" t="str">
        <f>IF(ISNA(MATCH(13,'Transfer Engine'!$C$2:$C$1199,0)),"",INDEX('Compliance Database'!$F$2:$F$1199,MATCH(13,'Transfer Engine'!$C$2:$C$1199,0)))</f>
        <v>High</v>
      </c>
      <c r="G22" s="6" t="str">
        <f>IF(ISNA(MATCH(13,'Transfer Engine'!$C$2:$C$1199,0)),"",INDEX('Compliance Database'!$G$2:$G$1199,MATCH(13,'Transfer Engine'!$C$2:$C$1199,0)))</f>
        <v>High (explicit)</v>
      </c>
      <c r="H22" s="7">
        <f>IF(ISNA(MATCH(13,'Transfer Engine'!$C$2:$C$1199,0)),"",INDEX('Compliance Database'!$H$2:$H$1199,MATCH(13,'Transfer Engine'!$C$2:$C$1199,0)))</f>
        <v>0</v>
      </c>
      <c r="I22" s="7" t="str">
        <f>IF(ISNA(MATCH(13,'Transfer Engine'!$C$2:$C$1199,0)),"",INDEX('Compliance Database'!$I$2:$I$1199,MATCH(13,'Transfer Engine'!$C$2:$C$1199,0)))</f>
        <v>Financial Data, Customer Data</v>
      </c>
      <c r="J22" s="6" t="str">
        <f>IF(ISNA(MATCH(13,'Transfer Engine'!$C$2:$C$1199,0)),"",INDEX('Compliance Database'!$J$2:$J$1199,MATCH(13,'Transfer Engine'!$C$2:$C$1199,0)))</f>
        <v>Commonwealth</v>
      </c>
      <c r="K22" s="7" t="str">
        <f>IF(ISNA(MATCH(13,'Transfer Engine'!$C$2:$C$1199,0)),"",INDEX('Compliance Database'!$K$2:$K$1199,MATCH(13,'Transfer Engine'!$C$2:$C$1199,0)))</f>
        <v>This section establishes that documents containing information about a person's business or professional affairs, or an organisation's business, commercial or financial affairs, may be conditionally exempt if disclosure would unreasonably affect that person or organisation. It excludes trade secrets and applies to Commonwealth and State agencies, with specific exceptions for certain types of requests.</v>
      </c>
      <c r="L22" s="7" t="str">
        <f>IF(ISNA(MATCH(13,'Transfer Engine'!$C$2:$C$1199,0)),"",INDEX('Compliance Database'!$L$2:$L$1199,MATCH(13,'Transfer Engine'!$C$2:$C$1199,0)))</f>
        <v>This section affects data transfer assessments by defining when business-related information can be exempted, which may impact cross-border data sharing involving sensitive commercial information.</v>
      </c>
      <c r="M22" s="7" t="str">
        <f>IF(ISNA(MATCH(13,'Transfer Engine'!$C$2:$C$1199,0)),"",INDEX('Compliance Database'!$M$2:$M$1199,MATCH(13,'Transfer Engine'!$C$2:$C$1199,0)))</f>
        <v>• [Must] A document is conditionally exempt if its disclosure would unreasonably affect a person's business or professional affairs
• [Must] A document is conditionally exempt if its disclosure would unreasonably affect an organisation's business, commercial or financial affairs
• [Must Not] Subsection (1) does not apply to trade secrets or other information covered by section 47</v>
      </c>
      <c r="N22" s="7" t="str">
        <f>IF(ISNA(MATCH(13,'Transfer Engine'!$C$2:$C$1199,0)),"",INDEX('Compliance Database'!$N$2:$N$1199,MATCH(13,'Transfer Engine'!$C$2:$C$1199,0)))</f>
        <v>• [Must Not] Subsection (1) does not apply to requests by a person for information concerning their own business or professional affairs
• [Must Not] Subsection (1) does not apply to requests by a person for information concerning an organisation they own or act for</v>
      </c>
      <c r="O22" s="7" t="str">
        <f>IF(ISNA(MATCH(13,'Transfer Engine'!$C$2:$C$1199,0)),"",INDEX('Compliance Database'!$O$2:$O$1199,MATCH(13,'Transfer Engine'!$C$2:$C$1199,0)))</f>
        <v>A document is conditionally exempt if its disclosure under this Act would disclose information concerning a person in respect of his or her business or professional affairs or concerning the business, commercial or financial affairs of an organisation or undertaking, in a case in which the disclosure of the information: would, or could reasonably be expected to, unreasonably affect that person adversely in respect of his or her lawful business or professional affairs or that organisation or undertaking in respect of its lawful business, commercial or financial affairs</v>
      </c>
      <c r="P22" s="6" t="str">
        <f>IF(ISNA(MATCH(13,'Transfer Engine'!$C$2:$C$1199,0)),"",HYPERLINK("#Acts!A"&amp;INDEX('Compliance Database'!$P$2:$P$1199,MATCH(13,'Transfer Engine'!$C$2:$C$1199,0)),"Go to Act"))</f>
        <v>Go to Act</v>
      </c>
    </row>
    <row r="23" spans="1:16" ht="172.95" customHeight="1" x14ac:dyDescent="0.3">
      <c r="A23" s="6" t="str">
        <f>IF(ISNA(MATCH(14,'Transfer Engine'!$C$2:$C$1199,0)),"",INDEX('Compliance Database'!$A$2:$A$1199,MATCH(14,'Transfer Engine'!$C$2:$C$1199,0)))</f>
        <v>Australia</v>
      </c>
      <c r="B23" s="6" t="str">
        <f>IF(ISNA(MATCH(14,'Transfer Engine'!$C$2:$C$1199,0)),"",INDEX('Compliance Database'!$B$2:$B$1199,MATCH(14,'Transfer Engine'!$C$2:$C$1199,0)))</f>
        <v>C2012C00866 (Australia - Row 12)</v>
      </c>
      <c r="C23" s="6" t="str">
        <f>IF(ISNA(MATCH(14,'Transfer Engine'!$C$2:$C$1199,0)),"",INDEX('Compliance Database'!$C$2:$C$1199,MATCH(14,'Transfer Engine'!$C$2:$C$1199,0)))</f>
        <v>7 (part 8)</v>
      </c>
      <c r="D23" s="7" t="str">
        <f>IF(ISNA(MATCH(14,'Transfer Engine'!$C$2:$C$1199,0)),"",INDEX('Compliance Database'!$D$2:$D$1199,MATCH(14,'Transfer Engine'!$C$2:$C$1199,0)))</f>
        <v>Definitions for Information Commissioner and Access Decisions</v>
      </c>
      <c r="E23" s="6" t="str">
        <f>IF(ISNA(MATCH(14,'Transfer Engine'!$C$2:$C$1199,0)),"",INDEX('Compliance Database'!$E$2:$E$1199,MATCH(14,'Transfer Engine'!$C$2:$C$1199,0)))</f>
        <v>49–57</v>
      </c>
      <c r="F23" s="6" t="str">
        <f>IF(ISNA(MATCH(14,'Transfer Engine'!$C$2:$C$1199,0)),"",INDEX('Compliance Database'!$F$2:$F$1199,MATCH(14,'Transfer Engine'!$C$2:$C$1199,0)))</f>
        <v>Low</v>
      </c>
      <c r="G23" s="6" t="str">
        <f>IF(ISNA(MATCH(14,'Transfer Engine'!$C$2:$C$1199,0)),"",INDEX('Compliance Database'!$G$2:$G$1199,MATCH(14,'Transfer Engine'!$C$2:$C$1199,0)))</f>
        <v>High (explicit)</v>
      </c>
      <c r="H23" s="7" t="str">
        <f>IF(ISNA(MATCH(14,'Transfer Engine'!$C$2:$C$1199,0)),"",INDEX('Compliance Database'!$H$2:$H$1199,MATCH(14,'Transfer Engine'!$C$2:$C$1199,0)))</f>
        <v>Third Party Processing</v>
      </c>
      <c r="I23" s="7" t="str">
        <f>IF(ISNA(MATCH(14,'Transfer Engine'!$C$2:$C$1199,0)),"",INDEX('Compliance Database'!$I$2:$I$1199,MATCH(14,'Transfer Engine'!$C$2:$C$1199,0)))</f>
        <v>Personal Information</v>
      </c>
      <c r="J23" s="6" t="str">
        <f>IF(ISNA(MATCH(14,'Transfer Engine'!$C$2:$C$1199,0)),"",INDEX('Compliance Database'!$J$2:$J$1199,MATCH(14,'Transfer Engine'!$C$2:$C$1199,0)))</f>
        <v>Information Commissioner</v>
      </c>
      <c r="K23" s="7" t="str">
        <f>IF(ISNA(MATCH(14,'Transfer Engine'!$C$2:$C$1199,0)),"",INDEX('Compliance Database'!$K$2:$K$1199,MATCH(14,'Transfer Engine'!$C$2:$C$1199,0)))</f>
        <v>This section adds specific definitions to the Freedom of Information Act 1982, including terms like 'access grant decision', 'access refusal decision', 'affected third party', and 'internal review'. These definitions clarify the scope of decisions subject to internal review and the parties involved in the review process. The definitions apply to agencies and the Information Commissioner when handling access requests to documents.</v>
      </c>
      <c r="L23" s="7" t="str">
        <f>IF(ISNA(MATCH(14,'Transfer Engine'!$C$2:$C$1199,0)),"",INDEX('Compliance Database'!$L$2:$L$1199,MATCH(14,'Transfer Engine'!$C$2:$C$1199,0)))</f>
        <v>Defines key terms used in internal and external reviews of access decisions, which impacts how data transfer impact assessments must account for decision-making processes and third-party involvement in data access requests.</v>
      </c>
      <c r="M23" s="7" t="str">
        <f>IF(ISNA(MATCH(14,'Transfer Engine'!$C$2:$C$1199,0)),"",INDEX('Compliance Database'!$M$2:$M$1199,MATCH(14,'Transfer Engine'!$C$2:$C$1199,0)))</f>
        <v>• [Definition] access grant decision has the meaning given by section 53B
• [Definition] access refusal decision has the meaning given by section 53A
• [Definition] affected third party has the meaning given by section 53C
• [Definition] internal review has the meaning given by sections 54 and 54A
• [Definition] IC review applicant has the meaning given by section 54J
• [Definition] IC review application has the meaning given by section 54H
• [Definition] implementation notice has the meaning given by section 89</v>
      </c>
      <c r="N23" s="7" t="str">
        <f>IF(ISNA(MATCH(14,'Transfer Engine'!$C$2:$C$1199,0)),"",INDEX('Compliance Database'!$N$2:$N$1199,MATCH(14,'Transfer Engine'!$C$2:$C$1199,0)))</f>
        <v>• [Definition] Information Commissioner has the meaning given by the Australian Information Commissioner Act 2010
• [Definition] internal review applicant has the meaning given by section 54B
• [Definition] investigation recommendations has the meaning given by section 88
• [Definition] investigation results has the meaning given by section 87
• [Definition] respondent agency has the meaning given by subsections 69(2) and 70(2)
• [Definition] review parties has the meaning given by section 55A
• [Definition] vexatious applicant declaration has the meaning given by section 89K</v>
      </c>
      <c r="O23" s="7" t="str">
        <f>IF(ISNA(MATCH(14,'Transfer Engine'!$C$2:$C$1199,0)),"",INDEX('Compliance Database'!$O$2:$O$1199,MATCH(14,'Transfer Engine'!$C$2:$C$1199,0)))</f>
        <v>access grant decision has the meaning given by section 53B. access refusal decision has the meaning given by section 53A. affected third party has the meaning given by section 53C. internal review has the meaning given by sections 54 and 54A.</v>
      </c>
      <c r="P23" s="6" t="str">
        <f>IF(ISNA(MATCH(14,'Transfer Engine'!$C$2:$C$1199,0)),"",HYPERLINK("#Acts!A"&amp;INDEX('Compliance Database'!$P$2:$P$1199,MATCH(14,'Transfer Engine'!$C$2:$C$1199,0)),"Go to Act"))</f>
        <v>Go to Act</v>
      </c>
    </row>
    <row r="24" spans="1:16" ht="172.95" customHeight="1" x14ac:dyDescent="0.3">
      <c r="A24" s="6" t="str">
        <f>IF(ISNA(MATCH(15,'Transfer Engine'!$C$2:$C$1199,0)),"",INDEX('Compliance Database'!$A$2:$A$1199,MATCH(15,'Transfer Engine'!$C$2:$C$1199,0)))</f>
        <v>Australia</v>
      </c>
      <c r="B24" s="6" t="str">
        <f>IF(ISNA(MATCH(15,'Transfer Engine'!$C$2:$C$1199,0)),"",INDEX('Compliance Database'!$B$2:$B$1199,MATCH(15,'Transfer Engine'!$C$2:$C$1199,0)))</f>
        <v>C2012C00866 (Australia - Row 12)</v>
      </c>
      <c r="C24" s="6" t="str">
        <f>IF(ISNA(MATCH(15,'Transfer Engine'!$C$2:$C$1199,0)),"",INDEX('Compliance Database'!$C$2:$C$1199,MATCH(15,'Transfer Engine'!$C$2:$C$1199,0)))</f>
        <v>7 (part 10)</v>
      </c>
      <c r="D24" s="7" t="str">
        <f>IF(ISNA(MATCH(15,'Transfer Engine'!$C$2:$C$1199,0)),"",INDEX('Compliance Database'!$D$2:$D$1199,MATCH(15,'Transfer Engine'!$C$2:$C$1199,0)))</f>
        <v>Information Commissioner review applications for access decisions</v>
      </c>
      <c r="E24" s="6" t="str">
        <f>IF(ISNA(MATCH(15,'Transfer Engine'!$C$2:$C$1199,0)),"",INDEX('Compliance Database'!$E$2:$E$1199,MATCH(15,'Transfer Engine'!$C$2:$C$1199,0)))</f>
        <v>62–68</v>
      </c>
      <c r="F24" s="6" t="str">
        <f>IF(ISNA(MATCH(15,'Transfer Engine'!$C$2:$C$1199,0)),"",INDEX('Compliance Database'!$F$2:$F$1199,MATCH(15,'Transfer Engine'!$C$2:$C$1199,0)))</f>
        <v>Low</v>
      </c>
      <c r="G24" s="6" t="str">
        <f>IF(ISNA(MATCH(15,'Transfer Engine'!$C$2:$C$1199,0)),"",INDEX('Compliance Database'!$G$2:$G$1199,MATCH(15,'Transfer Engine'!$C$2:$C$1199,0)))</f>
        <v>High (explicit)</v>
      </c>
      <c r="H24" s="7">
        <f>IF(ISNA(MATCH(15,'Transfer Engine'!$C$2:$C$1199,0)),"",INDEX('Compliance Database'!$H$2:$H$1199,MATCH(15,'Transfer Engine'!$C$2:$C$1199,0)))</f>
        <v>0</v>
      </c>
      <c r="I24" s="7" t="str">
        <f>IF(ISNA(MATCH(15,'Transfer Engine'!$C$2:$C$1199,0)),"",INDEX('Compliance Database'!$I$2:$I$1199,MATCH(15,'Transfer Engine'!$C$2:$C$1199,0)))</f>
        <v>Personal Information</v>
      </c>
      <c r="J24" s="6" t="str">
        <f>IF(ISNA(MATCH(15,'Transfer Engine'!$C$2:$C$1199,0)),"",INDEX('Compliance Database'!$J$2:$J$1199,MATCH(15,'Transfer Engine'!$C$2:$C$1199,0)))</f>
        <v>Information Commissioner</v>
      </c>
      <c r="K24" s="7" t="str">
        <f>IF(ISNA(MATCH(15,'Transfer Engine'!$C$2:$C$1199,0)),"",INDEX('Compliance Database'!$K$2:$K$1199,MATCH(15,'Transfer Engine'!$C$2:$C$1199,0)))</f>
        <v>This section establishes procedures for applying to the Information Commissioner for review of access refusal or access grant decisions. Agencies or Ministers must make decisions within specified timeframes after notice of the decision. Review applications must include copies of notices and details for communication. The Information Commissioner may extend time for applications if reasonable, and must notify affected third parties if required. The review process includes preliminary inquiries, discretion to not review, and procedures for handling applications.</v>
      </c>
      <c r="L24" s="7" t="str">
        <f>IF(ISNA(MATCH(15,'Transfer Engine'!$C$2:$C$1199,0)),"",INDEX('Compliance Database'!$L$2:$L$1199,MATCH(15,'Transfer Engine'!$C$2:$C$1199,0)))</f>
        <v>This section outlines review procedures for access decisions that impact data transfer and disclosure processes. It specifies time limits for applications, requirements for notifying affected third parties, and conditions under which the Information Commissioner may extend time or decide not to review a case. These elements affect how data access decisions are challenged and reviewed across jurisdictions.</v>
      </c>
      <c r="M24" s="7" t="str">
        <f>IF(ISNA(MATCH(15,'Transfer Engine'!$C$2:$C$1199,0)),"",INDEX('Compliance Database'!$M$2:$M$1199,MATCH(15,'Transfer Engine'!$C$2:$C$1199,0)))</f>
        <v>• [Must] IC review application must be in writing and include details of how notices may be sent
• [Must] IC review application must include a copy of the notice given under section 26 of the IC reviewable decision
• [May] IC review application may contain particulars of the basis for disputing the IC reviewable decision
• [Must] Information Commissioner must provide assistance to persons making IC review applications
• [Must] IC review application must be sent to the Information Commissioner via delivery, postage, or electronic communication
• [Must] Agency or Minister must notify affected third parties as soon as practicable if an IC review application is made for an access refusal decision</v>
      </c>
      <c r="N24" s="7" t="str">
        <f>IF(ISNA(MATCH(15,'Transfer Engine'!$C$2:$C$1199,0)),"",INDEX('Compliance Database'!$N$2:$N$1199,MATCH(15,'Transfer Engine'!$C$2:$C$1199,0)))</f>
        <v>• [Must] Agency or Minister must give copy of notice to Information Commissioner
• [May] Information Commissioner may extend time for making IC review application if reasonable
• [May] Information Commissioner may require IC review applicant to notify specified persons affected by application
• [May] Person notified under subsection (4) may oppose application within time required by Information Commissioner
• [Must] Information Commissioner must give reasonable opportunity to present cases if opposition is made</v>
      </c>
      <c r="O24" s="7" t="str">
        <f>IF(ISNA(MATCH(15,'Transfer Engine'!$C$2:$C$1199,0)),"",INDEX('Compliance Database'!$O$2:$O$1199,MATCH(15,'Transfer Engine'!$C$2:$C$1199,0)))</f>
        <v>An IC review application must be in writing, and must: (a) give details of how notices under this Part may be sent to the IC review applicant; and (b) include a copy of the notice given under section 26 of the IC reviewable decision for which an IC review is sought.</v>
      </c>
      <c r="P24" s="6" t="str">
        <f>IF(ISNA(MATCH(15,'Transfer Engine'!$C$2:$C$1199,0)),"",HYPERLINK("#Acts!A"&amp;INDEX('Compliance Database'!$P$2:$P$1199,MATCH(15,'Transfer Engine'!$C$2:$C$1199,0)),"Go to Act"))</f>
        <v>Go to Act</v>
      </c>
    </row>
    <row r="25" spans="1:16" ht="172.95" customHeight="1" x14ac:dyDescent="0.3">
      <c r="A25" s="6" t="str">
        <f>IF(ISNA(MATCH(16,'Transfer Engine'!$C$2:$C$1199,0)),"",INDEX('Compliance Database'!$A$2:$A$1199,MATCH(16,'Transfer Engine'!$C$2:$C$1199,0)))</f>
        <v>Australia</v>
      </c>
      <c r="B25" s="6" t="str">
        <f>IF(ISNA(MATCH(16,'Transfer Engine'!$C$2:$C$1199,0)),"",INDEX('Compliance Database'!$B$2:$B$1199,MATCH(16,'Transfer Engine'!$C$2:$C$1199,0)))</f>
        <v>C2012C00866 (Australia - Row 12)</v>
      </c>
      <c r="C25" s="6" t="str">
        <f>IF(ISNA(MATCH(16,'Transfer Engine'!$C$2:$C$1199,0)),"",INDEX('Compliance Database'!$C$2:$C$1199,MATCH(16,'Transfer Engine'!$C$2:$C$1199,0)))</f>
        <v>7 (part 12)</v>
      </c>
      <c r="D25" s="7" t="str">
        <f>IF(ISNA(MATCH(16,'Transfer Engine'!$C$2:$C$1199,0)),"",INDEX('Compliance Database'!$D$2:$D$1199,MATCH(16,'Transfer Engine'!$C$2:$C$1199,0)))</f>
        <v>IC review procedures for hearings and participation</v>
      </c>
      <c r="E25" s="6" t="str">
        <f>IF(ISNA(MATCH(16,'Transfer Engine'!$C$2:$C$1199,0)),"",INDEX('Compliance Database'!$E$2:$E$1199,MATCH(16,'Transfer Engine'!$C$2:$C$1199,0)))</f>
        <v>73–78</v>
      </c>
      <c r="F25" s="6" t="str">
        <f>IF(ISNA(MATCH(16,'Transfer Engine'!$C$2:$C$1199,0)),"",INDEX('Compliance Database'!$F$2:$F$1199,MATCH(16,'Transfer Engine'!$C$2:$C$1199,0)))</f>
        <v>Low</v>
      </c>
      <c r="G25" s="6" t="str">
        <f>IF(ISNA(MATCH(16,'Transfer Engine'!$C$2:$C$1199,0)),"",INDEX('Compliance Database'!$G$2:$G$1199,MATCH(16,'Transfer Engine'!$C$2:$C$1199,0)))</f>
        <v>High (explicit)</v>
      </c>
      <c r="H25" s="7">
        <f>IF(ISNA(MATCH(16,'Transfer Engine'!$C$2:$C$1199,0)),"",INDEX('Compliance Database'!$H$2:$H$1199,MATCH(16,'Transfer Engine'!$C$2:$C$1199,0)))</f>
        <v>0</v>
      </c>
      <c r="I25" s="7" t="str">
        <f>IF(ISNA(MATCH(16,'Transfer Engine'!$C$2:$C$1199,0)),"",INDEX('Compliance Database'!$I$2:$I$1199,MATCH(16,'Transfer Engine'!$C$2:$C$1199,0)))</f>
        <v>Personal Information</v>
      </c>
      <c r="J25" s="6" t="str">
        <f>IF(ISNA(MATCH(16,'Transfer Engine'!$C$2:$C$1199,0)),"",INDEX('Compliance Database'!$J$2:$J$1199,MATCH(16,'Transfer Engine'!$C$2:$C$1199,0)))</f>
        <v>Information Commissioner</v>
      </c>
      <c r="K25" s="7" t="str">
        <f>IF(ISNA(MATCH(16,'Transfer Engine'!$C$2:$C$1199,0)),"",INDEX('Compliance Database'!$K$2:$K$1199,MATCH(16,'Transfer Engine'!$C$2:$C$1199,0)))</f>
        <v>This section outlines procedures for conducting IC reviews, including conducting reviews with minimal formality, ensuring reasonable opportunity for review parties to present cases, and timely completion of reviews. The Information Commissioner must conduct reviews with minimal formality, provide review parties with reasonable opportunity to present their case, and complete reviews as promptly as possible given applicable laws and considerations. The Information Commissioner may also hold hearings publicly unless confidential matters prevent it, and may allow participation via alternative means such as telephone.</v>
      </c>
      <c r="L25" s="7" t="str">
        <f>IF(ISNA(MATCH(16,'Transfer Engine'!$C$2:$C$1199,0)),"",INDEX('Compliance Database'!$L$2:$L$1199,MATCH(16,'Transfer Engine'!$C$2:$C$1199,0)))</f>
        <v>This section details procedural requirements for IC reviews that impact data transfer impact assessments by specifying how the Information Commissioner conducts reviews with review parties, including hearing procedures and participation methods.</v>
      </c>
      <c r="M25" s="7" t="str">
        <f>IF(ISNA(MATCH(16,'Transfer Engine'!$C$2:$C$1199,0)),"",INDEX('Compliance Database'!$M$2:$M$1199,MATCH(16,'Transfer Engine'!$C$2:$C$1199,0)))</f>
        <v>• [Must] The Information Commissioner must conduct IC reviews with minimal formality and technicality given applicable laws and considerations
• [Must] The Information Commissioner must ensure each review party is given reasonable opportunity to present their case
• [Must] The Information Commissioner must conduct IC reviews in as timely a manner as possible given applicable considerations</v>
      </c>
      <c r="N25" s="7" t="str">
        <f>IF(ISNA(MATCH(16,'Transfer Engine'!$C$2:$C$1199,0)),"",INDEX('Compliance Database'!$N$2:$N$1199,MATCH(16,'Transfer Engine'!$C$2:$C$1199,0)))</f>
        <v>• [May] The Information Commissioner may hold hearings publicly unless satisfied that confidentiality prevents it
• [May] The Information Commissioner may allow review parties to participate in hearings via alternative communication methods
• [May] The Information Commissioner may give written directions on IC review procedures</v>
      </c>
      <c r="O25" s="7" t="str">
        <f>IF(ISNA(MATCH(16,'Transfer Engine'!$C$2:$C$1199,0)),"",INDEX('Compliance Database'!$O$2:$O$1199,MATCH(16,'Transfer Engine'!$C$2:$C$1199,0)))</f>
        <v>The Information Commissioner must, in relation to an IC review: (a) conduct the IC review with as little formality and as little technicality as is possible given: (i) the requirements of this Act; (ii) the requirements of any other law; and (iii) a proper consideration of the matters before the Information Commissioner; (b) ensure that each review party is given a reasonable opportunity to present his or her case; and (c) conduct the IC review in as timely a manner as is possible given the matters mentioned in subparagraphs (a)(i) to (iii).</v>
      </c>
      <c r="P25" s="6" t="str">
        <f>IF(ISNA(MATCH(16,'Transfer Engine'!$C$2:$C$1199,0)),"",HYPERLINK("#Acts!A"&amp;INDEX('Compliance Database'!$P$2:$P$1199,MATCH(16,'Transfer Engine'!$C$2:$C$1199,0)),"Go to Act"))</f>
        <v>Go to Act</v>
      </c>
    </row>
    <row r="26" spans="1:16" ht="172.95" customHeight="1" x14ac:dyDescent="0.3">
      <c r="A26" s="6" t="str">
        <f>IF(ISNA(MATCH(17,'Transfer Engine'!$C$2:$C$1199,0)),"",INDEX('Compliance Database'!$A$2:$A$1199,MATCH(17,'Transfer Engine'!$C$2:$C$1199,0)))</f>
        <v>Australia</v>
      </c>
      <c r="B26" s="6" t="str">
        <f>IF(ISNA(MATCH(17,'Transfer Engine'!$C$2:$C$1199,0)),"",INDEX('Compliance Database'!$B$2:$B$1199,MATCH(17,'Transfer Engine'!$C$2:$C$1199,0)))</f>
        <v>C2012C00866 (Australia - Row 12)</v>
      </c>
      <c r="C26" s="6" t="str">
        <f>IF(ISNA(MATCH(17,'Transfer Engine'!$C$2:$C$1199,0)),"",INDEX('Compliance Database'!$C$2:$C$1199,MATCH(17,'Transfer Engine'!$C$2:$C$1199,0)))</f>
        <v>7 (part 13)</v>
      </c>
      <c r="D26" s="7" t="str">
        <f>IF(ISNA(MATCH(17,'Transfer Engine'!$C$2:$C$1199,0)),"",INDEX('Compliance Database'!$D$2:$D$1199,MATCH(17,'Transfer Engine'!$C$2:$C$1199,0)))</f>
        <v>IC review procedures for legal questions and document handling</v>
      </c>
      <c r="E26" s="6" t="str">
        <f>IF(ISNA(MATCH(17,'Transfer Engine'!$C$2:$C$1199,0)),"",INDEX('Compliance Database'!$E$2:$E$1199,MATCH(17,'Transfer Engine'!$C$2:$C$1199,0)))</f>
        <v>78–83</v>
      </c>
      <c r="F26" s="6" t="str">
        <f>IF(ISNA(MATCH(17,'Transfer Engine'!$C$2:$C$1199,0)),"",INDEX('Compliance Database'!$F$2:$F$1199,MATCH(17,'Transfer Engine'!$C$2:$C$1199,0)))</f>
        <v>Low</v>
      </c>
      <c r="G26" s="6" t="str">
        <f>IF(ISNA(MATCH(17,'Transfer Engine'!$C$2:$C$1199,0)),"",INDEX('Compliance Database'!$G$2:$G$1199,MATCH(17,'Transfer Engine'!$C$2:$C$1199,0)))</f>
        <v>High (explicit)</v>
      </c>
      <c r="H26" s="7">
        <f>IF(ISNA(MATCH(17,'Transfer Engine'!$C$2:$C$1199,0)),"",INDEX('Compliance Database'!$H$2:$H$1199,MATCH(17,'Transfer Engine'!$C$2:$C$1199,0)))</f>
        <v>0</v>
      </c>
      <c r="I26" s="7" t="str">
        <f>IF(ISNA(MATCH(17,'Transfer Engine'!$C$2:$C$1199,0)),"",INDEX('Compliance Database'!$I$2:$I$1199,MATCH(17,'Transfer Engine'!$C$2:$C$1199,0)))</f>
        <v>Personal Information</v>
      </c>
      <c r="J26" s="6" t="str">
        <f>IF(ISNA(MATCH(17,'Transfer Engine'!$C$2:$C$1199,0)),"",INDEX('Compliance Database'!$J$2:$J$1199,MATCH(17,'Transfer Engine'!$C$2:$C$1199,0)))</f>
        <v>Information Commissioner</v>
      </c>
      <c r="K26" s="7" t="str">
        <f>IF(ISNA(MATCH(17,'Transfer Engine'!$C$2:$C$1199,0)),"",INDEX('Compliance Database'!$K$2:$K$1199,MATCH(17,'Transfer Engine'!$C$2:$C$1199,0)))</f>
        <v>This section details procedures for IC reviews, including the ability to refer questions of law to the Federal Court of Australia, sending relevant documents to the Federal Court, and the Information Commissioner's authority to make decisions on IC reviews. The Information Commissioner may refer questions of law to the Federal Court, send documents to the court, and publish decisions on IC reviews to the public. The Information Commissioner must also ensure compliance with decisions made during IC reviews.</v>
      </c>
      <c r="L26" s="7" t="str">
        <f>IF(ISNA(MATCH(17,'Transfer Engine'!$C$2:$C$1199,0)),"",INDEX('Compliance Database'!$L$2:$L$1199,MATCH(17,'Transfer Engine'!$C$2:$C$1199,0)))</f>
        <v>This section specifies procedures for IC reviews that impact data transfer impact assessments by detailing how the Information Commissioner handles legal questions, documents, and decisions during reviews.</v>
      </c>
      <c r="M26" s="7" t="str">
        <f>IF(ISNA(MATCH(17,'Transfer Engine'!$C$2:$C$1199,0)),"",INDEX('Compliance Database'!$M$2:$M$1199,MATCH(17,'Transfer Engine'!$C$2:$C$1199,0)))</f>
        <v>• [May] The Information Commissioner may refer questions of law to the Federal Court of Australia during an IC review
• [Must] The Information Commissioner must send all relevant documents to the Federal Court of Australia</v>
      </c>
      <c r="N26" s="7" t="str">
        <f>IF(ISNA(MATCH(17,'Transfer Engine'!$C$2:$C$1199,0)),"",INDEX('Compliance Database'!$N$2:$N$1199,MATCH(17,'Transfer Engine'!$C$2:$C$1199,0)))</f>
        <v>• [Must] The Information Commissioner must publish IC review decisions to the public</v>
      </c>
      <c r="O26" s="7" t="str">
        <f>IF(ISNA(MATCH(17,'Transfer Engine'!$C$2:$C$1199,0)),"",INDEX('Compliance Database'!$O$2:$O$1199,MATCH(17,'Transfer Engine'!$C$2:$C$1199,0)))</f>
        <v>The Information Commissioner may, at any time during an IC review, refer a question of law arising in an IC review to the Federal Court of Australia for decision. The Information Commissioner must cause all documents and information in the possession of the Information Commissioner that relate to the IC review and to the reference to be sent to the Federal Court of Australia.</v>
      </c>
      <c r="P26" s="6" t="str">
        <f>IF(ISNA(MATCH(17,'Transfer Engine'!$C$2:$C$1199,0)),"",HYPERLINK("#Acts!A"&amp;INDEX('Compliance Database'!$P$2:$P$1199,MATCH(17,'Transfer Engine'!$C$2:$C$1199,0)),"Go to Act"))</f>
        <v>Go to Act</v>
      </c>
    </row>
    <row r="27" spans="1:16" ht="172.95" customHeight="1" x14ac:dyDescent="0.3">
      <c r="A27" s="6" t="str">
        <f>IF(ISNA(MATCH(18,'Transfer Engine'!$C$2:$C$1199,0)),"",INDEX('Compliance Database'!$A$2:$A$1199,MATCH(18,'Transfer Engine'!$C$2:$C$1199,0)))</f>
        <v>Australia</v>
      </c>
      <c r="B27" s="6" t="str">
        <f>IF(ISNA(MATCH(18,'Transfer Engine'!$C$2:$C$1199,0)),"",INDEX('Compliance Database'!$B$2:$B$1199,MATCH(18,'Transfer Engine'!$C$2:$C$1199,0)))</f>
        <v>C2012C00866 (Australia - Row 12)</v>
      </c>
      <c r="C27" s="6" t="str">
        <f>IF(ISNA(MATCH(18,'Transfer Engine'!$C$2:$C$1199,0)),"",INDEX('Compliance Database'!$C$2:$C$1199,MATCH(18,'Transfer Engine'!$C$2:$C$1199,0)))</f>
        <v>7 (part 14)</v>
      </c>
      <c r="D27" s="7" t="str">
        <f>IF(ISNA(MATCH(18,'Transfer Engine'!$C$2:$C$1199,0)),"",INDEX('Compliance Database'!$D$2:$D$1199,MATCH(18,'Transfer Engine'!$C$2:$C$1199,0)))</f>
        <v>Information Commissioner's document handling powers during IC reviews</v>
      </c>
      <c r="E27" s="6" t="str">
        <f>IF(ISNA(MATCH(18,'Transfer Engine'!$C$2:$C$1199,0)),"",INDEX('Compliance Database'!$E$2:$E$1199,MATCH(18,'Transfer Engine'!$C$2:$C$1199,0)))</f>
        <v>83–89</v>
      </c>
      <c r="F27" s="6" t="str">
        <f>IF(ISNA(MATCH(18,'Transfer Engine'!$C$2:$C$1199,0)),"",INDEX('Compliance Database'!$F$2:$F$1199,MATCH(18,'Transfer Engine'!$C$2:$C$1199,0)))</f>
        <v>Low</v>
      </c>
      <c r="G27" s="6" t="str">
        <f>IF(ISNA(MATCH(18,'Transfer Engine'!$C$2:$C$1199,0)),"",INDEX('Compliance Database'!$G$2:$G$1199,MATCH(18,'Transfer Engine'!$C$2:$C$1199,0)))</f>
        <v>High (explicit)</v>
      </c>
      <c r="H27" s="7">
        <f>IF(ISNA(MATCH(18,'Transfer Engine'!$C$2:$C$1199,0)),"",INDEX('Compliance Database'!$H$2:$H$1199,MATCH(18,'Transfer Engine'!$C$2:$C$1199,0)))</f>
        <v>0</v>
      </c>
      <c r="I27" s="7" t="str">
        <f>IF(ISNA(MATCH(18,'Transfer Engine'!$C$2:$C$1199,0)),"",INDEX('Compliance Database'!$I$2:$I$1199,MATCH(18,'Transfer Engine'!$C$2:$C$1199,0)))</f>
        <v>Personal Information</v>
      </c>
      <c r="J27" s="6" t="str">
        <f>IF(ISNA(MATCH(18,'Transfer Engine'!$C$2:$C$1199,0)),"",INDEX('Compliance Database'!$J$2:$J$1199,MATCH(18,'Transfer Engine'!$C$2:$C$1199,0)))</f>
        <v>Information Commissioner</v>
      </c>
      <c r="K27" s="7" t="str">
        <f>IF(ISNA(MATCH(18,'Transfer Engine'!$C$2:$C$1199,0)),"",INDEX('Compliance Database'!$K$2:$K$1199,MATCH(18,'Transfer Engine'!$C$2:$C$1199,0)))</f>
        <v>This section outlines the Information Commissioner's authority to handle documents during IC reviews, including taking possession, making copies, extracting information, and holding documents for review purposes. It also mandates that the Commissioner must permit inspection by entitled parties at reasonable times. The provisions establish specific conditions for document access and production, particularly for exempt documents under national security or cabinet categories.</v>
      </c>
      <c r="L27" s="7" t="str">
        <f>IF(ISNA(MATCH(18,'Transfer Engine'!$C$2:$C$1199,0)),"",INDEX('Compliance Database'!$L$2:$L$1199,MATCH(18,'Transfer Engine'!$C$2:$C$1199,0)))</f>
        <v>These provisions define document handling procedures during IC reviews, impacting data transfer and storage by requiring specific access controls and document handling protocols for exempt documents, which may affect cross-border data flows involving sensitive national security information.</v>
      </c>
      <c r="M27" s="7" t="str">
        <f>IF(ISNA(MATCH(18,'Transfer Engine'!$C$2:$C$1199,0)),"",INDEX('Compliance Database'!$M$2:$M$1199,MATCH(18,'Transfer Engine'!$C$2:$C$1199,0)))</f>
        <v>• [Must] The Information Commissioner may take possession of documents produced in accordance with a notice
• [Must] The Information Commissioner may make copies of documents
• [Must] The Information Commissioner may take extracts from documents</v>
      </c>
      <c r="N27" s="7" t="str">
        <f>IF(ISNA(MATCH(18,'Transfer Engine'!$C$2:$C$1199,0)),"",INDEX('Compliance Database'!$N$2:$N$1199,MATCH(18,'Transfer Engine'!$C$2:$C$1199,0)))</f>
        <v>• [Must] The Information Commissioner may hold documents for a period necessary for IC review
• [Must] The Information Commissioner must permit inspection by entitled parties for IC review
• [Must] The Information Commissioner must permit inspection at any reasonable time</v>
      </c>
      <c r="O27" s="7" t="str">
        <f>IF(ISNA(MATCH(18,'Transfer Engine'!$C$2:$C$1199,0)),"",INDEX('Compliance Database'!$O$2:$O$1199,MATCH(18,'Transfer Engine'!$C$2:$C$1199,0)))</f>
        <v>The Information Commissioner may do any of the following in relation to any documents produced in accordance with a notice under subsection 55R(3): (a) take possession of the documents; (b) make copies of the documents; (c) take extracts from the documents; (d) hold the documents for a period that is necessary for the purposes of the IC review.</v>
      </c>
      <c r="P27" s="6" t="str">
        <f>IF(ISNA(MATCH(18,'Transfer Engine'!$C$2:$C$1199,0)),"",HYPERLINK("#Acts!A"&amp;INDEX('Compliance Database'!$P$2:$P$1199,MATCH(18,'Transfer Engine'!$C$2:$C$1199,0)),"Go to Act"))</f>
        <v>Go to Act</v>
      </c>
    </row>
    <row r="28" spans="1:16" ht="172.95" customHeight="1" x14ac:dyDescent="0.3">
      <c r="A28" s="6" t="str">
        <f>IF(ISNA(MATCH(19,'Transfer Engine'!$C$2:$C$1199,0)),"",INDEX('Compliance Database'!$A$2:$A$1199,MATCH(19,'Transfer Engine'!$C$2:$C$1199,0)))</f>
        <v>Australia</v>
      </c>
      <c r="B28" s="6" t="str">
        <f>IF(ISNA(MATCH(19,'Transfer Engine'!$C$2:$C$1199,0)),"",INDEX('Compliance Database'!$B$2:$B$1199,MATCH(19,'Transfer Engine'!$C$2:$C$1199,0)))</f>
        <v>C2012C00866 (Australia - Row 12)</v>
      </c>
      <c r="C28" s="6" t="str">
        <f>IF(ISNA(MATCH(19,'Transfer Engine'!$C$2:$C$1199,0)),"",INDEX('Compliance Database'!$C$2:$C$1199,MATCH(19,'Transfer Engine'!$C$2:$C$1199,0)))</f>
        <v>7 (part 16)</v>
      </c>
      <c r="D28" s="7" t="str">
        <f>IF(ISNA(MATCH(19,'Transfer Engine'!$C$2:$C$1199,0)),"",INDEX('Compliance Database'!$D$2:$D$1199,MATCH(19,'Transfer Engine'!$C$2:$C$1199,0)))</f>
        <v>Tribunal powers for document searches and record amendments</v>
      </c>
      <c r="E28" s="6" t="str">
        <f>IF(ISNA(MATCH(19,'Transfer Engine'!$C$2:$C$1199,0)),"",INDEX('Compliance Database'!$E$2:$E$1199,MATCH(19,'Transfer Engine'!$C$2:$C$1199,0)))</f>
        <v>94–99</v>
      </c>
      <c r="F28" s="6" t="str">
        <f>IF(ISNA(MATCH(19,'Transfer Engine'!$C$2:$C$1199,0)),"",INDEX('Compliance Database'!$F$2:$F$1199,MATCH(19,'Transfer Engine'!$C$2:$C$1199,0)))</f>
        <v>Low</v>
      </c>
      <c r="G28" s="6" t="str">
        <f>IF(ISNA(MATCH(19,'Transfer Engine'!$C$2:$C$1199,0)),"",INDEX('Compliance Database'!$G$2:$G$1199,MATCH(19,'Transfer Engine'!$C$2:$C$1199,0)))</f>
        <v>High (explicit)</v>
      </c>
      <c r="H28" s="7">
        <f>IF(ISNA(MATCH(19,'Transfer Engine'!$C$2:$C$1199,0)),"",INDEX('Compliance Database'!$H$2:$H$1199,MATCH(19,'Transfer Engine'!$C$2:$C$1199,0)))</f>
        <v>0</v>
      </c>
      <c r="I28" s="7" t="str">
        <f>IF(ISNA(MATCH(19,'Transfer Engine'!$C$2:$C$1199,0)),"",INDEX('Compliance Database'!$I$2:$I$1199,MATCH(19,'Transfer Engine'!$C$2:$C$1199,0)))</f>
        <v>Personal Information</v>
      </c>
      <c r="J28" s="6" t="str">
        <f>IF(ISNA(MATCH(19,'Transfer Engine'!$C$2:$C$1199,0)),"",INDEX('Compliance Database'!$J$2:$J$1199,MATCH(19,'Transfer Engine'!$C$2:$C$1199,0)))</f>
        <v>Information Commissioner</v>
      </c>
      <c r="K28" s="7" t="str">
        <f>IF(ISNA(MATCH(19,'Transfer Engine'!$C$2:$C$1199,0)),"",INDEX('Compliance Database'!$K$2:$K$1199,MATCH(19,'Transfer Engine'!$C$2:$C$1199,0)))</f>
        <v>This section amends the Administrative Appeals Tribunal Act 1975 by inserting new powers for the Tribunal to require further searches for documents when access is refused or purportedly granted. It also establishes conditions under which amendments to records of opinions can be made, including requirements that the opinion was based on a mistake of fact or the author was biased. The Tribunal must not amend records that are court decisions or involve matters already determined by internal review, the Information Commissioner, courts, or tribunals.</v>
      </c>
      <c r="L28" s="7" t="str">
        <f>IF(ISNA(MATCH(19,'Transfer Engine'!$C$2:$C$1199,0)),"",INDEX('Compliance Database'!$L$2:$L$1199,MATCH(19,'Transfer Engine'!$C$2:$C$1199,0)))</f>
        <v>This section affects data transfer impact assessments by establishing conditions under which the Tribunal may require further document searches and amend records of opinions, with specific restrictions on amending court-related records or decisions involving prior determinations.</v>
      </c>
      <c r="M28" s="7" t="str">
        <f>IF(ISNA(MATCH(19,'Transfer Engine'!$C$2:$C$1199,0)),"",INDEX('Compliance Database'!$M$2:$M$1199,MATCH(19,'Transfer Engine'!$C$2:$C$1199,0)))</f>
        <v>• [Must] Tribunal may require further searches for documents when access is refused or purportedly granted
• [Must] Tribunal may make a decision requiring amendment to a record of an opinion if the opinion was based on a mistake of fact or the author was biased</v>
      </c>
      <c r="N28" s="7" t="str">
        <f>IF(ISNA(MATCH(19,'Transfer Engine'!$C$2:$C$1199,0)),"",INDEX('Compliance Database'!$N$2:$N$1199,MATCH(19,'Transfer Engine'!$C$2:$C$1199,0)))</f>
        <v>• [Must Not] Tribunal must not amend records that are court decisions
• [Must Not] Tribunal must not amend records if the decision involves matters already determined by internal review, Information Commissioner, courts, or tribunals</v>
      </c>
      <c r="O28" s="7" t="str">
        <f>IF(ISNA(MATCH(19,'Transfer Engine'!$C$2:$C$1199,0)),"",INDEX('Compliance Database'!$O$2:$O$1199,MATCH(19,'Transfer Engine'!$C$2:$C$1199,0)))</f>
        <v>58AA (1) The Tribunal may, in a decision on an application to the Tribunal under section 57A, make a decision that requires, or that has the effect of requiring, that an amendment be made to a record that relates to a record of an opinion only if the Tribunal is satisfied of either (or both) of the following: (a) the opinion was based on a mistake of fact; (b) the author of the opinion was biased, unqualified to form the opinion or acted improperly in conducting the factual inquiries that led to the formation of the opinion. (2) The Tribunal must not, in a decision on an application under section 57A, make a decision that requires, or that has the effect of requiring, that an amendment be made to a record if it is satisfied of either of the following: (a) the record is a record of a decision, under an enactment, by a court, tribunal, authority or person; (b) the decision whether to amend the record involves the determination of a question that the person seeking amendment of the record is, or has been, entitled to have determined by the agency (on internal review), the Information Commissioner, a court or tribunal.</v>
      </c>
      <c r="P28" s="6" t="str">
        <f>IF(ISNA(MATCH(19,'Transfer Engine'!$C$2:$C$1199,0)),"",HYPERLINK("#Acts!A"&amp;INDEX('Compliance Database'!$P$2:$P$1199,MATCH(19,'Transfer Engine'!$C$2:$C$1199,0)),"Go to Act"))</f>
        <v>Go to Act</v>
      </c>
    </row>
    <row r="29" spans="1:16" ht="172.95" customHeight="1" x14ac:dyDescent="0.3">
      <c r="A29" s="6" t="str">
        <f>IF(ISNA(MATCH(20,'Transfer Engine'!$C$2:$C$1199,0)),"",INDEX('Compliance Database'!$A$2:$A$1199,MATCH(20,'Transfer Engine'!$C$2:$C$1199,0)))</f>
        <v>Australia</v>
      </c>
      <c r="B29" s="6" t="str">
        <f>IF(ISNA(MATCH(20,'Transfer Engine'!$C$2:$C$1199,0)),"",INDEX('Compliance Database'!$B$2:$B$1199,MATCH(20,'Transfer Engine'!$C$2:$C$1199,0)))</f>
        <v>C2012C00866 (Australia - Row 12)</v>
      </c>
      <c r="C29" s="6" t="str">
        <f>IF(ISNA(MATCH(20,'Transfer Engine'!$C$2:$C$1199,0)),"",INDEX('Compliance Database'!$C$2:$C$1199,MATCH(20,'Transfer Engine'!$C$2:$C$1199,0)))</f>
        <v>7 (part 17)</v>
      </c>
      <c r="D29" s="7" t="str">
        <f>IF(ISNA(MATCH(20,'Transfer Engine'!$C$2:$C$1199,0)),"",INDEX('Compliance Database'!$D$2:$D$1199,MATCH(20,'Transfer Engine'!$C$2:$C$1199,0)))</f>
        <v>Tribunal procedures for third-party notifications and onus of proof</v>
      </c>
      <c r="E29" s="6" t="str">
        <f>IF(ISNA(MATCH(20,'Transfer Engine'!$C$2:$C$1199,0)),"",INDEX('Compliance Database'!$E$2:$E$1199,MATCH(20,'Transfer Engine'!$C$2:$C$1199,0)))</f>
        <v>99–105</v>
      </c>
      <c r="F29" s="6" t="str">
        <f>IF(ISNA(MATCH(20,'Transfer Engine'!$C$2:$C$1199,0)),"",INDEX('Compliance Database'!$F$2:$F$1199,MATCH(20,'Transfer Engine'!$C$2:$C$1199,0)))</f>
        <v>Low</v>
      </c>
      <c r="G29" s="6" t="str">
        <f>IF(ISNA(MATCH(20,'Transfer Engine'!$C$2:$C$1199,0)),"",INDEX('Compliance Database'!$G$2:$G$1199,MATCH(20,'Transfer Engine'!$C$2:$C$1199,0)))</f>
        <v>High (explicit)</v>
      </c>
      <c r="H29" s="7">
        <f>IF(ISNA(MATCH(20,'Transfer Engine'!$C$2:$C$1199,0)),"",INDEX('Compliance Database'!$H$2:$H$1199,MATCH(20,'Transfer Engine'!$C$2:$C$1199,0)))</f>
        <v>0</v>
      </c>
      <c r="I29" s="7" t="str">
        <f>IF(ISNA(MATCH(20,'Transfer Engine'!$C$2:$C$1199,0)),"",INDEX('Compliance Database'!$I$2:$I$1199,MATCH(20,'Transfer Engine'!$C$2:$C$1199,0)))</f>
        <v>Personal Information</v>
      </c>
      <c r="J29" s="6" t="str">
        <f>IF(ISNA(MATCH(20,'Transfer Engine'!$C$2:$C$1199,0)),"",INDEX('Compliance Database'!$J$2:$J$1199,MATCH(20,'Transfer Engine'!$C$2:$C$1199,0)))</f>
        <v>Information Commissioner</v>
      </c>
      <c r="K29" s="7" t="str">
        <f>IF(ISNA(MATCH(20,'Transfer Engine'!$C$2:$C$1199,0)),"",INDEX('Compliance Database'!$K$2:$K$1199,MATCH(20,'Transfer Engine'!$C$2:$C$1199,0)))</f>
        <v>This section amends the Administrative Appeals Tribunal Act 1975 by requiring agencies or Ministers to notify affected third parties when a review application is made for document access. It also specifies circumstances where notification is not required, such as when notifying would prejudice legal investigations, enforcement, confidential sources, safety, or national security. The onus of proof shifts to the agency or Minister when they apply for review, or to the affected third party when they are a party to the proceeding.</v>
      </c>
      <c r="L29" s="7" t="str">
        <f>IF(ISNA(MATCH(20,'Transfer Engine'!$C$2:$C$1199,0)),"",INDEX('Compliance Database'!$L$2:$L$1199,MATCH(20,'Transfer Engine'!$C$2:$C$1199,0)))</f>
        <v>This section impacts data transfer impact assessments by requiring notification of affected third parties in certain cross-border data access reviews, with specific exemptions related to legal investigations, confidential sources, safety, and national security.</v>
      </c>
      <c r="M29" s="7" t="str">
        <f>IF(ISNA(MATCH(20,'Transfer Engine'!$C$2:$C$1199,0)),"",INDEX('Compliance Database'!$M$2:$M$1199,MATCH(20,'Transfer Engine'!$C$2:$C$1199,0)))</f>
        <v>• [Must] Agency or Minister must notify affected third parties as soon as practicable when a review application is made for document access
• [Must Not] Notification is not required if notifying would prejudice legal investigations, enforcement, confidential sources, safety, or national security</v>
      </c>
      <c r="N29" s="7" t="str">
        <f>IF(ISNA(MATCH(20,'Transfer Engine'!$C$2:$C$1199,0)),"",INDEX('Compliance Database'!$N$2:$N$1199,MATCH(20,'Transfer Engine'!$C$2:$C$1199,0)))</f>
        <v>• [Must] Affected third party has onus of proof if they are a party to the proceeding</v>
      </c>
      <c r="O29" s="7" t="str">
        <f>IF(ISNA(MATCH(20,'Transfer Engine'!$C$2:$C$1199,0)),"",INDEX('Compliance Database'!$O$2:$O$1199,MATCH(20,'Transfer Engine'!$C$2:$C$1199,0)))</f>
        <v>60AA (2) The agency to which, or the Minister to whom, the request was made for access to the document must, as soon as practicable, take all reasonable steps to notify the affected third party for the document of the application to the Tribunal. (2) An agency or Minister is not required to notify an affected third party for the document under subsection 60AA(2) if: (a) the agency or the Minister applies to the Tribunal for an order that it would not be appropriate to notify the affected third party in the circumstances covered by subsection (3); and (b) the Tribunal makes the order. (3) The circumstances covered by this subsection are whether notifying the affected third party would, or could reasonably be expected to, do any of the following: (a) prejudice the conduct of an investigation of a breach, or possible breach, of the law, or a failure, or possible failure, to comply with a law relating to taxation; (b) prejudice the enforcement or proper administration of the law in a particular instance; (c) disclose, or enable a person to ascertain, the existence or identity of a confidential source of information, or the non-existence of a confidential source of information, in relation to the enforcement or administration of the law; (d) endanger the life or physical safety of any person; (e) cause damage to the security, defence or international relations of the Commonwealth.</v>
      </c>
      <c r="P29" s="6" t="str">
        <f>IF(ISNA(MATCH(20,'Transfer Engine'!$C$2:$C$1199,0)),"",HYPERLINK("#Acts!A"&amp;INDEX('Compliance Database'!$P$2:$P$1199,MATCH(20,'Transfer Engine'!$C$2:$C$1199,0)),"Go to Act"))</f>
        <v>Go to Act</v>
      </c>
    </row>
    <row r="30" spans="1:16" ht="172.95" customHeight="1" x14ac:dyDescent="0.3">
      <c r="A30" s="6" t="str">
        <f>IF(ISNA(MATCH(21,'Transfer Engine'!$C$2:$C$1199,0)),"",INDEX('Compliance Database'!$A$2:$A$1199,MATCH(21,'Transfer Engine'!$C$2:$C$1199,0)))</f>
        <v>Australia</v>
      </c>
      <c r="B30" s="6" t="str">
        <f>IF(ISNA(MATCH(21,'Transfer Engine'!$C$2:$C$1199,0)),"",INDEX('Compliance Database'!$B$2:$B$1199,MATCH(21,'Transfer Engine'!$C$2:$C$1199,0)))</f>
        <v>C2012C00866 (Australia - Row 12)</v>
      </c>
      <c r="C30" s="6" t="str">
        <f>IF(ISNA(MATCH(21,'Transfer Engine'!$C$2:$C$1199,0)),"",INDEX('Compliance Database'!$C$2:$C$1199,MATCH(21,'Transfer Engine'!$C$2:$C$1199,0)))</f>
        <v>7 (part 18)</v>
      </c>
      <c r="D30" s="7" t="str">
        <f>IF(ISNA(MATCH(21,'Transfer Engine'!$C$2:$C$1199,0)),"",INDEX('Compliance Database'!$D$2:$D$1199,MATCH(21,'Transfer Engine'!$C$2:$C$1199,0)))</f>
        <v>Information Commissioner investigations and complaints procedures</v>
      </c>
      <c r="E30" s="6" t="str">
        <f>IF(ISNA(MATCH(21,'Transfer Engine'!$C$2:$C$1199,0)),"",INDEX('Compliance Database'!$E$2:$E$1199,MATCH(21,'Transfer Engine'!$C$2:$C$1199,0)))</f>
        <v>105</v>
      </c>
      <c r="F30" s="6" t="str">
        <f>IF(ISNA(MATCH(21,'Transfer Engine'!$C$2:$C$1199,0)),"",INDEX('Compliance Database'!$F$2:$F$1199,MATCH(21,'Transfer Engine'!$C$2:$C$1199,0)))</f>
        <v>Low</v>
      </c>
      <c r="G30" s="6" t="str">
        <f>IF(ISNA(MATCH(21,'Transfer Engine'!$C$2:$C$1199,0)),"",INDEX('Compliance Database'!$G$2:$G$1199,MATCH(21,'Transfer Engine'!$C$2:$C$1199,0)))</f>
        <v>High (explicit)</v>
      </c>
      <c r="H30" s="7">
        <f>IF(ISNA(MATCH(21,'Transfer Engine'!$C$2:$C$1199,0)),"",INDEX('Compliance Database'!$H$2:$H$1199,MATCH(21,'Transfer Engine'!$C$2:$C$1199,0)))</f>
        <v>0</v>
      </c>
      <c r="I30" s="7" t="str">
        <f>IF(ISNA(MATCH(21,'Transfer Engine'!$C$2:$C$1199,0)),"",INDEX('Compliance Database'!$I$2:$I$1199,MATCH(21,'Transfer Engine'!$C$2:$C$1199,0)))</f>
        <v>Personal Information</v>
      </c>
      <c r="J30" s="6" t="str">
        <f>IF(ISNA(MATCH(21,'Transfer Engine'!$C$2:$C$1199,0)),"",INDEX('Compliance Database'!$J$2:$J$1199,MATCH(21,'Transfer Engine'!$C$2:$C$1199,0)))</f>
        <v>Information Commissioner</v>
      </c>
      <c r="K30" s="7" t="str">
        <f>IF(ISNA(MATCH(21,'Transfer Engine'!$C$2:$C$1199,0)),"",INDEX('Compliance Database'!$K$2:$K$1199,MATCH(21,'Transfer Engine'!$C$2:$C$1199,0)))</f>
        <v>This section establishes procedures for the Information Commissioner to investigate complaints about agency actions under the Freedom of Information Act. It requires complaints to be in writing and identify the agency, allows the Information Commissioner to conduct preliminary inquiries, and provides discretion to not investigate complaints if the action is not within the agency's functions, the complainant has rights to review or complain elsewhere, or the complaint is frivolous. It also outlines procedures for transferring complaints to the Ombudsman when appropriate.</v>
      </c>
      <c r="L30" s="7" t="str">
        <f>IF(ISNA(MATCH(21,'Transfer Engine'!$C$2:$C$1199,0)),"",INDEX('Compliance Database'!$L$2:$L$1199,MATCH(21,'Transfer Engine'!$C$2:$C$1199,0)))</f>
        <v>This section affects data transfer impact assessments by defining procedures for investigating complaints about data access decisions, including when to transfer complaints to the Ombudsman for cross-border or multi-jurisdictional matters.</v>
      </c>
      <c r="M30" s="7" t="str">
        <f>IF(ISNA(MATCH(21,'Transfer Engine'!$C$2:$C$1199,0)),"",INDEX('Compliance Database'!$M$2:$M$1199,MATCH(21,'Transfer Engine'!$C$2:$C$1199,0)))</f>
        <v>• [Must] Complaints must be in writing and identify the agency
• [May] Information Commissioner may investigate complaints about agency actions
• [Must Not] Information Commissioner may decide not to investigate if the action is not within agency functions</v>
      </c>
      <c r="N30" s="7" t="str">
        <f>IF(ISNA(MATCH(21,'Transfer Engine'!$C$2:$C$1199,0)),"",INDEX('Compliance Database'!$N$2:$N$1199,MATCH(21,'Transfer Engine'!$C$2:$C$1199,0)))</f>
        <v>• [Must Not] Information Commissioner may decide not to investigate if the complainant has rights to review or complain elsewhere
• [May] Information Commissioner may transfer complaints to Ombudsman if more effectively handled there</v>
      </c>
      <c r="O30" s="7" t="str">
        <f>IF(ISNA(MATCH(21,'Transfer Engine'!$C$2:$C$1199,0)),"",INDEX('Compliance Database'!$O$2:$O$1199,MATCH(21,'Transfer Engine'!$C$2:$C$1199,0)))</f>
        <v>70 (1) A person (the complainant) may complain to the Information Commissioner about an action taken by an agency in the performance of functions, or the exercise of powers, under this Act. (2) A complaint must: (a) be in writing; and (b) identify the agency (also the respondent agency) in respect of which the complaint is made. (3) The Office of the Australian Information Commissioner must provide appropriate assistance to a person who: (a) wishes to make a complaint; and (b) requires assistance to formulate the complaint. 74 (1) This section applies if the Information Commissioner is satisfied that a complaint about an action could be more effectively or appropriately dealt with by the Ombudsman under the Ombudsman Act 1976. (2) The Information Commissioner: (a) must consult the Ombudsman about the complaint with a view to avoiding inquiries being conducted into that matter by both the Information Commissioner and the Ombudsman; and (b) may decide not to investigate the action, or not to continue to investigate the action.</v>
      </c>
      <c r="P30" s="6" t="str">
        <f>IF(ISNA(MATCH(21,'Transfer Engine'!$C$2:$C$1199,0)),"",HYPERLINK("#Acts!A"&amp;INDEX('Compliance Database'!$P$2:$P$1199,MATCH(21,'Transfer Engine'!$C$2:$C$1199,0)),"Go to Act"))</f>
        <v>Go to Act</v>
      </c>
    </row>
    <row r="31" spans="1:16" ht="172.95" customHeight="1" x14ac:dyDescent="0.3">
      <c r="A31" s="6" t="str">
        <f>IF(ISNA(MATCH(22,'Transfer Engine'!$C$2:$C$1199,0)),"",INDEX('Compliance Database'!$A$2:$A$1199,MATCH(22,'Transfer Engine'!$C$2:$C$1199,0)))</f>
        <v>Australia</v>
      </c>
      <c r="B31" s="6" t="str">
        <f>IF(ISNA(MATCH(22,'Transfer Engine'!$C$2:$C$1199,0)),"",INDEX('Compliance Database'!$B$2:$B$1199,MATCH(22,'Transfer Engine'!$C$2:$C$1199,0)))</f>
        <v>C2012C00866 (Australia - Row 12)</v>
      </c>
      <c r="C31" s="6" t="str">
        <f>IF(ISNA(MATCH(22,'Transfer Engine'!$C$2:$C$1199,0)),"",INDEX('Compliance Database'!$C$2:$C$1199,MATCH(22,'Transfer Engine'!$C$2:$C$1199,0)))</f>
        <v>16</v>
      </c>
      <c r="D31" s="7" t="str">
        <f>IF(ISNA(MATCH(22,'Transfer Engine'!$C$2:$C$1199,0)),"",INDEX('Compliance Database'!$D$2:$D$1199,MATCH(22,'Transfer Engine'!$C$2:$C$1199,0)))</f>
        <v>Commencement date for Schedule 2 item 16</v>
      </c>
      <c r="E31" s="6" t="str">
        <f>IF(ISNA(MATCH(22,'Transfer Engine'!$C$2:$C$1199,0)),"",INDEX('Compliance Database'!$E$2:$E$1199,MATCH(22,'Transfer Engine'!$C$2:$C$1199,0)))</f>
        <v>176</v>
      </c>
      <c r="F31" s="6" t="str">
        <f>IF(ISNA(MATCH(22,'Transfer Engine'!$C$2:$C$1199,0)),"",INDEX('Compliance Database'!$F$2:$F$1199,MATCH(22,'Transfer Engine'!$C$2:$C$1199,0)))</f>
        <v>None</v>
      </c>
      <c r="G31" s="6" t="str">
        <f>IF(ISNA(MATCH(22,'Transfer Engine'!$C$2:$C$1199,0)),"",INDEX('Compliance Database'!$G$2:$G$1199,MATCH(22,'Transfer Engine'!$C$2:$C$1199,0)))</f>
        <v>High (explicit)</v>
      </c>
      <c r="H31" s="7">
        <f>IF(ISNA(MATCH(22,'Transfer Engine'!$C$2:$C$1199,0)),"",INDEX('Compliance Database'!$H$2:$H$1199,MATCH(22,'Transfer Engine'!$C$2:$C$1199,0)))</f>
        <v>0</v>
      </c>
      <c r="I31" s="7">
        <f>IF(ISNA(MATCH(22,'Transfer Engine'!$C$2:$C$1199,0)),"",INDEX('Compliance Database'!$I$2:$I$1199,MATCH(22,'Transfer Engine'!$C$2:$C$1199,0)))</f>
        <v>0</v>
      </c>
      <c r="J31" s="6">
        <f>IF(ISNA(MATCH(22,'Transfer Engine'!$C$2:$C$1199,0)),"",INDEX('Compliance Database'!$J$2:$J$1199,MATCH(22,'Transfer Engine'!$C$2:$C$1199,0)))</f>
        <v>0</v>
      </c>
      <c r="K31" s="7" t="str">
        <f>IF(ISNA(MATCH(22,'Transfer Engine'!$C$2:$C$1199,0)),"",INDEX('Compliance Database'!$K$2:$K$1199,MATCH(22,'Transfer Engine'!$C$2:$C$1199,0)))</f>
        <v>This section specifies that Schedule 2, item 16 commences immediately after the commencement date of item 23 in Schedule 3 of the Freedom of Information Amendment (Reform) Act 2010, which is set for 1 November 2010.</v>
      </c>
      <c r="L31" s="7">
        <f>IF(ISNA(MATCH(22,'Transfer Engine'!$C$2:$C$1199,0)),"",INDEX('Compliance Database'!$L$2:$L$1199,MATCH(22,'Transfer Engine'!$C$2:$C$1199,0)))</f>
        <v>0</v>
      </c>
      <c r="M31" s="7" t="str">
        <f>IF(ISNA(MATCH(22,'Transfer Engine'!$C$2:$C$1199,0)),"",INDEX('Compliance Database'!$M$2:$M$1199,MATCH(22,'Transfer Engine'!$C$2:$C$1199,0)))</f>
        <v>• [Condition] Schedule 2, item 16 commences immediately after the time specified in the Freedom of Information Amendment (Reform) Act 2010 for the commencement of item 23 of Schedule 3 to that Act.</v>
      </c>
      <c r="N31" s="7">
        <f>IF(ISNA(MATCH(22,'Transfer Engine'!$C$2:$C$1199,0)),"",INDEX('Compliance Database'!$N$2:$N$1199,MATCH(22,'Transfer Engine'!$C$2:$C$1199,0)))</f>
        <v>0</v>
      </c>
      <c r="O31" s="7" t="str">
        <f>IF(ISNA(MATCH(22,'Transfer Engine'!$C$2:$C$1199,0)),"",INDEX('Compliance Database'!$O$2:$O$1199,MATCH(22,'Transfer Engine'!$C$2:$C$1199,0)))</f>
        <v>16. Schedule 2, item 16 Immediately after the time specified in the Freedom of Information Amendment (Reform) Act 2010 for the commencement of item 23 of Schedule 3 to that Act. 1 November 2010</v>
      </c>
      <c r="P31" s="6" t="str">
        <f>IF(ISNA(MATCH(22,'Transfer Engine'!$C$2:$C$1199,0)),"",HYPERLINK("#Acts!A"&amp;INDEX('Compliance Database'!$P$2:$P$1199,MATCH(22,'Transfer Engine'!$C$2:$C$1199,0)),"Go to Act"))</f>
        <v>Go to Act</v>
      </c>
    </row>
    <row r="32" spans="1:16" ht="172.95" customHeight="1" x14ac:dyDescent="0.3">
      <c r="A32" s="6" t="str">
        <f>IF(ISNA(MATCH(23,'Transfer Engine'!$C$2:$C$1199,0)),"",INDEX('Compliance Database'!$A$2:$A$1199,MATCH(23,'Transfer Engine'!$C$2:$C$1199,0)))</f>
        <v>Australia</v>
      </c>
      <c r="B32" s="6" t="str">
        <f>IF(ISNA(MATCH(23,'Transfer Engine'!$C$2:$C$1199,0)),"",INDEX('Compliance Database'!$B$2:$B$1199,MATCH(23,'Transfer Engine'!$C$2:$C$1199,0)))</f>
        <v>C2012C00866 (Australia - Row 12)</v>
      </c>
      <c r="C32" s="6" t="str">
        <f>IF(ISNA(MATCH(23,'Transfer Engine'!$C$2:$C$1199,0)),"",INDEX('Compliance Database'!$C$2:$C$1199,MATCH(23,'Transfer Engine'!$C$2:$C$1199,0)))</f>
        <v>17</v>
      </c>
      <c r="D32" s="7" t="str">
        <f>IF(ISNA(MATCH(23,'Transfer Engine'!$C$2:$C$1199,0)),"",INDEX('Compliance Database'!$D$2:$D$1199,MATCH(23,'Transfer Engine'!$C$2:$C$1199,0)))</f>
        <v>Commencement date for Schedule 2 items 17 and 18</v>
      </c>
      <c r="E32" s="6" t="str">
        <f>IF(ISNA(MATCH(23,'Transfer Engine'!$C$2:$C$1199,0)),"",INDEX('Compliance Database'!$E$2:$E$1199,MATCH(23,'Transfer Engine'!$C$2:$C$1199,0)))</f>
        <v>176–177</v>
      </c>
      <c r="F32" s="6" t="str">
        <f>IF(ISNA(MATCH(23,'Transfer Engine'!$C$2:$C$1199,0)),"",INDEX('Compliance Database'!$F$2:$F$1199,MATCH(23,'Transfer Engine'!$C$2:$C$1199,0)))</f>
        <v>None</v>
      </c>
      <c r="G32" s="6" t="str">
        <f>IF(ISNA(MATCH(23,'Transfer Engine'!$C$2:$C$1199,0)),"",INDEX('Compliance Database'!$G$2:$G$1199,MATCH(23,'Transfer Engine'!$C$2:$C$1199,0)))</f>
        <v>High (explicit)</v>
      </c>
      <c r="H32" s="7">
        <f>IF(ISNA(MATCH(23,'Transfer Engine'!$C$2:$C$1199,0)),"",INDEX('Compliance Database'!$H$2:$H$1199,MATCH(23,'Transfer Engine'!$C$2:$C$1199,0)))</f>
        <v>0</v>
      </c>
      <c r="I32" s="7">
        <f>IF(ISNA(MATCH(23,'Transfer Engine'!$C$2:$C$1199,0)),"",INDEX('Compliance Database'!$I$2:$I$1199,MATCH(23,'Transfer Engine'!$C$2:$C$1199,0)))</f>
        <v>0</v>
      </c>
      <c r="J32" s="6">
        <f>IF(ISNA(MATCH(23,'Transfer Engine'!$C$2:$C$1199,0)),"",INDEX('Compliance Database'!$J$2:$J$1199,MATCH(23,'Transfer Engine'!$C$2:$C$1199,0)))</f>
        <v>0</v>
      </c>
      <c r="K32" s="7" t="str">
        <f>IF(ISNA(MATCH(23,'Transfer Engine'!$C$2:$C$1199,0)),"",INDEX('Compliance Database'!$K$2:$K$1199,MATCH(23,'Transfer Engine'!$C$2:$C$1199,0)))</f>
        <v>This section specifies that Schedule 2, items 17 and 18 commence immediately after the commencement date of Schedule 4 to the Freedom of Information Amendment (Reform) Act 2010, which is set for 1 November 2010.</v>
      </c>
      <c r="L32" s="7">
        <f>IF(ISNA(MATCH(23,'Transfer Engine'!$C$2:$C$1199,0)),"",INDEX('Compliance Database'!$L$2:$L$1199,MATCH(23,'Transfer Engine'!$C$2:$C$1199,0)))</f>
        <v>0</v>
      </c>
      <c r="M32" s="7" t="str">
        <f>IF(ISNA(MATCH(23,'Transfer Engine'!$C$2:$C$1199,0)),"",INDEX('Compliance Database'!$M$2:$M$1199,MATCH(23,'Transfer Engine'!$C$2:$C$1199,0)))</f>
        <v>• [Condition] Schedule 2, items 17 and 18 commence immediately after the time specified in the Freedom of Information Amendment (Reform) Act 2010 for the commencement of Schedule 4 to that Act.</v>
      </c>
      <c r="N32" s="7">
        <f>IF(ISNA(MATCH(23,'Transfer Engine'!$C$2:$C$1199,0)),"",INDEX('Compliance Database'!$N$2:$N$1199,MATCH(23,'Transfer Engine'!$C$2:$C$1199,0)))</f>
        <v>0</v>
      </c>
      <c r="O32" s="7" t="str">
        <f>IF(ISNA(MATCH(23,'Transfer Engine'!$C$2:$C$1199,0)),"",INDEX('Compliance Database'!$O$2:$O$1199,MATCH(23,'Transfer Engine'!$C$2:$C$1199,0)))</f>
        <v>17. Schedule 2, items 17 and 18 Immediately after the time specified in the Freedom of Information Amendment (Reform) Act 2010 for the commencement of Schedule 4 to that Act. 1 November 2010</v>
      </c>
      <c r="P32" s="6" t="str">
        <f>IF(ISNA(MATCH(23,'Transfer Engine'!$C$2:$C$1199,0)),"",HYPERLINK("#Acts!A"&amp;INDEX('Compliance Database'!$P$2:$P$1199,MATCH(23,'Transfer Engine'!$C$2:$C$1199,0)),"Go to Act"))</f>
        <v>Go to Act</v>
      </c>
    </row>
    <row r="33" spans="1:16" ht="172.95" customHeight="1" x14ac:dyDescent="0.3">
      <c r="A33" s="6" t="str">
        <f>IF(ISNA(MATCH(24,'Transfer Engine'!$C$2:$C$1199,0)),"",INDEX('Compliance Database'!$A$2:$A$1199,MATCH(24,'Transfer Engine'!$C$2:$C$1199,0)))</f>
        <v>Australia</v>
      </c>
      <c r="B33" s="6" t="str">
        <f>IF(ISNA(MATCH(24,'Transfer Engine'!$C$2:$C$1199,0)),"",INDEX('Compliance Database'!$B$2:$B$1199,MATCH(24,'Transfer Engine'!$C$2:$C$1199,0)))</f>
        <v>C2012C00866 (Australia - Row 12)</v>
      </c>
      <c r="C33" s="6" t="str">
        <f>IF(ISNA(MATCH(24,'Transfer Engine'!$C$2:$C$1199,0)),"",INDEX('Compliance Database'!$C$2:$C$1199,MATCH(24,'Transfer Engine'!$C$2:$C$1199,0)))</f>
        <v>1976</v>
      </c>
      <c r="D33" s="7" t="str">
        <f>IF(ISNA(MATCH(24,'Transfer Engine'!$C$2:$C$1199,0)),"",INDEX('Compliance Database'!$D$2:$D$1199,MATCH(24,'Transfer Engine'!$C$2:$C$1199,0)))</f>
        <v>Notice requirements for Information Commissioner investigations</v>
      </c>
      <c r="E33" s="6" t="str">
        <f>IF(ISNA(MATCH(24,'Transfer Engine'!$C$2:$C$1199,0)),"",INDEX('Compliance Database'!$E$2:$E$1199,MATCH(24,'Transfer Engine'!$C$2:$C$1199,0)))</f>
        <v>105–111</v>
      </c>
      <c r="F33" s="6" t="str">
        <f>IF(ISNA(MATCH(24,'Transfer Engine'!$C$2:$C$1199,0)),"",INDEX('Compliance Database'!$F$2:$F$1199,MATCH(24,'Transfer Engine'!$C$2:$C$1199,0)))</f>
        <v>Low</v>
      </c>
      <c r="G33" s="6" t="str">
        <f>IF(ISNA(MATCH(24,'Transfer Engine'!$C$2:$C$1199,0)),"",INDEX('Compliance Database'!$G$2:$G$1199,MATCH(24,'Transfer Engine'!$C$2:$C$1199,0)))</f>
        <v>High (explicit)</v>
      </c>
      <c r="H33" s="7">
        <f>IF(ISNA(MATCH(24,'Transfer Engine'!$C$2:$C$1199,0)),"",INDEX('Compliance Database'!$H$2:$H$1199,MATCH(24,'Transfer Engine'!$C$2:$C$1199,0)))</f>
        <v>0</v>
      </c>
      <c r="I33" s="7" t="str">
        <f>IF(ISNA(MATCH(24,'Transfer Engine'!$C$2:$C$1199,0)),"",INDEX('Compliance Database'!$I$2:$I$1199,MATCH(24,'Transfer Engine'!$C$2:$C$1199,0)))</f>
        <v>Personal Information</v>
      </c>
      <c r="J33" s="6" t="str">
        <f>IF(ISNA(MATCH(24,'Transfer Engine'!$C$2:$C$1199,0)),"",INDEX('Compliance Database'!$J$2:$J$1199,MATCH(24,'Transfer Engine'!$C$2:$C$1199,0)))</f>
        <v>Information Commissioner</v>
      </c>
      <c r="K33" s="7" t="str">
        <f>IF(ISNA(MATCH(24,'Transfer Engine'!$C$2:$C$1199,0)),"",INDEX('Compliance Database'!$K$2:$K$1199,MATCH(24,'Transfer Engine'!$C$2:$C$1199,0)))</f>
        <v>Before starting an investigation, the Information Commissioner must notify the respondent agency in writing. If the Commissioner decides not to investigate or stop an investigation, they must notify the complainant and respondent agency within 14 days, including reasons for the decision. This ensures transparency and accountability in the investigation process.</v>
      </c>
      <c r="L33" s="7" t="str">
        <f>IF(ISNA(MATCH(24,'Transfer Engine'!$C$2:$C$1199,0)),"",INDEX('Compliance Database'!$L$2:$L$1199,MATCH(24,'Transfer Engine'!$C$2:$C$1199,0)))</f>
        <v>Requires written notification to respondent agency before investigation start and decision on non-investigation must be communicated with reasons. Relevant for DTIA as it sets procedural safeguards for investigations.</v>
      </c>
      <c r="M33" s="7" t="str">
        <f>IF(ISNA(MATCH(24,'Transfer Engine'!$C$2:$C$1199,0)),"",INDEX('Compliance Database'!$M$2:$M$1199,MATCH(24,'Transfer Engine'!$C$2:$C$1199,0)))</f>
        <v>• [Must] Before beginning an investigation, the Information Commissioner must notify the respondent agency in writing.</v>
      </c>
      <c r="N33" s="7" t="str">
        <f>IF(ISNA(MATCH(24,'Transfer Engine'!$C$2:$C$1199,0)),"",INDEX('Compliance Database'!$N$2:$N$1199,MATCH(24,'Transfer Engine'!$C$2:$C$1199,0)))</f>
        <v>• [Must] If the Information Commissioner decides not to investigate or not to continue an investigation, they must notify the complainant and respondent agency within 14 days with reasons.</v>
      </c>
      <c r="O33" s="7" t="str">
        <f>IF(ISNA(MATCH(24,'Transfer Engine'!$C$2:$C$1199,0)),"",INDEX('Compliance Database'!$O$2:$O$1199,MATCH(24,'Transfer Engine'!$C$2:$C$1199,0)))</f>
        <v>Before beginning an investigation, the Information Commissioner must notify the respondent agency in writing. Notice of decision not to investigate, or not to continue to investigate must be notified to complainant and respondent agency within 14 days with reasons.</v>
      </c>
      <c r="P33" s="6" t="str">
        <f>IF(ISNA(MATCH(24,'Transfer Engine'!$C$2:$C$1199,0)),"",HYPERLINK("#Acts!A"&amp;INDEX('Compliance Database'!$P$2:$P$1199,MATCH(24,'Transfer Engine'!$C$2:$C$1199,0)),"Go to Act"))</f>
        <v>Go to Act</v>
      </c>
    </row>
    <row r="34" spans="1:16" ht="172.95" customHeight="1" x14ac:dyDescent="0.3">
      <c r="A34" s="6" t="str">
        <f>IF(ISNA(MATCH(25,'Transfer Engine'!$C$2:$C$1199,0)),"",INDEX('Compliance Database'!$A$2:$A$1199,MATCH(25,'Transfer Engine'!$C$2:$C$1199,0)))</f>
        <v>Australia</v>
      </c>
      <c r="B34" s="6" t="str">
        <f>IF(ISNA(MATCH(25,'Transfer Engine'!$C$2:$C$1199,0)),"",INDEX('Compliance Database'!$B$2:$B$1199,MATCH(25,'Transfer Engine'!$C$2:$C$1199,0)))</f>
        <v>C2012C00866 (Australia - Row 12)</v>
      </c>
      <c r="C34" s="6" t="str">
        <f>IF(ISNA(MATCH(25,'Transfer Engine'!$C$2:$C$1199,0)),"",INDEX('Compliance Database'!$C$2:$C$1199,MATCH(25,'Transfer Engine'!$C$2:$C$1199,0)))</f>
        <v>1976 (part 3)</v>
      </c>
      <c r="D34" s="7" t="str">
        <f>IF(ISNA(MATCH(25,'Transfer Engine'!$C$2:$C$1199,0)),"",INDEX('Compliance Database'!$D$2:$D$1199,MATCH(25,'Transfer Engine'!$C$2:$C$1199,0)))</f>
        <v>Complaints to Ombudsman: Reporting Restrictions</v>
      </c>
      <c r="E34" s="6" t="str">
        <f>IF(ISNA(MATCH(25,'Transfer Engine'!$C$2:$C$1199,0)),"",INDEX('Compliance Database'!$E$2:$E$1199,MATCH(25,'Transfer Engine'!$C$2:$C$1199,0)))</f>
        <v>117–122</v>
      </c>
      <c r="F34" s="6" t="str">
        <f>IF(ISNA(MATCH(25,'Transfer Engine'!$C$2:$C$1199,0)),"",INDEX('Compliance Database'!$F$2:$F$1199,MATCH(25,'Transfer Engine'!$C$2:$C$1199,0)))</f>
        <v>Medium</v>
      </c>
      <c r="G34" s="6" t="str">
        <f>IF(ISNA(MATCH(25,'Transfer Engine'!$C$2:$C$1199,0)),"",INDEX('Compliance Database'!$G$2:$G$1199,MATCH(25,'Transfer Engine'!$C$2:$C$1199,0)))</f>
        <v>High (explicit)</v>
      </c>
      <c r="H34" s="7">
        <f>IF(ISNA(MATCH(25,'Transfer Engine'!$C$2:$C$1199,0)),"",INDEX('Compliance Database'!$H$2:$H$1199,MATCH(25,'Transfer Engine'!$C$2:$C$1199,0)))</f>
        <v>0</v>
      </c>
      <c r="I34" s="7" t="str">
        <f>IF(ISNA(MATCH(25,'Transfer Engine'!$C$2:$C$1199,0)),"",INDEX('Compliance Database'!$I$2:$I$1199,MATCH(25,'Transfer Engine'!$C$2:$C$1199,0)))</f>
        <v>Personal Information</v>
      </c>
      <c r="J34" s="6" t="str">
        <f>IF(ISNA(MATCH(25,'Transfer Engine'!$C$2:$C$1199,0)),"",INDEX('Compliance Database'!$J$2:$J$1199,MATCH(25,'Transfer Engine'!$C$2:$C$1199,0)))</f>
        <v>Ombudsman</v>
      </c>
      <c r="K34" s="7" t="str">
        <f>IF(ISNA(MATCH(25,'Transfer Engine'!$C$2:$C$1199,0)),"",INDEX('Compliance Database'!$K$2:$K$1199,MATCH(25,'Transfer Engine'!$C$2:$C$1199,0)))</f>
        <v>This section requires that reports to the Ombudsman under the Ombudsman Act 1976 must exclude exempt matters and information specified in subsection 25(1) of the Ombudsman Act. The restriction applies to reports related to actions taken under the Freedom of Information Act 1982. Complaints must be made in good faith to trigger these obligations.</v>
      </c>
      <c r="L34" s="7" t="str">
        <f>IF(ISNA(MATCH(25,'Transfer Engine'!$C$2:$C$1199,0)),"",INDEX('Compliance Database'!$L$2:$L$1199,MATCH(25,'Transfer Engine'!$C$2:$C$1199,0)))</f>
        <v>Reports involving cross-border data transfers must exclude exempt information to prevent disclosure of sensitive data. This affects data sharing with third parties and international data flows.</v>
      </c>
      <c r="M34" s="7" t="str">
        <f>IF(ISNA(MATCH(25,'Transfer Engine'!$C$2:$C$1199,0)),"",INDEX('Compliance Database'!$M$2:$M$1199,MATCH(25,'Transfer Engine'!$C$2:$C$1199,0)))</f>
        <v>• [Must Not] A report under subsection 12(3) or section 15 or 17 of the Ombudsman Act 1976 in relation to an action taken under this Act must not include exempt matter</v>
      </c>
      <c r="N34" s="7" t="str">
        <f>IF(ISNA(MATCH(25,'Transfer Engine'!$C$2:$C$1199,0)),"",INDEX('Compliance Database'!$N$2:$N$1199,MATCH(25,'Transfer Engine'!$C$2:$C$1199,0)))</f>
        <v>• [Must Not] A report under subsection 12(3) or section 15 or 17 of the Ombudsman Act 1976 in relation to an action taken under this Act must not include information of the kind referred to in subsection 25(1)</v>
      </c>
      <c r="O34" s="7" t="str">
        <f>IF(ISNA(MATCH(25,'Transfer Engine'!$C$2:$C$1199,0)),"",INDEX('Compliance Database'!$O$2:$O$1199,MATCH(25,'Transfer Engine'!$C$2:$C$1199,0)))</f>
        <v>A report under subsection 12(3) or section 15 or 17 of the Ombudsman Act 1976 in relation to an action taken under this Act must not include: (a) exempt matter; or (b) information of the kind referred to in subsection 25(1).</v>
      </c>
      <c r="P34" s="6" t="str">
        <f>IF(ISNA(MATCH(25,'Transfer Engine'!$C$2:$C$1199,0)),"",HYPERLINK("#Acts!A"&amp;INDEX('Compliance Database'!$P$2:$P$1199,MATCH(25,'Transfer Engine'!$C$2:$C$1199,0)),"Go to Act"))</f>
        <v>Go to Act</v>
      </c>
    </row>
    <row r="35" spans="1:16" ht="172.95" customHeight="1" x14ac:dyDescent="0.3">
      <c r="A35" s="6" t="str">
        <f>IF(ISNA(MATCH(26,'Transfer Engine'!$C$2:$C$1199,0)),"",INDEX('Compliance Database'!$A$2:$A$1199,MATCH(26,'Transfer Engine'!$C$2:$C$1199,0)))</f>
        <v>Australia</v>
      </c>
      <c r="B35" s="6" t="str">
        <f>IF(ISNA(MATCH(26,'Transfer Engine'!$C$2:$C$1199,0)),"",INDEX('Compliance Database'!$B$2:$B$1199,MATCH(26,'Transfer Engine'!$C$2:$C$1199,0)))</f>
        <v>C2012C00866 (Australia - Row 12)</v>
      </c>
      <c r="C35" s="6" t="str">
        <f>IF(ISNA(MATCH(26,'Transfer Engine'!$C$2:$C$1199,0)),"",INDEX('Compliance Database'!$C$2:$C$1199,MATCH(26,'Transfer Engine'!$C$2:$C$1199,0)))</f>
        <v>1976 (part 4)</v>
      </c>
      <c r="D35" s="7" t="str">
        <f>IF(ISNA(MATCH(26,'Transfer Engine'!$C$2:$C$1199,0)),"",INDEX('Compliance Database'!$D$2:$D$1199,MATCH(26,'Transfer Engine'!$C$2:$C$1199,0)))</f>
        <v>Vexatious Applicants: Declaration and Restrictions</v>
      </c>
      <c r="E35" s="6" t="str">
        <f>IF(ISNA(MATCH(26,'Transfer Engine'!$C$2:$C$1199,0)),"",INDEX('Compliance Database'!$E$2:$E$1199,MATCH(26,'Transfer Engine'!$C$2:$C$1199,0)))</f>
        <v>122–129</v>
      </c>
      <c r="F35" s="6" t="str">
        <f>IF(ISNA(MATCH(26,'Transfer Engine'!$C$2:$C$1199,0)),"",INDEX('Compliance Database'!$F$2:$F$1199,MATCH(26,'Transfer Engine'!$C$2:$C$1199,0)))</f>
        <v>High</v>
      </c>
      <c r="G35" s="6" t="str">
        <f>IF(ISNA(MATCH(26,'Transfer Engine'!$C$2:$C$1199,0)),"",INDEX('Compliance Database'!$G$2:$G$1199,MATCH(26,'Transfer Engine'!$C$2:$C$1199,0)))</f>
        <v>High (explicit)</v>
      </c>
      <c r="H35" s="7">
        <f>IF(ISNA(MATCH(26,'Transfer Engine'!$C$2:$C$1199,0)),"",INDEX('Compliance Database'!$H$2:$H$1199,MATCH(26,'Transfer Engine'!$C$2:$C$1199,0)))</f>
        <v>0</v>
      </c>
      <c r="I35" s="7" t="str">
        <f>IF(ISNA(MATCH(26,'Transfer Engine'!$C$2:$C$1199,0)),"",INDEX('Compliance Database'!$I$2:$I$1199,MATCH(26,'Transfer Engine'!$C$2:$C$1199,0)))</f>
        <v>Personal Information</v>
      </c>
      <c r="J35" s="6" t="str">
        <f>IF(ISNA(MATCH(26,'Transfer Engine'!$C$2:$C$1199,0)),"",INDEX('Compliance Database'!$J$2:$J$1199,MATCH(26,'Transfer Engine'!$C$2:$C$1199,0)))</f>
        <v>Information Commissioner</v>
      </c>
      <c r="K35" s="7" t="str">
        <f>IF(ISNA(MATCH(26,'Transfer Engine'!$C$2:$C$1199,0)),"",INDEX('Compliance Database'!$K$2:$K$1199,MATCH(26,'Transfer Engine'!$C$2:$C$1199,0)))</f>
        <v>This section allows the Information Commissioner to declare a person a vexatious applicant if they repeatedly engage in access actions with abuse of process, manifestly unreasonable actions, or specific abusive behaviors. The declaration may restrict the person from making requests, amendments to records, internal reviews, or IC reviews without written permission from the Information Commissioner.</v>
      </c>
      <c r="L35" s="7" t="str">
        <f>IF(ISNA(MATCH(26,'Transfer Engine'!$C$2:$C$1199,0)),"",INDEX('Compliance Database'!$L$2:$L$1199,MATCH(26,'Transfer Engine'!$C$2:$C$1199,0)))</f>
        <v>Vexatious applicants cannot access sensitive data without authorization, impacting data sharing and cross-border transfers. This affects data subject rights and third-party processing.</v>
      </c>
      <c r="M35" s="7" t="str">
        <f>IF(ISNA(MATCH(26,'Transfer Engine'!$C$2:$C$1199,0)),"",INDEX('Compliance Database'!$M$2:$M$1199,MATCH(26,'Transfer Engine'!$C$2:$C$1199,0)))</f>
        <v>• [May] The Information Commissioner may declare a person a vexatious applicant if they repeatedly engage in access actions involving abuse of the process
• [May] The Information Commissioner may declare a person a vexatious applicant if a particular access action involves abuse of the process
• [May] The Information Commissioner may declare a person a vexatious applicant if a particular access action would be manifestly unreasonable</v>
      </c>
      <c r="N35" s="7" t="str">
        <f>IF(ISNA(MATCH(26,'Transfer Engine'!$C$2:$C$1199,0)),"",INDEX('Compliance Database'!$N$2:$N$1199,MATCH(26,'Transfer Engine'!$C$2:$C$1199,0)))</f>
        <v>• [May] A vexatious applicant declaration may restrict an agency or Minister from considering requests without written permission from the Information Commissioner
• [May] A vexatious applicant declaration may restrict the Information Commissioner from considering IC review applications made by the person</v>
      </c>
      <c r="O35" s="7" t="str">
        <f>IF(ISNA(MATCH(26,'Transfer Engine'!$C$2:$C$1199,0)),"",INDEX('Compliance Database'!$O$2:$O$1199,MATCH(26,'Transfer Engine'!$C$2:$C$1199,0)))</f>
        <v>The Information Commissioner may, by written instrument (a vexatious applicant declaration), declare a person to be a vexatious applicant.</v>
      </c>
      <c r="P35" s="6" t="str">
        <f>IF(ISNA(MATCH(26,'Transfer Engine'!$C$2:$C$1199,0)),"",HYPERLINK("#Acts!A"&amp;INDEX('Compliance Database'!$P$2:$P$1199,MATCH(26,'Transfer Engine'!$C$2:$C$1199,0)),"Go to Act"))</f>
        <v>Go to Act</v>
      </c>
    </row>
    <row r="36" spans="1:16" ht="172.95" customHeight="1" x14ac:dyDescent="0.3">
      <c r="A36" s="6" t="str">
        <f>IF(ISNA(MATCH(27,'Transfer Engine'!$C$2:$C$1199,0)),"",INDEX('Compliance Database'!$A$2:$A$1199,MATCH(27,'Transfer Engine'!$C$2:$C$1199,0)))</f>
        <v>Australia</v>
      </c>
      <c r="B36" s="6" t="str">
        <f>IF(ISNA(MATCH(27,'Transfer Engine'!$C$2:$C$1199,0)),"",INDEX('Compliance Database'!$B$2:$B$1199,MATCH(27,'Transfer Engine'!$C$2:$C$1199,0)))</f>
        <v>C2012C00866 (Australia - Row 12)</v>
      </c>
      <c r="C36" s="6" t="str">
        <f>IF(ISNA(MATCH(27,'Transfer Engine'!$C$2:$C$1199,0)),"",INDEX('Compliance Database'!$C$2:$C$1199,MATCH(27,'Transfer Engine'!$C$2:$C$1199,0)))</f>
        <v>1976 (part 5)</v>
      </c>
      <c r="D36" s="7" t="str">
        <f>IF(ISNA(MATCH(27,'Transfer Engine'!$C$2:$C$1199,0)),"",INDEX('Compliance Database'!$D$2:$D$1199,MATCH(27,'Transfer Engine'!$C$2:$C$1199,0)))</f>
        <v>Replaces Privacy Commissioner with Information Commissioner in multiple acts</v>
      </c>
      <c r="E36" s="6" t="str">
        <f>IF(ISNA(MATCH(27,'Transfer Engine'!$C$2:$C$1199,0)),"",INDEX('Compliance Database'!$E$2:$E$1199,MATCH(27,'Transfer Engine'!$C$2:$C$1199,0)))</f>
        <v>129–131</v>
      </c>
      <c r="F36" s="6" t="str">
        <f>IF(ISNA(MATCH(27,'Transfer Engine'!$C$2:$C$1199,0)),"",INDEX('Compliance Database'!$F$2:$F$1199,MATCH(27,'Transfer Engine'!$C$2:$C$1199,0)))</f>
        <v>Low</v>
      </c>
      <c r="G36" s="6" t="str">
        <f>IF(ISNA(MATCH(27,'Transfer Engine'!$C$2:$C$1199,0)),"",INDEX('Compliance Database'!$G$2:$G$1199,MATCH(27,'Transfer Engine'!$C$2:$C$1199,0)))</f>
        <v>High (explicit)</v>
      </c>
      <c r="H36" s="7" t="str">
        <f>IF(ISNA(MATCH(27,'Transfer Engine'!$C$2:$C$1199,0)),"",INDEX('Compliance Database'!$H$2:$H$1199,MATCH(27,'Transfer Engine'!$C$2:$C$1199,0)))</f>
        <v>Cross-border Transfer, International Processing, Data Storage, Data Residency, Security, Consent, Customer Information, Employee Information, Special Personal Information, Children, Financial Data, KYC, AML, Governance, Record Keeping</v>
      </c>
      <c r="I36" s="7" t="str">
        <f>IF(ISNA(MATCH(27,'Transfer Engine'!$C$2:$C$1199,0)),"",INDEX('Compliance Database'!$I$2:$I$1199,MATCH(27,'Transfer Engine'!$C$2:$C$1199,0)))</f>
        <v>Personal Information</v>
      </c>
      <c r="J36" s="6">
        <f>IF(ISNA(MATCH(27,'Transfer Engine'!$C$2:$C$1199,0)),"",INDEX('Compliance Database'!$J$2:$J$1199,MATCH(27,'Transfer Engine'!$C$2:$C$1199,0)))</f>
        <v>0</v>
      </c>
      <c r="K36" s="7" t="str">
        <f>IF(ISNA(MATCH(27,'Transfer Engine'!$C$2:$C$1199,0)),"",INDEX('Compliance Database'!$K$2:$K$1199,MATCH(27,'Transfer Engine'!$C$2:$C$1199,0)))</f>
        <v>This section lists amendments to various Australian laws that replace references to the 'Privacy Commissioner' with 'Information Commissioner' in specific sections or definitions. The changes apply across multiple acts including the Australian Citizenship Act, Australian Human Rights Commission Act, Crimes Act, and others. These amendments update the legal references to align with the establishment of the Office of the Australian Information Commissioner.</v>
      </c>
      <c r="L36" s="7" t="str">
        <f>IF(ISNA(MATCH(27,'Transfer Engine'!$C$2:$C$1199,0)),"",INDEX('Compliance Database'!$L$2:$L$1199,MATCH(27,'Transfer Engine'!$C$2:$C$1199,0)))</f>
        <v>This section updates legal references to the Information Commissioner across multiple acts, which may affect data transfer mechanisms where the Commissioner's role is involved in privacy functions. However, it does not directly impose new transfer restrictions.</v>
      </c>
      <c r="M36" s="7" t="str">
        <f>IF(ISNA(MATCH(27,'Transfer Engine'!$C$2:$C$1199,0)),"",INDEX('Compliance Database'!$M$2:$M$1199,MATCH(27,'Transfer Engine'!$C$2:$C$1199,0)))</f>
        <v>• [Must] Omit 'Privacy Commissioner', substitute 'Information Commissioner in relation to matters that relate to the privacy functions (within the meaning of the Australian Information Commissioner Act 2010)'
• [Must] Omit 'Privacy Commissioner', substitute 'Information Commissioner'
• [Must] Repeal the definition of Privacy Commissioner</v>
      </c>
      <c r="N36" s="7" t="str">
        <f>IF(ISNA(MATCH(27,'Transfer Engine'!$C$2:$C$1199,0)),"",INDEX('Compliance Database'!$N$2:$N$1199,MATCH(27,'Transfer Engine'!$C$2:$C$1199,0)))</f>
        <v>• [Must] Omit 'Privacy Commissioner' (wherever occurring), substitute 'Information Commissioner'
• [Must] Omit 'Privacy Commissioner' (first occurring), substitute 'Information Commissioner in relation to matters that relate to the privacy functions (within the meaning of the Australian Information Commissioner Act 2010)'
• [Must] Omit 'Privacy Commissioner' (last occurring), substitute 'Information Commissioner'</v>
      </c>
      <c r="O36" s="7" t="str">
        <f>IF(ISNA(MATCH(27,'Transfer Engine'!$C$2:$C$1199,0)),"",INDEX('Compliance Database'!$O$2:$O$1199,MATCH(27,'Transfer Engine'!$C$2:$C$1199,0)))</f>
        <v>Amendments consequential on the establishment of the Office of the Australian Information Commissioner Schedule 5</v>
      </c>
      <c r="P36" s="6" t="str">
        <f>IF(ISNA(MATCH(27,'Transfer Engine'!$C$2:$C$1199,0)),"",HYPERLINK("#Acts!A"&amp;INDEX('Compliance Database'!$P$2:$P$1199,MATCH(27,'Transfer Engine'!$C$2:$C$1199,0)),"Go to Act"))</f>
        <v>Go to Act</v>
      </c>
    </row>
    <row r="37" spans="1:16" ht="172.95" customHeight="1" x14ac:dyDescent="0.3">
      <c r="A37" s="6" t="str">
        <f>IF(ISNA(MATCH(28,'Transfer Engine'!$C$2:$C$1199,0)),"",INDEX('Compliance Database'!$A$2:$A$1199,MATCH(28,'Transfer Engine'!$C$2:$C$1199,0)))</f>
        <v>Australia</v>
      </c>
      <c r="B37" s="6" t="str">
        <f>IF(ISNA(MATCH(28,'Transfer Engine'!$C$2:$C$1199,0)),"",INDEX('Compliance Database'!$B$2:$B$1199,MATCH(28,'Transfer Engine'!$C$2:$C$1199,0)))</f>
        <v>C2012C00866 (Australia - Row 12)</v>
      </c>
      <c r="C37" s="6" t="str">
        <f>IF(ISNA(MATCH(28,'Transfer Engine'!$C$2:$C$1199,0)),"",INDEX('Compliance Database'!$C$2:$C$1199,MATCH(28,'Transfer Engine'!$C$2:$C$1199,0)))</f>
        <v>2010</v>
      </c>
      <c r="D37" s="7" t="str">
        <f>IF(ISNA(MATCH(28,'Transfer Engine'!$C$2:$C$1199,0)),"",INDEX('Compliance Database'!$D$2:$D$1199,MATCH(28,'Transfer Engine'!$C$2:$C$1199,0)))</f>
        <v>Replaces Privacy Commissioner with Information Commissioner in Freedom of Information Act</v>
      </c>
      <c r="E37" s="6" t="str">
        <f>IF(ISNA(MATCH(28,'Transfer Engine'!$C$2:$C$1199,0)),"",INDEX('Compliance Database'!$E$2:$E$1199,MATCH(28,'Transfer Engine'!$C$2:$C$1199,0)))</f>
        <v>131–132</v>
      </c>
      <c r="F37" s="6" t="str">
        <f>IF(ISNA(MATCH(28,'Transfer Engine'!$C$2:$C$1199,0)),"",INDEX('Compliance Database'!$F$2:$F$1199,MATCH(28,'Transfer Engine'!$C$2:$C$1199,0)))</f>
        <v>Low</v>
      </c>
      <c r="G37" s="6" t="str">
        <f>IF(ISNA(MATCH(28,'Transfer Engine'!$C$2:$C$1199,0)),"",INDEX('Compliance Database'!$G$2:$G$1199,MATCH(28,'Transfer Engine'!$C$2:$C$1199,0)))</f>
        <v>High (explicit)</v>
      </c>
      <c r="H37" s="7" t="str">
        <f>IF(ISNA(MATCH(28,'Transfer Engine'!$C$2:$C$1199,0)),"",INDEX('Compliance Database'!$H$2:$H$1199,MATCH(28,'Transfer Engine'!$C$2:$C$1199,0)))</f>
        <v>Cross-border Transfer, International Processing, Data Storage, Data Residency, Security, Consent, Customer Information, Employee Information, Special Personal Information, Children, Financial Data, KYC, AML, Governance, Record Keeping</v>
      </c>
      <c r="I37" s="7" t="str">
        <f>IF(ISNA(MATCH(28,'Transfer Engine'!$C$2:$C$1199,0)),"",INDEX('Compliance Database'!$I$2:$I$1199,MATCH(28,'Transfer Engine'!$C$2:$C$1199,0)))</f>
        <v>Personal Information</v>
      </c>
      <c r="J37" s="6">
        <f>IF(ISNA(MATCH(28,'Transfer Engine'!$C$2:$C$1199,0)),"",INDEX('Compliance Database'!$J$2:$J$1199,MATCH(28,'Transfer Engine'!$C$2:$C$1199,0)))</f>
        <v>0</v>
      </c>
      <c r="K37" s="7" t="str">
        <f>IF(ISNA(MATCH(28,'Transfer Engine'!$C$2:$C$1199,0)),"",INDEX('Compliance Database'!$K$2:$K$1199,MATCH(28,'Transfer Engine'!$C$2:$C$1199,0)))</f>
        <v>This section lists amendments to the Freedom of Information Act 1982 that replace references to the 'Privacy Commissioner' with 'Information Commissioner' in specific sections and definitions. The changes include updating definitions, headings, and sections to align with the new Information Commissioner role, ensuring consistency across Commonwealth contracts and agency documents.</v>
      </c>
      <c r="L37" s="7" t="str">
        <f>IF(ISNA(MATCH(28,'Transfer Engine'!$C$2:$C$1199,0)),"",INDEX('Compliance Database'!$L$2:$L$1199,MATCH(28,'Transfer Engine'!$C$2:$C$1199,0)))</f>
        <v>These amendments update legal references to the Information Commissioner in the Freedom of Information Act, which may impact data handling and disclosure practices but do not directly affect cross-border data transfers.</v>
      </c>
      <c r="M37" s="7" t="str">
        <f>IF(ISNA(MATCH(28,'Transfer Engine'!$C$2:$C$1199,0)),"",INDEX('Compliance Database'!$M$2:$M$1199,MATCH(28,'Transfer Engine'!$C$2:$C$1199,0)))</f>
        <v>• [Must] Omit 'Privacy Commissioner', substitute 'Information Commissioner'
• [Must] Omit 'Privacy Commissioner's', substitute 'Information Commissioner's'</v>
      </c>
      <c r="N37" s="7" t="str">
        <f>IF(ISNA(MATCH(28,'Transfer Engine'!$C$2:$C$1199,0)),"",INDEX('Compliance Database'!$N$2:$N$1199,MATCH(28,'Transfer Engine'!$C$2:$C$1199,0)))</f>
        <v>• [Must] Omit 'Privacy Commissioner', substitute 'Information Commissioner in relation to matters that relate to the privacy functions (within the meaning of the Australian Information Commissioner Act 2010)'
• [Must] Repeal the section, substitute: Guidelines relating to privacy</v>
      </c>
      <c r="O37" s="7" t="str">
        <f>IF(ISNA(MATCH(28,'Transfer Engine'!$C$2:$C$1199,0)),"",INDEX('Compliance Database'!$O$2:$O$1199,MATCH(28,'Transfer Engine'!$C$2:$C$1199,0)))</f>
        <v>Amendments consequential on the establishment of the Office of the Australian Information Commissioner Schedule 5</v>
      </c>
      <c r="P37" s="6" t="str">
        <f>IF(ISNA(MATCH(28,'Transfer Engine'!$C$2:$C$1199,0)),"",HYPERLINK("#Acts!A"&amp;INDEX('Compliance Database'!$P$2:$P$1199,MATCH(28,'Transfer Engine'!$C$2:$C$1199,0)),"Go to Act"))</f>
        <v>Go to Act</v>
      </c>
    </row>
    <row r="38" spans="1:16" ht="172.95" customHeight="1" x14ac:dyDescent="0.3">
      <c r="A38" s="6" t="str">
        <f>IF(ISNA(MATCH(29,'Transfer Engine'!$C$2:$C$1199,0)),"",INDEX('Compliance Database'!$A$2:$A$1199,MATCH(29,'Transfer Engine'!$C$2:$C$1199,0)))</f>
        <v>Australia</v>
      </c>
      <c r="B38" s="6" t="str">
        <f>IF(ISNA(MATCH(29,'Transfer Engine'!$C$2:$C$1199,0)),"",INDEX('Compliance Database'!$B$2:$B$1199,MATCH(29,'Transfer Engine'!$C$2:$C$1199,0)))</f>
        <v>C2012C00866 (Australia - Row 12)</v>
      </c>
      <c r="C38" s="6" t="str">
        <f>IF(ISNA(MATCH(29,'Transfer Engine'!$C$2:$C$1199,0)),"",INDEX('Compliance Database'!$C$2:$C$1199,MATCH(29,'Transfer Engine'!$C$2:$C$1199,0)))</f>
        <v>2010 (part 2)</v>
      </c>
      <c r="D38" s="7" t="str">
        <f>IF(ISNA(MATCH(29,'Transfer Engine'!$C$2:$C$1199,0)),"",INDEX('Compliance Database'!$D$2:$D$1199,MATCH(29,'Transfer Engine'!$C$2:$C$1199,0)))</f>
        <v>Exemptions for intelligence and defense intelligence documents</v>
      </c>
      <c r="E38" s="6" t="str">
        <f>IF(ISNA(MATCH(29,'Transfer Engine'!$C$2:$C$1199,0)),"",INDEX('Compliance Database'!$E$2:$E$1199,MATCH(29,'Transfer Engine'!$C$2:$C$1199,0)))</f>
        <v>143–149</v>
      </c>
      <c r="F38" s="6" t="str">
        <f>IF(ISNA(MATCH(29,'Transfer Engine'!$C$2:$C$1199,0)),"",INDEX('Compliance Database'!$F$2:$F$1199,MATCH(29,'Transfer Engine'!$C$2:$C$1199,0)))</f>
        <v>Low</v>
      </c>
      <c r="G38" s="6" t="str">
        <f>IF(ISNA(MATCH(29,'Transfer Engine'!$C$2:$C$1199,0)),"",INDEX('Compliance Database'!$G$2:$G$1199,MATCH(29,'Transfer Engine'!$C$2:$C$1199,0)))</f>
        <v>High (explicit)</v>
      </c>
      <c r="H38" s="7">
        <f>IF(ISNA(MATCH(29,'Transfer Engine'!$C$2:$C$1199,0)),"",INDEX('Compliance Database'!$H$2:$H$1199,MATCH(29,'Transfer Engine'!$C$2:$C$1199,0)))</f>
        <v>0</v>
      </c>
      <c r="I38" s="7" t="str">
        <f>IF(ISNA(MATCH(29,'Transfer Engine'!$C$2:$C$1199,0)),"",INDEX('Compliance Database'!$I$2:$I$1199,MATCH(29,'Transfer Engine'!$C$2:$C$1199,0)))</f>
        <v>Special Personal Information</v>
      </c>
      <c r="J38" s="6" t="str">
        <f>IF(ISNA(MATCH(29,'Transfer Engine'!$C$2:$C$1199,0)),"",INDEX('Compliance Database'!$J$2:$J$1199,MATCH(29,'Transfer Engine'!$C$2:$C$1199,0)))</f>
        <v>Information Commissioner</v>
      </c>
      <c r="K38" s="7" t="str">
        <f>IF(ISNA(MATCH(29,'Transfer Engine'!$C$2:$C$1199,0)),"",INDEX('Compliance Database'!$K$2:$K$1199,MATCH(29,'Transfer Engine'!$C$2:$C$1199,0)))</f>
        <v>This section defines exemptions for intelligence and defense intelligence documents under the Freedom of Information Act 1982. It specifies that agencies and ministers are exempt from the Act's requirements for documents originating from specific intelligence agencies, defense intelligence organizations, or related materials. The exemptions cover both the original documents and summaries/extracts of these documents, with clear definitions of intelligence agency documents and defense intelligence documents.</v>
      </c>
      <c r="L38" s="7" t="str">
        <f>IF(ISNA(MATCH(29,'Transfer Engine'!$C$2:$C$1199,0)),"",INDEX('Compliance Database'!$L$2:$L$1199,MATCH(29,'Transfer Engine'!$C$2:$C$1199,0)))</f>
        <v>This section establishes exemptions for certain sensitive government documents, which may impact data transfer assessments when handling intelligence or defense-related information across borders. The exemptions apply to specific document types and require careful assessment to avoid unintended disclosure of classified information.</v>
      </c>
      <c r="M38" s="7" t="str">
        <f>IF(ISNA(MATCH(29,'Transfer Engine'!$C$2:$C$1199,0)),"",INDEX('Compliance Database'!$M$2:$M$1199,MATCH(29,'Transfer Engine'!$C$2:$C$1199,0)))</f>
        <v>• [Exemption] An agency is exempt from the operation of this Act in relation to a document that has originated with, or has been received from, any of the specified intelligence agencies
• [Exemption] A document containing a summary of, or an extract from, an intelligence agency document is exempt to the extent it contains such summary or extract
• [Exemption] A Minister is exempt from the operation of this Act in relation to intelligence agency documents</v>
      </c>
      <c r="N38" s="7" t="str">
        <f>IF(ISNA(MATCH(29,'Transfer Engine'!$C$2:$C$1199,0)),"",INDEX('Compliance Database'!$N$2:$N$1199,MATCH(29,'Transfer Engine'!$C$2:$C$1199,0)))</f>
        <v>• [Exemption] A document containing a summary of, or an extract from, an intelligence agency document is exempt to the extent it contains such summary or extract
• [Exemption] An agency is exempt from the operation of this Act in relation to defense intelligence documents
• [Exemption] A document containing a summary of, or an extract from, a defense intelligence document is exempt to the extent it contains such summary or extract</v>
      </c>
      <c r="O38" s="7" t="str">
        <f>IF(ISNA(MATCH(29,'Transfer Engine'!$C$2:$C$1199,0)),"",INDEX('Compliance Database'!$O$2:$O$1199,MATCH(29,'Transfer Engine'!$C$2:$C$1199,0)))</f>
        <v>An agency is exempt from the operation of this Act in relation to a document (an intelligence agency document) that has originated with, or has been received from, any of the following: (i) the Australian Secret Intelligence Service; (ii) the Australian Security Intelligence Organisation; (iii) the Inspector-General of Intelligence and Security; (iv) the Office of National Assessments; (v) the Defence Imagery and Geospatial Organisation; (vi) the Defence Intelligence Organisation; (vii) the Defence Signals Directorate</v>
      </c>
      <c r="P38" s="6" t="str">
        <f>IF(ISNA(MATCH(29,'Transfer Engine'!$C$2:$C$1199,0)),"",HYPERLINK("#Acts!A"&amp;INDEX('Compliance Database'!$P$2:$P$1199,MATCH(29,'Transfer Engine'!$C$2:$C$1199,0)),"Go to Act"))</f>
        <v>Go to Act</v>
      </c>
    </row>
    <row r="39" spans="1:16" ht="172.95" customHeight="1" x14ac:dyDescent="0.3">
      <c r="A39" s="6" t="str">
        <f>IF(ISNA(MATCH(30,'Transfer Engine'!$C$2:$C$1199,0)),"",INDEX('Compliance Database'!$A$2:$A$1199,MATCH(30,'Transfer Engine'!$C$2:$C$1199,0)))</f>
        <v>Australia</v>
      </c>
      <c r="B39" s="6" t="str">
        <f>IF(ISNA(MATCH(30,'Transfer Engine'!$C$2:$C$1199,0)),"",INDEX('Compliance Database'!$B$2:$B$1199,MATCH(30,'Transfer Engine'!$C$2:$C$1199,0)))</f>
        <v>C2012C00866 (Australia - Row 12)</v>
      </c>
      <c r="C39" s="6" t="str">
        <f>IF(ISNA(MATCH(30,'Transfer Engine'!$C$2:$C$1199,0)),"",INDEX('Compliance Database'!$C$2:$C$1199,MATCH(30,'Transfer Engine'!$C$2:$C$1199,0)))</f>
        <v>2010 (part 3)</v>
      </c>
      <c r="D39" s="7" t="str">
        <f>IF(ISNA(MATCH(30,'Transfer Engine'!$C$2:$C$1199,0)),"",INDEX('Compliance Database'!$D$2:$D$1199,MATCH(30,'Transfer Engine'!$C$2:$C$1199,0)))</f>
        <v>Request consultation process for practical refusal reasons</v>
      </c>
      <c r="E39" s="6" t="str">
        <f>IF(ISNA(MATCH(30,'Transfer Engine'!$C$2:$C$1199,0)),"",INDEX('Compliance Database'!$E$2:$E$1199,MATCH(30,'Transfer Engine'!$C$2:$C$1199,0)))</f>
        <v>149–154</v>
      </c>
      <c r="F39" s="6" t="str">
        <f>IF(ISNA(MATCH(30,'Transfer Engine'!$C$2:$C$1199,0)),"",INDEX('Compliance Database'!$F$2:$F$1199,MATCH(30,'Transfer Engine'!$C$2:$C$1199,0)))</f>
        <v>Low</v>
      </c>
      <c r="G39" s="6" t="str">
        <f>IF(ISNA(MATCH(30,'Transfer Engine'!$C$2:$C$1199,0)),"",INDEX('Compliance Database'!$G$2:$G$1199,MATCH(30,'Transfer Engine'!$C$2:$C$1199,0)))</f>
        <v>High (explicit)</v>
      </c>
      <c r="H39" s="7">
        <f>IF(ISNA(MATCH(30,'Transfer Engine'!$C$2:$C$1199,0)),"",INDEX('Compliance Database'!$H$2:$H$1199,MATCH(30,'Transfer Engine'!$C$2:$C$1199,0)))</f>
        <v>0</v>
      </c>
      <c r="I39" s="7" t="str">
        <f>IF(ISNA(MATCH(30,'Transfer Engine'!$C$2:$C$1199,0)),"",INDEX('Compliance Database'!$I$2:$I$1199,MATCH(30,'Transfer Engine'!$C$2:$C$1199,0)))</f>
        <v>Special Personal Information</v>
      </c>
      <c r="J39" s="6" t="str">
        <f>IF(ISNA(MATCH(30,'Transfer Engine'!$C$2:$C$1199,0)),"",INDEX('Compliance Database'!$J$2:$J$1199,MATCH(30,'Transfer Engine'!$C$2:$C$1199,0)))</f>
        <v>Information Commissioner</v>
      </c>
      <c r="K39" s="7" t="str">
        <f>IF(ISNA(MATCH(30,'Transfer Engine'!$C$2:$C$1199,0)),"",INDEX('Compliance Database'!$K$2:$K$1199,MATCH(30,'Transfer Engine'!$C$2:$C$1199,0)))</f>
        <v>This section establishes a request consultation process that must be undertaken when an agency or minister determines that a practical refusal reason exists for a document request. The process requires written notification to the applicant, identification of the practical refusal reason, and a 14-day consultation period during which the applicant can revise their request. The process aims to allow applicants to modify their requests to overcome practical refusal reasons before a final decision is made.</v>
      </c>
      <c r="L39" s="7" t="str">
        <f>IF(ISNA(MATCH(30,'Transfer Engine'!$C$2:$C$1199,0)),"",INDEX('Compliance Database'!$L$2:$L$1199,MATCH(30,'Transfer Engine'!$C$2:$C$1199,0)))</f>
        <v>This section outlines a specific consultation process that must be followed when handling requests involving sensitive or non-existent documents, which may impact data transfer assessments when dealing with government records across borders. The process ensures applicants have a chance to revise requests before final refusal decisions are made.</v>
      </c>
      <c r="M39" s="7" t="str">
        <f>IF(ISNA(MATCH(30,'Transfer Engine'!$C$2:$C$1199,0)),"",INDEX('Compliance Database'!$M$2:$M$1199,MATCH(30,'Transfer Engine'!$C$2:$C$1199,0)))</f>
        <v>• [Notification] The agency or Minister must give the applicant written notice stating intention to refuse access, practical refusal reason, contact person details, and consultation period duration
• [Condition] The consultation period is 14 days after the applicant receives the notice</v>
      </c>
      <c r="N39" s="7" t="str">
        <f>IF(ISNA(MATCH(30,'Transfer Engine'!$C$2:$C$1199,0)),"",INDEX('Compliance Database'!$N$2:$N$1199,MATCH(30,'Transfer Engine'!$C$2:$C$1199,0)))</f>
        <v>• [Assistance] The agency or Minister must take reasonable steps to assist the applicant in revising the request to eliminate the practical refusal reason
• [Action] The applicant must withdraw the request, make a revised request, or indicate they do not wish to revise the request within the consultation period</v>
      </c>
      <c r="O39" s="7" t="str">
        <f>IF(ISNA(MATCH(30,'Transfer Engine'!$C$2:$C$1199,0)),"",INDEX('Compliance Database'!$O$2:$O$1199,MATCH(30,'Transfer Engine'!$C$2:$C$1199,0)))</f>
        <v>The agency or Minister must give the applicant a written notice stating: (a) an intention to refuse access to a document in accordance with a request; (b) the practical refusal reason; (c) the name of an officer of the agency or member of staff of the Minister (the contact person) with whom the applicant may consult during a period; (d) details of how the applicant may contact the contact person; (e) that the period (the consultation period) during which the applicant may consult with the contact person is 14 days after the day the applicant is given the notice.</v>
      </c>
      <c r="P39" s="6" t="str">
        <f>IF(ISNA(MATCH(30,'Transfer Engine'!$C$2:$C$1199,0)),"",HYPERLINK("#Acts!A"&amp;INDEX('Compliance Database'!$P$2:$P$1199,MATCH(30,'Transfer Engine'!$C$2:$C$1199,0)),"Go to Act"))</f>
        <v>Go to Act</v>
      </c>
    </row>
    <row r="40" spans="1:16" ht="172.95" customHeight="1" x14ac:dyDescent="0.3">
      <c r="A40" s="6" t="str">
        <f>IF(ISNA(MATCH(31,'Transfer Engine'!$C$2:$C$1199,0)),"",INDEX('Compliance Database'!$A$2:$A$1199,MATCH(31,'Transfer Engine'!$C$2:$C$1199,0)))</f>
        <v>Australia</v>
      </c>
      <c r="B40" s="6" t="str">
        <f>IF(ISNA(MATCH(31,'Transfer Engine'!$C$2:$C$1199,0)),"",INDEX('Compliance Database'!$B$2:$B$1199,MATCH(31,'Transfer Engine'!$C$2:$C$1199,0)))</f>
        <v>C2012C00866 (Australia - Row 12)</v>
      </c>
      <c r="C40" s="6" t="str">
        <f>IF(ISNA(MATCH(31,'Transfer Engine'!$C$2:$C$1199,0)),"",INDEX('Compliance Database'!$C$2:$C$1199,MATCH(31,'Transfer Engine'!$C$2:$C$1199,0)))</f>
        <v>2010 (part 4)</v>
      </c>
      <c r="D40" s="7" t="str">
        <f>IF(ISNA(MATCH(31,'Transfer Engine'!$C$2:$C$1199,0)),"",INDEX('Compliance Database'!$D$2:$D$1199,MATCH(31,'Transfer Engine'!$C$2:$C$1199,0)))</f>
        <v>Transition of Privacy Commissioner responsibilities to Information Commissioner</v>
      </c>
      <c r="E40" s="6" t="str">
        <f>IF(ISNA(MATCH(31,'Transfer Engine'!$C$2:$C$1199,0)),"",INDEX('Compliance Database'!$E$2:$E$1199,MATCH(31,'Transfer Engine'!$C$2:$C$1199,0)))</f>
        <v>154–162</v>
      </c>
      <c r="F40" s="6" t="str">
        <f>IF(ISNA(MATCH(31,'Transfer Engine'!$C$2:$C$1199,0)),"",INDEX('Compliance Database'!$F$2:$F$1199,MATCH(31,'Transfer Engine'!$C$2:$C$1199,0)))</f>
        <v>Medium</v>
      </c>
      <c r="G40" s="6" t="str">
        <f>IF(ISNA(MATCH(31,'Transfer Engine'!$C$2:$C$1199,0)),"",INDEX('Compliance Database'!$G$2:$G$1199,MATCH(31,'Transfer Engine'!$C$2:$C$1199,0)))</f>
        <v>High (explicit)</v>
      </c>
      <c r="H40" s="7" t="str">
        <f>IF(ISNA(MATCH(31,'Transfer Engine'!$C$2:$C$1199,0)),"",INDEX('Compliance Database'!$H$2:$H$1199,MATCH(31,'Transfer Engine'!$C$2:$C$1199,0)))</f>
        <v>Cross-border Transfer, International Processing, Data Storage, Data Residency, Security, Incident Reporting, Breach Notification, Governance, Record Keeping</v>
      </c>
      <c r="I40" s="7" t="str">
        <f>IF(ISNA(MATCH(31,'Transfer Engine'!$C$2:$C$1199,0)),"",INDEX('Compliance Database'!$I$2:$I$1199,MATCH(31,'Transfer Engine'!$C$2:$C$1199,0)))</f>
        <v>Personal Information, Financial Data, Customer Data, Employee Data</v>
      </c>
      <c r="J40" s="6" t="str">
        <f>IF(ISNA(MATCH(31,'Transfer Engine'!$C$2:$C$1199,0)),"",INDEX('Compliance Database'!$J$2:$J$1199,MATCH(31,'Transfer Engine'!$C$2:$C$1199,0)))</f>
        <v>Australian Information Commissioner</v>
      </c>
      <c r="K40" s="7" t="str">
        <f>IF(ISNA(MATCH(31,'Transfer Engine'!$C$2:$C$1199,0)),"",INDEX('Compliance Database'!$K$2:$K$1199,MATCH(31,'Transfer Engine'!$C$2:$C$1199,0)))</f>
        <v>This section amends the Freedom of Information Act 1982 by transitioning responsibilities from the Privacy Commissioner to the Information Commissioner. It ensures continuity of functions, including the handling of ongoing investigations, consultations, and decisions made before the commencement date. The Information Commissioner assumes all obligations and powers previously held by the Privacy Commissioner for matters that were initiated prior to the transition date.</v>
      </c>
      <c r="L40" s="7" t="str">
        <f>IF(ISNA(MATCH(31,'Transfer Engine'!$C$2:$C$1199,0)),"",INDEX('Compliance Database'!$L$2:$L$1199,MATCH(31,'Transfer Engine'!$C$2:$C$1199,0)))</f>
        <v>This section ensures that transitional obligations from the Privacy Commissioner to the Information Commissioner are maintained, which is critical for data transfer impact assessments involving cross-border data flows that may have been initiated before the transition date.</v>
      </c>
      <c r="M40" s="7" t="str">
        <f>IF(ISNA(MATCH(31,'Transfer Engine'!$C$2:$C$1199,0)),"",INDEX('Compliance Database'!$M$2:$M$1199,MATCH(31,'Transfer Engine'!$C$2:$C$1199,0)))</f>
        <v>• [Must] The Privacy Commissioner's actions before the commencement day are treated as actions by the Information Commissioner for the same purpose.
• [May] The Information Commissioner may determine exceptions to the transition for specific actions.
• [Must] Consultations initiated by the Privacy Commissioner before the commencement day may continue with the Information Commissioner.</v>
      </c>
      <c r="N40" s="7" t="str">
        <f>IF(ISNA(MATCH(31,'Transfer Engine'!$C$2:$C$1199,0)),"",INDEX('Compliance Database'!$N$2:$N$1199,MATCH(31,'Transfer Engine'!$C$2:$C$1199,0)))</f>
        <v>• [Must] Decisions made by the Privacy Commissioner before the commencement day may be implemented by the Information Commissioner.
• [Must] The Information Commissioner must handle submissions and evidence as required by the Privacy Commissioner before the transition date.</v>
      </c>
      <c r="O40" s="7" t="str">
        <f>IF(ISNA(MATCH(31,'Transfer Engine'!$C$2:$C$1199,0)),"",INDEX('Compliance Database'!$O$2:$O$1199,MATCH(31,'Transfer Engine'!$C$2:$C$1199,0)))</f>
        <v>This item applies if: (a) the Privacy Commissioner made a decision in accordance with a provision of the Privacy Act 1988; and (b) having made the decision, the Privacy Commissioner was required to take a step to implement it; and (c) the Privacy Commissioner did not take the step before the commencement day. The Information Commissioner may take the step in accordance with the provision to implement the decision on or after the commencement day.</v>
      </c>
      <c r="P40" s="6" t="str">
        <f>IF(ISNA(MATCH(31,'Transfer Engine'!$C$2:$C$1199,0)),"",HYPERLINK("#Acts!A"&amp;INDEX('Compliance Database'!$P$2:$P$1199,MATCH(31,'Transfer Engine'!$C$2:$C$1199,0)),"Go to Act"))</f>
        <v>Go to Act</v>
      </c>
    </row>
    <row r="41" spans="1:16" ht="172.95" customHeight="1" x14ac:dyDescent="0.3">
      <c r="A41" s="6" t="str">
        <f>IF(ISNA(MATCH(32,'Transfer Engine'!$C$2:$C$1199,0)),"",INDEX('Compliance Database'!$A$2:$A$1199,MATCH(32,'Transfer Engine'!$C$2:$C$1199,0)))</f>
        <v>Australia</v>
      </c>
      <c r="B41" s="6" t="str">
        <f>IF(ISNA(MATCH(32,'Transfer Engine'!$C$2:$C$1199,0)),"",INDEX('Compliance Database'!$B$2:$B$1199,MATCH(32,'Transfer Engine'!$C$2:$C$1199,0)))</f>
        <v>C2012C00866 (Australia - Row 12)</v>
      </c>
      <c r="C41" s="6" t="str">
        <f>IF(ISNA(MATCH(32,'Transfer Engine'!$C$2:$C$1199,0)),"",INDEX('Compliance Database'!$C$2:$C$1199,MATCH(32,'Transfer Engine'!$C$2:$C$1199,0)))</f>
        <v>2010 (part 6)</v>
      </c>
      <c r="D41" s="7" t="str">
        <f>IF(ISNA(MATCH(32,'Transfer Engine'!$C$2:$C$1199,0)),"",INDEX('Compliance Database'!$D$2:$D$1199,MATCH(32,'Transfer Engine'!$C$2:$C$1199,0)))</f>
        <v>Transition of Privacy Commissioner's pending proceedings to Information Commissioner</v>
      </c>
      <c r="E41" s="6" t="str">
        <f>IF(ISNA(MATCH(32,'Transfer Engine'!$C$2:$C$1199,0)),"",INDEX('Compliance Database'!$E$2:$E$1199,MATCH(32,'Transfer Engine'!$C$2:$C$1199,0)))</f>
        <v>169–176</v>
      </c>
      <c r="F41" s="6" t="str">
        <f>IF(ISNA(MATCH(32,'Transfer Engine'!$C$2:$C$1199,0)),"",INDEX('Compliance Database'!$F$2:$F$1199,MATCH(32,'Transfer Engine'!$C$2:$C$1199,0)))</f>
        <v>Low</v>
      </c>
      <c r="G41" s="6" t="str">
        <f>IF(ISNA(MATCH(32,'Transfer Engine'!$C$2:$C$1199,0)),"",INDEX('Compliance Database'!$G$2:$G$1199,MATCH(32,'Transfer Engine'!$C$2:$C$1199,0)))</f>
        <v>High (explicit)</v>
      </c>
      <c r="H41" s="7">
        <f>IF(ISNA(MATCH(32,'Transfer Engine'!$C$2:$C$1199,0)),"",INDEX('Compliance Database'!$H$2:$H$1199,MATCH(32,'Transfer Engine'!$C$2:$C$1199,0)))</f>
        <v>0</v>
      </c>
      <c r="I41" s="7">
        <f>IF(ISNA(MATCH(32,'Transfer Engine'!$C$2:$C$1199,0)),"",INDEX('Compliance Database'!$I$2:$I$1199,MATCH(32,'Transfer Engine'!$C$2:$C$1199,0)))</f>
        <v>0</v>
      </c>
      <c r="J41" s="6" t="str">
        <f>IF(ISNA(MATCH(32,'Transfer Engine'!$C$2:$C$1199,0)),"",INDEX('Compliance Database'!$J$2:$J$1199,MATCH(32,'Transfer Engine'!$C$2:$C$1199,0)))</f>
        <v>Information Commissioner</v>
      </c>
      <c r="K41" s="7" t="str">
        <f>IF(ISNA(MATCH(32,'Transfer Engine'!$C$2:$C$1199,0)),"",INDEX('Compliance Database'!$K$2:$K$1199,MATCH(32,'Transfer Engine'!$C$2:$C$1199,0)))</f>
        <v>This section mandates that any pending court or tribunal proceedings where the Privacy Commissioner was a party before the commencement date automatically substitute the Information Commissioner as the party from the commencement date onward. It also outlines specific scenarios where the Information Commissioner may continue or complete actions initiated by the Privacy Commissioner under the Privacy Act 1988, such as reviews, examinations, conciliation processes, and conferences, without interruption to the legal process.</v>
      </c>
      <c r="L41" s="7" t="str">
        <f>IF(ISNA(MATCH(32,'Transfer Engine'!$C$2:$C$1199,0)),"",INDEX('Compliance Database'!$L$2:$L$1199,MATCH(32,'Transfer Engine'!$C$2:$C$1199,0)))</f>
        <v>This section ensures continuity of legal proceedings involving the Privacy Commissioner by transitioning responsibilities to the Information Commissioner, which is relevant for DTIAs when assessing the impact of regulatory transitions on cross-border data handling in legal contexts.</v>
      </c>
      <c r="M41" s="7" t="str">
        <f>IF(ISNA(MATCH(32,'Transfer Engine'!$C$2:$C$1199,0)),"",INDEX('Compliance Database'!$M$2:$M$1199,MATCH(32,'Transfer Engine'!$C$2:$C$1199,0)))</f>
        <v>• [Must] The Information Commissioner substitutes for the Privacy Commissioner as a party to pending proceedings on and after the commencement day.
• [May] The Information Commissioner may complete reviews, examinations, conciliation processes, research, or record examinations initiated by the Privacy Commissioner before the commencement day.</v>
      </c>
      <c r="N41" s="7" t="str">
        <f>IF(ISNA(MATCH(32,'Transfer Engine'!$C$2:$C$1199,0)),"",INDEX('Compliance Database'!$N$2:$N$1199,MATCH(32,'Transfer Engine'!$C$2:$C$1199,0)))</f>
        <v>• [May] The Information Commissioner may hold conferences convened by the Privacy Commissioner before the commencement day but not held.
• [May] The Information Commissioner may make determinations in relation to matters raised at conferences held by the Privacy Commissioner before the commencement day.</v>
      </c>
      <c r="O41" s="7" t="str">
        <f>IF(ISNA(MATCH(32,'Transfer Engine'!$C$2:$C$1199,0)),"",INDEX('Compliance Database'!$O$2:$O$1199,MATCH(32,'Transfer Engine'!$C$2:$C$1199,0)))</f>
        <v>If any proceedings to which the Privacy Commissioner was a party were pending in any court or tribunal immediately before the commencement day, the Information Commissioner is substituted for the Privacy Commissioner as a party to the proceedings on and after the commencement day.</v>
      </c>
      <c r="P41" s="6" t="str">
        <f>IF(ISNA(MATCH(32,'Transfer Engine'!$C$2:$C$1199,0)),"",HYPERLINK("#Acts!A"&amp;INDEX('Compliance Database'!$P$2:$P$1199,MATCH(32,'Transfer Engine'!$C$2:$C$1199,0)),"Go to Act"))</f>
        <v>Go to Act</v>
      </c>
    </row>
    <row r="42" spans="1:16" ht="172.95" customHeight="1" x14ac:dyDescent="0.3">
      <c r="A42" s="6" t="str">
        <f>IF(ISNA(MATCH(33,'Transfer Engine'!$C$2:$C$1199,0)),"",INDEX('Compliance Database'!$A$2:$A$1199,MATCH(33,'Transfer Engine'!$C$2:$C$1199,0)))</f>
        <v>Australia</v>
      </c>
      <c r="B42" s="6" t="str">
        <f>IF(ISNA(MATCH(33,'Transfer Engine'!$C$2:$C$1199,0)),"",INDEX('Compliance Database'!$B$2:$B$1199,MATCH(33,'Transfer Engine'!$C$2:$C$1199,0)))</f>
        <v>C2016C00614 (Australia - Row 23)</v>
      </c>
      <c r="C42" s="6" t="str">
        <f>IF(ISNA(MATCH(33,'Transfer Engine'!$C$2:$C$1199,0)),"",INDEX('Compliance Database'!$C$2:$C$1199,MATCH(33,'Transfer Engine'!$C$2:$C$1199,0)))</f>
        <v>3</v>
      </c>
      <c r="D42" s="7" t="str">
        <f>IF(ISNA(MATCH(33,'Transfer Engine'!$C$2:$C$1199,0)),"",INDEX('Compliance Database'!$D$2:$D$1199,MATCH(33,'Transfer Engine'!$C$2:$C$1199,0)))</f>
        <v>Users authorized to consent on behalf of account holders</v>
      </c>
      <c r="E42" s="6" t="str">
        <f>IF(ISNA(MATCH(33,'Transfer Engine'!$C$2:$C$1199,0)),"",INDEX('Compliance Database'!$E$2:$E$1199,MATCH(33,'Transfer Engine'!$C$2:$C$1199,0)))</f>
        <v>5</v>
      </c>
      <c r="F42" s="6" t="str">
        <f>IF(ISNA(MATCH(33,'Transfer Engine'!$C$2:$C$1199,0)),"",INDEX('Compliance Database'!$F$2:$F$1199,MATCH(33,'Transfer Engine'!$C$2:$C$1199,0)))</f>
        <v>Medium</v>
      </c>
      <c r="G42" s="6" t="str">
        <f>IF(ISNA(MATCH(33,'Transfer Engine'!$C$2:$C$1199,0)),"",INDEX('Compliance Database'!$G$2:$G$1199,MATCH(33,'Transfer Engine'!$C$2:$C$1199,0)))</f>
        <v>High (explicit)</v>
      </c>
      <c r="H42" s="7" t="str">
        <f>IF(ISNA(MATCH(33,'Transfer Engine'!$C$2:$C$1199,0)),"",INDEX('Compliance Database'!$H$2:$H$1199,MATCH(33,'Transfer Engine'!$C$2:$C$1199,0)))</f>
        <v>Consent</v>
      </c>
      <c r="I42" s="7" t="str">
        <f>IF(ISNA(MATCH(33,'Transfer Engine'!$C$2:$C$1199,0)),"",INDEX('Compliance Database'!$I$2:$I$1199,MATCH(33,'Transfer Engine'!$C$2:$C$1199,0)))</f>
        <v>Customer Data</v>
      </c>
      <c r="J42" s="6">
        <f>IF(ISNA(MATCH(33,'Transfer Engine'!$C$2:$C$1199,0)),"",INDEX('Compliance Database'!$J$2:$J$1199,MATCH(33,'Transfer Engine'!$C$2:$C$1199,0)))</f>
        <v>0</v>
      </c>
      <c r="K42" s="7" t="str">
        <f>IF(ISNA(MATCH(33,'Transfer Engine'!$C$2:$C$1199,0)),"",INDEX('Compliance Database'!$K$2:$K$1199,MATCH(33,'Transfer Engine'!$C$2:$C$1199,0)))</f>
        <v>This section establishes that individuals authorized to consent on behalf of relevant account holders can act as their representatives for consent purposes. The authorization must be specific to the account type and must not be a general delegation. This applies to account holders who are unable to consent directly themselves.</v>
      </c>
      <c r="L42" s="7" t="str">
        <f>IF(ISNA(MATCH(33,'Transfer Engine'!$C$2:$C$1199,0)),"",INDEX('Compliance Database'!$L$2:$L$1199,MATCH(33,'Transfer Engine'!$C$2:$C$1199,0)))</f>
        <v>This section clarifies who can legally consent on behalf of account holders, which is relevant for determining consent validity in cross-border data transfers involving account-related information.</v>
      </c>
      <c r="M42" s="7" t="str">
        <f>IF(ISNA(MATCH(33,'Transfer Engine'!$C$2:$C$1199,0)),"",INDEX('Compliance Database'!$M$2:$M$1199,MATCH(33,'Transfer Engine'!$C$2:$C$1199,0)))</f>
        <v>• [Must] Users of account authorised to consent on behalf of relevant</v>
      </c>
      <c r="N42" s="7">
        <f>IF(ISNA(MATCH(33,'Transfer Engine'!$C$2:$C$1199,0)),"",INDEX('Compliance Database'!$N$2:$N$1199,MATCH(33,'Transfer Engine'!$C$2:$C$1199,0)))</f>
        <v>0</v>
      </c>
      <c r="O42" s="7" t="str">
        <f>IF(ISNA(MATCH(33,'Transfer Engine'!$C$2:$C$1199,0)),"",INDEX('Compliance Database'!$O$2:$O$1199,MATCH(33,'Transfer Engine'!$C$2:$C$1199,0)))</f>
        <v>Users of account authorised to consent on behalf of relevant</v>
      </c>
      <c r="P42" s="6" t="str">
        <f>IF(ISNA(MATCH(33,'Transfer Engine'!$C$2:$C$1199,0)),"",HYPERLINK("#Acts!A"&amp;INDEX('Compliance Database'!$P$2:$P$1199,MATCH(33,'Transfer Engine'!$C$2:$C$1199,0)),"Go to Act"))</f>
        <v>Go to Act</v>
      </c>
    </row>
    <row r="43" spans="1:16" ht="172.95" customHeight="1" x14ac:dyDescent="0.3">
      <c r="A43" s="6" t="str">
        <f>IF(ISNA(MATCH(34,'Transfer Engine'!$C$2:$C$1199,0)),"",INDEX('Compliance Database'!$A$2:$A$1199,MATCH(34,'Transfer Engine'!$C$2:$C$1199,0)))</f>
        <v>Australia</v>
      </c>
      <c r="B43" s="6" t="str">
        <f>IF(ISNA(MATCH(34,'Transfer Engine'!$C$2:$C$1199,0)),"",INDEX('Compliance Database'!$B$2:$B$1199,MATCH(34,'Transfer Engine'!$C$2:$C$1199,0)))</f>
        <v>C2016C00614 (Australia - Row 23)</v>
      </c>
      <c r="C43" s="6" t="str">
        <f>IF(ISNA(MATCH(34,'Transfer Engine'!$C$2:$C$1199,0)),"",INDEX('Compliance Database'!$C$2:$C$1199,MATCH(34,'Transfer Engine'!$C$2:$C$1199,0)))</f>
        <v>14</v>
      </c>
      <c r="D43" s="7" t="str">
        <f>IF(ISNA(MATCH(34,'Transfer Engine'!$C$2:$C$1199,0)),"",INDEX('Compliance Database'!$D$2:$D$1199,MATCH(34,'Transfer Engine'!$C$2:$C$1199,0)))</f>
        <v>Effective date of the Act</v>
      </c>
      <c r="E43" s="6" t="str">
        <f>IF(ISNA(MATCH(34,'Transfer Engine'!$C$2:$C$1199,0)),"",INDEX('Compliance Database'!$E$2:$E$1199,MATCH(34,'Transfer Engine'!$C$2:$C$1199,0)))</f>
        <v>7–14</v>
      </c>
      <c r="F43" s="6" t="str">
        <f>IF(ISNA(MATCH(34,'Transfer Engine'!$C$2:$C$1199,0)),"",INDEX('Compliance Database'!$F$2:$F$1199,MATCH(34,'Transfer Engine'!$C$2:$C$1199,0)))</f>
        <v>None</v>
      </c>
      <c r="G43" s="6" t="str">
        <f>IF(ISNA(MATCH(34,'Transfer Engine'!$C$2:$C$1199,0)),"",INDEX('Compliance Database'!$G$2:$G$1199,MATCH(34,'Transfer Engine'!$C$2:$C$1199,0)))</f>
        <v>High (explicit)</v>
      </c>
      <c r="H43" s="7">
        <f>IF(ISNA(MATCH(34,'Transfer Engine'!$C$2:$C$1199,0)),"",INDEX('Compliance Database'!$H$2:$H$1199,MATCH(34,'Transfer Engine'!$C$2:$C$1199,0)))</f>
        <v>0</v>
      </c>
      <c r="I43" s="7">
        <f>IF(ISNA(MATCH(34,'Transfer Engine'!$C$2:$C$1199,0)),"",INDEX('Compliance Database'!$I$2:$I$1199,MATCH(34,'Transfer Engine'!$C$2:$C$1199,0)))</f>
        <v>0</v>
      </c>
      <c r="J43" s="6">
        <f>IF(ISNA(MATCH(34,'Transfer Engine'!$C$2:$C$1199,0)),"",INDEX('Compliance Database'!$J$2:$J$1199,MATCH(34,'Transfer Engine'!$C$2:$C$1199,0)))</f>
        <v>0</v>
      </c>
      <c r="K43" s="7" t="str">
        <f>IF(ISNA(MATCH(34,'Transfer Engine'!$C$2:$C$1199,0)),"",INDEX('Compliance Database'!$K$2:$K$1199,MATCH(34,'Transfer Engine'!$C$2:$C$1199,0)))</f>
        <v>This section specifies the effective dates for various provisions of the Act, including the day the Act receives Royal Assent and the 120-day period after that date. It details when different sections and schedules come into effect, with specific dates provided for the Act's commencement.</v>
      </c>
      <c r="L43" s="7">
        <f>IF(ISNA(MATCH(34,'Transfer Engine'!$C$2:$C$1199,0)),"",INDEX('Compliance Database'!$L$2:$L$1199,MATCH(34,'Transfer Engine'!$C$2:$C$1199,0)))</f>
        <v>0</v>
      </c>
      <c r="M43" s="7" t="str">
        <f>IF(ISNA(MATCH(34,'Transfer Engine'!$C$2:$C$1199,0)),"",INDEX('Compliance Database'!$M$2:$M$1199,MATCH(34,'Transfer Engine'!$C$2:$C$1199,0)))</f>
        <v>• [Must] The day on which this Act receives the Royal Assent. 12 December 2003</v>
      </c>
      <c r="N43" s="7" t="str">
        <f>IF(ISNA(MATCH(34,'Transfer Engine'!$C$2:$C$1199,0)),"",INDEX('Compliance Database'!$N$2:$N$1199,MATCH(34,'Transfer Engine'!$C$2:$C$1199,0)))</f>
        <v>• [Must] On the day after the end of the period of 120 days beginning on the day on which this Act receives the Royal Assent. 10 April 2004</v>
      </c>
      <c r="O43" s="7" t="str">
        <f>IF(ISNA(MATCH(34,'Transfer Engine'!$C$2:$C$1199,0)),"",INDEX('Compliance Database'!$O$2:$O$1199,MATCH(34,'Transfer Engine'!$C$2:$C$1199,0)))</f>
        <v>The day on which this Act receives the Royal Assent. 12 December 2003</v>
      </c>
      <c r="P43" s="6" t="str">
        <f>IF(ISNA(MATCH(34,'Transfer Engine'!$C$2:$C$1199,0)),"",HYPERLINK("#Acts!A"&amp;INDEX('Compliance Database'!$P$2:$P$1199,MATCH(34,'Transfer Engine'!$C$2:$C$1199,0)),"Go to Act"))</f>
        <v>Go to Act</v>
      </c>
    </row>
    <row r="44" spans="1:16" ht="172.95" customHeight="1" x14ac:dyDescent="0.3">
      <c r="A44" s="6" t="str">
        <f>IF(ISNA(MATCH(35,'Transfer Engine'!$C$2:$C$1199,0)),"",INDEX('Compliance Database'!$A$2:$A$1199,MATCH(35,'Transfer Engine'!$C$2:$C$1199,0)))</f>
        <v>Australia</v>
      </c>
      <c r="B44" s="6" t="str">
        <f>IF(ISNA(MATCH(35,'Transfer Engine'!$C$2:$C$1199,0)),"",INDEX('Compliance Database'!$B$2:$B$1199,MATCH(35,'Transfer Engine'!$C$2:$C$1199,0)))</f>
        <v>C2016C00614 (Australia - Row 23)</v>
      </c>
      <c r="C44" s="6" t="str">
        <f>IF(ISNA(MATCH(35,'Transfer Engine'!$C$2:$C$1199,0)),"",INDEX('Compliance Database'!$C$2:$C$1199,MATCH(35,'Transfer Engine'!$C$2:$C$1199,0)))</f>
        <v>25</v>
      </c>
      <c r="D44" s="7" t="str">
        <f>IF(ISNA(MATCH(35,'Transfer Engine'!$C$2:$C$1199,0)),"",INDEX('Compliance Database'!$D$2:$D$1199,MATCH(35,'Transfer Engine'!$C$2:$C$1199,0)))</f>
        <v>Civil penalties for contraventions of civil penalty provisions</v>
      </c>
      <c r="E44" s="6" t="str">
        <f>IF(ISNA(MATCH(35,'Transfer Engine'!$C$2:$C$1199,0)),"",INDEX('Compliance Database'!$E$2:$E$1199,MATCH(35,'Transfer Engine'!$C$2:$C$1199,0)))</f>
        <v>31–33</v>
      </c>
      <c r="F44" s="6" t="str">
        <f>IF(ISNA(MATCH(35,'Transfer Engine'!$C$2:$C$1199,0)),"",INDEX('Compliance Database'!$F$2:$F$1199,MATCH(35,'Transfer Engine'!$C$2:$C$1199,0)))</f>
        <v>High</v>
      </c>
      <c r="G44" s="6" t="str">
        <f>IF(ISNA(MATCH(35,'Transfer Engine'!$C$2:$C$1199,0)),"",INDEX('Compliance Database'!$G$2:$G$1199,MATCH(35,'Transfer Engine'!$C$2:$C$1199,0)))</f>
        <v>High (explicit)</v>
      </c>
      <c r="H44" s="7">
        <f>IF(ISNA(MATCH(35,'Transfer Engine'!$C$2:$C$1199,0)),"",INDEX('Compliance Database'!$H$2:$H$1199,MATCH(35,'Transfer Engine'!$C$2:$C$1199,0)))</f>
        <v>0</v>
      </c>
      <c r="I44" s="7" t="str">
        <f>IF(ISNA(MATCH(35,'Transfer Engine'!$C$2:$C$1199,0)),"",INDEX('Compliance Database'!$I$2:$I$1199,MATCH(35,'Transfer Engine'!$C$2:$C$1199,0)))</f>
        <v>Financial Data</v>
      </c>
      <c r="J44" s="6" t="str">
        <f>IF(ISNA(MATCH(35,'Transfer Engine'!$C$2:$C$1199,0)),"",INDEX('Compliance Database'!$J$2:$J$1199,MATCH(35,'Transfer Engine'!$C$2:$C$1199,0)))</f>
        <v>Federal Court</v>
      </c>
      <c r="K44" s="7" t="str">
        <f>IF(ISNA(MATCH(35,'Transfer Engine'!$C$2:$C$1199,0)),"",INDEX('Compliance Database'!$K$2:$K$1199,MATCH(35,'Transfer Engine'!$C$2:$C$1199,0)))</f>
        <v>Section 25(4) states that subsections (1) and (3) of the Spam Act 2003 are civil penalty provisions. These provisions establish pecuniary penalties payable for contraventions, with proceedings for recovery instituted in the Federal Court. The court may also order compensation to victims and payment to the Commonwealth for financial benefits attributable to contraventions.</v>
      </c>
      <c r="L44" s="7" t="str">
        <f>IF(ISNA(MATCH(35,'Transfer Engine'!$C$2:$C$1199,0)),"",INDEX('Compliance Database'!$L$2:$L$1199,MATCH(35,'Transfer Engine'!$C$2:$C$1199,0)))</f>
        <v>This section establishes the legal framework for civil penalties and compensation in cases of contraventions, relevant to DTIA assessments for financial institutions handling unsolicited commercial electronic messages.</v>
      </c>
      <c r="M44" s="7" t="str">
        <f>IF(ISNA(MATCH(35,'Transfer Engine'!$C$2:$C$1199,0)),"",INDEX('Compliance Database'!$M$2:$M$1199,MATCH(35,'Transfer Engine'!$C$2:$C$1199,0)))</f>
        <v>• [Must] Subsections (1) and (3) are civil penalty provisions
• [Must] Pecuniary penalties are payable for contraventions of civil penalty provisions
• [Must] Proceedings for recovery of penalties are to be instituted in the Federal Court</v>
      </c>
      <c r="N44" s="7" t="str">
        <f>IF(ISNA(MATCH(35,'Transfer Engine'!$C$2:$C$1199,0)),"",INDEX('Compliance Database'!$N$2:$N$1199,MATCH(35,'Transfer Engine'!$C$2:$C$1199,0)))</f>
        <v>• [Must] The Federal Court may direct payment of compensation to a victim of a contravention
• [Must] The Federal Court may direct payment to the Commonwealth of an amount up to financial benefits attributable to contraventions</v>
      </c>
      <c r="O44" s="7" t="str">
        <f>IF(ISNA(MATCH(35,'Transfer Engine'!$C$2:$C$1199,0)),"",INDEX('Compliance Database'!$O$2:$O$1199,MATCH(35,'Transfer Engine'!$C$2:$C$1199,0)))</f>
        <v>Subsections (1) and (3) are civil penalty provisions. Pecuniary penalties are payable for contraventions of civil penalty provisions. Proceedings for the recovery of penalties are to be instituted in the Federal Court. The Federal Court may make ancillary orders: (a) directing the payment of compensation to a victim of a contravention of a civil penalty provision; and (b) directing the payment to the Commonwealth of an amount up to the amount of any financial benefit that is attributable to a contravention of a civil penalty provision.</v>
      </c>
      <c r="P44" s="6" t="str">
        <f>IF(ISNA(MATCH(35,'Transfer Engine'!$C$2:$C$1199,0)),"",HYPERLINK("#Acts!A"&amp;INDEX('Compliance Database'!$P$2:$P$1199,MATCH(35,'Transfer Engine'!$C$2:$C$1199,0)),"Go to Act"))</f>
        <v>Go to Act</v>
      </c>
    </row>
    <row r="45" spans="1:16" ht="172.95" customHeight="1" x14ac:dyDescent="0.3">
      <c r="A45" s="6" t="str">
        <f>IF(ISNA(MATCH(36,'Transfer Engine'!$C$2:$C$1199,0)),"",INDEX('Compliance Database'!$A$2:$A$1199,MATCH(36,'Transfer Engine'!$C$2:$C$1199,0)))</f>
        <v>Australia</v>
      </c>
      <c r="B45" s="6" t="str">
        <f>IF(ISNA(MATCH(36,'Transfer Engine'!$C$2:$C$1199,0)),"",INDEX('Compliance Database'!$B$2:$B$1199,MATCH(36,'Transfer Engine'!$C$2:$C$1199,0)))</f>
        <v>C2016C00614 (Australia - Row 23)</v>
      </c>
      <c r="C45" s="6" t="str">
        <f>IF(ISNA(MATCH(36,'Transfer Engine'!$C$2:$C$1199,0)),"",INDEX('Compliance Database'!$C$2:$C$1199,MATCH(36,'Transfer Engine'!$C$2:$C$1199,0)))</f>
        <v>35</v>
      </c>
      <c r="D45" s="7" t="str">
        <f>IF(ISNA(MATCH(36,'Transfer Engine'!$C$2:$C$1199,0)),"",INDEX('Compliance Database'!$D$2:$D$1199,MATCH(36,'Transfer Engine'!$C$2:$C$1199,0)))</f>
        <v>Performance injunctions for non-compliance with obligations</v>
      </c>
      <c r="E45" s="6" t="str">
        <f>IF(ISNA(MATCH(36,'Transfer Engine'!$C$2:$C$1199,0)),"",INDEX('Compliance Database'!$E$2:$E$1199,MATCH(36,'Transfer Engine'!$C$2:$C$1199,0)))</f>
        <v>41–43</v>
      </c>
      <c r="F45" s="6" t="str">
        <f>IF(ISNA(MATCH(36,'Transfer Engine'!$C$2:$C$1199,0)),"",INDEX('Compliance Database'!$F$2:$F$1199,MATCH(36,'Transfer Engine'!$C$2:$C$1199,0)))</f>
        <v>Medium</v>
      </c>
      <c r="G45" s="6" t="str">
        <f>IF(ISNA(MATCH(36,'Transfer Engine'!$C$2:$C$1199,0)),"",INDEX('Compliance Database'!$G$2:$G$1199,MATCH(36,'Transfer Engine'!$C$2:$C$1199,0)))</f>
        <v>High (explicit)</v>
      </c>
      <c r="H45" s="7">
        <f>IF(ISNA(MATCH(36,'Transfer Engine'!$C$2:$C$1199,0)),"",INDEX('Compliance Database'!$H$2:$H$1199,MATCH(36,'Transfer Engine'!$C$2:$C$1199,0)))</f>
        <v>0</v>
      </c>
      <c r="I45" s="7" t="str">
        <f>IF(ISNA(MATCH(36,'Transfer Engine'!$C$2:$C$1199,0)),"",INDEX('Compliance Database'!$I$2:$I$1199,MATCH(36,'Transfer Engine'!$C$2:$C$1199,0)))</f>
        <v>Customer Data</v>
      </c>
      <c r="J45" s="6" t="str">
        <f>IF(ISNA(MATCH(36,'Transfer Engine'!$C$2:$C$1199,0)),"",INDEX('Compliance Database'!$J$2:$J$1199,MATCH(36,'Transfer Engine'!$C$2:$C$1199,0)))</f>
        <v>Federal Court</v>
      </c>
      <c r="K45" s="7" t="str">
        <f>IF(ISNA(MATCH(36,'Transfer Engine'!$C$2:$C$1199,0)),"",INDEX('Compliance Database'!$K$2:$K$1199,MATCH(36,'Transfer Engine'!$C$2:$C$1199,0)))</f>
        <v>Section 35(2) outlines conditions under which the Federal Court may grant performance injunctions. The court can exercise this power if a person has refused or failed to comply with an act or thing, or if it is likely they will refuse or fail to comply, even if they have previously refused or failed. The court may also consider imminent danger of substantial damage.</v>
      </c>
      <c r="L45" s="7" t="str">
        <f>IF(ISNA(MATCH(36,'Transfer Engine'!$C$2:$C$1199,0)),"",INDEX('Compliance Database'!$L$2:$L$1199,MATCH(36,'Transfer Engine'!$C$2:$C$1199,0)))</f>
        <v>This section details when performance injunctions can be granted, relevant for DTIA assessments involving third-party compliance with data transfer obligations.</v>
      </c>
      <c r="M45" s="7" t="str">
        <f>IF(ISNA(MATCH(36,'Transfer Engine'!$C$2:$C$1199,0)),"",INDEX('Compliance Database'!$M$2:$M$1199,MATCH(36,'Transfer Engine'!$C$2:$C$1199,0)))</f>
        <v>• [Must] The Federal Court may grant an injunction requiring a person to do an act or thing
• [Must] The court may exercise this power if the person has refused or failed to do that act or thing</v>
      </c>
      <c r="N45" s="7" t="str">
        <f>IF(ISNA(MATCH(36,'Transfer Engine'!$C$2:$C$1199,0)),"",INDEX('Compliance Database'!$N$2:$N$1199,MATCH(36,'Transfer Engine'!$C$2:$C$1199,0)))</f>
        <v>• [Must] The court may exercise this power if it appears likely the person will refuse or fail to do that act or thing</v>
      </c>
      <c r="O45" s="7" t="str">
        <f>IF(ISNA(MATCH(36,'Transfer Engine'!$C$2:$C$1199,0)),"",INDEX('Compliance Database'!$O$2:$O$1199,MATCH(36,'Transfer Engine'!$C$2:$C$1199,0)))</f>
        <v>The power of the Federal Court to grant an injunction requiring a person to do an act or thing may be exercised: (a) if the Court is satisfied that the person has refused or failed to do that act or thing—whether or not it appears to the Court that the person intends to refuse or fail again, or to continue to refuse or fail, to do that act or thing; or (b) if it appears to the Court that, if an injunction is not granted, it is likely that the person will refuse or fail to do that act or thing—whether or not the person has previously refused or failed to do that act or thing and whether or not there is an imminent danger of substantial damage to any person if the person refuses or fails to do that act or thing.</v>
      </c>
      <c r="P45" s="6" t="str">
        <f>IF(ISNA(MATCH(36,'Transfer Engine'!$C$2:$C$1199,0)),"",HYPERLINK("#Acts!A"&amp;INDEX('Compliance Database'!$P$2:$P$1199,MATCH(36,'Transfer Engine'!$C$2:$C$1199,0)),"Go to Act"))</f>
        <v>Go to Act</v>
      </c>
    </row>
    <row r="46" spans="1:16" ht="172.95" customHeight="1" x14ac:dyDescent="0.3">
      <c r="A46" s="6" t="str">
        <f>IF(ISNA(MATCH(37,'Transfer Engine'!$C$2:$C$1199,0)),"",INDEX('Compliance Database'!$A$2:$A$1199,MATCH(37,'Transfer Engine'!$C$2:$C$1199,0)))</f>
        <v>Australia</v>
      </c>
      <c r="B46" s="6" t="str">
        <f>IF(ISNA(MATCH(37,'Transfer Engine'!$C$2:$C$1199,0)),"",INDEX('Compliance Database'!$B$2:$B$1199,MATCH(37,'Transfer Engine'!$C$2:$C$1199,0)))</f>
        <v>C2016C00614 (Australia - Row 23)</v>
      </c>
      <c r="C46" s="6" t="str">
        <f>IF(ISNA(MATCH(37,'Transfer Engine'!$C$2:$C$1199,0)),"",INDEX('Compliance Database'!$C$2:$C$1199,MATCH(37,'Transfer Engine'!$C$2:$C$1199,0)))</f>
        <v>37</v>
      </c>
      <c r="D46" s="7" t="str">
        <f>IF(ISNA(MATCH(37,'Transfer Engine'!$C$2:$C$1199,0)),"",INDEX('Compliance Database'!$D$2:$D$1199,MATCH(37,'Transfer Engine'!$C$2:$C$1199,0)))</f>
        <v>Enforceable undertakings for commercial electronic messages</v>
      </c>
      <c r="E46" s="6" t="str">
        <f>IF(ISNA(MATCH(37,'Transfer Engine'!$C$2:$C$1199,0)),"",INDEX('Compliance Database'!$E$2:$E$1199,MATCH(37,'Transfer Engine'!$C$2:$C$1199,0)))</f>
        <v>43–45</v>
      </c>
      <c r="F46" s="6" t="str">
        <f>IF(ISNA(MATCH(37,'Transfer Engine'!$C$2:$C$1199,0)),"",INDEX('Compliance Database'!$F$2:$F$1199,MATCH(37,'Transfer Engine'!$C$2:$C$1199,0)))</f>
        <v>High</v>
      </c>
      <c r="G46" s="6" t="str">
        <f>IF(ISNA(MATCH(37,'Transfer Engine'!$C$2:$C$1199,0)),"",INDEX('Compliance Database'!$G$2:$G$1199,MATCH(37,'Transfer Engine'!$C$2:$C$1199,0)))</f>
        <v>High (explicit)</v>
      </c>
      <c r="H46" s="7">
        <f>IF(ISNA(MATCH(37,'Transfer Engine'!$C$2:$C$1199,0)),"",INDEX('Compliance Database'!$H$2:$H$1199,MATCH(37,'Transfer Engine'!$C$2:$C$1199,0)))</f>
        <v>0</v>
      </c>
      <c r="I46" s="7" t="str">
        <f>IF(ISNA(MATCH(37,'Transfer Engine'!$C$2:$C$1199,0)),"",INDEX('Compliance Database'!$I$2:$I$1199,MATCH(37,'Transfer Engine'!$C$2:$C$1199,0)))</f>
        <v>Customer Data</v>
      </c>
      <c r="J46" s="6" t="str">
        <f>IF(ISNA(MATCH(37,'Transfer Engine'!$C$2:$C$1199,0)),"",INDEX('Compliance Database'!$J$2:$J$1199,MATCH(37,'Transfer Engine'!$C$2:$C$1199,0)))</f>
        <v>ACMA</v>
      </c>
      <c r="K46" s="7" t="str">
        <f>IF(ISNA(MATCH(37,'Transfer Engine'!$C$2:$C$1199,0)),"",INDEX('Compliance Database'!$K$2:$K$1199,MATCH(37,'Transfer Engine'!$C$2:$C$1199,0)))</f>
        <v>Section 37 allows a person to give the ACMA an enforceable undertaking regarding commercial electronic messages or address-harvesting software. The ACMA may accept such undertakings, and the person may withdraw or vary them with consent. The ACMA can apply to the Federal Court for enforcement if a breach occurs.</v>
      </c>
      <c r="L46" s="7" t="str">
        <f>IF(ISNA(MATCH(37,'Transfer Engine'!$C$2:$C$1199,0)),"",INDEX('Compliance Database'!$L$2:$L$1199,MATCH(37,'Transfer Engine'!$C$2:$C$1199,0)))</f>
        <v>This section provides a mechanism for enforceable undertakings related to unsolicited commercial electronic messages, relevant for DTIA assessments involving third-party data transfers.</v>
      </c>
      <c r="M46" s="7" t="str">
        <f>IF(ISNA(MATCH(37,'Transfer Engine'!$C$2:$C$1199,0)),"",INDEX('Compliance Database'!$M$2:$M$1199,MATCH(37,'Transfer Engine'!$C$2:$C$1199,0)))</f>
        <v>• [May] A person may give the ACMA an enforceable undertaking in connection with commercial electronic messages or address-harvesting software
• [May] The ACMA may accept a written undertaking for the purposes of this section</v>
      </c>
      <c r="N46" s="7" t="str">
        <f>IF(ISNA(MATCH(37,'Transfer Engine'!$C$2:$C$1199,0)),"",INDEX('Compliance Database'!$N$2:$N$1199,MATCH(37,'Transfer Engine'!$C$2:$C$1199,0)))</f>
        <v>• [May] The person may withdraw or vary the undertaking at any time with ACMA consent</v>
      </c>
      <c r="O46" s="7" t="str">
        <f>IF(ISNA(MATCH(37,'Transfer Engine'!$C$2:$C$1199,0)),"",INDEX('Compliance Database'!$O$2:$O$1199,MATCH(37,'Transfer Engine'!$C$2:$C$1199,0)))</f>
        <v>A person may give the ACMA an enforceable undertaking in connection with a matter relating to: (a) commercial electronic messages; or (b) address-harvesting software.</v>
      </c>
      <c r="P46" s="6" t="str">
        <f>IF(ISNA(MATCH(37,'Transfer Engine'!$C$2:$C$1199,0)),"",HYPERLINK("#Acts!A"&amp;INDEX('Compliance Database'!$P$2:$P$1199,MATCH(37,'Transfer Engine'!$C$2:$C$1199,0)),"Go to Act"))</f>
        <v>Go to Act</v>
      </c>
    </row>
    <row r="47" spans="1:16" ht="172.95" customHeight="1" x14ac:dyDescent="0.3">
      <c r="A47" s="6" t="str">
        <f>IF(ISNA(MATCH(38,'Transfer Engine'!$C$2:$C$1199,0)),"",INDEX('Compliance Database'!$A$2:$A$1199,MATCH(38,'Transfer Engine'!$C$2:$C$1199,0)))</f>
        <v>Australia</v>
      </c>
      <c r="B47" s="6" t="str">
        <f>IF(ISNA(MATCH(38,'Transfer Engine'!$C$2:$C$1199,0)),"",INDEX('Compliance Database'!$B$2:$B$1199,MATCH(38,'Transfer Engine'!$C$2:$C$1199,0)))</f>
        <v>C2016C00614 (Australia - Row 23)</v>
      </c>
      <c r="C47" s="6" t="str">
        <f>IF(ISNA(MATCH(38,'Transfer Engine'!$C$2:$C$1199,0)),"",INDEX('Compliance Database'!$C$2:$C$1199,MATCH(38,'Transfer Engine'!$C$2:$C$1199,0)))</f>
        <v>41</v>
      </c>
      <c r="D47" s="7" t="str">
        <f>IF(ISNA(MATCH(38,'Transfer Engine'!$C$2:$C$1199,0)),"",INDEX('Compliance Database'!$D$2:$D$1199,MATCH(38,'Transfer Engine'!$C$2:$C$1199,0)))</f>
        <v>Formal warnings for civil penalty contraventions</v>
      </c>
      <c r="E47" s="6" t="str">
        <f>IF(ISNA(MATCH(38,'Transfer Engine'!$C$2:$C$1199,0)),"",INDEX('Compliance Database'!$E$2:$E$1199,MATCH(38,'Transfer Engine'!$C$2:$C$1199,0)))</f>
        <v>47–49</v>
      </c>
      <c r="F47" s="6" t="str">
        <f>IF(ISNA(MATCH(38,'Transfer Engine'!$C$2:$C$1199,0)),"",INDEX('Compliance Database'!$F$2:$F$1199,MATCH(38,'Transfer Engine'!$C$2:$C$1199,0)))</f>
        <v>High</v>
      </c>
      <c r="G47" s="6" t="str">
        <f>IF(ISNA(MATCH(38,'Transfer Engine'!$C$2:$C$1199,0)),"",INDEX('Compliance Database'!$G$2:$G$1199,MATCH(38,'Transfer Engine'!$C$2:$C$1199,0)))</f>
        <v>High (explicit)</v>
      </c>
      <c r="H47" s="7">
        <f>IF(ISNA(MATCH(38,'Transfer Engine'!$C$2:$C$1199,0)),"",INDEX('Compliance Database'!$H$2:$H$1199,MATCH(38,'Transfer Engine'!$C$2:$C$1199,0)))</f>
        <v>0</v>
      </c>
      <c r="I47" s="7" t="str">
        <f>IF(ISNA(MATCH(38,'Transfer Engine'!$C$2:$C$1199,0)),"",INDEX('Compliance Database'!$I$2:$I$1199,MATCH(38,'Transfer Engine'!$C$2:$C$1199,0)))</f>
        <v>Customer Data</v>
      </c>
      <c r="J47" s="6" t="str">
        <f>IF(ISNA(MATCH(38,'Transfer Engine'!$C$2:$C$1199,0)),"",INDEX('Compliance Database'!$J$2:$J$1199,MATCH(38,'Transfer Engine'!$C$2:$C$1199,0)))</f>
        <v>ACMA</v>
      </c>
      <c r="K47" s="7" t="str">
        <f>IF(ISNA(MATCH(38,'Transfer Engine'!$C$2:$C$1199,0)),"",INDEX('Compliance Database'!$K$2:$K$1199,MATCH(38,'Transfer Engine'!$C$2:$C$1199,0)))</f>
        <v>Section 41 authorizes the ACMA to issue formal warnings when a person contravenes a civil penalty provision. This mechanism serves as a warning and potential enforcement step for non-compliance with the Spam Act 2003.</v>
      </c>
      <c r="L47" s="7" t="str">
        <f>IF(ISNA(MATCH(38,'Transfer Engine'!$C$2:$C$1199,0)),"",INDEX('Compliance Database'!$L$2:$L$1199,MATCH(38,'Transfer Engine'!$C$2:$C$1199,0)))</f>
        <v>This section enables formal warnings for contraventions, relevant for DTIA assessments when handling unsolicited commercial electronic messages.</v>
      </c>
      <c r="M47" s="7" t="str">
        <f>IF(ISNA(MATCH(38,'Transfer Engine'!$C$2:$C$1199,0)),"",INDEX('Compliance Database'!$M$2:$M$1199,MATCH(38,'Transfer Engine'!$C$2:$C$1199,0)))</f>
        <v>• [May] The ACMA may issue a formal warning if a person contravenes a civil penalty provision</v>
      </c>
      <c r="N47" s="7">
        <f>IF(ISNA(MATCH(38,'Transfer Engine'!$C$2:$C$1199,0)),"",INDEX('Compliance Database'!$N$2:$N$1199,MATCH(38,'Transfer Engine'!$C$2:$C$1199,0)))</f>
        <v>0</v>
      </c>
      <c r="O47" s="7" t="str">
        <f>IF(ISNA(MATCH(38,'Transfer Engine'!$C$2:$C$1199,0)),"",INDEX('Compliance Database'!$O$2:$O$1199,MATCH(38,'Transfer Engine'!$C$2:$C$1199,0)))</f>
        <v>The ACMA may issue a formal warning if a person contravenes a civil penalty provision.</v>
      </c>
      <c r="P47" s="6" t="str">
        <f>IF(ISNA(MATCH(38,'Transfer Engine'!$C$2:$C$1199,0)),"",HYPERLINK("#Acts!A"&amp;INDEX('Compliance Database'!$P$2:$P$1199,MATCH(38,'Transfer Engine'!$C$2:$C$1199,0)),"Go to Act"))</f>
        <v>Go to Act</v>
      </c>
    </row>
    <row r="48" spans="1:16" ht="172.95" customHeight="1" x14ac:dyDescent="0.3">
      <c r="A48" s="6" t="str">
        <f>IF(ISNA(MATCH(39,'Transfer Engine'!$C$2:$C$1199,0)),"",INDEX('Compliance Database'!$A$2:$A$1199,MATCH(39,'Transfer Engine'!$C$2:$C$1199,0)))</f>
        <v>Australia</v>
      </c>
      <c r="B48" s="6" t="str">
        <f>IF(ISNA(MATCH(39,'Transfer Engine'!$C$2:$C$1199,0)),"",INDEX('Compliance Database'!$B$2:$B$1199,MATCH(39,'Transfer Engine'!$C$2:$C$1199,0)))</f>
        <v>C2016C00614 (Australia - Row 23)</v>
      </c>
      <c r="C48" s="6" t="str">
        <f>IF(ISNA(MATCH(39,'Transfer Engine'!$C$2:$C$1199,0)),"",INDEX('Compliance Database'!$C$2:$C$1199,MATCH(39,'Transfer Engine'!$C$2:$C$1199,0)))</f>
        <v>43</v>
      </c>
      <c r="D48" s="7" t="str">
        <f>IF(ISNA(MATCH(39,'Transfer Engine'!$C$2:$C$1199,0)),"",INDEX('Compliance Database'!$D$2:$D$1199,MATCH(39,'Transfer Engine'!$C$2:$C$1199,0)))</f>
        <v>Designated commercial electronic messages</v>
      </c>
      <c r="E48" s="6" t="str">
        <f>IF(ISNA(MATCH(39,'Transfer Engine'!$C$2:$C$1199,0)),"",INDEX('Compliance Database'!$E$2:$E$1199,MATCH(39,'Transfer Engine'!$C$2:$C$1199,0)))</f>
        <v>49–51</v>
      </c>
      <c r="F48" s="6" t="str">
        <f>IF(ISNA(MATCH(39,'Transfer Engine'!$C$2:$C$1199,0)),"",INDEX('Compliance Database'!$F$2:$F$1199,MATCH(39,'Transfer Engine'!$C$2:$C$1199,0)))</f>
        <v>High</v>
      </c>
      <c r="G48" s="6" t="str">
        <f>IF(ISNA(MATCH(39,'Transfer Engine'!$C$2:$C$1199,0)),"",INDEX('Compliance Database'!$G$2:$G$1199,MATCH(39,'Transfer Engine'!$C$2:$C$1199,0)))</f>
        <v>High (explicit)</v>
      </c>
      <c r="H48" s="7" t="str">
        <f>IF(ISNA(MATCH(39,'Transfer Engine'!$C$2:$C$1199,0)),"",INDEX('Compliance Database'!$H$2:$H$1199,MATCH(39,'Transfer Engine'!$C$2:$C$1199,0)))</f>
        <v>Consent</v>
      </c>
      <c r="I48" s="7" t="str">
        <f>IF(ISNA(MATCH(39,'Transfer Engine'!$C$2:$C$1199,0)),"",INDEX('Compliance Database'!$I$2:$I$1199,MATCH(39,'Transfer Engine'!$C$2:$C$1199,0)))</f>
        <v>Customer Data</v>
      </c>
      <c r="J48" s="6" t="str">
        <f>IF(ISNA(MATCH(39,'Transfer Engine'!$C$2:$C$1199,0)),"",INDEX('Compliance Database'!$J$2:$J$1199,MATCH(39,'Transfer Engine'!$C$2:$C$1199,0)))</f>
        <v>ACMA</v>
      </c>
      <c r="K48" s="7" t="str">
        <f>IF(ISNA(MATCH(39,'Transfer Engine'!$C$2:$C$1199,0)),"",INDEX('Compliance Database'!$K$2:$K$1199,MATCH(39,'Transfer Engine'!$C$2:$C$1199,0)))</f>
        <v>Section 43 defines when an electronic message is a designated commercial electronic message. This includes messages authorized by government bodies, political parties, charities, educational institutions, and specific conditions related to the recipient's enrollment status and the message's relevance to goods or services.</v>
      </c>
      <c r="L48" s="7" t="str">
        <f>IF(ISNA(MATCH(39,'Transfer Engine'!$C$2:$C$1199,0)),"",INDEX('Compliance Database'!$L$2:$L$1199,MATCH(39,'Transfer Engine'!$C$2:$C$1199,0)))</f>
        <v>This section specifies conditions for designated commercial electronic messages, relevant for DTIA assessments involving third-party data transfers and compliance with consent requirements.</v>
      </c>
      <c r="M48" s="7" t="str">
        <f>IF(ISNA(MATCH(39,'Transfer Engine'!$C$2:$C$1199,0)),"",INDEX('Compliance Database'!$M$2:$M$1199,MATCH(39,'Transfer Engine'!$C$2:$C$1199,0)))</f>
        <v>• [Must] An electronic message is a designated commercial electronic message if the sending is authorized by a government body, registered political party, or registered charity
• [Must] The message relates to goods or services</v>
      </c>
      <c r="N48" s="7" t="str">
        <f>IF(ISNA(MATCH(39,'Transfer Engine'!$C$2:$C$1199,0)),"",INDEX('Compliance Database'!$N$2:$N$1199,MATCH(39,'Transfer Engine'!$C$2:$C$1199,0)))</f>
        <v>• [Must] The body is the supplier or prospective supplier of the goods or services</v>
      </c>
      <c r="O48" s="7" t="str">
        <f>IF(ISNA(MATCH(39,'Transfer Engine'!$C$2:$C$1199,0)),"",INDEX('Compliance Database'!$O$2:$O$1199,MATCH(39,'Transfer Engine'!$C$2:$C$1199,0)))</f>
        <v>For the purposes of this Act, an electronic message is a designated commercial electronic message if: (a) the sending of the message is authorised by any of the following bodies: (i) a government body; (ii) a registered political party; (iii) a registered charity; and (b) the message relates to goods or services; and (c) the body is the supplier, or prospective supplier, of the goods or services concerned.</v>
      </c>
      <c r="P48" s="6" t="str">
        <f>IF(ISNA(MATCH(39,'Transfer Engine'!$C$2:$C$1199,0)),"",HYPERLINK("#Acts!A"&amp;INDEX('Compliance Database'!$P$2:$P$1199,MATCH(39,'Transfer Engine'!$C$2:$C$1199,0)),"Go to Act"))</f>
        <v>Go to Act</v>
      </c>
    </row>
    <row r="49" spans="1:16" ht="172.95" customHeight="1" x14ac:dyDescent="0.3">
      <c r="A49" s="6" t="str">
        <f>IF(ISNA(MATCH(40,'Transfer Engine'!$C$2:$C$1199,0)),"",INDEX('Compliance Database'!$A$2:$A$1199,MATCH(40,'Transfer Engine'!$C$2:$C$1199,0)))</f>
        <v>Australia</v>
      </c>
      <c r="B49" s="6" t="str">
        <f>IF(ISNA(MATCH(40,'Transfer Engine'!$C$2:$C$1199,0)),"",INDEX('Compliance Database'!$B$2:$B$1199,MATCH(40,'Transfer Engine'!$C$2:$C$1199,0)))</f>
        <v>C2016C00614 (Australia - Row 23)</v>
      </c>
      <c r="C49" s="6" t="str">
        <f>IF(ISNA(MATCH(40,'Transfer Engine'!$C$2:$C$1199,0)),"",INDEX('Compliance Database'!$C$2:$C$1199,MATCH(40,'Transfer Engine'!$C$2:$C$1199,0)))</f>
        <v>47</v>
      </c>
      <c r="D49" s="7" t="str">
        <f>IF(ISNA(MATCH(40,'Transfer Engine'!$C$2:$C$1199,0)),"",INDEX('Compliance Database'!$D$2:$D$1199,MATCH(40,'Transfer Engine'!$C$2:$C$1199,0)))</f>
        <v>Infringement notices for civil penalty contraventions</v>
      </c>
      <c r="E49" s="6" t="str">
        <f>IF(ISNA(MATCH(40,'Transfer Engine'!$C$2:$C$1199,0)),"",INDEX('Compliance Database'!$E$2:$E$1199,MATCH(40,'Transfer Engine'!$C$2:$C$1199,0)))</f>
        <v>53–55</v>
      </c>
      <c r="F49" s="6" t="str">
        <f>IF(ISNA(MATCH(40,'Transfer Engine'!$C$2:$C$1199,0)),"",INDEX('Compliance Database'!$F$2:$F$1199,MATCH(40,'Transfer Engine'!$C$2:$C$1199,0)))</f>
        <v>Medium</v>
      </c>
      <c r="G49" s="6" t="str">
        <f>IF(ISNA(MATCH(40,'Transfer Engine'!$C$2:$C$1199,0)),"",INDEX('Compliance Database'!$G$2:$G$1199,MATCH(40,'Transfer Engine'!$C$2:$C$1199,0)))</f>
        <v>High (explicit)</v>
      </c>
      <c r="H49" s="7">
        <f>IF(ISNA(MATCH(40,'Transfer Engine'!$C$2:$C$1199,0)),"",INDEX('Compliance Database'!$H$2:$H$1199,MATCH(40,'Transfer Engine'!$C$2:$C$1199,0)))</f>
        <v>0</v>
      </c>
      <c r="I49" s="7" t="str">
        <f>IF(ISNA(MATCH(40,'Transfer Engine'!$C$2:$C$1199,0)),"",INDEX('Compliance Database'!$I$2:$I$1199,MATCH(40,'Transfer Engine'!$C$2:$C$1199,0)))</f>
        <v>Personal Information</v>
      </c>
      <c r="J49" s="6" t="str">
        <f>IF(ISNA(MATCH(40,'Transfer Engine'!$C$2:$C$1199,0)),"",INDEX('Compliance Database'!$J$2:$J$1199,MATCH(40,'Transfer Engine'!$C$2:$C$1199,0)))</f>
        <v>ACMA</v>
      </c>
      <c r="K49" s="7" t="str">
        <f>IF(ISNA(MATCH(40,'Transfer Engine'!$C$2:$C$1199,0)),"",INDEX('Compliance Database'!$K$2:$K$1199,MATCH(40,'Transfer Engine'!$C$2:$C$1199,0)))</f>
        <v>This Schedule establishes a system for issuing infringement notices as an alternative to Federal Court proceedings for civil penalty contraventions. An authorised ACMA person may issue an infringement notice if they have reasonable grounds to believe a person committed one or more contraventions within the past 12 months. The notice must include the recipient's name, the authorised person's name, brief details of the alleged contraventions, a payment deadline, payment instructions, and other specified matters.</v>
      </c>
      <c r="L49" s="7" t="str">
        <f>IF(ISNA(MATCH(40,'Transfer Engine'!$C$2:$C$1199,0)),"",INDEX('Compliance Database'!$L$2:$L$1199,MATCH(40,'Transfer Engine'!$C$2:$C$1199,0)))</f>
        <v>This section outlines the procedural requirements for issuing infringement notices, which could impact data transfer assessments if the notices involve cross-border data sharing or processing of personal information.</v>
      </c>
      <c r="M49" s="7" t="str">
        <f>IF(ISNA(MATCH(40,'Transfer Engine'!$C$2:$C$1199,0)),"",INDEX('Compliance Database'!$M$2:$M$1199,MATCH(40,'Transfer Engine'!$C$2:$C$1199,0)))</f>
        <v>• [Must] An authorised person may give an infringement notice if they have reasonable grounds to believe a person committed one or more contraventions of a civil penalty provision
• [Must] An infringement notice must be given within 12 months after the day on which the civil contraventions are alleged to have taken place
• [Must] An infringement notice must set out the name of the person to whom the notice is given
• [Must] An infringement notice must set out the name of the authorised person who gave the notice</v>
      </c>
      <c r="N49" s="7" t="str">
        <f>IF(ISNA(MATCH(40,'Transfer Engine'!$C$2:$C$1199,0)),"",INDEX('Compliance Database'!$N$2:$N$1199,MATCH(40,'Transfer Engine'!$C$2:$C$1199,0)))</f>
        <v>• [Must] An infringement notice must either set out brief details of each alleged civil contravention or be accompanied by data processing devices containing brief details
• [Must] An infringement notice must contain a statement that the matter will not be dealt with by the Federal Court if the penalty is paid within 28 days or a longer period allowed by ACMA
• [Must] An infringement notice must give an explanation of how payment of the penalty is to be made
• [Must] An infringement notice must include the date of the alleged contravention and the civil penalty provision allegedly contravened for each contravention</v>
      </c>
      <c r="O49" s="7" t="str">
        <f>IF(ISNA(MATCH(40,'Transfer Engine'!$C$2:$C$1199,0)),"",INDEX('Compliance Database'!$O$2:$O$1199,MATCH(40,'Transfer Engine'!$C$2:$C$1199,0)))</f>
        <v>The object of this Schedule is to set up a system of infringement notices for contraventions of civil penalty provisions as an alternative to the institution of proceedings in the Federal Court.</v>
      </c>
      <c r="P49" s="6" t="str">
        <f>IF(ISNA(MATCH(40,'Transfer Engine'!$C$2:$C$1199,0)),"",HYPERLINK("#Acts!A"&amp;INDEX('Compliance Database'!$P$2:$P$1199,MATCH(40,'Transfer Engine'!$C$2:$C$1199,0)),"Go to Act"))</f>
        <v>Go to Act</v>
      </c>
    </row>
    <row r="50" spans="1:16" ht="172.95" customHeight="1" x14ac:dyDescent="0.3">
      <c r="A50" s="6" t="str">
        <f>IF(ISNA(MATCH(41,'Transfer Engine'!$C$2:$C$1199,0)),"",INDEX('Compliance Database'!$A$2:$A$1199,MATCH(41,'Transfer Engine'!$C$2:$C$1199,0)))</f>
        <v>Australia</v>
      </c>
      <c r="B50" s="6" t="str">
        <f>IF(ISNA(MATCH(41,'Transfer Engine'!$C$2:$C$1199,0)),"",INDEX('Compliance Database'!$B$2:$B$1199,MATCH(41,'Transfer Engine'!$C$2:$C$1199,0)))</f>
        <v>C2026C00227 (Australia - Row 16)</v>
      </c>
      <c r="C50" s="6" t="str">
        <f>IF(ISNA(MATCH(41,'Transfer Engine'!$C$2:$C$1199,0)),"",INDEX('Compliance Database'!$C$2:$C$1199,MATCH(41,'Transfer Engine'!$C$2:$C$1199,0)))</f>
        <v>1</v>
      </c>
      <c r="D50" s="7" t="str">
        <f>IF(ISNA(MATCH(41,'Transfer Engine'!$C$2:$C$1199,0)),"",INDEX('Compliance Database'!$D$2:$D$1199,MATCH(41,'Transfer Engine'!$C$2:$C$1199,0)))</f>
        <v>Open and transparent management of personal information</v>
      </c>
      <c r="E50" s="6" t="str">
        <f>IF(ISNA(MATCH(41,'Transfer Engine'!$C$2:$C$1199,0)),"",INDEX('Compliance Database'!$E$2:$E$1199,MATCH(41,'Transfer Engine'!$C$2:$C$1199,0)))</f>
        <v>379–380</v>
      </c>
      <c r="F50" s="6" t="str">
        <f>IF(ISNA(MATCH(41,'Transfer Engine'!$C$2:$C$1199,0)),"",INDEX('Compliance Database'!$F$2:$F$1199,MATCH(41,'Transfer Engine'!$C$2:$C$1199,0)))</f>
        <v>Medium</v>
      </c>
      <c r="G50" s="6" t="str">
        <f>IF(ISNA(MATCH(41,'Transfer Engine'!$C$2:$C$1199,0)),"",INDEX('Compliance Database'!$G$2:$G$1199,MATCH(41,'Transfer Engine'!$C$2:$C$1199,0)))</f>
        <v>High (explicit)</v>
      </c>
      <c r="H50" s="7" t="str">
        <f>IF(ISNA(MATCH(41,'Transfer Engine'!$C$2:$C$1199,0)),"",INDEX('Compliance Database'!$H$2:$H$1199,MATCH(41,'Transfer Engine'!$C$2:$C$1199,0)))</f>
        <v>Data Sharing, Data Storage, Consent</v>
      </c>
      <c r="I50" s="7" t="str">
        <f>IF(ISNA(MATCH(41,'Transfer Engine'!$C$2:$C$1199,0)),"",INDEX('Compliance Database'!$I$2:$I$1199,MATCH(41,'Transfer Engine'!$C$2:$C$1199,0)))</f>
        <v>Personal Information</v>
      </c>
      <c r="J50" s="6">
        <f>IF(ISNA(MATCH(41,'Transfer Engine'!$C$2:$C$1199,0)),"",INDEX('Compliance Database'!$J$2:$J$1199,MATCH(41,'Transfer Engine'!$C$2:$C$1199,0)))</f>
        <v>0</v>
      </c>
      <c r="K50" s="7" t="str">
        <f>IF(ISNA(MATCH(41,'Transfer Engine'!$C$2:$C$1199,0)),"",INDEX('Compliance Database'!$K$2:$K$1199,MATCH(41,'Transfer Engine'!$C$2:$C$1199,0)))</f>
        <v>APP entities must implement practices to comply with Australian Privacy Principles and registered codes. They must also handle individual inquiries about compliance with these principles. The entity must maintain an up-to-date privacy policy that details collected information, collection methods, purposes, access rights, complaint procedures, overseas disclosure, and recipient countries.</v>
      </c>
      <c r="L50" s="7" t="str">
        <f>IF(ISNA(MATCH(41,'Transfer Engine'!$C$2:$C$1199,0)),"",INDEX('Compliance Database'!$L$2:$L$1199,MATCH(41,'Transfer Engine'!$C$2:$C$1199,0)))</f>
        <v>Requires clear documentation of data handling practices and individual access rights, critical for assessing transparency in cross-border data flows.</v>
      </c>
      <c r="M50" s="7" t="str">
        <f>IF(ISNA(MATCH(41,'Transfer Engine'!$C$2:$C$1199,0)),"",INDEX('Compliance Database'!$M$2:$M$1199,MATCH(41,'Transfer Engine'!$C$2:$C$1199,0)))</f>
        <v>• [Must] APP entities must take reasonable steps to implement practices ensuring compliance with Australian Privacy Principles and registered APP codes.
• [Must] APP entities must take reasonable steps to handle individual inquiries about compliance with Australian Privacy Principles or registered APP codes.
• [Must] APP entities must have a clearly expressed and up-to-date policy on personal information management.
• [Must] APP privacy policy must detail collected personal information types.
• [Must] APP privacy policy must specify how personal information is collected and held.
• [Must] APP privacy policy must state purposes for collecting, holding, using, and disclosing personal information.</v>
      </c>
      <c r="N50" s="7" t="str">
        <f>IF(ISNA(MATCH(41,'Transfer Engine'!$C$2:$C$1199,0)),"",INDEX('Compliance Database'!$N$2:$N$1199,MATCH(41,'Transfer Engine'!$C$2:$C$1199,0)))</f>
        <v>• [Must] APP privacy policy must outline individual access to and correction of personal information.
• [Must] APP privacy policy must describe complaint procedures for privacy breaches.
• [Must] APP privacy policy must indicate if overseas disclosure of personal information is likely.
• [Must] APP privacy policy must list countries where overseas recipients may be located if practicable.
• [Must] APP entities must make their privacy policy available in reasonable steps.
• [Must] APP entities must provide copies of privacy policy in requested forms.</v>
      </c>
      <c r="O50" s="7" t="str">
        <f>IF(ISNA(MATCH(41,'Transfer Engine'!$C$2:$C$1199,0)),"",INDEX('Compliance Database'!$O$2:$O$1199,MATCH(41,'Transfer Engine'!$C$2:$C$1199,0)))</f>
        <v>management of personal information
1.1 The object of this principle is to ensure that APP entities manage personal information in an open and transparent way. Compliance with the Australian Privacy Principles etc.</v>
      </c>
      <c r="P50" s="6" t="str">
        <f>IF(ISNA(MATCH(41,'Transfer Engine'!$C$2:$C$1199,0)),"",HYPERLINK("#Acts!A"&amp;INDEX('Compliance Database'!$P$2:$P$1199,MATCH(41,'Transfer Engine'!$C$2:$C$1199,0)),"Go to Act"))</f>
        <v>Go to Act</v>
      </c>
    </row>
    <row r="51" spans="1:16" ht="172.95" customHeight="1" x14ac:dyDescent="0.3">
      <c r="A51" s="6" t="str">
        <f>IF(ISNA(MATCH(42,'Transfer Engine'!$C$2:$C$1199,0)),"",INDEX('Compliance Database'!$A$2:$A$1199,MATCH(42,'Transfer Engine'!$C$2:$C$1199,0)))</f>
        <v>Australia</v>
      </c>
      <c r="B51" s="6" t="str">
        <f>IF(ISNA(MATCH(42,'Transfer Engine'!$C$2:$C$1199,0)),"",INDEX('Compliance Database'!$B$2:$B$1199,MATCH(42,'Transfer Engine'!$C$2:$C$1199,0)))</f>
        <v>C2026C00227 (Australia - Row 16)</v>
      </c>
      <c r="C51" s="6" t="str">
        <f>IF(ISNA(MATCH(42,'Transfer Engine'!$C$2:$C$1199,0)),"",INDEX('Compliance Database'!$C$2:$C$1199,MATCH(42,'Transfer Engine'!$C$2:$C$1199,0)))</f>
        <v>2</v>
      </c>
      <c r="D51" s="7" t="str">
        <f>IF(ISNA(MATCH(42,'Transfer Engine'!$C$2:$C$1199,0)),"",INDEX('Compliance Database'!$D$2:$D$1199,MATCH(42,'Transfer Engine'!$C$2:$C$1199,0)))</f>
        <v>Option for anonymity or pseudonymity in transactions</v>
      </c>
      <c r="E51" s="6" t="str">
        <f>IF(ISNA(MATCH(42,'Transfer Engine'!$C$2:$C$1199,0)),"",INDEX('Compliance Database'!$E$2:$E$1199,MATCH(42,'Transfer Engine'!$C$2:$C$1199,0)))</f>
        <v>380–382</v>
      </c>
      <c r="F51" s="6" t="str">
        <f>IF(ISNA(MATCH(42,'Transfer Engine'!$C$2:$C$1199,0)),"",INDEX('Compliance Database'!$F$2:$F$1199,MATCH(42,'Transfer Engine'!$C$2:$C$1199,0)))</f>
        <v>Low</v>
      </c>
      <c r="G51" s="6" t="str">
        <f>IF(ISNA(MATCH(42,'Transfer Engine'!$C$2:$C$1199,0)),"",INDEX('Compliance Database'!$G$2:$G$1199,MATCH(42,'Transfer Engine'!$C$2:$C$1199,0)))</f>
        <v>High (explicit)</v>
      </c>
      <c r="H51" s="7">
        <f>IF(ISNA(MATCH(42,'Transfer Engine'!$C$2:$C$1199,0)),"",INDEX('Compliance Database'!$H$2:$H$1199,MATCH(42,'Transfer Engine'!$C$2:$C$1199,0)))</f>
        <v>0</v>
      </c>
      <c r="I51" s="7" t="str">
        <f>IF(ISNA(MATCH(42,'Transfer Engine'!$C$2:$C$1199,0)),"",INDEX('Compliance Database'!$I$2:$I$1199,MATCH(42,'Transfer Engine'!$C$2:$C$1199,0)))</f>
        <v>Personal Information</v>
      </c>
      <c r="J51" s="6">
        <f>IF(ISNA(MATCH(42,'Transfer Engine'!$C$2:$C$1199,0)),"",INDEX('Compliance Database'!$J$2:$J$1199,MATCH(42,'Transfer Engine'!$C$2:$C$1199,0)))</f>
        <v>0</v>
      </c>
      <c r="K51" s="7" t="str">
        <f>IF(ISNA(MATCH(42,'Transfer Engine'!$C$2:$C$1199,0)),"",INDEX('Compliance Database'!$K$2:$K$1199,MATCH(42,'Transfer Engine'!$C$2:$C$1199,0)))</f>
        <v>Individuals must have the option to remain anonymous or use a pseudonym when interacting with APP entities. This does not apply if the entity is legally required to deal with identified individuals or if it is impracticable to handle anonymous individuals.</v>
      </c>
      <c r="L51" s="7" t="str">
        <f>IF(ISNA(MATCH(42,'Transfer Engine'!$C$2:$C$1199,0)),"",INDEX('Compliance Database'!$L$2:$L$1199,MATCH(42,'Transfer Engine'!$C$2:$C$1199,0)))</f>
        <v>Allows individuals to maintain anonymity in data interactions, relevant for assessing privacy in cross-border data transfers where anonymity is a concern.</v>
      </c>
      <c r="M51" s="7" t="str">
        <f>IF(ISNA(MATCH(42,'Transfer Engine'!$C$2:$C$1199,0)),"",INDEX('Compliance Database'!$M$2:$M$1199,MATCH(42,'Transfer Engine'!$C$2:$C$1199,0)))</f>
        <v>• [Must] Individuals must have the option of not identifying themselves or using a pseudonym when dealing with APP entities.
• [Must Not] This does not apply if the APP entity is legally required or authorized by Australian law to deal with identified individuals.</v>
      </c>
      <c r="N51" s="7" t="str">
        <f>IF(ISNA(MATCH(42,'Transfer Engine'!$C$2:$C$1199,0)),"",INDEX('Compliance Database'!$N$2:$N$1199,MATCH(42,'Transfer Engine'!$C$2:$C$1199,0)))</f>
        <v>• [Must Not] This does not apply if it is impracticable for the entity to deal with anonymous individuals.</v>
      </c>
      <c r="O51" s="7" t="str">
        <f>IF(ISNA(MATCH(42,'Transfer Engine'!$C$2:$C$1199,0)),"",INDEX('Compliance Database'!$O$2:$O$1199,MATCH(42,'Transfer Engine'!$C$2:$C$1199,0)))</f>
        <v>2.1 Individuals must have the option of not identifying themselves, or of using a pseudonym, when dealing with an APP entity in relation to a particular matter.</v>
      </c>
      <c r="P51" s="6" t="str">
        <f>IF(ISNA(MATCH(42,'Transfer Engine'!$C$2:$C$1199,0)),"",HYPERLINK("#Acts!A"&amp;INDEX('Compliance Database'!$P$2:$P$1199,MATCH(42,'Transfer Engine'!$C$2:$C$1199,0)),"Go to Act"))</f>
        <v>Go to Act</v>
      </c>
    </row>
    <row r="52" spans="1:16" ht="172.95" customHeight="1" x14ac:dyDescent="0.3">
      <c r="A52" s="6" t="str">
        <f>IF(ISNA(MATCH(43,'Transfer Engine'!$C$2:$C$1199,0)),"",INDEX('Compliance Database'!$A$2:$A$1199,MATCH(43,'Transfer Engine'!$C$2:$C$1199,0)))</f>
        <v>Australia</v>
      </c>
      <c r="B52" s="6" t="str">
        <f>IF(ISNA(MATCH(43,'Transfer Engine'!$C$2:$C$1199,0)),"",INDEX('Compliance Database'!$B$2:$B$1199,MATCH(43,'Transfer Engine'!$C$2:$C$1199,0)))</f>
        <v>C2026C00227 (Australia - Row 16)</v>
      </c>
      <c r="C52" s="6" t="str">
        <f>IF(ISNA(MATCH(43,'Transfer Engine'!$C$2:$C$1199,0)),"",INDEX('Compliance Database'!$C$2:$C$1199,MATCH(43,'Transfer Engine'!$C$2:$C$1199,0)))</f>
        <v>3</v>
      </c>
      <c r="D52" s="7" t="str">
        <f>IF(ISNA(MATCH(43,'Transfer Engine'!$C$2:$C$1199,0)),"",INDEX('Compliance Database'!$D$2:$D$1199,MATCH(43,'Transfer Engine'!$C$2:$C$1199,0)))</f>
        <v>Collection of personal information with necessary purpose</v>
      </c>
      <c r="E52" s="6" t="str">
        <f>IF(ISNA(MATCH(43,'Transfer Engine'!$C$2:$C$1199,0)),"",INDEX('Compliance Database'!$E$2:$E$1199,MATCH(43,'Transfer Engine'!$C$2:$C$1199,0)))</f>
        <v>382–384</v>
      </c>
      <c r="F52" s="6" t="str">
        <f>IF(ISNA(MATCH(43,'Transfer Engine'!$C$2:$C$1199,0)),"",INDEX('Compliance Database'!$F$2:$F$1199,MATCH(43,'Transfer Engine'!$C$2:$C$1199,0)))</f>
        <v>High</v>
      </c>
      <c r="G52" s="6" t="str">
        <f>IF(ISNA(MATCH(43,'Transfer Engine'!$C$2:$C$1199,0)),"",INDEX('Compliance Database'!$G$2:$G$1199,MATCH(43,'Transfer Engine'!$C$2:$C$1199,0)))</f>
        <v>High (explicit)</v>
      </c>
      <c r="H52" s="7" t="str">
        <f>IF(ISNA(MATCH(43,'Transfer Engine'!$C$2:$C$1199,0)),"",INDEX('Compliance Database'!$H$2:$H$1199,MATCH(43,'Transfer Engine'!$C$2:$C$1199,0)))</f>
        <v>Data Storage, Consent</v>
      </c>
      <c r="I52" s="7" t="str">
        <f>IF(ISNA(MATCH(43,'Transfer Engine'!$C$2:$C$1199,0)),"",INDEX('Compliance Database'!$I$2:$I$1199,MATCH(43,'Transfer Engine'!$C$2:$C$1199,0)))</f>
        <v>Personal Information</v>
      </c>
      <c r="J52" s="6">
        <f>IF(ISNA(MATCH(43,'Transfer Engine'!$C$2:$C$1199,0)),"",INDEX('Compliance Database'!$J$2:$J$1199,MATCH(43,'Transfer Engine'!$C$2:$C$1199,0)))</f>
        <v>0</v>
      </c>
      <c r="K52" s="7" t="str">
        <f>IF(ISNA(MATCH(43,'Transfer Engine'!$C$2:$C$1199,0)),"",INDEX('Compliance Database'!$K$2:$K$1199,MATCH(43,'Transfer Engine'!$C$2:$C$1199,0)))</f>
        <v>APP entities must not collect personal information (other than sensitive information) unless it is reasonably necessary for their functions. Sensitive information requires consent or specific legal authorizations, including for health, enforcement, or non-profit organizations with defined criteria.</v>
      </c>
      <c r="L52" s="7" t="str">
        <f>IF(ISNA(MATCH(43,'Transfer Engine'!$C$2:$C$1199,0)),"",INDEX('Compliance Database'!$L$2:$L$1199,MATCH(43,'Transfer Engine'!$C$2:$C$1199,0)))</f>
        <v>Sets strict conditions for data collection, critical for assessing whether data transfers meet necessary purpose requirements.</v>
      </c>
      <c r="M52" s="7" t="str">
        <f>IF(ISNA(MATCH(43,'Transfer Engine'!$C$2:$C$1199,0)),"",INDEX('Compliance Database'!$M$2:$M$1199,MATCH(43,'Transfer Engine'!$C$2:$C$1199,0)))</f>
        <v>• [Must Not] APP entities must not collect personal information (other than sensitive information) unless reasonably necessary for functions.
• [Must Not] APP entities must not collect sensitive information without individual consent or specific legal authorizations.
• [Must] Consent for sensitive information must be reasonably necessary for functions.
• [May] Collection of sensitive information may be authorized by Australian law or court order.</v>
      </c>
      <c r="N52" s="7" t="str">
        <f>IF(ISNA(MATCH(43,'Transfer Engine'!$C$2:$C$1199,0)),"",INDEX('Compliance Database'!$N$2:$N$1199,MATCH(43,'Transfer Engine'!$C$2:$C$1199,0)))</f>
        <v>• [May] Permitted general situations may allow collection of sensitive information.
• [May] Permitted health situations may allow collection of sensitive information for health organizations.
• [May] Enforcement bodies may collect sensitive information if reasonably necessary for enforcement activities.
• [May] Non-profit organizations may collect sensitive information if it relates to their activities and members.</v>
      </c>
      <c r="O52" s="7" t="str">
        <f>IF(ISNA(MATCH(43,'Transfer Engine'!$C$2:$C$1199,0)),"",INDEX('Compliance Database'!$O$2:$O$1199,MATCH(43,'Transfer Engine'!$C$2:$C$1199,0)))</f>
        <v>3.1 If an APP entity is an agency, the entity must not collect personal information (other than sensitive information) unless the information is reasonably necessary for, or directly related to, one or more of the entity's functions or activities.</v>
      </c>
      <c r="P52" s="6" t="str">
        <f>IF(ISNA(MATCH(43,'Transfer Engine'!$C$2:$C$1199,0)),"",HYPERLINK("#Acts!A"&amp;INDEX('Compliance Database'!$P$2:$P$1199,MATCH(43,'Transfer Engine'!$C$2:$C$1199,0)),"Go to Act"))</f>
        <v>Go to Act</v>
      </c>
    </row>
    <row r="53" spans="1:16" ht="172.95" customHeight="1" x14ac:dyDescent="0.3">
      <c r="A53" s="6" t="str">
        <f>IF(ISNA(MATCH(44,'Transfer Engine'!$C$2:$C$1199,0)),"",INDEX('Compliance Database'!$A$2:$A$1199,MATCH(44,'Transfer Engine'!$C$2:$C$1199,0)))</f>
        <v>Australia</v>
      </c>
      <c r="B53" s="6" t="str">
        <f>IF(ISNA(MATCH(44,'Transfer Engine'!$C$2:$C$1199,0)),"",INDEX('Compliance Database'!$B$2:$B$1199,MATCH(44,'Transfer Engine'!$C$2:$C$1199,0)))</f>
        <v>C2026C00227 (Australia - Row 16)</v>
      </c>
      <c r="C53" s="6" t="str">
        <f>IF(ISNA(MATCH(44,'Transfer Engine'!$C$2:$C$1199,0)),"",INDEX('Compliance Database'!$C$2:$C$1199,MATCH(44,'Transfer Engine'!$C$2:$C$1199,0)))</f>
        <v>4</v>
      </c>
      <c r="D53" s="7" t="str">
        <f>IF(ISNA(MATCH(44,'Transfer Engine'!$C$2:$C$1199,0)),"",INDEX('Compliance Database'!$D$2:$D$1199,MATCH(44,'Transfer Engine'!$C$2:$C$1199,0)))</f>
        <v>Handling unsolicited personal information</v>
      </c>
      <c r="E53" s="6" t="str">
        <f>IF(ISNA(MATCH(44,'Transfer Engine'!$C$2:$C$1199,0)),"",INDEX('Compliance Database'!$E$2:$E$1199,MATCH(44,'Transfer Engine'!$C$2:$C$1199,0)))</f>
        <v>384–385</v>
      </c>
      <c r="F53" s="6" t="str">
        <f>IF(ISNA(MATCH(44,'Transfer Engine'!$C$2:$C$1199,0)),"",INDEX('Compliance Database'!$F$2:$F$1199,MATCH(44,'Transfer Engine'!$C$2:$C$1199,0)))</f>
        <v>High</v>
      </c>
      <c r="G53" s="6" t="str">
        <f>IF(ISNA(MATCH(44,'Transfer Engine'!$C$2:$C$1199,0)),"",INDEX('Compliance Database'!$G$2:$G$1199,MATCH(44,'Transfer Engine'!$C$2:$C$1199,0)))</f>
        <v>High (explicit)</v>
      </c>
      <c r="H53" s="7" t="str">
        <f>IF(ISNA(MATCH(44,'Transfer Engine'!$C$2:$C$1199,0)),"",INDEX('Compliance Database'!$H$2:$H$1199,MATCH(44,'Transfer Engine'!$C$2:$C$1199,0)))</f>
        <v>Data Storage</v>
      </c>
      <c r="I53" s="7" t="str">
        <f>IF(ISNA(MATCH(44,'Transfer Engine'!$C$2:$C$1199,0)),"",INDEX('Compliance Database'!$I$2:$I$1199,MATCH(44,'Transfer Engine'!$C$2:$C$1199,0)))</f>
        <v>Personal Information</v>
      </c>
      <c r="J53" s="6">
        <f>IF(ISNA(MATCH(44,'Transfer Engine'!$C$2:$C$1199,0)),"",INDEX('Compliance Database'!$J$2:$J$1199,MATCH(44,'Transfer Engine'!$C$2:$C$1199,0)))</f>
        <v>0</v>
      </c>
      <c r="K53" s="7" t="str">
        <f>IF(ISNA(MATCH(44,'Transfer Engine'!$C$2:$C$1199,0)),"",INDEX('Compliance Database'!$K$2:$K$1199,MATCH(44,'Transfer Engine'!$C$2:$C$1199,0)))</f>
        <v>APP entities must determine if unsolicited personal information could have been collected under Australian Privacy Principle 3. If not, they must destroy the information or ensure it is de-identified. Otherwise, Australian Privacy Principles 5-13 apply.</v>
      </c>
      <c r="L53" s="7" t="str">
        <f>IF(ISNA(MATCH(44,'Transfer Engine'!$C$2:$C$1199,0)),"",INDEX('Compliance Database'!$L$2:$L$1199,MATCH(44,'Transfer Engine'!$C$2:$C$1199,0)))</f>
        <v>Requires assessment of unsolicited data to prevent unnecessary data retention, critical for DTIA in cross-border contexts.</v>
      </c>
      <c r="M53" s="7" t="str">
        <f>IF(ISNA(MATCH(44,'Transfer Engine'!$C$2:$C$1199,0)),"",INDEX('Compliance Database'!$M$2:$M$1199,MATCH(44,'Transfer Engine'!$C$2:$C$1199,0)))</f>
        <v>• [Must] APP entities must determine if unsolicited personal information could have been collected under Australian Privacy Principle 3.
• [May] APP entities may use unsolicited information for determining compliance with Australian Privacy Principle 3.</v>
      </c>
      <c r="N53" s="7" t="str">
        <f>IF(ISNA(MATCH(44,'Transfer Engine'!$C$2:$C$1199,0)),"",INDEX('Compliance Database'!$N$2:$N$1199,MATCH(44,'Transfer Engine'!$C$2:$C$1199,0)))</f>
        <v>• [Must] If unsolicited information could not have been collected, entities must destroy or de-identify it.</v>
      </c>
      <c r="O53" s="7" t="str">
        <f>IF(ISNA(MATCH(44,'Transfer Engine'!$C$2:$C$1199,0)),"",INDEX('Compliance Database'!$O$2:$O$1199,MATCH(44,'Transfer Engine'!$C$2:$C$1199,0)))</f>
        <v>4.1 If an APP entity receives personal information and did not solicit it, the entity must determine within a reasonable period if it could have collected the information under Australian Privacy Principle 3.</v>
      </c>
      <c r="P53" s="6" t="str">
        <f>IF(ISNA(MATCH(44,'Transfer Engine'!$C$2:$C$1199,0)),"",HYPERLINK("#Acts!A"&amp;INDEX('Compliance Database'!$P$2:$P$1199,MATCH(44,'Transfer Engine'!$C$2:$C$1199,0)),"Go to Act"))</f>
        <v>Go to Act</v>
      </c>
    </row>
    <row r="54" spans="1:16" ht="172.95" customHeight="1" x14ac:dyDescent="0.3">
      <c r="A54" s="6" t="str">
        <f>IF(ISNA(MATCH(45,'Transfer Engine'!$C$2:$C$1199,0)),"",INDEX('Compliance Database'!$A$2:$A$1199,MATCH(45,'Transfer Engine'!$C$2:$C$1199,0)))</f>
        <v>Australia</v>
      </c>
      <c r="B54" s="6" t="str">
        <f>IF(ISNA(MATCH(45,'Transfer Engine'!$C$2:$C$1199,0)),"",INDEX('Compliance Database'!$B$2:$B$1199,MATCH(45,'Transfer Engine'!$C$2:$C$1199,0)))</f>
        <v>C2026C00227 (Australia - Row 16)</v>
      </c>
      <c r="C54" s="6" t="str">
        <f>IF(ISNA(MATCH(45,'Transfer Engine'!$C$2:$C$1199,0)),"",INDEX('Compliance Database'!$C$2:$C$1199,MATCH(45,'Transfer Engine'!$C$2:$C$1199,0)))</f>
        <v>5</v>
      </c>
      <c r="D54" s="7" t="str">
        <f>IF(ISNA(MATCH(45,'Transfer Engine'!$C$2:$C$1199,0)),"",INDEX('Compliance Database'!$D$2:$D$1199,MATCH(45,'Transfer Engine'!$C$2:$C$1199,0)))</f>
        <v>Notification of personal information collection</v>
      </c>
      <c r="E54" s="6" t="str">
        <f>IF(ISNA(MATCH(45,'Transfer Engine'!$C$2:$C$1199,0)),"",INDEX('Compliance Database'!$E$2:$E$1199,MATCH(45,'Transfer Engine'!$C$2:$C$1199,0)))</f>
        <v>385–387</v>
      </c>
      <c r="F54" s="6" t="str">
        <f>IF(ISNA(MATCH(45,'Transfer Engine'!$C$2:$C$1199,0)),"",INDEX('Compliance Database'!$F$2:$F$1199,MATCH(45,'Transfer Engine'!$C$2:$C$1199,0)))</f>
        <v>High</v>
      </c>
      <c r="G54" s="6" t="str">
        <f>IF(ISNA(MATCH(45,'Transfer Engine'!$C$2:$C$1199,0)),"",INDEX('Compliance Database'!$G$2:$G$1199,MATCH(45,'Transfer Engine'!$C$2:$C$1199,0)))</f>
        <v>High (explicit)</v>
      </c>
      <c r="H54" s="7" t="str">
        <f>IF(ISNA(MATCH(45,'Transfer Engine'!$C$2:$C$1199,0)),"",INDEX('Compliance Database'!$H$2:$H$1199,MATCH(45,'Transfer Engine'!$C$2:$C$1199,0)))</f>
        <v>Consent</v>
      </c>
      <c r="I54" s="7" t="str">
        <f>IF(ISNA(MATCH(45,'Transfer Engine'!$C$2:$C$1199,0)),"",INDEX('Compliance Database'!$I$2:$I$1199,MATCH(45,'Transfer Engine'!$C$2:$C$1199,0)))</f>
        <v>Personal Information</v>
      </c>
      <c r="J54" s="6">
        <f>IF(ISNA(MATCH(45,'Transfer Engine'!$C$2:$C$1199,0)),"",INDEX('Compliance Database'!$J$2:$J$1199,MATCH(45,'Transfer Engine'!$C$2:$C$1199,0)))</f>
        <v>0</v>
      </c>
      <c r="K54" s="7" t="str">
        <f>IF(ISNA(MATCH(45,'Transfer Engine'!$C$2:$C$1199,0)),"",INDEX('Compliance Database'!$K$2:$K$1199,MATCH(45,'Transfer Engine'!$C$2:$C$1199,0)))</f>
        <v>APP entities must notify individuals of specific matters related to personal information collection, including entity details, collection circumstances, legal basis, purposes, consequences of non-collection, disclosure recipients, and privacy policy access procedures.</v>
      </c>
      <c r="L54" s="7" t="str">
        <f>IF(ISNA(MATCH(45,'Transfer Engine'!$C$2:$C$1199,0)),"",INDEX('Compliance Database'!$L$2:$L$1199,MATCH(45,'Transfer Engine'!$C$2:$C$1199,0)))</f>
        <v>Mandates detailed notification for data transfers, essential for assessing transparency and compliance in cross-border data flows.</v>
      </c>
      <c r="M54" s="7" t="str">
        <f>IF(ISNA(MATCH(45,'Transfer Engine'!$C$2:$C$1199,0)),"",INDEX('Compliance Database'!$M$2:$M$1199,MATCH(45,'Transfer Engine'!$C$2:$C$1199,0)))</f>
        <v>• [Must] APP entities must notify individuals of entity identity, contact details, and collection circumstances.
• [Must] APP entities must notify individuals if information is collected from others or they are unaware of collection.
• [Must] APP entities must notify individuals if collection is legally required or authorized.
• [Must] APP entities must state purposes for collecting personal information.
• [Must] APP entities must inform individuals of consequences if information is not collected.</v>
      </c>
      <c r="N54" s="7" t="str">
        <f>IF(ISNA(MATCH(45,'Transfer Engine'!$C$2:$C$1199,0)),"",INDEX('Compliance Database'!$N$2:$N$1199,MATCH(45,'Transfer Engine'!$C$2:$C$1199,0)))</f>
        <v>• [Must] APP entities must disclose other entities that receive personal information.
• [Must] APP entities must indicate if privacy policy includes access and correction procedures.
• [Must] APP entities must indicate if privacy policy includes complaint procedures.
• [Must] APP entities must state if overseas disclosure is likely.
• [Must] APP entities must list countries where overseas recipients may be located.</v>
      </c>
      <c r="O54" s="7" t="str">
        <f>IF(ISNA(MATCH(45,'Transfer Engine'!$C$2:$C$1199,0)),"",INDEX('Compliance Database'!$O$2:$O$1199,MATCH(45,'Transfer Engine'!$C$2:$C$1199,0)))</f>
        <v>5.1 At or before collection, APP entities must take reasonable steps to notify individuals of matters such as entity identity, collection circumstances, legal basis, purposes, consequences, disclosure recipients, and privacy policy access procedures.</v>
      </c>
      <c r="P54" s="6" t="str">
        <f>IF(ISNA(MATCH(45,'Transfer Engine'!$C$2:$C$1199,0)),"",HYPERLINK("#Acts!A"&amp;INDEX('Compliance Database'!$P$2:$P$1199,MATCH(45,'Transfer Engine'!$C$2:$C$1199,0)),"Go to Act"))</f>
        <v>Go to Act</v>
      </c>
    </row>
    <row r="55" spans="1:16" ht="172.95" customHeight="1" x14ac:dyDescent="0.3">
      <c r="A55" s="6" t="str">
        <f>IF(ISNA(MATCH(46,'Transfer Engine'!$C$2:$C$1199,0)),"",INDEX('Compliance Database'!$A$2:$A$1199,MATCH(46,'Transfer Engine'!$C$2:$C$1199,0)))</f>
        <v>Australia</v>
      </c>
      <c r="B55" s="6" t="str">
        <f>IF(ISNA(MATCH(46,'Transfer Engine'!$C$2:$C$1199,0)),"",INDEX('Compliance Database'!$B$2:$B$1199,MATCH(46,'Transfer Engine'!$C$2:$C$1199,0)))</f>
        <v>C2026C00227 (Australia - Row 16)</v>
      </c>
      <c r="C55" s="6" t="str">
        <f>IF(ISNA(MATCH(46,'Transfer Engine'!$C$2:$C$1199,0)),"",INDEX('Compliance Database'!$C$2:$C$1199,MATCH(46,'Transfer Engine'!$C$2:$C$1199,0)))</f>
        <v>6</v>
      </c>
      <c r="D55" s="7" t="str">
        <f>IF(ISNA(MATCH(46,'Transfer Engine'!$C$2:$C$1199,0)),"",INDEX('Compliance Database'!$D$2:$D$1199,MATCH(46,'Transfer Engine'!$C$2:$C$1199,0)))</f>
        <v>Use or disclosure of personal information with purpose limitation</v>
      </c>
      <c r="E55" s="6" t="str">
        <f>IF(ISNA(MATCH(46,'Transfer Engine'!$C$2:$C$1199,0)),"",INDEX('Compliance Database'!$E$2:$E$1199,MATCH(46,'Transfer Engine'!$C$2:$C$1199,0)))</f>
        <v>387–389</v>
      </c>
      <c r="F55" s="6" t="str">
        <f>IF(ISNA(MATCH(46,'Transfer Engine'!$C$2:$C$1199,0)),"",INDEX('Compliance Database'!$F$2:$F$1199,MATCH(46,'Transfer Engine'!$C$2:$C$1199,0)))</f>
        <v>High</v>
      </c>
      <c r="G55" s="6" t="str">
        <f>IF(ISNA(MATCH(46,'Transfer Engine'!$C$2:$C$1199,0)),"",INDEX('Compliance Database'!$G$2:$G$1199,MATCH(46,'Transfer Engine'!$C$2:$C$1199,0)))</f>
        <v>High (explicit)</v>
      </c>
      <c r="H55" s="7" t="str">
        <f>IF(ISNA(MATCH(46,'Transfer Engine'!$C$2:$C$1199,0)),"",INDEX('Compliance Database'!$H$2:$H$1199,MATCH(46,'Transfer Engine'!$C$2:$C$1199,0)))</f>
        <v>Data Sharing, Data Storage, Consent</v>
      </c>
      <c r="I55" s="7" t="str">
        <f>IF(ISNA(MATCH(46,'Transfer Engine'!$C$2:$C$1199,0)),"",INDEX('Compliance Database'!$I$2:$I$1199,MATCH(46,'Transfer Engine'!$C$2:$C$1199,0)))</f>
        <v>Personal Information</v>
      </c>
      <c r="J55" s="6">
        <f>IF(ISNA(MATCH(46,'Transfer Engine'!$C$2:$C$1199,0)),"",INDEX('Compliance Database'!$J$2:$J$1199,MATCH(46,'Transfer Engine'!$C$2:$C$1199,0)))</f>
        <v>0</v>
      </c>
      <c r="K55" s="7" t="str">
        <f>IF(ISNA(MATCH(46,'Transfer Engine'!$C$2:$C$1199,0)),"",INDEX('Compliance Database'!$K$2:$K$1199,MATCH(46,'Transfer Engine'!$C$2:$C$1199,0)))</f>
        <v>APP entities must not use or disclose personal information for secondary purposes without individual consent, specific legal authorizations, or permitted situations. Permitted situations include health, enforcement, and non-profit organizations with defined criteria.</v>
      </c>
      <c r="L55" s="7" t="str">
        <f>IF(ISNA(MATCH(46,'Transfer Engine'!$C$2:$C$1199,0)),"",INDEX('Compliance Database'!$L$2:$L$1199,MATCH(46,'Transfer Engine'!$C$2:$C$1199,0)))</f>
        <v>Enforces purpose limitation for data transfers, critical for assessing whether data is used appropriately across borders.</v>
      </c>
      <c r="M55" s="7" t="str">
        <f>IF(ISNA(MATCH(46,'Transfer Engine'!$C$2:$C$1199,0)),"",INDEX('Compliance Database'!$M$2:$M$1199,MATCH(46,'Transfer Engine'!$C$2:$C$1199,0)))</f>
        <v>• [Must Not] APP entities must not use or disclose personal information for secondary purposes without individual consent.
• [Must Not] APP entities must not use or disclose personal information for secondary purposes without specific legal authorizations.
• [May] Permitted general situations may allow use or disclosure of information.</v>
      </c>
      <c r="N55" s="7" t="str">
        <f>IF(ISNA(MATCH(46,'Transfer Engine'!$C$2:$C$1199,0)),"",INDEX('Compliance Database'!$N$2:$N$1199,MATCH(46,'Transfer Engine'!$C$2:$C$1199,0)))</f>
        <v>• [May] Permitted health situations may allow use or disclosure of information for health organizations.
• [May] Enforcement bodies may use information if reasonably necessary for enforcement activities.
• [May] Biometric information may be disclosed to enforcement bodies with specific guidelines.</v>
      </c>
      <c r="O55" s="7" t="str">
        <f>IF(ISNA(MATCH(46,'Transfer Engine'!$C$2:$C$1199,0)),"",INDEX('Compliance Database'!$O$2:$O$1199,MATCH(46,'Transfer Engine'!$C$2:$C$1199,0)))</f>
        <v>6.1 If an APP entity holds personal information for a primary purpose, it must not use or disclose it for another purpose without individual consent or specific legal authorizations.</v>
      </c>
      <c r="P55" s="6" t="str">
        <f>IF(ISNA(MATCH(46,'Transfer Engine'!$C$2:$C$1199,0)),"",HYPERLINK("#Acts!A"&amp;INDEX('Compliance Database'!$P$2:$P$1199,MATCH(46,'Transfer Engine'!$C$2:$C$1199,0)),"Go to Act"))</f>
        <v>Go to Act</v>
      </c>
    </row>
    <row r="56" spans="1:16" ht="172.95" customHeight="1" x14ac:dyDescent="0.3">
      <c r="A56" s="6" t="str">
        <f>IF(ISNA(MATCH(47,'Transfer Engine'!$C$2:$C$1199,0)),"",INDEX('Compliance Database'!$A$2:$A$1199,MATCH(47,'Transfer Engine'!$C$2:$C$1199,0)))</f>
        <v>Australia</v>
      </c>
      <c r="B56" s="6" t="str">
        <f>IF(ISNA(MATCH(47,'Transfer Engine'!$C$2:$C$1199,0)),"",INDEX('Compliance Database'!$B$2:$B$1199,MATCH(47,'Transfer Engine'!$C$2:$C$1199,0)))</f>
        <v>C2026C00227 (Australia - Row 16)</v>
      </c>
      <c r="C56" s="6" t="str">
        <f>IF(ISNA(MATCH(47,'Transfer Engine'!$C$2:$C$1199,0)),"",INDEX('Compliance Database'!$C$2:$C$1199,MATCH(47,'Transfer Engine'!$C$2:$C$1199,0)))</f>
        <v>7</v>
      </c>
      <c r="D56" s="7" t="str">
        <f>IF(ISNA(MATCH(47,'Transfer Engine'!$C$2:$C$1199,0)),"",INDEX('Compliance Database'!$D$2:$D$1199,MATCH(47,'Transfer Engine'!$C$2:$C$1199,0)))</f>
        <v>Direct marketing consent and opt-out requirements</v>
      </c>
      <c r="E56" s="6" t="str">
        <f>IF(ISNA(MATCH(47,'Transfer Engine'!$C$2:$C$1199,0)),"",INDEX('Compliance Database'!$E$2:$E$1199,MATCH(47,'Transfer Engine'!$C$2:$C$1199,0)))</f>
        <v>389–392</v>
      </c>
      <c r="F56" s="6" t="str">
        <f>IF(ISNA(MATCH(47,'Transfer Engine'!$C$2:$C$1199,0)),"",INDEX('Compliance Database'!$F$2:$F$1199,MATCH(47,'Transfer Engine'!$C$2:$C$1199,0)))</f>
        <v>High</v>
      </c>
      <c r="G56" s="6" t="str">
        <f>IF(ISNA(MATCH(47,'Transfer Engine'!$C$2:$C$1199,0)),"",INDEX('Compliance Database'!$G$2:$G$1199,MATCH(47,'Transfer Engine'!$C$2:$C$1199,0)))</f>
        <v>High (explicit)</v>
      </c>
      <c r="H56" s="7" t="str">
        <f>IF(ISNA(MATCH(47,'Transfer Engine'!$C$2:$C$1199,0)),"",INDEX('Compliance Database'!$H$2:$H$1199,MATCH(47,'Transfer Engine'!$C$2:$C$1199,0)))</f>
        <v>Data Sharing, Consent</v>
      </c>
      <c r="I56" s="7" t="str">
        <f>IF(ISNA(MATCH(47,'Transfer Engine'!$C$2:$C$1199,0)),"",INDEX('Compliance Database'!$I$2:$I$1199,MATCH(47,'Transfer Engine'!$C$2:$C$1199,0)))</f>
        <v>Personal Information</v>
      </c>
      <c r="J56" s="6" t="str">
        <f>IF(ISNA(MATCH(47,'Transfer Engine'!$C$2:$C$1199,0)),"",INDEX('Compliance Database'!$J$2:$J$1199,MATCH(47,'Transfer Engine'!$C$2:$C$1199,0)))</f>
        <v>Privacy Commissioner</v>
      </c>
      <c r="K56" s="7" t="str">
        <f>IF(ISNA(MATCH(47,'Transfer Engine'!$C$2:$C$1199,0)),"",INDEX('Compliance Database'!$K$2:$K$1199,MATCH(47,'Transfer Engine'!$C$2:$C$1199,0)))</f>
        <v>Organisations must not use or disclose personal information for direct marketing unless specific conditions are met. Exceptions include obtaining consent, the individual reasonably expects marketing, providing an easy opt-out mechanism, and the individual not having opted out. Sensitive information requires explicit consent for direct marketing. Organisations must provide a simple opt-out method and respond to opt-out requests within a reasonable period without charging fees.</v>
      </c>
      <c r="L56" s="7" t="str">
        <f>IF(ISNA(MATCH(47,'Transfer Engine'!$C$2:$C$1199,0)),"",INDEX('Compliance Database'!$L$2:$L$1199,MATCH(47,'Transfer Engine'!$C$2:$C$1199,0)))</f>
        <v>Requires explicit consent or opt-out mechanisms for direct marketing across borders; mandates clear opt-out processes to ensure data subjects can control their marketing communications.</v>
      </c>
      <c r="M56" s="7" t="str">
        <f>IF(ISNA(MATCH(47,'Transfer Engine'!$C$2:$C$1199,0)),"",INDEX('Compliance Database'!$M$2:$M$1199,MATCH(47,'Transfer Engine'!$C$2:$C$1199,0)))</f>
        <v>• [Must Not] Organisation must not use or disclose personal information for direct marketing
• [Condition] Organisation may use personal information for direct marketing if individual reasonably expects use
• [Must] Organisation must provide simple opt-out mechanism for direct marketing</v>
      </c>
      <c r="N56" s="7" t="str">
        <f>IF(ISNA(MATCH(47,'Transfer Engine'!$C$2:$C$1199,0)),"",INDEX('Compliance Database'!$N$2:$N$1199,MATCH(47,'Transfer Engine'!$C$2:$C$1199,0)))</f>
        <v>• [Condition] Individual must not have opted out for direct marketing
• [Must] Organisation must respond to opt-out requests within reasonable period
• [Must Not] Organisation must not charge individual for opt-out requests</v>
      </c>
      <c r="O56" s="7" t="str">
        <f>IF(ISNA(MATCH(47,'Transfer Engine'!$C$2:$C$1199,0)),"",INDEX('Compliance Database'!$O$2:$O$1199,MATCH(47,'Transfer Engine'!$C$2:$C$1199,0)))</f>
        <v>Direct marketing: If an organisation holds personal information about an individual, the organisation must not use or disclose the information for the purpose of direct marketing.</v>
      </c>
      <c r="P56" s="6" t="str">
        <f>IF(ISNA(MATCH(47,'Transfer Engine'!$C$2:$C$1199,0)),"",HYPERLINK("#Acts!A"&amp;INDEX('Compliance Database'!$P$2:$P$1199,MATCH(47,'Transfer Engine'!$C$2:$C$1199,0)),"Go to Act"))</f>
        <v>Go to Act</v>
      </c>
    </row>
    <row r="57" spans="1:16" ht="172.95" customHeight="1" x14ac:dyDescent="0.3">
      <c r="A57" s="6" t="str">
        <f>IF(ISNA(MATCH(48,'Transfer Engine'!$C$2:$C$1199,0)),"",INDEX('Compliance Database'!$A$2:$A$1199,MATCH(48,'Transfer Engine'!$C$2:$C$1199,0)))</f>
        <v>Australia</v>
      </c>
      <c r="B57" s="6" t="str">
        <f>IF(ISNA(MATCH(48,'Transfer Engine'!$C$2:$C$1199,0)),"",INDEX('Compliance Database'!$B$2:$B$1199,MATCH(48,'Transfer Engine'!$C$2:$C$1199,0)))</f>
        <v>C2026C00227 (Australia - Row 16)</v>
      </c>
      <c r="C57" s="6" t="str">
        <f>IF(ISNA(MATCH(48,'Transfer Engine'!$C$2:$C$1199,0)),"",INDEX('Compliance Database'!$C$2:$C$1199,MATCH(48,'Transfer Engine'!$C$2:$C$1199,0)))</f>
        <v>8</v>
      </c>
      <c r="D57" s="7" t="str">
        <f>IF(ISNA(MATCH(48,'Transfer Engine'!$C$2:$C$1199,0)),"",INDEX('Compliance Database'!$D$2:$D$1199,MATCH(48,'Transfer Engine'!$C$2:$C$1199,0)))</f>
        <v>Cross-border data disclosure safeguards</v>
      </c>
      <c r="E57" s="6" t="str">
        <f>IF(ISNA(MATCH(48,'Transfer Engine'!$C$2:$C$1199,0)),"",INDEX('Compliance Database'!$E$2:$E$1199,MATCH(48,'Transfer Engine'!$C$2:$C$1199,0)))</f>
        <v>392–394</v>
      </c>
      <c r="F57" s="6" t="str">
        <f>IF(ISNA(MATCH(48,'Transfer Engine'!$C$2:$C$1199,0)),"",INDEX('Compliance Database'!$F$2:$F$1199,MATCH(48,'Transfer Engine'!$C$2:$C$1199,0)))</f>
        <v>High</v>
      </c>
      <c r="G57" s="6" t="str">
        <f>IF(ISNA(MATCH(48,'Transfer Engine'!$C$2:$C$1199,0)),"",INDEX('Compliance Database'!$G$2:$G$1199,MATCH(48,'Transfer Engine'!$C$2:$C$1199,0)))</f>
        <v>High (explicit)</v>
      </c>
      <c r="H57" s="7" t="str">
        <f>IF(ISNA(MATCH(48,'Transfer Engine'!$C$2:$C$1199,0)),"",INDEX('Compliance Database'!$H$2:$H$1199,MATCH(48,'Transfer Engine'!$C$2:$C$1199,0)))</f>
        <v>Cross-border Transfer, Security, Consent</v>
      </c>
      <c r="I57" s="7" t="str">
        <f>IF(ISNA(MATCH(48,'Transfer Engine'!$C$2:$C$1199,0)),"",INDEX('Compliance Database'!$I$2:$I$1199,MATCH(48,'Transfer Engine'!$C$2:$C$1199,0)))</f>
        <v>Personal Information</v>
      </c>
      <c r="J57" s="6" t="str">
        <f>IF(ISNA(MATCH(48,'Transfer Engine'!$C$2:$C$1199,0)),"",INDEX('Compliance Database'!$J$2:$J$1199,MATCH(48,'Transfer Engine'!$C$2:$C$1199,0)))</f>
        <v>Privacy Commissioner</v>
      </c>
      <c r="K57" s="7" t="str">
        <f>IF(ISNA(MATCH(48,'Transfer Engine'!$C$2:$C$1199,0)),"",INDEX('Compliance Database'!$K$2:$K$1199,MATCH(48,'Transfer Engine'!$C$2:$C$1199,0)))</f>
        <v>Before disclosing personal information to overseas recipients, entities must ensure the recipient does not breach Australian Privacy Principles. Exceptions include where the recipient is subject to equivalent laws, the individual has consented, the disclosure is legally required, or it falls under permitted general situations. Entities must verify that the recipient's protections are substantially similar to Australian standards.</v>
      </c>
      <c r="L57" s="7" t="str">
        <f>IF(ISNA(MATCH(48,'Transfer Engine'!$C$2:$C$1199,0)),"",INDEX('Compliance Database'!$L$2:$L$1199,MATCH(48,'Transfer Engine'!$C$2:$C$1199,0)))</f>
        <v>Sets conditions for cross-border data transfers, requiring recipient compliance with Australian privacy standards or equivalent protections to ensure data transfers are secure and lawful.</v>
      </c>
      <c r="M57" s="7" t="str">
        <f>IF(ISNA(MATCH(48,'Transfer Engine'!$C$2:$C$1199,0)),"",INDEX('Compliance Database'!$M$2:$M$1199,MATCH(48,'Transfer Engine'!$C$2:$C$1199,0)))</f>
        <v>• [Must] Entity must ensure overseas recipient does not breach Australian Privacy Principles
• [Condition] Recipient must have equivalent legal protections to Australian Privacy Principles
• [Condition] Entity must provide individual consent for cross-border disclosure</v>
      </c>
      <c r="N57" s="7" t="str">
        <f>IF(ISNA(MATCH(48,'Transfer Engine'!$C$2:$C$1199,0)),"",INDEX('Compliance Database'!$N$2:$N$1199,MATCH(48,'Transfer Engine'!$C$2:$C$1199,0)))</f>
        <v>• [Condition] Disclosure may be legally required or authorized by Australian law
• [Condition] Entity must verify recipient is subject to prescribed country or binding scheme</v>
      </c>
      <c r="O57" s="7" t="str">
        <f>IF(ISNA(MATCH(48,'Transfer Engine'!$C$2:$C$1199,0)),"",INDEX('Compliance Database'!$O$2:$O$1199,MATCH(48,'Transfer Engine'!$C$2:$C$1199,0)))</f>
        <v>Before an APP entity discloses personal information about an individual to a person (the overseas recipient) who is not in Australia or an external Territory and who is not the entity or the individual, the entity must ensure the overseas recipient does not breach the Australian Privacy Principles.</v>
      </c>
      <c r="P57" s="6" t="str">
        <f>IF(ISNA(MATCH(48,'Transfer Engine'!$C$2:$C$1199,0)),"",HYPERLINK("#Acts!A"&amp;INDEX('Compliance Database'!$P$2:$P$1199,MATCH(48,'Transfer Engine'!$C$2:$C$1199,0)),"Go to Act"))</f>
        <v>Go to Act</v>
      </c>
    </row>
    <row r="58" spans="1:16" ht="172.95" customHeight="1" x14ac:dyDescent="0.3">
      <c r="A58" s="6" t="str">
        <f>IF(ISNA(MATCH(49,'Transfer Engine'!$C$2:$C$1199,0)),"",INDEX('Compliance Database'!$A$2:$A$1199,MATCH(49,'Transfer Engine'!$C$2:$C$1199,0)))</f>
        <v>Australia</v>
      </c>
      <c r="B58" s="6" t="str">
        <f>IF(ISNA(MATCH(49,'Transfer Engine'!$C$2:$C$1199,0)),"",INDEX('Compliance Database'!$B$2:$B$1199,MATCH(49,'Transfer Engine'!$C$2:$C$1199,0)))</f>
        <v>C2026C00227 (Australia - Row 16)</v>
      </c>
      <c r="C58" s="6" t="str">
        <f>IF(ISNA(MATCH(49,'Transfer Engine'!$C$2:$C$1199,0)),"",INDEX('Compliance Database'!$C$2:$C$1199,MATCH(49,'Transfer Engine'!$C$2:$C$1199,0)))</f>
        <v>9</v>
      </c>
      <c r="D58" s="7" t="str">
        <f>IF(ISNA(MATCH(49,'Transfer Engine'!$C$2:$C$1199,0)),"",INDEX('Compliance Database'!$D$2:$D$1199,MATCH(49,'Transfer Engine'!$C$2:$C$1199,0)))</f>
        <v>Government identifiers usage restrictions</v>
      </c>
      <c r="E58" s="6" t="str">
        <f>IF(ISNA(MATCH(49,'Transfer Engine'!$C$2:$C$1199,0)),"",INDEX('Compliance Database'!$E$2:$E$1199,MATCH(49,'Transfer Engine'!$C$2:$C$1199,0)))</f>
        <v>394–396</v>
      </c>
      <c r="F58" s="6" t="str">
        <f>IF(ISNA(MATCH(49,'Transfer Engine'!$C$2:$C$1199,0)),"",INDEX('Compliance Database'!$F$2:$F$1199,MATCH(49,'Transfer Engine'!$C$2:$C$1199,0)))</f>
        <v>High</v>
      </c>
      <c r="G58" s="6" t="str">
        <f>IF(ISNA(MATCH(49,'Transfer Engine'!$C$2:$C$1199,0)),"",INDEX('Compliance Database'!$G$2:$G$1199,MATCH(49,'Transfer Engine'!$C$2:$C$1199,0)))</f>
        <v>High (explicit)</v>
      </c>
      <c r="H58" s="7" t="str">
        <f>IF(ISNA(MATCH(49,'Transfer Engine'!$C$2:$C$1199,0)),"",INDEX('Compliance Database'!$H$2:$H$1199,MATCH(49,'Transfer Engine'!$C$2:$C$1199,0)))</f>
        <v>Data Sharing, Consent</v>
      </c>
      <c r="I58" s="7" t="str">
        <f>IF(ISNA(MATCH(49,'Transfer Engine'!$C$2:$C$1199,0)),"",INDEX('Compliance Database'!$I$2:$I$1199,MATCH(49,'Transfer Engine'!$C$2:$C$1199,0)))</f>
        <v>Personal Information</v>
      </c>
      <c r="J58" s="6" t="str">
        <f>IF(ISNA(MATCH(49,'Transfer Engine'!$C$2:$C$1199,0)),"",INDEX('Compliance Database'!$J$2:$J$1199,MATCH(49,'Transfer Engine'!$C$2:$C$1199,0)))</f>
        <v>Privacy Commissioner</v>
      </c>
      <c r="K58" s="7" t="str">
        <f>IF(ISNA(MATCH(49,'Transfer Engine'!$C$2:$C$1199,0)),"",INDEX('Compliance Database'!$K$2:$K$1199,MATCH(49,'Transfer Engine'!$C$2:$C$1199,0)))</f>
        <v>Organisations must not adopt government-related identifiers without legal authorization or regulatory approval. Usage of government identifiers requires necessity for identity verification, fulfilling obligations to authorities, legal compliance, or being part of permitted general situations. Entities must ensure identifiers are prescribed by regulations and organizations are included in approved classes.</v>
      </c>
      <c r="L58" s="7" t="str">
        <f>IF(ISNA(MATCH(49,'Transfer Engine'!$C$2:$C$1199,0)),"",INDEX('Compliance Database'!$L$2:$L$1199,MATCH(49,'Transfer Engine'!$C$2:$C$1199,0)))</f>
        <v>Restricts cross-border data transfers involving government identifiers by requiring regulatory approval and necessity for identity verification or legal compliance.</v>
      </c>
      <c r="M58" s="7" t="str">
        <f>IF(ISNA(MATCH(49,'Transfer Engine'!$C$2:$C$1199,0)),"",INDEX('Compliance Database'!$M$2:$M$1199,MATCH(49,'Transfer Engine'!$C$2:$C$1199,0)))</f>
        <v>• [Must Not] Organisation must not adopt government-related identifiers without legal authorization
• [Condition] Use of government identifiers must be necessary for identity verification</v>
      </c>
      <c r="N58" s="7" t="str">
        <f>IF(ISNA(MATCH(49,'Transfer Engine'!$C$2:$C$1199,0)),"",INDEX('Compliance Database'!$N$2:$N$1199,MATCH(49,'Transfer Engine'!$C$2:$C$1199,0)))</f>
        <v>• [Condition] Use of government identifiers must be necessary for fulfilling obligations to authorities
• [Condition] Use of government identifiers must be legally authorized</v>
      </c>
      <c r="O58" s="7" t="str">
        <f>IF(ISNA(MATCH(49,'Transfer Engine'!$C$2:$C$1199,0)),"",INDEX('Compliance Database'!$O$2:$O$1199,MATCH(49,'Transfer Engine'!$C$2:$C$1199,0)))</f>
        <v>An organisation must not adopt a government related identifier of an individual as its own identifier of the individual unless the adoption is required or authorised by or under an Australian law.</v>
      </c>
      <c r="P58" s="6" t="str">
        <f>IF(ISNA(MATCH(49,'Transfer Engine'!$C$2:$C$1199,0)),"",HYPERLINK("#Acts!A"&amp;INDEX('Compliance Database'!$P$2:$P$1199,MATCH(49,'Transfer Engine'!$C$2:$C$1199,0)),"Go to Act"))</f>
        <v>Go to Act</v>
      </c>
    </row>
    <row r="59" spans="1:16" ht="172.95" customHeight="1" x14ac:dyDescent="0.3">
      <c r="A59" s="6" t="str">
        <f>IF(ISNA(MATCH(50,'Transfer Engine'!$C$2:$C$1199,0)),"",INDEX('Compliance Database'!$A$2:$A$1199,MATCH(50,'Transfer Engine'!$C$2:$C$1199,0)))</f>
        <v>Australia</v>
      </c>
      <c r="B59" s="6" t="str">
        <f>IF(ISNA(MATCH(50,'Transfer Engine'!$C$2:$C$1199,0)),"",INDEX('Compliance Database'!$B$2:$B$1199,MATCH(50,'Transfer Engine'!$C$2:$C$1199,0)))</f>
        <v>C2026C00227 (Australia - Row 16)</v>
      </c>
      <c r="C59" s="6" t="str">
        <f>IF(ISNA(MATCH(50,'Transfer Engine'!$C$2:$C$1199,0)),"",INDEX('Compliance Database'!$C$2:$C$1199,MATCH(50,'Transfer Engine'!$C$2:$C$1199,0)))</f>
        <v>10</v>
      </c>
      <c r="D59" s="7" t="str">
        <f>IF(ISNA(MATCH(50,'Transfer Engine'!$C$2:$C$1199,0)),"",INDEX('Compliance Database'!$D$2:$D$1199,MATCH(50,'Transfer Engine'!$C$2:$C$1199,0)))</f>
        <v>Personal information accuracy and completeness</v>
      </c>
      <c r="E59" s="6" t="str">
        <f>IF(ISNA(MATCH(50,'Transfer Engine'!$C$2:$C$1199,0)),"",INDEX('Compliance Database'!$E$2:$E$1199,MATCH(50,'Transfer Engine'!$C$2:$C$1199,0)))</f>
        <v>396</v>
      </c>
      <c r="F59" s="6" t="str">
        <f>IF(ISNA(MATCH(50,'Transfer Engine'!$C$2:$C$1199,0)),"",INDEX('Compliance Database'!$F$2:$F$1199,MATCH(50,'Transfer Engine'!$C$2:$C$1199,0)))</f>
        <v>High</v>
      </c>
      <c r="G59" s="6" t="str">
        <f>IF(ISNA(MATCH(50,'Transfer Engine'!$C$2:$C$1199,0)),"",INDEX('Compliance Database'!$G$2:$G$1199,MATCH(50,'Transfer Engine'!$C$2:$C$1199,0)))</f>
        <v>High (explicit)</v>
      </c>
      <c r="H59" s="7">
        <f>IF(ISNA(MATCH(50,'Transfer Engine'!$C$2:$C$1199,0)),"",INDEX('Compliance Database'!$H$2:$H$1199,MATCH(50,'Transfer Engine'!$C$2:$C$1199,0)))</f>
        <v>0</v>
      </c>
      <c r="I59" s="7" t="str">
        <f>IF(ISNA(MATCH(50,'Transfer Engine'!$C$2:$C$1199,0)),"",INDEX('Compliance Database'!$I$2:$I$1199,MATCH(50,'Transfer Engine'!$C$2:$C$1199,0)))</f>
        <v>Personal Information</v>
      </c>
      <c r="J59" s="6" t="str">
        <f>IF(ISNA(MATCH(50,'Transfer Engine'!$C$2:$C$1199,0)),"",INDEX('Compliance Database'!$J$2:$J$1199,MATCH(50,'Transfer Engine'!$C$2:$C$1199,0)))</f>
        <v>Privacy Commissioner</v>
      </c>
      <c r="K59" s="7" t="str">
        <f>IF(ISNA(MATCH(50,'Transfer Engine'!$C$2:$C$1199,0)),"",INDEX('Compliance Database'!$K$2:$K$1199,MATCH(50,'Transfer Engine'!$C$2:$C$1199,0)))</f>
        <v>Entities must ensure personal information is accurate, up-to-date, and complete when collected and when used or disclosed. This includes verifying data relevance to the intended purpose and maintaining data quality throughout the data lifecycle.</v>
      </c>
      <c r="L59" s="7" t="str">
        <f>IF(ISNA(MATCH(50,'Transfer Engine'!$C$2:$C$1199,0)),"",INDEX('Compliance Database'!$L$2:$L$1199,MATCH(50,'Transfer Engine'!$C$2:$C$1199,0)))</f>
        <v>Ensures data quality for cross-border transfers by requiring accurate, up-to-date, and complete personal information to prevent data misuse and ensure compliance with privacy standards.</v>
      </c>
      <c r="M59" s="7" t="str">
        <f>IF(ISNA(MATCH(50,'Transfer Engine'!$C$2:$C$1199,0)),"",INDEX('Compliance Database'!$M$2:$M$1199,MATCH(50,'Transfer Engine'!$C$2:$C$1199,0)))</f>
        <v>• [Must] Entity must ensure personal information is accurate, up-to-date, and complete</v>
      </c>
      <c r="N59" s="7" t="str">
        <f>IF(ISNA(MATCH(50,'Transfer Engine'!$C$2:$C$1199,0)),"",INDEX('Compliance Database'!$N$2:$N$1199,MATCH(50,'Transfer Engine'!$C$2:$C$1199,0)))</f>
        <v>• [Must] Entity must ensure personal information is relevant to the purpose of use or disclosure</v>
      </c>
      <c r="O59" s="7" t="str">
        <f>IF(ISNA(MATCH(50,'Transfer Engine'!$C$2:$C$1199,0)),"",INDEX('Compliance Database'!$O$2:$O$1199,MATCH(50,'Transfer Engine'!$C$2:$C$1199,0)))</f>
        <v>An APP entity must take such steps (if any) as are reasonable in the circumstances to ensure that the personal information that the entity collects is accurate, up-to-date and complete.</v>
      </c>
      <c r="P59" s="6" t="str">
        <f>IF(ISNA(MATCH(50,'Transfer Engine'!$C$2:$C$1199,0)),"",HYPERLINK("#Acts!A"&amp;INDEX('Compliance Database'!$P$2:$P$1199,MATCH(50,'Transfer Engine'!$C$2:$C$1199,0)),"Go to Act"))</f>
        <v>Go to Act</v>
      </c>
    </row>
    <row r="60" spans="1:16" ht="172.95" customHeight="1" x14ac:dyDescent="0.3">
      <c r="A60" s="6" t="str">
        <f>IF(ISNA(MATCH(51,'Transfer Engine'!$C$2:$C$1199,0)),"",INDEX('Compliance Database'!$A$2:$A$1199,MATCH(51,'Transfer Engine'!$C$2:$C$1199,0)))</f>
        <v>Australia</v>
      </c>
      <c r="B60" s="6" t="str">
        <f>IF(ISNA(MATCH(51,'Transfer Engine'!$C$2:$C$1199,0)),"",INDEX('Compliance Database'!$B$2:$B$1199,MATCH(51,'Transfer Engine'!$C$2:$C$1199,0)))</f>
        <v>C2026C00227 (Australia - Row 16)</v>
      </c>
      <c r="C60" s="6" t="str">
        <f>IF(ISNA(MATCH(51,'Transfer Engine'!$C$2:$C$1199,0)),"",INDEX('Compliance Database'!$C$2:$C$1199,MATCH(51,'Transfer Engine'!$C$2:$C$1199,0)))</f>
        <v>11</v>
      </c>
      <c r="D60" s="7" t="str">
        <f>IF(ISNA(MATCH(51,'Transfer Engine'!$C$2:$C$1199,0)),"",INDEX('Compliance Database'!$D$2:$D$1199,MATCH(51,'Transfer Engine'!$C$2:$C$1199,0)))</f>
        <v>Personal information security measures</v>
      </c>
      <c r="E60" s="6" t="str">
        <f>IF(ISNA(MATCH(51,'Transfer Engine'!$C$2:$C$1199,0)),"",INDEX('Compliance Database'!$E$2:$E$1199,MATCH(51,'Transfer Engine'!$C$2:$C$1199,0)))</f>
        <v>396–398</v>
      </c>
      <c r="F60" s="6" t="str">
        <f>IF(ISNA(MATCH(51,'Transfer Engine'!$C$2:$C$1199,0)),"",INDEX('Compliance Database'!$F$2:$F$1199,MATCH(51,'Transfer Engine'!$C$2:$C$1199,0)))</f>
        <v>High</v>
      </c>
      <c r="G60" s="6" t="str">
        <f>IF(ISNA(MATCH(51,'Transfer Engine'!$C$2:$C$1199,0)),"",INDEX('Compliance Database'!$G$2:$G$1199,MATCH(51,'Transfer Engine'!$C$2:$C$1199,0)))</f>
        <v>High (explicit)</v>
      </c>
      <c r="H60" s="7" t="str">
        <f>IF(ISNA(MATCH(51,'Transfer Engine'!$C$2:$C$1199,0)),"",INDEX('Compliance Database'!$H$2:$H$1199,MATCH(51,'Transfer Engine'!$C$2:$C$1199,0)))</f>
        <v>Security</v>
      </c>
      <c r="I60" s="7" t="str">
        <f>IF(ISNA(MATCH(51,'Transfer Engine'!$C$2:$C$1199,0)),"",INDEX('Compliance Database'!$I$2:$I$1199,MATCH(51,'Transfer Engine'!$C$2:$C$1199,0)))</f>
        <v>Personal Information</v>
      </c>
      <c r="J60" s="6" t="str">
        <f>IF(ISNA(MATCH(51,'Transfer Engine'!$C$2:$C$1199,0)),"",INDEX('Compliance Database'!$J$2:$J$1199,MATCH(51,'Transfer Engine'!$C$2:$C$1199,0)))</f>
        <v>Privacy Commissioner</v>
      </c>
      <c r="K60" s="7" t="str">
        <f>IF(ISNA(MATCH(51,'Transfer Engine'!$C$2:$C$1199,0)),"",INDEX('Compliance Database'!$K$2:$K$1199,MATCH(51,'Transfer Engine'!$C$2:$C$1199,0)))</f>
        <v>Entities must implement technical and organizational measures to protect personal information from unauthorized access, use, or disclosure. This includes ensuring data security when information is no longer needed for business purposes and is not required by law to be retained.</v>
      </c>
      <c r="L60" s="7" t="str">
        <f>IF(ISNA(MATCH(51,'Transfer Engine'!$C$2:$C$1199,0)),"",INDEX('Compliance Database'!$L$2:$L$1199,MATCH(51,'Transfer Engine'!$C$2:$C$1199,0)))</f>
        <v>Requires security measures for cross-border data transfers to protect personal information from breaches and unauthorized access, ensuring data remains secure during transfer and storage.</v>
      </c>
      <c r="M60" s="7" t="str">
        <f>IF(ISNA(MATCH(51,'Transfer Engine'!$C$2:$C$1199,0)),"",INDEX('Compliance Database'!$M$2:$M$1199,MATCH(51,'Transfer Engine'!$C$2:$C$1199,0)))</f>
        <v>• [Must] Entity must take reasonable steps to protect personal information</v>
      </c>
      <c r="N60" s="7" t="str">
        <f>IF(ISNA(MATCH(51,'Transfer Engine'!$C$2:$C$1199,0)),"",INDEX('Compliance Database'!$N$2:$N$1199,MATCH(51,'Transfer Engine'!$C$2:$C$1199,0)))</f>
        <v>• [Must] Entity must ensure information is destroyed or securely handled when no longer needed</v>
      </c>
      <c r="O60" s="7" t="str">
        <f>IF(ISNA(MATCH(51,'Transfer Engine'!$C$2:$C$1199,0)),"",INDEX('Compliance Database'!$O$2:$O$1199,MATCH(51,'Transfer Engine'!$C$2:$C$1199,0)))</f>
        <v>If an APP entity holds personal information, the entity must take such steps as are reasonable in the circumstances to protect the information.</v>
      </c>
      <c r="P60" s="6" t="str">
        <f>IF(ISNA(MATCH(51,'Transfer Engine'!$C$2:$C$1199,0)),"",HYPERLINK("#Acts!A"&amp;INDEX('Compliance Database'!$P$2:$P$1199,MATCH(51,'Transfer Engine'!$C$2:$C$1199,0)),"Go to Act"))</f>
        <v>Go to Act</v>
      </c>
    </row>
    <row r="61" spans="1:16" ht="172.95" customHeight="1" x14ac:dyDescent="0.3">
      <c r="A61" s="6" t="str">
        <f>IF(ISNA(MATCH(52,'Transfer Engine'!$C$2:$C$1199,0)),"",INDEX('Compliance Database'!$A$2:$A$1199,MATCH(52,'Transfer Engine'!$C$2:$C$1199,0)))</f>
        <v>Australia</v>
      </c>
      <c r="B61" s="6" t="str">
        <f>IF(ISNA(MATCH(52,'Transfer Engine'!$C$2:$C$1199,0)),"",INDEX('Compliance Database'!$B$2:$B$1199,MATCH(52,'Transfer Engine'!$C$2:$C$1199,0)))</f>
        <v>C2026C00227 (Australia - Row 16)</v>
      </c>
      <c r="C61" s="6" t="str">
        <f>IF(ISNA(MATCH(52,'Transfer Engine'!$C$2:$C$1199,0)),"",INDEX('Compliance Database'!$C$2:$C$1199,MATCH(52,'Transfer Engine'!$C$2:$C$1199,0)))</f>
        <v>12</v>
      </c>
      <c r="D61" s="7" t="str">
        <f>IF(ISNA(MATCH(52,'Transfer Engine'!$C$2:$C$1199,0)),"",INDEX('Compliance Database'!$D$2:$D$1199,MATCH(52,'Transfer Engine'!$C$2:$C$1199,0)))</f>
        <v>Individual access to personal information</v>
      </c>
      <c r="E61" s="6" t="str">
        <f>IF(ISNA(MATCH(52,'Transfer Engine'!$C$2:$C$1199,0)),"",INDEX('Compliance Database'!$E$2:$E$1199,MATCH(52,'Transfer Engine'!$C$2:$C$1199,0)))</f>
        <v>398–401</v>
      </c>
      <c r="F61" s="6" t="str">
        <f>IF(ISNA(MATCH(52,'Transfer Engine'!$C$2:$C$1199,0)),"",INDEX('Compliance Database'!$F$2:$F$1199,MATCH(52,'Transfer Engine'!$C$2:$C$1199,0)))</f>
        <v>High</v>
      </c>
      <c r="G61" s="6" t="str">
        <f>IF(ISNA(MATCH(52,'Transfer Engine'!$C$2:$C$1199,0)),"",INDEX('Compliance Database'!$G$2:$G$1199,MATCH(52,'Transfer Engine'!$C$2:$C$1199,0)))</f>
        <v>High (explicit)</v>
      </c>
      <c r="H61" s="7">
        <f>IF(ISNA(MATCH(52,'Transfer Engine'!$C$2:$C$1199,0)),"",INDEX('Compliance Database'!$H$2:$H$1199,MATCH(52,'Transfer Engine'!$C$2:$C$1199,0)))</f>
        <v>0</v>
      </c>
      <c r="I61" s="7" t="str">
        <f>IF(ISNA(MATCH(52,'Transfer Engine'!$C$2:$C$1199,0)),"",INDEX('Compliance Database'!$I$2:$I$1199,MATCH(52,'Transfer Engine'!$C$2:$C$1199,0)))</f>
        <v>Personal Information</v>
      </c>
      <c r="J61" s="6" t="str">
        <f>IF(ISNA(MATCH(52,'Transfer Engine'!$C$2:$C$1199,0)),"",INDEX('Compliance Database'!$J$2:$J$1199,MATCH(52,'Transfer Engine'!$C$2:$C$1199,0)))</f>
        <v>Privacy Commissioner</v>
      </c>
      <c r="K61" s="7" t="str">
        <f>IF(ISNA(MATCH(52,'Transfer Engine'!$C$2:$C$1199,0)),"",INDEX('Compliance Database'!$K$2:$K$1199,MATCH(52,'Transfer Engine'!$C$2:$C$1199,0)))</f>
        <v>Entities must provide individuals with access to their personal information upon request, with exceptions for legal obligations, privacy risks, or commercial sensitivity. Entities must respond within 30 days for agencies and a reasonable period for organizations, and must not charge fees for access requests.</v>
      </c>
      <c r="L61" s="7" t="str">
        <f>IF(ISNA(MATCH(52,'Transfer Engine'!$C$2:$C$1199,0)),"",INDEX('Compliance Database'!$L$2:$L$1199,MATCH(52,'Transfer Engine'!$C$2:$C$1199,0)))</f>
        <v>Ensures individuals have access to their personal information for cross-border transfers, with clear timelines and fee restrictions to prevent barriers to data access.</v>
      </c>
      <c r="M61" s="7" t="str">
        <f>IF(ISNA(MATCH(52,'Transfer Engine'!$C$2:$C$1199,0)),"",INDEX('Compliance Database'!$M$2:$M$1199,MATCH(52,'Transfer Engine'!$C$2:$C$1199,0)))</f>
        <v>• [Must] Entity must provide access to personal information upon request
• [Must] Entity must respond within 30 days for agencies</v>
      </c>
      <c r="N61" s="7" t="str">
        <f>IF(ISNA(MATCH(52,'Transfer Engine'!$C$2:$C$1199,0)),"",INDEX('Compliance Database'!$N$2:$N$1199,MATCH(52,'Transfer Engine'!$C$2:$C$1199,0)))</f>
        <v>• [Must Not] Entity must not charge individuals for access requests</v>
      </c>
      <c r="O61" s="7" t="str">
        <f>IF(ISNA(MATCH(52,'Transfer Engine'!$C$2:$C$1199,0)),"",INDEX('Compliance Database'!$O$2:$O$1199,MATCH(52,'Transfer Engine'!$C$2:$C$1199,0)))</f>
        <v>If an APP entity holds personal information about an individual, the entity must, on request by the individual, give the individual access to the information.</v>
      </c>
      <c r="P61" s="6" t="str">
        <f>IF(ISNA(MATCH(52,'Transfer Engine'!$C$2:$C$1199,0)),"",HYPERLINK("#Acts!A"&amp;INDEX('Compliance Database'!$P$2:$P$1199,MATCH(52,'Transfer Engine'!$C$2:$C$1199,0)),"Go to Act"))</f>
        <v>Go to Act</v>
      </c>
    </row>
    <row r="62" spans="1:16" ht="172.95" customHeight="1" x14ac:dyDescent="0.3">
      <c r="A62" s="6" t="str">
        <f>IF(ISNA(MATCH(53,'Transfer Engine'!$C$2:$C$1199,0)),"",INDEX('Compliance Database'!$A$2:$A$1199,MATCH(53,'Transfer Engine'!$C$2:$C$1199,0)))</f>
        <v>Australia</v>
      </c>
      <c r="B62" s="6" t="str">
        <f>IF(ISNA(MATCH(53,'Transfer Engine'!$C$2:$C$1199,0)),"",INDEX('Compliance Database'!$B$2:$B$1199,MATCH(53,'Transfer Engine'!$C$2:$C$1199,0)))</f>
        <v>C2026C00227 (Australia - Row 16)</v>
      </c>
      <c r="C62" s="6" t="str">
        <f>IF(ISNA(MATCH(53,'Transfer Engine'!$C$2:$C$1199,0)),"",INDEX('Compliance Database'!$C$2:$C$1199,MATCH(53,'Transfer Engine'!$C$2:$C$1199,0)))</f>
        <v>13</v>
      </c>
      <c r="D62" s="7" t="str">
        <f>IF(ISNA(MATCH(53,'Transfer Engine'!$C$2:$C$1199,0)),"",INDEX('Compliance Database'!$D$2:$D$1199,MATCH(53,'Transfer Engine'!$C$2:$C$1199,0)))</f>
        <v>Correction of personal information requests</v>
      </c>
      <c r="E62" s="6" t="str">
        <f>IF(ISNA(MATCH(53,'Transfer Engine'!$C$2:$C$1199,0)),"",INDEX('Compliance Database'!$E$2:$E$1199,MATCH(53,'Transfer Engine'!$C$2:$C$1199,0)))</f>
        <v>401–408</v>
      </c>
      <c r="F62" s="6" t="str">
        <f>IF(ISNA(MATCH(53,'Transfer Engine'!$C$2:$C$1199,0)),"",INDEX('Compliance Database'!$F$2:$F$1199,MATCH(53,'Transfer Engine'!$C$2:$C$1199,0)))</f>
        <v>Medium</v>
      </c>
      <c r="G62" s="6" t="str">
        <f>IF(ISNA(MATCH(53,'Transfer Engine'!$C$2:$C$1199,0)),"",INDEX('Compliance Database'!$G$2:$G$1199,MATCH(53,'Transfer Engine'!$C$2:$C$1199,0)))</f>
        <v>High (explicit)</v>
      </c>
      <c r="H62" s="7" t="str">
        <f>IF(ISNA(MATCH(53,'Transfer Engine'!$C$2:$C$1199,0)),"",INDEX('Compliance Database'!$H$2:$H$1199,MATCH(53,'Transfer Engine'!$C$2:$C$1199,0)))</f>
        <v>Data Sharing, Data Storage</v>
      </c>
      <c r="I62" s="7" t="str">
        <f>IF(ISNA(MATCH(53,'Transfer Engine'!$C$2:$C$1199,0)),"",INDEX('Compliance Database'!$I$2:$I$1199,MATCH(53,'Transfer Engine'!$C$2:$C$1199,0)))</f>
        <v>Personal Information</v>
      </c>
      <c r="J62" s="6" t="str">
        <f>IF(ISNA(MATCH(53,'Transfer Engine'!$C$2:$C$1199,0)),"",INDEX('Compliance Database'!$J$2:$J$1199,MATCH(53,'Transfer Engine'!$C$2:$C$1199,0)))</f>
        <v>Australian Privacy Principles (APP)</v>
      </c>
      <c r="K62" s="7" t="str">
        <f>IF(ISNA(MATCH(53,'Transfer Engine'!$C$2:$C$1199,0)),"",INDEX('Compliance Database'!$K$2:$K$1199,MATCH(53,'Transfer Engine'!$C$2:$C$1199,0)))</f>
        <v>An APP entity must correct inaccurate, outdated, incomplete, irrelevant, or misleading personal information when the entity determines it is inaccurate or when an individual requests correction. The entity must also notify other APP entities if the correction affects previously disclosed information, unless impracticable or unlawful. The entity must respond to correction requests within 30 days for agencies or a reasonable period for organizations, and cannot charge individuals for these services.</v>
      </c>
      <c r="L62" s="7" t="str">
        <f>IF(ISNA(MATCH(53,'Transfer Engine'!$C$2:$C$1199,0)),"",INDEX('Compliance Database'!$L$2:$L$1199,MATCH(53,'Transfer Engine'!$C$2:$C$1199,0)))</f>
        <v>Requires entities to correct personal information upon request and notify third parties when corrections affect previously disclosed data, impacting cross-border data transfer where corrections are made to international entities.</v>
      </c>
      <c r="M62" s="7" t="str">
        <f>IF(ISNA(MATCH(53,'Transfer Engine'!$C$2:$C$1199,0)),"",INDEX('Compliance Database'!$M$2:$M$1199,MATCH(53,'Transfer Engine'!$C$2:$C$1199,0)))</f>
        <v>• [Must] If an APP entity holds personal information about an individual and the entity determines the information is inaccurate, outdated, incomplete, irrelevant or misleading, the entity must correct it.
• [Must] If an APP entity corrects personal information previously disclosed to another APP entity and the individual requests notification of the correction, the entity must notify the other entity unless impracticable or unlawful.
• [Must] If an APP entity refuses to correct personal information as requested, the entity must provide written notice of reasons for refusal, available complaint mechanisms, and any other prescribed matters.</v>
      </c>
      <c r="N62" s="7" t="str">
        <f>IF(ISNA(MATCH(53,'Transfer Engine'!$C$2:$C$1199,0)),"",INDEX('Compliance Database'!$N$2:$N$1199,MATCH(53,'Transfer Engine'!$C$2:$C$1199,0)))</f>
        <v>• [Must] If an APP entity refuses to correct personal information and the individual requests a statement of inaccuracy, the entity must associate the statement in a way that makes it apparent to users.
• [Must] For correction requests, an agency must respond within 30 days after the request is made, while an organization must respond within a reasonable period.
• [Must Not] An APP entity must not charge individuals for making correction requests, correcting information, or associating statements of inaccuracy.</v>
      </c>
      <c r="O62" s="7" t="str">
        <f>IF(ISNA(MATCH(53,'Transfer Engine'!$C$2:$C$1199,0)),"",INDEX('Compliance Database'!$O$2:$O$1199,MATCH(53,'Transfer Engine'!$C$2:$C$1199,0)))</f>
        <v>13.1 If: (a) an APP entity holds personal information about an individual; (b) either: (i) the entity is satisfied that, having regard to a purpose for which the information is held, the information is inaccurate, out-of-date, incomplete, irrelevant or misleading; or (ii) the individual requests the entity to correct the information; the entity must take such steps (if any) as are reasonable in the circumstances to correct that information to ensure that, having regard to a purpose for which the information is held, the information is accurate, up-to-date, complete, relevant and not misleading.</v>
      </c>
      <c r="P62" s="6" t="str">
        <f>IF(ISNA(MATCH(53,'Transfer Engine'!$C$2:$C$1199,0)),"",HYPERLINK("#Acts!A"&amp;INDEX('Compliance Database'!$P$2:$P$1199,MATCH(53,'Transfer Engine'!$C$2:$C$1199,0)),"Go to Act"))</f>
        <v>Go to Act</v>
      </c>
    </row>
    <row r="63" spans="1:16" ht="172.95" customHeight="1" x14ac:dyDescent="0.3">
      <c r="A63" s="6" t="str">
        <f>IF(ISNA(MATCH(54,'Transfer Engine'!$C$2:$C$1199,0)),"",INDEX('Compliance Database'!$A$2:$A$1199,MATCH(54,'Transfer Engine'!$C$2:$C$1199,0)))</f>
        <v>Australia</v>
      </c>
      <c r="B63" s="6" t="str">
        <f>IF(ISNA(MATCH(54,'Transfer Engine'!$C$2:$C$1199,0)),"",INDEX('Compliance Database'!$B$2:$B$1199,MATCH(54,'Transfer Engine'!$C$2:$C$1199,0)))</f>
        <v>C2026C00227 (Australia - Row 16)</v>
      </c>
      <c r="C63" s="6" t="str">
        <f>IF(ISNA(MATCH(54,'Transfer Engine'!$C$2:$C$1199,0)),"",INDEX('Compliance Database'!$C$2:$C$1199,MATCH(54,'Transfer Engine'!$C$2:$C$1199,0)))</f>
        <v>13 (part 3)</v>
      </c>
      <c r="D63" s="7" t="str">
        <f>IF(ISNA(MATCH(54,'Transfer Engine'!$C$2:$C$1199,0)),"",INDEX('Compliance Database'!$D$2:$D$1199,MATCH(54,'Transfer Engine'!$C$2:$C$1199,0)))</f>
        <v>Effect of apology on privacy liability</v>
      </c>
      <c r="E63" s="6" t="str">
        <f>IF(ISNA(MATCH(54,'Transfer Engine'!$C$2:$C$1199,0)),"",INDEX('Compliance Database'!$E$2:$E$1199,MATCH(54,'Transfer Engine'!$C$2:$C$1199,0)))</f>
        <v>414–421</v>
      </c>
      <c r="F63" s="6" t="str">
        <f>IF(ISNA(MATCH(54,'Transfer Engine'!$C$2:$C$1199,0)),"",INDEX('Compliance Database'!$F$2:$F$1199,MATCH(54,'Transfer Engine'!$C$2:$C$1199,0)))</f>
        <v>Low</v>
      </c>
      <c r="G63" s="6" t="str">
        <f>IF(ISNA(MATCH(54,'Transfer Engine'!$C$2:$C$1199,0)),"",INDEX('Compliance Database'!$G$2:$G$1199,MATCH(54,'Transfer Engine'!$C$2:$C$1199,0)))</f>
        <v>High (explicit)</v>
      </c>
      <c r="H63" s="7">
        <f>IF(ISNA(MATCH(54,'Transfer Engine'!$C$2:$C$1199,0)),"",INDEX('Compliance Database'!$H$2:$H$1199,MATCH(54,'Transfer Engine'!$C$2:$C$1199,0)))</f>
        <v>0</v>
      </c>
      <c r="I63" s="7" t="str">
        <f>IF(ISNA(MATCH(54,'Transfer Engine'!$C$2:$C$1199,0)),"",INDEX('Compliance Database'!$I$2:$I$1199,MATCH(54,'Transfer Engine'!$C$2:$C$1199,0)))</f>
        <v>Personal Information</v>
      </c>
      <c r="J63" s="6" t="str">
        <f>IF(ISNA(MATCH(54,'Transfer Engine'!$C$2:$C$1199,0)),"",INDEX('Compliance Database'!$J$2:$J$1199,MATCH(54,'Transfer Engine'!$C$2:$C$1199,0)))</f>
        <v>Court</v>
      </c>
      <c r="K63" s="7" t="str">
        <f>IF(ISNA(MATCH(54,'Transfer Engine'!$C$2:$C$1199,0)),"",INDEX('Compliance Database'!$K$2:$K$1199,MATCH(54,'Transfer Engine'!$C$2:$C$1199,0)))</f>
        <v>This section clarifies that an apology made by a defendant in connection with an invasion of privacy does not constitute an admission of fault or liability. It also states that an apology is not relevant to determining fault or liability in privacy cases. The provision applies to all parties involved in privacy invasions under this Schedule.</v>
      </c>
      <c r="L63" s="7" t="str">
        <f>IF(ISNA(MATCH(54,'Transfer Engine'!$C$2:$C$1199,0)),"",INDEX('Compliance Database'!$L$2:$L$1199,MATCH(54,'Transfer Engine'!$C$2:$C$1199,0)))</f>
        <v>Apologies do not automatically resolve privacy liability; courts must still assess fault and liability separately. This affects how data transfers involving privacy invasions are evaluated.</v>
      </c>
      <c r="M63" s="7" t="str">
        <f>IF(ISNA(MATCH(54,'Transfer Engine'!$C$2:$C$1199,0)),"",INDEX('Compliance Database'!$M$2:$M$1199,MATCH(54,'Transfer Engine'!$C$2:$C$1199,0)))</f>
        <v>• [Must Not] An apology made by or on behalf of the defendant in connection with the invasion of privacy does not constitute an express or implied admission of fault or liability</v>
      </c>
      <c r="N63" s="7" t="str">
        <f>IF(ISNA(MATCH(54,'Transfer Engine'!$C$2:$C$1199,0)),"",INDEX('Compliance Database'!$N$2:$N$1199,MATCH(54,'Transfer Engine'!$C$2:$C$1199,0)))</f>
        <v>• [Must Not] An apology made by or on behalf of the defendant in connection with the invasion of privacy is not relevant to the determination of fault or liability</v>
      </c>
      <c r="O63" s="7" t="str">
        <f>IF(ISNA(MATCH(54,'Transfer Engine'!$C$2:$C$1199,0)),"",INDEX('Compliance Database'!$O$2:$O$1199,MATCH(54,'Transfer Engine'!$C$2:$C$1199,0)))</f>
        <v>For the purposes of this Schedule, an apology made by or on behalf of the defendant in connection with the invasion of privacy: (a) does not constitute an express or implied admission of fault or liability by the defendant in connection with the invasion of privacy; and (b) is not relevant to the determination of fault or liability in connection with the invasion of privacy.</v>
      </c>
      <c r="P63" s="6" t="str">
        <f>IF(ISNA(MATCH(54,'Transfer Engine'!$C$2:$C$1199,0)),"",HYPERLINK("#Acts!A"&amp;INDEX('Compliance Database'!$P$2:$P$1199,MATCH(54,'Transfer Engine'!$C$2:$C$1199,0)),"Go to Act"))</f>
        <v>Go to Act</v>
      </c>
    </row>
    <row r="64" spans="1:16" ht="172.95" customHeight="1" x14ac:dyDescent="0.3">
      <c r="A64" s="6" t="str">
        <f>IF(ISNA(MATCH(55,'Transfer Engine'!$C$2:$C$1199,0)),"",INDEX('Compliance Database'!$A$2:$A$1199,MATCH(55,'Transfer Engine'!$C$2:$C$1199,0)))</f>
        <v>Australia</v>
      </c>
      <c r="B64" s="6" t="str">
        <f>IF(ISNA(MATCH(55,'Transfer Engine'!$C$2:$C$1199,0)),"",INDEX('Compliance Database'!$B$2:$B$1199,MATCH(55,'Transfer Engine'!$C$2:$C$1199,0)))</f>
        <v>C2026C00227 (Australia - Row 16)</v>
      </c>
      <c r="C64" s="6" t="str">
        <f>IF(ISNA(MATCH(55,'Transfer Engine'!$C$2:$C$1199,0)),"",INDEX('Compliance Database'!$C$2:$C$1199,MATCH(55,'Transfer Engine'!$C$2:$C$1199,0)))</f>
        <v>13 (part 7)</v>
      </c>
      <c r="D64" s="7" t="str">
        <f>IF(ISNA(MATCH(55,'Transfer Engine'!$C$2:$C$1199,0)),"",INDEX('Compliance Database'!$D$2:$D$1199,MATCH(55,'Transfer Engine'!$C$2:$C$1199,0)))</f>
        <v>Correction procedures for data transfers</v>
      </c>
      <c r="E64" s="6" t="str">
        <f>IF(ISNA(MATCH(55,'Transfer Engine'!$C$2:$C$1199,0)),"",INDEX('Compliance Database'!$E$2:$E$1199,MATCH(55,'Transfer Engine'!$C$2:$C$1199,0)))</f>
        <v>452–472</v>
      </c>
      <c r="F64" s="6" t="str">
        <f>IF(ISNA(MATCH(55,'Transfer Engine'!$C$2:$C$1199,0)),"",INDEX('Compliance Database'!$F$2:$F$1199,MATCH(55,'Transfer Engine'!$C$2:$C$1199,0)))</f>
        <v>Medium</v>
      </c>
      <c r="G64" s="6" t="str">
        <f>IF(ISNA(MATCH(55,'Transfer Engine'!$C$2:$C$1199,0)),"",INDEX('Compliance Database'!$G$2:$G$1199,MATCH(55,'Transfer Engine'!$C$2:$C$1199,0)))</f>
        <v>High (explicit)</v>
      </c>
      <c r="H64" s="7" t="str">
        <f>IF(ISNA(MATCH(55,'Transfer Engine'!$C$2:$C$1199,0)),"",INDEX('Compliance Database'!$H$2:$H$1199,MATCH(55,'Transfer Engine'!$C$2:$C$1199,0)))</f>
        <v>Cross-border Transfer</v>
      </c>
      <c r="I64" s="7" t="str">
        <f>IF(ISNA(MATCH(55,'Transfer Engine'!$C$2:$C$1199,0)),"",INDEX('Compliance Database'!$I$2:$I$1199,MATCH(55,'Transfer Engine'!$C$2:$C$1199,0)))</f>
        <v>Personal Information</v>
      </c>
      <c r="J64" s="6">
        <f>IF(ISNA(MATCH(55,'Transfer Engine'!$C$2:$C$1199,0)),"",INDEX('Compliance Database'!$J$2:$J$1199,MATCH(55,'Transfer Engine'!$C$2:$C$1199,0)))</f>
        <v>0</v>
      </c>
      <c r="K64" s="7" t="str">
        <f>IF(ISNA(MATCH(55,'Transfer Engine'!$C$2:$C$1199,0)),"",INDEX('Compliance Database'!$K$2:$K$1199,MATCH(55,'Transfer Engine'!$C$2:$C$1199,0)))</f>
        <v>This section outlines procedures for correcting errors in data transfers across borders. It specifies that corrections must be made by the data controller when errors are identified, ensuring accuracy in international data transfers. The section applies to entities handling personal data that require cross-border transfers.</v>
      </c>
      <c r="L64" s="7" t="str">
        <f>IF(ISNA(MATCH(55,'Transfer Engine'!$C$2:$C$1199,0)),"",INDEX('Compliance Database'!$L$2:$L$1199,MATCH(55,'Transfer Engine'!$C$2:$C$1199,0)))</f>
        <v>This section requires data controllers to correct errors in international data transfers, which impacts DTIA by mandating error correction mechanisms for cross-border data flows.</v>
      </c>
      <c r="M64" s="7" t="str">
        <f>IF(ISNA(MATCH(55,'Transfer Engine'!$C$2:$C$1199,0)),"",INDEX('Compliance Database'!$M$2:$M$1199,MATCH(55,'Transfer Engine'!$C$2:$C$1199,0)))</f>
        <v>• [Must] Corrections must be made by the data controller when errors are identified</v>
      </c>
      <c r="N64" s="7">
        <f>IF(ISNA(MATCH(55,'Transfer Engine'!$C$2:$C$1199,0)),"",INDEX('Compliance Database'!$N$2:$N$1199,MATCH(55,'Transfer Engine'!$C$2:$C$1199,0)))</f>
        <v>0</v>
      </c>
      <c r="O64" s="7" t="str">
        <f>IF(ISNA(MATCH(55,'Transfer Engine'!$C$2:$C$1199,0)),"",INDEX('Compliance Database'!$O$2:$O$1199,MATCH(55,'Transfer Engine'!$C$2:$C$1199,0)))</f>
        <v>Endnotes: Correction (cont.)</v>
      </c>
      <c r="P64" s="6" t="str">
        <f>IF(ISNA(MATCH(55,'Transfer Engine'!$C$2:$C$1199,0)),"",HYPERLINK("#Acts!A"&amp;INDEX('Compliance Database'!$P$2:$P$1199,MATCH(55,'Transfer Engine'!$C$2:$C$1199,0)),"Go to Act"))</f>
        <v>Go to Act</v>
      </c>
    </row>
    <row r="65" spans="1:16" ht="172.95" customHeight="1" x14ac:dyDescent="0.3">
      <c r="A65" s="6" t="str">
        <f>IF(ISNA(MATCH(56,'Transfer Engine'!$C$2:$C$1199,0)),"",INDEX('Compliance Database'!$A$2:$A$1199,MATCH(56,'Transfer Engine'!$C$2:$C$1199,0)))</f>
        <v>Australia</v>
      </c>
      <c r="B65" s="6" t="str">
        <f>IF(ISNA(MATCH(56,'Transfer Engine'!$C$2:$C$1199,0)),"",INDEX('Compliance Database'!$B$2:$B$1199,MATCH(56,'Transfer Engine'!$C$2:$C$1199,0)))</f>
        <v>C2026C00227-1 (Australia - Row 21)</v>
      </c>
      <c r="C65" s="6" t="str">
        <f>IF(ISNA(MATCH(56,'Transfer Engine'!$C$2:$C$1199,0)),"",INDEX('Compliance Database'!$C$2:$C$1199,MATCH(56,'Transfer Engine'!$C$2:$C$1199,0)))</f>
        <v>1</v>
      </c>
      <c r="D65" s="7" t="str">
        <f>IF(ISNA(MATCH(56,'Transfer Engine'!$C$2:$C$1199,0)),"",INDEX('Compliance Database'!$D$2:$D$1199,MATCH(56,'Transfer Engine'!$C$2:$C$1199,0)))</f>
        <v>Management of personal information transparency and policy</v>
      </c>
      <c r="E65" s="6" t="str">
        <f>IF(ISNA(MATCH(56,'Transfer Engine'!$C$2:$C$1199,0)),"",INDEX('Compliance Database'!$E$2:$E$1199,MATCH(56,'Transfer Engine'!$C$2:$C$1199,0)))</f>
        <v>379–380</v>
      </c>
      <c r="F65" s="6" t="str">
        <f>IF(ISNA(MATCH(56,'Transfer Engine'!$C$2:$C$1199,0)),"",INDEX('Compliance Database'!$F$2:$F$1199,MATCH(56,'Transfer Engine'!$C$2:$C$1199,0)))</f>
        <v>Medium</v>
      </c>
      <c r="G65" s="6" t="str">
        <f>IF(ISNA(MATCH(56,'Transfer Engine'!$C$2:$C$1199,0)),"",INDEX('Compliance Database'!$G$2:$G$1199,MATCH(56,'Transfer Engine'!$C$2:$C$1199,0)))</f>
        <v>High (explicit)</v>
      </c>
      <c r="H65" s="7" t="str">
        <f>IF(ISNA(MATCH(56,'Transfer Engine'!$C$2:$C$1199,0)),"",INDEX('Compliance Database'!$H$2:$H$1199,MATCH(56,'Transfer Engine'!$C$2:$C$1199,0)))</f>
        <v>Data Sharing, Data Storage, Consent</v>
      </c>
      <c r="I65" s="7" t="str">
        <f>IF(ISNA(MATCH(56,'Transfer Engine'!$C$2:$C$1199,0)),"",INDEX('Compliance Database'!$I$2:$I$1199,MATCH(56,'Transfer Engine'!$C$2:$C$1199,0)))</f>
        <v>Personal Information</v>
      </c>
      <c r="J65" s="6">
        <f>IF(ISNA(MATCH(56,'Transfer Engine'!$C$2:$C$1199,0)),"",INDEX('Compliance Database'!$J$2:$J$1199,MATCH(56,'Transfer Engine'!$C$2:$C$1199,0)))</f>
        <v>0</v>
      </c>
      <c r="K65" s="7" t="str">
        <f>IF(ISNA(MATCH(56,'Transfer Engine'!$C$2:$C$1199,0)),"",INDEX('Compliance Database'!$K$2:$K$1199,MATCH(56,'Transfer Engine'!$C$2:$C$1199,0)))</f>
        <v>APP entities must implement practices to comply with Australian Privacy Principles and registered codes. They must also handle individual inquiries about compliance with these principles. Entities must maintain an up-to-date privacy policy detailing collected information, collection methods, purposes, access rights, complaint procedures, overseas disclosure, and recipient countries.</v>
      </c>
      <c r="L65" s="7" t="str">
        <f>IF(ISNA(MATCH(56,'Transfer Engine'!$C$2:$C$1199,0)),"",INDEX('Compliance Database'!$L$2:$L$1199,MATCH(56,'Transfer Engine'!$C$2:$C$1199,0)))</f>
        <v>Requires clear documentation of data handling practices to ensure transparency and compliance with privacy standards during data transfers.</v>
      </c>
      <c r="M65" s="7" t="str">
        <f>IF(ISNA(MATCH(56,'Transfer Engine'!$C$2:$C$1199,0)),"",INDEX('Compliance Database'!$M$2:$M$1199,MATCH(56,'Transfer Engine'!$C$2:$C$1199,0)))</f>
        <v>• [Must] APP entities must take reasonable steps to implement practices ensuring compliance with Australian Privacy Principles and registered APP codes.
• [Must] APP entities must handle individual inquiries about compliance with Australian Privacy Principles or registered codes.
• [Must] APP entities must have a clearly expressed and up-to-date policy on personal information management.
• [Must] APP privacy policy must detail collected personal information types.
• [Must] APP privacy policy must specify how personal information is collected and held.
• [Must] APP privacy policy must state purposes for collecting, holding, using, and disclosing personal information.</v>
      </c>
      <c r="N65" s="7" t="str">
        <f>IF(ISNA(MATCH(56,'Transfer Engine'!$C$2:$C$1199,0)),"",INDEX('Compliance Database'!$N$2:$N$1199,MATCH(56,'Transfer Engine'!$C$2:$C$1199,0)))</f>
        <v>• [Must] APP privacy policy must outline individual access and correction procedures.
• [Must] APP privacy policy must describe complaint procedures for privacy breaches.
• [Must] APP privacy policy must indicate if overseas disclosure of personal information is likely.
• [Must] APP privacy policy must list countries where overseas recipients may be located if practicable.
• [Must] APP entities must make privacy policy available reasonably.
• [Must] APP entities must provide copies of privacy policy in requested forms.</v>
      </c>
      <c r="O65" s="7" t="str">
        <f>IF(ISNA(MATCH(56,'Transfer Engine'!$C$2:$C$1199,0)),"",INDEX('Compliance Database'!$O$2:$O$1199,MATCH(56,'Transfer Engine'!$C$2:$C$1199,0)))</f>
        <v>management of personal information
1.1 The object of this principle is to ensure that APP entities manage personal information in an open and transparent way. Compliance with the Australian Privacy Principles etc.</v>
      </c>
      <c r="P65" s="6" t="str">
        <f>IF(ISNA(MATCH(56,'Transfer Engine'!$C$2:$C$1199,0)),"",HYPERLINK("#Acts!A"&amp;INDEX('Compliance Database'!$P$2:$P$1199,MATCH(56,'Transfer Engine'!$C$2:$C$1199,0)),"Go to Act"))</f>
        <v>Go to Act</v>
      </c>
    </row>
    <row r="66" spans="1:16" ht="172.95" customHeight="1" x14ac:dyDescent="0.3">
      <c r="A66" s="6" t="str">
        <f>IF(ISNA(MATCH(57,'Transfer Engine'!$C$2:$C$1199,0)),"",INDEX('Compliance Database'!$A$2:$A$1199,MATCH(57,'Transfer Engine'!$C$2:$C$1199,0)))</f>
        <v>Australia</v>
      </c>
      <c r="B66" s="6" t="str">
        <f>IF(ISNA(MATCH(57,'Transfer Engine'!$C$2:$C$1199,0)),"",INDEX('Compliance Database'!$B$2:$B$1199,MATCH(57,'Transfer Engine'!$C$2:$C$1199,0)))</f>
        <v>C2026C00227-1 (Australia - Row 21)</v>
      </c>
      <c r="C66" s="6" t="str">
        <f>IF(ISNA(MATCH(57,'Transfer Engine'!$C$2:$C$1199,0)),"",INDEX('Compliance Database'!$C$2:$C$1199,MATCH(57,'Transfer Engine'!$C$2:$C$1199,0)))</f>
        <v>2</v>
      </c>
      <c r="D66" s="7" t="str">
        <f>IF(ISNA(MATCH(57,'Transfer Engine'!$C$2:$C$1199,0)),"",INDEX('Compliance Database'!$D$2:$D$1199,MATCH(57,'Transfer Engine'!$C$2:$C$1199,0)))</f>
        <v>Individual anonymity and pseudonymity options</v>
      </c>
      <c r="E66" s="6" t="str">
        <f>IF(ISNA(MATCH(57,'Transfer Engine'!$C$2:$C$1199,0)),"",INDEX('Compliance Database'!$E$2:$E$1199,MATCH(57,'Transfer Engine'!$C$2:$C$1199,0)))</f>
        <v>380–382</v>
      </c>
      <c r="F66" s="6" t="str">
        <f>IF(ISNA(MATCH(57,'Transfer Engine'!$C$2:$C$1199,0)),"",INDEX('Compliance Database'!$F$2:$F$1199,MATCH(57,'Transfer Engine'!$C$2:$C$1199,0)))</f>
        <v>Low</v>
      </c>
      <c r="G66" s="6" t="str">
        <f>IF(ISNA(MATCH(57,'Transfer Engine'!$C$2:$C$1199,0)),"",INDEX('Compliance Database'!$G$2:$G$1199,MATCH(57,'Transfer Engine'!$C$2:$C$1199,0)))</f>
        <v>High (explicit)</v>
      </c>
      <c r="H66" s="7">
        <f>IF(ISNA(MATCH(57,'Transfer Engine'!$C$2:$C$1199,0)),"",INDEX('Compliance Database'!$H$2:$H$1199,MATCH(57,'Transfer Engine'!$C$2:$C$1199,0)))</f>
        <v>0</v>
      </c>
      <c r="I66" s="7" t="str">
        <f>IF(ISNA(MATCH(57,'Transfer Engine'!$C$2:$C$1199,0)),"",INDEX('Compliance Database'!$I$2:$I$1199,MATCH(57,'Transfer Engine'!$C$2:$C$1199,0)))</f>
        <v>Personal Information</v>
      </c>
      <c r="J66" s="6">
        <f>IF(ISNA(MATCH(57,'Transfer Engine'!$C$2:$C$1199,0)),"",INDEX('Compliance Database'!$J$2:$J$1199,MATCH(57,'Transfer Engine'!$C$2:$C$1199,0)))</f>
        <v>0</v>
      </c>
      <c r="K66" s="7" t="str">
        <f>IF(ISNA(MATCH(57,'Transfer Engine'!$C$2:$C$1199,0)),"",INDEX('Compliance Database'!$K$2:$K$1199,MATCH(57,'Transfer Engine'!$C$2:$C$1199,0)))</f>
        <v>Individuals must have the option to remain anonymous or use pseudonyms when interacting with APP entities. This does not apply if the entity is legally required to deal with identified individuals or if it is impracticable to handle anonymous individuals.</v>
      </c>
      <c r="L66" s="7" t="str">
        <f>IF(ISNA(MATCH(57,'Transfer Engine'!$C$2:$C$1199,0)),"",INDEX('Compliance Database'!$L$2:$L$1199,MATCH(57,'Transfer Engine'!$C$2:$C$1199,0)))</f>
        <v>Allows individuals to maintain anonymity in data interactions, relevant for data transfers where anonymity is a privacy concern.</v>
      </c>
      <c r="M66" s="7" t="str">
        <f>IF(ISNA(MATCH(57,'Transfer Engine'!$C$2:$C$1199,0)),"",INDEX('Compliance Database'!$M$2:$M$1199,MATCH(57,'Transfer Engine'!$C$2:$C$1199,0)))</f>
        <v>• [Must] Individuals must have the option to not identify themselves or use a pseudonym when dealing with APP entities.
• [Must Not] This does not apply if the entity is legally required to deal with identified individuals.</v>
      </c>
      <c r="N66" s="7" t="str">
        <f>IF(ISNA(MATCH(57,'Transfer Engine'!$C$2:$C$1199,0)),"",INDEX('Compliance Database'!$N$2:$N$1199,MATCH(57,'Transfer Engine'!$C$2:$C$1199,0)))</f>
        <v>• [Must Not] This does not apply if it is impracticable to deal with anonymous individuals.</v>
      </c>
      <c r="O66" s="7" t="str">
        <f>IF(ISNA(MATCH(57,'Transfer Engine'!$C$2:$C$1199,0)),"",INDEX('Compliance Database'!$O$2:$O$1199,MATCH(57,'Transfer Engine'!$C$2:$C$1199,0)))</f>
        <v>2.1 Individuals must have the option of not identifying themselves, or of using a pseudonym, when dealing with an APP entity in relation to a particular matter.</v>
      </c>
      <c r="P66" s="6" t="str">
        <f>IF(ISNA(MATCH(57,'Transfer Engine'!$C$2:$C$1199,0)),"",HYPERLINK("#Acts!A"&amp;INDEX('Compliance Database'!$P$2:$P$1199,MATCH(57,'Transfer Engine'!$C$2:$C$1199,0)),"Go to Act"))</f>
        <v>Go to Act</v>
      </c>
    </row>
    <row r="67" spans="1:16" ht="172.95" customHeight="1" x14ac:dyDescent="0.3">
      <c r="A67" s="6" t="str">
        <f>IF(ISNA(MATCH(58,'Transfer Engine'!$C$2:$C$1199,0)),"",INDEX('Compliance Database'!$A$2:$A$1199,MATCH(58,'Transfer Engine'!$C$2:$C$1199,0)))</f>
        <v>Australia</v>
      </c>
      <c r="B67" s="6" t="str">
        <f>IF(ISNA(MATCH(58,'Transfer Engine'!$C$2:$C$1199,0)),"",INDEX('Compliance Database'!$B$2:$B$1199,MATCH(58,'Transfer Engine'!$C$2:$C$1199,0)))</f>
        <v>C2026C00227-1 (Australia - Row 21)</v>
      </c>
      <c r="C67" s="6" t="str">
        <f>IF(ISNA(MATCH(58,'Transfer Engine'!$C$2:$C$1199,0)),"",INDEX('Compliance Database'!$C$2:$C$1199,MATCH(58,'Transfer Engine'!$C$2:$C$1199,0)))</f>
        <v>3</v>
      </c>
      <c r="D67" s="7" t="str">
        <f>IF(ISNA(MATCH(58,'Transfer Engine'!$C$2:$C$1199,0)),"",INDEX('Compliance Database'!$D$2:$D$1199,MATCH(58,'Transfer Engine'!$C$2:$C$1199,0)))</f>
        <v>Personal information collection requirements</v>
      </c>
      <c r="E67" s="6" t="str">
        <f>IF(ISNA(MATCH(58,'Transfer Engine'!$C$2:$C$1199,0)),"",INDEX('Compliance Database'!$E$2:$E$1199,MATCH(58,'Transfer Engine'!$C$2:$C$1199,0)))</f>
        <v>382–384</v>
      </c>
      <c r="F67" s="6" t="str">
        <f>IF(ISNA(MATCH(58,'Transfer Engine'!$C$2:$C$1199,0)),"",INDEX('Compliance Database'!$F$2:$F$1199,MATCH(58,'Transfer Engine'!$C$2:$C$1199,0)))</f>
        <v>High</v>
      </c>
      <c r="G67" s="6" t="str">
        <f>IF(ISNA(MATCH(58,'Transfer Engine'!$C$2:$C$1199,0)),"",INDEX('Compliance Database'!$G$2:$G$1199,MATCH(58,'Transfer Engine'!$C$2:$C$1199,0)))</f>
        <v>High (explicit)</v>
      </c>
      <c r="H67" s="7" t="str">
        <f>IF(ISNA(MATCH(58,'Transfer Engine'!$C$2:$C$1199,0)),"",INDEX('Compliance Database'!$H$2:$H$1199,MATCH(58,'Transfer Engine'!$C$2:$C$1199,0)))</f>
        <v>Consent</v>
      </c>
      <c r="I67" s="7" t="str">
        <f>IF(ISNA(MATCH(58,'Transfer Engine'!$C$2:$C$1199,0)),"",INDEX('Compliance Database'!$I$2:$I$1199,MATCH(58,'Transfer Engine'!$C$2:$C$1199,0)))</f>
        <v>Personal Information</v>
      </c>
      <c r="J67" s="6">
        <f>IF(ISNA(MATCH(58,'Transfer Engine'!$C$2:$C$1199,0)),"",INDEX('Compliance Database'!$J$2:$J$1199,MATCH(58,'Transfer Engine'!$C$2:$C$1199,0)))</f>
        <v>0</v>
      </c>
      <c r="K67" s="7" t="str">
        <f>IF(ISNA(MATCH(58,'Transfer Engine'!$C$2:$C$1199,0)),"",INDEX('Compliance Database'!$K$2:$K$1199,MATCH(58,'Transfer Engine'!$C$2:$C$1199,0)))</f>
        <v>APP entities must not collect personal information (other than sensitive information) unless it is reasonably necessary for their functions. Sensitive information requires consent or specific legal authorizations, including for enforcement bodies and non-profit organizations with certain conditions.</v>
      </c>
      <c r="L67" s="7" t="str">
        <f>IF(ISNA(MATCH(58,'Transfer Engine'!$C$2:$C$1199,0)),"",INDEX('Compliance Database'!$L$2:$L$1199,MATCH(58,'Transfer Engine'!$C$2:$C$1199,0)))</f>
        <v>Sets strict conditions for data collection, impacting cross-border transfers by requiring necessity and consent for sensitive data.</v>
      </c>
      <c r="M67" s="7" t="str">
        <f>IF(ISNA(MATCH(58,'Transfer Engine'!$C$2:$C$1199,0)),"",INDEX('Compliance Database'!$M$2:$M$1199,MATCH(58,'Transfer Engine'!$C$2:$C$1199,0)))</f>
        <v>• [Must Not] APP entities must not collect personal information (other than sensitive information) unless reasonably necessary for functions.
• [Must Not] APP entities must not collect sensitive information without consent or specific legal authorizations.
• [Must] Consent for sensitive information must be reasonably necessary for functions.
• [May] Collection of sensitive information may be authorized by Australian law or court order.
• [May] Permitted general situations allow collection of sensitive information.</v>
      </c>
      <c r="N67" s="7" t="str">
        <f>IF(ISNA(MATCH(58,'Transfer Engine'!$C$2:$C$1199,0)),"",INDEX('Compliance Database'!$N$2:$N$1199,MATCH(58,'Transfer Engine'!$C$2:$C$1199,0)))</f>
        <v>• [May] Permitted health situations allow collection of sensitive information for organizations.
• [May] Enforcement bodies may collect sensitive information if reasonably necessary for enforcement activities.
• [May] Non-profit organizations may collect sensitive information if it relates to their activities and members.
• [Must] APP entities must collect personal information only by lawful and fair means.
• [Must] APP entities must collect personal information only from individuals unless consent or legal authorization is given.</v>
      </c>
      <c r="O67" s="7" t="str">
        <f>IF(ISNA(MATCH(58,'Transfer Engine'!$C$2:$C$1199,0)),"",INDEX('Compliance Database'!$O$2:$O$1199,MATCH(58,'Transfer Engine'!$C$2:$C$1199,0)))</f>
        <v>3.1 If an APP entity is an agency, the entity must not collect personal information (other than sensitive information) unless the information is reasonably necessary for, or directly related to, one or more of the entity's functions or activities.</v>
      </c>
      <c r="P67" s="6" t="str">
        <f>IF(ISNA(MATCH(58,'Transfer Engine'!$C$2:$C$1199,0)),"",HYPERLINK("#Acts!A"&amp;INDEX('Compliance Database'!$P$2:$P$1199,MATCH(58,'Transfer Engine'!$C$2:$C$1199,0)),"Go to Act"))</f>
        <v>Go to Act</v>
      </c>
    </row>
    <row r="68" spans="1:16" ht="172.95" customHeight="1" x14ac:dyDescent="0.3">
      <c r="A68" s="6" t="str">
        <f>IF(ISNA(MATCH(59,'Transfer Engine'!$C$2:$C$1199,0)),"",INDEX('Compliance Database'!$A$2:$A$1199,MATCH(59,'Transfer Engine'!$C$2:$C$1199,0)))</f>
        <v>Australia</v>
      </c>
      <c r="B68" s="6" t="str">
        <f>IF(ISNA(MATCH(59,'Transfer Engine'!$C$2:$C$1199,0)),"",INDEX('Compliance Database'!$B$2:$B$1199,MATCH(59,'Transfer Engine'!$C$2:$C$1199,0)))</f>
        <v>C2026C00227-1 (Australia - Row 21)</v>
      </c>
      <c r="C68" s="6" t="str">
        <f>IF(ISNA(MATCH(59,'Transfer Engine'!$C$2:$C$1199,0)),"",INDEX('Compliance Database'!$C$2:$C$1199,MATCH(59,'Transfer Engine'!$C$2:$C$1199,0)))</f>
        <v>4</v>
      </c>
      <c r="D68" s="7" t="str">
        <f>IF(ISNA(MATCH(59,'Transfer Engine'!$C$2:$C$1199,0)),"",INDEX('Compliance Database'!$D$2:$D$1199,MATCH(59,'Transfer Engine'!$C$2:$C$1199,0)))</f>
        <v>Unsolicited personal information handling</v>
      </c>
      <c r="E68" s="6" t="str">
        <f>IF(ISNA(MATCH(59,'Transfer Engine'!$C$2:$C$1199,0)),"",INDEX('Compliance Database'!$E$2:$E$1199,MATCH(59,'Transfer Engine'!$C$2:$C$1199,0)))</f>
        <v>384–385</v>
      </c>
      <c r="F68" s="6" t="str">
        <f>IF(ISNA(MATCH(59,'Transfer Engine'!$C$2:$C$1199,0)),"",INDEX('Compliance Database'!$F$2:$F$1199,MATCH(59,'Transfer Engine'!$C$2:$C$1199,0)))</f>
        <v>High</v>
      </c>
      <c r="G68" s="6" t="str">
        <f>IF(ISNA(MATCH(59,'Transfer Engine'!$C$2:$C$1199,0)),"",INDEX('Compliance Database'!$G$2:$G$1199,MATCH(59,'Transfer Engine'!$C$2:$C$1199,0)))</f>
        <v>High (explicit)</v>
      </c>
      <c r="H68" s="7">
        <f>IF(ISNA(MATCH(59,'Transfer Engine'!$C$2:$C$1199,0)),"",INDEX('Compliance Database'!$H$2:$H$1199,MATCH(59,'Transfer Engine'!$C$2:$C$1199,0)))</f>
        <v>0</v>
      </c>
      <c r="I68" s="7" t="str">
        <f>IF(ISNA(MATCH(59,'Transfer Engine'!$C$2:$C$1199,0)),"",INDEX('Compliance Database'!$I$2:$I$1199,MATCH(59,'Transfer Engine'!$C$2:$C$1199,0)))</f>
        <v>Personal Information</v>
      </c>
      <c r="J68" s="6">
        <f>IF(ISNA(MATCH(59,'Transfer Engine'!$C$2:$C$1199,0)),"",INDEX('Compliance Database'!$J$2:$J$1199,MATCH(59,'Transfer Engine'!$C$2:$C$1199,0)))</f>
        <v>0</v>
      </c>
      <c r="K68" s="7" t="str">
        <f>IF(ISNA(MATCH(59,'Transfer Engine'!$C$2:$C$1199,0)),"",INDEX('Compliance Database'!$K$2:$K$1199,MATCH(59,'Transfer Engine'!$C$2:$C$1199,0)))</f>
        <v>APP entities must determine if unsolicited personal information could have been collected under Australian Privacy Principle 3. If not, they must destroy the information or ensure it is de-identified. Otherwise, Principles 5-13 apply.</v>
      </c>
      <c r="L68" s="7" t="str">
        <f>IF(ISNA(MATCH(59,'Transfer Engine'!$C$2:$C$1199,0)),"",INDEX('Compliance Database'!$L$2:$L$1199,MATCH(59,'Transfer Engine'!$C$2:$C$1199,0)))</f>
        <v>Requires assessment of unsolicited data to prevent unnecessary data retention and ensure compliance with data transfer rules.</v>
      </c>
      <c r="M68" s="7" t="str">
        <f>IF(ISNA(MATCH(59,'Transfer Engine'!$C$2:$C$1199,0)),"",INDEX('Compliance Database'!$M$2:$M$1199,MATCH(59,'Transfer Engine'!$C$2:$C$1199,0)))</f>
        <v>• [Must] APP entities must determine if unsolicited personal information could have been collected under Principle 3.
• [May] APP entities may use unsolicited information for this determination.</v>
      </c>
      <c r="N68" s="7" t="str">
        <f>IF(ISNA(MATCH(59,'Transfer Engine'!$C$2:$C$1199,0)),"",INDEX('Compliance Database'!$N$2:$N$1199,MATCH(59,'Transfer Engine'!$C$2:$C$1199,0)))</f>
        <v>• [Must] If unsolicited information could not have been collected, entities must destroy or de-identify it.</v>
      </c>
      <c r="O68" s="7" t="str">
        <f>IF(ISNA(MATCH(59,'Transfer Engine'!$C$2:$C$1199,0)),"",INDEX('Compliance Database'!$O$2:$O$1199,MATCH(59,'Transfer Engine'!$C$2:$C$1199,0)))</f>
        <v>4.1 If an APP entity receives personal information; and the entity did not solicit the information; the entity must, within a reasonable period after receiving the information, determine whether or not the entity could have collected the information under Australian Privacy Principle 3 if the entity had solicited the information.</v>
      </c>
      <c r="P68" s="6" t="str">
        <f>IF(ISNA(MATCH(59,'Transfer Engine'!$C$2:$C$1199,0)),"",HYPERLINK("#Acts!A"&amp;INDEX('Compliance Database'!$P$2:$P$1199,MATCH(59,'Transfer Engine'!$C$2:$C$1199,0)),"Go to Act"))</f>
        <v>Go to Act</v>
      </c>
    </row>
    <row r="69" spans="1:16" ht="172.95" customHeight="1" x14ac:dyDescent="0.3">
      <c r="A69" s="6" t="str">
        <f>IF(ISNA(MATCH(60,'Transfer Engine'!$C$2:$C$1199,0)),"",INDEX('Compliance Database'!$A$2:$A$1199,MATCH(60,'Transfer Engine'!$C$2:$C$1199,0)))</f>
        <v>Australia</v>
      </c>
      <c r="B69" s="6" t="str">
        <f>IF(ISNA(MATCH(60,'Transfer Engine'!$C$2:$C$1199,0)),"",INDEX('Compliance Database'!$B$2:$B$1199,MATCH(60,'Transfer Engine'!$C$2:$C$1199,0)))</f>
        <v>C2026C00227-1 (Australia - Row 21)</v>
      </c>
      <c r="C69" s="6" t="str">
        <f>IF(ISNA(MATCH(60,'Transfer Engine'!$C$2:$C$1199,0)),"",INDEX('Compliance Database'!$C$2:$C$1199,MATCH(60,'Transfer Engine'!$C$2:$C$1199,0)))</f>
        <v>5</v>
      </c>
      <c r="D69" s="7" t="str">
        <f>IF(ISNA(MATCH(60,'Transfer Engine'!$C$2:$C$1199,0)),"",INDEX('Compliance Database'!$D$2:$D$1199,MATCH(60,'Transfer Engine'!$C$2:$C$1199,0)))</f>
        <v>Notification of personal information collection</v>
      </c>
      <c r="E69" s="6" t="str">
        <f>IF(ISNA(MATCH(60,'Transfer Engine'!$C$2:$C$1199,0)),"",INDEX('Compliance Database'!$E$2:$E$1199,MATCH(60,'Transfer Engine'!$C$2:$C$1199,0)))</f>
        <v>385–387</v>
      </c>
      <c r="F69" s="6" t="str">
        <f>IF(ISNA(MATCH(60,'Transfer Engine'!$C$2:$C$1199,0)),"",INDEX('Compliance Database'!$F$2:$F$1199,MATCH(60,'Transfer Engine'!$C$2:$C$1199,0)))</f>
        <v>High</v>
      </c>
      <c r="G69" s="6" t="str">
        <f>IF(ISNA(MATCH(60,'Transfer Engine'!$C$2:$C$1199,0)),"",INDEX('Compliance Database'!$G$2:$G$1199,MATCH(60,'Transfer Engine'!$C$2:$C$1199,0)))</f>
        <v>High (explicit)</v>
      </c>
      <c r="H69" s="7" t="str">
        <f>IF(ISNA(MATCH(60,'Transfer Engine'!$C$2:$C$1199,0)),"",INDEX('Compliance Database'!$H$2:$H$1199,MATCH(60,'Transfer Engine'!$C$2:$C$1199,0)))</f>
        <v>Consent</v>
      </c>
      <c r="I69" s="7" t="str">
        <f>IF(ISNA(MATCH(60,'Transfer Engine'!$C$2:$C$1199,0)),"",INDEX('Compliance Database'!$I$2:$I$1199,MATCH(60,'Transfer Engine'!$C$2:$C$1199,0)))</f>
        <v>Personal Information</v>
      </c>
      <c r="J69" s="6">
        <f>IF(ISNA(MATCH(60,'Transfer Engine'!$C$2:$C$1199,0)),"",INDEX('Compliance Database'!$J$2:$J$1199,MATCH(60,'Transfer Engine'!$C$2:$C$1199,0)))</f>
        <v>0</v>
      </c>
      <c r="K69" s="7" t="str">
        <f>IF(ISNA(MATCH(60,'Transfer Engine'!$C$2:$C$1199,0)),"",INDEX('Compliance Database'!$K$2:$K$1199,MATCH(60,'Transfer Engine'!$C$2:$C$1199,0)))</f>
        <v>APP entities must notify individuals of specific matters related to personal information collection, including entity details, collection circumstances, legal basis, purposes, consequences of non-collection, disclosure recipients, and privacy policy access procedures.</v>
      </c>
      <c r="L69" s="7" t="str">
        <f>IF(ISNA(MATCH(60,'Transfer Engine'!$C$2:$C$1199,0)),"",INDEX('Compliance Database'!$L$2:$L$1199,MATCH(60,'Transfer Engine'!$C$2:$C$1199,0)))</f>
        <v>Mandates detailed notifications for data transfers, ensuring individuals understand data handling practices across borders.</v>
      </c>
      <c r="M69" s="7" t="str">
        <f>IF(ISNA(MATCH(60,'Transfer Engine'!$C$2:$C$1199,0)),"",INDEX('Compliance Database'!$M$2:$M$1199,MATCH(60,'Transfer Engine'!$C$2:$C$1199,0)))</f>
        <v>• [Must] APP entities must notify individuals of entity identity, contact details, and collection circumstances.
• [Must] APP entities must notify individuals if information is collected from others or they are unaware of collection.
• [Must] APP entities must notify individuals if collection is legally required or authorized.
• [Must] APP entities must specify purposes for collecting personal information.
• [Must] APP entities must state consequences of not collecting information.</v>
      </c>
      <c r="N69" s="7" t="str">
        <f>IF(ISNA(MATCH(60,'Transfer Engine'!$C$2:$C$1199,0)),"",INDEX('Compliance Database'!$N$2:$N$1199,MATCH(60,'Transfer Engine'!$C$2:$C$1199,0)))</f>
        <v>• [Must] APP entities must list disclosure recipients or types of recipients.
• [Must] APP entities must indicate privacy policy access and correction procedures.
• [Must] APP entities must indicate if overseas disclosure is likely.
• [Must] APP entities must specify countries where overseas recipients may be located if practicable.</v>
      </c>
      <c r="O69" s="7" t="str">
        <f>IF(ISNA(MATCH(60,'Transfer Engine'!$C$2:$C$1199,0)),"",INDEX('Compliance Database'!$O$2:$O$1199,MATCH(60,'Transfer Engine'!$C$2:$C$1199,0)))</f>
        <v>5.1 At or before the time or, if that is not practicable, as soon as practicable after, an APP entity collects personal information about an individual, the entity must take such steps (if any) as are reasonable in the circumstances: to notify the individual of such matters referred to in subclause 5.2 as are reasonable in the circumstances.</v>
      </c>
      <c r="P69" s="6" t="str">
        <f>IF(ISNA(MATCH(60,'Transfer Engine'!$C$2:$C$1199,0)),"",HYPERLINK("#Acts!A"&amp;INDEX('Compliance Database'!$P$2:$P$1199,MATCH(60,'Transfer Engine'!$C$2:$C$1199,0)),"Go to Act"))</f>
        <v>Go to Act</v>
      </c>
    </row>
    <row r="70" spans="1:16" ht="172.95" customHeight="1" x14ac:dyDescent="0.3">
      <c r="A70" s="6" t="str">
        <f>IF(ISNA(MATCH(61,'Transfer Engine'!$C$2:$C$1199,0)),"",INDEX('Compliance Database'!$A$2:$A$1199,MATCH(61,'Transfer Engine'!$C$2:$C$1199,0)))</f>
        <v>Australia</v>
      </c>
      <c r="B70" s="6" t="str">
        <f>IF(ISNA(MATCH(61,'Transfer Engine'!$C$2:$C$1199,0)),"",INDEX('Compliance Database'!$B$2:$B$1199,MATCH(61,'Transfer Engine'!$C$2:$C$1199,0)))</f>
        <v>C2026C00227-1 (Australia - Row 21)</v>
      </c>
      <c r="C70" s="6" t="str">
        <f>IF(ISNA(MATCH(61,'Transfer Engine'!$C$2:$C$1199,0)),"",INDEX('Compliance Database'!$C$2:$C$1199,MATCH(61,'Transfer Engine'!$C$2:$C$1199,0)))</f>
        <v>6</v>
      </c>
      <c r="D70" s="7" t="str">
        <f>IF(ISNA(MATCH(61,'Transfer Engine'!$C$2:$C$1199,0)),"",INDEX('Compliance Database'!$D$2:$D$1199,MATCH(61,'Transfer Engine'!$C$2:$C$1199,0)))</f>
        <v>Use and disclosure of personal information</v>
      </c>
      <c r="E70" s="6" t="str">
        <f>IF(ISNA(MATCH(61,'Transfer Engine'!$C$2:$C$1199,0)),"",INDEX('Compliance Database'!$E$2:$E$1199,MATCH(61,'Transfer Engine'!$C$2:$C$1199,0)))</f>
        <v>387–389</v>
      </c>
      <c r="F70" s="6" t="str">
        <f>IF(ISNA(MATCH(61,'Transfer Engine'!$C$2:$C$1199,0)),"",INDEX('Compliance Database'!$F$2:$F$1199,MATCH(61,'Transfer Engine'!$C$2:$C$1199,0)))</f>
        <v>High</v>
      </c>
      <c r="G70" s="6" t="str">
        <f>IF(ISNA(MATCH(61,'Transfer Engine'!$C$2:$C$1199,0)),"",INDEX('Compliance Database'!$G$2:$G$1199,MATCH(61,'Transfer Engine'!$C$2:$C$1199,0)))</f>
        <v>High (explicit)</v>
      </c>
      <c r="H70" s="7" t="str">
        <f>IF(ISNA(MATCH(61,'Transfer Engine'!$C$2:$C$1199,0)),"",INDEX('Compliance Database'!$H$2:$H$1199,MATCH(61,'Transfer Engine'!$C$2:$C$1199,0)))</f>
        <v>Data Sharing, Data Storage</v>
      </c>
      <c r="I70" s="7" t="str">
        <f>IF(ISNA(MATCH(61,'Transfer Engine'!$C$2:$C$1199,0)),"",INDEX('Compliance Database'!$I$2:$I$1199,MATCH(61,'Transfer Engine'!$C$2:$C$1199,0)))</f>
        <v>Personal Information</v>
      </c>
      <c r="J70" s="6">
        <f>IF(ISNA(MATCH(61,'Transfer Engine'!$C$2:$C$1199,0)),"",INDEX('Compliance Database'!$J$2:$J$1199,MATCH(61,'Transfer Engine'!$C$2:$C$1199,0)))</f>
        <v>0</v>
      </c>
      <c r="K70" s="7" t="str">
        <f>IF(ISNA(MATCH(61,'Transfer Engine'!$C$2:$C$1199,0)),"",INDEX('Compliance Database'!$K$2:$K$1199,MATCH(61,'Transfer Engine'!$C$2:$C$1199,0)))</f>
        <v>APP entities must not use or disclose personal information for secondary purposes without consent, specific legal authorizations, permitted situations, or reasonable necessity for enforcement activities. Exceptions include direct marketing and government identifiers.</v>
      </c>
      <c r="L70" s="7" t="str">
        <f>IF(ISNA(MATCH(61,'Transfer Engine'!$C$2:$C$1199,0)),"",INDEX('Compliance Database'!$L$2:$L$1199,MATCH(61,'Transfer Engine'!$C$2:$C$1199,0)))</f>
        <v>Restricts data use and disclosure across borders by requiring consent or legal basis for secondary purposes, critical for international data transfers.</v>
      </c>
      <c r="M70" s="7" t="str">
        <f>IF(ISNA(MATCH(61,'Transfer Engine'!$C$2:$C$1199,0)),"",INDEX('Compliance Database'!$M$2:$M$1199,MATCH(61,'Transfer Engine'!$C$2:$C$1199,0)))</f>
        <v>• [Must Not] APP entities must not use or disclose personal information for secondary purposes without consent or specific conditions.
• [Must] Secondary purpose must be directly related to primary purpose for sensitive information.
• [Must] Secondary purpose must be related to primary purpose for non-sensitive information.
• [May] Use or disclosure may be legally required or authorized.
• [May] Permitted general situations allow use or disclosure.
• [May] Permitted health situations allow use or disclosure for organizations.</v>
      </c>
      <c r="N70" s="7" t="str">
        <f>IF(ISNA(MATCH(61,'Transfer Engine'!$C$2:$C$1199,0)),"",INDEX('Compliance Database'!$N$2:$N$1199,MATCH(61,'Transfer Engine'!$C$2:$C$1199,0)))</f>
        <v>• [May] Enforcement bodies may use information reasonably necessary for enforcement activities.
• [May] Biometric information may be disclosed to enforcement bodies with Commissioner guidelines.
• [Must] APP entities must make written notes of use or disclosure under specific conditions.
• [Must Not] Use or disclosure by organizations for direct marketing is exempt.
• [Must Not] Use or disclosure of government related identifiers is exempt.</v>
      </c>
      <c r="O70" s="7" t="str">
        <f>IF(ISNA(MATCH(61,'Transfer Engine'!$C$2:$C$1199,0)),"",INDEX('Compliance Database'!$O$2:$O$1199,MATCH(61,'Transfer Engine'!$C$2:$C$1199,0)))</f>
        <v>6.1 If an APP entity holds personal information about an individual that was collected for a particular purpose (the primary purpose), the entity must not use or disclose the information for another purpose (the secondary purpose) unless: the individual has consented to the use or disclosure of the information or subclause 6.2 or 6.3 applies in relation to the use or disclosure of the information.</v>
      </c>
      <c r="P70" s="6" t="str">
        <f>IF(ISNA(MATCH(61,'Transfer Engine'!$C$2:$C$1199,0)),"",HYPERLINK("#Acts!A"&amp;INDEX('Compliance Database'!$P$2:$P$1199,MATCH(61,'Transfer Engine'!$C$2:$C$1199,0)),"Go to Act"))</f>
        <v>Go to Act</v>
      </c>
    </row>
    <row r="71" spans="1:16" ht="172.95" customHeight="1" x14ac:dyDescent="0.3">
      <c r="A71" s="6" t="str">
        <f>IF(ISNA(MATCH(62,'Transfer Engine'!$C$2:$C$1199,0)),"",INDEX('Compliance Database'!$A$2:$A$1199,MATCH(62,'Transfer Engine'!$C$2:$C$1199,0)))</f>
        <v>Australia</v>
      </c>
      <c r="B71" s="6" t="str">
        <f>IF(ISNA(MATCH(62,'Transfer Engine'!$C$2:$C$1199,0)),"",INDEX('Compliance Database'!$B$2:$B$1199,MATCH(62,'Transfer Engine'!$C$2:$C$1199,0)))</f>
        <v>C2026C00227-1 (Australia - Row 21)</v>
      </c>
      <c r="C71" s="6" t="str">
        <f>IF(ISNA(MATCH(62,'Transfer Engine'!$C$2:$C$1199,0)),"",INDEX('Compliance Database'!$C$2:$C$1199,MATCH(62,'Transfer Engine'!$C$2:$C$1199,0)))</f>
        <v>7</v>
      </c>
      <c r="D71" s="7" t="str">
        <f>IF(ISNA(MATCH(62,'Transfer Engine'!$C$2:$C$1199,0)),"",INDEX('Compliance Database'!$D$2:$D$1199,MATCH(62,'Transfer Engine'!$C$2:$C$1199,0)))</f>
        <v>Direct marketing consent and opt-out requirements</v>
      </c>
      <c r="E71" s="6" t="str">
        <f>IF(ISNA(MATCH(62,'Transfer Engine'!$C$2:$C$1199,0)),"",INDEX('Compliance Database'!$E$2:$E$1199,MATCH(62,'Transfer Engine'!$C$2:$C$1199,0)))</f>
        <v>389–392</v>
      </c>
      <c r="F71" s="6" t="str">
        <f>IF(ISNA(MATCH(62,'Transfer Engine'!$C$2:$C$1199,0)),"",INDEX('Compliance Database'!$F$2:$F$1199,MATCH(62,'Transfer Engine'!$C$2:$C$1199,0)))</f>
        <v>High</v>
      </c>
      <c r="G71" s="6" t="str">
        <f>IF(ISNA(MATCH(62,'Transfer Engine'!$C$2:$C$1199,0)),"",INDEX('Compliance Database'!$G$2:$G$1199,MATCH(62,'Transfer Engine'!$C$2:$C$1199,0)))</f>
        <v>High (explicit)</v>
      </c>
      <c r="H71" s="7" t="str">
        <f>IF(ISNA(MATCH(62,'Transfer Engine'!$C$2:$C$1199,0)),"",INDEX('Compliance Database'!$H$2:$H$1199,MATCH(62,'Transfer Engine'!$C$2:$C$1199,0)))</f>
        <v>Data Sharing, Consent</v>
      </c>
      <c r="I71" s="7" t="str">
        <f>IF(ISNA(MATCH(62,'Transfer Engine'!$C$2:$C$1199,0)),"",INDEX('Compliance Database'!$I$2:$I$1199,MATCH(62,'Transfer Engine'!$C$2:$C$1199,0)))</f>
        <v>Personal Information</v>
      </c>
      <c r="J71" s="6" t="str">
        <f>IF(ISNA(MATCH(62,'Transfer Engine'!$C$2:$C$1199,0)),"",INDEX('Compliance Database'!$J$2:$J$1199,MATCH(62,'Transfer Engine'!$C$2:$C$1199,0)))</f>
        <v>Privacy Act 1988 (Cth)</v>
      </c>
      <c r="K71" s="7" t="str">
        <f>IF(ISNA(MATCH(62,'Transfer Engine'!$C$2:$C$1199,0)),"",INDEX('Compliance Database'!$K$2:$K$1199,MATCH(62,'Transfer Engine'!$C$2:$C$1199,0)))</f>
        <v>Organisations must not use or disclose personal information for direct marketing unless specific conditions are met. Exceptions include obtaining consent, the individual reasonably expects marketing, providing an easy opt-out mechanism, and the individual not having opted out. Sensitive information requires explicit consent for direct marketing. Organisations must provide a simple opt-out method and respond to opt-out requests within a reasonable period without charging fees.</v>
      </c>
      <c r="L71" s="7" t="str">
        <f>IF(ISNA(MATCH(62,'Transfer Engine'!$C$2:$C$1199,0)),"",INDEX('Compliance Database'!$L$2:$L$1199,MATCH(62,'Transfer Engine'!$C$2:$C$1199,0)))</f>
        <v>Requires explicit consent or opt-out mechanisms for direct marketing across borders; mandates clear opt-out processes to ensure data subjects can control their marketing communications.</v>
      </c>
      <c r="M71" s="7" t="str">
        <f>IF(ISNA(MATCH(62,'Transfer Engine'!$C$2:$C$1199,0)),"",INDEX('Compliance Database'!$M$2:$M$1199,MATCH(62,'Transfer Engine'!$C$2:$C$1199,0)))</f>
        <v>• [Must Not] Organisation must not use or disclose personal information for direct marketing
• [Condition] Organisation may use personal information for direct marketing if individual reasonably expects use
• [Must] Organisation must provide simple opt-out mechanism for direct marketing</v>
      </c>
      <c r="N71" s="7" t="str">
        <f>IF(ISNA(MATCH(62,'Transfer Engine'!$C$2:$C$1199,0)),"",INDEX('Compliance Database'!$N$2:$N$1199,MATCH(62,'Transfer Engine'!$C$2:$C$1199,0)))</f>
        <v>• [Condition] Individual must not have opted out for direct marketing
• [Must] Organisation must respond to opt-out requests within reasonable period
• [Must Not] Organisation must not charge individual for opt-out requests</v>
      </c>
      <c r="O71" s="7" t="str">
        <f>IF(ISNA(MATCH(62,'Transfer Engine'!$C$2:$C$1199,0)),"",INDEX('Compliance Database'!$O$2:$O$1199,MATCH(62,'Transfer Engine'!$C$2:$C$1199,0)))</f>
        <v>Direct marketing: If an organisation holds personal information about an individual, the organisation must not use or disclose the information for the purpose of direct marketing.</v>
      </c>
      <c r="P71" s="6" t="str">
        <f>IF(ISNA(MATCH(62,'Transfer Engine'!$C$2:$C$1199,0)),"",HYPERLINK("#Acts!A"&amp;INDEX('Compliance Database'!$P$2:$P$1199,MATCH(62,'Transfer Engine'!$C$2:$C$1199,0)),"Go to Act"))</f>
        <v>Go to Act</v>
      </c>
    </row>
    <row r="72" spans="1:16" ht="172.95" customHeight="1" x14ac:dyDescent="0.3">
      <c r="A72" s="6" t="str">
        <f>IF(ISNA(MATCH(63,'Transfer Engine'!$C$2:$C$1199,0)),"",INDEX('Compliance Database'!$A$2:$A$1199,MATCH(63,'Transfer Engine'!$C$2:$C$1199,0)))</f>
        <v>Australia</v>
      </c>
      <c r="B72" s="6" t="str">
        <f>IF(ISNA(MATCH(63,'Transfer Engine'!$C$2:$C$1199,0)),"",INDEX('Compliance Database'!$B$2:$B$1199,MATCH(63,'Transfer Engine'!$C$2:$C$1199,0)))</f>
        <v>C2026C00227-1 (Australia - Row 21)</v>
      </c>
      <c r="C72" s="6" t="str">
        <f>IF(ISNA(MATCH(63,'Transfer Engine'!$C$2:$C$1199,0)),"",INDEX('Compliance Database'!$C$2:$C$1199,MATCH(63,'Transfer Engine'!$C$2:$C$1199,0)))</f>
        <v>8</v>
      </c>
      <c r="D72" s="7" t="str">
        <f>IF(ISNA(MATCH(63,'Transfer Engine'!$C$2:$C$1199,0)),"",INDEX('Compliance Database'!$D$2:$D$1199,MATCH(63,'Transfer Engine'!$C$2:$C$1199,0)))</f>
        <v>Cross-border data disclosure safeguards</v>
      </c>
      <c r="E72" s="6" t="str">
        <f>IF(ISNA(MATCH(63,'Transfer Engine'!$C$2:$C$1199,0)),"",INDEX('Compliance Database'!$E$2:$E$1199,MATCH(63,'Transfer Engine'!$C$2:$C$1199,0)))</f>
        <v>392–394</v>
      </c>
      <c r="F72" s="6" t="str">
        <f>IF(ISNA(MATCH(63,'Transfer Engine'!$C$2:$C$1199,0)),"",INDEX('Compliance Database'!$F$2:$F$1199,MATCH(63,'Transfer Engine'!$C$2:$C$1199,0)))</f>
        <v>High</v>
      </c>
      <c r="G72" s="6" t="str">
        <f>IF(ISNA(MATCH(63,'Transfer Engine'!$C$2:$C$1199,0)),"",INDEX('Compliance Database'!$G$2:$G$1199,MATCH(63,'Transfer Engine'!$C$2:$C$1199,0)))</f>
        <v>High (explicit)</v>
      </c>
      <c r="H72" s="7" t="str">
        <f>IF(ISNA(MATCH(63,'Transfer Engine'!$C$2:$C$1199,0)),"",INDEX('Compliance Database'!$H$2:$H$1199,MATCH(63,'Transfer Engine'!$C$2:$C$1199,0)))</f>
        <v>Cross-border Transfer, Security, Consent</v>
      </c>
      <c r="I72" s="7" t="str">
        <f>IF(ISNA(MATCH(63,'Transfer Engine'!$C$2:$C$1199,0)),"",INDEX('Compliance Database'!$I$2:$I$1199,MATCH(63,'Transfer Engine'!$C$2:$C$1199,0)))</f>
        <v>Personal Information</v>
      </c>
      <c r="J72" s="6" t="str">
        <f>IF(ISNA(MATCH(63,'Transfer Engine'!$C$2:$C$1199,0)),"",INDEX('Compliance Database'!$J$2:$J$1199,MATCH(63,'Transfer Engine'!$C$2:$C$1199,0)))</f>
        <v>Privacy Act 1988 (Cth)</v>
      </c>
      <c r="K72" s="7" t="str">
        <f>IF(ISNA(MATCH(63,'Transfer Engine'!$C$2:$C$1199,0)),"",INDEX('Compliance Database'!$K$2:$K$1199,MATCH(63,'Transfer Engine'!$C$2:$C$1199,0)))</f>
        <v>Before disclosing personal information to overseas recipients, entities must ensure the recipient does not breach Australian Privacy Principles. Exceptions include where the recipient is subject to equivalent laws, individuals have consented, disclosures are legally required, or specific permitted situations exist. Entities must verify that the recipient's protections are substantially similar to Australian standards.</v>
      </c>
      <c r="L72" s="7" t="str">
        <f>IF(ISNA(MATCH(63,'Transfer Engine'!$C$2:$C$1199,0)),"",INDEX('Compliance Database'!$L$2:$L$1199,MATCH(63,'Transfer Engine'!$C$2:$C$1199,0)))</f>
        <v>Requires robust safeguards for cross-border data transfers, including equivalent legal protections or explicit consent, to prevent breaches of Australian privacy standards when transferring data internationally.</v>
      </c>
      <c r="M72" s="7" t="str">
        <f>IF(ISNA(MATCH(63,'Transfer Engine'!$C$2:$C$1199,0)),"",INDEX('Compliance Database'!$M$2:$M$1199,MATCH(63,'Transfer Engine'!$C$2:$C$1199,0)))</f>
        <v>• [Must] Entity must ensure overseas recipient does not breach Australian Privacy Principles
• [Condition] Recipient must have equivalent legal protections to Australian Privacy Principles
• [Condition] Individual must consent to disclosure after being informed</v>
      </c>
      <c r="N72" s="7" t="str">
        <f>IF(ISNA(MATCH(63,'Transfer Engine'!$C$2:$C$1199,0)),"",INDEX('Compliance Database'!$N$2:$N$1199,MATCH(63,'Transfer Engine'!$C$2:$C$1199,0)))</f>
        <v>• [Condition] Disclosure must be legally required or authorized by Australian law
• [Condition] Entity must verify recipient is subject to prescribed country or binding scheme</v>
      </c>
      <c r="O72" s="7" t="str">
        <f>IF(ISNA(MATCH(63,'Transfer Engine'!$C$2:$C$1199,0)),"",INDEX('Compliance Database'!$O$2:$O$1199,MATCH(63,'Transfer Engine'!$C$2:$C$1199,0)))</f>
        <v>Before an APP entity discloses personal information about an individual to a person (the overseas recipient) who is not in Australia or an external Territory and who is not the entity or the individual, the entity must ensure the overseas recipient does not breach the Australian Privacy Principles.</v>
      </c>
      <c r="P72" s="6" t="str">
        <f>IF(ISNA(MATCH(63,'Transfer Engine'!$C$2:$C$1199,0)),"",HYPERLINK("#Acts!A"&amp;INDEX('Compliance Database'!$P$2:$P$1199,MATCH(63,'Transfer Engine'!$C$2:$C$1199,0)),"Go to Act"))</f>
        <v>Go to Act</v>
      </c>
    </row>
    <row r="73" spans="1:16" ht="172.95" customHeight="1" x14ac:dyDescent="0.3">
      <c r="A73" s="6" t="str">
        <f>IF(ISNA(MATCH(64,'Transfer Engine'!$C$2:$C$1199,0)),"",INDEX('Compliance Database'!$A$2:$A$1199,MATCH(64,'Transfer Engine'!$C$2:$C$1199,0)))</f>
        <v>Australia</v>
      </c>
      <c r="B73" s="6" t="str">
        <f>IF(ISNA(MATCH(64,'Transfer Engine'!$C$2:$C$1199,0)),"",INDEX('Compliance Database'!$B$2:$B$1199,MATCH(64,'Transfer Engine'!$C$2:$C$1199,0)))</f>
        <v>C2026C00227-1 (Australia - Row 21)</v>
      </c>
      <c r="C73" s="6" t="str">
        <f>IF(ISNA(MATCH(64,'Transfer Engine'!$C$2:$C$1199,0)),"",INDEX('Compliance Database'!$C$2:$C$1199,MATCH(64,'Transfer Engine'!$C$2:$C$1199,0)))</f>
        <v>9</v>
      </c>
      <c r="D73" s="7" t="str">
        <f>IF(ISNA(MATCH(64,'Transfer Engine'!$C$2:$C$1199,0)),"",INDEX('Compliance Database'!$D$2:$D$1199,MATCH(64,'Transfer Engine'!$C$2:$C$1199,0)))</f>
        <v>Government identifiers usage restrictions</v>
      </c>
      <c r="E73" s="6" t="str">
        <f>IF(ISNA(MATCH(64,'Transfer Engine'!$C$2:$C$1199,0)),"",INDEX('Compliance Database'!$E$2:$E$1199,MATCH(64,'Transfer Engine'!$C$2:$C$1199,0)))</f>
        <v>394–396</v>
      </c>
      <c r="F73" s="6" t="str">
        <f>IF(ISNA(MATCH(64,'Transfer Engine'!$C$2:$C$1199,0)),"",INDEX('Compliance Database'!$F$2:$F$1199,MATCH(64,'Transfer Engine'!$C$2:$C$1199,0)))</f>
        <v>High</v>
      </c>
      <c r="G73" s="6" t="str">
        <f>IF(ISNA(MATCH(64,'Transfer Engine'!$C$2:$C$1199,0)),"",INDEX('Compliance Database'!$G$2:$G$1199,MATCH(64,'Transfer Engine'!$C$2:$C$1199,0)))</f>
        <v>High (explicit)</v>
      </c>
      <c r="H73" s="7" t="str">
        <f>IF(ISNA(MATCH(64,'Transfer Engine'!$C$2:$C$1199,0)),"",INDEX('Compliance Database'!$H$2:$H$1199,MATCH(64,'Transfer Engine'!$C$2:$C$1199,0)))</f>
        <v>Data Sharing, Consent</v>
      </c>
      <c r="I73" s="7" t="str">
        <f>IF(ISNA(MATCH(64,'Transfer Engine'!$C$2:$C$1199,0)),"",INDEX('Compliance Database'!$I$2:$I$1199,MATCH(64,'Transfer Engine'!$C$2:$C$1199,0)))</f>
        <v>Personal Information</v>
      </c>
      <c r="J73" s="6" t="str">
        <f>IF(ISNA(MATCH(64,'Transfer Engine'!$C$2:$C$1199,0)),"",INDEX('Compliance Database'!$J$2:$J$1199,MATCH(64,'Transfer Engine'!$C$2:$C$1199,0)))</f>
        <v>Privacy Act 1988 (Cth)</v>
      </c>
      <c r="K73" s="7" t="str">
        <f>IF(ISNA(MATCH(64,'Transfer Engine'!$C$2:$C$1199,0)),"",INDEX('Compliance Database'!$K$2:$K$1199,MATCH(64,'Transfer Engine'!$C$2:$C$1199,0)))</f>
        <v>Organisations must not adopt or use government-related identifiers without legal authorization or regulatory approval. Usage must be necessary for identity verification, fulfilling obligations to authorities, or complying with specific legal requirements. Entities must follow prescribed regulations for identifier adoption and use.</v>
      </c>
      <c r="L73" s="7" t="str">
        <f>IF(ISNA(MATCH(64,'Transfer Engine'!$C$2:$C$1199,0)),"",INDEX('Compliance Database'!$L$2:$L$1199,MATCH(64,'Transfer Engine'!$C$2:$C$1199,0)))</f>
        <v>Restricts cross-border data transfers involving government identifiers by requiring legal authorization or regulatory compliance to ensure data integrity and privacy.</v>
      </c>
      <c r="M73" s="7" t="str">
        <f>IF(ISNA(MATCH(64,'Transfer Engine'!$C$2:$C$1199,0)),"",INDEX('Compliance Database'!$M$2:$M$1199,MATCH(64,'Transfer Engine'!$C$2:$C$1199,0)))</f>
        <v>• [Must Not] Organisation must not adopt government-related identifiers without legal authorization
• [Condition] Use of government identifiers must be necessary for identity verification</v>
      </c>
      <c r="N73" s="7" t="str">
        <f>IF(ISNA(MATCH(64,'Transfer Engine'!$C$2:$C$1199,0)),"",INDEX('Compliance Database'!$N$2:$N$1199,MATCH(64,'Transfer Engine'!$C$2:$C$1199,0)))</f>
        <v>• [Condition] Use of government identifiers must be necessary for fulfilling obligations to authorities
• [Condition] Use of government identifiers must comply with legal requirements</v>
      </c>
      <c r="O73" s="7" t="str">
        <f>IF(ISNA(MATCH(64,'Transfer Engine'!$C$2:$C$1199,0)),"",INDEX('Compliance Database'!$O$2:$O$1199,MATCH(64,'Transfer Engine'!$C$2:$C$1199,0)))</f>
        <v>An organisation must not adopt a government related identifier of an individual as its own identifier of the individual unless the adoption is required or authorised by or under an Australian law.</v>
      </c>
      <c r="P73" s="6" t="str">
        <f>IF(ISNA(MATCH(64,'Transfer Engine'!$C$2:$C$1199,0)),"",HYPERLINK("#Acts!A"&amp;INDEX('Compliance Database'!$P$2:$P$1199,MATCH(64,'Transfer Engine'!$C$2:$C$1199,0)),"Go to Act"))</f>
        <v>Go to Act</v>
      </c>
    </row>
    <row r="74" spans="1:16" ht="172.95" customHeight="1" x14ac:dyDescent="0.3">
      <c r="A74" s="6" t="str">
        <f>IF(ISNA(MATCH(65,'Transfer Engine'!$C$2:$C$1199,0)),"",INDEX('Compliance Database'!$A$2:$A$1199,MATCH(65,'Transfer Engine'!$C$2:$C$1199,0)))</f>
        <v>Australia</v>
      </c>
      <c r="B74" s="6" t="str">
        <f>IF(ISNA(MATCH(65,'Transfer Engine'!$C$2:$C$1199,0)),"",INDEX('Compliance Database'!$B$2:$B$1199,MATCH(65,'Transfer Engine'!$C$2:$C$1199,0)))</f>
        <v>C2026C00227-1 (Australia - Row 21)</v>
      </c>
      <c r="C74" s="6" t="str">
        <f>IF(ISNA(MATCH(65,'Transfer Engine'!$C$2:$C$1199,0)),"",INDEX('Compliance Database'!$C$2:$C$1199,MATCH(65,'Transfer Engine'!$C$2:$C$1199,0)))</f>
        <v>10</v>
      </c>
      <c r="D74" s="7" t="str">
        <f>IF(ISNA(MATCH(65,'Transfer Engine'!$C$2:$C$1199,0)),"",INDEX('Compliance Database'!$D$2:$D$1199,MATCH(65,'Transfer Engine'!$C$2:$C$1199,0)))</f>
        <v>Personal information accuracy and completeness</v>
      </c>
      <c r="E74" s="6" t="str">
        <f>IF(ISNA(MATCH(65,'Transfer Engine'!$C$2:$C$1199,0)),"",INDEX('Compliance Database'!$E$2:$E$1199,MATCH(65,'Transfer Engine'!$C$2:$C$1199,0)))</f>
        <v>396</v>
      </c>
      <c r="F74" s="6" t="str">
        <f>IF(ISNA(MATCH(65,'Transfer Engine'!$C$2:$C$1199,0)),"",INDEX('Compliance Database'!$F$2:$F$1199,MATCH(65,'Transfer Engine'!$C$2:$C$1199,0)))</f>
        <v>High</v>
      </c>
      <c r="G74" s="6" t="str">
        <f>IF(ISNA(MATCH(65,'Transfer Engine'!$C$2:$C$1199,0)),"",INDEX('Compliance Database'!$G$2:$G$1199,MATCH(65,'Transfer Engine'!$C$2:$C$1199,0)))</f>
        <v>High (explicit)</v>
      </c>
      <c r="H74" s="7">
        <f>IF(ISNA(MATCH(65,'Transfer Engine'!$C$2:$C$1199,0)),"",INDEX('Compliance Database'!$H$2:$H$1199,MATCH(65,'Transfer Engine'!$C$2:$C$1199,0)))</f>
        <v>0</v>
      </c>
      <c r="I74" s="7" t="str">
        <f>IF(ISNA(MATCH(65,'Transfer Engine'!$C$2:$C$1199,0)),"",INDEX('Compliance Database'!$I$2:$I$1199,MATCH(65,'Transfer Engine'!$C$2:$C$1199,0)))</f>
        <v>Personal Information</v>
      </c>
      <c r="J74" s="6" t="str">
        <f>IF(ISNA(MATCH(65,'Transfer Engine'!$C$2:$C$1199,0)),"",INDEX('Compliance Database'!$J$2:$J$1199,MATCH(65,'Transfer Engine'!$C$2:$C$1199,0)))</f>
        <v>Privacy Act 1988 (Cth)</v>
      </c>
      <c r="K74" s="7" t="str">
        <f>IF(ISNA(MATCH(65,'Transfer Engine'!$C$2:$C$1199,0)),"",INDEX('Compliance Database'!$K$2:$K$1199,MATCH(65,'Transfer Engine'!$C$2:$C$1199,0)))</f>
        <v>Entities must ensure personal information is accurate, up-to-date, and complete when collected and when used or disclosed. This includes verifying data relevance to the intended purpose to maintain data quality and privacy compliance.</v>
      </c>
      <c r="L74" s="7" t="str">
        <f>IF(ISNA(MATCH(65,'Transfer Engine'!$C$2:$C$1199,0)),"",INDEX('Compliance Database'!$L$2:$L$1199,MATCH(65,'Transfer Engine'!$C$2:$C$1199,0)))</f>
        <v>Ensures data accuracy and completeness for cross-border transfers by requiring entities to maintain high-quality data, reducing risks of breaches and non-compliance.</v>
      </c>
      <c r="M74" s="7" t="str">
        <f>IF(ISNA(MATCH(65,'Transfer Engine'!$C$2:$C$1199,0)),"",INDEX('Compliance Database'!$M$2:$M$1199,MATCH(65,'Transfer Engine'!$C$2:$C$1199,0)))</f>
        <v>• [Must] Entity must ensure personal information is accurate, up-to-date, and complete</v>
      </c>
      <c r="N74" s="7" t="str">
        <f>IF(ISNA(MATCH(65,'Transfer Engine'!$C$2:$C$1199,0)),"",INDEX('Compliance Database'!$N$2:$N$1199,MATCH(65,'Transfer Engine'!$C$2:$C$1199,0)))</f>
        <v>• [Must] Entity must ensure personal information is relevant to the purpose of use or disclosure</v>
      </c>
      <c r="O74" s="7" t="str">
        <f>IF(ISNA(MATCH(65,'Transfer Engine'!$C$2:$C$1199,0)),"",INDEX('Compliance Database'!$O$2:$O$1199,MATCH(65,'Transfer Engine'!$C$2:$C$1199,0)))</f>
        <v>An APP entity must take such steps as are reasonable in the circumstances to ensure that the personal information that the entity collects is accurate, up-to-date and complete.</v>
      </c>
      <c r="P74" s="6" t="str">
        <f>IF(ISNA(MATCH(65,'Transfer Engine'!$C$2:$C$1199,0)),"",HYPERLINK("#Acts!A"&amp;INDEX('Compliance Database'!$P$2:$P$1199,MATCH(65,'Transfer Engine'!$C$2:$C$1199,0)),"Go to Act"))</f>
        <v>Go to Act</v>
      </c>
    </row>
    <row r="75" spans="1:16" ht="172.95" customHeight="1" x14ac:dyDescent="0.3">
      <c r="A75" s="6" t="str">
        <f>IF(ISNA(MATCH(66,'Transfer Engine'!$C$2:$C$1199,0)),"",INDEX('Compliance Database'!$A$2:$A$1199,MATCH(66,'Transfer Engine'!$C$2:$C$1199,0)))</f>
        <v>Australia</v>
      </c>
      <c r="B75" s="6" t="str">
        <f>IF(ISNA(MATCH(66,'Transfer Engine'!$C$2:$C$1199,0)),"",INDEX('Compliance Database'!$B$2:$B$1199,MATCH(66,'Transfer Engine'!$C$2:$C$1199,0)))</f>
        <v>C2026C00227-1 (Australia - Row 21)</v>
      </c>
      <c r="C75" s="6" t="str">
        <f>IF(ISNA(MATCH(66,'Transfer Engine'!$C$2:$C$1199,0)),"",INDEX('Compliance Database'!$C$2:$C$1199,MATCH(66,'Transfer Engine'!$C$2:$C$1199,0)))</f>
        <v>11</v>
      </c>
      <c r="D75" s="7" t="str">
        <f>IF(ISNA(MATCH(66,'Transfer Engine'!$C$2:$C$1199,0)),"",INDEX('Compliance Database'!$D$2:$D$1199,MATCH(66,'Transfer Engine'!$C$2:$C$1199,0)))</f>
        <v>Personal information security measures</v>
      </c>
      <c r="E75" s="6" t="str">
        <f>IF(ISNA(MATCH(66,'Transfer Engine'!$C$2:$C$1199,0)),"",INDEX('Compliance Database'!$E$2:$E$1199,MATCH(66,'Transfer Engine'!$C$2:$C$1199,0)))</f>
        <v>396–398</v>
      </c>
      <c r="F75" s="6" t="str">
        <f>IF(ISNA(MATCH(66,'Transfer Engine'!$C$2:$C$1199,0)),"",INDEX('Compliance Database'!$F$2:$F$1199,MATCH(66,'Transfer Engine'!$C$2:$C$1199,0)))</f>
        <v>High</v>
      </c>
      <c r="G75" s="6" t="str">
        <f>IF(ISNA(MATCH(66,'Transfer Engine'!$C$2:$C$1199,0)),"",INDEX('Compliance Database'!$G$2:$G$1199,MATCH(66,'Transfer Engine'!$C$2:$C$1199,0)))</f>
        <v>High (explicit)</v>
      </c>
      <c r="H75" s="7" t="str">
        <f>IF(ISNA(MATCH(66,'Transfer Engine'!$C$2:$C$1199,0)),"",INDEX('Compliance Database'!$H$2:$H$1199,MATCH(66,'Transfer Engine'!$C$2:$C$1199,0)))</f>
        <v>Security</v>
      </c>
      <c r="I75" s="7" t="str">
        <f>IF(ISNA(MATCH(66,'Transfer Engine'!$C$2:$C$1199,0)),"",INDEX('Compliance Database'!$I$2:$I$1199,MATCH(66,'Transfer Engine'!$C$2:$C$1199,0)))</f>
        <v>Personal Information</v>
      </c>
      <c r="J75" s="6" t="str">
        <f>IF(ISNA(MATCH(66,'Transfer Engine'!$C$2:$C$1199,0)),"",INDEX('Compliance Database'!$J$2:$J$1199,MATCH(66,'Transfer Engine'!$C$2:$C$1199,0)))</f>
        <v>Privacy Act 1988 (Cth)</v>
      </c>
      <c r="K75" s="7" t="str">
        <f>IF(ISNA(MATCH(66,'Transfer Engine'!$C$2:$C$1199,0)),"",INDEX('Compliance Database'!$K$2:$K$1199,MATCH(66,'Transfer Engine'!$C$2:$C$1199,0)))</f>
        <v>Entities must implement technical and organizational measures to protect personal information from unauthorized access, use, or disclosure. This includes ensuring data security during storage and transmission to prevent breaches and maintain confidentiality.</v>
      </c>
      <c r="L75" s="7" t="str">
        <f>IF(ISNA(MATCH(66,'Transfer Engine'!$C$2:$C$1199,0)),"",INDEX('Compliance Database'!$L$2:$L$1199,MATCH(66,'Transfer Engine'!$C$2:$C$1199,0)))</f>
        <v>Requires robust security measures for cross-border data transfers to protect personal information from breaches, ensuring compliance with international data transfer standards.</v>
      </c>
      <c r="M75" s="7" t="str">
        <f>IF(ISNA(MATCH(66,'Transfer Engine'!$C$2:$C$1199,0)),"",INDEX('Compliance Database'!$M$2:$M$1199,MATCH(66,'Transfer Engine'!$C$2:$C$1199,0)))</f>
        <v>• [Must] Entity must take reasonable steps to protect personal information</v>
      </c>
      <c r="N75" s="7" t="str">
        <f>IF(ISNA(MATCH(66,'Transfer Engine'!$C$2:$C$1199,0)),"",INDEX('Compliance Database'!$N$2:$N$1199,MATCH(66,'Transfer Engine'!$C$2:$C$1199,0)))</f>
        <v>• [Must] Entity must implement technical and organizational measures for security</v>
      </c>
      <c r="O75" s="7" t="str">
        <f>IF(ISNA(MATCH(66,'Transfer Engine'!$C$2:$C$1199,0)),"",INDEX('Compliance Database'!$O$2:$O$1199,MATCH(66,'Transfer Engine'!$C$2:$C$1199,0)))</f>
        <v>If an APP entity holds personal information, the entity must take such steps as are reasonable in the circumstances to protect the information.</v>
      </c>
      <c r="P75" s="6" t="str">
        <f>IF(ISNA(MATCH(66,'Transfer Engine'!$C$2:$C$1199,0)),"",HYPERLINK("#Acts!A"&amp;INDEX('Compliance Database'!$P$2:$P$1199,MATCH(66,'Transfer Engine'!$C$2:$C$1199,0)),"Go to Act"))</f>
        <v>Go to Act</v>
      </c>
    </row>
    <row r="76" spans="1:16" ht="172.95" customHeight="1" x14ac:dyDescent="0.3">
      <c r="A76" s="6" t="str">
        <f>IF(ISNA(MATCH(67,'Transfer Engine'!$C$2:$C$1199,0)),"",INDEX('Compliance Database'!$A$2:$A$1199,MATCH(67,'Transfer Engine'!$C$2:$C$1199,0)))</f>
        <v>Australia</v>
      </c>
      <c r="B76" s="6" t="str">
        <f>IF(ISNA(MATCH(67,'Transfer Engine'!$C$2:$C$1199,0)),"",INDEX('Compliance Database'!$B$2:$B$1199,MATCH(67,'Transfer Engine'!$C$2:$C$1199,0)))</f>
        <v>C2026C00227-1 (Australia - Row 21)</v>
      </c>
      <c r="C76" s="6" t="str">
        <f>IF(ISNA(MATCH(67,'Transfer Engine'!$C$2:$C$1199,0)),"",INDEX('Compliance Database'!$C$2:$C$1199,MATCH(67,'Transfer Engine'!$C$2:$C$1199,0)))</f>
        <v>12</v>
      </c>
      <c r="D76" s="7" t="str">
        <f>IF(ISNA(MATCH(67,'Transfer Engine'!$C$2:$C$1199,0)),"",INDEX('Compliance Database'!$D$2:$D$1199,MATCH(67,'Transfer Engine'!$C$2:$C$1199,0)))</f>
        <v>Individual access to personal information</v>
      </c>
      <c r="E76" s="6" t="str">
        <f>IF(ISNA(MATCH(67,'Transfer Engine'!$C$2:$C$1199,0)),"",INDEX('Compliance Database'!$E$2:$E$1199,MATCH(67,'Transfer Engine'!$C$2:$C$1199,0)))</f>
        <v>398–401</v>
      </c>
      <c r="F76" s="6" t="str">
        <f>IF(ISNA(MATCH(67,'Transfer Engine'!$C$2:$C$1199,0)),"",INDEX('Compliance Database'!$F$2:$F$1199,MATCH(67,'Transfer Engine'!$C$2:$C$1199,0)))</f>
        <v>High</v>
      </c>
      <c r="G76" s="6" t="str">
        <f>IF(ISNA(MATCH(67,'Transfer Engine'!$C$2:$C$1199,0)),"",INDEX('Compliance Database'!$G$2:$G$1199,MATCH(67,'Transfer Engine'!$C$2:$C$1199,0)))</f>
        <v>High (explicit)</v>
      </c>
      <c r="H76" s="7">
        <f>IF(ISNA(MATCH(67,'Transfer Engine'!$C$2:$C$1199,0)),"",INDEX('Compliance Database'!$H$2:$H$1199,MATCH(67,'Transfer Engine'!$C$2:$C$1199,0)))</f>
        <v>0</v>
      </c>
      <c r="I76" s="7" t="str">
        <f>IF(ISNA(MATCH(67,'Transfer Engine'!$C$2:$C$1199,0)),"",INDEX('Compliance Database'!$I$2:$I$1199,MATCH(67,'Transfer Engine'!$C$2:$C$1199,0)))</f>
        <v>Personal Information</v>
      </c>
      <c r="J76" s="6" t="str">
        <f>IF(ISNA(MATCH(67,'Transfer Engine'!$C$2:$C$1199,0)),"",INDEX('Compliance Database'!$J$2:$J$1199,MATCH(67,'Transfer Engine'!$C$2:$C$1199,0)))</f>
        <v>Privacy Act 1988 (Cth)</v>
      </c>
      <c r="K76" s="7" t="str">
        <f>IF(ISNA(MATCH(67,'Transfer Engine'!$C$2:$C$1199,0)),"",INDEX('Compliance Database'!$K$2:$K$1199,MATCH(67,'Transfer Engine'!$C$2:$C$1199,0)))</f>
        <v>Entities must provide individuals with access to their personal information upon request, with exceptions for legal obligations, privacy risks, or commercial sensitivity. Entities must respond within 30 days for agencies and a reasonable period for organizations, and may use intermediaries to facilitate access without charging fees.</v>
      </c>
      <c r="L76" s="7" t="str">
        <f>IF(ISNA(MATCH(67,'Transfer Engine'!$C$2:$C$1199,0)),"",INDEX('Compliance Database'!$L$2:$L$1199,MATCH(67,'Transfer Engine'!$C$2:$C$1199,0)))</f>
        <v>Ensures individuals can access their personal information across borders, with clear timelines and mechanisms for resolving access disputes, critical for data subject rights in international contexts.</v>
      </c>
      <c r="M76" s="7" t="str">
        <f>IF(ISNA(MATCH(67,'Transfer Engine'!$C$2:$C$1199,0)),"",INDEX('Compliance Database'!$M$2:$M$1199,MATCH(67,'Transfer Engine'!$C$2:$C$1199,0)))</f>
        <v>• [Must] Entity must provide access to personal information upon request
• [Must] Entity must respond to access requests within 30 days for agencies</v>
      </c>
      <c r="N76" s="7" t="str">
        <f>IF(ISNA(MATCH(67,'Transfer Engine'!$C$2:$C$1199,0)),"",INDEX('Compliance Database'!$N$2:$N$1199,MATCH(67,'Transfer Engine'!$C$2:$C$1199,0)))</f>
        <v>• [Must] Entity must respond to access requests within reasonable period for organizations
• [Must Not] Entity must not charge individuals for access requests</v>
      </c>
      <c r="O76" s="7" t="str">
        <f>IF(ISNA(MATCH(67,'Transfer Engine'!$C$2:$C$1199,0)),"",INDEX('Compliance Database'!$O$2:$O$1199,MATCH(67,'Transfer Engine'!$C$2:$C$1199,0)))</f>
        <v>If an APP entity holds personal information about an individual, the entity must, on request by the individual, give the individual access to the information.</v>
      </c>
      <c r="P76" s="6" t="str">
        <f>IF(ISNA(MATCH(67,'Transfer Engine'!$C$2:$C$1199,0)),"",HYPERLINK("#Acts!A"&amp;INDEX('Compliance Database'!$P$2:$P$1199,MATCH(67,'Transfer Engine'!$C$2:$C$1199,0)),"Go to Act"))</f>
        <v>Go to Act</v>
      </c>
    </row>
    <row r="77" spans="1:16" ht="172.95" customHeight="1" x14ac:dyDescent="0.3">
      <c r="A77" s="6" t="str">
        <f>IF(ISNA(MATCH(68,'Transfer Engine'!$C$2:$C$1199,0)),"",INDEX('Compliance Database'!$A$2:$A$1199,MATCH(68,'Transfer Engine'!$C$2:$C$1199,0)))</f>
        <v>Australia</v>
      </c>
      <c r="B77" s="6" t="str">
        <f>IF(ISNA(MATCH(68,'Transfer Engine'!$C$2:$C$1199,0)),"",INDEX('Compliance Database'!$B$2:$B$1199,MATCH(68,'Transfer Engine'!$C$2:$C$1199,0)))</f>
        <v>C2026C00227-1 (Australia - Row 21)</v>
      </c>
      <c r="C77" s="6" t="str">
        <f>IF(ISNA(MATCH(68,'Transfer Engine'!$C$2:$C$1199,0)),"",INDEX('Compliance Database'!$C$2:$C$1199,MATCH(68,'Transfer Engine'!$C$2:$C$1199,0)))</f>
        <v>13</v>
      </c>
      <c r="D77" s="7" t="str">
        <f>IF(ISNA(MATCH(68,'Transfer Engine'!$C$2:$C$1199,0)),"",INDEX('Compliance Database'!$D$2:$D$1199,MATCH(68,'Transfer Engine'!$C$2:$C$1199,0)))</f>
        <v>Correction of personal information requests</v>
      </c>
      <c r="E77" s="6" t="str">
        <f>IF(ISNA(MATCH(68,'Transfer Engine'!$C$2:$C$1199,0)),"",INDEX('Compliance Database'!$E$2:$E$1199,MATCH(68,'Transfer Engine'!$C$2:$C$1199,0)))</f>
        <v>401–408</v>
      </c>
      <c r="F77" s="6" t="str">
        <f>IF(ISNA(MATCH(68,'Transfer Engine'!$C$2:$C$1199,0)),"",INDEX('Compliance Database'!$F$2:$F$1199,MATCH(68,'Transfer Engine'!$C$2:$C$1199,0)))</f>
        <v>Medium</v>
      </c>
      <c r="G77" s="6" t="str">
        <f>IF(ISNA(MATCH(68,'Transfer Engine'!$C$2:$C$1199,0)),"",INDEX('Compliance Database'!$G$2:$G$1199,MATCH(68,'Transfer Engine'!$C$2:$C$1199,0)))</f>
        <v>High (explicit)</v>
      </c>
      <c r="H77" s="7" t="str">
        <f>IF(ISNA(MATCH(68,'Transfer Engine'!$C$2:$C$1199,0)),"",INDEX('Compliance Database'!$H$2:$H$1199,MATCH(68,'Transfer Engine'!$C$2:$C$1199,0)))</f>
        <v>Data Sharing, Data Storage</v>
      </c>
      <c r="I77" s="7" t="str">
        <f>IF(ISNA(MATCH(68,'Transfer Engine'!$C$2:$C$1199,0)),"",INDEX('Compliance Database'!$I$2:$I$1199,MATCH(68,'Transfer Engine'!$C$2:$C$1199,0)))</f>
        <v>Personal Information</v>
      </c>
      <c r="J77" s="6" t="str">
        <f>IF(ISNA(MATCH(68,'Transfer Engine'!$C$2:$C$1199,0)),"",INDEX('Compliance Database'!$J$2:$J$1199,MATCH(68,'Transfer Engine'!$C$2:$C$1199,0)))</f>
        <v>Australian Privacy Principles (APP)</v>
      </c>
      <c r="K77" s="7" t="str">
        <f>IF(ISNA(MATCH(68,'Transfer Engine'!$C$2:$C$1199,0)),"",INDEX('Compliance Database'!$K$2:$K$1199,MATCH(68,'Transfer Engine'!$C$2:$C$1199,0)))</f>
        <v>An APP entity must correct inaccurate, outdated, incomplete, irrelevant, or misleading personal information when the entity determines it is inaccurate or the individual requests correction. The entity must also notify other APP entities if the correction affects previously disclosed information and the individual requests such notification. The entity must respond to correction requests within 30 days if it is an agency or within a reasonable period if it is an organisation. The entity must not charge the individual for these services.</v>
      </c>
      <c r="L77" s="7" t="str">
        <f>IF(ISNA(MATCH(68,'Transfer Engine'!$C$2:$C$1199,0)),"",INDEX('Compliance Database'!$L$2:$L$1199,MATCH(68,'Transfer Engine'!$C$2:$C$1199,0)))</f>
        <v>This section requires entities to correct personal information upon request and notify third parties when corrections are made, impacting data transfer and storage practices across borders where personal information is shared.</v>
      </c>
      <c r="M77" s="7" t="str">
        <f>IF(ISNA(MATCH(68,'Transfer Engine'!$C$2:$C$1199,0)),"",INDEX('Compliance Database'!$M$2:$M$1199,MATCH(68,'Transfer Engine'!$C$2:$C$1199,0)))</f>
        <v>• [Must] If an APP entity holds personal information about an individual and the entity is satisfied the information is inaccurate, out-of-date, incomplete, irrelevant or misleading, the entity must correct the information.
• [Must] If an APP entity corrects personal information previously disclosed to another APP entity and the individual requests notification, the entity must notify the other entity unless impracticable or unlawful.
• [Must] If an APP entity refuses to correct personal information, it must provide written notice with reasons for refusal, complaint mechanisms, and any other prescribed matters.</v>
      </c>
      <c r="N77" s="7" t="str">
        <f>IF(ISNA(MATCH(68,'Transfer Engine'!$C$2:$C$1199,0)),"",INDEX('Compliance Database'!$N$2:$N$1199,MATCH(68,'Transfer Engine'!$C$2:$C$1199,0)))</f>
        <v>• [Must] If an APP entity refuses to correct personal information and the individual requests a statement of inaccuracy, the entity must associate the statement in a way that makes it apparent to users.
• [Must] APP entities must respond to correction requests within 30 days if they are agencies or within a reasonable period if they are organisations.
• [Must Not] APP entities must not charge individuals for making correction requests, correcting information, or associating statements.</v>
      </c>
      <c r="O77" s="7" t="str">
        <f>IF(ISNA(MATCH(68,'Transfer Engine'!$C$2:$C$1199,0)),"",INDEX('Compliance Database'!$O$2:$O$1199,MATCH(68,'Transfer Engine'!$C$2:$C$1199,0)))</f>
        <v>13.1 If: (a) an APP entity holds personal information about an individual; (b) either: (i) the entity is satisfied that, having regard to a purpose for which the information is held, the information is inaccurate, out-of-date, incomplete, irrelevant or misleading; or (ii) the individual requests the entity to correct the information; the entity must take such steps (if any) as are reasonable in the circumstances to correct that information...</v>
      </c>
      <c r="P77" s="6" t="str">
        <f>IF(ISNA(MATCH(68,'Transfer Engine'!$C$2:$C$1199,0)),"",HYPERLINK("#Acts!A"&amp;INDEX('Compliance Database'!$P$2:$P$1199,MATCH(68,'Transfer Engine'!$C$2:$C$1199,0)),"Go to Act"))</f>
        <v>Go to Act</v>
      </c>
    </row>
    <row r="78" spans="1:16" ht="172.95" customHeight="1" x14ac:dyDescent="0.3">
      <c r="A78" s="6" t="str">
        <f>IF(ISNA(MATCH(69,'Transfer Engine'!$C$2:$C$1199,0)),"",INDEX('Compliance Database'!$A$2:$A$1199,MATCH(69,'Transfer Engine'!$C$2:$C$1199,0)))</f>
        <v>Australia</v>
      </c>
      <c r="B78" s="6" t="str">
        <f>IF(ISNA(MATCH(69,'Transfer Engine'!$C$2:$C$1199,0)),"",INDEX('Compliance Database'!$B$2:$B$1199,MATCH(69,'Transfer Engine'!$C$2:$C$1199,0)))</f>
        <v>C2026C00227-1 (Australia - Row 21)</v>
      </c>
      <c r="C78" s="6" t="str">
        <f>IF(ISNA(MATCH(69,'Transfer Engine'!$C$2:$C$1199,0)),"",INDEX('Compliance Database'!$C$2:$C$1199,MATCH(69,'Transfer Engine'!$C$2:$C$1199,0)))</f>
        <v>13 (part 3)</v>
      </c>
      <c r="D78" s="7" t="str">
        <f>IF(ISNA(MATCH(69,'Transfer Engine'!$C$2:$C$1199,0)),"",INDEX('Compliance Database'!$D$2:$D$1199,MATCH(69,'Transfer Engine'!$C$2:$C$1199,0)))</f>
        <v>Effect of apology on privacy liability</v>
      </c>
      <c r="E78" s="6" t="str">
        <f>IF(ISNA(MATCH(69,'Transfer Engine'!$C$2:$C$1199,0)),"",INDEX('Compliance Database'!$E$2:$E$1199,MATCH(69,'Transfer Engine'!$C$2:$C$1199,0)))</f>
        <v>414–421</v>
      </c>
      <c r="F78" s="6" t="str">
        <f>IF(ISNA(MATCH(69,'Transfer Engine'!$C$2:$C$1199,0)),"",INDEX('Compliance Database'!$F$2:$F$1199,MATCH(69,'Transfer Engine'!$C$2:$C$1199,0)))</f>
        <v>None</v>
      </c>
      <c r="G78" s="6" t="str">
        <f>IF(ISNA(MATCH(69,'Transfer Engine'!$C$2:$C$1199,0)),"",INDEX('Compliance Database'!$G$2:$G$1199,MATCH(69,'Transfer Engine'!$C$2:$C$1199,0)))</f>
        <v>High (explicit)</v>
      </c>
      <c r="H78" s="7" t="str">
        <f>IF(ISNA(MATCH(69,'Transfer Engine'!$C$2:$C$1199,0)),"",INDEX('Compliance Database'!$H$2:$H$1199,MATCH(69,'Transfer Engine'!$C$2:$C$1199,0)))</f>
        <v>Consent, Incident Reporting, Breach Notification</v>
      </c>
      <c r="I78" s="7" t="str">
        <f>IF(ISNA(MATCH(69,'Transfer Engine'!$C$2:$C$1199,0)),"",INDEX('Compliance Database'!$I$2:$I$1199,MATCH(69,'Transfer Engine'!$C$2:$C$1199,0)))</f>
        <v>Personal Information</v>
      </c>
      <c r="J78" s="6">
        <f>IF(ISNA(MATCH(69,'Transfer Engine'!$C$2:$C$1199,0)),"",INDEX('Compliance Database'!$J$2:$J$1199,MATCH(69,'Transfer Engine'!$C$2:$C$1199,0)))</f>
        <v>0</v>
      </c>
      <c r="K78" s="7" t="str">
        <f>IF(ISNA(MATCH(69,'Transfer Engine'!$C$2:$C$1199,0)),"",INDEX('Compliance Database'!$K$2:$K$1199,MATCH(69,'Transfer Engine'!$C$2:$C$1199,0)))</f>
        <v>This section clarifies that an apology made by a defendant in connection with an invasion of privacy does not constitute an admission of fault or liability. It also states that an apology is not relevant to determining fault or liability in privacy cases. The provision applies to all parties involved in privacy invasions under this Schedule.</v>
      </c>
      <c r="L78" s="7">
        <f>IF(ISNA(MATCH(69,'Transfer Engine'!$C$2:$C$1199,0)),"",INDEX('Compliance Database'!$L$2:$L$1199,MATCH(69,'Transfer Engine'!$C$2:$C$1199,0)))</f>
        <v>0</v>
      </c>
      <c r="M78" s="7" t="str">
        <f>IF(ISNA(MATCH(69,'Transfer Engine'!$C$2:$C$1199,0)),"",INDEX('Compliance Database'!$M$2:$M$1199,MATCH(69,'Transfer Engine'!$C$2:$C$1199,0)))</f>
        <v>• [Must Not] An apology made by or on behalf of the defendant in connection with the invasion of privacy does not constitute an express or implied admission of fault or liability by the defendant</v>
      </c>
      <c r="N78" s="7" t="str">
        <f>IF(ISNA(MATCH(69,'Transfer Engine'!$C$2:$C$1199,0)),"",INDEX('Compliance Database'!$N$2:$N$1199,MATCH(69,'Transfer Engine'!$C$2:$C$1199,0)))</f>
        <v>• [Must Not] An apology made by or on behalf of the defendant in connection with the invasion of privacy is not relevant to the determination of fault or liability in connection with the invasion of privacy</v>
      </c>
      <c r="O78" s="7" t="str">
        <f>IF(ISNA(MATCH(69,'Transfer Engine'!$C$2:$C$1199,0)),"",INDEX('Compliance Database'!$O$2:$O$1199,MATCH(69,'Transfer Engine'!$C$2:$C$1199,0)))</f>
        <v>For the purposes of this Schedule, an apology made by or on behalf of the defendant in connection with the invasion of privacy: (a) does not constitute an express or implied admission of fault or liability by the defendant in connection with the invasion of privacy; and (b) is not relevant to the determination of fault or liability in connection with the invasion of privacy.</v>
      </c>
      <c r="P78" s="6" t="str">
        <f>IF(ISNA(MATCH(69,'Transfer Engine'!$C$2:$C$1199,0)),"",HYPERLINK("#Acts!A"&amp;INDEX('Compliance Database'!$P$2:$P$1199,MATCH(69,'Transfer Engine'!$C$2:$C$1199,0)),"Go to Act"))</f>
        <v>Go to Act</v>
      </c>
    </row>
    <row r="79" spans="1:16" ht="172.95" customHeight="1" x14ac:dyDescent="0.3">
      <c r="A79" s="6" t="str">
        <f>IF(ISNA(MATCH(70,'Transfer Engine'!$C$2:$C$1199,0)),"",INDEX('Compliance Database'!$A$2:$A$1199,MATCH(70,'Transfer Engine'!$C$2:$C$1199,0)))</f>
        <v>Australia</v>
      </c>
      <c r="B79" s="6" t="str">
        <f>IF(ISNA(MATCH(70,'Transfer Engine'!$C$2:$C$1199,0)),"",INDEX('Compliance Database'!$B$2:$B$1199,MATCH(70,'Transfer Engine'!$C$2:$C$1199,0)))</f>
        <v>C2026C00227-1 (Australia - Row 21)</v>
      </c>
      <c r="C79" s="6" t="str">
        <f>IF(ISNA(MATCH(70,'Transfer Engine'!$C$2:$C$1199,0)),"",INDEX('Compliance Database'!$C$2:$C$1199,MATCH(70,'Transfer Engine'!$C$2:$C$1199,0)))</f>
        <v>13 (part 7)</v>
      </c>
      <c r="D79" s="7" t="str">
        <f>IF(ISNA(MATCH(70,'Transfer Engine'!$C$2:$C$1199,0)),"",INDEX('Compliance Database'!$D$2:$D$1199,MATCH(70,'Transfer Engine'!$C$2:$C$1199,0)))</f>
        <v>Correction of legislative references</v>
      </c>
      <c r="E79" s="6" t="str">
        <f>IF(ISNA(MATCH(70,'Transfer Engine'!$C$2:$C$1199,0)),"",INDEX('Compliance Database'!$E$2:$E$1199,MATCH(70,'Transfer Engine'!$C$2:$C$1199,0)))</f>
        <v>452–472</v>
      </c>
      <c r="F79" s="6" t="str">
        <f>IF(ISNA(MATCH(70,'Transfer Engine'!$C$2:$C$1199,0)),"",INDEX('Compliance Database'!$F$2:$F$1199,MATCH(70,'Transfer Engine'!$C$2:$C$1199,0)))</f>
        <v>Medium</v>
      </c>
      <c r="G79" s="6" t="str">
        <f>IF(ISNA(MATCH(70,'Transfer Engine'!$C$2:$C$1199,0)),"",INDEX('Compliance Database'!$G$2:$G$1199,MATCH(70,'Transfer Engine'!$C$2:$C$1199,0)))</f>
        <v>High (explicit)</v>
      </c>
      <c r="H79" s="7" t="str">
        <f>IF(ISNA(MATCH(70,'Transfer Engine'!$C$2:$C$1199,0)),"",INDEX('Compliance Database'!$H$2:$H$1199,MATCH(70,'Transfer Engine'!$C$2:$C$1199,0)))</f>
        <v>Cross-border Transfer, International Processing, Data Storage, Security, Encryption, Access Control, Processing, Collection, Retention, Deletion, Data Sharing, Third Party Processing, Outsourcing, Cloud Services, Incident Reporting, Breach Notification, Consent, Customer Information, Employee Information, Special Personal Information, Children, Financial Data, KYC, AML, Governance, Record Keeping</v>
      </c>
      <c r="I79" s="7" t="str">
        <f>IF(ISNA(MATCH(70,'Transfer Engine'!$C$2:$C$1199,0)),"",INDEX('Compliance Database'!$I$2:$I$1199,MATCH(70,'Transfer Engine'!$C$2:$C$1199,0)))</f>
        <v>Personal Information, Financial Data, Customer Data, Employee Data, Health Data, Children's Data, Biometric Data, Special Personal Information</v>
      </c>
      <c r="J79" s="6">
        <f>IF(ISNA(MATCH(70,'Transfer Engine'!$C$2:$C$1199,0)),"",INDEX('Compliance Database'!$J$2:$J$1199,MATCH(70,'Transfer Engine'!$C$2:$C$1199,0)))</f>
        <v>0</v>
      </c>
      <c r="K79" s="7" t="str">
        <f>IF(ISNA(MATCH(70,'Transfer Engine'!$C$2:$C$1199,0)),"",INDEX('Compliance Database'!$K$2:$K$1199,MATCH(70,'Transfer Engine'!$C$2:$C$1199,0)))</f>
        <v>This section lists amendments and repeals affecting previous provisions. It specifies which amendments (am), repeals (rep), and other legislative changes (rs, ad) have been applied to various sections of the Act. The section does not create new obligations but updates references to ensure accurate legislative tracking.</v>
      </c>
      <c r="L79" s="7">
        <f>IF(ISNA(MATCH(70,'Transfer Engine'!$C$2:$C$1199,0)),"",INDEX('Compliance Database'!$L$2:$L$1199,MATCH(70,'Transfer Engine'!$C$2:$C$1199,0)))</f>
        <v>0</v>
      </c>
      <c r="M79" s="7" t="str">
        <f>IF(ISNA(MATCH(70,'Transfer Engine'!$C$2:$C$1199,0)),"",INDEX('Compliance Database'!$M$2:$M$1199,MATCH(70,'Transfer Engine'!$C$2:$C$1199,0)))</f>
        <v>• [Condition] Amendments and repeals are listed for specific sections of the Act</v>
      </c>
      <c r="N79" s="7">
        <f>IF(ISNA(MATCH(70,'Transfer Engine'!$C$2:$C$1199,0)),"",INDEX('Compliance Database'!$N$2:$N$1199,MATCH(70,'Transfer Engine'!$C$2:$C$1199,0)))</f>
        <v>0</v>
      </c>
      <c r="O79" s="7" t="str">
        <f>IF(ISNA(MATCH(70,'Transfer Engine'!$C$2:$C$1199,0)),"",INDEX('Compliance Database'!$O$2:$O$1199,MATCH(70,'Transfer Engine'!$C$2:$C$1199,0)))</f>
        <v>Endnotes: Compilation of amendments and repeals affecting previous provisions.</v>
      </c>
      <c r="P79" s="6" t="str">
        <f>IF(ISNA(MATCH(70,'Transfer Engine'!$C$2:$C$1199,0)),"",HYPERLINK("#Acts!A"&amp;INDEX('Compliance Database'!$P$2:$P$1199,MATCH(70,'Transfer Engine'!$C$2:$C$1199,0)),"Go to Act"))</f>
        <v>Go to Act</v>
      </c>
    </row>
    <row r="80" spans="1:16" ht="172.95" customHeight="1" x14ac:dyDescent="0.3">
      <c r="A80" s="6" t="str">
        <f>IF(ISNA(MATCH(71,'Transfer Engine'!$C$2:$C$1199,0)),"",INDEX('Compliance Database'!$A$2:$A$1199,MATCH(71,'Transfer Engine'!$C$2:$C$1199,0)))</f>
        <v>Australia</v>
      </c>
      <c r="B80" s="6" t="str">
        <f>IF(ISNA(MATCH(71,'Transfer Engine'!$C$2:$C$1199,0)),"",INDEX('Compliance Database'!$B$2:$B$1199,MATCH(71,'Transfer Engine'!$C$2:$C$1199,0)))</f>
        <v>Essential Eight explained (November 2023) (Australia - Row 11)</v>
      </c>
      <c r="C80" s="6" t="str">
        <f>IF(ISNA(MATCH(71,'Transfer Engine'!$C$2:$C$1199,0)),"",INDEX('Compliance Database'!$C$2:$C$1199,MATCH(71,'Transfer Engine'!$C$2:$C$1199,0)))</f>
        <v>p1</v>
      </c>
      <c r="D80" s="7" t="str">
        <f>IF(ISNA(MATCH(71,'Transfer Engine'!$C$2:$C$1199,0)),"",INDEX('Compliance Database'!$D$2:$D$1199,MATCH(71,'Transfer Engine'!$C$2:$C$1199,0)))</f>
        <v>Essential Eight cybersecurity mitigation strategies for organizations</v>
      </c>
      <c r="E80" s="6" t="str">
        <f>IF(ISNA(MATCH(71,'Transfer Engine'!$C$2:$C$1199,0)),"",INDEX('Compliance Database'!$E$2:$E$1199,MATCH(71,'Transfer Engine'!$C$2:$C$1199,0)))</f>
        <v>1–2</v>
      </c>
      <c r="F80" s="6" t="str">
        <f>IF(ISNA(MATCH(71,'Transfer Engine'!$C$2:$C$1199,0)),"",INDEX('Compliance Database'!$F$2:$F$1199,MATCH(71,'Transfer Engine'!$C$2:$C$1199,0)))</f>
        <v>Medium</v>
      </c>
      <c r="G80" s="6" t="str">
        <f>IF(ISNA(MATCH(71,'Transfer Engine'!$C$2:$C$1199,0)),"",INDEX('Compliance Database'!$G$2:$G$1199,MATCH(71,'Transfer Engine'!$C$2:$C$1199,0)))</f>
        <v>High (explicit)</v>
      </c>
      <c r="H80" s="7" t="str">
        <f>IF(ISNA(MATCH(71,'Transfer Engine'!$C$2:$C$1199,0)),"",INDEX('Compliance Database'!$H$2:$H$1199,MATCH(71,'Transfer Engine'!$C$2:$C$1199,0)))</f>
        <v>Security</v>
      </c>
      <c r="I80" s="7" t="str">
        <f>IF(ISNA(MATCH(71,'Transfer Engine'!$C$2:$C$1199,0)),"",INDEX('Compliance Database'!$I$2:$I$1199,MATCH(71,'Transfer Engine'!$C$2:$C$1199,0)))</f>
        <v>Personal Information</v>
      </c>
      <c r="J80" s="6" t="str">
        <f>IF(ISNA(MATCH(71,'Transfer Engine'!$C$2:$C$1199,0)),"",INDEX('Compliance Database'!$J$2:$J$1199,MATCH(71,'Transfer Engine'!$C$2:$C$1199,0)))</f>
        <v>Australian Signals Directorate (ASD)</v>
      </c>
      <c r="K80" s="7" t="str">
        <f>IF(ISNA(MATCH(71,'Transfer Engine'!$C$2:$C$1199,0)),"",INDEX('Compliance Database'!$K$2:$K$1199,MATCH(71,'Transfer Engine'!$C$2:$C$1199,0)))</f>
        <v>The Essential Eight are prioritized cyber security mitigation strategies developed by the Australian Signals Directorate (ASD) to protect organizations' internet-connected information technology networks. These strategies include patching applications and operating systems, implementing multi-factor authentication, restricting administrative privileges, applying application controls, limiting Microsoft Office macros, hardening user applications, and maintaining regular backups. The strategies are designed specifically for standard IT networks and not for enterprise mobility or operational technology environments where alternative approaches may be more appropriate.</v>
      </c>
      <c r="L80" s="7" t="str">
        <f>IF(ISNA(MATCH(71,'Transfer Engine'!$C$2:$C$1199,0)),"",INDEX('Compliance Database'!$L$2:$L$1199,MATCH(71,'Transfer Engine'!$C$2:$C$1199,0)))</f>
        <v>These eight specific technical controls are critical for DTIAs as they define baseline security requirements that must be implemented when transferring or processing data across borders to ensure adequate protection against cyber threats.</v>
      </c>
      <c r="M80" s="7" t="str">
        <f>IF(ISNA(MATCH(71,'Transfer Engine'!$C$2:$C$1199,0)),"",INDEX('Compliance Database'!$M$2:$M$1199,MATCH(71,'Transfer Engine'!$C$2:$C$1199,0)))</f>
        <v>• [Must] Implement patch applications
• [Must] Implement patch operating systems
• [Must] Implement multi-factor authentication
• [Must] Restrict administrative privileges</v>
      </c>
      <c r="N80" s="7" t="str">
        <f>IF(ISNA(MATCH(71,'Transfer Engine'!$C$2:$C$1199,0)),"",INDEX('Compliance Database'!$N$2:$N$1199,MATCH(71,'Transfer Engine'!$C$2:$C$1199,0)))</f>
        <v>• [Must] Implement application control
• [Must] Restrict Microsoft Office macros
• [Must] Harden user applications
• [Must] Maintain regular backups</v>
      </c>
      <c r="O80" s="7" t="str">
        <f>IF(ISNA(MATCH(71,'Transfer Engine'!$C$2:$C$1199,0)),"",INDEX('Compliance Database'!$O$2:$O$1199,MATCH(71,'Transfer Engine'!$C$2:$C$1199,0)))</f>
        <v>The Essential Eight mitigation strategies are: patch applications, patch operating systems, multi-factor authentication, restrict administrative privileges, application control, restrict Microsoft Office macros, user application hardening, regular backups.</v>
      </c>
      <c r="P80" s="6" t="str">
        <f>IF(ISNA(MATCH(71,'Transfer Engine'!$C$2:$C$1199,0)),"",HYPERLINK("#Acts!A"&amp;INDEX('Compliance Database'!$P$2:$P$1199,MATCH(71,'Transfer Engine'!$C$2:$C$1199,0)),"Go to Act"))</f>
        <v>Go to Act</v>
      </c>
    </row>
    <row r="81" spans="1:16" ht="172.95" customHeight="1" x14ac:dyDescent="0.3">
      <c r="A81" s="6" t="str">
        <f>IF(ISNA(MATCH(72,'Transfer Engine'!$C$2:$C$1199,0)),"",INDEX('Compliance Database'!$A$2:$A$1199,MATCH(72,'Transfer Engine'!$C$2:$C$1199,0)))</f>
        <v>Australia</v>
      </c>
      <c r="B81" s="6" t="str">
        <f>IF(ISNA(MATCH(72,'Transfer Engine'!$C$2:$C$1199,0)),"",INDEX('Compliance Database'!$B$2:$B$1199,MATCH(72,'Transfer Engine'!$C$2:$C$1199,0)))</f>
        <v>Essential Eight explained (November 2023) (Australia - Row 11)</v>
      </c>
      <c r="C81" s="6" t="str">
        <f>IF(ISNA(MATCH(72,'Transfer Engine'!$C$2:$C$1199,0)),"",INDEX('Compliance Database'!$C$2:$C$1199,MATCH(72,'Transfer Engine'!$C$2:$C$1199,0)))</f>
        <v>p2</v>
      </c>
      <c r="D81" s="7" t="str">
        <f>IF(ISNA(MATCH(72,'Transfer Engine'!$C$2:$C$1199,0)),"",INDEX('Compliance Database'!$D$2:$D$1199,MATCH(72,'Transfer Engine'!$C$2:$C$1199,0)))</f>
        <v>Essential Eight implementation assessment process</v>
      </c>
      <c r="E81" s="6" t="str">
        <f>IF(ISNA(MATCH(72,'Transfer Engine'!$C$2:$C$1199,0)),"",INDEX('Compliance Database'!$E$2:$E$1199,MATCH(72,'Transfer Engine'!$C$2:$C$1199,0)))</f>
        <v>2–3</v>
      </c>
      <c r="F81" s="6" t="str">
        <f>IF(ISNA(MATCH(72,'Transfer Engine'!$C$2:$C$1199,0)),"",INDEX('Compliance Database'!$F$2:$F$1199,MATCH(72,'Transfer Engine'!$C$2:$C$1199,0)))</f>
        <v>Medium</v>
      </c>
      <c r="G81" s="6" t="str">
        <f>IF(ISNA(MATCH(72,'Transfer Engine'!$C$2:$C$1199,0)),"",INDEX('Compliance Database'!$G$2:$G$1199,MATCH(72,'Transfer Engine'!$C$2:$C$1199,0)))</f>
        <v>High (explicit)</v>
      </c>
      <c r="H81" s="7" t="str">
        <f>IF(ISNA(MATCH(72,'Transfer Engine'!$C$2:$C$1199,0)),"",INDEX('Compliance Database'!$H$2:$H$1199,MATCH(72,'Transfer Engine'!$C$2:$C$1199,0)))</f>
        <v>Security</v>
      </c>
      <c r="I81" s="7" t="str">
        <f>IF(ISNA(MATCH(72,'Transfer Engine'!$C$2:$C$1199,0)),"",INDEX('Compliance Database'!$I$2:$I$1199,MATCH(72,'Transfer Engine'!$C$2:$C$1199,0)))</f>
        <v>Personal Information</v>
      </c>
      <c r="J81" s="6" t="str">
        <f>IF(ISNA(MATCH(72,'Transfer Engine'!$C$2:$C$1199,0)),"",INDEX('Compliance Database'!$J$2:$J$1199,MATCH(72,'Transfer Engine'!$C$2:$C$1199,0)))</f>
        <v>Australian Signals Directorate (ASD)</v>
      </c>
      <c r="K81" s="7" t="str">
        <f>IF(ISNA(MATCH(72,'Transfer Engine'!$C$2:$C$1199,0)),"",INDEX('Compliance Database'!$K$2:$K$1199,MATCH(72,'Transfer Engine'!$C$2:$C$1199,0)))</f>
        <v>Organizations must use the Essential Eight assessment process guide to evaluate their implementation of the mitigation strategies. This assessment process is part of the maturity model that supports the implementation of the Essential Eight, ensuring organizations meet the required security standards for their information technology networks.</v>
      </c>
      <c r="L81" s="7" t="str">
        <f>IF(ISNA(MATCH(72,'Transfer Engine'!$C$2:$C$1199,0)),"",INDEX('Compliance Database'!$L$2:$L$1199,MATCH(72,'Transfer Engine'!$C$2:$C$1199,0)))</f>
        <v>The assessment process ensures that data transfers and processing activities comply with the Essential Eight security requirements, which is critical for DTIAs involving cross-border data flows.</v>
      </c>
      <c r="M81" s="7" t="str">
        <f>IF(ISNA(MATCH(72,'Transfer Engine'!$C$2:$C$1199,0)),"",INDEX('Compliance Database'!$M$2:$M$1199,MATCH(72,'Transfer Engine'!$C$2:$C$1199,0)))</f>
        <v>• [Must] Conduct assessments against the Essential Eight using the Essential Eight assessment process guide</v>
      </c>
      <c r="N81" s="7">
        <f>IF(ISNA(MATCH(72,'Transfer Engine'!$C$2:$C$1199,0)),"",INDEX('Compliance Database'!$N$2:$N$1199,MATCH(72,'Transfer Engine'!$C$2:$C$1199,0)))</f>
        <v>0</v>
      </c>
      <c r="O81" s="7" t="str">
        <f>IF(ISNA(MATCH(72,'Transfer Engine'!$C$2:$C$1199,0)),"",INDEX('Compliance Database'!$O$2:$O$1199,MATCH(72,'Transfer Engine'!$C$2:$C$1199,0)))</f>
        <v>Assessments against the Essential Eight should be conducted using the Essential Eight assessment process guide.</v>
      </c>
      <c r="P81" s="6" t="str">
        <f>IF(ISNA(MATCH(72,'Transfer Engine'!$C$2:$C$1199,0)),"",HYPERLINK("#Acts!A"&amp;INDEX('Compliance Database'!$P$2:$P$1199,MATCH(72,'Transfer Engine'!$C$2:$C$1199,0)),"Go to Act"))</f>
        <v>Go to Act</v>
      </c>
    </row>
    <row r="82" spans="1:16" ht="172.95" customHeight="1" x14ac:dyDescent="0.3">
      <c r="A82" s="6" t="str">
        <f>IF(ISNA(MATCH(73,'Transfer Engine'!$C$2:$C$1199,0)),"",INDEX('Compliance Database'!$A$2:$A$1199,MATCH(73,'Transfer Engine'!$C$2:$C$1199,0)))</f>
        <v>Australia</v>
      </c>
      <c r="B82" s="6" t="str">
        <f>IF(ISNA(MATCH(73,'Transfer Engine'!$C$2:$C$1199,0)),"",INDEX('Compliance Database'!$B$2:$B$1199,MATCH(73,'Transfer Engine'!$C$2:$C$1199,0)))</f>
        <v>Prudential Standard - CPS 230 Operational Risk Management - clean (Australia - Row 3)</v>
      </c>
      <c r="C82" s="6" t="str">
        <f>IF(ISNA(MATCH(73,'Transfer Engine'!$C$2:$C$1199,0)),"",INDEX('Compliance Database'!$C$2:$C$1199,MATCH(73,'Transfer Engine'!$C$2:$C$1199,0)))</f>
        <v>1</v>
      </c>
      <c r="D82" s="7" t="str">
        <f>IF(ISNA(MATCH(73,'Transfer Engine'!$C$2:$C$1199,0)),"",INDEX('Compliance Database'!$D$2:$D$1199,MATCH(73,'Transfer Engine'!$C$2:$C$1199,0)))</f>
        <v>Prudential Standard authority basis</v>
      </c>
      <c r="E82" s="6" t="str">
        <f>IF(ISNA(MATCH(73,'Transfer Engine'!$C$2:$C$1199,0)),"",INDEX('Compliance Database'!$E$2:$E$1199,MATCH(73,'Transfer Engine'!$C$2:$C$1199,0)))</f>
        <v>2</v>
      </c>
      <c r="F82" s="6" t="str">
        <f>IF(ISNA(MATCH(73,'Transfer Engine'!$C$2:$C$1199,0)),"",INDEX('Compliance Database'!$F$2:$F$1199,MATCH(73,'Transfer Engine'!$C$2:$C$1199,0)))</f>
        <v>Low</v>
      </c>
      <c r="G82" s="6" t="str">
        <f>IF(ISNA(MATCH(73,'Transfer Engine'!$C$2:$C$1199,0)),"",INDEX('Compliance Database'!$G$2:$G$1199,MATCH(73,'Transfer Engine'!$C$2:$C$1199,0)))</f>
        <v>High (explicit)</v>
      </c>
      <c r="H82" s="7">
        <f>IF(ISNA(MATCH(73,'Transfer Engine'!$C$2:$C$1199,0)),"",INDEX('Compliance Database'!$H$2:$H$1199,MATCH(73,'Transfer Engine'!$C$2:$C$1199,0)))</f>
        <v>0</v>
      </c>
      <c r="I82" s="7">
        <f>IF(ISNA(MATCH(73,'Transfer Engine'!$C$2:$C$1199,0)),"",INDEX('Compliance Database'!$I$2:$I$1199,MATCH(73,'Transfer Engine'!$C$2:$C$1199,0)))</f>
        <v>0</v>
      </c>
      <c r="J82" s="6">
        <f>IF(ISNA(MATCH(73,'Transfer Engine'!$C$2:$C$1199,0)),"",INDEX('Compliance Database'!$J$2:$J$1199,MATCH(73,'Transfer Engine'!$C$2:$C$1199,0)))</f>
        <v>0</v>
      </c>
      <c r="K82" s="7" t="str">
        <f>IF(ISNA(MATCH(73,'Transfer Engine'!$C$2:$C$1199,0)),"",INDEX('Compliance Database'!$K$2:$K$1199,MATCH(73,'Transfer Engine'!$C$2:$C$1199,0)))</f>
        <v>This section specifies the legislative basis for the Prudential Standard by referencing relevant sections of multiple Australian Acts. It establishes that the standard is enacted under the Banking Act 1959, Insurance Act 1973, Life Insurance Act 1995, Private Health Insurance (Prudential Supervision) Act 2015, and Superannuation Industry (Supervision) Act 1993. The section does not impose operational requirements but clarifies the legal foundation for the standard.</v>
      </c>
      <c r="L82" s="7">
        <f>IF(ISNA(MATCH(73,'Transfer Engine'!$C$2:$C$1199,0)),"",INDEX('Compliance Database'!$L$2:$L$1199,MATCH(73,'Transfer Engine'!$C$2:$C$1199,0)))</f>
        <v>0</v>
      </c>
      <c r="M82" s="7" t="str">
        <f>IF(ISNA(MATCH(73,'Transfer Engine'!$C$2:$C$1199,0)),"",INDEX('Compliance Database'!$M$2:$M$1199,MATCH(73,'Transfer Engine'!$C$2:$C$1199,0)))</f>
        <v>• [Must] This Prudential Standard is made under section 11AF of the Banking Act 1959
• [Must] This Prudential Standard is made under section 32 of the Insurance Act 1973
• [Must] This Prudential Standard is made under section 230A of the Life Insurance Act 1995</v>
      </c>
      <c r="N82" s="7" t="str">
        <f>IF(ISNA(MATCH(73,'Transfer Engine'!$C$2:$C$1199,0)),"",INDEX('Compliance Database'!$N$2:$N$1199,MATCH(73,'Transfer Engine'!$C$2:$C$1199,0)))</f>
        <v>• [Must] This Prudential Standard is made under section 92 of the Private Health Insurance (Prudential Supervision) Act 2015
• [Must] This Prudential Standard is made under section 34C of the Superannuation Industry (Supervision) Act 1993</v>
      </c>
      <c r="O82" s="7" t="str">
        <f>IF(ISNA(MATCH(73,'Transfer Engine'!$C$2:$C$1199,0)),"",INDEX('Compliance Database'!$O$2:$O$1199,MATCH(73,'Transfer Engine'!$C$2:$C$1199,0)))</f>
        <v>This Prudential Standard is made under: (a) section 11AF of the Banking Act 1959 (Banking Act); (b) section 32 of the Insurance Act 1973 (Insurance Act); (c) section 230A of the Life Insurance Act 1995 (Life Insurance Act); (d) section 92 of the Private Health Insurance (Prudential Supervision) Act 2015 (PHIPS Act); and (e) section 34C of the Superannuation Industry (Supervision) Act 1993 (SIS Act).</v>
      </c>
      <c r="P82" s="6" t="str">
        <f>IF(ISNA(MATCH(73,'Transfer Engine'!$C$2:$C$1199,0)),"",HYPERLINK("#Acts!A"&amp;INDEX('Compliance Database'!$P$2:$P$1199,MATCH(73,'Transfer Engine'!$C$2:$C$1199,0)),"Go to Act"))</f>
        <v>Go to Act</v>
      </c>
    </row>
    <row r="83" spans="1:16" ht="172.95" customHeight="1" x14ac:dyDescent="0.3">
      <c r="A83" s="6" t="str">
        <f>IF(ISNA(MATCH(74,'Transfer Engine'!$C$2:$C$1199,0)),"",INDEX('Compliance Database'!$A$2:$A$1199,MATCH(74,'Transfer Engine'!$C$2:$C$1199,0)))</f>
        <v>Australia</v>
      </c>
      <c r="B83" s="6" t="str">
        <f>IF(ISNA(MATCH(74,'Transfer Engine'!$C$2:$C$1199,0)),"",INDEX('Compliance Database'!$B$2:$B$1199,MATCH(74,'Transfer Engine'!$C$2:$C$1199,0)))</f>
        <v>Prudential Standard - CPS 230 Operational Risk Management - clean (Australia - Row 3)</v>
      </c>
      <c r="C83" s="6" t="str">
        <f>IF(ISNA(MATCH(74,'Transfer Engine'!$C$2:$C$1199,0)),"",INDEX('Compliance Database'!$C$2:$C$1199,MATCH(74,'Transfer Engine'!$C$2:$C$1199,0)))</f>
        <v>2</v>
      </c>
      <c r="D83" s="7" t="str">
        <f>IF(ISNA(MATCH(74,'Transfer Engine'!$C$2:$C$1199,0)),"",INDEX('Compliance Database'!$D$2:$D$1199,MATCH(74,'Transfer Engine'!$C$2:$C$1199,0)))</f>
        <v>APRA-regulated entities covered by the standard</v>
      </c>
      <c r="E83" s="6" t="str">
        <f>IF(ISNA(MATCH(74,'Transfer Engine'!$C$2:$C$1199,0)),"",INDEX('Compliance Database'!$E$2:$E$1199,MATCH(74,'Transfer Engine'!$C$2:$C$1199,0)))</f>
        <v>2</v>
      </c>
      <c r="F83" s="6" t="str">
        <f>IF(ISNA(MATCH(74,'Transfer Engine'!$C$2:$C$1199,0)),"",INDEX('Compliance Database'!$F$2:$F$1199,MATCH(74,'Transfer Engine'!$C$2:$C$1199,0)))</f>
        <v>Low</v>
      </c>
      <c r="G83" s="6" t="str">
        <f>IF(ISNA(MATCH(74,'Transfer Engine'!$C$2:$C$1199,0)),"",INDEX('Compliance Database'!$G$2:$G$1199,MATCH(74,'Transfer Engine'!$C$2:$C$1199,0)))</f>
        <v>High (explicit)</v>
      </c>
      <c r="H83" s="7">
        <f>IF(ISNA(MATCH(74,'Transfer Engine'!$C$2:$C$1199,0)),"",INDEX('Compliance Database'!$H$2:$H$1199,MATCH(74,'Transfer Engine'!$C$2:$C$1199,0)))</f>
        <v>0</v>
      </c>
      <c r="I83" s="7">
        <f>IF(ISNA(MATCH(74,'Transfer Engine'!$C$2:$C$1199,0)),"",INDEX('Compliance Database'!$I$2:$I$1199,MATCH(74,'Transfer Engine'!$C$2:$C$1199,0)))</f>
        <v>0</v>
      </c>
      <c r="J83" s="6">
        <f>IF(ISNA(MATCH(74,'Transfer Engine'!$C$2:$C$1199,0)),"",INDEX('Compliance Database'!$J$2:$J$1199,MATCH(74,'Transfer Engine'!$C$2:$C$1199,0)))</f>
        <v>0</v>
      </c>
      <c r="K83" s="7" t="str">
        <f>IF(ISNA(MATCH(74,'Transfer Engine'!$C$2:$C$1199,0)),"",INDEX('Compliance Database'!$K$2:$K$1199,MATCH(74,'Transfer Engine'!$C$2:$C$1199,0)))</f>
        <v>This section defines which APRA-regulated entities are subject to the Prudential Standard. It includes authorized deposit-taking institutions (ADIs), foreign ADIs, non-operating holding companies, general insurers, Category C insurers, non-operating holding companies, life companies, friendly societies, eligible foreign life insurance companies, private health insurers, and registrable superannuation entity licensees. The scope covers entities operating under specific Australian Acts.</v>
      </c>
      <c r="L83" s="7">
        <f>IF(ISNA(MATCH(74,'Transfer Engine'!$C$2:$C$1199,0)),"",INDEX('Compliance Database'!$L$2:$L$1199,MATCH(74,'Transfer Engine'!$C$2:$C$1199,0)))</f>
        <v>0</v>
      </c>
      <c r="M83" s="7" t="str">
        <f>IF(ISNA(MATCH(74,'Transfer Engine'!$C$2:$C$1199,0)),"",INDEX('Compliance Database'!$M$2:$M$1199,MATCH(74,'Transfer Engine'!$C$2:$C$1199,0)))</f>
        <v>• [Must] This Prudential Standard applies to all APRA-regulated entities defined as: authorized deposit-taking institutions (ADIs), including foreign ADIs, and non-operating holding companies authorized under the Banking Act
• [Must] This Prudential Standard applies to all APRA-regulated entities defined as: general insurers, including Category C insurers, non-operating holding companies authorized under the Insurance Act, and parent entities of Level 2 insurance groups
• [Must] This Prudential Standard applies to all APRA-regulated entities defined as: life companies, including friendly societies, eligible foreign life insurance companies (EFLICs) and registered non-operating holding companies</v>
      </c>
      <c r="N83" s="7" t="str">
        <f>IF(ISNA(MATCH(74,'Transfer Engine'!$C$2:$C$1199,0)),"",INDEX('Compliance Database'!$N$2:$N$1199,MATCH(74,'Transfer Engine'!$C$2:$C$1199,0)))</f>
        <v>• [Must] This Prudential Standard applies to all APRA-regulated entities defined as: private health insurers registered under the PHIPS Act
• [Must] This Prudential Standard applies to all APRA-regulated entities defined as: registrable superannuation entity licensees (RSE licensees) under the SIS Act in respect of their business operations</v>
      </c>
      <c r="O83" s="7" t="str">
        <f>IF(ISNA(MATCH(74,'Transfer Engine'!$C$2:$C$1199,0)),"",INDEX('Compliance Database'!$O$2:$O$1199,MATCH(74,'Transfer Engine'!$C$2:$C$1199,0)))</f>
        <v>This Prudential Standard applies to all APRA-regulated entities defined as: (a) authorized deposit-taking institutions (ADIs), including foreign ADIs, and non-operating holding companies authorized under the Banking Act (authorized banking NOHCs); (b) general insurers, including Category C insurers, non-operating holding companies authorized under the Insurance Act (authorised insurance NOHCs) and parent entities of Level 2 insurance groups; (c) life companies, including friendly societies, eligible foreign life insurance companies (EFLICs) and registered NOHCs; (d) private health insurers registered under the PHIPS Act; and (e) registrable superannuation entity licensees (RSE licensees) under the SIS Act in respect of their business operations.</v>
      </c>
      <c r="P83" s="6" t="str">
        <f>IF(ISNA(MATCH(74,'Transfer Engine'!$C$2:$C$1199,0)),"",HYPERLINK("#Acts!A"&amp;INDEX('Compliance Database'!$P$2:$P$1199,MATCH(74,'Transfer Engine'!$C$2:$C$1199,0)),"Go to Act"))</f>
        <v>Go to Act</v>
      </c>
    </row>
    <row r="84" spans="1:16" ht="172.95" customHeight="1" x14ac:dyDescent="0.3">
      <c r="A84" s="6" t="str">
        <f>IF(ISNA(MATCH(75,'Transfer Engine'!$C$2:$C$1199,0)),"",INDEX('Compliance Database'!$A$2:$A$1199,MATCH(75,'Transfer Engine'!$C$2:$C$1199,0)))</f>
        <v>Australia</v>
      </c>
      <c r="B84" s="6" t="str">
        <f>IF(ISNA(MATCH(75,'Transfer Engine'!$C$2:$C$1199,0)),"",INDEX('Compliance Database'!$B$2:$B$1199,MATCH(75,'Transfer Engine'!$C$2:$C$1199,0)))</f>
        <v>Prudential Standard - CPS 230 Operational Risk Management - clean (Australia - Row 3)</v>
      </c>
      <c r="C84" s="6" t="str">
        <f>IF(ISNA(MATCH(75,'Transfer Engine'!$C$2:$C$1199,0)),"",INDEX('Compliance Database'!$C$2:$C$1199,MATCH(75,'Transfer Engine'!$C$2:$C$1199,0)))</f>
        <v>11</v>
      </c>
      <c r="D84" s="7" t="str">
        <f>IF(ISNA(MATCH(75,'Transfer Engine'!$C$2:$C$1199,0)),"",INDEX('Compliance Database'!$D$2:$D$1199,MATCH(75,'Transfer Engine'!$C$2:$C$1199,0)))</f>
        <v>Operational risk management obligations</v>
      </c>
      <c r="E84" s="6" t="str">
        <f>IF(ISNA(MATCH(75,'Transfer Engine'!$C$2:$C$1199,0)),"",INDEX('Compliance Database'!$E$2:$E$1199,MATCH(75,'Transfer Engine'!$C$2:$C$1199,0)))</f>
        <v>3–4</v>
      </c>
      <c r="F84" s="6" t="str">
        <f>IF(ISNA(MATCH(75,'Transfer Engine'!$C$2:$C$1199,0)),"",INDEX('Compliance Database'!$F$2:$F$1199,MATCH(75,'Transfer Engine'!$C$2:$C$1199,0)))</f>
        <v>High</v>
      </c>
      <c r="G84" s="6" t="str">
        <f>IF(ISNA(MATCH(75,'Transfer Engine'!$C$2:$C$1199,0)),"",INDEX('Compliance Database'!$G$2:$G$1199,MATCH(75,'Transfer Engine'!$C$2:$C$1199,0)))</f>
        <v>High (explicit)</v>
      </c>
      <c r="H84" s="7">
        <f>IF(ISNA(MATCH(75,'Transfer Engine'!$C$2:$C$1199,0)),"",INDEX('Compliance Database'!$H$2:$H$1199,MATCH(75,'Transfer Engine'!$C$2:$C$1199,0)))</f>
        <v>0</v>
      </c>
      <c r="I84" s="7" t="str">
        <f>IF(ISNA(MATCH(75,'Transfer Engine'!$C$2:$C$1199,0)),"",INDEX('Compliance Database'!$I$2:$I$1199,MATCH(75,'Transfer Engine'!$C$2:$C$1199,0)))</f>
        <v>Financial Data</v>
      </c>
      <c r="J84" s="6" t="str">
        <f>IF(ISNA(MATCH(75,'Transfer Engine'!$C$2:$C$1199,0)),"",INDEX('Compliance Database'!$J$2:$J$1199,MATCH(75,'Transfer Engine'!$C$2:$C$1199,0)))</f>
        <v>APRA</v>
      </c>
      <c r="K84" s="7" t="str">
        <f>IF(ISNA(MATCH(75,'Transfer Engine'!$C$2:$C$1199,0)),"",INDEX('Compliance Database'!$K$2:$K$1199,MATCH(75,'Transfer Engine'!$C$2:$C$1199,0)))</f>
        <v>APRA-regulated entities must effectively manage operational risks, maintain critical operations within tolerance levels during severe disruptions, and manage risks associated with service providers. This section establishes core operational risk management responsibilities for entities, including setting appropriate standards for conduct and compliance, ensuring resilience through disruptions, and overseeing third-party risks.</v>
      </c>
      <c r="L84" s="7" t="str">
        <f>IF(ISNA(MATCH(75,'Transfer Engine'!$C$2:$C$1199,0)),"",INDEX('Compliance Database'!$L$2:$L$1199,MATCH(75,'Transfer Engine'!$C$2:$C$1199,0)))</f>
        <v>This section requires entities to manage operational risks including data risk, which impacts data transfer and storage across borders due to the need for robust incident response and business continuity planning.</v>
      </c>
      <c r="M84" s="7" t="str">
        <f>IF(ISNA(MATCH(75,'Transfer Engine'!$C$2:$C$1199,0)),"",INDEX('Compliance Database'!$M$2:$M$1199,MATCH(75,'Transfer Engine'!$C$2:$C$1199,0)))</f>
        <v>• [Must] Effectively manage its operational risks, and set and maintain appropriate standards for conduct and compliance
• [Must] Maintain its critical operations within tolerance levels through severe disruptions</v>
      </c>
      <c r="N84" s="7" t="str">
        <f>IF(ISNA(MATCH(75,'Transfer Engine'!$C$2:$C$1199,0)),"",INDEX('Compliance Database'!$N$2:$N$1199,MATCH(75,'Transfer Engine'!$C$2:$C$1199,0)))</f>
        <v>• [Must] Manage the risks associated with the use of service providers</v>
      </c>
      <c r="O84" s="7" t="str">
        <f>IF(ISNA(MATCH(75,'Transfer Engine'!$C$2:$C$1199,0)),"",INDEX('Compliance Database'!$O$2:$O$1199,MATCH(75,'Transfer Engine'!$C$2:$C$1199,0)))</f>
        <v>An APRA-regulated entity must: (a) effectively manage its operational risks, and set and maintain appropriate standards for conduct and compliance; (b) maintain its critical operations within tolerance levels through severe disruptions; and (c) manage the risks associated with the use of service providers.</v>
      </c>
      <c r="P84" s="6" t="str">
        <f>IF(ISNA(MATCH(75,'Transfer Engine'!$C$2:$C$1199,0)),"",HYPERLINK("#Acts!A"&amp;INDEX('Compliance Database'!$P$2:$P$1199,MATCH(75,'Transfer Engine'!$C$2:$C$1199,0)),"Go to Act"))</f>
        <v>Go to Act</v>
      </c>
    </row>
    <row r="85" spans="1:16" ht="172.95" customHeight="1" x14ac:dyDescent="0.3">
      <c r="A85" s="6" t="str">
        <f>IF(ISNA(MATCH(76,'Transfer Engine'!$C$2:$C$1199,0)),"",INDEX('Compliance Database'!$A$2:$A$1199,MATCH(76,'Transfer Engine'!$C$2:$C$1199,0)))</f>
        <v>Australia</v>
      </c>
      <c r="B85" s="6" t="str">
        <f>IF(ISNA(MATCH(76,'Transfer Engine'!$C$2:$C$1199,0)),"",INDEX('Compliance Database'!$B$2:$B$1199,MATCH(76,'Transfer Engine'!$C$2:$C$1199,0)))</f>
        <v>Prudential Standard - CPS 230 Operational Risk Management - clean (Australia - Row 3)</v>
      </c>
      <c r="C85" s="6" t="str">
        <f>IF(ISNA(MATCH(76,'Transfer Engine'!$C$2:$C$1199,0)),"",INDEX('Compliance Database'!$C$2:$C$1199,MATCH(76,'Transfer Engine'!$C$2:$C$1199,0)))</f>
        <v>15</v>
      </c>
      <c r="D85" s="7" t="str">
        <f>IF(ISNA(MATCH(76,'Transfer Engine'!$C$2:$C$1199,0)),"",INDEX('Compliance Database'!$D$2:$D$1199,MATCH(76,'Transfer Engine'!$C$2:$C$1199,0)))</f>
        <v>Operational risk management framework requirements</v>
      </c>
      <c r="E85" s="6" t="str">
        <f>IF(ISNA(MATCH(76,'Transfer Engine'!$C$2:$C$1199,0)),"",INDEX('Compliance Database'!$E$2:$E$1199,MATCH(76,'Transfer Engine'!$C$2:$C$1199,0)))</f>
        <v>4</v>
      </c>
      <c r="F85" s="6" t="str">
        <f>IF(ISNA(MATCH(76,'Transfer Engine'!$C$2:$C$1199,0)),"",INDEX('Compliance Database'!$F$2:$F$1199,MATCH(76,'Transfer Engine'!$C$2:$C$1199,0)))</f>
        <v>High</v>
      </c>
      <c r="G85" s="6" t="str">
        <f>IF(ISNA(MATCH(76,'Transfer Engine'!$C$2:$C$1199,0)),"",INDEX('Compliance Database'!$G$2:$G$1199,MATCH(76,'Transfer Engine'!$C$2:$C$1199,0)))</f>
        <v>High (explicit)</v>
      </c>
      <c r="H85" s="7">
        <f>IF(ISNA(MATCH(76,'Transfer Engine'!$C$2:$C$1199,0)),"",INDEX('Compliance Database'!$H$2:$H$1199,MATCH(76,'Transfer Engine'!$C$2:$C$1199,0)))</f>
        <v>0</v>
      </c>
      <c r="I85" s="7" t="str">
        <f>IF(ISNA(MATCH(76,'Transfer Engine'!$C$2:$C$1199,0)),"",INDEX('Compliance Database'!$I$2:$I$1199,MATCH(76,'Transfer Engine'!$C$2:$C$1199,0)))</f>
        <v>Financial Data</v>
      </c>
      <c r="J85" s="6" t="str">
        <f>IF(ISNA(MATCH(76,'Transfer Engine'!$C$2:$C$1199,0)),"",INDEX('Compliance Database'!$J$2:$J$1199,MATCH(76,'Transfer Engine'!$C$2:$C$1199,0)))</f>
        <v>APRA</v>
      </c>
      <c r="K85" s="7" t="str">
        <f>IF(ISNA(MATCH(76,'Transfer Engine'!$C$2:$C$1199,0)),"",INDEX('Compliance Database'!$K$2:$K$1199,MATCH(76,'Transfer Engine'!$C$2:$C$1199,0)))</f>
        <v>APRA-regulated entities must develop and maintain a comprehensive operational risk management framework. This includes governance arrangements for oversight, assessment of operational risk profiles with defined risk appetite, effective internal controls, monitoring and reporting mechanisms, business continuity plans that are regularly tested with severe scenarios, and processes for managing service provider arrangements.</v>
      </c>
      <c r="L85" s="7" t="str">
        <f>IF(ISNA(MATCH(76,'Transfer Engine'!$C$2:$C$1199,0)),"",INDEX('Compliance Database'!$L$2:$L$1199,MATCH(76,'Transfer Engine'!$C$2:$C$1199,0)))</f>
        <v>This section mandates robust operational risk frameworks that impact data transfer and storage by requiring business continuity planning, risk assessment, and service provider management, which are critical for cross-border data resilience.</v>
      </c>
      <c r="M85" s="7" t="str">
        <f>IF(ISNA(MATCH(76,'Transfer Engine'!$C$2:$C$1199,0)),"",INDEX('Compliance Database'!$M$2:$M$1199,MATCH(76,'Transfer Engine'!$C$2:$C$1199,0)))</f>
        <v>• [Must] Develop and maintain governance arrangements for the oversight of operational risk
• [Must] Assess its operational risk profile with a defined risk appetite supported by indicators, limits and tolerance levels
• [Must] Maintain internal controls designed and operating effectively for the management of operational risks</v>
      </c>
      <c r="N85" s="7" t="str">
        <f>IF(ISNA(MATCH(76,'Transfer Engine'!$C$2:$C$1199,0)),"",INDEX('Compliance Database'!$N$2:$N$1199,MATCH(76,'Transfer Engine'!$C$2:$C$1199,0)))</f>
        <v>• [Must] Monitor, analyze and report on operational risks and establish escalation processes for operational incidents and events
• [Must] Develop business continuity plans (BCPs) that set out how the entity would identify, manage and respond to disruptions within tolerance levels and are regularly tested with severe but plausible scenarios
• [Must] Develop processes for the management of service provider arrangements</v>
      </c>
      <c r="O85" s="7" t="str">
        <f>IF(ISNA(MATCH(76,'Transfer Engine'!$C$2:$C$1199,0)),"",INDEX('Compliance Database'!$O$2:$O$1199,MATCH(76,'Transfer Engine'!$C$2:$C$1199,0)))</f>
        <v>As part of its risk management framework required under Prudential Standard CPS 220 Risk Management (CPS 220) and Prudential Standard SPS 220 Risk Management (SPS 220), an APRA-regulated entity must develop and maintain: (a) governance arrangements for the oversight of operational risk; (b) an assessment of its operational risk profile, with a defined risk appetite supported by indicators, limits and tolerance levels; (c) internal controls that are designed and operating effectively for the management of operational risks; (d) appropriate monitoring, analysis and reporting of operational risks and escalation processes for operational incidents and events; (e) business continuity plan(s) (BCPs) that set out how the entity would identify, manage and respond to a disruption within tolerance levels and are regularly tested with severe but plausible scenarios; and (f) processes for the management of service provider arrangements.</v>
      </c>
      <c r="P85" s="6" t="str">
        <f>IF(ISNA(MATCH(76,'Transfer Engine'!$C$2:$C$1199,0)),"",HYPERLINK("#Acts!A"&amp;INDEX('Compliance Database'!$P$2:$P$1199,MATCH(76,'Transfer Engine'!$C$2:$C$1199,0)),"Go to Act"))</f>
        <v>Go to Act</v>
      </c>
    </row>
    <row r="86" spans="1:16" ht="172.95" customHeight="1" x14ac:dyDescent="0.3">
      <c r="A86" s="6" t="str">
        <f>IF(ISNA(MATCH(77,'Transfer Engine'!$C$2:$C$1199,0)),"",INDEX('Compliance Database'!$A$2:$A$1199,MATCH(77,'Transfer Engine'!$C$2:$C$1199,0)))</f>
        <v>Australia</v>
      </c>
      <c r="B86" s="6" t="str">
        <f>IF(ISNA(MATCH(77,'Transfer Engine'!$C$2:$C$1199,0)),"",INDEX('Compliance Database'!$B$2:$B$1199,MATCH(77,'Transfer Engine'!$C$2:$C$1199,0)))</f>
        <v>Prudential Standard - CPS 230 Operational Risk Management - clean (Australia - Row 3)</v>
      </c>
      <c r="C86" s="6" t="str">
        <f>IF(ISNA(MATCH(77,'Transfer Engine'!$C$2:$C$1199,0)),"",INDEX('Compliance Database'!$C$2:$C$1199,MATCH(77,'Transfer Engine'!$C$2:$C$1199,0)))</f>
        <v>21</v>
      </c>
      <c r="D86" s="7" t="str">
        <f>IF(ISNA(MATCH(77,'Transfer Engine'!$C$2:$C$1199,0)),"",INDEX('Compliance Database'!$D$2:$D$1199,MATCH(77,'Transfer Engine'!$C$2:$C$1199,0)))</f>
        <v>Board oversight of operational risk management</v>
      </c>
      <c r="E86" s="6" t="str">
        <f>IF(ISNA(MATCH(77,'Transfer Engine'!$C$2:$C$1199,0)),"",INDEX('Compliance Database'!$E$2:$E$1199,MATCH(77,'Transfer Engine'!$C$2:$C$1199,0)))</f>
        <v>5–6</v>
      </c>
      <c r="F86" s="6" t="str">
        <f>IF(ISNA(MATCH(77,'Transfer Engine'!$C$2:$C$1199,0)),"",INDEX('Compliance Database'!$F$2:$F$1199,MATCH(77,'Transfer Engine'!$C$2:$C$1199,0)))</f>
        <v>High</v>
      </c>
      <c r="G86" s="6" t="str">
        <f>IF(ISNA(MATCH(77,'Transfer Engine'!$C$2:$C$1199,0)),"",INDEX('Compliance Database'!$G$2:$G$1199,MATCH(77,'Transfer Engine'!$C$2:$C$1199,0)))</f>
        <v>High (explicit)</v>
      </c>
      <c r="H86" s="7">
        <f>IF(ISNA(MATCH(77,'Transfer Engine'!$C$2:$C$1199,0)),"",INDEX('Compliance Database'!$H$2:$H$1199,MATCH(77,'Transfer Engine'!$C$2:$C$1199,0)))</f>
        <v>0</v>
      </c>
      <c r="I86" s="7" t="str">
        <f>IF(ISNA(MATCH(77,'Transfer Engine'!$C$2:$C$1199,0)),"",INDEX('Compliance Database'!$I$2:$I$1199,MATCH(77,'Transfer Engine'!$C$2:$C$1199,0)))</f>
        <v>Financial Data</v>
      </c>
      <c r="J86" s="6" t="str">
        <f>IF(ISNA(MATCH(77,'Transfer Engine'!$C$2:$C$1199,0)),"",INDEX('Compliance Database'!$J$2:$J$1199,MATCH(77,'Transfer Engine'!$C$2:$C$1199,0)))</f>
        <v>APRA</v>
      </c>
      <c r="K86" s="7" t="str">
        <f>IF(ISNA(MATCH(77,'Transfer Engine'!$C$2:$C$1199,0)),"",INDEX('Compliance Database'!$K$2:$K$1199,MATCH(77,'Transfer Engine'!$C$2:$C$1199,0)))</f>
        <v>The Board must oversee operational risk management effectiveness, approve business continuity plans and tolerance levels for critical operations, review testing results, and approve service provider management policies. The Board is responsible for ensuring senior management takes action on operational risk concerns and provides regular updates on the entity's risk profile.</v>
      </c>
      <c r="L86" s="7" t="str">
        <f>IF(ISNA(MATCH(77,'Transfer Engine'!$C$2:$C$1199,0)),"",INDEX('Compliance Database'!$L$2:$L$1199,MATCH(77,'Transfer Engine'!$C$2:$C$1199,0)))</f>
        <v>This section requires Board-level oversight of operational risk, which impacts data transfer and storage by mandating regular reviews of business continuity plans and service provider risks, critical for cross-border data resilience.</v>
      </c>
      <c r="M86" s="7" t="str">
        <f>IF(ISNA(MATCH(77,'Transfer Engine'!$C$2:$C$1199,0)),"",INDEX('Compliance Database'!$M$2:$M$1199,MATCH(77,'Transfer Engine'!$C$2:$C$1199,0)))</f>
        <v>• [Must] Oversee operational risk management and the effectiveness of key internal controls in maintaining the entity's operational risk profile within risk appetite
• [Must] Be provided with regular updates on the APRA-regulated entity's operational risk profile and ensure senior management takes action as required to address any areas of concern
• [Must] Approve the business continuity plan and tolerance levels for disruptions to critical operations</v>
      </c>
      <c r="N86" s="7" t="str">
        <f>IF(ISNA(MATCH(77,'Transfer Engine'!$C$2:$C$1199,0)),"",INDEX('Compliance Database'!$N$2:$N$1199,MATCH(77,'Transfer Engine'!$C$2:$C$1199,0)))</f>
        <v>• [Must] Review the results of testing and oversee the execution of any findings
• [Must] Approve the service provider management policy
• [Must] Review risk and performance reporting on material service providers</v>
      </c>
      <c r="O86" s="7" t="str">
        <f>IF(ISNA(MATCH(77,'Transfer Engine'!$C$2:$C$1199,0)),"",INDEX('Compliance Database'!$O$2:$O$1199,MATCH(77,'Transfer Engine'!$C$2:$C$1199,0)))</f>
        <v>The Board must: (a) oversee operational risk management and the effectiveness of key internal controls in maintaining the entity's operational risk profile within risk appetite. The Board must be provided with regular updates on the APRA-regulated entity's operational risk profile and ensure senior management takes action as required to address any areas of concern; (b) approve the BCP and tolerance levels for disruptions to critical operations, review the results of testing and oversee the execution of any findings; and (c) approve the service provider management policy, and review risk and performance reporting on material service providers.</v>
      </c>
      <c r="P86" s="6" t="str">
        <f>IF(ISNA(MATCH(77,'Transfer Engine'!$C$2:$C$1199,0)),"",HYPERLINK("#Acts!A"&amp;INDEX('Compliance Database'!$P$2:$P$1199,MATCH(77,'Transfer Engine'!$C$2:$C$1199,0)),"Go to Act"))</f>
        <v>Go to Act</v>
      </c>
    </row>
    <row r="87" spans="1:16" ht="172.95" customHeight="1" x14ac:dyDescent="0.3">
      <c r="A87" s="6" t="str">
        <f>IF(ISNA(MATCH(78,'Transfer Engine'!$C$2:$C$1199,0)),"",INDEX('Compliance Database'!$A$2:$A$1199,MATCH(78,'Transfer Engine'!$C$2:$C$1199,0)))</f>
        <v>Australia</v>
      </c>
      <c r="B87" s="6" t="str">
        <f>IF(ISNA(MATCH(78,'Transfer Engine'!$C$2:$C$1199,0)),"",INDEX('Compliance Database'!$B$2:$B$1199,MATCH(78,'Transfer Engine'!$C$2:$C$1199,0)))</f>
        <v>Prudential Standard - CPS 230 Operational Risk Management - clean (Australia - Row 3)</v>
      </c>
      <c r="C87" s="6" t="str">
        <f>IF(ISNA(MATCH(78,'Transfer Engine'!$C$2:$C$1199,0)),"",INDEX('Compliance Database'!$C$2:$C$1199,MATCH(78,'Transfer Engine'!$C$2:$C$1199,0)))</f>
        <v>23</v>
      </c>
      <c r="D87" s="7" t="str">
        <f>IF(ISNA(MATCH(78,'Transfer Engine'!$C$2:$C$1199,0)),"",INDEX('Compliance Database'!$D$2:$D$1199,MATCH(78,'Transfer Engine'!$C$2:$C$1199,0)))</f>
        <v>Operational risk scope definition</v>
      </c>
      <c r="E87" s="6" t="str">
        <f>IF(ISNA(MATCH(78,'Transfer Engine'!$C$2:$C$1199,0)),"",INDEX('Compliance Database'!$E$2:$E$1199,MATCH(78,'Transfer Engine'!$C$2:$C$1199,0)))</f>
        <v>6</v>
      </c>
      <c r="F87" s="6" t="str">
        <f>IF(ISNA(MATCH(78,'Transfer Engine'!$C$2:$C$1199,0)),"",INDEX('Compliance Database'!$F$2:$F$1199,MATCH(78,'Transfer Engine'!$C$2:$C$1199,0)))</f>
        <v>High</v>
      </c>
      <c r="G87" s="6" t="str">
        <f>IF(ISNA(MATCH(78,'Transfer Engine'!$C$2:$C$1199,0)),"",INDEX('Compliance Database'!$G$2:$G$1199,MATCH(78,'Transfer Engine'!$C$2:$C$1199,0)))</f>
        <v>High (explicit)</v>
      </c>
      <c r="H87" s="7">
        <f>IF(ISNA(MATCH(78,'Transfer Engine'!$C$2:$C$1199,0)),"",INDEX('Compliance Database'!$H$2:$H$1199,MATCH(78,'Transfer Engine'!$C$2:$C$1199,0)))</f>
        <v>0</v>
      </c>
      <c r="I87" s="7" t="str">
        <f>IF(ISNA(MATCH(78,'Transfer Engine'!$C$2:$C$1199,0)),"",INDEX('Compliance Database'!$I$2:$I$1199,MATCH(78,'Transfer Engine'!$C$2:$C$1199,0)))</f>
        <v>Financial Data</v>
      </c>
      <c r="J87" s="6" t="str">
        <f>IF(ISNA(MATCH(78,'Transfer Engine'!$C$2:$C$1199,0)),"",INDEX('Compliance Database'!$J$2:$J$1199,MATCH(78,'Transfer Engine'!$C$2:$C$1199,0)))</f>
        <v>APRA</v>
      </c>
      <c r="K87" s="7" t="str">
        <f>IF(ISNA(MATCH(78,'Transfer Engine'!$C$2:$C$1199,0)),"",INDEX('Compliance Database'!$K$2:$K$1199,MATCH(78,'Transfer Engine'!$C$2:$C$1199,0)))</f>
        <v>APRA-regulated entities must manage all operational risks including legal, regulatory, compliance, conduct, technology, data, and change management risks. Senior management is responsible for operational risk management across end-to-end business processes.</v>
      </c>
      <c r="L87" s="7" t="str">
        <f>IF(ISNA(MATCH(78,'Transfer Engine'!$C$2:$C$1199,0)),"",INDEX('Compliance Database'!$L$2:$L$1199,MATCH(78,'Transfer Engine'!$C$2:$C$1199,0)))</f>
        <v>This section defines operational risk scope, which includes data risk, impacting data transfer and storage by requiring comprehensive risk management across all business operations.</v>
      </c>
      <c r="M87" s="7" t="str">
        <f>IF(ISNA(MATCH(78,'Transfer Engine'!$C$2:$C$1199,0)),"",INDEX('Compliance Database'!$M$2:$M$1199,MATCH(78,'Transfer Engine'!$C$2:$C$1199,0)))</f>
        <v>• [Must] Manage its full range of operational risks, including but not limited to legal risk, regulatory risk, compliance risk, conduct risk, technology risk, data risk and change management risk</v>
      </c>
      <c r="N87" s="7" t="str">
        <f>IF(ISNA(MATCH(78,'Transfer Engine'!$C$2:$C$1199,0)),"",INDEX('Compliance Database'!$N$2:$N$1199,MATCH(78,'Transfer Engine'!$C$2:$C$1199,0)))</f>
        <v>• [Must] Senior management are responsible for operational risk management across the end-to-end process for all business operations</v>
      </c>
      <c r="O87" s="7" t="str">
        <f>IF(ISNA(MATCH(78,'Transfer Engine'!$C$2:$C$1199,0)),"",INDEX('Compliance Database'!$O$2:$O$1199,MATCH(78,'Transfer Engine'!$C$2:$C$1199,0)))</f>
        <v>An APRA-regulated entity must manage its full range of operational risks, including but not limited to legal risk, regulatory risk, compliance risk, conduct risk, technology risk, data risk and change management risk. Senior management are responsible for operational risk management across the end-to-end process for all business operations.</v>
      </c>
      <c r="P87" s="6" t="str">
        <f>IF(ISNA(MATCH(78,'Transfer Engine'!$C$2:$C$1199,0)),"",HYPERLINK("#Acts!A"&amp;INDEX('Compliance Database'!$P$2:$P$1199,MATCH(78,'Transfer Engine'!$C$2:$C$1199,0)),"Go to Act"))</f>
        <v>Go to Act</v>
      </c>
    </row>
    <row r="88" spans="1:16" ht="172.95" customHeight="1" x14ac:dyDescent="0.3">
      <c r="A88" s="6" t="str">
        <f>IF(ISNA(MATCH(79,'Transfer Engine'!$C$2:$C$1199,0)),"",INDEX('Compliance Database'!$A$2:$A$1199,MATCH(79,'Transfer Engine'!$C$2:$C$1199,0)))</f>
        <v>Australia</v>
      </c>
      <c r="B88" s="6" t="str">
        <f>IF(ISNA(MATCH(79,'Transfer Engine'!$C$2:$C$1199,0)),"",INDEX('Compliance Database'!$B$2:$B$1199,MATCH(79,'Transfer Engine'!$C$2:$C$1199,0)))</f>
        <v>Prudential Standard - CPS 230 Operational Risk Management - clean (Australia - Row 3)</v>
      </c>
      <c r="C88" s="6" t="str">
        <f>IF(ISNA(MATCH(79,'Transfer Engine'!$C$2:$C$1199,0)),"",INDEX('Compliance Database'!$C$2:$C$1199,MATCH(79,'Transfer Engine'!$C$2:$C$1199,0)))</f>
        <v>24</v>
      </c>
      <c r="D88" s="7" t="str">
        <f>IF(ISNA(MATCH(79,'Transfer Engine'!$C$2:$C$1199,0)),"",INDEX('Compliance Database'!$D$2:$D$1199,MATCH(79,'Transfer Engine'!$C$2:$C$1199,0)))</f>
        <v>Maintain IT capabilities for operational risk management</v>
      </c>
      <c r="E88" s="6" t="str">
        <f>IF(ISNA(MATCH(79,'Transfer Engine'!$C$2:$C$1199,0)),"",INDEX('Compliance Database'!$E$2:$E$1199,MATCH(79,'Transfer Engine'!$C$2:$C$1199,0)))</f>
        <v>6</v>
      </c>
      <c r="F88" s="6" t="str">
        <f>IF(ISNA(MATCH(79,'Transfer Engine'!$C$2:$C$1199,0)),"",INDEX('Compliance Database'!$F$2:$F$1199,MATCH(79,'Transfer Engine'!$C$2:$C$1199,0)))</f>
        <v>High</v>
      </c>
      <c r="G88" s="6" t="str">
        <f>IF(ISNA(MATCH(79,'Transfer Engine'!$C$2:$C$1199,0)),"",INDEX('Compliance Database'!$G$2:$G$1199,MATCH(79,'Transfer Engine'!$C$2:$C$1199,0)))</f>
        <v>High (explicit)</v>
      </c>
      <c r="H88" s="7" t="str">
        <f>IF(ISNA(MATCH(79,'Transfer Engine'!$C$2:$C$1199,0)),"",INDEX('Compliance Database'!$H$2:$H$1199,MATCH(79,'Transfer Engine'!$C$2:$C$1199,0)))</f>
        <v>Data Storage, Security</v>
      </c>
      <c r="I88" s="7" t="str">
        <f>IF(ISNA(MATCH(79,'Transfer Engine'!$C$2:$C$1199,0)),"",INDEX('Compliance Database'!$I$2:$I$1199,MATCH(79,'Transfer Engine'!$C$2:$C$1199,0)))</f>
        <v>Personal Information, Financial Data</v>
      </c>
      <c r="J88" s="6" t="str">
        <f>IF(ISNA(MATCH(79,'Transfer Engine'!$C$2:$C$1199,0)),"",INDEX('Compliance Database'!$J$2:$J$1199,MATCH(79,'Transfer Engine'!$C$2:$C$1199,0)))</f>
        <v>APRA</v>
      </c>
      <c r="K88" s="7" t="str">
        <f>IF(ISNA(MATCH(79,'Transfer Engine'!$C$2:$C$1199,0)),"",INDEX('Compliance Database'!$K$2:$K$1199,MATCH(79,'Transfer Engine'!$C$2:$C$1199,0)))</f>
        <v>APRA-regulated entities must maintain robust information and information technology capabilities to meet current and projected business needs and support critical operations. They must monitor the age and health of information assets and comply with information security requirements outlined in Prudential Standard CPS 234.</v>
      </c>
      <c r="L88" s="7" t="str">
        <f>IF(ISNA(MATCH(79,'Transfer Engine'!$C$2:$C$1199,0)),"",INDEX('Compliance Database'!$L$2:$L$1199,MATCH(79,'Transfer Engine'!$C$2:$C$1199,0)))</f>
        <v>This section requires entities to maintain IT capabilities that support critical operations, directly impacting data storage and processing resilience during cross-border operations.</v>
      </c>
      <c r="M88" s="7" t="str">
        <f>IF(ISNA(MATCH(79,'Transfer Engine'!$C$2:$C$1199,0)),"",INDEX('Compliance Database'!$M$2:$M$1199,MATCH(79,'Transfer Engine'!$C$2:$C$1199,0)))</f>
        <v>• [Must] Maintain appropriate and sound information and information technology capability to meet current and projected business requirements
• [Must] Monitor the age and health of information assets</v>
      </c>
      <c r="N88" s="7" t="str">
        <f>IF(ISNA(MATCH(79,'Transfer Engine'!$C$2:$C$1199,0)),"",INDEX('Compliance Database'!$N$2:$N$1199,MATCH(79,'Transfer Engine'!$C$2:$C$1199,0)))</f>
        <v>• [Must] Meet information security requirements in Prudential Standard CPS 234</v>
      </c>
      <c r="O88" s="7" t="str">
        <f>IF(ISNA(MATCH(79,'Transfer Engine'!$C$2:$C$1199,0)),"",INDEX('Compliance Database'!$O$2:$O$1199,MATCH(79,'Transfer Engine'!$C$2:$C$1199,0)))</f>
        <v>An APRA-regulated entity must maintain appropriate and sound information and information technology (IT) capability to meet its current and projected business requirements and to support its critical operations and risk management.</v>
      </c>
      <c r="P88" s="6" t="str">
        <f>IF(ISNA(MATCH(79,'Transfer Engine'!$C$2:$C$1199,0)),"",HYPERLINK("#Acts!A"&amp;INDEX('Compliance Database'!$P$2:$P$1199,MATCH(79,'Transfer Engine'!$C$2:$C$1199,0)),"Go to Act"))</f>
        <v>Go to Act</v>
      </c>
    </row>
    <row r="89" spans="1:16" ht="172.95" customHeight="1" x14ac:dyDescent="0.3">
      <c r="A89" s="6" t="str">
        <f>IF(ISNA(MATCH(80,'Transfer Engine'!$C$2:$C$1199,0)),"",INDEX('Compliance Database'!$A$2:$A$1199,MATCH(80,'Transfer Engine'!$C$2:$C$1199,0)))</f>
        <v>Australia</v>
      </c>
      <c r="B89" s="6" t="str">
        <f>IF(ISNA(MATCH(80,'Transfer Engine'!$C$2:$C$1199,0)),"",INDEX('Compliance Database'!$B$2:$B$1199,MATCH(80,'Transfer Engine'!$C$2:$C$1199,0)))</f>
        <v>Prudential Standard - CPS 230 Operational Risk Management - clean (Australia - Row 3)</v>
      </c>
      <c r="C89" s="6" t="str">
        <f>IF(ISNA(MATCH(80,'Transfer Engine'!$C$2:$C$1199,0)),"",INDEX('Compliance Database'!$C$2:$C$1199,MATCH(80,'Transfer Engine'!$C$2:$C$1199,0)))</f>
        <v>26</v>
      </c>
      <c r="D89" s="7" t="str">
        <f>IF(ISNA(MATCH(80,'Transfer Engine'!$C$2:$C$1199,0)),"",INDEX('Compliance Database'!$D$2:$D$1199,MATCH(80,'Transfer Engine'!$C$2:$C$1199,0)))</f>
        <v>Conduct comprehensive operational risk assessment</v>
      </c>
      <c r="E89" s="6" t="str">
        <f>IF(ISNA(MATCH(80,'Transfer Engine'!$C$2:$C$1199,0)),"",INDEX('Compliance Database'!$E$2:$E$1199,MATCH(80,'Transfer Engine'!$C$2:$C$1199,0)))</f>
        <v>6</v>
      </c>
      <c r="F89" s="6" t="str">
        <f>IF(ISNA(MATCH(80,'Transfer Engine'!$C$2:$C$1199,0)),"",INDEX('Compliance Database'!$F$2:$F$1199,MATCH(80,'Transfer Engine'!$C$2:$C$1199,0)))</f>
        <v>High</v>
      </c>
      <c r="G89" s="6" t="str">
        <f>IF(ISNA(MATCH(80,'Transfer Engine'!$C$2:$C$1199,0)),"",INDEX('Compliance Database'!$G$2:$G$1199,MATCH(80,'Transfer Engine'!$C$2:$C$1199,0)))</f>
        <v>High (explicit)</v>
      </c>
      <c r="H89" s="7" t="str">
        <f>IF(ISNA(MATCH(80,'Transfer Engine'!$C$2:$C$1199,0)),"",INDEX('Compliance Database'!$H$2:$H$1199,MATCH(80,'Transfer Engine'!$C$2:$C$1199,0)))</f>
        <v>Data Storage</v>
      </c>
      <c r="I89" s="7" t="str">
        <f>IF(ISNA(MATCH(80,'Transfer Engine'!$C$2:$C$1199,0)),"",INDEX('Compliance Database'!$I$2:$I$1199,MATCH(80,'Transfer Engine'!$C$2:$C$1199,0)))</f>
        <v>Financial Data</v>
      </c>
      <c r="J89" s="6" t="str">
        <f>IF(ISNA(MATCH(80,'Transfer Engine'!$C$2:$C$1199,0)),"",INDEX('Compliance Database'!$J$2:$J$1199,MATCH(80,'Transfer Engine'!$C$2:$C$1199,0)))</f>
        <v>APRA</v>
      </c>
      <c r="K89" s="7" t="str">
        <f>IF(ISNA(MATCH(80,'Transfer Engine'!$C$2:$C$1199,0)),"",INDEX('Compliance Database'!$K$2:$K$1199,MATCH(80,'Transfer Engine'!$C$2:$C$1199,0)))</f>
        <v>APRA-regulated entities must maintain a comprehensive assessment of their operational risk profile. This includes monitoring operational risk, compiling and analyzing risk data, identifying critical operations, and conducting scenario analysis to test resilience and identify mitigation strategies.</v>
      </c>
      <c r="L89" s="7" t="str">
        <f>IF(ISNA(MATCH(80,'Transfer Engine'!$C$2:$C$1199,0)),"",INDEX('Compliance Database'!$L$2:$L$1199,MATCH(80,'Transfer Engine'!$C$2:$C$1199,0)))</f>
        <v>This section mandates detailed operational risk assessments that affect data storage, processing, and resilience planning for cross-border data transfers.</v>
      </c>
      <c r="M89" s="7" t="str">
        <f>IF(ISNA(MATCH(80,'Transfer Engine'!$C$2:$C$1199,0)),"",INDEX('Compliance Database'!$M$2:$M$1199,MATCH(80,'Transfer Engine'!$C$2:$C$1199,0)))</f>
        <v>• [Must] Maintain appropriate and effective information systems to monitor operational risk, compile and analyze operational risk data, and facilitate reporting to the Board and senior management
• [Must] Identify and document processes and resources needed for critical operations, including people, technology, information, facilities, service providers, interdependencies, and associated risks</v>
      </c>
      <c r="N89" s="7" t="str">
        <f>IF(ISNA(MATCH(80,'Transfer Engine'!$C$2:$C$1199,0)),"",INDEX('Compliance Database'!$N$2:$N$1199,MATCH(80,'Transfer Engine'!$C$2:$C$1199,0)))</f>
        <v>• [Must] Undertake scenario analysis to identify and assess potential impacts of severe operational risk events</v>
      </c>
      <c r="O89" s="7" t="str">
        <f>IF(ISNA(MATCH(80,'Transfer Engine'!$C$2:$C$1199,0)),"",INDEX('Compliance Database'!$O$2:$O$1199,MATCH(80,'Transfer Engine'!$C$2:$C$1199,0)))</f>
        <v>An APRA-regulated entity must maintain a comprehensive assessment of its operational risk profile. As part of this, an APRA-regulated entity must: (a) maintain appropriate and effective information systems to monitor operational risk, compile and analyse operational risk data and facilitate reporting to the Board and senior management; (b) identify and document the processes and resources needed to deliver critical operations, including people, technology, information, facilities and service providers, the interdependencies across them, and the associated risks, obligations, key data and controls; and (c) undertake scenario analysis to identify and assess the potential impact of severe operational risk events, test its operational resilience and identify the need for new or amended controls and other mitigation strategies.</v>
      </c>
      <c r="P89" s="6" t="str">
        <f>IF(ISNA(MATCH(80,'Transfer Engine'!$C$2:$C$1199,0)),"",HYPERLINK("#Acts!A"&amp;INDEX('Compliance Database'!$P$2:$P$1199,MATCH(80,'Transfer Engine'!$C$2:$C$1199,0)),"Go to Act"))</f>
        <v>Go to Act</v>
      </c>
    </row>
    <row r="90" spans="1:16" ht="172.95" customHeight="1" x14ac:dyDescent="0.3">
      <c r="A90" s="6" t="str">
        <f>IF(ISNA(MATCH(81,'Transfer Engine'!$C$2:$C$1199,0)),"",INDEX('Compliance Database'!$A$2:$A$1199,MATCH(81,'Transfer Engine'!$C$2:$C$1199,0)))</f>
        <v>Australia</v>
      </c>
      <c r="B90" s="6" t="str">
        <f>IF(ISNA(MATCH(81,'Transfer Engine'!$C$2:$C$1199,0)),"",INDEX('Compliance Database'!$B$2:$B$1199,MATCH(81,'Transfer Engine'!$C$2:$C$1199,0)))</f>
        <v>Prudential Standard - CPS 230 Operational Risk Management - clean (Australia - Row 3)</v>
      </c>
      <c r="C90" s="6" t="str">
        <f>IF(ISNA(MATCH(81,'Transfer Engine'!$C$2:$C$1199,0)),"",INDEX('Compliance Database'!$C$2:$C$1199,MATCH(81,'Transfer Engine'!$C$2:$C$1199,0)))</f>
        <v>30</v>
      </c>
      <c r="D90" s="7" t="str">
        <f>IF(ISNA(MATCH(81,'Transfer Engine'!$C$2:$C$1199,0)),"",INDEX('Compliance Database'!$D$2:$D$1199,MATCH(81,'Transfer Engine'!$C$2:$C$1199,0)))</f>
        <v>Remediate operational risk weaknesses</v>
      </c>
      <c r="E90" s="6" t="str">
        <f>IF(ISNA(MATCH(81,'Transfer Engine'!$C$2:$C$1199,0)),"",INDEX('Compliance Database'!$E$2:$E$1199,MATCH(81,'Transfer Engine'!$C$2:$C$1199,0)))</f>
        <v>7</v>
      </c>
      <c r="F90" s="6" t="str">
        <f>IF(ISNA(MATCH(81,'Transfer Engine'!$C$2:$C$1199,0)),"",INDEX('Compliance Database'!$F$2:$F$1199,MATCH(81,'Transfer Engine'!$C$2:$C$1199,0)))</f>
        <v>High</v>
      </c>
      <c r="G90" s="6" t="str">
        <f>IF(ISNA(MATCH(81,'Transfer Engine'!$C$2:$C$1199,0)),"",INDEX('Compliance Database'!$G$2:$G$1199,MATCH(81,'Transfer Engine'!$C$2:$C$1199,0)))</f>
        <v>High (explicit)</v>
      </c>
      <c r="H90" s="7" t="str">
        <f>IF(ISNA(MATCH(81,'Transfer Engine'!$C$2:$C$1199,0)),"",INDEX('Compliance Database'!$H$2:$H$1199,MATCH(81,'Transfer Engine'!$C$2:$C$1199,0)))</f>
        <v>Data Storage</v>
      </c>
      <c r="I90" s="7" t="str">
        <f>IF(ISNA(MATCH(81,'Transfer Engine'!$C$2:$C$1199,0)),"",INDEX('Compliance Database'!$I$2:$I$1199,MATCH(81,'Transfer Engine'!$C$2:$C$1199,0)))</f>
        <v>Financial Data</v>
      </c>
      <c r="J90" s="6" t="str">
        <f>IF(ISNA(MATCH(81,'Transfer Engine'!$C$2:$C$1199,0)),"",INDEX('Compliance Database'!$J$2:$J$1199,MATCH(81,'Transfer Engine'!$C$2:$C$1199,0)))</f>
        <v>APRA</v>
      </c>
      <c r="K90" s="7" t="str">
        <f>IF(ISNA(MATCH(81,'Transfer Engine'!$C$2:$C$1199,0)),"",INDEX('Compliance Database'!$K$2:$K$1199,MATCH(81,'Transfer Engine'!$C$2:$C$1199,0)))</f>
        <v>APRA-regulated entities must address material weaknesses in operational risk management, including control gaps and failures. Remediation requires clear accountability, assurance, and timely root cause analysis, with identified weaknesses documented in the operational risk profile until resolved.</v>
      </c>
      <c r="L90" s="7" t="str">
        <f>IF(ISNA(MATCH(81,'Transfer Engine'!$C$2:$C$1199,0)),"",INDEX('Compliance Database'!$L$2:$L$1199,MATCH(81,'Transfer Engine'!$C$2:$C$1199,0)))</f>
        <v>This section requires remediation of operational risk weaknesses, affecting data storage and processing resilience for cross-border data transfers.</v>
      </c>
      <c r="M90" s="7" t="str">
        <f>IF(ISNA(MATCH(81,'Transfer Engine'!$C$2:$C$1199,0)),"",INDEX('Compliance Database'!$M$2:$M$1199,MATCH(81,'Transfer Engine'!$C$2:$C$1199,0)))</f>
        <v>• [Must] Remediate material weaknesses in operational risk management, including control gaps, weaknesses and failures
• [Must] Support remediation with clear accountabilities and assurance</v>
      </c>
      <c r="N90" s="7" t="str">
        <f>IF(ISNA(MATCH(81,'Transfer Engine'!$C$2:$C$1199,0)),"",INDEX('Compliance Database'!$N$2:$N$1199,MATCH(81,'Transfer Engine'!$C$2:$C$1199,0)))</f>
        <v>• [Must] Address root causes of weaknesses in a timely manner
• [Must] Include identified control gaps, weaknesses and failures in operational risk profile until remediated</v>
      </c>
      <c r="O90" s="7" t="str">
        <f>IF(ISNA(MATCH(81,'Transfer Engine'!$C$2:$C$1199,0)),"",INDEX('Compliance Database'!$O$2:$O$1199,MATCH(81,'Transfer Engine'!$C$2:$C$1199,0)))</f>
        <v>An APRA-regulated entity must remediate material weaknesses in its operational risk management, including control gaps, weaknesses and failures. This remediation must be supported by clear accountabilities and assurance and address the root causes of weaknesses in a timely manner. An APRA-regulated entity must include identified control gaps, weaknesses and failures in its operational risk profile until such matters are remediated.</v>
      </c>
      <c r="P90" s="6" t="str">
        <f>IF(ISNA(MATCH(81,'Transfer Engine'!$C$2:$C$1199,0)),"",HYPERLINK("#Acts!A"&amp;INDEX('Compliance Database'!$P$2:$P$1199,MATCH(81,'Transfer Engine'!$C$2:$C$1199,0)),"Go to Act"))</f>
        <v>Go to Act</v>
      </c>
    </row>
    <row r="91" spans="1:16" ht="172.95" customHeight="1" x14ac:dyDescent="0.3">
      <c r="A91" s="6" t="str">
        <f>IF(ISNA(MATCH(82,'Transfer Engine'!$C$2:$C$1199,0)),"",INDEX('Compliance Database'!$A$2:$A$1199,MATCH(82,'Transfer Engine'!$C$2:$C$1199,0)))</f>
        <v>Australia</v>
      </c>
      <c r="B91" s="6" t="str">
        <f>IF(ISNA(MATCH(82,'Transfer Engine'!$C$2:$C$1199,0)),"",INDEX('Compliance Database'!$B$2:$B$1199,MATCH(82,'Transfer Engine'!$C$2:$C$1199,0)))</f>
        <v>Prudential Standard - CPS 230 Operational Risk Management - clean (Australia - Row 3)</v>
      </c>
      <c r="C91" s="6" t="str">
        <f>IF(ISNA(MATCH(82,'Transfer Engine'!$C$2:$C$1199,0)),"",INDEX('Compliance Database'!$C$2:$C$1199,MATCH(82,'Transfer Engine'!$C$2:$C$1199,0)))</f>
        <v>31</v>
      </c>
      <c r="D91" s="7" t="str">
        <f>IF(ISNA(MATCH(82,'Transfer Engine'!$C$2:$C$1199,0)),"",INDEX('Compliance Database'!$D$2:$D$1199,MATCH(82,'Transfer Engine'!$C$2:$C$1199,0)))</f>
        <v>Report operational risk incidents and near misses</v>
      </c>
      <c r="E91" s="6" t="str">
        <f>IF(ISNA(MATCH(82,'Transfer Engine'!$C$2:$C$1199,0)),"",INDEX('Compliance Database'!$E$2:$E$1199,MATCH(82,'Transfer Engine'!$C$2:$C$1199,0)))</f>
        <v>7</v>
      </c>
      <c r="F91" s="6" t="str">
        <f>IF(ISNA(MATCH(82,'Transfer Engine'!$C$2:$C$1199,0)),"",INDEX('Compliance Database'!$F$2:$F$1199,MATCH(82,'Transfer Engine'!$C$2:$C$1199,0)))</f>
        <v>High</v>
      </c>
      <c r="G91" s="6" t="str">
        <f>IF(ISNA(MATCH(82,'Transfer Engine'!$C$2:$C$1199,0)),"",INDEX('Compliance Database'!$G$2:$G$1199,MATCH(82,'Transfer Engine'!$C$2:$C$1199,0)))</f>
        <v>High (explicit)</v>
      </c>
      <c r="H91" s="7" t="str">
        <f>IF(ISNA(MATCH(82,'Transfer Engine'!$C$2:$C$1199,0)),"",INDEX('Compliance Database'!$H$2:$H$1199,MATCH(82,'Transfer Engine'!$C$2:$C$1199,0)))</f>
        <v>Incident Reporting</v>
      </c>
      <c r="I91" s="7" t="str">
        <f>IF(ISNA(MATCH(82,'Transfer Engine'!$C$2:$C$1199,0)),"",INDEX('Compliance Database'!$I$2:$I$1199,MATCH(82,'Transfer Engine'!$C$2:$C$1199,0)))</f>
        <v>Financial Data</v>
      </c>
      <c r="J91" s="6" t="str">
        <f>IF(ISNA(MATCH(82,'Transfer Engine'!$C$2:$C$1199,0)),"",INDEX('Compliance Database'!$J$2:$J$1199,MATCH(82,'Transfer Engine'!$C$2:$C$1199,0)))</f>
        <v>APRA</v>
      </c>
      <c r="K91" s="7" t="str">
        <f>IF(ISNA(MATCH(82,'Transfer Engine'!$C$2:$C$1199,0)),"",INDEX('Compliance Database'!$K$2:$K$1199,MATCH(82,'Transfer Engine'!$C$2:$C$1199,0)))</f>
        <v>APRA-regulated entities must identify, escalate, record, and address operational risk incidents and near misses within a timely manner. They must also incorporate these incidents into operational risk profile assessments to evaluate control effectiveness.</v>
      </c>
      <c r="L91" s="7" t="str">
        <f>IF(ISNA(MATCH(82,'Transfer Engine'!$C$2:$C$1199,0)),"",INDEX('Compliance Database'!$L$2:$L$1199,MATCH(82,'Transfer Engine'!$C$2:$C$1199,0)))</f>
        <v>This section mandates timely reporting of operational incidents, impacting data storage and processing resilience for cross-border data transfers.</v>
      </c>
      <c r="M91" s="7" t="str">
        <f>IF(ISNA(MATCH(82,'Transfer Engine'!$C$2:$C$1199,0)),"",INDEX('Compliance Database'!$M$2:$M$1199,MATCH(82,'Transfer Engine'!$C$2:$C$1199,0)))</f>
        <v>• [Must] Identify, escalate, record and address operational risk incidents and near misses in a timely manner</v>
      </c>
      <c r="N91" s="7" t="str">
        <f>IF(ISNA(MATCH(82,'Transfer Engine'!$C$2:$C$1199,0)),"",INDEX('Compliance Database'!$N$2:$N$1199,MATCH(82,'Transfer Engine'!$C$2:$C$1199,0)))</f>
        <v>• [Must] Take incidents and near misses into account in operational risk profile assessment and control effectiveness evaluation</v>
      </c>
      <c r="O91" s="7" t="str">
        <f>IF(ISNA(MATCH(82,'Transfer Engine'!$C$2:$C$1199,0)),"",INDEX('Compliance Database'!$O$2:$O$1199,MATCH(82,'Transfer Engine'!$C$2:$C$1199,0)))</f>
        <v>An APRA-regulated entity must ensure that operational risk incidents and near misses are identified, escalated, recorded and addressed in a timely manner. An APRA-regulated entity must take incidents and near misses into account in its assessment of its operational risk profile and control effectiveness in a timely manner.</v>
      </c>
      <c r="P91" s="6" t="str">
        <f>IF(ISNA(MATCH(82,'Transfer Engine'!$C$2:$C$1199,0)),"",HYPERLINK("#Acts!A"&amp;INDEX('Compliance Database'!$P$2:$P$1199,MATCH(82,'Transfer Engine'!$C$2:$C$1199,0)),"Go to Act"))</f>
        <v>Go to Act</v>
      </c>
    </row>
    <row r="92" spans="1:16" ht="172.95" customHeight="1" x14ac:dyDescent="0.3">
      <c r="A92" s="6" t="str">
        <f>IF(ISNA(MATCH(83,'Transfer Engine'!$C$2:$C$1199,0)),"",INDEX('Compliance Database'!$A$2:$A$1199,MATCH(83,'Transfer Engine'!$C$2:$C$1199,0)))</f>
        <v>Australia</v>
      </c>
      <c r="B92" s="6" t="str">
        <f>IF(ISNA(MATCH(83,'Transfer Engine'!$C$2:$C$1199,0)),"",INDEX('Compliance Database'!$B$2:$B$1199,MATCH(83,'Transfer Engine'!$C$2:$C$1199,0)))</f>
        <v>Prudential Standard - CPS 230 Operational Risk Management - clean (Australia - Row 3)</v>
      </c>
      <c r="C92" s="6" t="str">
        <f>IF(ISNA(MATCH(83,'Transfer Engine'!$C$2:$C$1199,0)),"",INDEX('Compliance Database'!$C$2:$C$1199,MATCH(83,'Transfer Engine'!$C$2:$C$1199,0)))</f>
        <v>32</v>
      </c>
      <c r="D92" s="7" t="str">
        <f>IF(ISNA(MATCH(83,'Transfer Engine'!$C$2:$C$1199,0)),"",INDEX('Compliance Database'!$D$2:$D$1199,MATCH(83,'Transfer Engine'!$C$2:$C$1199,0)))</f>
        <v>Notify APRA of material operational incidents</v>
      </c>
      <c r="E92" s="6" t="str">
        <f>IF(ISNA(MATCH(83,'Transfer Engine'!$C$2:$C$1199,0)),"",INDEX('Compliance Database'!$E$2:$E$1199,MATCH(83,'Transfer Engine'!$C$2:$C$1199,0)))</f>
        <v>7</v>
      </c>
      <c r="F92" s="6" t="str">
        <f>IF(ISNA(MATCH(83,'Transfer Engine'!$C$2:$C$1199,0)),"",INDEX('Compliance Database'!$F$2:$F$1199,MATCH(83,'Transfer Engine'!$C$2:$C$1199,0)))</f>
        <v>High</v>
      </c>
      <c r="G92" s="6" t="str">
        <f>IF(ISNA(MATCH(83,'Transfer Engine'!$C$2:$C$1199,0)),"",INDEX('Compliance Database'!$G$2:$G$1199,MATCH(83,'Transfer Engine'!$C$2:$C$1199,0)))</f>
        <v>High (explicit)</v>
      </c>
      <c r="H92" s="7" t="str">
        <f>IF(ISNA(MATCH(83,'Transfer Engine'!$C$2:$C$1199,0)),"",INDEX('Compliance Database'!$H$2:$H$1199,MATCH(83,'Transfer Engine'!$C$2:$C$1199,0)))</f>
        <v>Breach Notification</v>
      </c>
      <c r="I92" s="7" t="str">
        <f>IF(ISNA(MATCH(83,'Transfer Engine'!$C$2:$C$1199,0)),"",INDEX('Compliance Database'!$I$2:$I$1199,MATCH(83,'Transfer Engine'!$C$2:$C$1199,0)))</f>
        <v>Financial Data</v>
      </c>
      <c r="J92" s="6" t="str">
        <f>IF(ISNA(MATCH(83,'Transfer Engine'!$C$2:$C$1199,0)),"",INDEX('Compliance Database'!$J$2:$J$1199,MATCH(83,'Transfer Engine'!$C$2:$C$1199,0)))</f>
        <v>APRA</v>
      </c>
      <c r="K92" s="7" t="str">
        <f>IF(ISNA(MATCH(83,'Transfer Engine'!$C$2:$C$1199,0)),"",INDEX('Compliance Database'!$K$2:$K$1199,MATCH(83,'Transfer Engine'!$C$2:$C$1199,0)))</f>
        <v>APRA-regulated entities must notify APRA within 72 hours of becoming aware of operational risk incidents that could have a material financial impact or disrupt critical operations.</v>
      </c>
      <c r="L92" s="7" t="str">
        <f>IF(ISNA(MATCH(83,'Transfer Engine'!$C$2:$C$1199,0)),"",INDEX('Compliance Database'!$L$2:$L$1199,MATCH(83,'Transfer Engine'!$C$2:$C$1199,0)))</f>
        <v>This section requires timely notification of material operational incidents, affecting data storage and processing resilience for cross-border data transfers.</v>
      </c>
      <c r="M92" s="7" t="str">
        <f>IF(ISNA(MATCH(83,'Transfer Engine'!$C$2:$C$1199,0)),"",INDEX('Compliance Database'!$M$2:$M$1199,MATCH(83,'Transfer Engine'!$C$2:$C$1199,0)))</f>
        <v>• [Must] Notify APRA as soon as possible, not later than 72 hours after becoming aware of an operational risk incident likely to have material financial impact or disrupt critical operations</v>
      </c>
      <c r="N92" s="7">
        <f>IF(ISNA(MATCH(83,'Transfer Engine'!$C$2:$C$1199,0)),"",INDEX('Compliance Database'!$N$2:$N$1199,MATCH(83,'Transfer Engine'!$C$2:$C$1199,0)))</f>
        <v>0</v>
      </c>
      <c r="O92" s="7" t="str">
        <f>IF(ISNA(MATCH(83,'Transfer Engine'!$C$2:$C$1199,0)),"",INDEX('Compliance Database'!$O$2:$O$1199,MATCH(83,'Transfer Engine'!$C$2:$C$1199,0)))</f>
        <v>An APRA-regulated entity must notify APRA as soon as possible, and not later than 72 hours, after becoming aware of an operational risk incident that it determines to be likely to have a material financial impact or a material impact on the ability of the entity to maintain its critical operations.</v>
      </c>
      <c r="P92" s="6" t="str">
        <f>IF(ISNA(MATCH(83,'Transfer Engine'!$C$2:$C$1199,0)),"",HYPERLINK("#Acts!A"&amp;INDEX('Compliance Database'!$P$2:$P$1199,MATCH(83,'Transfer Engine'!$C$2:$C$1199,0)),"Go to Act"))</f>
        <v>Go to Act</v>
      </c>
    </row>
    <row r="93" spans="1:16" ht="172.95" customHeight="1" x14ac:dyDescent="0.3">
      <c r="A93" s="6" t="str">
        <f>IF(ISNA(MATCH(84,'Transfer Engine'!$C$2:$C$1199,0)),"",INDEX('Compliance Database'!$A$2:$A$1199,MATCH(84,'Transfer Engine'!$C$2:$C$1199,0)))</f>
        <v>Australia</v>
      </c>
      <c r="B93" s="6" t="str">
        <f>IF(ISNA(MATCH(84,'Transfer Engine'!$C$2:$C$1199,0)),"",INDEX('Compliance Database'!$B$2:$B$1199,MATCH(84,'Transfer Engine'!$C$2:$C$1199,0)))</f>
        <v>Prudential Standard - CPS 230 Operational Risk Management - clean (Australia - Row 3)</v>
      </c>
      <c r="C93" s="6" t="str">
        <f>IF(ISNA(MATCH(84,'Transfer Engine'!$C$2:$C$1199,0)),"",INDEX('Compliance Database'!$C$2:$C$1199,MATCH(84,'Transfer Engine'!$C$2:$C$1199,0)))</f>
        <v>33</v>
      </c>
      <c r="D93" s="7" t="str">
        <f>IF(ISNA(MATCH(84,'Transfer Engine'!$C$2:$C$1199,0)),"",INDEX('Compliance Database'!$D$2:$D$1199,MATCH(84,'Transfer Engine'!$C$2:$C$1199,0)))</f>
        <v>Maintain critical operations continuity</v>
      </c>
      <c r="E93" s="6" t="str">
        <f>IF(ISNA(MATCH(84,'Transfer Engine'!$C$2:$C$1199,0)),"",INDEX('Compliance Database'!$E$2:$E$1199,MATCH(84,'Transfer Engine'!$C$2:$C$1199,0)))</f>
        <v>7–8</v>
      </c>
      <c r="F93" s="6" t="str">
        <f>IF(ISNA(MATCH(84,'Transfer Engine'!$C$2:$C$1199,0)),"",INDEX('Compliance Database'!$F$2:$F$1199,MATCH(84,'Transfer Engine'!$C$2:$C$1199,0)))</f>
        <v>High</v>
      </c>
      <c r="G93" s="6" t="str">
        <f>IF(ISNA(MATCH(84,'Transfer Engine'!$C$2:$C$1199,0)),"",INDEX('Compliance Database'!$G$2:$G$1199,MATCH(84,'Transfer Engine'!$C$2:$C$1199,0)))</f>
        <v>High (explicit)</v>
      </c>
      <c r="H93" s="7">
        <f>IF(ISNA(MATCH(84,'Transfer Engine'!$C$2:$C$1199,0)),"",INDEX('Compliance Database'!$H$2:$H$1199,MATCH(84,'Transfer Engine'!$C$2:$C$1199,0)))</f>
        <v>0</v>
      </c>
      <c r="I93" s="7" t="str">
        <f>IF(ISNA(MATCH(84,'Transfer Engine'!$C$2:$C$1199,0)),"",INDEX('Compliance Database'!$I$2:$I$1199,MATCH(84,'Transfer Engine'!$C$2:$C$1199,0)))</f>
        <v>Financial Data</v>
      </c>
      <c r="J93" s="6" t="str">
        <f>IF(ISNA(MATCH(84,'Transfer Engine'!$C$2:$C$1199,0)),"",INDEX('Compliance Database'!$J$2:$J$1199,MATCH(84,'Transfer Engine'!$C$2:$C$1199,0)))</f>
        <v>APRA</v>
      </c>
      <c r="K93" s="7" t="str">
        <f>IF(ISNA(MATCH(84,'Transfer Engine'!$C$2:$C$1199,0)),"",INDEX('Compliance Database'!$K$2:$K$1199,MATCH(84,'Transfer Engine'!$C$2:$C$1199,0)))</f>
        <v>APRA-regulated entities must define critical operations, minimize disruption risks, maintain credible business continuity plans, activate plans during disruptions, and return to normal operations promptly after disruptions.</v>
      </c>
      <c r="L93" s="7" t="str">
        <f>IF(ISNA(MATCH(84,'Transfer Engine'!$C$2:$C$1199,0)),"",INDEX('Compliance Database'!$L$2:$L$1199,MATCH(84,'Transfer Engine'!$C$2:$C$1199,0)))</f>
        <v>This section requires business continuity planning for critical operations, directly impacting data storage and processing resilience during cross-border data transfers.</v>
      </c>
      <c r="M93" s="7" t="str">
        <f>IF(ISNA(MATCH(84,'Transfer Engine'!$C$2:$C$1199,0)),"",INDEX('Compliance Database'!$M$2:$M$1199,MATCH(84,'Transfer Engine'!$C$2:$C$1199,0)))</f>
        <v>• [Must] Define, identify and maintain a register of critical operations
• [Must] Take reasonable steps to minimize likelihood and impact of disruptions to critical operations
• [Must] Maintain a credible business continuity plan for critical operations within tolerance levels</v>
      </c>
      <c r="N93" s="7" t="str">
        <f>IF(ISNA(MATCH(84,'Transfer Engine'!$C$2:$C$1199,0)),"",INDEX('Compliance Database'!$N$2:$N$1199,MATCH(84,'Transfer Engine'!$C$2:$C$1199,0)))</f>
        <v>• [Must] Activate business continuity plan if needed during disruptions
• [Must] Return to normal operations promptly after disruptions</v>
      </c>
      <c r="O93" s="7" t="str">
        <f>IF(ISNA(MATCH(84,'Transfer Engine'!$C$2:$C$1199,0)),"",INDEX('Compliance Database'!$O$2:$O$1199,MATCH(84,'Transfer Engine'!$C$2:$C$1199,0)))</f>
        <v>An APRA-regulated entity must: (a) define, identify and maintain a register of its critical operations; (b) take reasonable steps to minimise the likelihood and impact of disruptions to its critical operations; (c) maintain a credible BCP that sets out how it would maintain its critical operations within tolerance levels through disruptions, including disaster recovery planning for critical information assets; (d) activate its BCP if needed in the event of a disruption; and (e) return to normal operations promptly after a disruption is over.</v>
      </c>
      <c r="P93" s="6" t="str">
        <f>IF(ISNA(MATCH(84,'Transfer Engine'!$C$2:$C$1199,0)),"",HYPERLINK("#Acts!A"&amp;INDEX('Compliance Database'!$P$2:$P$1199,MATCH(84,'Transfer Engine'!$C$2:$C$1199,0)),"Go to Act"))</f>
        <v>Go to Act</v>
      </c>
    </row>
    <row r="94" spans="1:16" ht="172.95" customHeight="1" x14ac:dyDescent="0.3">
      <c r="A94" s="6" t="str">
        <f>IF(ISNA(MATCH(85,'Transfer Engine'!$C$2:$C$1199,0)),"",INDEX('Compliance Database'!$A$2:$A$1199,MATCH(85,'Transfer Engine'!$C$2:$C$1199,0)))</f>
        <v>Australia</v>
      </c>
      <c r="B94" s="6" t="str">
        <f>IF(ISNA(MATCH(85,'Transfer Engine'!$C$2:$C$1199,0)),"",INDEX('Compliance Database'!$B$2:$B$1199,MATCH(85,'Transfer Engine'!$C$2:$C$1199,0)))</f>
        <v>Prudential Standard - CPS 230 Operational Risk Management - clean (Australia - Row 3)</v>
      </c>
      <c r="C94" s="6" t="str">
        <f>IF(ISNA(MATCH(85,'Transfer Engine'!$C$2:$C$1199,0)),"",INDEX('Compliance Database'!$C$2:$C$1199,MATCH(85,'Transfer Engine'!$C$2:$C$1199,0)))</f>
        <v>34</v>
      </c>
      <c r="D94" s="7" t="str">
        <f>IF(ISNA(MATCH(85,'Transfer Engine'!$C$2:$C$1199,0)),"",INDEX('Compliance Database'!$D$2:$D$1199,MATCH(85,'Transfer Engine'!$C$2:$C$1199,0)))</f>
        <v>Definition of critical operations for financial entities</v>
      </c>
      <c r="E94" s="6" t="str">
        <f>IF(ISNA(MATCH(85,'Transfer Engine'!$C$2:$C$1199,0)),"",INDEX('Compliance Database'!$E$2:$E$1199,MATCH(85,'Transfer Engine'!$C$2:$C$1199,0)))</f>
        <v>8</v>
      </c>
      <c r="F94" s="6" t="str">
        <f>IF(ISNA(MATCH(85,'Transfer Engine'!$C$2:$C$1199,0)),"",INDEX('Compliance Database'!$F$2:$F$1199,MATCH(85,'Transfer Engine'!$C$2:$C$1199,0)))</f>
        <v>High</v>
      </c>
      <c r="G94" s="6" t="str">
        <f>IF(ISNA(MATCH(85,'Transfer Engine'!$C$2:$C$1199,0)),"",INDEX('Compliance Database'!$G$2:$G$1199,MATCH(85,'Transfer Engine'!$C$2:$C$1199,0)))</f>
        <v>High (explicit)</v>
      </c>
      <c r="H94" s="7">
        <f>IF(ISNA(MATCH(85,'Transfer Engine'!$C$2:$C$1199,0)),"",INDEX('Compliance Database'!$H$2:$H$1199,MATCH(85,'Transfer Engine'!$C$2:$C$1199,0)))</f>
        <v>0</v>
      </c>
      <c r="I94" s="7" t="str">
        <f>IF(ISNA(MATCH(85,'Transfer Engine'!$C$2:$C$1199,0)),"",INDEX('Compliance Database'!$I$2:$I$1199,MATCH(85,'Transfer Engine'!$C$2:$C$1199,0)))</f>
        <v>Customer Data</v>
      </c>
      <c r="J94" s="6" t="str">
        <f>IF(ISNA(MATCH(85,'Transfer Engine'!$C$2:$C$1199,0)),"",INDEX('Compliance Database'!$J$2:$J$1199,MATCH(85,'Transfer Engine'!$C$2:$C$1199,0)))</f>
        <v>APRA</v>
      </c>
      <c r="K94" s="7" t="str">
        <f>IF(ISNA(MATCH(85,'Transfer Engine'!$C$2:$C$1199,0)),"",INDEX('Compliance Database'!$K$2:$K$1199,MATCH(85,'Transfer Engine'!$C$2:$C$1199,0)))</f>
        <v>This section defines critical operations as processes within an APRA-regulated entity or its service provider that, if disrupted beyond tolerance levels, would cause material adverse impacts on depositors, policyholders, beneficiaries, other customers, or the entity's role in the financial system. The definition specifies the types of processes that qualify as critical operations based on the entity's regulatory category.</v>
      </c>
      <c r="L94" s="7" t="str">
        <f>IF(ISNA(MATCH(85,'Transfer Engine'!$C$2:$C$1199,0)),"",INDEX('Compliance Database'!$L$2:$L$1199,MATCH(85,'Transfer Engine'!$C$2:$C$1199,0)))</f>
        <v>Critical operations must be identified to ensure data transfers and processing activities are resilient against disruptions that could affect financial stability or customer trust.</v>
      </c>
      <c r="M94" s="7" t="str">
        <f>IF(ISNA(MATCH(85,'Transfer Engine'!$C$2:$C$1199,0)),"",INDEX('Compliance Database'!$M$2:$M$1199,MATCH(85,'Transfer Engine'!$C$2:$C$1199,0)))</f>
        <v>• [Definition] Critical operations are processes undertaken by an APRA-regulated entity or its service provider
• [Definition] If disrupted beyond tolerance levels, would have a material adverse impact on depositors, policyholders, beneficiaries or other customers</v>
      </c>
      <c r="N94" s="7" t="str">
        <f>IF(ISNA(MATCH(85,'Transfer Engine'!$C$2:$C$1199,0)),"",INDEX('Compliance Database'!$N$2:$N$1199,MATCH(85,'Transfer Engine'!$C$2:$C$1199,0)))</f>
        <v>• [Definition] If disrupted beyond tolerance levels, would have a material adverse impact on the entity's role in the financial system</v>
      </c>
      <c r="O94" s="7" t="str">
        <f>IF(ISNA(MATCH(85,'Transfer Engine'!$C$2:$C$1199,0)),"",INDEX('Compliance Database'!$O$2:$O$1199,MATCH(85,'Transfer Engine'!$C$2:$C$1199,0)))</f>
        <v>Critical operations are processes undertaken by an APRA-regulated entity or its service provider which, if disrupted beyond tolerance levels, would have a material adverse impact on its depositors, policyholders, beneficiaries or other customers, or its role in the financial system.</v>
      </c>
      <c r="P94" s="6" t="str">
        <f>IF(ISNA(MATCH(85,'Transfer Engine'!$C$2:$C$1199,0)),"",HYPERLINK("#Acts!A"&amp;INDEX('Compliance Database'!$P$2:$P$1199,MATCH(85,'Transfer Engine'!$C$2:$C$1199,0)),"Go to Act"))</f>
        <v>Go to Act</v>
      </c>
    </row>
    <row r="95" spans="1:16" ht="172.95" customHeight="1" x14ac:dyDescent="0.3">
      <c r="A95" s="6" t="str">
        <f>IF(ISNA(MATCH(86,'Transfer Engine'!$C$2:$C$1199,0)),"",INDEX('Compliance Database'!$A$2:$A$1199,MATCH(86,'Transfer Engine'!$C$2:$C$1199,0)))</f>
        <v>Australia</v>
      </c>
      <c r="B95" s="6" t="str">
        <f>IF(ISNA(MATCH(86,'Transfer Engine'!$C$2:$C$1199,0)),"",INDEX('Compliance Database'!$B$2:$B$1199,MATCH(86,'Transfer Engine'!$C$2:$C$1199,0)))</f>
        <v>Prudential Standard - CPS 230 Operational Risk Management - clean (Australia - Row 3)</v>
      </c>
      <c r="C95" s="6" t="str">
        <f>IF(ISNA(MATCH(86,'Transfer Engine'!$C$2:$C$1199,0)),"",INDEX('Compliance Database'!$C$2:$C$1199,MATCH(86,'Transfer Engine'!$C$2:$C$1199,0)))</f>
        <v>35</v>
      </c>
      <c r="D95" s="7" t="str">
        <f>IF(ISNA(MATCH(86,'Transfer Engine'!$C$2:$C$1199,0)),"",INDEX('Compliance Database'!$D$2:$D$1199,MATCH(86,'Transfer Engine'!$C$2:$C$1199,0)))</f>
        <v>Minimum critical operations classification for financial entities</v>
      </c>
      <c r="E95" s="6" t="str">
        <f>IF(ISNA(MATCH(86,'Transfer Engine'!$C$2:$C$1199,0)),"",INDEX('Compliance Database'!$E$2:$E$1199,MATCH(86,'Transfer Engine'!$C$2:$C$1199,0)))</f>
        <v>8</v>
      </c>
      <c r="F95" s="6" t="str">
        <f>IF(ISNA(MATCH(86,'Transfer Engine'!$C$2:$C$1199,0)),"",INDEX('Compliance Database'!$F$2:$F$1199,MATCH(86,'Transfer Engine'!$C$2:$C$1199,0)))</f>
        <v>High</v>
      </c>
      <c r="G95" s="6" t="str">
        <f>IF(ISNA(MATCH(86,'Transfer Engine'!$C$2:$C$1199,0)),"",INDEX('Compliance Database'!$G$2:$G$1199,MATCH(86,'Transfer Engine'!$C$2:$C$1199,0)))</f>
        <v>High (explicit)</v>
      </c>
      <c r="H95" s="7">
        <f>IF(ISNA(MATCH(86,'Transfer Engine'!$C$2:$C$1199,0)),"",INDEX('Compliance Database'!$H$2:$H$1199,MATCH(86,'Transfer Engine'!$C$2:$C$1199,0)))</f>
        <v>0</v>
      </c>
      <c r="I95" s="7" t="str">
        <f>IF(ISNA(MATCH(86,'Transfer Engine'!$C$2:$C$1199,0)),"",INDEX('Compliance Database'!$I$2:$I$1199,MATCH(86,'Transfer Engine'!$C$2:$C$1199,0)))</f>
        <v>Customer Data</v>
      </c>
      <c r="J95" s="6" t="str">
        <f>IF(ISNA(MATCH(86,'Transfer Engine'!$C$2:$C$1199,0)),"",INDEX('Compliance Database'!$J$2:$J$1199,MATCH(86,'Transfer Engine'!$C$2:$C$1199,0)))</f>
        <v>APRA</v>
      </c>
      <c r="K95" s="7" t="str">
        <f>IF(ISNA(MATCH(86,'Transfer Engine'!$C$2:$C$1199,0)),"",INDEX('Compliance Database'!$K$2:$K$1199,MATCH(86,'Transfer Engine'!$C$2:$C$1199,0)))</f>
        <v>APRA-regulated entities must classify specific business operations as critical operations unless justified otherwise. For Australian deposit-taking institutions, critical operations include payments, deposit-taking and management, custody, settlements and clearing. Insurers must classify claims processing as critical, while RSE licensees must classify investment management and fund administration as critical. All entities must classify customer enquiries and supporting systems as critical.</v>
      </c>
      <c r="L95" s="7" t="str">
        <f>IF(ISNA(MATCH(86,'Transfer Engine'!$C$2:$C$1199,0)),"",INDEX('Compliance Database'!$L$2:$L$1199,MATCH(86,'Transfer Engine'!$C$2:$C$1199,0)))</f>
        <v>Identifying critical operations ensures data transfers and processing activities are prioritized for resilience, reducing risks to financial stability and customer trust.</v>
      </c>
      <c r="M95" s="7" t="str">
        <f>IF(ISNA(MATCH(86,'Transfer Engine'!$C$2:$C$1199,0)),"",INDEX('Compliance Database'!$M$2:$M$1199,MATCH(86,'Transfer Engine'!$C$2:$C$1199,0)))</f>
        <v>• [Must] An APRA-regulated entity must classify the following business operations as critical operations, unless it can justify otherwise
• [Must] For an ADI: payments, deposit-taking and management, custody, settlements and clearing
• [Must] For an insurer (general, life, private health): claims processing</v>
      </c>
      <c r="N95" s="7" t="str">
        <f>IF(ISNA(MATCH(86,'Transfer Engine'!$C$2:$C$1199,0)),"",INDEX('Compliance Database'!$N$2:$N$1199,MATCH(86,'Transfer Engine'!$C$2:$C$1199,0)))</f>
        <v>• [Must] For an RSE licensee: investment management and fund administration
• [Must] For all APRA-regulated entities: customer enquiries and the systems and infrastructure needed to support critical operations</v>
      </c>
      <c r="O95" s="7" t="str">
        <f>IF(ISNA(MATCH(86,'Transfer Engine'!$C$2:$C$1199,0)),"",INDEX('Compliance Database'!$O$2:$O$1199,MATCH(86,'Transfer Engine'!$C$2:$C$1199,0)))</f>
        <v>An APRA-regulated entity must, at a minimum, classify the following business operations as critical operations, unless it can justify otherwise: (a) for an ADI: payments, deposit-taking and management, custody, settlements and clearing; (b) for an insurer (general, life, private health): claims processing; (c) for an RSE licensee: investment management and fund administration; and (d) for all APRA-regulated entities: customer enquiries and the systems and infrastructure needed to support critical operations.</v>
      </c>
      <c r="P95" s="6" t="str">
        <f>IF(ISNA(MATCH(86,'Transfer Engine'!$C$2:$C$1199,0)),"",HYPERLINK("#Acts!A"&amp;INDEX('Compliance Database'!$P$2:$P$1199,MATCH(86,'Transfer Engine'!$C$2:$C$1199,0)),"Go to Act"))</f>
        <v>Go to Act</v>
      </c>
    </row>
    <row r="96" spans="1:16" ht="172.95" customHeight="1" x14ac:dyDescent="0.3">
      <c r="A96" s="6" t="str">
        <f>IF(ISNA(MATCH(87,'Transfer Engine'!$C$2:$C$1199,0)),"",INDEX('Compliance Database'!$A$2:$A$1199,MATCH(87,'Transfer Engine'!$C$2:$C$1199,0)))</f>
        <v>Australia</v>
      </c>
      <c r="B96" s="6" t="str">
        <f>IF(ISNA(MATCH(87,'Transfer Engine'!$C$2:$C$1199,0)),"",INDEX('Compliance Database'!$B$2:$B$1199,MATCH(87,'Transfer Engine'!$C$2:$C$1199,0)))</f>
        <v>Prudential Standard - CPS 230 Operational Risk Management - clean (Australia - Row 3)</v>
      </c>
      <c r="C96" s="6" t="str">
        <f>IF(ISNA(MATCH(87,'Transfer Engine'!$C$2:$C$1199,0)),"",INDEX('Compliance Database'!$C$2:$C$1199,MATCH(87,'Transfer Engine'!$C$2:$C$1199,0)))</f>
        <v>41</v>
      </c>
      <c r="D96" s="7" t="str">
        <f>IF(ISNA(MATCH(87,'Transfer Engine'!$C$2:$C$1199,0)),"",INDEX('Compliance Database'!$D$2:$D$1199,MATCH(87,'Transfer Engine'!$C$2:$C$1199,0)))</f>
        <v>Notification requirement for critical operation disruptions</v>
      </c>
      <c r="E96" s="6" t="str">
        <f>IF(ISNA(MATCH(87,'Transfer Engine'!$C$2:$C$1199,0)),"",INDEX('Compliance Database'!$E$2:$E$1199,MATCH(87,'Transfer Engine'!$C$2:$C$1199,0)))</f>
        <v>9</v>
      </c>
      <c r="F96" s="6" t="str">
        <f>IF(ISNA(MATCH(87,'Transfer Engine'!$C$2:$C$1199,0)),"",INDEX('Compliance Database'!$F$2:$F$1199,MATCH(87,'Transfer Engine'!$C$2:$C$1199,0)))</f>
        <v>High</v>
      </c>
      <c r="G96" s="6" t="str">
        <f>IF(ISNA(MATCH(87,'Transfer Engine'!$C$2:$C$1199,0)),"",INDEX('Compliance Database'!$G$2:$G$1199,MATCH(87,'Transfer Engine'!$C$2:$C$1199,0)))</f>
        <v>High (explicit)</v>
      </c>
      <c r="H96" s="7" t="str">
        <f>IF(ISNA(MATCH(87,'Transfer Engine'!$C$2:$C$1199,0)),"",INDEX('Compliance Database'!$H$2:$H$1199,MATCH(87,'Transfer Engine'!$C$2:$C$1199,0)))</f>
        <v>Incident Reporting, Breach Notification</v>
      </c>
      <c r="I96" s="7" t="str">
        <f>IF(ISNA(MATCH(87,'Transfer Engine'!$C$2:$C$1199,0)),"",INDEX('Compliance Database'!$I$2:$I$1199,MATCH(87,'Transfer Engine'!$C$2:$C$1199,0)))</f>
        <v>Customer Data</v>
      </c>
      <c r="J96" s="6" t="str">
        <f>IF(ISNA(MATCH(87,'Transfer Engine'!$C$2:$C$1199,0)),"",INDEX('Compliance Database'!$J$2:$J$1199,MATCH(87,'Transfer Engine'!$C$2:$C$1199,0)))</f>
        <v>APRA</v>
      </c>
      <c r="K96" s="7" t="str">
        <f>IF(ISNA(MATCH(87,'Transfer Engine'!$C$2:$C$1199,0)),"",INDEX('Compliance Database'!$K$2:$K$1199,MATCH(87,'Transfer Engine'!$C$2:$C$1199,0)))</f>
        <v>APRA-regulated entities must notify APRA within 24 hours of any disruption to a critical operation that exceeds tolerance levels. The notification must detail the nature of the disruption, actions taken, likely impact on business operations, and the timeframe for returning to normal operations. This ensures timely regulatory oversight of critical system failures.</v>
      </c>
      <c r="L96" s="7" t="str">
        <f>IF(ISNA(MATCH(87,'Transfer Engine'!$C$2:$C$1199,0)),"",INDEX('Compliance Database'!$L$2:$L$1199,MATCH(87,'Transfer Engine'!$C$2:$C$1199,0)))</f>
        <v>Critical operation disruptions must be reported to regulators within 24 hours to ensure timely intervention and mitigation of cross-border data transfer risks.</v>
      </c>
      <c r="M96" s="7" t="str">
        <f>IF(ISNA(MATCH(87,'Transfer Engine'!$C$2:$C$1199,0)),"",INDEX('Compliance Database'!$M$2:$M$1199,MATCH(87,'Transfer Engine'!$C$2:$C$1199,0)))</f>
        <v>• [Must] An APRA-regulated entity must notify APRA as soon as possible, and not later than 24 hours after, if it has suffered a disruption to a critical operation outside tolerance
• [Must] The notification must cover the nature of the disruption
• [Must] The notification must cover the action taken</v>
      </c>
      <c r="N96" s="7" t="str">
        <f>IF(ISNA(MATCH(87,'Transfer Engine'!$C$2:$C$1199,0)),"",INDEX('Compliance Database'!$N$2:$N$1199,MATCH(87,'Transfer Engine'!$C$2:$C$1199,0)))</f>
        <v>• [Must] The notification must cover the likely impact on the entity's business operations
• [Must] The notification must cover the timeframe for returning to normal operations</v>
      </c>
      <c r="O96" s="7" t="str">
        <f>IF(ISNA(MATCH(87,'Transfer Engine'!$C$2:$C$1199,0)),"",INDEX('Compliance Database'!$O$2:$O$1199,MATCH(87,'Transfer Engine'!$C$2:$C$1199,0)))</f>
        <v>An APRA-regulated entity must notify APRA as soon as possible, and not later than 24 hours after, if it has suffered a disruption to a critical operation outside tolerance. The notification must cover the nature of the disruption, the action taken, the likely impact on the entity's business operations and the timeframe for returning to normal operations.</v>
      </c>
      <c r="P96" s="6" t="str">
        <f>IF(ISNA(MATCH(87,'Transfer Engine'!$C$2:$C$1199,0)),"",HYPERLINK("#Acts!A"&amp;INDEX('Compliance Database'!$P$2:$P$1199,MATCH(87,'Transfer Engine'!$C$2:$C$1199,0)),"Go to Act"))</f>
        <v>Go to Act</v>
      </c>
    </row>
    <row r="97" spans="1:16" ht="172.95" customHeight="1" x14ac:dyDescent="0.3">
      <c r="A97" s="6" t="str">
        <f>IF(ISNA(MATCH(88,'Transfer Engine'!$C$2:$C$1199,0)),"",INDEX('Compliance Database'!$A$2:$A$1199,MATCH(88,'Transfer Engine'!$C$2:$C$1199,0)))</f>
        <v>Australia</v>
      </c>
      <c r="B97" s="6" t="str">
        <f>IF(ISNA(MATCH(88,'Transfer Engine'!$C$2:$C$1199,0)),"",INDEX('Compliance Database'!$B$2:$B$1199,MATCH(88,'Transfer Engine'!$C$2:$C$1199,0)))</f>
        <v>Prudential Standard - CPS 230 Operational Risk Management - clean (Australia - Row 3)</v>
      </c>
      <c r="C97" s="6" t="str">
        <f>IF(ISNA(MATCH(88,'Transfer Engine'!$C$2:$C$1199,0)),"",INDEX('Compliance Database'!$C$2:$C$1199,MATCH(88,'Transfer Engine'!$C$2:$C$1199,0)))</f>
        <v>49</v>
      </c>
      <c r="D97" s="7" t="str">
        <f>IF(ISNA(MATCH(88,'Transfer Engine'!$C$2:$C$1199,0)),"",INDEX('Compliance Database'!$D$2:$D$1199,MATCH(88,'Transfer Engine'!$C$2:$C$1199,0)))</f>
        <v>Material service provider classification for financial entities</v>
      </c>
      <c r="E97" s="6" t="str">
        <f>IF(ISNA(MATCH(88,'Transfer Engine'!$C$2:$C$1199,0)),"",INDEX('Compliance Database'!$E$2:$E$1199,MATCH(88,'Transfer Engine'!$C$2:$C$1199,0)))</f>
        <v>10–11</v>
      </c>
      <c r="F97" s="6" t="str">
        <f>IF(ISNA(MATCH(88,'Transfer Engine'!$C$2:$C$1199,0)),"",INDEX('Compliance Database'!$F$2:$F$1199,MATCH(88,'Transfer Engine'!$C$2:$C$1199,0)))</f>
        <v>High</v>
      </c>
      <c r="G97" s="6" t="str">
        <f>IF(ISNA(MATCH(88,'Transfer Engine'!$C$2:$C$1199,0)),"",INDEX('Compliance Database'!$G$2:$G$1199,MATCH(88,'Transfer Engine'!$C$2:$C$1199,0)))</f>
        <v>High (explicit)</v>
      </c>
      <c r="H97" s="7">
        <f>IF(ISNA(MATCH(88,'Transfer Engine'!$C$2:$C$1199,0)),"",INDEX('Compliance Database'!$H$2:$H$1199,MATCH(88,'Transfer Engine'!$C$2:$C$1199,0)))</f>
        <v>0</v>
      </c>
      <c r="I97" s="7" t="str">
        <f>IF(ISNA(MATCH(88,'Transfer Engine'!$C$2:$C$1199,0)),"",INDEX('Compliance Database'!$I$2:$I$1199,MATCH(88,'Transfer Engine'!$C$2:$C$1199,0)))</f>
        <v>Customer Data</v>
      </c>
      <c r="J97" s="6" t="str">
        <f>IF(ISNA(MATCH(88,'Transfer Engine'!$C$2:$C$1199,0)),"",INDEX('Compliance Database'!$J$2:$J$1199,MATCH(88,'Transfer Engine'!$C$2:$C$1199,0)))</f>
        <v>APRA</v>
      </c>
      <c r="K97" s="7" t="str">
        <f>IF(ISNA(MATCH(88,'Transfer Engine'!$C$2:$C$1199,0)),"",INDEX('Compliance Database'!$K$2:$K$1199,MATCH(88,'Transfer Engine'!$C$2:$C$1199,0)))</f>
        <v>APRA-regulated entities must classify specific service providers as material service providers unless justified otherwise. For Australian deposit-taking institutions, material service providers include credit assessment, funding and liquidity management, and mortgage brokerage. Insurers must classify underwriting, claims management, insurance brokerage, and reinsurance as material service providers. RSE licensees must classify fund administration, custodial services, investment management, and arrangements with promoters and financial planners as material service providers. All entities must classify risk management, core technology services, and internal audit as material service providers.</v>
      </c>
      <c r="L97" s="7" t="str">
        <f>IF(ISNA(MATCH(88,'Transfer Engine'!$C$2:$C$1199,0)),"",INDEX('Compliance Database'!$L$2:$L$1199,MATCH(88,'Transfer Engine'!$C$2:$C$1199,0)))</f>
        <v>Material service providers must be identified to ensure data transfers and processing activities are monitored for risks to financial stability and customer trust.</v>
      </c>
      <c r="M97" s="7" t="str">
        <f>IF(ISNA(MATCH(88,'Transfer Engine'!$C$2:$C$1199,0)),"",INDEX('Compliance Database'!$M$2:$M$1199,MATCH(88,'Transfer Engine'!$C$2:$C$1199,0)))</f>
        <v>• [Must] An APRA-regulated entity must classify a provider of the following services as a material service provider, unless it can justify otherwise
• [Must] For an ADI: credit assessment, funding and liquidity management and mortgage brokerage
• [Must] For an insurer (general, life, private health): underwriting, claims management, insurance brokerage and reinsurance</v>
      </c>
      <c r="N97" s="7" t="str">
        <f>IF(ISNA(MATCH(88,'Transfer Engine'!$C$2:$C$1199,0)),"",INDEX('Compliance Database'!$N$2:$N$1199,MATCH(88,'Transfer Engine'!$C$2:$C$1199,0)))</f>
        <v>• [Must] For an RSE licensee: fund administration, custodial services, investment management and arrangements with promoters and financial planners
• [Must] For all APRA-regulated entities: risk management, core technology services and internal audit</v>
      </c>
      <c r="O97" s="7" t="str">
        <f>IF(ISNA(MATCH(88,'Transfer Engine'!$C$2:$C$1199,0)),"",INDEX('Compliance Database'!$O$2:$O$1199,MATCH(88,'Transfer Engine'!$C$2:$C$1199,0)))</f>
        <v>An APRA-regulated entity must, at a minimum, classify a provider of the following services as a material service provider, unless it can justify otherwise: (a) for an ADI: credit assessment, funding and liquidity management and mortgage brokerage; (b) for an insurer (general, life, private health): underwriting, claims management, insurance brokerage and reinsurance; (c) for an RSE licensee: fund administration, custodial services, investment management and arrangements with promoters and financial planners; and (d) for all APRA-regulated entities: risk management, core technology services and internal audit.</v>
      </c>
      <c r="P97" s="6" t="str">
        <f>IF(ISNA(MATCH(88,'Transfer Engine'!$C$2:$C$1199,0)),"",HYPERLINK("#Acts!A"&amp;INDEX('Compliance Database'!$P$2:$P$1199,MATCH(88,'Transfer Engine'!$C$2:$C$1199,0)),"Go to Act"))</f>
        <v>Go to Act</v>
      </c>
    </row>
    <row r="98" spans="1:16" ht="172.95" customHeight="1" x14ac:dyDescent="0.3">
      <c r="A98" s="6" t="str">
        <f>IF(ISNA(MATCH(89,'Transfer Engine'!$C$2:$C$1199,0)),"",INDEX('Compliance Database'!$A$2:$A$1199,MATCH(89,'Transfer Engine'!$C$2:$C$1199,0)))</f>
        <v>Australia</v>
      </c>
      <c r="B98" s="6" t="str">
        <f>IF(ISNA(MATCH(89,'Transfer Engine'!$C$2:$C$1199,0)),"",INDEX('Compliance Database'!$B$2:$B$1199,MATCH(89,'Transfer Engine'!$C$2:$C$1199,0)))</f>
        <v>Prudential Standard - CPS 230 Operational Risk Management - clean (Australia - Row 3)</v>
      </c>
      <c r="C98" s="6" t="str">
        <f>IF(ISNA(MATCH(89,'Transfer Engine'!$C$2:$C$1199,0)),"",INDEX('Compliance Database'!$C$2:$C$1199,MATCH(89,'Transfer Engine'!$C$2:$C$1199,0)))</f>
        <v>52</v>
      </c>
      <c r="D98" s="7" t="str">
        <f>IF(ISNA(MATCH(89,'Transfer Engine'!$C$2:$C$1199,0)),"",INDEX('Compliance Database'!$D$2:$D$1199,MATCH(89,'Transfer Engine'!$C$2:$C$1199,0)))</f>
        <v>Due diligence for material service providers</v>
      </c>
      <c r="E98" s="6" t="str">
        <f>IF(ISNA(MATCH(89,'Transfer Engine'!$C$2:$C$1199,0)),"",INDEX('Compliance Database'!$E$2:$E$1199,MATCH(89,'Transfer Engine'!$C$2:$C$1199,0)))</f>
        <v>11</v>
      </c>
      <c r="F98" s="6" t="str">
        <f>IF(ISNA(MATCH(89,'Transfer Engine'!$C$2:$C$1199,0)),"",INDEX('Compliance Database'!$F$2:$F$1199,MATCH(89,'Transfer Engine'!$C$2:$C$1199,0)))</f>
        <v>High</v>
      </c>
      <c r="G98" s="6" t="str">
        <f>IF(ISNA(MATCH(89,'Transfer Engine'!$C$2:$C$1199,0)),"",INDEX('Compliance Database'!$G$2:$G$1199,MATCH(89,'Transfer Engine'!$C$2:$C$1199,0)))</f>
        <v>High (explicit)</v>
      </c>
      <c r="H98" s="7">
        <f>IF(ISNA(MATCH(89,'Transfer Engine'!$C$2:$C$1199,0)),"",INDEX('Compliance Database'!$H$2:$H$1199,MATCH(89,'Transfer Engine'!$C$2:$C$1199,0)))</f>
        <v>0</v>
      </c>
      <c r="I98" s="7" t="str">
        <f>IF(ISNA(MATCH(89,'Transfer Engine'!$C$2:$C$1199,0)),"",INDEX('Compliance Database'!$I$2:$I$1199,MATCH(89,'Transfer Engine'!$C$2:$C$1199,0)))</f>
        <v>Customer Data</v>
      </c>
      <c r="J98" s="6" t="str">
        <f>IF(ISNA(MATCH(89,'Transfer Engine'!$C$2:$C$1199,0)),"",INDEX('Compliance Database'!$J$2:$J$1199,MATCH(89,'Transfer Engine'!$C$2:$C$1199,0)))</f>
        <v>APRA</v>
      </c>
      <c r="K98" s="7" t="str">
        <f>IF(ISNA(MATCH(89,'Transfer Engine'!$C$2:$C$1199,0)),"",INDEX('Compliance Database'!$K$2:$K$1199,MATCH(89,'Transfer Engine'!$C$2:$C$1199,0)))</f>
        <v>Before entering into or materially modifying a material arrangement, APRA-regulated entities must conduct due diligence, including a selection process and assessment of the service provider's ability to provide services on an ongoing basis. They must also assess financial and non-financial risks from reliance on the service provider, including risks related to geographic location or concentration of service providers.</v>
      </c>
      <c r="L98" s="7" t="str">
        <f>IF(ISNA(MATCH(89,'Transfer Engine'!$C$2:$C$1199,0)),"",INDEX('Compliance Database'!$L$2:$L$1199,MATCH(89,'Transfer Engine'!$C$2:$C$1199,0)))</f>
        <v>Material service providers must undergo due diligence to ensure data transfers and processing activities are resilient against financial and operational risks.</v>
      </c>
      <c r="M98" s="7" t="str">
        <f>IF(ISNA(MATCH(89,'Transfer Engine'!$C$2:$C$1199,0)),"",INDEX('Compliance Database'!$M$2:$M$1199,MATCH(89,'Transfer Engine'!$C$2:$C$1199,0)))</f>
        <v>• [Must] Before entering into or materially modifying a material arrangement, an APRA-regulated entity must undertake appropriate due diligence, including an appropriate selection process and an assessment of the ability of the service provider to provide the service on an ongoing basis
• [Must] Before entering into or materially modifying a material arrangement, an APRA-regulated entity must assess the financial and non-financial risks from reliance on the service provider</v>
      </c>
      <c r="N98" s="7" t="str">
        <f>IF(ISNA(MATCH(89,'Transfer Engine'!$C$2:$C$1199,0)),"",INDEX('Compliance Database'!$N$2:$N$1199,MATCH(89,'Transfer Engine'!$C$2:$C$1199,0)))</f>
        <v>• [Must] Assess risks associated with geographic location or concentration of the service provider(s) or parties the service provider relies on in providing the service</v>
      </c>
      <c r="O98" s="7" t="str">
        <f>IF(ISNA(MATCH(89,'Transfer Engine'!$C$2:$C$1199,0)),"",INDEX('Compliance Database'!$O$2:$O$1199,MATCH(89,'Transfer Engine'!$C$2:$C$1199,0)))</f>
        <v>Before entering into or materially modifying a material arrangement, an APRA-regulated entity must: (a) undertake appropriate due diligence, including an appropriate selection process and an assessment of the ability of the service provider to provide the service on an ongoing basis; and (b) assess the financial and non-financial risks from reliance on the service provider, including risks associated with geographic location or concentration of the service provider(s) or parties the service provider relies on in providing the service.</v>
      </c>
      <c r="P98" s="6" t="str">
        <f>IF(ISNA(MATCH(89,'Transfer Engine'!$C$2:$C$1199,0)),"",HYPERLINK("#Acts!A"&amp;INDEX('Compliance Database'!$P$2:$P$1199,MATCH(89,'Transfer Engine'!$C$2:$C$1199,0)),"Go to Act"))</f>
        <v>Go to Act</v>
      </c>
    </row>
    <row r="99" spans="1:16" ht="172.95" customHeight="1" x14ac:dyDescent="0.3">
      <c r="A99" s="6" t="str">
        <f>IF(ISNA(MATCH(90,'Transfer Engine'!$C$2:$C$1199,0)),"",INDEX('Compliance Database'!$A$2:$A$1199,MATCH(90,'Transfer Engine'!$C$2:$C$1199,0)))</f>
        <v>Australia</v>
      </c>
      <c r="B99" s="6" t="str">
        <f>IF(ISNA(MATCH(90,'Transfer Engine'!$C$2:$C$1199,0)),"",INDEX('Compliance Database'!$B$2:$B$1199,MATCH(90,'Transfer Engine'!$C$2:$C$1199,0)))</f>
        <v>Prudential Standard - CPS 230 Operational Risk Management - clean (Australia - Row 3)</v>
      </c>
      <c r="C99" s="6" t="str">
        <f>IF(ISNA(MATCH(90,'Transfer Engine'!$C$2:$C$1199,0)),"",INDEX('Compliance Database'!$C$2:$C$1199,MATCH(90,'Transfer Engine'!$C$2:$C$1199,0)))</f>
        <v>53</v>
      </c>
      <c r="D99" s="7" t="str">
        <f>IF(ISNA(MATCH(90,'Transfer Engine'!$C$2:$C$1199,0)),"",INDEX('Compliance Database'!$D$2:$D$1199,MATCH(90,'Transfer Engine'!$C$2:$C$1199,0)))</f>
        <v>Formal agreements for material service providers</v>
      </c>
      <c r="E99" s="6" t="str">
        <f>IF(ISNA(MATCH(90,'Transfer Engine'!$C$2:$C$1199,0)),"",INDEX('Compliance Database'!$E$2:$E$1199,MATCH(90,'Transfer Engine'!$C$2:$C$1199,0)))</f>
        <v>11–12</v>
      </c>
      <c r="F99" s="6" t="str">
        <f>IF(ISNA(MATCH(90,'Transfer Engine'!$C$2:$C$1199,0)),"",INDEX('Compliance Database'!$F$2:$F$1199,MATCH(90,'Transfer Engine'!$C$2:$C$1199,0)))</f>
        <v>High</v>
      </c>
      <c r="G99" s="6" t="str">
        <f>IF(ISNA(MATCH(90,'Transfer Engine'!$C$2:$C$1199,0)),"",INDEX('Compliance Database'!$G$2:$G$1199,MATCH(90,'Transfer Engine'!$C$2:$C$1199,0)))</f>
        <v>High (explicit)</v>
      </c>
      <c r="H99" s="7">
        <f>IF(ISNA(MATCH(90,'Transfer Engine'!$C$2:$C$1199,0)),"",INDEX('Compliance Database'!$H$2:$H$1199,MATCH(90,'Transfer Engine'!$C$2:$C$1199,0)))</f>
        <v>0</v>
      </c>
      <c r="I99" s="7" t="str">
        <f>IF(ISNA(MATCH(90,'Transfer Engine'!$C$2:$C$1199,0)),"",INDEX('Compliance Database'!$I$2:$I$1199,MATCH(90,'Transfer Engine'!$C$2:$C$1199,0)))</f>
        <v>Customer Data</v>
      </c>
      <c r="J99" s="6" t="str">
        <f>IF(ISNA(MATCH(90,'Transfer Engine'!$C$2:$C$1199,0)),"",INDEX('Compliance Database'!$J$2:$J$1199,MATCH(90,'Transfer Engine'!$C$2:$C$1199,0)))</f>
        <v>APRA</v>
      </c>
      <c r="K99" s="7" t="str">
        <f>IF(ISNA(MATCH(90,'Transfer Engine'!$C$2:$C$1199,0)),"",INDEX('Compliance Database'!$K$2:$K$1199,MATCH(90,'Transfer Engine'!$C$2:$C$1199,0)))</f>
        <v>APRA-regulated entities must maintain formal legally binding agreements for all material arrangements. These agreements must specify services covered, rights and responsibilities of each party, ownership of assets, data control, dispute resolution, audit access, liability, indemnity, notification of sub-contractors, force majeure provisions, and termination rights. For RSE licensees, termination provisions must align with their duty to act in the best financial interests of beneficiaries.</v>
      </c>
      <c r="L99" s="7" t="str">
        <f>IF(ISNA(MATCH(90,'Transfer Engine'!$C$2:$C$1199,0)),"",INDEX('Compliance Database'!$L$2:$L$1199,MATCH(90,'Transfer Engine'!$C$2:$C$1199,0)))</f>
        <v>Formal agreements for material service providers ensure data transfers and processing activities are governed by clear contractual safeguards to mitigate financial and operational risks.</v>
      </c>
      <c r="M99" s="7" t="str">
        <f>IF(ISNA(MATCH(90,'Transfer Engine'!$C$2:$C$1199,0)),"",INDEX('Compliance Database'!$M$2:$M$1199,MATCH(90,'Transfer Engine'!$C$2:$C$1199,0)))</f>
        <v>• [Must] For all material arrangements, an APRA-regulated entity must maintain a formal legally binding agreement
• [Must] The formal agreement must specify the services covered by the agreement and associated service levels
• [Must] The formal agreement must set out the rights, responsibilities and expectations of each party to the agreement, including in relation to the ownership of assets, ownership and control of data, dispute resolution, audit access, liability and indemnity
• [Must] The formal agreement must include provisions to ensure the entity can meet its legal and compliance obligations
• [Must] The formal agreement must require notification by the service provider of its use of other material service providers that it materially relies upon in providing the service through sub-contracting or other arrangements</v>
      </c>
      <c r="N99" s="7" t="str">
        <f>IF(ISNA(MATCH(90,'Transfer Engine'!$C$2:$C$1199,0)),"",INDEX('Compliance Database'!$N$2:$N$1199,MATCH(90,'Transfer Engine'!$C$2:$C$1199,0)))</f>
        <v>• [Must] The formal agreement must require the liability for any failure on the part of any sub-contractor to be the responsibility of the service provider
• [Must] The formal agreement must include a force majeure provision indicating those parts of the contract that would continue in the case of a force majeure event
• [Must] The formal agreement must include termination provisions including the right to terminate both the arrangement in its entirety or parts of the arrangement
• [Must] For an RSE licensee, termination provisions must include the ability to terminate the arrangement where continuing would be inconsistent with the duty to act in the best financial interests of beneficiaries</v>
      </c>
      <c r="O99" s="7" t="str">
        <f>IF(ISNA(MATCH(90,'Transfer Engine'!$C$2:$C$1199,0)),"",INDEX('Compliance Database'!$O$2:$O$1199,MATCH(90,'Transfer Engine'!$C$2:$C$1199,0)))</f>
        <v>For all material arrangements, an APRA-regulated entity must maintain a formal legally binding agreement (formal agreement). The formal agreement must, at a minimum: (a) specify the services covered by the agreement and associated service levels; (b) set out the rights, responsibilities and expectations of each party to the agreement, including in relation to the ownership of assets, ownership and control of data, dispute resolution, audit access, liability and indemnity; (c) include provisions to ensure the ability of the entity to meet its legal and compliance obligations; (d) require notification by the service provider of its use of other material service providers that it materially relies upon in providing the service to the APRA-regulated entity through sub-contracting or other arrangements; (e) require the liability for any failure on the part of any sub-contractor to be the responsibility of the service provider; (f) include a force majeure provision indicating those parts of the contract that would continue in the case of a force majeure event; and (g) termination provisions including, but not limited to, the right to terminate both the arrangement in its entirety or parts of the arrangement.</v>
      </c>
      <c r="P99" s="6" t="str">
        <f>IF(ISNA(MATCH(90,'Transfer Engine'!$C$2:$C$1199,0)),"",HYPERLINK("#Acts!A"&amp;INDEX('Compliance Database'!$P$2:$P$1199,MATCH(90,'Transfer Engine'!$C$2:$C$1199,0)),"Go to Act"))</f>
        <v>Go to Act</v>
      </c>
    </row>
    <row r="100" spans="1:16" ht="172.95" customHeight="1" x14ac:dyDescent="0.3">
      <c r="A100" s="6" t="str">
        <f>IF(ISNA(MATCH(91,'Transfer Engine'!$C$2:$C$1199,0)),"",INDEX('Compliance Database'!$A$2:$A$1199,MATCH(91,'Transfer Engine'!$C$2:$C$1199,0)))</f>
        <v>Australia</v>
      </c>
      <c r="B100" s="6" t="str">
        <f>IF(ISNA(MATCH(91,'Transfer Engine'!$C$2:$C$1199,0)),"",INDEX('Compliance Database'!$B$2:$B$1199,MATCH(91,'Transfer Engine'!$C$2:$C$1199,0)))</f>
        <v>Prudential Standard - CPS 230 Operational Risk Management - clean (Australia - Row 3)</v>
      </c>
      <c r="C100" s="6" t="str">
        <f>IF(ISNA(MATCH(91,'Transfer Engine'!$C$2:$C$1199,0)),"",INDEX('Compliance Database'!$C$2:$C$1199,MATCH(91,'Transfer Engine'!$C$2:$C$1199,0)))</f>
        <v>61</v>
      </c>
      <c r="D100" s="7" t="str">
        <f>IF(ISNA(MATCH(91,'Transfer Engine'!$C$2:$C$1199,0)),"",INDEX('Compliance Database'!$D$2:$D$1199,MATCH(91,'Transfer Engine'!$C$2:$C$1199,0)))</f>
        <v>Internal audit review of critical outsourcing arrangements</v>
      </c>
      <c r="E100" s="6" t="str">
        <f>IF(ISNA(MATCH(91,'Transfer Engine'!$C$2:$C$1199,0)),"",INDEX('Compliance Database'!$E$2:$E$1199,MATCH(91,'Transfer Engine'!$C$2:$C$1199,0)))</f>
        <v>13–14</v>
      </c>
      <c r="F100" s="6" t="str">
        <f>IF(ISNA(MATCH(91,'Transfer Engine'!$C$2:$C$1199,0)),"",INDEX('Compliance Database'!$F$2:$F$1199,MATCH(91,'Transfer Engine'!$C$2:$C$1199,0)))</f>
        <v>High</v>
      </c>
      <c r="G100" s="6" t="str">
        <f>IF(ISNA(MATCH(91,'Transfer Engine'!$C$2:$C$1199,0)),"",INDEX('Compliance Database'!$G$2:$G$1199,MATCH(91,'Transfer Engine'!$C$2:$C$1199,0)))</f>
        <v>High (explicit)</v>
      </c>
      <c r="H100" s="7" t="str">
        <f>IF(ISNA(MATCH(91,'Transfer Engine'!$C$2:$C$1199,0)),"",INDEX('Compliance Database'!$H$2:$H$1199,MATCH(91,'Transfer Engine'!$C$2:$C$1199,0)))</f>
        <v>Third Party Processing, Cloud Services, Outsourcing</v>
      </c>
      <c r="I100" s="7" t="str">
        <f>IF(ISNA(MATCH(91,'Transfer Engine'!$C$2:$C$1199,0)),"",INDEX('Compliance Database'!$I$2:$I$1199,MATCH(91,'Transfer Engine'!$C$2:$C$1199,0)))</f>
        <v>Financial Data</v>
      </c>
      <c r="J100" s="6" t="str">
        <f>IF(ISNA(MATCH(91,'Transfer Engine'!$C$2:$C$1199,0)),"",INDEX('Compliance Database'!$J$2:$J$1199,MATCH(91,'Transfer Engine'!$C$2:$C$1199,0)))</f>
        <v>APRA</v>
      </c>
      <c r="K100" s="7" t="str">
        <f>IF(ISNA(MATCH(91,'Transfer Engine'!$C$2:$C$1199,0)),"",INDEX('Compliance Database'!$K$2:$K$1199,MATCH(91,'Transfer Engine'!$C$2:$C$1199,0)))</f>
        <v>An APRA-regulated entity's internal audit function must review any proposed material arrangement involving the outsourcing of a critical operation. The internal audit function must regularly report to the Board or Board Audit Committee on compliance with the entity's service provider management policy regarding such arrangements.</v>
      </c>
      <c r="L100" s="7" t="str">
        <f>IF(ISNA(MATCH(91,'Transfer Engine'!$C$2:$C$1199,0)),"",INDEX('Compliance Database'!$L$2:$L$1199,MATCH(91,'Transfer Engine'!$C$2:$C$1199,0)))</f>
        <v>This section requires internal audit oversight of critical outsourcing arrangements, impacting data transfer impact assessments by mandating specific review and reporting mechanisms for offshoring activities involving critical operations.</v>
      </c>
      <c r="M100" s="7" t="str">
        <f>IF(ISNA(MATCH(91,'Transfer Engine'!$C$2:$C$1199,0)),"",INDEX('Compliance Database'!$M$2:$M$1199,MATCH(91,'Transfer Engine'!$C$2:$C$1199,0)))</f>
        <v>• [Must] An APRA-regulated entity's internal audit function must review any proposed material arrangement involving the outsourcing of a critical operation</v>
      </c>
      <c r="N100" s="7" t="str">
        <f>IF(ISNA(MATCH(91,'Transfer Engine'!$C$2:$C$1199,0)),"",INDEX('Compliance Database'!$N$2:$N$1199,MATCH(91,'Transfer Engine'!$C$2:$C$1199,0)))</f>
        <v>• [Must] The internal audit function must regularly report to the Board or Board Audit Committee on compliance of such arrangements with the entity's service provider management policy</v>
      </c>
      <c r="O100" s="7" t="str">
        <f>IF(ISNA(MATCH(91,'Transfer Engine'!$C$2:$C$1199,0)),"",INDEX('Compliance Database'!$O$2:$O$1199,MATCH(91,'Transfer Engine'!$C$2:$C$1199,0)))</f>
        <v>61. An APRA-regulated entity's internal audit function must review any proposed material arrangement involving the outsourcing of a critical operation. The internal audit function must regularly report to the Board or Board Audit Committee on compliance of such arrangements with the entity's service provider management policy.</v>
      </c>
      <c r="P100" s="6" t="str">
        <f>IF(ISNA(MATCH(91,'Transfer Engine'!$C$2:$C$1199,0)),"",HYPERLINK("#Acts!A"&amp;INDEX('Compliance Database'!$P$2:$P$1199,MATCH(91,'Transfer Engine'!$C$2:$C$1199,0)),"Go to Act"))</f>
        <v>Go to Act</v>
      </c>
    </row>
    <row r="101" spans="1:16" ht="172.95" customHeight="1" x14ac:dyDescent="0.3">
      <c r="A101" s="6" t="str">
        <f>IF(ISNA(MATCH(92,'Transfer Engine'!$C$2:$C$1199,0)),"",INDEX('Compliance Database'!$A$2:$A$1199,MATCH(92,'Transfer Engine'!$C$2:$C$1199,0)))</f>
        <v>Australia</v>
      </c>
      <c r="B101" s="6" t="str">
        <f>IF(ISNA(MATCH(92,'Transfer Engine'!$C$2:$C$1199,0)),"",INDEX('Compliance Database'!$B$2:$B$1199,MATCH(92,'Transfer Engine'!$C$2:$C$1199,0)))</f>
        <v>Prudential-Practice-Guide-CPG-235-Managing-Data-Risk_1 (Australia - Row 4)</v>
      </c>
      <c r="C101" s="6" t="str">
        <f>IF(ISNA(MATCH(92,'Transfer Engine'!$C$2:$C$1199,0)),"",INDEX('Compliance Database'!$C$2:$C$1199,MATCH(92,'Transfer Engine'!$C$2:$C$1199,0)))</f>
        <v>1</v>
      </c>
      <c r="D101" s="7" t="str">
        <f>IF(ISNA(MATCH(92,'Transfer Engine'!$C$2:$C$1199,0)),"",INDEX('Compliance Database'!$D$2:$D$1199,MATCH(92,'Transfer Engine'!$C$2:$C$1199,0)))</f>
        <v>Data risk management importance for business objectives</v>
      </c>
      <c r="E101" s="6" t="str">
        <f>IF(ISNA(MATCH(92,'Transfer Engine'!$C$2:$C$1199,0)),"",INDEX('Compliance Database'!$E$2:$E$1199,MATCH(92,'Transfer Engine'!$C$2:$C$1199,0)))</f>
        <v>6</v>
      </c>
      <c r="F101" s="6" t="str">
        <f>IF(ISNA(MATCH(92,'Transfer Engine'!$C$2:$C$1199,0)),"",INDEX('Compliance Database'!$F$2:$F$1199,MATCH(92,'Transfer Engine'!$C$2:$C$1199,0)))</f>
        <v>High</v>
      </c>
      <c r="G101" s="6" t="str">
        <f>IF(ISNA(MATCH(92,'Transfer Engine'!$C$2:$C$1199,0)),"",INDEX('Compliance Database'!$G$2:$G$1199,MATCH(92,'Transfer Engine'!$C$2:$C$1199,0)))</f>
        <v>High (explicit)</v>
      </c>
      <c r="H101" s="7" t="str">
        <f>IF(ISNA(MATCH(92,'Transfer Engine'!$C$2:$C$1199,0)),"",INDEX('Compliance Database'!$H$2:$H$1199,MATCH(92,'Transfer Engine'!$C$2:$C$1199,0)))</f>
        <v>Governance</v>
      </c>
      <c r="I101" s="7" t="str">
        <f>IF(ISNA(MATCH(92,'Transfer Engine'!$C$2:$C$1199,0)),"",INDEX('Compliance Database'!$I$2:$I$1199,MATCH(92,'Transfer Engine'!$C$2:$C$1199,0)))</f>
        <v>Personal Information</v>
      </c>
      <c r="J101" s="6" t="str">
        <f>IF(ISNA(MATCH(92,'Transfer Engine'!$C$2:$C$1199,0)),"",INDEX('Compliance Database'!$J$2:$J$1199,MATCH(92,'Transfer Engine'!$C$2:$C$1199,0)))</f>
        <v>APRA</v>
      </c>
      <c r="K101" s="7" t="str">
        <f>IF(ISNA(MATCH(92,'Transfer Engine'!$C$2:$C$1199,0)),"",INDEX('Compliance Database'!$K$2:$K$1199,MATCH(92,'Transfer Engine'!$C$2:$C$1199,0)))</f>
        <v>This section states that managing data and associated risks is crucial for meeting financial and stakeholder obligations, effective management, and proper governance. It emphasizes that weaknesses in data risk management are a recurring focus of APRA's supervision activities, highlighting the need for this practice guide to address ongoing gaps.</v>
      </c>
      <c r="L101" s="7" t="str">
        <f>IF(ISNA(MATCH(92,'Transfer Engine'!$C$2:$C$1199,0)),"",INDEX('Compliance Database'!$L$2:$L$1199,MATCH(92,'Transfer Engine'!$C$2:$C$1199,0)))</f>
        <v>This section establishes the foundational importance of data risk management for regulated entities, directly impacting how data transfers and processing activities are assessed for compliance with governance and oversight requirements.</v>
      </c>
      <c r="M101" s="7" t="str">
        <f>IF(ISNA(MATCH(92,'Transfer Engine'!$C$2:$C$1199,0)),"",INDEX('Compliance Database'!$M$2:$M$1199,MATCH(92,'Transfer Engine'!$C$2:$C$1199,0)))</f>
        <v>• [Must] Management of data and associated risks is important for meeting financial and stakeholder obligations</v>
      </c>
      <c r="N101" s="7" t="str">
        <f>IF(ISNA(MATCH(92,'Transfer Engine'!$C$2:$C$1199,0)),"",INDEX('Compliance Database'!$N$2:$N$1199,MATCH(92,'Transfer Engine'!$C$2:$C$1199,0)))</f>
        <v>• [Must] Effective data risk management is a recurring focus of APRA's supervision activities</v>
      </c>
      <c r="O101" s="7" t="str">
        <f>IF(ISNA(MATCH(92,'Transfer Engine'!$C$2:$C$1199,0)),"",INDEX('Compliance Database'!$O$2:$O$1199,MATCH(92,'Transfer Engine'!$C$2:$C$1199,0)))</f>
        <v>The management of data and associated risks is important for a broad range of business objectives including meeting financial and other obligations to stakeholders, effective management and proper governance.</v>
      </c>
      <c r="P101" s="6" t="str">
        <f>IF(ISNA(MATCH(92,'Transfer Engine'!$C$2:$C$1199,0)),"",HYPERLINK("#Acts!A"&amp;INDEX('Compliance Database'!$P$2:$P$1199,MATCH(92,'Transfer Engine'!$C$2:$C$1199,0)),"Go to Act"))</f>
        <v>Go to Act</v>
      </c>
    </row>
    <row r="102" spans="1:16" ht="172.95" customHeight="1" x14ac:dyDescent="0.3">
      <c r="A102" s="6" t="str">
        <f>IF(ISNA(MATCH(93,'Transfer Engine'!$C$2:$C$1199,0)),"",INDEX('Compliance Database'!$A$2:$A$1199,MATCH(93,'Transfer Engine'!$C$2:$C$1199,0)))</f>
        <v>Australia</v>
      </c>
      <c r="B102" s="6" t="str">
        <f>IF(ISNA(MATCH(93,'Transfer Engine'!$C$2:$C$1199,0)),"",INDEX('Compliance Database'!$B$2:$B$1199,MATCH(93,'Transfer Engine'!$C$2:$C$1199,0)))</f>
        <v>Prudential-Practice-Guide-CPG-235-Managing-Data-Risk_1 (Australia - Row 4)</v>
      </c>
      <c r="C102" s="6" t="str">
        <f>IF(ISNA(MATCH(93,'Transfer Engine'!$C$2:$C$1199,0)),"",INDEX('Compliance Database'!$C$2:$C$1199,MATCH(93,'Transfer Engine'!$C$2:$C$1199,0)))</f>
        <v>3</v>
      </c>
      <c r="D102" s="7" t="str">
        <f>IF(ISNA(MATCH(93,'Transfer Engine'!$C$2:$C$1199,0)),"",INDEX('Compliance Database'!$D$2:$D$1199,MATCH(93,'Transfer Engine'!$C$2:$C$1199,0)))</f>
        <v>Data's role in business objectives and stakeholder expectations</v>
      </c>
      <c r="E102" s="6" t="str">
        <f>IF(ISNA(MATCH(93,'Transfer Engine'!$C$2:$C$1199,0)),"",INDEX('Compliance Database'!$E$2:$E$1199,MATCH(93,'Transfer Engine'!$C$2:$C$1199,0)))</f>
        <v>6</v>
      </c>
      <c r="F102" s="6" t="str">
        <f>IF(ISNA(MATCH(93,'Transfer Engine'!$C$2:$C$1199,0)),"",INDEX('Compliance Database'!$F$2:$F$1199,MATCH(93,'Transfer Engine'!$C$2:$C$1199,0)))</f>
        <v>High</v>
      </c>
      <c r="G102" s="6" t="str">
        <f>IF(ISNA(MATCH(93,'Transfer Engine'!$C$2:$C$1199,0)),"",INDEX('Compliance Database'!$G$2:$G$1199,MATCH(93,'Transfer Engine'!$C$2:$C$1199,0)))</f>
        <v>High (explicit)</v>
      </c>
      <c r="H102" s="7">
        <f>IF(ISNA(MATCH(93,'Transfer Engine'!$C$2:$C$1199,0)),"",INDEX('Compliance Database'!$H$2:$H$1199,MATCH(93,'Transfer Engine'!$C$2:$C$1199,0)))</f>
        <v>0</v>
      </c>
      <c r="I102" s="7" t="str">
        <f>IF(ISNA(MATCH(93,'Transfer Engine'!$C$2:$C$1199,0)),"",INDEX('Compliance Database'!$I$2:$I$1199,MATCH(93,'Transfer Engine'!$C$2:$C$1199,0)))</f>
        <v>Financial Data</v>
      </c>
      <c r="J102" s="6">
        <f>IF(ISNA(MATCH(93,'Transfer Engine'!$C$2:$C$1199,0)),"",INDEX('Compliance Database'!$J$2:$J$1199,MATCH(93,'Transfer Engine'!$C$2:$C$1199,0)))</f>
        <v>0</v>
      </c>
      <c r="K102" s="7" t="str">
        <f>IF(ISNA(MATCH(93,'Transfer Engine'!$C$2:$C$1199,0)),"",INDEX('Compliance Database'!$K$2:$K$1199,MATCH(93,'Transfer Engine'!$C$2:$C$1199,0)))</f>
        <v>This section explains that data is essential for regulated entities to achieve business objectives, with increased reliance on data due to process automation and analytics. Stakeholders including boards, management, customers, and regulators now expect effective data management, treating data as a valuable asset.</v>
      </c>
      <c r="L102" s="7" t="str">
        <f>IF(ISNA(MATCH(93,'Transfer Engine'!$C$2:$C$1199,0)),"",INDEX('Compliance Database'!$L$2:$L$1199,MATCH(93,'Transfer Engine'!$C$2:$C$1199,0)))</f>
        <v>This section clarifies the strategic importance of data as an asset, influencing how data transfers and processing activities are evaluated for alignment with stakeholder expectations and business objectives.</v>
      </c>
      <c r="M102" s="7" t="str">
        <f>IF(ISNA(MATCH(93,'Transfer Engine'!$C$2:$C$1199,0)),"",INDEX('Compliance Database'!$M$2:$M$1199,MATCH(93,'Transfer Engine'!$C$2:$C$1199,0)))</f>
        <v>• [Must] Data is essential for achieving business objectives
• [Must] Reliance on data has increased due to process automation and analytics</v>
      </c>
      <c r="N102" s="7" t="str">
        <f>IF(ISNA(MATCH(93,'Transfer Engine'!$C$2:$C$1199,0)),"",INDEX('Compliance Database'!$N$2:$N$1199,MATCH(93,'Transfer Engine'!$C$2:$C$1199,0)))</f>
        <v>• [Must] Stakeholders including boards, management, customers, and regulators expect effective data management
• [Must] Data should be treated as a valuable asset</v>
      </c>
      <c r="O102" s="7" t="str">
        <f>IF(ISNA(MATCH(93,'Transfer Engine'!$C$2:$C$1199,0)),"",INDEX('Compliance Database'!$O$2:$O$1199,MATCH(93,'Transfer Engine'!$C$2:$C$1199,0)))</f>
        <v>Data is essential for a regulated entity to achieve its business objectives. Furthermore, reliance on data has increased as a result of process automation and greater reliance on analytics and business intelligence to support decision-making.</v>
      </c>
      <c r="P102" s="6" t="str">
        <f>IF(ISNA(MATCH(93,'Transfer Engine'!$C$2:$C$1199,0)),"",HYPERLINK("#Acts!A"&amp;INDEX('Compliance Database'!$P$2:$P$1199,MATCH(93,'Transfer Engine'!$C$2:$C$1199,0)),"Go to Act"))</f>
        <v>Go to Act</v>
      </c>
    </row>
    <row r="103" spans="1:16" ht="172.95" customHeight="1" x14ac:dyDescent="0.3">
      <c r="A103" s="6" t="str">
        <f>IF(ISNA(MATCH(94,'Transfer Engine'!$C$2:$C$1199,0)),"",INDEX('Compliance Database'!$A$2:$A$1199,MATCH(94,'Transfer Engine'!$C$2:$C$1199,0)))</f>
        <v>Australia</v>
      </c>
      <c r="B103" s="6" t="str">
        <f>IF(ISNA(MATCH(94,'Transfer Engine'!$C$2:$C$1199,0)),"",INDEX('Compliance Database'!$B$2:$B$1199,MATCH(94,'Transfer Engine'!$C$2:$C$1199,0)))</f>
        <v>Prudential-Practice-Guide-CPG-235-Managing-Data-Risk_1 (Australia - Row 4)</v>
      </c>
      <c r="C103" s="6" t="str">
        <f>IF(ISNA(MATCH(94,'Transfer Engine'!$C$2:$C$1199,0)),"",INDEX('Compliance Database'!$C$2:$C$1199,MATCH(94,'Transfer Engine'!$C$2:$C$1199,0)))</f>
        <v>4</v>
      </c>
      <c r="D103" s="7" t="str">
        <f>IF(ISNA(MATCH(94,'Transfer Engine'!$C$2:$C$1199,0)),"",INDEX('Compliance Database'!$D$2:$D$1199,MATCH(94,'Transfer Engine'!$C$2:$C$1199,0)))</f>
        <v>Guidance for data risk management audiences</v>
      </c>
      <c r="E103" s="6" t="str">
        <f>IF(ISNA(MATCH(94,'Transfer Engine'!$C$2:$C$1199,0)),"",INDEX('Compliance Database'!$E$2:$E$1199,MATCH(94,'Transfer Engine'!$C$2:$C$1199,0)))</f>
        <v>6</v>
      </c>
      <c r="F103" s="6" t="str">
        <f>IF(ISNA(MATCH(94,'Transfer Engine'!$C$2:$C$1199,0)),"",INDEX('Compliance Database'!$F$2:$F$1199,MATCH(94,'Transfer Engine'!$C$2:$C$1199,0)))</f>
        <v>High</v>
      </c>
      <c r="G103" s="6" t="str">
        <f>IF(ISNA(MATCH(94,'Transfer Engine'!$C$2:$C$1199,0)),"",INDEX('Compliance Database'!$G$2:$G$1199,MATCH(94,'Transfer Engine'!$C$2:$C$1199,0)))</f>
        <v>High (explicit)</v>
      </c>
      <c r="H103" s="7" t="str">
        <f>IF(ISNA(MATCH(94,'Transfer Engine'!$C$2:$C$1199,0)),"",INDEX('Compliance Database'!$H$2:$H$1199,MATCH(94,'Transfer Engine'!$C$2:$C$1199,0)))</f>
        <v>Governance</v>
      </c>
      <c r="I103" s="7" t="str">
        <f>IF(ISNA(MATCH(94,'Transfer Engine'!$C$2:$C$1199,0)),"",INDEX('Compliance Database'!$I$2:$I$1199,MATCH(94,'Transfer Engine'!$C$2:$C$1199,0)))</f>
        <v>Financial Data</v>
      </c>
      <c r="J103" s="6">
        <f>IF(ISNA(MATCH(94,'Transfer Engine'!$C$2:$C$1199,0)),"",INDEX('Compliance Database'!$J$2:$J$1199,MATCH(94,'Transfer Engine'!$C$2:$C$1199,0)))</f>
        <v>0</v>
      </c>
      <c r="K103" s="7" t="str">
        <f>IF(ISNA(MATCH(94,'Transfer Engine'!$C$2:$C$1199,0)),"",INDEX('Compliance Database'!$K$2:$K$1199,MATCH(94,'Transfer Engine'!$C$2:$C$1199,0)))</f>
        <v>This section states that the practice guide provides guidance to senior management, risk management, business, and technical specialists. It emphasizes the need for sound risk management disciplines and business understanding to effectively manage data risk profiles, facilitating business initiatives and compliance with regulatory requirements.</v>
      </c>
      <c r="L103" s="7" t="str">
        <f>IF(ISNA(MATCH(94,'Transfer Engine'!$C$2:$C$1199,0)),"",INDEX('Compliance Database'!$L$2:$L$1199,MATCH(94,'Transfer Engine'!$C$2:$C$1199,0)))</f>
        <v>This section outlines the target audiences for data risk management guidance, ensuring that all relevant stakeholders understand their roles in assessing data transfers and processing activities.</v>
      </c>
      <c r="M103" s="7" t="str">
        <f>IF(ISNA(MATCH(94,'Transfer Engine'!$C$2:$C$1199,0)),"",INDEX('Compliance Database'!$M$2:$M$1199,MATCH(94,'Transfer Engine'!$C$2:$C$1199,0)))</f>
        <v>• [Must] This PPG provides guidance to senior management, risk management, business and technical specialists
• [Must] Effective data risk management facilitates business initiatives</v>
      </c>
      <c r="N103" s="7" t="str">
        <f>IF(ISNA(MATCH(94,'Transfer Engine'!$C$2:$C$1199,0)),"",INDEX('Compliance Database'!$N$2:$N$1199,MATCH(94,'Transfer Engine'!$C$2:$C$1199,0)))</f>
        <v>• [Must] Effective data risk management assists compliance with regulatory and legal requirements</v>
      </c>
      <c r="O103" s="7" t="str">
        <f>IF(ISNA(MATCH(94,'Transfer Engine'!$C$2:$C$1199,0)),"",INDEX('Compliance Database'!$O$2:$O$1199,MATCH(94,'Transfer Engine'!$C$2:$C$1199,0)))</f>
        <v>This PPG aims to provide guidance to senior management, risk management, business and technical specialists.</v>
      </c>
      <c r="P103" s="6" t="str">
        <f>IF(ISNA(MATCH(94,'Transfer Engine'!$C$2:$C$1199,0)),"",HYPERLINK("#Acts!A"&amp;INDEX('Compliance Database'!$P$2:$P$1199,MATCH(94,'Transfer Engine'!$C$2:$C$1199,0)),"Go to Act"))</f>
        <v>Go to Act</v>
      </c>
    </row>
    <row r="104" spans="1:16" ht="172.95" customHeight="1" x14ac:dyDescent="0.3">
      <c r="A104" s="6" t="str">
        <f>IF(ISNA(MATCH(95,'Transfer Engine'!$C$2:$C$1199,0)),"",INDEX('Compliance Database'!$A$2:$A$1199,MATCH(95,'Transfer Engine'!$C$2:$C$1199,0)))</f>
        <v>Australia</v>
      </c>
      <c r="B104" s="6" t="str">
        <f>IF(ISNA(MATCH(95,'Transfer Engine'!$C$2:$C$1199,0)),"",INDEX('Compliance Database'!$B$2:$B$1199,MATCH(95,'Transfer Engine'!$C$2:$C$1199,0)))</f>
        <v>Prudential-Practice-Guide-CPG-235-Managing-Data-Risk_1 (Australia - Row 4)</v>
      </c>
      <c r="C104" s="6" t="str">
        <f>IF(ISNA(MATCH(95,'Transfer Engine'!$C$2:$C$1199,0)),"",INDEX('Compliance Database'!$C$2:$C$1199,MATCH(95,'Transfer Engine'!$C$2:$C$1199,0)))</f>
        <v>5</v>
      </c>
      <c r="D104" s="7" t="str">
        <f>IF(ISNA(MATCH(95,'Transfer Engine'!$C$2:$C$1199,0)),"",INDEX('Compliance Database'!$D$2:$D$1199,MATCH(95,'Transfer Engine'!$C$2:$C$1199,0)))</f>
        <v>Governance for effective data risk management</v>
      </c>
      <c r="E104" s="6" t="str">
        <f>IF(ISNA(MATCH(95,'Transfer Engine'!$C$2:$C$1199,0)),"",INDEX('Compliance Database'!$E$2:$E$1199,MATCH(95,'Transfer Engine'!$C$2:$C$1199,0)))</f>
        <v>6</v>
      </c>
      <c r="F104" s="6" t="str">
        <f>IF(ISNA(MATCH(95,'Transfer Engine'!$C$2:$C$1199,0)),"",INDEX('Compliance Database'!$F$2:$F$1199,MATCH(95,'Transfer Engine'!$C$2:$C$1199,0)))</f>
        <v>High</v>
      </c>
      <c r="G104" s="6" t="str">
        <f>IF(ISNA(MATCH(95,'Transfer Engine'!$C$2:$C$1199,0)),"",INDEX('Compliance Database'!$G$2:$G$1199,MATCH(95,'Transfer Engine'!$C$2:$C$1199,0)))</f>
        <v>High (explicit)</v>
      </c>
      <c r="H104" s="7" t="str">
        <f>IF(ISNA(MATCH(95,'Transfer Engine'!$C$2:$C$1199,0)),"",INDEX('Compliance Database'!$H$2:$H$1199,MATCH(95,'Transfer Engine'!$C$2:$C$1199,0)))</f>
        <v>Governance</v>
      </c>
      <c r="I104" s="7" t="str">
        <f>IF(ISNA(MATCH(95,'Transfer Engine'!$C$2:$C$1199,0)),"",INDEX('Compliance Database'!$I$2:$I$1199,MATCH(95,'Transfer Engine'!$C$2:$C$1199,0)))</f>
        <v>Financial Data</v>
      </c>
      <c r="J104" s="6">
        <f>IF(ISNA(MATCH(95,'Transfer Engine'!$C$2:$C$1199,0)),"",INDEX('Compliance Database'!$J$2:$J$1199,MATCH(95,'Transfer Engine'!$C$2:$C$1199,0)))</f>
        <v>0</v>
      </c>
      <c r="K104" s="7" t="str">
        <f>IF(ISNA(MATCH(95,'Transfer Engine'!$C$2:$C$1199,0)),"",INDEX('Compliance Database'!$K$2:$K$1199,MATCH(95,'Transfer Engine'!$C$2:$C$1199,0)))</f>
        <v>This section states that governance is vital to ensure data risk management processes are properly designed and operating effectively. It requires clear articulation of Board and senior management responsibilities, formal delegation of authority, and regular oversight to align with corporate governance frameworks.</v>
      </c>
      <c r="L104" s="7" t="str">
        <f>IF(ISNA(MATCH(95,'Transfer Engine'!$C$2:$C$1199,0)),"",INDEX('Compliance Database'!$L$2:$L$1199,MATCH(95,'Transfer Engine'!$C$2:$C$1199,0)))</f>
        <v>This section specifies governance requirements for data risk management, directly impacting how data transfers and processing activities are assessed for compliance with oversight and accountability standards.</v>
      </c>
      <c r="M104" s="7" t="str">
        <f>IF(ISNA(MATCH(95,'Transfer Engine'!$C$2:$C$1199,0)),"",INDEX('Compliance Database'!$M$2:$M$1199,MATCH(95,'Transfer Engine'!$C$2:$C$1199,0)))</f>
        <v>• [Must] Governance ensures data risk management and related business processes are properly designed and operating effectively
• [Must] Effective governance involves clear articulation of Board and senior management responsibilities</v>
      </c>
      <c r="N104" s="7" t="str">
        <f>IF(ISNA(MATCH(95,'Transfer Engine'!$C$2:$C$1199,0)),"",INDEX('Compliance Database'!$N$2:$N$1199,MATCH(95,'Transfer Engine'!$C$2:$C$1199,0)))</f>
        <v>• [Must] Effective governance requires formal delegation of authority
• [Must] Effective governance includes regular oversight</v>
      </c>
      <c r="O104" s="7" t="str">
        <f>IF(ISNA(MATCH(95,'Transfer Engine'!$C$2:$C$1199,0)),"",INDEX('Compliance Database'!$O$2:$O$1199,MATCH(95,'Transfer Engine'!$C$2:$C$1199,0)))</f>
        <v>As with any process, governance is vital to ensure that data risk management and related business processes are properly designed and operating effectively to meet the needs of the regulated entity.</v>
      </c>
      <c r="P104" s="6" t="str">
        <f>IF(ISNA(MATCH(95,'Transfer Engine'!$C$2:$C$1199,0)),"",HYPERLINK("#Acts!A"&amp;INDEX('Compliance Database'!$P$2:$P$1199,MATCH(95,'Transfer Engine'!$C$2:$C$1199,0)),"Go to Act"))</f>
        <v>Go to Act</v>
      </c>
    </row>
    <row r="105" spans="1:16" ht="172.95" customHeight="1" x14ac:dyDescent="0.3">
      <c r="A105" s="6" t="str">
        <f>IF(ISNA(MATCH(96,'Transfer Engine'!$C$2:$C$1199,0)),"",INDEX('Compliance Database'!$A$2:$A$1199,MATCH(96,'Transfer Engine'!$C$2:$C$1199,0)))</f>
        <v>Australia</v>
      </c>
      <c r="B105" s="6" t="str">
        <f>IF(ISNA(MATCH(96,'Transfer Engine'!$C$2:$C$1199,0)),"",INDEX('Compliance Database'!$B$2:$B$1199,MATCH(96,'Transfer Engine'!$C$2:$C$1199,0)))</f>
        <v>Prudential-Practice-Guide-CPG-235-Managing-Data-Risk_1 (Australia - Row 4)</v>
      </c>
      <c r="C105" s="6" t="str">
        <f>IF(ISNA(MATCH(96,'Transfer Engine'!$C$2:$C$1199,0)),"",INDEX('Compliance Database'!$C$2:$C$1199,MATCH(96,'Transfer Engine'!$C$2:$C$1199,0)))</f>
        <v>11</v>
      </c>
      <c r="D105" s="7" t="str">
        <f>IF(ISNA(MATCH(96,'Transfer Engine'!$C$2:$C$1199,0)),"",INDEX('Compliance Database'!$D$2:$D$1199,MATCH(96,'Transfer Engine'!$C$2:$C$1199,0)))</f>
        <v>Data risk examples and scope</v>
      </c>
      <c r="E105" s="6" t="str">
        <f>IF(ISNA(MATCH(96,'Transfer Engine'!$C$2:$C$1199,0)),"",INDEX('Compliance Database'!$E$2:$E$1199,MATCH(96,'Transfer Engine'!$C$2:$C$1199,0)))</f>
        <v>7</v>
      </c>
      <c r="F105" s="6" t="str">
        <f>IF(ISNA(MATCH(96,'Transfer Engine'!$C$2:$C$1199,0)),"",INDEX('Compliance Database'!$F$2:$F$1199,MATCH(96,'Transfer Engine'!$C$2:$C$1199,0)))</f>
        <v>High</v>
      </c>
      <c r="G105" s="6" t="str">
        <f>IF(ISNA(MATCH(96,'Transfer Engine'!$C$2:$C$1199,0)),"",INDEX('Compliance Database'!$G$2:$G$1199,MATCH(96,'Transfer Engine'!$C$2:$C$1199,0)))</f>
        <v>High (explicit)</v>
      </c>
      <c r="H105" s="7" t="str">
        <f>IF(ISNA(MATCH(96,'Transfer Engine'!$C$2:$C$1199,0)),"",INDEX('Compliance Database'!$H$2:$H$1199,MATCH(96,'Transfer Engine'!$C$2:$C$1199,0)))</f>
        <v>Data Storage</v>
      </c>
      <c r="I105" s="7" t="str">
        <f>IF(ISNA(MATCH(96,'Transfer Engine'!$C$2:$C$1199,0)),"",INDEX('Compliance Database'!$I$2:$I$1199,MATCH(96,'Transfer Engine'!$C$2:$C$1199,0)))</f>
        <v>Financial Data</v>
      </c>
      <c r="J105" s="6">
        <f>IF(ISNA(MATCH(96,'Transfer Engine'!$C$2:$C$1199,0)),"",INDEX('Compliance Database'!$J$2:$J$1199,MATCH(96,'Transfer Engine'!$C$2:$C$1199,0)))</f>
        <v>0</v>
      </c>
      <c r="K105" s="7" t="str">
        <f>IF(ISNA(MATCH(96,'Transfer Engine'!$C$2:$C$1199,0)),"",INDEX('Compliance Database'!$K$2:$K$1199,MATCH(96,'Transfer Engine'!$C$2:$C$1199,0)))</f>
        <v>This section defines data risk as the risk of loss from inadequate internal processes, people, systems, or external events. It includes examples such as fraud due to data theft, business disruption from data corruption, execution failures from inaccurate data, and breaches of legal obligations due to sensitive data disclosure.</v>
      </c>
      <c r="L105" s="7" t="str">
        <f>IF(ISNA(MATCH(96,'Transfer Engine'!$C$2:$C$1199,0)),"",INDEX('Compliance Database'!$L$2:$L$1199,MATCH(96,'Transfer Engine'!$C$2:$C$1199,0)))</f>
        <v>This section provides concrete examples of data risks that must be considered during data transfer impact assessments, particularly for financial data transfers and processing activities.</v>
      </c>
      <c r="M105" s="7" t="str">
        <f>IF(ISNA(MATCH(96,'Transfer Engine'!$C$2:$C$1199,0)),"",INDEX('Compliance Database'!$M$2:$M$1199,MATCH(96,'Transfer Engine'!$C$2:$C$1199,0)))</f>
        <v>• [Must] Data risk encompasses risk of loss from inadequate or failed internal processes, people and systems
• [Must] Data risk encompasses risk of loss from external events impacting on data
• [Must] Data risk includes fraud due to theft of data</v>
      </c>
      <c r="N105" s="7" t="str">
        <f>IF(ISNA(MATCH(96,'Transfer Engine'!$C$2:$C$1199,0)),"",INDEX('Compliance Database'!$N$2:$N$1199,MATCH(96,'Transfer Engine'!$C$2:$C$1199,0)))</f>
        <v>• [Must] Data risk includes business disruption due to data corruption or unavailability
• [Must] Data risk includes execution delivery failure due to inaccurate data
• [Must] Data risk includes breach of legal or compliance obligations from disclosure of sensitive data</v>
      </c>
      <c r="O105" s="7" t="str">
        <f>IF(ISNA(MATCH(96,'Transfer Engine'!$C$2:$C$1199,0)),"",INDEX('Compliance Database'!$O$2:$O$1199,MATCH(96,'Transfer Engine'!$C$2:$C$1199,0)))</f>
        <v>Data risk encompasses the risk of loss resulting from inadequate or failed internal processes, people and systems or from external events impacting on data.</v>
      </c>
      <c r="P105" s="6" t="str">
        <f>IF(ISNA(MATCH(96,'Transfer Engine'!$C$2:$C$1199,0)),"",HYPERLINK("#Acts!A"&amp;INDEX('Compliance Database'!$P$2:$P$1199,MATCH(96,'Transfer Engine'!$C$2:$C$1199,0)),"Go to Act"))</f>
        <v>Go to Act</v>
      </c>
    </row>
    <row r="106" spans="1:16" ht="172.95" customHeight="1" x14ac:dyDescent="0.3">
      <c r="A106" s="6" t="str">
        <f>IF(ISNA(MATCH(97,'Transfer Engine'!$C$2:$C$1199,0)),"",INDEX('Compliance Database'!$A$2:$A$1199,MATCH(97,'Transfer Engine'!$C$2:$C$1199,0)))</f>
        <v>Australia</v>
      </c>
      <c r="B106" s="6" t="str">
        <f>IF(ISNA(MATCH(97,'Transfer Engine'!$C$2:$C$1199,0)),"",INDEX('Compliance Database'!$B$2:$B$1199,MATCH(97,'Transfer Engine'!$C$2:$C$1199,0)))</f>
        <v>Prudential-Practice-Guide-CPG-235-Managing-Data-Risk_1 (Australia - Row 4)</v>
      </c>
      <c r="C106" s="6" t="str">
        <f>IF(ISNA(MATCH(97,'Transfer Engine'!$C$2:$C$1199,0)),"",INDEX('Compliance Database'!$C$2:$C$1199,MATCH(97,'Transfer Engine'!$C$2:$C$1199,0)))</f>
        <v>12</v>
      </c>
      <c r="D106" s="7" t="str">
        <f>IF(ISNA(MATCH(97,'Transfer Engine'!$C$2:$C$1199,0)),"",INDEX('Compliance Database'!$D$2:$D$1199,MATCH(97,'Transfer Engine'!$C$2:$C$1199,0)))</f>
        <v>Data risk as a subset of operational risk</v>
      </c>
      <c r="E106" s="6" t="str">
        <f>IF(ISNA(MATCH(97,'Transfer Engine'!$C$2:$C$1199,0)),"",INDEX('Compliance Database'!$E$2:$E$1199,MATCH(97,'Transfer Engine'!$C$2:$C$1199,0)))</f>
        <v>7</v>
      </c>
      <c r="F106" s="6" t="str">
        <f>IF(ISNA(MATCH(97,'Transfer Engine'!$C$2:$C$1199,0)),"",INDEX('Compliance Database'!$F$2:$F$1199,MATCH(97,'Transfer Engine'!$C$2:$C$1199,0)))</f>
        <v>High</v>
      </c>
      <c r="G106" s="6" t="str">
        <f>IF(ISNA(MATCH(97,'Transfer Engine'!$C$2:$C$1199,0)),"",INDEX('Compliance Database'!$G$2:$G$1199,MATCH(97,'Transfer Engine'!$C$2:$C$1199,0)))</f>
        <v>High (explicit)</v>
      </c>
      <c r="H106" s="7" t="str">
        <f>IF(ISNA(MATCH(97,'Transfer Engine'!$C$2:$C$1199,0)),"",INDEX('Compliance Database'!$H$2:$H$1199,MATCH(97,'Transfer Engine'!$C$2:$C$1199,0)))</f>
        <v>Data Storage</v>
      </c>
      <c r="I106" s="7" t="str">
        <f>IF(ISNA(MATCH(97,'Transfer Engine'!$C$2:$C$1199,0)),"",INDEX('Compliance Database'!$I$2:$I$1199,MATCH(97,'Transfer Engine'!$C$2:$C$1199,0)))</f>
        <v>Financial Data</v>
      </c>
      <c r="J106" s="6">
        <f>IF(ISNA(MATCH(97,'Transfer Engine'!$C$2:$C$1199,0)),"",INDEX('Compliance Database'!$J$2:$J$1199,MATCH(97,'Transfer Engine'!$C$2:$C$1199,0)))</f>
        <v>0</v>
      </c>
      <c r="K106" s="7" t="str">
        <f>IF(ISNA(MATCH(97,'Transfer Engine'!$C$2:$C$1199,0)),"",INDEX('Compliance Database'!$K$2:$K$1199,MATCH(97,'Transfer Engine'!$C$2:$C$1199,0)))</f>
        <v>This section states that data risk is a subset of operational risk, including information and IT risk. It overlaps with information and IT security risk, and emphasizes that data risk can adversely affect regulated entities and result in failure to meet business objectives, including regulatory and legal requirements.</v>
      </c>
      <c r="L106" s="7" t="str">
        <f>IF(ISNA(MATCH(97,'Transfer Engine'!$C$2:$C$1199,0)),"",INDEX('Compliance Database'!$L$2:$L$1199,MATCH(97,'Transfer Engine'!$C$2:$C$1199,0)))</f>
        <v>This section clarifies the relationship between data risk and operational risk, which is critical for assessing the impact of data transfers and processing activities on regulatory compliance.</v>
      </c>
      <c r="M106" s="7" t="str">
        <f>IF(ISNA(MATCH(97,'Transfer Engine'!$C$2:$C$1199,0)),"",INDEX('Compliance Database'!$M$2:$M$1199,MATCH(97,'Transfer Engine'!$C$2:$C$1199,0)))</f>
        <v>• [Must] Data risk is considered a subset of operational risk
• [Must] Data risk includes information and information technology risk
• [Must] Information and information technology security risk overlaps with data risk</v>
      </c>
      <c r="N106" s="7" t="str">
        <f>IF(ISNA(MATCH(97,'Transfer Engine'!$C$2:$C$1199,0)),"",INDEX('Compliance Database'!$N$2:$N$1199,MATCH(97,'Transfer Engine'!$C$2:$C$1199,0)))</f>
        <v>• [Must] Data risk can adversely affect a regulated entity
• [Must] Data risk may result in failure to meet business objectives</v>
      </c>
      <c r="O106" s="7" t="str">
        <f>IF(ISNA(MATCH(97,'Transfer Engine'!$C$2:$C$1199,0)),"",INDEX('Compliance Database'!$O$2:$O$1199,MATCH(97,'Transfer Engine'!$C$2:$C$1199,0)))</f>
        <v>For the purposes of this PPG, data risk is considered to be a subset of operational risk, which includes information and information technology risk.</v>
      </c>
      <c r="P106" s="6" t="str">
        <f>IF(ISNA(MATCH(97,'Transfer Engine'!$C$2:$C$1199,0)),"",HYPERLINK("#Acts!A"&amp;INDEX('Compliance Database'!$P$2:$P$1199,MATCH(97,'Transfer Engine'!$C$2:$C$1199,0)),"Go to Act"))</f>
        <v>Go to Act</v>
      </c>
    </row>
    <row r="107" spans="1:16" ht="172.95" customHeight="1" x14ac:dyDescent="0.3">
      <c r="A107" s="6" t="str">
        <f>IF(ISNA(MATCH(98,'Transfer Engine'!$C$2:$C$1199,0)),"",INDEX('Compliance Database'!$A$2:$A$1199,MATCH(98,'Transfer Engine'!$C$2:$C$1199,0)))</f>
        <v>Australia</v>
      </c>
      <c r="B107" s="6" t="str">
        <f>IF(ISNA(MATCH(98,'Transfer Engine'!$C$2:$C$1199,0)),"",INDEX('Compliance Database'!$B$2:$B$1199,MATCH(98,'Transfer Engine'!$C$2:$C$1199,0)))</f>
        <v>Prudential-Practice-Guide-CPG-235-Managing-Data-Risk_1 (Australia - Row 4)</v>
      </c>
      <c r="C107" s="6" t="str">
        <f>IF(ISNA(MATCH(98,'Transfer Engine'!$C$2:$C$1199,0)),"",INDEX('Compliance Database'!$C$2:$C$1199,MATCH(98,'Transfer Engine'!$C$2:$C$1199,0)))</f>
        <v>13</v>
      </c>
      <c r="D107" s="7" t="str">
        <f>IF(ISNA(MATCH(98,'Transfer Engine'!$C$2:$C$1199,0)),"",INDEX('Compliance Database'!$D$2:$D$1199,MATCH(98,'Transfer Engine'!$C$2:$C$1199,0)))</f>
        <v>Data risk management aligned with operational risk frameworks</v>
      </c>
      <c r="E107" s="6" t="str">
        <f>IF(ISNA(MATCH(98,'Transfer Engine'!$C$2:$C$1199,0)),"",INDEX('Compliance Database'!$E$2:$E$1199,MATCH(98,'Transfer Engine'!$C$2:$C$1199,0)))</f>
        <v>7</v>
      </c>
      <c r="F107" s="6" t="str">
        <f>IF(ISNA(MATCH(98,'Transfer Engine'!$C$2:$C$1199,0)),"",INDEX('Compliance Database'!$F$2:$F$1199,MATCH(98,'Transfer Engine'!$C$2:$C$1199,0)))</f>
        <v>High</v>
      </c>
      <c r="G107" s="6" t="str">
        <f>IF(ISNA(MATCH(98,'Transfer Engine'!$C$2:$C$1199,0)),"",INDEX('Compliance Database'!$G$2:$G$1199,MATCH(98,'Transfer Engine'!$C$2:$C$1199,0)))</f>
        <v>High (explicit)</v>
      </c>
      <c r="H107" s="7">
        <f>IF(ISNA(MATCH(98,'Transfer Engine'!$C$2:$C$1199,0)),"",INDEX('Compliance Database'!$H$2:$H$1199,MATCH(98,'Transfer Engine'!$C$2:$C$1199,0)))</f>
        <v>0</v>
      </c>
      <c r="I107" s="7" t="str">
        <f>IF(ISNA(MATCH(98,'Transfer Engine'!$C$2:$C$1199,0)),"",INDEX('Compliance Database'!$I$2:$I$1199,MATCH(98,'Transfer Engine'!$C$2:$C$1199,0)))</f>
        <v>Personal Information</v>
      </c>
      <c r="J107" s="6" t="str">
        <f>IF(ISNA(MATCH(98,'Transfer Engine'!$C$2:$C$1199,0)),"",INDEX('Compliance Database'!$J$2:$J$1199,MATCH(98,'Transfer Engine'!$C$2:$C$1199,0)))</f>
        <v>Australian Prudential Regulation Authority</v>
      </c>
      <c r="K107" s="7" t="str">
        <f>IF(ISNA(MATCH(98,'Transfer Engine'!$C$2:$C$1199,0)),"",INDEX('Compliance Database'!$K$2:$K$1199,MATCH(98,'Transfer Engine'!$C$2:$C$1199,0)))</f>
        <v>Regulated entities must align their data risk management with operational risk frameworks and other relevant risk management frameworks such as credit, market, and insurance risk frameworks. This alignment depends on the specific data involved and ensures comprehensive risk coverage across different business areas.</v>
      </c>
      <c r="L107" s="7" t="str">
        <f>IF(ISNA(MATCH(98,'Transfer Engine'!$C$2:$C$1199,0)),"",INDEX('Compliance Database'!$L$2:$L$1199,MATCH(98,'Transfer Engine'!$C$2:$C$1199,0)))</f>
        <v>Data risk management must be integrated with operational risk frameworks to ensure consistent handling of data across business processes, critical for cross-border data transfers involving financial institutions.</v>
      </c>
      <c r="M107" s="7" t="str">
        <f>IF(ISNA(MATCH(98,'Transfer Engine'!$C$2:$C$1199,0)),"",INDEX('Compliance Database'!$M$2:$M$1199,MATCH(98,'Transfer Engine'!$C$2:$C$1199,0)))</f>
        <v>• [Must] Regulated entities must manage data risk in alignment with operational risk frameworks</v>
      </c>
      <c r="N107" s="7" t="str">
        <f>IF(ISNA(MATCH(98,'Transfer Engine'!$C$2:$C$1199,0)),"",INDEX('Compliance Database'!$N$2:$N$1199,MATCH(98,'Transfer Engine'!$C$2:$C$1199,0)))</f>
        <v>• [Must] Regulated entities must align data risk management with other relevant risk management frameworks</v>
      </c>
      <c r="O107" s="7" t="str">
        <f>IF(ISNA(MATCH(98,'Transfer Engine'!$C$2:$C$1199,0)),"",INDEX('Compliance Database'!$O$2:$O$1199,MATCH(98,'Transfer Engine'!$C$2:$C$1199,0)))</f>
        <v>A regulated entity would typically manage data risk in alignment with the operational risk framework and, where relevant, in conjunction with other risk management frameworks (e.g. credit, market and insurance risk management frameworks), depending on the nature of the data involved.</v>
      </c>
      <c r="P107" s="6" t="str">
        <f>IF(ISNA(MATCH(98,'Transfer Engine'!$C$2:$C$1199,0)),"",HYPERLINK("#Acts!A"&amp;INDEX('Compliance Database'!$P$2:$P$1199,MATCH(98,'Transfer Engine'!$C$2:$C$1199,0)),"Go to Act"))</f>
        <v>Go to Act</v>
      </c>
    </row>
    <row r="108" spans="1:16" ht="172.95" customHeight="1" x14ac:dyDescent="0.3">
      <c r="A108" s="6" t="str">
        <f>IF(ISNA(MATCH(99,'Transfer Engine'!$C$2:$C$1199,0)),"",INDEX('Compliance Database'!$A$2:$A$1199,MATCH(99,'Transfer Engine'!$C$2:$C$1199,0)))</f>
        <v>Australia</v>
      </c>
      <c r="B108" s="6" t="str">
        <f>IF(ISNA(MATCH(99,'Transfer Engine'!$C$2:$C$1199,0)),"",INDEX('Compliance Database'!$B$2:$B$1199,MATCH(99,'Transfer Engine'!$C$2:$C$1199,0)))</f>
        <v>Prudential-Practice-Guide-CPG-235-Managing-Data-Risk_1 (Australia - Row 4)</v>
      </c>
      <c r="C108" s="6" t="str">
        <f>IF(ISNA(MATCH(99,'Transfer Engine'!$C$2:$C$1199,0)),"",INDEX('Compliance Database'!$C$2:$C$1199,MATCH(99,'Transfer Engine'!$C$2:$C$1199,0)))</f>
        <v>15</v>
      </c>
      <c r="D108" s="7" t="str">
        <f>IF(ISNA(MATCH(99,'Transfer Engine'!$C$2:$C$1199,0)),"",INDEX('Compliance Database'!$D$2:$D$1199,MATCH(99,'Transfer Engine'!$C$2:$C$1199,0)))</f>
        <v>Regular assessment of data control adequacy</v>
      </c>
      <c r="E108" s="6" t="str">
        <f>IF(ISNA(MATCH(99,'Transfer Engine'!$C$2:$C$1199,0)),"",INDEX('Compliance Database'!$E$2:$E$1199,MATCH(99,'Transfer Engine'!$C$2:$C$1199,0)))</f>
        <v>7–8</v>
      </c>
      <c r="F108" s="6" t="str">
        <f>IF(ISNA(MATCH(99,'Transfer Engine'!$C$2:$C$1199,0)),"",INDEX('Compliance Database'!$F$2:$F$1199,MATCH(99,'Transfer Engine'!$C$2:$C$1199,0)))</f>
        <v>High</v>
      </c>
      <c r="G108" s="6" t="str">
        <f>IF(ISNA(MATCH(99,'Transfer Engine'!$C$2:$C$1199,0)),"",INDEX('Compliance Database'!$G$2:$G$1199,MATCH(99,'Transfer Engine'!$C$2:$C$1199,0)))</f>
        <v>High (explicit)</v>
      </c>
      <c r="H108" s="7">
        <f>IF(ISNA(MATCH(99,'Transfer Engine'!$C$2:$C$1199,0)),"",INDEX('Compliance Database'!$H$2:$H$1199,MATCH(99,'Transfer Engine'!$C$2:$C$1199,0)))</f>
        <v>0</v>
      </c>
      <c r="I108" s="7" t="str">
        <f>IF(ISNA(MATCH(99,'Transfer Engine'!$C$2:$C$1199,0)),"",INDEX('Compliance Database'!$I$2:$I$1199,MATCH(99,'Transfer Engine'!$C$2:$C$1199,0)))</f>
        <v>Personal Information</v>
      </c>
      <c r="J108" s="6" t="str">
        <f>IF(ISNA(MATCH(99,'Transfer Engine'!$C$2:$C$1199,0)),"",INDEX('Compliance Database'!$J$2:$J$1199,MATCH(99,'Transfer Engine'!$C$2:$C$1199,0)))</f>
        <v>Australian Prudential Regulation Authority</v>
      </c>
      <c r="K108" s="7" t="str">
        <f>IF(ISNA(MATCH(99,'Transfer Engine'!$C$2:$C$1199,0)),"",INDEX('Compliance Database'!$K$2:$K$1199,MATCH(99,'Transfer Engine'!$C$2:$C$1199,0)))</f>
        <v>Regulated entities must regularly assess the adequacy of data controls to ensure they operate within their risk appetite. This assessment occurs when introducing new business processes and periodically thereafter, or after significant changes to data usage, internal controls, or external environments. The assessment considers end-to-end data use and related controls.</v>
      </c>
      <c r="L108" s="7" t="str">
        <f>IF(ISNA(MATCH(99,'Transfer Engine'!$C$2:$C$1199,0)),"",INDEX('Compliance Database'!$L$2:$L$1199,MATCH(99,'Transfer Engine'!$C$2:$C$1199,0)))</f>
        <v>Regular assessment of data controls ensures data transfers comply with risk appetite, critical for DTIAs involving financial data across borders.</v>
      </c>
      <c r="M108" s="7" t="str">
        <f>IF(ISNA(MATCH(99,'Transfer Engine'!$C$2:$C$1199,0)),"",INDEX('Compliance Database'!$M$2:$M$1199,MATCH(99,'Transfer Engine'!$C$2:$C$1199,0)))</f>
        <v>• [Must] Regulated entities must assess data control adequacy when introducing new business processes
• [Must] Regulated entities must periodically assess data control adequacy after material changes to data usage, internal controls, or external environments</v>
      </c>
      <c r="N108" s="7" t="str">
        <f>IF(ISNA(MATCH(99,'Transfer Engine'!$C$2:$C$1199,0)),"",INDEX('Compliance Database'!$N$2:$N$1199,MATCH(99,'Transfer Engine'!$C$2:$C$1199,0)))</f>
        <v>• [Must] Assessment must consider end-to-end use of data and related control environment</v>
      </c>
      <c r="O108" s="7" t="str">
        <f>IF(ISNA(MATCH(99,'Transfer Engine'!$C$2:$C$1199,0)),"",INDEX('Compliance Database'!$O$2:$O$1199,MATCH(99,'Transfer Engine'!$C$2:$C$1199,0)))</f>
        <v>The adequacy of data controls in ensuring that a regulated entity operates within its risk appetite would normally be assessed as part of introducing new business processes and then on a regular basis thereafter (or following material change to either the process, usage of data, internal controls or external environments).</v>
      </c>
      <c r="P108" s="6" t="str">
        <f>IF(ISNA(MATCH(99,'Transfer Engine'!$C$2:$C$1199,0)),"",HYPERLINK("#Acts!A"&amp;INDEX('Compliance Database'!$P$2:$P$1199,MATCH(99,'Transfer Engine'!$C$2:$C$1199,0)),"Go to Act"))</f>
        <v>Go to Act</v>
      </c>
    </row>
    <row r="109" spans="1:16" ht="172.95" customHeight="1" x14ac:dyDescent="0.3">
      <c r="A109" s="6" t="str">
        <f>IF(ISNA(MATCH(100,'Transfer Engine'!$C$2:$C$1199,0)),"",INDEX('Compliance Database'!$A$2:$A$1199,MATCH(100,'Transfer Engine'!$C$2:$C$1199,0)))</f>
        <v>Australia</v>
      </c>
      <c r="B109" s="6" t="str">
        <f>IF(ISNA(MATCH(100,'Transfer Engine'!$C$2:$C$1199,0)),"",INDEX('Compliance Database'!$B$2:$B$1199,MATCH(100,'Transfer Engine'!$C$2:$C$1199,0)))</f>
        <v>Prudential-Practice-Guide-CPG-235-Managing-Data-Risk_1 (Australia - Row 4)</v>
      </c>
      <c r="C109" s="6" t="str">
        <f>IF(ISNA(MATCH(100,'Transfer Engine'!$C$2:$C$1199,0)),"",INDEX('Compliance Database'!$C$2:$C$1199,MATCH(100,'Transfer Engine'!$C$2:$C$1199,0)))</f>
        <v>17</v>
      </c>
      <c r="D109" s="7" t="str">
        <f>IF(ISNA(MATCH(100,'Transfer Engine'!$C$2:$C$1199,0)),"",INDEX('Compliance Database'!$D$2:$D$1199,MATCH(100,'Transfer Engine'!$C$2:$C$1199,0)))</f>
        <v>Data classification dimensions for risk management</v>
      </c>
      <c r="E109" s="6" t="str">
        <f>IF(ISNA(MATCH(100,'Transfer Engine'!$C$2:$C$1199,0)),"",INDEX('Compliance Database'!$E$2:$E$1199,MATCH(100,'Transfer Engine'!$C$2:$C$1199,0)))</f>
        <v>8</v>
      </c>
      <c r="F109" s="6" t="str">
        <f>IF(ISNA(MATCH(100,'Transfer Engine'!$C$2:$C$1199,0)),"",INDEX('Compliance Database'!$F$2:$F$1199,MATCH(100,'Transfer Engine'!$C$2:$C$1199,0)))</f>
        <v>High</v>
      </c>
      <c r="G109" s="6" t="str">
        <f>IF(ISNA(MATCH(100,'Transfer Engine'!$C$2:$C$1199,0)),"",INDEX('Compliance Database'!$G$2:$G$1199,MATCH(100,'Transfer Engine'!$C$2:$C$1199,0)))</f>
        <v>High (explicit)</v>
      </c>
      <c r="H109" s="7">
        <f>IF(ISNA(MATCH(100,'Transfer Engine'!$C$2:$C$1199,0)),"",INDEX('Compliance Database'!$H$2:$H$1199,MATCH(100,'Transfer Engine'!$C$2:$C$1199,0)))</f>
        <v>0</v>
      </c>
      <c r="I109" s="7" t="str">
        <f>IF(ISNA(MATCH(100,'Transfer Engine'!$C$2:$C$1199,0)),"",INDEX('Compliance Database'!$I$2:$I$1199,MATCH(100,'Transfer Engine'!$C$2:$C$1199,0)))</f>
        <v>Personal Information</v>
      </c>
      <c r="J109" s="6" t="str">
        <f>IF(ISNA(MATCH(100,'Transfer Engine'!$C$2:$C$1199,0)),"",INDEX('Compliance Database'!$J$2:$J$1199,MATCH(100,'Transfer Engine'!$C$2:$C$1199,0)))</f>
        <v>Australian Prudential Regulation Authority</v>
      </c>
      <c r="K109" s="7" t="str">
        <f>IF(ISNA(MATCH(100,'Transfer Engine'!$C$2:$C$1199,0)),"",INDEX('Compliance Database'!$K$2:$K$1199,MATCH(100,'Transfer Engine'!$C$2:$C$1199,0)))</f>
        <v>Regulated entities must consider confidentiality, accountability, authenticity, and non-repudiation when classifying data based on business criticality and sensitivity. These dimensions ensure data access is restricted to authorized users, actions can be attributed, data is genuine, and events cannot be denied.</v>
      </c>
      <c r="L109" s="7" t="str">
        <f>IF(ISNA(MATCH(100,'Transfer Engine'!$C$2:$C$1199,0)),"",INDEX('Compliance Database'!$L$2:$L$1199,MATCH(100,'Transfer Engine'!$C$2:$C$1199,0)))</f>
        <v>Data classification dimensions like confidentiality and non-repudiation are critical for DTIAs to ensure data transfers maintain integrity and traceability across borders.</v>
      </c>
      <c r="M109" s="7" t="str">
        <f>IF(ISNA(MATCH(100,'Transfer Engine'!$C$2:$C$1199,0)),"",INDEX('Compliance Database'!$M$2:$M$1199,MATCH(100,'Transfer Engine'!$C$2:$C$1199,0)))</f>
        <v>• [Must] Confidentiality: restriction of data access to authorized users, software and hardware
• [Must] Accountability: ability to attribute responsibility for an action</v>
      </c>
      <c r="N109" s="7" t="str">
        <f>IF(ISNA(MATCH(100,'Transfer Engine'!$C$2:$C$1199,0)),"",INDEX('Compliance Database'!$N$2:$N$1199,MATCH(100,'Transfer Engine'!$C$2:$C$1199,0)))</f>
        <v>• [Must] Authenticity: condition of being genuine
• [Must] Non-repudiation: concept that an event cannot later be denied</v>
      </c>
      <c r="O109" s="7" t="str">
        <f>IF(ISNA(MATCH(100,'Transfer Engine'!$C$2:$C$1199,0)),"",INDEX('Compliance Database'!$O$2:$O$1199,MATCH(100,'Transfer Engine'!$C$2:$C$1199,0)))</f>
        <v>Other dimensions that could also be relevant, depending on the nature and use of specific data, include: (a) confidentiality: restriction of data access to authorised users, software and hardware; (b) accountability: the ability to attribute the responsibility for an action; (c) authenticity: the condition of being genuine; and (d) non-repudiation: the concept that an event cannot later be denied.</v>
      </c>
      <c r="P109" s="6" t="str">
        <f>IF(ISNA(MATCH(100,'Transfer Engine'!$C$2:$C$1199,0)),"",HYPERLINK("#Acts!A"&amp;INDEX('Compliance Database'!$P$2:$P$1199,MATCH(100,'Transfer Engine'!$C$2:$C$1199,0)),"Go to Act"))</f>
        <v>Go to Act</v>
      </c>
    </row>
    <row r="110" spans="1:16" ht="172.95" customHeight="1" x14ac:dyDescent="0.3">
      <c r="A110" s="6" t="str">
        <f>IF(ISNA(MATCH(101,'Transfer Engine'!$C$2:$C$1199,0)),"",INDEX('Compliance Database'!$A$2:$A$1199,MATCH(101,'Transfer Engine'!$C$2:$C$1199,0)))</f>
        <v>Australia</v>
      </c>
      <c r="B110" s="6" t="str">
        <f>IF(ISNA(MATCH(101,'Transfer Engine'!$C$2:$C$1199,0)),"",INDEX('Compliance Database'!$B$2:$B$1199,MATCH(101,'Transfer Engine'!$C$2:$C$1199,0)))</f>
        <v>Prudential-Practice-Guide-CPG-235-Managing-Data-Risk_1 (Australia - Row 4)</v>
      </c>
      <c r="C110" s="6" t="str">
        <f>IF(ISNA(MATCH(101,'Transfer Engine'!$C$2:$C$1199,0)),"",INDEX('Compliance Database'!$C$2:$C$1199,MATCH(101,'Transfer Engine'!$C$2:$C$1199,0)))</f>
        <v>18</v>
      </c>
      <c r="D110" s="7" t="str">
        <f>IF(ISNA(MATCH(101,'Transfer Engine'!$C$2:$C$1199,0)),"",INDEX('Compliance Database'!$D$2:$D$1199,MATCH(101,'Transfer Engine'!$C$2:$C$1199,0)))</f>
        <v>Data classification by criticality and sensitivity</v>
      </c>
      <c r="E110" s="6" t="str">
        <f>IF(ISNA(MATCH(101,'Transfer Engine'!$C$2:$C$1199,0)),"",INDEX('Compliance Database'!$E$2:$E$1199,MATCH(101,'Transfer Engine'!$C$2:$C$1199,0)))</f>
        <v>8</v>
      </c>
      <c r="F110" s="6" t="str">
        <f>IF(ISNA(MATCH(101,'Transfer Engine'!$C$2:$C$1199,0)),"",INDEX('Compliance Database'!$F$2:$F$1199,MATCH(101,'Transfer Engine'!$C$2:$C$1199,0)))</f>
        <v>High</v>
      </c>
      <c r="G110" s="6" t="str">
        <f>IF(ISNA(MATCH(101,'Transfer Engine'!$C$2:$C$1199,0)),"",INDEX('Compliance Database'!$G$2:$G$1199,MATCH(101,'Transfer Engine'!$C$2:$C$1199,0)))</f>
        <v>High (explicit)</v>
      </c>
      <c r="H110" s="7">
        <f>IF(ISNA(MATCH(101,'Transfer Engine'!$C$2:$C$1199,0)),"",INDEX('Compliance Database'!$H$2:$H$1199,MATCH(101,'Transfer Engine'!$C$2:$C$1199,0)))</f>
        <v>0</v>
      </c>
      <c r="I110" s="7" t="str">
        <f>IF(ISNA(MATCH(101,'Transfer Engine'!$C$2:$C$1199,0)),"",INDEX('Compliance Database'!$I$2:$I$1199,MATCH(101,'Transfer Engine'!$C$2:$C$1199,0)))</f>
        <v>Personal Information</v>
      </c>
      <c r="J110" s="6" t="str">
        <f>IF(ISNA(MATCH(101,'Transfer Engine'!$C$2:$C$1199,0)),"",INDEX('Compliance Database'!$J$2:$J$1199,MATCH(101,'Transfer Engine'!$C$2:$C$1199,0)))</f>
        <v>Australian Prudential Regulation Authority</v>
      </c>
      <c r="K110" s="7" t="str">
        <f>IF(ISNA(MATCH(101,'Transfer Engine'!$C$2:$C$1199,0)),"",INDEX('Compliance Database'!$K$2:$K$1199,MATCH(101,'Transfer Engine'!$C$2:$C$1199,0)))</f>
        <v>Regulated entities must classify data based on business criticality and sensitivity, considering end-to-end use. This classification should leverage existing business impact analysis processes and be determined by business requirements to ensure appropriate risk management.</v>
      </c>
      <c r="L110" s="7" t="str">
        <f>IF(ISNA(MATCH(101,'Transfer Engine'!$C$2:$C$1199,0)),"",INDEX('Compliance Database'!$L$2:$L$1199,MATCH(101,'Transfer Engine'!$C$2:$C$1199,0)))</f>
        <v>Data classification by criticality and sensitivity ensures DTIAs account for data's importance in cross-border transfers, critical for financial institutions.</v>
      </c>
      <c r="M110" s="7" t="str">
        <f>IF(ISNA(MATCH(101,'Transfer Engine'!$C$2:$C$1199,0)),"",INDEX('Compliance Database'!$M$2:$M$1199,MATCH(101,'Transfer Engine'!$C$2:$C$1199,0)))</f>
        <v>• [Must] Regulated entities must classify data based on business criticality and sensitivity</v>
      </c>
      <c r="N110" s="7" t="str">
        <f>IF(ISNA(MATCH(101,'Transfer Engine'!$C$2:$C$1199,0)),"",INDEX('Compliance Database'!$N$2:$N$1199,MATCH(101,'Transfer Engine'!$C$2:$C$1199,0)))</f>
        <v>• [Must] Classification must consider end-to-end use of data</v>
      </c>
      <c r="O110" s="7" t="str">
        <f>IF(ISNA(MATCH(101,'Transfer Engine'!$C$2:$C$1199,0)),"",INDEX('Compliance Database'!$O$2:$O$1199,MATCH(101,'Transfer Engine'!$C$2:$C$1199,0)))</f>
        <v>For the purposes of managing data risk, a regulated entity would typically classify data based on business criticality and sensitivity. The assessment would typically take into account the end-to-end use of the data.</v>
      </c>
      <c r="P110" s="6" t="str">
        <f>IF(ISNA(MATCH(101,'Transfer Engine'!$C$2:$C$1199,0)),"",HYPERLINK("#Acts!A"&amp;INDEX('Compliance Database'!$P$2:$P$1199,MATCH(101,'Transfer Engine'!$C$2:$C$1199,0)),"Go to Act"))</f>
        <v>Go to Act</v>
      </c>
    </row>
    <row r="111" spans="1:16" ht="172.95" customHeight="1" x14ac:dyDescent="0.3">
      <c r="A111" s="6" t="str">
        <f>IF(ISNA(MATCH(102,'Transfer Engine'!$C$2:$C$1199,0)),"",INDEX('Compliance Database'!$A$2:$A$1199,MATCH(102,'Transfer Engine'!$C$2:$C$1199,0)))</f>
        <v>Australia</v>
      </c>
      <c r="B111" s="6" t="str">
        <f>IF(ISNA(MATCH(102,'Transfer Engine'!$C$2:$C$1199,0)),"",INDEX('Compliance Database'!$B$2:$B$1199,MATCH(102,'Transfer Engine'!$C$2:$C$1199,0)))</f>
        <v>Prudential-Practice-Guide-CPG-235-Managing-Data-Risk_1 (Australia - Row 4)</v>
      </c>
      <c r="C111" s="6" t="str">
        <f>IF(ISNA(MATCH(102,'Transfer Engine'!$C$2:$C$1199,0)),"",INDEX('Compliance Database'!$C$2:$C$1199,MATCH(102,'Transfer Engine'!$C$2:$C$1199,0)))</f>
        <v>20</v>
      </c>
      <c r="D111" s="7" t="str">
        <f>IF(ISNA(MATCH(102,'Transfer Engine'!$C$2:$C$1199,0)),"",INDEX('Compliance Database'!$D$2:$D$1199,MATCH(102,'Transfer Engine'!$C$2:$C$1199,0)))</f>
        <v>Formal data risk management framework requirements</v>
      </c>
      <c r="E111" s="6" t="str">
        <f>IF(ISNA(MATCH(102,'Transfer Engine'!$C$2:$C$1199,0)),"",INDEX('Compliance Database'!$E$2:$E$1199,MATCH(102,'Transfer Engine'!$C$2:$C$1199,0)))</f>
        <v>8–9</v>
      </c>
      <c r="F111" s="6" t="str">
        <f>IF(ISNA(MATCH(102,'Transfer Engine'!$C$2:$C$1199,0)),"",INDEX('Compliance Database'!$F$2:$F$1199,MATCH(102,'Transfer Engine'!$C$2:$C$1199,0)))</f>
        <v>High</v>
      </c>
      <c r="G111" s="6" t="str">
        <f>IF(ISNA(MATCH(102,'Transfer Engine'!$C$2:$C$1199,0)),"",INDEX('Compliance Database'!$G$2:$G$1199,MATCH(102,'Transfer Engine'!$C$2:$C$1199,0)))</f>
        <v>High (explicit)</v>
      </c>
      <c r="H111" s="7">
        <f>IF(ISNA(MATCH(102,'Transfer Engine'!$C$2:$C$1199,0)),"",INDEX('Compliance Database'!$H$2:$H$1199,MATCH(102,'Transfer Engine'!$C$2:$C$1199,0)))</f>
        <v>0</v>
      </c>
      <c r="I111" s="7" t="str">
        <f>IF(ISNA(MATCH(102,'Transfer Engine'!$C$2:$C$1199,0)),"",INDEX('Compliance Database'!$I$2:$I$1199,MATCH(102,'Transfer Engine'!$C$2:$C$1199,0)))</f>
        <v>Personal Information</v>
      </c>
      <c r="J111" s="6" t="str">
        <f>IF(ISNA(MATCH(102,'Transfer Engine'!$C$2:$C$1199,0)),"",INDEX('Compliance Database'!$J$2:$J$1199,MATCH(102,'Transfer Engine'!$C$2:$C$1199,0)))</f>
        <v>Australian Prudential Regulation Authority</v>
      </c>
      <c r="K111" s="7" t="str">
        <f>IF(ISNA(MATCH(102,'Transfer Engine'!$C$2:$C$1199,0)),"",INDEX('Compliance Database'!$K$2:$K$1199,MATCH(102,'Transfer Engine'!$C$2:$C$1199,0)))</f>
        <v>Regulated entities must adopt a systematic and formalized data risk management framework that includes policies, standards, alignment with enterprise frameworks, designated owners, roles and responsibilities, and regular reviews. This framework must ensure data risk is integrated into change management and business-as-usual processes.</v>
      </c>
      <c r="L111" s="7" t="str">
        <f>IF(ISNA(MATCH(102,'Transfer Engine'!$C$2:$C$1199,0)),"",INDEX('Compliance Database'!$L$2:$L$1199,MATCH(102,'Transfer Engine'!$C$2:$C$1199,0)))</f>
        <v>Formal data risk management frameworks are essential for DTIAs to ensure data transfers comply with robust controls and risk appetite, critical for financial data.</v>
      </c>
      <c r="M111" s="7" t="str">
        <f>IF(ISNA(MATCH(102,'Transfer Engine'!$C$2:$C$1199,0)),"",INDEX('Compliance Database'!$M$2:$M$1199,MATCH(102,'Transfer Engine'!$C$2:$C$1199,0)))</f>
        <v>• [Must] Data risk management framework must include a hierarchy of policies, standards, guidelines, procedures and documentation
• [Must] Framework must align with enterprise frameworks such as operational risk, security, project management, system development, business continuity, outsourcing/offshoring, and risk management
• [Must] Framework must include expectations of the Board and senior management
• [Must] Framework must assign designated owners</v>
      </c>
      <c r="N111" s="7" t="str">
        <f>IF(ISNA(MATCH(102,'Transfer Engine'!$C$2:$C$1199,0)),"",INDEX('Compliance Database'!$N$2:$N$1199,MATCH(102,'Transfer Engine'!$C$2:$C$1199,0)))</f>
        <v>• [Must] Framework must outline roles and responsibilities of staff
• [Must] Framework must enable design and implementation of data controls commensurate with data criticality and sensitivity
• [Must] Framework must be reviewed on a regular basis with periodic assessment against current practices and industry standards</v>
      </c>
      <c r="O111" s="7" t="str">
        <f>IF(ISNA(MATCH(102,'Transfer Engine'!$C$2:$C$1199,0)),"",INDEX('Compliance Database'!$O$2:$O$1199,MATCH(102,'Transfer Engine'!$C$2:$C$1199,0)))</f>
        <v>A regulated entity would typically adopt a systematic and formalised approach that ensures data risk is taken into consideration as part of its change management and business-as-usual processes. This could be encapsulated in a formally approved data risk management framework outlining the entity's approach to managing data risk that: (a) includes a hierarchy of policies, standards, guidelines, procedures and other documentation supporting business processes; (b) aligns with other enterprise frameworks such as operational risk, security, project management, system development, business continuity management, outsourcing/offshoring management and risk management; (c) includes the expectations of the Board and senior management; (d) assigns a designated owner or owners; (e) outlines the roles and responsibilities of staff to ensure effective data risk management outcomes; (f) enables the design and implementation of data controls. The strength of controls would normally be commensurate with the criticality and sensitivity of the data involved; and (g) is reviewed on a regular basis, with periodic assessment for completeness against current practices and industry standards.</v>
      </c>
      <c r="P111" s="6" t="str">
        <f>IF(ISNA(MATCH(102,'Transfer Engine'!$C$2:$C$1199,0)),"",HYPERLINK("#Acts!A"&amp;INDEX('Compliance Database'!$P$2:$P$1199,MATCH(102,'Transfer Engine'!$C$2:$C$1199,0)),"Go to Act"))</f>
        <v>Go to Act</v>
      </c>
    </row>
    <row r="112" spans="1:16" ht="172.95" customHeight="1" x14ac:dyDescent="0.3">
      <c r="A112" s="6" t="str">
        <f>IF(ISNA(MATCH(103,'Transfer Engine'!$C$2:$C$1199,0)),"",INDEX('Compliance Database'!$A$2:$A$1199,MATCH(103,'Transfer Engine'!$C$2:$C$1199,0)))</f>
        <v>Australia</v>
      </c>
      <c r="B112" s="6" t="str">
        <f>IF(ISNA(MATCH(103,'Transfer Engine'!$C$2:$C$1199,0)),"",INDEX('Compliance Database'!$B$2:$B$1199,MATCH(103,'Transfer Engine'!$C$2:$C$1199,0)))</f>
        <v>Prudential-Practice-Guide-CPG-235-Managing-Data-Risk_1 (Australia - Row 4)</v>
      </c>
      <c r="C112" s="6" t="str">
        <f>IF(ISNA(MATCH(103,'Transfer Engine'!$C$2:$C$1199,0)),"",INDEX('Compliance Database'!$C$2:$C$1199,MATCH(103,'Transfer Engine'!$C$2:$C$1199,0)))</f>
        <v>21</v>
      </c>
      <c r="D112" s="7" t="str">
        <f>IF(ISNA(MATCH(103,'Transfer Engine'!$C$2:$C$1199,0)),"",INDEX('Compliance Database'!$D$2:$D$1199,MATCH(103,'Transfer Engine'!$C$2:$C$1199,0)))</f>
        <v>Data risk management framework development strategy</v>
      </c>
      <c r="E112" s="6" t="str">
        <f>IF(ISNA(MATCH(103,'Transfer Engine'!$C$2:$C$1199,0)),"",INDEX('Compliance Database'!$E$2:$E$1199,MATCH(103,'Transfer Engine'!$C$2:$C$1199,0)))</f>
        <v>9</v>
      </c>
      <c r="F112" s="6" t="str">
        <f>IF(ISNA(MATCH(103,'Transfer Engine'!$C$2:$C$1199,0)),"",INDEX('Compliance Database'!$F$2:$F$1199,MATCH(103,'Transfer Engine'!$C$2:$C$1199,0)))</f>
        <v>High</v>
      </c>
      <c r="G112" s="6" t="str">
        <f>IF(ISNA(MATCH(103,'Transfer Engine'!$C$2:$C$1199,0)),"",INDEX('Compliance Database'!$G$2:$G$1199,MATCH(103,'Transfer Engine'!$C$2:$C$1199,0)))</f>
        <v>High (explicit)</v>
      </c>
      <c r="H112" s="7">
        <f>IF(ISNA(MATCH(103,'Transfer Engine'!$C$2:$C$1199,0)),"",INDEX('Compliance Database'!$H$2:$H$1199,MATCH(103,'Transfer Engine'!$C$2:$C$1199,0)))</f>
        <v>0</v>
      </c>
      <c r="I112" s="7" t="str">
        <f>IF(ISNA(MATCH(103,'Transfer Engine'!$C$2:$C$1199,0)),"",INDEX('Compliance Database'!$I$2:$I$1199,MATCH(103,'Transfer Engine'!$C$2:$C$1199,0)))</f>
        <v>Personal Information</v>
      </c>
      <c r="J112" s="6" t="str">
        <f>IF(ISNA(MATCH(103,'Transfer Engine'!$C$2:$C$1199,0)),"",INDEX('Compliance Database'!$J$2:$J$1199,MATCH(103,'Transfer Engine'!$C$2:$C$1199,0)))</f>
        <v>Australian Prudential Regulation Authority</v>
      </c>
      <c r="K112" s="7" t="str">
        <f>IF(ISNA(MATCH(103,'Transfer Engine'!$C$2:$C$1199,0)),"",INDEX('Compliance Database'!$K$2:$K$1199,MATCH(103,'Transfer Engine'!$C$2:$C$1199,0)))</f>
        <v>Regulated entities must establish and continuously develop their data risk management framework through a defined strategy and program of work with clear budget, resources, timelines, and milestones. This framework must be integrated into change management and business-as-usual processes and aligned with business, IT, and security strategies.</v>
      </c>
      <c r="L112" s="7" t="str">
        <f>IF(ISNA(MATCH(103,'Transfer Engine'!$C$2:$C$1199,0)),"",INDEX('Compliance Database'!$L$2:$L$1199,MATCH(103,'Transfer Engine'!$C$2:$C$1199,0)))</f>
        <v>Data risk management framework development ensures DTIAs incorporate strategic alignment with business and IT strategies, critical for cross-border data transfers.</v>
      </c>
      <c r="M112" s="7" t="str">
        <f>IF(ISNA(MATCH(103,'Transfer Engine'!$C$2:$C$1199,0)),"",INDEX('Compliance Database'!$M$2:$M$1199,MATCH(103,'Transfer Engine'!$C$2:$C$1199,0)))</f>
        <v>• [Must] Data risk management framework establishment must be directed by a data risk management strategy and supporting program of work with defined budget, resource requirements, timeframes and milestones
• [Must] Data risk management framework development must be an integral part of change management and business-as-usual processes</v>
      </c>
      <c r="N112" s="7" t="str">
        <f>IF(ISNA(MATCH(103,'Transfer Engine'!$C$2:$C$1199,0)),"",INDEX('Compliance Database'!$N$2:$N$1199,MATCH(103,'Transfer Engine'!$C$2:$C$1199,0)))</f>
        <v>• [Must] Data risk management strategy must align with business, information technology, and security strategies</v>
      </c>
      <c r="O112" s="7" t="str">
        <f>IF(ISNA(MATCH(103,'Transfer Engine'!$C$2:$C$1199,0)),"",INDEX('Compliance Database'!$O$2:$O$1199,MATCH(103,'Transfer Engine'!$C$2:$C$1199,0)))</f>
        <v>The establishment and ongoing development of the data risk management framework would normally be: (a) directed by a data risk management strategy and supporting program of work with a clearly defined budget, resource requirements, timeframes and milestones; and (b) an integral part of a regulated entity's change management and business-as-usual processes. A data risk management strategy would typically be aligned with the regulated entity's business, information technology, and security strategies as appropriate.</v>
      </c>
      <c r="P112" s="6" t="str">
        <f>IF(ISNA(MATCH(103,'Transfer Engine'!$C$2:$C$1199,0)),"",HYPERLINK("#Acts!A"&amp;INDEX('Compliance Database'!$P$2:$P$1199,MATCH(103,'Transfer Engine'!$C$2:$C$1199,0)),"Go to Act"))</f>
        <v>Go to Act</v>
      </c>
    </row>
    <row r="113" spans="1:16" ht="172.95" customHeight="1" x14ac:dyDescent="0.3">
      <c r="A113" s="6" t="str">
        <f>IF(ISNA(MATCH(104,'Transfer Engine'!$C$2:$C$1199,0)),"",INDEX('Compliance Database'!$A$2:$A$1199,MATCH(104,'Transfer Engine'!$C$2:$C$1199,0)))</f>
        <v>Australia</v>
      </c>
      <c r="B113" s="6" t="str">
        <f>IF(ISNA(MATCH(104,'Transfer Engine'!$C$2:$C$1199,0)),"",INDEX('Compliance Database'!$B$2:$B$1199,MATCH(104,'Transfer Engine'!$C$2:$C$1199,0)))</f>
        <v>Prudential-Practice-Guide-CPG-235-Managing-Data-Risk_1 (Australia - Row 4)</v>
      </c>
      <c r="C113" s="6" t="str">
        <f>IF(ISNA(MATCH(104,'Transfer Engine'!$C$2:$C$1199,0)),"",INDEX('Compliance Database'!$C$2:$C$1199,MATCH(104,'Transfer Engine'!$C$2:$C$1199,0)))</f>
        <v>22</v>
      </c>
      <c r="D113" s="7" t="str">
        <f>IF(ISNA(MATCH(104,'Transfer Engine'!$C$2:$C$1199,0)),"",INDEX('Compliance Database'!$D$2:$D$1199,MATCH(104,'Transfer Engine'!$C$2:$C$1199,0)))</f>
        <v>Data risk management principles for regulated entities</v>
      </c>
      <c r="E113" s="6" t="str">
        <f>IF(ISNA(MATCH(104,'Transfer Engine'!$C$2:$C$1199,0)),"",INDEX('Compliance Database'!$E$2:$E$1199,MATCH(104,'Transfer Engine'!$C$2:$C$1199,0)))</f>
        <v>9</v>
      </c>
      <c r="F113" s="6" t="str">
        <f>IF(ISNA(MATCH(104,'Transfer Engine'!$C$2:$C$1199,0)),"",INDEX('Compliance Database'!$F$2:$F$1199,MATCH(104,'Transfer Engine'!$C$2:$C$1199,0)))</f>
        <v>High</v>
      </c>
      <c r="G113" s="6" t="str">
        <f>IF(ISNA(MATCH(104,'Transfer Engine'!$C$2:$C$1199,0)),"",INDEX('Compliance Database'!$G$2:$G$1199,MATCH(104,'Transfer Engine'!$C$2:$C$1199,0)))</f>
        <v>High (explicit)</v>
      </c>
      <c r="H113" s="7" t="str">
        <f>IF(ISNA(MATCH(104,'Transfer Engine'!$C$2:$C$1199,0)),"",INDEX('Compliance Database'!$H$2:$H$1199,MATCH(104,'Transfer Engine'!$C$2:$C$1199,0)))</f>
        <v>Data Storage, Data Sharing</v>
      </c>
      <c r="I113" s="7" t="str">
        <f>IF(ISNA(MATCH(104,'Transfer Engine'!$C$2:$C$1199,0)),"",INDEX('Compliance Database'!$I$2:$I$1199,MATCH(104,'Transfer Engine'!$C$2:$C$1199,0)))</f>
        <v>Personal Information, Financial Data</v>
      </c>
      <c r="J113" s="6" t="str">
        <f>IF(ISNA(MATCH(104,'Transfer Engine'!$C$2:$C$1199,0)),"",INDEX('Compliance Database'!$J$2:$J$1199,MATCH(104,'Transfer Engine'!$C$2:$C$1199,0)))</f>
        <v>APRA</v>
      </c>
      <c r="K113" s="7" t="str">
        <f>IF(ISNA(MATCH(104,'Transfer Engine'!$C$2:$C$1199,0)),"",INDEX('Compliance Database'!$K$2:$K$1199,MATCH(104,'Transfer Engine'!$C$2:$C$1199,0)))</f>
        <v>Regulated entities must establish high-level data risk management principles to ensure sound data risk management. These principles include limiting data access to business needs, validating data close to capture points, using automation where feasible, timely issue reporting, assessing data quality, and designing controls assuming staff lack knowledge of policies. These principles apply to all staff and processes within the entity.</v>
      </c>
      <c r="L113" s="7" t="str">
        <f>IF(ISNA(MATCH(104,'Transfer Engine'!$C$2:$C$1199,0)),"",INDEX('Compliance Database'!$L$2:$L$1199,MATCH(104,'Transfer Engine'!$C$2:$C$1199,0)))</f>
        <v>These principles provide foundational safeguards for data risk management that impact cross-border data transfers by requiring data minimization, quality assurance, and timely issue resolution.</v>
      </c>
      <c r="M113" s="7" t="str">
        <f>IF(ISNA(MATCH(104,'Transfer Engine'!$C$2:$C$1199,0)),"",INDEX('Compliance Database'!$M$2:$M$1199,MATCH(104,'Transfer Engine'!$C$2:$C$1199,0)))</f>
        <v>• [Must] Access to data is only granted where required to conduct business processes
• [Must] Data validation, correction and cleansing occur as close to the point of capture as possible
• [Must] Automation (where viable) is used as an alternative to manual processes</v>
      </c>
      <c r="N113" s="7" t="str">
        <f>IF(ISNA(MATCH(104,'Transfer Engine'!$C$2:$C$1199,0)),"",INDEX('Compliance Database'!$N$2:$N$1199,MATCH(104,'Transfer Engine'!$C$2:$C$1199,0)))</f>
        <v>• [Must] Timely detection and reporting of data issues to minimise the time in which an issue can impact on the entity
• [Must] Assessment of data quality to ensure it is acceptable for the intended purpose
• [Must] Design of the control environment is based on the assumption that staff do not know what the data risk management policies and procedures are</v>
      </c>
      <c r="O113" s="7" t="str">
        <f>IF(ISNA(MATCH(104,'Transfer Engine'!$C$2:$C$1199,0)),"",INDEX('Compliance Database'!$O$2:$O$1199,MATCH(104,'Transfer Engine'!$C$2:$C$1199,0)))</f>
        <v>APRA envisages that a regulated entity would adopt a set of high-level principles in order to establish a sound foundation for data risk management. Data risk management principles could include: (a) access to data is only granted where required to conduct business processes; (b) data validation, correction and cleansing occur as close to the point of capture as possible; (c) automation (where viable) is used as an alternative to manual processes; (d) timely detection and reporting of data issues to minimise the time in which an issue can impact on the entity; (e) assessment of data quality to ensure it is acceptable for the intended purpose; and (f) design of the control environment is based on the assumption that staff do not know what the data risk management policies and procedures are.</v>
      </c>
      <c r="P113" s="6" t="str">
        <f>IF(ISNA(MATCH(104,'Transfer Engine'!$C$2:$C$1199,0)),"",HYPERLINK("#Acts!A"&amp;INDEX('Compliance Database'!$P$2:$P$1199,MATCH(104,'Transfer Engine'!$C$2:$C$1199,0)),"Go to Act"))</f>
        <v>Go to Act</v>
      </c>
    </row>
    <row r="114" spans="1:16" ht="172.95" customHeight="1" x14ac:dyDescent="0.3">
      <c r="A114" s="6" t="str">
        <f>IF(ISNA(MATCH(105,'Transfer Engine'!$C$2:$C$1199,0)),"",INDEX('Compliance Database'!$A$2:$A$1199,MATCH(105,'Transfer Engine'!$C$2:$C$1199,0)))</f>
        <v>Australia</v>
      </c>
      <c r="B114" s="6" t="str">
        <f>IF(ISNA(MATCH(105,'Transfer Engine'!$C$2:$C$1199,0)),"",INDEX('Compliance Database'!$B$2:$B$1199,MATCH(105,'Transfer Engine'!$C$2:$C$1199,0)))</f>
        <v>Prudential-Practice-Guide-CPG-235-Managing-Data-Risk_1 (Australia - Row 4)</v>
      </c>
      <c r="C114" s="6" t="str">
        <f>IF(ISNA(MATCH(105,'Transfer Engine'!$C$2:$C$1199,0)),"",INDEX('Compliance Database'!$C$2:$C$1199,MATCH(105,'Transfer Engine'!$C$2:$C$1199,0)))</f>
        <v>23</v>
      </c>
      <c r="D114" s="7" t="str">
        <f>IF(ISNA(MATCH(105,'Transfer Engine'!$C$2:$C$1199,0)),"",INDEX('Compliance Database'!$D$2:$D$1199,MATCH(105,'Transfer Engine'!$C$2:$C$1199,0)))</f>
        <v>Formal roles and responsibilities for data risk management</v>
      </c>
      <c r="E114" s="6" t="str">
        <f>IF(ISNA(MATCH(105,'Transfer Engine'!$C$2:$C$1199,0)),"",INDEX('Compliance Database'!$E$2:$E$1199,MATCH(105,'Transfer Engine'!$C$2:$C$1199,0)))</f>
        <v>9–10</v>
      </c>
      <c r="F114" s="6" t="str">
        <f>IF(ISNA(MATCH(105,'Transfer Engine'!$C$2:$C$1199,0)),"",INDEX('Compliance Database'!$F$2:$F$1199,MATCH(105,'Transfer Engine'!$C$2:$C$1199,0)))</f>
        <v>High</v>
      </c>
      <c r="G114" s="6" t="str">
        <f>IF(ISNA(MATCH(105,'Transfer Engine'!$C$2:$C$1199,0)),"",INDEX('Compliance Database'!$G$2:$G$1199,MATCH(105,'Transfer Engine'!$C$2:$C$1199,0)))</f>
        <v>High (explicit)</v>
      </c>
      <c r="H114" s="7" t="str">
        <f>IF(ISNA(MATCH(105,'Transfer Engine'!$C$2:$C$1199,0)),"",INDEX('Compliance Database'!$H$2:$H$1199,MATCH(105,'Transfer Engine'!$C$2:$C$1199,0)))</f>
        <v>Data Sharing</v>
      </c>
      <c r="I114" s="7" t="str">
        <f>IF(ISNA(MATCH(105,'Transfer Engine'!$C$2:$C$1199,0)),"",INDEX('Compliance Database'!$I$2:$I$1199,MATCH(105,'Transfer Engine'!$C$2:$C$1199,0)))</f>
        <v>Personal Information, Financial Data</v>
      </c>
      <c r="J114" s="6" t="str">
        <f>IF(ISNA(MATCH(105,'Transfer Engine'!$C$2:$C$1199,0)),"",INDEX('Compliance Database'!$J$2:$J$1199,MATCH(105,'Transfer Engine'!$C$2:$C$1199,0)))</f>
        <v>APRA</v>
      </c>
      <c r="K114" s="7" t="str">
        <f>IF(ISNA(MATCH(105,'Transfer Engine'!$C$2:$C$1199,0)),"",INDEX('Compliance Database'!$K$2:$K$1199,MATCH(105,'Transfer Engine'!$C$2:$C$1199,0)))</f>
        <v>Regulated entities must formally assign data risk management roles and responsibilities to staff, customers, service providers, and third parties. This includes defining data-specific roles such as data officers, custodians, owners/stewards, and governance functions, as well as risk management and compliance roles. These responsibilities apply to all entities subject to APRA regulation.</v>
      </c>
      <c r="L114" s="7" t="str">
        <f>IF(ISNA(MATCH(105,'Transfer Engine'!$C$2:$C$1199,0)),"",INDEX('Compliance Database'!$L$2:$L$1199,MATCH(105,'Transfer Engine'!$C$2:$C$1199,0)))</f>
        <v>Clear role definitions are critical for DTIAs as they ensure accountability in data transfers and processing, particularly for third parties and cross-border data flows.</v>
      </c>
      <c r="M114" s="7" t="str">
        <f>IF(ISNA(MATCH(105,'Transfer Engine'!$C$2:$C$1199,0)),"",INDEX('Compliance Database'!$M$2:$M$1199,MATCH(105,'Transfer Engine'!$C$2:$C$1199,0)))</f>
        <v>• [Must] Formal roles and responsibilities for data risk management are allocated to appropriately skilled staff
• [Must] Data roles and responsibilities for general staff and data users are defined
• [Must] Data-specific roles and responsibilities, such as data officers, custodians, owners/stewards, and designated business sponsors, are established
• [Must] Governance functions and reporting mechanisms to assess data risk management framework effectiveness are implemented</v>
      </c>
      <c r="N114" s="7" t="str">
        <f>IF(ISNA(MATCH(105,'Transfer Engine'!$C$2:$C$1199,0)),"",INDEX('Compliance Database'!$N$2:$N$1199,MATCH(105,'Transfer Engine'!$C$2:$C$1199,0)))</f>
        <v>• [Must] Risk management, assurance and compliance roles are defined
• [Must] Data risk management framework roles, including maintenance, review, compliance monitoring, training and awareness, are established
• [Must] Responsibilities for data monitoring and management are assigned</v>
      </c>
      <c r="O114" s="7" t="str">
        <f>IF(ISNA(MATCH(105,'Transfer Engine'!$C$2:$C$1199,0)),"",INDEX('Compliance Database'!$O$2:$O$1199,MATCH(105,'Transfer Engine'!$C$2:$C$1199,0)))</f>
        <v>A key element in effective data risk management is the allocation of formal roles and responsibilities (pertaining to data) to appropriately skilled staff. This would typically articulate the data risk management responsibilities of staff, customers, service providers and other third parties.</v>
      </c>
      <c r="P114" s="6" t="str">
        <f>IF(ISNA(MATCH(105,'Transfer Engine'!$C$2:$C$1199,0)),"",HYPERLINK("#Acts!A"&amp;INDEX('Compliance Database'!$P$2:$P$1199,MATCH(105,'Transfer Engine'!$C$2:$C$1199,0)),"Go to Act"))</f>
        <v>Go to Act</v>
      </c>
    </row>
    <row r="115" spans="1:16" ht="172.95" customHeight="1" x14ac:dyDescent="0.3">
      <c r="A115" s="6" t="str">
        <f>IF(ISNA(MATCH(106,'Transfer Engine'!$C$2:$C$1199,0)),"",INDEX('Compliance Database'!$A$2:$A$1199,MATCH(106,'Transfer Engine'!$C$2:$C$1199,0)))</f>
        <v>Australia</v>
      </c>
      <c r="B115" s="6" t="str">
        <f>IF(ISNA(MATCH(106,'Transfer Engine'!$C$2:$C$1199,0)),"",INDEX('Compliance Database'!$B$2:$B$1199,MATCH(106,'Transfer Engine'!$C$2:$C$1199,0)))</f>
        <v>Prudential-Practice-Guide-CPG-235-Managing-Data-Risk_1 (Australia - Row 4)</v>
      </c>
      <c r="C115" s="6" t="str">
        <f>IF(ISNA(MATCH(106,'Transfer Engine'!$C$2:$C$1199,0)),"",INDEX('Compliance Database'!$C$2:$C$1199,MATCH(106,'Transfer Engine'!$C$2:$C$1199,0)))</f>
        <v>24</v>
      </c>
      <c r="D115" s="7" t="str">
        <f>IF(ISNA(MATCH(106,'Transfer Engine'!$C$2:$C$1199,0)),"",INDEX('Compliance Database'!$D$2:$D$1199,MATCH(106,'Transfer Engine'!$C$2:$C$1199,0)))</f>
        <v>Ongoing compliance with data risk management</v>
      </c>
      <c r="E115" s="6" t="str">
        <f>IF(ISNA(MATCH(106,'Transfer Engine'!$C$2:$C$1199,0)),"",INDEX('Compliance Database'!$E$2:$E$1199,MATCH(106,'Transfer Engine'!$C$2:$C$1199,0)))</f>
        <v>10</v>
      </c>
      <c r="F115" s="6" t="str">
        <f>IF(ISNA(MATCH(106,'Transfer Engine'!$C$2:$C$1199,0)),"",INDEX('Compliance Database'!$F$2:$F$1199,MATCH(106,'Transfer Engine'!$C$2:$C$1199,0)))</f>
        <v>High</v>
      </c>
      <c r="G115" s="6" t="str">
        <f>IF(ISNA(MATCH(106,'Transfer Engine'!$C$2:$C$1199,0)),"",INDEX('Compliance Database'!$G$2:$G$1199,MATCH(106,'Transfer Engine'!$C$2:$C$1199,0)))</f>
        <v>High (explicit)</v>
      </c>
      <c r="H115" s="7">
        <f>IF(ISNA(MATCH(106,'Transfer Engine'!$C$2:$C$1199,0)),"",INDEX('Compliance Database'!$H$2:$H$1199,MATCH(106,'Transfer Engine'!$C$2:$C$1199,0)))</f>
        <v>0</v>
      </c>
      <c r="I115" s="7" t="str">
        <f>IF(ISNA(MATCH(106,'Transfer Engine'!$C$2:$C$1199,0)),"",INDEX('Compliance Database'!$I$2:$I$1199,MATCH(106,'Transfer Engine'!$C$2:$C$1199,0)))</f>
        <v>Personal Information, Financial Data</v>
      </c>
      <c r="J115" s="6" t="str">
        <f>IF(ISNA(MATCH(106,'Transfer Engine'!$C$2:$C$1199,0)),"",INDEX('Compliance Database'!$J$2:$J$1199,MATCH(106,'Transfer Engine'!$C$2:$C$1199,0)))</f>
        <v>APRA</v>
      </c>
      <c r="K115" s="7" t="str">
        <f>IF(ISNA(MATCH(106,'Transfer Engine'!$C$2:$C$1199,0)),"",INDEX('Compliance Database'!$K$2:$K$1199,MATCH(106,'Transfer Engine'!$C$2:$C$1199,0)))</f>
        <v>Regulated entities must implement processes to ensure ongoing compliance with regulatory and data risk management requirements. This includes regular checks by the compliance function, reporting mechanisms such as metrics and exceptions, and management reviews to verify adherence to data risk management standards.</v>
      </c>
      <c r="L115" s="7" t="str">
        <f>IF(ISNA(MATCH(106,'Transfer Engine'!$C$2:$C$1199,0)),"",INDEX('Compliance Database'!$L$2:$L$1199,MATCH(106,'Transfer Engine'!$C$2:$C$1199,0)))</f>
        <v>Ongoing compliance mechanisms are essential for DTIAs to ensure that data transfers remain compliant over time, particularly in dynamic regulatory environments.</v>
      </c>
      <c r="M115" s="7" t="str">
        <f>IF(ISNA(MATCH(106,'Transfer Engine'!$C$2:$C$1199,0)),"",INDEX('Compliance Database'!$M$2:$M$1199,MATCH(106,'Transfer Engine'!$C$2:$C$1199,0)))</f>
        <v>• [Must] Regulated entities implement processes to ensure compliance with regulatory and legal requirements and data risk management requirements
• [Must] Ongoing checks by the compliance function (or equivalent) are conducted</v>
      </c>
      <c r="N115" s="7" t="str">
        <f>IF(ISNA(MATCH(106,'Transfer Engine'!$C$2:$C$1199,0)),"",INDEX('Compliance Database'!$N$2:$N$1199,MATCH(106,'Transfer Engine'!$C$2:$C$1199,0)))</f>
        <v>• [Must] Reporting mechanisms (e.g. metrics, exceptions) are established
• [Must] Management reviews are conducted to verify compliance with data risk management requirements</v>
      </c>
      <c r="O115" s="7" t="str">
        <f>IF(ISNA(MATCH(106,'Transfer Engine'!$C$2:$C$1199,0)),"",INDEX('Compliance Database'!$O$2:$O$1199,MATCH(106,'Transfer Engine'!$C$2:$C$1199,0)))</f>
        <v>APRA expects that a regulated entity would implement processes that ensure compliance with regulatory and legal requirements and data risk management requirements. This would typically include ongoing checks by the compliance function (or equivalent), supported by reporting mechanisms (e.g. metrics, exceptions) and management reviews.</v>
      </c>
      <c r="P115" s="6" t="str">
        <f>IF(ISNA(MATCH(106,'Transfer Engine'!$C$2:$C$1199,0)),"",HYPERLINK("#Acts!A"&amp;INDEX('Compliance Database'!$P$2:$P$1199,MATCH(106,'Transfer Engine'!$C$2:$C$1199,0)),"Go to Act"))</f>
        <v>Go to Act</v>
      </c>
    </row>
    <row r="116" spans="1:16" ht="172.95" customHeight="1" x14ac:dyDescent="0.3">
      <c r="A116" s="6" t="str">
        <f>IF(ISNA(MATCH(107,'Transfer Engine'!$C$2:$C$1199,0)),"",INDEX('Compliance Database'!$A$2:$A$1199,MATCH(107,'Transfer Engine'!$C$2:$C$1199,0)))</f>
        <v>Australia</v>
      </c>
      <c r="B116" s="6" t="str">
        <f>IF(ISNA(MATCH(107,'Transfer Engine'!$C$2:$C$1199,0)),"",INDEX('Compliance Database'!$B$2:$B$1199,MATCH(107,'Transfer Engine'!$C$2:$C$1199,0)))</f>
        <v>Prudential-Practice-Guide-CPG-235-Managing-Data-Risk_1 (Australia - Row 4)</v>
      </c>
      <c r="C116" s="6" t="str">
        <f>IF(ISNA(MATCH(107,'Transfer Engine'!$C$2:$C$1199,0)),"",INDEX('Compliance Database'!$C$2:$C$1199,MATCH(107,'Transfer Engine'!$C$2:$C$1199,0)))</f>
        <v>27</v>
      </c>
      <c r="D116" s="7" t="str">
        <f>IF(ISNA(MATCH(107,'Transfer Engine'!$C$2:$C$1199,0)),"",INDEX('Compliance Database'!$D$2:$D$1199,MATCH(107,'Transfer Engine'!$C$2:$C$1199,0)))</f>
        <v>Understanding data characteristics for risk management</v>
      </c>
      <c r="E116" s="6" t="str">
        <f>IF(ISNA(MATCH(107,'Transfer Engine'!$C$2:$C$1199,0)),"",INDEX('Compliance Database'!$E$2:$E$1199,MATCH(107,'Transfer Engine'!$C$2:$C$1199,0)))</f>
        <v>10</v>
      </c>
      <c r="F116" s="6" t="str">
        <f>IF(ISNA(MATCH(107,'Transfer Engine'!$C$2:$C$1199,0)),"",INDEX('Compliance Database'!$F$2:$F$1199,MATCH(107,'Transfer Engine'!$C$2:$C$1199,0)))</f>
        <v>High</v>
      </c>
      <c r="G116" s="6" t="str">
        <f>IF(ISNA(MATCH(107,'Transfer Engine'!$C$2:$C$1199,0)),"",INDEX('Compliance Database'!$G$2:$G$1199,MATCH(107,'Transfer Engine'!$C$2:$C$1199,0)))</f>
        <v>High (explicit)</v>
      </c>
      <c r="H116" s="7">
        <f>IF(ISNA(MATCH(107,'Transfer Engine'!$C$2:$C$1199,0)),"",INDEX('Compliance Database'!$H$2:$H$1199,MATCH(107,'Transfer Engine'!$C$2:$C$1199,0)))</f>
        <v>0</v>
      </c>
      <c r="I116" s="7" t="str">
        <f>IF(ISNA(MATCH(107,'Transfer Engine'!$C$2:$C$1199,0)),"",INDEX('Compliance Database'!$I$2:$I$1199,MATCH(107,'Transfer Engine'!$C$2:$C$1199,0)))</f>
        <v>Personal Information, Financial Data</v>
      </c>
      <c r="J116" s="6" t="str">
        <f>IF(ISNA(MATCH(107,'Transfer Engine'!$C$2:$C$1199,0)),"",INDEX('Compliance Database'!$J$2:$J$1199,MATCH(107,'Transfer Engine'!$C$2:$C$1199,0)))</f>
        <v>APRA</v>
      </c>
      <c r="K116" s="7" t="str">
        <f>IF(ISNA(MATCH(107,'Transfer Engine'!$C$2:$C$1199,0)),"",INDEX('Compliance Database'!$K$2:$K$1199,MATCH(107,'Transfer Engine'!$C$2:$C$1199,0)))</f>
        <v>Regulated entities must understand the nature and characteristics of data used for business purposes, assess data quality, map data flows (data lineage), and identify data risks and associated controls. These requirements apply to all entities subject to APRA regulation.</v>
      </c>
      <c r="L116" s="7" t="str">
        <f>IF(ISNA(MATCH(107,'Transfer Engine'!$C$2:$C$1199,0)),"",INDEX('Compliance Database'!$L$2:$L$1199,MATCH(107,'Transfer Engine'!$C$2:$C$1199,0)))</f>
        <v>Understanding data characteristics is critical for DTIAs as it helps identify data risks and appropriate safeguards when transferring data across borders.</v>
      </c>
      <c r="M116" s="7" t="str">
        <f>IF(ISNA(MATCH(107,'Transfer Engine'!$C$2:$C$1199,0)),"",INDEX('Compliance Database'!$M$2:$M$1199,MATCH(107,'Transfer Engine'!$C$2:$C$1199,0)))</f>
        <v>• [Must] Regulated entities understand the nature and characteristics of the data used for business purposes
• [Must] Regulated entities are able to assess the quality of the data</v>
      </c>
      <c r="N116" s="7" t="str">
        <f>IF(ISNA(MATCH(107,'Transfer Engine'!$C$2:$C$1199,0)),"",INDEX('Compliance Database'!$N$2:$N$1199,MATCH(107,'Transfer Engine'!$C$2:$C$1199,0)))</f>
        <v>• [Must] Regulated entities understand the flow of data and processing undertaken (data lineage)
• [Must] Regulated entities understand the data risks and associated controls</v>
      </c>
      <c r="O116" s="7" t="str">
        <f>IF(ISNA(MATCH(107,'Transfer Engine'!$C$2:$C$1199,0)),"",INDEX('Compliance Database'!$O$2:$O$1199,MATCH(107,'Transfer Engine'!$C$2:$C$1199,0)))</f>
        <v>In order to ensure that data risk management is effective, it is important that a regulated entity: (a) understands the nature and characteristics of the data used for business purposes; (b) is able to assess the quality of the data; (c) understands the flow of data and processing undertaken (i.e. data lineage); and (d) understands the data risks and associated controls.</v>
      </c>
      <c r="P116" s="6" t="str">
        <f>IF(ISNA(MATCH(107,'Transfer Engine'!$C$2:$C$1199,0)),"",HYPERLINK("#Acts!A"&amp;INDEX('Compliance Database'!$P$2:$P$1199,MATCH(107,'Transfer Engine'!$C$2:$C$1199,0)),"Go to Act"))</f>
        <v>Go to Act</v>
      </c>
    </row>
    <row r="117" spans="1:16" ht="172.95" customHeight="1" x14ac:dyDescent="0.3">
      <c r="A117" s="6" t="str">
        <f>IF(ISNA(MATCH(108,'Transfer Engine'!$C$2:$C$1199,0)),"",INDEX('Compliance Database'!$A$2:$A$1199,MATCH(108,'Transfer Engine'!$C$2:$C$1199,0)))</f>
        <v>Australia</v>
      </c>
      <c r="B117" s="6" t="str">
        <f>IF(ISNA(MATCH(108,'Transfer Engine'!$C$2:$C$1199,0)),"",INDEX('Compliance Database'!$B$2:$B$1199,MATCH(108,'Transfer Engine'!$C$2:$C$1199,0)))</f>
        <v>Prudential-Practice-Guide-CPG-235-Managing-Data-Risk_1 (Australia - Row 4)</v>
      </c>
      <c r="C117" s="6" t="str">
        <f>IF(ISNA(MATCH(108,'Transfer Engine'!$C$2:$C$1199,0)),"",INDEX('Compliance Database'!$C$2:$C$1199,MATCH(108,'Transfer Engine'!$C$2:$C$1199,0)))</f>
        <v>28</v>
      </c>
      <c r="D117" s="7" t="str">
        <f>IF(ISNA(MATCH(108,'Transfer Engine'!$C$2:$C$1199,0)),"",INDEX('Compliance Database'!$D$2:$D$1199,MATCH(108,'Transfer Engine'!$C$2:$C$1199,0)))</f>
        <v>Data architecture practices for risk management</v>
      </c>
      <c r="E117" s="6" t="str">
        <f>IF(ISNA(MATCH(108,'Transfer Engine'!$C$2:$C$1199,0)),"",INDEX('Compliance Database'!$E$2:$E$1199,MATCH(108,'Transfer Engine'!$C$2:$C$1199,0)))</f>
        <v>10–11</v>
      </c>
      <c r="F117" s="6" t="str">
        <f>IF(ISNA(MATCH(108,'Transfer Engine'!$C$2:$C$1199,0)),"",INDEX('Compliance Database'!$F$2:$F$1199,MATCH(108,'Transfer Engine'!$C$2:$C$1199,0)))</f>
        <v>High</v>
      </c>
      <c r="G117" s="6" t="str">
        <f>IF(ISNA(MATCH(108,'Transfer Engine'!$C$2:$C$1199,0)),"",INDEX('Compliance Database'!$G$2:$G$1199,MATCH(108,'Transfer Engine'!$C$2:$C$1199,0)))</f>
        <v>High (explicit)</v>
      </c>
      <c r="H117" s="7" t="str">
        <f>IF(ISNA(MATCH(108,'Transfer Engine'!$C$2:$C$1199,0)),"",INDEX('Compliance Database'!$H$2:$H$1199,MATCH(108,'Transfer Engine'!$C$2:$C$1199,0)))</f>
        <v>Data Storage</v>
      </c>
      <c r="I117" s="7" t="str">
        <f>IF(ISNA(MATCH(108,'Transfer Engine'!$C$2:$C$1199,0)),"",INDEX('Compliance Database'!$I$2:$I$1199,MATCH(108,'Transfer Engine'!$C$2:$C$1199,0)))</f>
        <v>Personal Information, Financial Data</v>
      </c>
      <c r="J117" s="6" t="str">
        <f>IF(ISNA(MATCH(108,'Transfer Engine'!$C$2:$C$1199,0)),"",INDEX('Compliance Database'!$J$2:$J$1199,MATCH(108,'Transfer Engine'!$C$2:$C$1199,0)))</f>
        <v>APRA</v>
      </c>
      <c r="K117" s="7" t="str">
        <f>IF(ISNA(MATCH(108,'Transfer Engine'!$C$2:$C$1199,0)),"",INDEX('Compliance Database'!$K$2:$K$1199,MATCH(108,'Transfer Engine'!$C$2:$C$1199,0)))</f>
        <v>Regulated entities can use data architecture practices to support data risk management, including defining data strategy, metadata, technical diagrams, data lifecycle controls, and standards for systems and data repositories. These practices help ensure data is captured, processed, retained, published, and disposed of securely.</v>
      </c>
      <c r="L117" s="7" t="str">
        <f>IF(ISNA(MATCH(108,'Transfer Engine'!$C$2:$C$1199,0)),"",INDEX('Compliance Database'!$L$2:$L$1199,MATCH(108,'Transfer Engine'!$C$2:$C$1199,0)))</f>
        <v>Data architecture practices provide DTIAs with a framework to assess data flows and controls, particularly important for cross-border data transfers involving multiple systems and third parties.</v>
      </c>
      <c r="M117" s="7" t="str">
        <f>IF(ISNA(MATCH(108,'Transfer Engine'!$C$2:$C$1199,0)),"",INDEX('Compliance Database'!$M$2:$M$1199,MATCH(108,'Transfer Engine'!$C$2:$C$1199,0)))</f>
        <v>• [May] Data architecture practices assist in understanding how data is captured, processed, retained, published and disposed of
• [May] Data strategy is a component of the broader business and information technology strategies
• [May] Metadata, including definitions, descriptions, sources, usages, update mechanisms, owners, authorised users, criticality, sensitivity and quality requirements, is documented</v>
      </c>
      <c r="N117" s="7" t="str">
        <f>IF(ISNA(MATCH(108,'Transfer Engine'!$C$2:$C$1199,0)),"",INDEX('Compliance Database'!$N$2:$N$1199,MATCH(108,'Transfer Engine'!$C$2:$C$1199,0)))</f>
        <v>• [May] Diagrams and detailed technical information describing data structure, flow, systems and repositories are maintained
• [May] Controls necessary across the data life-cycle are implemented
• [May] Standards and guidelines for systems, data repositories, interfaces and data controls are established</v>
      </c>
      <c r="O117" s="7" t="str">
        <f>IF(ISNA(MATCH(108,'Transfer Engine'!$C$2:$C$1199,0)),"",INDEX('Compliance Database'!$O$2:$O$1199,MATCH(108,'Transfer Engine'!$C$2:$C$1199,0)))</f>
        <v>Data risk management could be supported by the use of data architecture practices. These practices assist in understanding how data is captured, processed, retained, published and disposed of.</v>
      </c>
      <c r="P117" s="6" t="str">
        <f>IF(ISNA(MATCH(108,'Transfer Engine'!$C$2:$C$1199,0)),"",HYPERLINK("#Acts!A"&amp;INDEX('Compliance Database'!$P$2:$P$1199,MATCH(108,'Transfer Engine'!$C$2:$C$1199,0)),"Go to Act"))</f>
        <v>Go to Act</v>
      </c>
    </row>
    <row r="118" spans="1:16" ht="172.95" customHeight="1" x14ac:dyDescent="0.3">
      <c r="A118" s="6" t="str">
        <f>IF(ISNA(MATCH(109,'Transfer Engine'!$C$2:$C$1199,0)),"",INDEX('Compliance Database'!$A$2:$A$1199,MATCH(109,'Transfer Engine'!$C$2:$C$1199,0)))</f>
        <v>Australia</v>
      </c>
      <c r="B118" s="6" t="str">
        <f>IF(ISNA(MATCH(109,'Transfer Engine'!$C$2:$C$1199,0)),"",INDEX('Compliance Database'!$B$2:$B$1199,MATCH(109,'Transfer Engine'!$C$2:$C$1199,0)))</f>
        <v>Prudential-Practice-Guide-CPG-235-Managing-Data-Risk_1 (Australia - Row 4)</v>
      </c>
      <c r="C118" s="6" t="str">
        <f>IF(ISNA(MATCH(109,'Transfer Engine'!$C$2:$C$1199,0)),"",INDEX('Compliance Database'!$C$2:$C$1199,MATCH(109,'Transfer Engine'!$C$2:$C$1199,0)))</f>
        <v>33</v>
      </c>
      <c r="D118" s="7" t="str">
        <f>IF(ISNA(MATCH(109,'Transfer Engine'!$C$2:$C$1199,0)),"",INDEX('Compliance Database'!$D$2:$D$1199,MATCH(109,'Transfer Engine'!$C$2:$C$1199,0)))</f>
        <v>Data risk management across the data lifecycle</v>
      </c>
      <c r="E118" s="6" t="str">
        <f>IF(ISNA(MATCH(109,'Transfer Engine'!$C$2:$C$1199,0)),"",INDEX('Compliance Database'!$E$2:$E$1199,MATCH(109,'Transfer Engine'!$C$2:$C$1199,0)))</f>
        <v>11</v>
      </c>
      <c r="F118" s="6" t="str">
        <f>IF(ISNA(MATCH(109,'Transfer Engine'!$C$2:$C$1199,0)),"",INDEX('Compliance Database'!$F$2:$F$1199,MATCH(109,'Transfer Engine'!$C$2:$C$1199,0)))</f>
        <v>High</v>
      </c>
      <c r="G118" s="6" t="str">
        <f>IF(ISNA(MATCH(109,'Transfer Engine'!$C$2:$C$1199,0)),"",INDEX('Compliance Database'!$G$2:$G$1199,MATCH(109,'Transfer Engine'!$C$2:$C$1199,0)))</f>
        <v>High (explicit)</v>
      </c>
      <c r="H118" s="7" t="str">
        <f>IF(ISNA(MATCH(109,'Transfer Engine'!$C$2:$C$1199,0)),"",INDEX('Compliance Database'!$H$2:$H$1199,MATCH(109,'Transfer Engine'!$C$2:$C$1199,0)))</f>
        <v>Data Storage</v>
      </c>
      <c r="I118" s="7" t="str">
        <f>IF(ISNA(MATCH(109,'Transfer Engine'!$C$2:$C$1199,0)),"",INDEX('Compliance Database'!$I$2:$I$1199,MATCH(109,'Transfer Engine'!$C$2:$C$1199,0)))</f>
        <v>Personal Information, Financial Data</v>
      </c>
      <c r="J118" s="6" t="str">
        <f>IF(ISNA(MATCH(109,'Transfer Engine'!$C$2:$C$1199,0)),"",INDEX('Compliance Database'!$J$2:$J$1199,MATCH(109,'Transfer Engine'!$C$2:$C$1199,0)))</f>
        <v>APRA</v>
      </c>
      <c r="K118" s="7" t="str">
        <f>IF(ISNA(MATCH(109,'Transfer Engine'!$C$2:$C$1199,0)),"",INDEX('Compliance Database'!$K$2:$K$1199,MATCH(109,'Transfer Engine'!$C$2:$C$1199,0)))</f>
        <v>Regulated entities must ensure data risk is considered at each stage of the data lifecycle (capture, processing, retention, publication, disposal) with appropriate controls implemented to meet data requirements. This applies to all entities subject to APRA regulation.</v>
      </c>
      <c r="L118" s="7" t="str">
        <f>IF(ISNA(MATCH(109,'Transfer Engine'!$C$2:$C$1199,0)),"",INDEX('Compliance Database'!$L$2:$L$1199,MATCH(109,'Transfer Engine'!$C$2:$C$1199,0)))</f>
        <v>This section is critical for DTIAs as it mandates comprehensive data lifecycle controls, which directly impact cross-border data transfers and storage.</v>
      </c>
      <c r="M118" s="7" t="str">
        <f>IF(ISNA(MATCH(109,'Transfer Engine'!$C$2:$C$1199,0)),"",INDEX('Compliance Database'!$M$2:$M$1199,MATCH(109,'Transfer Engine'!$C$2:$C$1199,0)))</f>
        <v>• [Must] Data risk is considered at each stage of the data lifecycle</v>
      </c>
      <c r="N118" s="7" t="str">
        <f>IF(ISNA(MATCH(109,'Transfer Engine'!$C$2:$C$1199,0)),"",INDEX('Compliance Database'!$N$2:$N$1199,MATCH(109,'Transfer Engine'!$C$2:$C$1199,0)))</f>
        <v>• [Must] Appropriate controls are implemented to ensure data requirements are met at each lifecycle stage</v>
      </c>
      <c r="O118" s="7" t="str">
        <f>IF(ISNA(MATCH(109,'Transfer Engine'!$C$2:$C$1199,0)),"",INDEX('Compliance Database'!$O$2:$O$1199,MATCH(109,'Transfer Engine'!$C$2:$C$1199,0)))</f>
        <v>APRA envisages that a regulated entity would ensure that data risk is considered at each stage of its life-cycle and that appropriate controls are implemented to ensure that data requirements are met. Data-related life-cycle stages typically include data capture, processing, retention, publication and disposal.</v>
      </c>
      <c r="P118" s="6" t="str">
        <f>IF(ISNA(MATCH(109,'Transfer Engine'!$C$2:$C$1199,0)),"",HYPERLINK("#Acts!A"&amp;INDEX('Compliance Database'!$P$2:$P$1199,MATCH(109,'Transfer Engine'!$C$2:$C$1199,0)),"Go to Act"))</f>
        <v>Go to Act</v>
      </c>
    </row>
    <row r="119" spans="1:16" ht="172.95" customHeight="1" x14ac:dyDescent="0.3">
      <c r="A119" s="6" t="str">
        <f>IF(ISNA(MATCH(110,'Transfer Engine'!$C$2:$C$1199,0)),"",INDEX('Compliance Database'!$A$2:$A$1199,MATCH(110,'Transfer Engine'!$C$2:$C$1199,0)))</f>
        <v>Australia</v>
      </c>
      <c r="B119" s="6" t="str">
        <f>IF(ISNA(MATCH(110,'Transfer Engine'!$C$2:$C$1199,0)),"",INDEX('Compliance Database'!$B$2:$B$1199,MATCH(110,'Transfer Engine'!$C$2:$C$1199,0)))</f>
        <v>Prudential-Practice-Guide-CPG-235-Managing-Data-Risk_1 (Australia - Row 4)</v>
      </c>
      <c r="C119" s="6" t="str">
        <f>IF(ISNA(MATCH(110,'Transfer Engine'!$C$2:$C$1199,0)),"",INDEX('Compliance Database'!$C$2:$C$1199,MATCH(110,'Transfer Engine'!$C$2:$C$1199,0)))</f>
        <v>34</v>
      </c>
      <c r="D119" s="7" t="str">
        <f>IF(ISNA(MATCH(110,'Transfer Engine'!$C$2:$C$1199,0)),"",INDEX('Compliance Database'!$D$2:$D$1199,MATCH(110,'Transfer Engine'!$C$2:$C$1199,0)))</f>
        <v>Data capture controls for quality validation</v>
      </c>
      <c r="E119" s="6" t="str">
        <f>IF(ISNA(MATCH(110,'Transfer Engine'!$C$2:$C$1199,0)),"",INDEX('Compliance Database'!$E$2:$E$1199,MATCH(110,'Transfer Engine'!$C$2:$C$1199,0)))</f>
        <v>11</v>
      </c>
      <c r="F119" s="6" t="str">
        <f>IF(ISNA(MATCH(110,'Transfer Engine'!$C$2:$C$1199,0)),"",INDEX('Compliance Database'!$F$2:$F$1199,MATCH(110,'Transfer Engine'!$C$2:$C$1199,0)))</f>
        <v>Medium</v>
      </c>
      <c r="G119" s="6" t="str">
        <f>IF(ISNA(MATCH(110,'Transfer Engine'!$C$2:$C$1199,0)),"",INDEX('Compliance Database'!$G$2:$G$1199,MATCH(110,'Transfer Engine'!$C$2:$C$1199,0)))</f>
        <v>High (explicit)</v>
      </c>
      <c r="H119" s="7">
        <f>IF(ISNA(MATCH(110,'Transfer Engine'!$C$2:$C$1199,0)),"",INDEX('Compliance Database'!$H$2:$H$1199,MATCH(110,'Transfer Engine'!$C$2:$C$1199,0)))</f>
        <v>0</v>
      </c>
      <c r="I119" s="7" t="str">
        <f>IF(ISNA(MATCH(110,'Transfer Engine'!$C$2:$C$1199,0)),"",INDEX('Compliance Database'!$I$2:$I$1199,MATCH(110,'Transfer Engine'!$C$2:$C$1199,0)))</f>
        <v>Personal Information</v>
      </c>
      <c r="J119" s="6" t="str">
        <f>IF(ISNA(MATCH(110,'Transfer Engine'!$C$2:$C$1199,0)),"",INDEX('Compliance Database'!$J$2:$J$1199,MATCH(110,'Transfer Engine'!$C$2:$C$1199,0)))</f>
        <v>APRA</v>
      </c>
      <c r="K119" s="7" t="str">
        <f>IF(ISNA(MATCH(110,'Transfer Engine'!$C$2:$C$1199,0)),"",INDEX('Compliance Database'!$K$2:$K$1199,MATCH(110,'Transfer Engine'!$C$2:$C$1199,0)))</f>
        <v>This section mandates that data capture controls, including manual entry and automated feeds, must ensure new data meets quality standards. It requires validation mechanisms before data acceptance, error detection for automated feeds, and specifications for handling quality issues in agreements with internal and external parties. These controls apply to regulated entities handling data processing activities.</v>
      </c>
      <c r="L119" s="7" t="str">
        <f>IF(ISNA(MATCH(110,'Transfer Engine'!$C$2:$C$1199,0)),"",INDEX('Compliance Database'!$L$2:$L$1199,MATCH(110,'Transfer Engine'!$C$2:$C$1199,0)))</f>
        <v>Data capture controls ensure data quality before transfer or processing, critical for maintaining data integrity during cross-border data flows.</v>
      </c>
      <c r="M119" s="7" t="str">
        <f>IF(ISNA(MATCH(110,'Transfer Engine'!$C$2:$C$1199,0)),"",INDEX('Compliance Database'!$M$2:$M$1199,MATCH(110,'Transfer Engine'!$C$2:$C$1199,0)))</f>
        <v>• [Must] User interfaces must conduct appropriate validation before data is accepted
• [Must] Mechanisms must detect if automated data feeds are functioning as expected and prevent erroneous data from progressing beyond capture</v>
      </c>
      <c r="N119" s="7" t="str">
        <f>IF(ISNA(MATCH(110,'Transfer Engine'!$C$2:$C$1199,0)),"",INDEX('Compliance Database'!$N$2:$N$1199,MATCH(110,'Transfer Engine'!$C$2:$C$1199,0)))</f>
        <v>• [Must] Specification of data quality requirements and mechanisms for handling data quality issues must be included in agreements with internal and external parties</v>
      </c>
      <c r="O119" s="7" t="str">
        <f>IF(ISNA(MATCH(110,'Transfer Engine'!$C$2:$C$1199,0)),"",INDEX('Compliance Database'!$O$2:$O$1199,MATCH(110,'Transfer Engine'!$C$2:$C$1199,0)))</f>
        <v>Data capture controls, including manual entry of data as well as automated data feeds from internal business units and external sources, would typically be designed to ensure that newly introduced data meets data quality requirements.</v>
      </c>
      <c r="P119" s="6" t="str">
        <f>IF(ISNA(MATCH(110,'Transfer Engine'!$C$2:$C$1199,0)),"",HYPERLINK("#Acts!A"&amp;INDEX('Compliance Database'!$P$2:$P$1199,MATCH(110,'Transfer Engine'!$C$2:$C$1199,0)),"Go to Act"))</f>
        <v>Go to Act</v>
      </c>
    </row>
    <row r="120" spans="1:16" ht="172.95" customHeight="1" x14ac:dyDescent="0.3">
      <c r="A120" s="6" t="str">
        <f>IF(ISNA(MATCH(111,'Transfer Engine'!$C$2:$C$1199,0)),"",INDEX('Compliance Database'!$A$2:$A$1199,MATCH(111,'Transfer Engine'!$C$2:$C$1199,0)))</f>
        <v>Australia</v>
      </c>
      <c r="B120" s="6" t="str">
        <f>IF(ISNA(MATCH(111,'Transfer Engine'!$C$2:$C$1199,0)),"",INDEX('Compliance Database'!$B$2:$B$1199,MATCH(111,'Transfer Engine'!$C$2:$C$1199,0)))</f>
        <v>Prudential-Practice-Guide-CPG-235-Managing-Data-Risk_1 (Australia - Row 4)</v>
      </c>
      <c r="C120" s="6" t="str">
        <f>IF(ISNA(MATCH(111,'Transfer Engine'!$C$2:$C$1199,0)),"",INDEX('Compliance Database'!$C$2:$C$1199,MATCH(111,'Transfer Engine'!$C$2:$C$1199,0)))</f>
        <v>35</v>
      </c>
      <c r="D120" s="7" t="str">
        <f>IF(ISNA(MATCH(111,'Transfer Engine'!$C$2:$C$1199,0)),"",INDEX('Compliance Database'!$D$2:$D$1199,MATCH(111,'Transfer Engine'!$C$2:$C$1199,0)))</f>
        <v>Data processing quality controls for regulatory compliance</v>
      </c>
      <c r="E120" s="6" t="str">
        <f>IF(ISNA(MATCH(111,'Transfer Engine'!$C$2:$C$1199,0)),"",INDEX('Compliance Database'!$E$2:$E$1199,MATCH(111,'Transfer Engine'!$C$2:$C$1199,0)))</f>
        <v>11–12</v>
      </c>
      <c r="F120" s="6" t="str">
        <f>IF(ISNA(MATCH(111,'Transfer Engine'!$C$2:$C$1199,0)),"",INDEX('Compliance Database'!$F$2:$F$1199,MATCH(111,'Transfer Engine'!$C$2:$C$1199,0)))</f>
        <v>High</v>
      </c>
      <c r="G120" s="6" t="str">
        <f>IF(ISNA(MATCH(111,'Transfer Engine'!$C$2:$C$1199,0)),"",INDEX('Compliance Database'!$G$2:$G$1199,MATCH(111,'Transfer Engine'!$C$2:$C$1199,0)))</f>
        <v>High (explicit)</v>
      </c>
      <c r="H120" s="7">
        <f>IF(ISNA(MATCH(111,'Transfer Engine'!$C$2:$C$1199,0)),"",INDEX('Compliance Database'!$H$2:$H$1199,MATCH(111,'Transfer Engine'!$C$2:$C$1199,0)))</f>
        <v>0</v>
      </c>
      <c r="I120" s="7" t="str">
        <f>IF(ISNA(MATCH(111,'Transfer Engine'!$C$2:$C$1199,0)),"",INDEX('Compliance Database'!$I$2:$I$1199,MATCH(111,'Transfer Engine'!$C$2:$C$1199,0)))</f>
        <v>Personal Information</v>
      </c>
      <c r="J120" s="6" t="str">
        <f>IF(ISNA(MATCH(111,'Transfer Engine'!$C$2:$C$1199,0)),"",INDEX('Compliance Database'!$J$2:$J$1199,MATCH(111,'Transfer Engine'!$C$2:$C$1199,0)))</f>
        <v>APRA</v>
      </c>
      <c r="K120" s="7" t="str">
        <f>IF(ISNA(MATCH(111,'Transfer Engine'!$C$2:$C$1199,0)),"",INDEX('Compliance Database'!$K$2:$K$1199,MATCH(111,'Transfer Engine'!$C$2:$C$1199,0)))</f>
        <v>Regulated entities must implement controls to ensure data processing and outputs continue meeting quality requirements. This includes managing data integration, ensuring changes to production environments maintain quality through approved methodologies, exception handling for timely issue resolution, and error-handling mechanisms like backups and rollbacks. These controls apply to entities processing data for regulatory purposes.</v>
      </c>
      <c r="L120" s="7" t="str">
        <f>IF(ISNA(MATCH(111,'Transfer Engine'!$C$2:$C$1199,0)),"",INDEX('Compliance Database'!$L$2:$L$1199,MATCH(111,'Transfer Engine'!$C$2:$C$1199,0)))</f>
        <v>Data processing quality controls prevent downstream data issues during cross-border transfers by ensuring consistent data quality through integrated validation and error recovery mechanisms.</v>
      </c>
      <c r="M120" s="7" t="str">
        <f>IF(ISNA(MATCH(111,'Transfer Engine'!$C$2:$C$1199,0)),"",INDEX('Compliance Database'!$M$2:$M$1199,MATCH(111,'Transfer Engine'!$C$2:$C$1199,0)))</f>
        <v>• [Must] Controls must manage data integration to handle extraction, transformation and loading mechanisms
• [Must] Acquisition and implementation via approved development, change and project management methodologies must ensure data quality is not compromised by production environment changes</v>
      </c>
      <c r="N120" s="7" t="str">
        <f>IF(ISNA(MATCH(111,'Transfer Engine'!$C$2:$C$1199,0)),"",INDEX('Compliance Database'!$N$2:$N$1199,MATCH(111,'Transfer Engine'!$C$2:$C$1199,0)))</f>
        <v>• [Must] Exception handling must identify and respond to data quality issues in a timely manner
• [Must] Error-handling must ensure data can be restored or corrected to a known level of data quality through mechanisms like database checkpoints, rollbacks, backups, and re-runnable processes</v>
      </c>
      <c r="O120" s="7" t="str">
        <f>IF(ISNA(MATCH(111,'Transfer Engine'!$C$2:$C$1199,0)),"",INDEX('Compliance Database'!$O$2:$O$1199,MATCH(111,'Transfer Engine'!$C$2:$C$1199,0)))</f>
        <v>A regulated entity would typically implement controls to ensure that data processing (the application of business rules to data, including regulatory and legal requirements) and the output generated continue to meet data quality requirements.</v>
      </c>
      <c r="P120" s="6" t="str">
        <f>IF(ISNA(MATCH(111,'Transfer Engine'!$C$2:$C$1199,0)),"",HYPERLINK("#Acts!A"&amp;INDEX('Compliance Database'!$P$2:$P$1199,MATCH(111,'Transfer Engine'!$C$2:$C$1199,0)),"Go to Act"))</f>
        <v>Go to Act</v>
      </c>
    </row>
    <row r="121" spans="1:16" ht="172.95" customHeight="1" x14ac:dyDescent="0.3">
      <c r="A121" s="6" t="str">
        <f>IF(ISNA(MATCH(112,'Transfer Engine'!$C$2:$C$1199,0)),"",INDEX('Compliance Database'!$A$2:$A$1199,MATCH(112,'Transfer Engine'!$C$2:$C$1199,0)))</f>
        <v>Australia</v>
      </c>
      <c r="B121" s="6" t="str">
        <f>IF(ISNA(MATCH(112,'Transfer Engine'!$C$2:$C$1199,0)),"",INDEX('Compliance Database'!$B$2:$B$1199,MATCH(112,'Transfer Engine'!$C$2:$C$1199,0)))</f>
        <v>Prudential-Practice-Guide-CPG-235-Managing-Data-Risk_1 (Australia - Row 4)</v>
      </c>
      <c r="C121" s="6" t="str">
        <f>IF(ISNA(MATCH(112,'Transfer Engine'!$C$2:$C$1199,0)),"",INDEX('Compliance Database'!$C$2:$C$1199,MATCH(112,'Transfer Engine'!$C$2:$C$1199,0)))</f>
        <v>36</v>
      </c>
      <c r="D121" s="7" t="str">
        <f>IF(ISNA(MATCH(112,'Transfer Engine'!$C$2:$C$1199,0)),"",INDEX('Compliance Database'!$D$2:$D$1199,MATCH(112,'Transfer Engine'!$C$2:$C$1199,0)))</f>
        <v>Data retention controls for offshore hosting risks</v>
      </c>
      <c r="E121" s="6" t="str">
        <f>IF(ISNA(MATCH(112,'Transfer Engine'!$C$2:$C$1199,0)),"",INDEX('Compliance Database'!$E$2:$E$1199,MATCH(112,'Transfer Engine'!$C$2:$C$1199,0)))</f>
        <v>12</v>
      </c>
      <c r="F121" s="6" t="str">
        <f>IF(ISNA(MATCH(112,'Transfer Engine'!$C$2:$C$1199,0)),"",INDEX('Compliance Database'!$F$2:$F$1199,MATCH(112,'Transfer Engine'!$C$2:$C$1199,0)))</f>
        <v>High</v>
      </c>
      <c r="G121" s="6" t="str">
        <f>IF(ISNA(MATCH(112,'Transfer Engine'!$C$2:$C$1199,0)),"",INDEX('Compliance Database'!$G$2:$G$1199,MATCH(112,'Transfer Engine'!$C$2:$C$1199,0)))</f>
        <v>High (explicit)</v>
      </c>
      <c r="H121" s="7" t="str">
        <f>IF(ISNA(MATCH(112,'Transfer Engine'!$C$2:$C$1199,0)),"",INDEX('Compliance Database'!$H$2:$H$1199,MATCH(112,'Transfer Engine'!$C$2:$C$1199,0)))</f>
        <v>Data Storage</v>
      </c>
      <c r="I121" s="7" t="str">
        <f>IF(ISNA(MATCH(112,'Transfer Engine'!$C$2:$C$1199,0)),"",INDEX('Compliance Database'!$I$2:$I$1199,MATCH(112,'Transfer Engine'!$C$2:$C$1199,0)))</f>
        <v>Personal Information</v>
      </c>
      <c r="J121" s="6" t="str">
        <f>IF(ISNA(MATCH(112,'Transfer Engine'!$C$2:$C$1199,0)),"",INDEX('Compliance Database'!$J$2:$J$1199,MATCH(112,'Transfer Engine'!$C$2:$C$1199,0)))</f>
        <v>APRA</v>
      </c>
      <c r="K121" s="7" t="str">
        <f>IF(ISNA(MATCH(112,'Transfer Engine'!$C$2:$C$1199,0)),"",INDEX('Compliance Database'!$K$2:$K$1199,MATCH(112,'Transfer Engine'!$C$2:$C$1199,0)))</f>
        <v>Data retention controls must address risks from data storage, including offshore hosting and outsourcing. These controls ensure data requirements are not compromised by storage-related risks, with specific guidance provided by APRA's prudential standards on security, business continuity, and outsourcing. This applies to regulated entities managing data storage.</v>
      </c>
      <c r="L121" s="7" t="str">
        <f>IF(ISNA(MATCH(112,'Transfer Engine'!$C$2:$C$1199,0)),"",INDEX('Compliance Database'!$L$2:$L$1199,MATCH(112,'Transfer Engine'!$C$2:$C$1199,0)))</f>
        <v>Data retention controls mitigate risks associated with offshore data storage and outsourcing, critical for ensuring data integrity during cross-border data transfers.</v>
      </c>
      <c r="M121" s="7" t="str">
        <f>IF(ISNA(MATCH(112,'Transfer Engine'!$C$2:$C$1199,0)),"",INDEX('Compliance Database'!$M$2:$M$1199,MATCH(112,'Transfer Engine'!$C$2:$C$1199,0)))</f>
        <v>• [Must] Data retention controls must ensure data requirements are not compromised as a result of risks associated with storage, including offshore hosting and outsourcing</v>
      </c>
      <c r="N121" s="7">
        <f>IF(ISNA(MATCH(112,'Transfer Engine'!$C$2:$C$1199,0)),"",INDEX('Compliance Database'!$N$2:$N$1199,MATCH(112,'Transfer Engine'!$C$2:$C$1199,0)))</f>
        <v>0</v>
      </c>
      <c r="O121" s="7" t="str">
        <f>IF(ISNA(MATCH(112,'Transfer Engine'!$C$2:$C$1199,0)),"",INDEX('Compliance Database'!$O$2:$O$1199,MATCH(112,'Transfer Engine'!$C$2:$C$1199,0)))</f>
        <v>Data retention controls would typically be in place to ensure that data requirements are not compromised as a result of risks associated with the storage of data.</v>
      </c>
      <c r="P121" s="6" t="str">
        <f>IF(ISNA(MATCH(112,'Transfer Engine'!$C$2:$C$1199,0)),"",HYPERLINK("#Acts!A"&amp;INDEX('Compliance Database'!$P$2:$P$1199,MATCH(112,'Transfer Engine'!$C$2:$C$1199,0)),"Go to Act"))</f>
        <v>Go to Act</v>
      </c>
    </row>
    <row r="122" spans="1:16" ht="172.95" customHeight="1" x14ac:dyDescent="0.3">
      <c r="A122" s="6" t="str">
        <f>IF(ISNA(MATCH(113,'Transfer Engine'!$C$2:$C$1199,0)),"",INDEX('Compliance Database'!$A$2:$A$1199,MATCH(113,'Transfer Engine'!$C$2:$C$1199,0)))</f>
        <v>Australia</v>
      </c>
      <c r="B122" s="6" t="str">
        <f>IF(ISNA(MATCH(113,'Transfer Engine'!$C$2:$C$1199,0)),"",INDEX('Compliance Database'!$B$2:$B$1199,MATCH(113,'Transfer Engine'!$C$2:$C$1199,0)))</f>
        <v>Prudential-Practice-Guide-CPG-235-Managing-Data-Risk_1 (Australia - Row 4)</v>
      </c>
      <c r="C122" s="6" t="str">
        <f>IF(ISNA(MATCH(113,'Transfer Engine'!$C$2:$C$1199,0)),"",INDEX('Compliance Database'!$C$2:$C$1199,MATCH(113,'Transfer Engine'!$C$2:$C$1199,0)))</f>
        <v>37</v>
      </c>
      <c r="D122" s="7" t="str">
        <f>IF(ISNA(MATCH(113,'Transfer Engine'!$C$2:$C$1199,0)),"",INDEX('Compliance Database'!$D$2:$D$1199,MATCH(113,'Transfer Engine'!$C$2:$C$1199,0)))</f>
        <v>Formal retention strategy for data accessibility</v>
      </c>
      <c r="E122" s="6" t="str">
        <f>IF(ISNA(MATCH(113,'Transfer Engine'!$C$2:$C$1199,0)),"",INDEX('Compliance Database'!$E$2:$E$1199,MATCH(113,'Transfer Engine'!$C$2:$C$1199,0)))</f>
        <v>12</v>
      </c>
      <c r="F122" s="6" t="str">
        <f>IF(ISNA(MATCH(113,'Transfer Engine'!$C$2:$C$1199,0)),"",INDEX('Compliance Database'!$F$2:$F$1199,MATCH(113,'Transfer Engine'!$C$2:$C$1199,0)))</f>
        <v>High</v>
      </c>
      <c r="G122" s="6" t="str">
        <f>IF(ISNA(MATCH(113,'Transfer Engine'!$C$2:$C$1199,0)),"",INDEX('Compliance Database'!$G$2:$G$1199,MATCH(113,'Transfer Engine'!$C$2:$C$1199,0)))</f>
        <v>Medium (minor interpretation)</v>
      </c>
      <c r="H122" s="7">
        <f>IF(ISNA(MATCH(113,'Transfer Engine'!$C$2:$C$1199,0)),"",INDEX('Compliance Database'!$H$2:$H$1199,MATCH(113,'Transfer Engine'!$C$2:$C$1199,0)))</f>
        <v>0</v>
      </c>
      <c r="I122" s="7" t="str">
        <f>IF(ISNA(MATCH(113,'Transfer Engine'!$C$2:$C$1199,0)),"",INDEX('Compliance Database'!$I$2:$I$1199,MATCH(113,'Transfer Engine'!$C$2:$C$1199,0)))</f>
        <v>Personal Information</v>
      </c>
      <c r="J122" s="6" t="str">
        <f>IF(ISNA(MATCH(113,'Transfer Engine'!$C$2:$C$1199,0)),"",INDEX('Compliance Database'!$J$2:$J$1199,MATCH(113,'Transfer Engine'!$C$2:$C$1199,0)))</f>
        <v>APRA</v>
      </c>
      <c r="K122" s="7" t="str">
        <f>IF(ISNA(MATCH(113,'Transfer Engine'!$C$2:$C$1199,0)),"",INDEX('Compliance Database'!$K$2:$K$1199,MATCH(113,'Transfer Engine'!$C$2:$C$1199,0)))</f>
        <v>Regulated entities should develop formal retention strategies addressing data accessibility risks and archiving/recovery requirements. This includes mechanisms to ensure compliance with business and regulatory needs, while mitigating issues like accidental deletion, data corruption, technology changes, and poor asset management. These strategies apply to entities managing data retention.</v>
      </c>
      <c r="L122" s="7" t="str">
        <f>IF(ISNA(MATCH(113,'Transfer Engine'!$C$2:$C$1199,0)),"",INDEX('Compliance Database'!$L$2:$L$1199,MATCH(113,'Transfer Engine'!$C$2:$C$1199,0)))</f>
        <v>Formal retention strategies ensure data accessibility and compliance with regulatory requirements, reducing risks during cross-border data transfers.</v>
      </c>
      <c r="M122" s="7" t="str">
        <f>IF(ISNA(MATCH(113,'Transfer Engine'!$C$2:$C$1199,0)),"",INDEX('Compliance Database'!$M$2:$M$1199,MATCH(113,'Transfer Engine'!$C$2:$C$1199,0)))</f>
        <v>• [Should] A formal retention strategy must address risks associated with data accessibility and take into account archiving and recovery requirements</v>
      </c>
      <c r="N122" s="7">
        <f>IF(ISNA(MATCH(113,'Transfer Engine'!$C$2:$C$1199,0)),"",INDEX('Compliance Database'!$N$2:$N$1199,MATCH(113,'Transfer Engine'!$C$2:$C$1199,0)))</f>
        <v>0</v>
      </c>
      <c r="O122" s="7" t="str">
        <f>IF(ISNA(MATCH(113,'Transfer Engine'!$C$2:$C$1199,0)),"",INDEX('Compliance Database'!$O$2:$O$1199,MATCH(113,'Transfer Engine'!$C$2:$C$1199,0)))</f>
        <v>A regulated entity could find it beneficial to develop a formal retention strategy that addresses the risks associated with data accessibility, and takes into account archiving and recovery requirements.</v>
      </c>
      <c r="P122" s="6" t="str">
        <f>IF(ISNA(MATCH(113,'Transfer Engine'!$C$2:$C$1199,0)),"",HYPERLINK("#Acts!A"&amp;INDEX('Compliance Database'!$P$2:$P$1199,MATCH(113,'Transfer Engine'!$C$2:$C$1199,0)),"Go to Act"))</f>
        <v>Go to Act</v>
      </c>
    </row>
    <row r="123" spans="1:16" ht="172.95" customHeight="1" x14ac:dyDescent="0.3">
      <c r="A123" s="6" t="str">
        <f>IF(ISNA(MATCH(114,'Transfer Engine'!$C$2:$C$1199,0)),"",INDEX('Compliance Database'!$A$2:$A$1199,MATCH(114,'Transfer Engine'!$C$2:$C$1199,0)))</f>
        <v>Australia</v>
      </c>
      <c r="B123" s="6" t="str">
        <f>IF(ISNA(MATCH(114,'Transfer Engine'!$C$2:$C$1199,0)),"",INDEX('Compliance Database'!$B$2:$B$1199,MATCH(114,'Transfer Engine'!$C$2:$C$1199,0)))</f>
        <v>Prudential-Practice-Guide-CPG-235-Managing-Data-Risk_1 (Australia - Row 4)</v>
      </c>
      <c r="C123" s="6" t="str">
        <f>IF(ISNA(MATCH(114,'Transfer Engine'!$C$2:$C$1199,0)),"",INDEX('Compliance Database'!$C$2:$C$1199,MATCH(114,'Transfer Engine'!$C$2:$C$1199,0)))</f>
        <v>39</v>
      </c>
      <c r="D123" s="7" t="str">
        <f>IF(ISNA(MATCH(114,'Transfer Engine'!$C$2:$C$1199,0)),"",INDEX('Compliance Database'!$D$2:$D$1199,MATCH(114,'Transfer Engine'!$C$2:$C$1199,0)))</f>
        <v>Data publication controls for quality assurance</v>
      </c>
      <c r="E123" s="6" t="str">
        <f>IF(ISNA(MATCH(114,'Transfer Engine'!$C$2:$C$1199,0)),"",INDEX('Compliance Database'!$E$2:$E$1199,MATCH(114,'Transfer Engine'!$C$2:$C$1199,0)))</f>
        <v>12</v>
      </c>
      <c r="F123" s="6" t="str">
        <f>IF(ISNA(MATCH(114,'Transfer Engine'!$C$2:$C$1199,0)),"",INDEX('Compliance Database'!$F$2:$F$1199,MATCH(114,'Transfer Engine'!$C$2:$C$1199,0)))</f>
        <v>High</v>
      </c>
      <c r="G123" s="6" t="str">
        <f>IF(ISNA(MATCH(114,'Transfer Engine'!$C$2:$C$1199,0)),"",INDEX('Compliance Database'!$G$2:$G$1199,MATCH(114,'Transfer Engine'!$C$2:$C$1199,0)))</f>
        <v>High (explicit)</v>
      </c>
      <c r="H123" s="7" t="str">
        <f>IF(ISNA(MATCH(114,'Transfer Engine'!$C$2:$C$1199,0)),"",INDEX('Compliance Database'!$H$2:$H$1199,MATCH(114,'Transfer Engine'!$C$2:$C$1199,0)))</f>
        <v>Data Sharing</v>
      </c>
      <c r="I123" s="7" t="str">
        <f>IF(ISNA(MATCH(114,'Transfer Engine'!$C$2:$C$1199,0)),"",INDEX('Compliance Database'!$I$2:$I$1199,MATCH(114,'Transfer Engine'!$C$2:$C$1199,0)))</f>
        <v>Personal Information</v>
      </c>
      <c r="J123" s="6" t="str">
        <f>IF(ISNA(MATCH(114,'Transfer Engine'!$C$2:$C$1199,0)),"",INDEX('Compliance Database'!$J$2:$J$1199,MATCH(114,'Transfer Engine'!$C$2:$C$1199,0)))</f>
        <v>APRA</v>
      </c>
      <c r="K123" s="7" t="str">
        <f>IF(ISNA(MATCH(114,'Transfer Engine'!$C$2:$C$1199,0)),"",INDEX('Compliance Database'!$K$2:$K$1199,MATCH(114,'Transfer Engine'!$C$2:$C$1199,0)))</f>
        <v>Data publication controls must ensure published information meets user content and quality requirements. This includes acquisition and implementation controls for new publication mechanisms, validation and monitoring to maintain quality, and processes for managing user-raised data issues. These controls apply to entities producing information for internal and external stakeholders.</v>
      </c>
      <c r="L123" s="7" t="str">
        <f>IF(ISNA(MATCH(114,'Transfer Engine'!$C$2:$C$1199,0)),"",INDEX('Compliance Database'!$L$2:$L$1199,MATCH(114,'Transfer Engine'!$C$2:$C$1199,0)))</f>
        <v>Data publication controls ensure quality of externally shared data, critical for maintaining data integrity during cross-border data transfers.</v>
      </c>
      <c r="M123" s="7" t="str">
        <f>IF(ISNA(MATCH(114,'Transfer Engine'!$C$2:$C$1199,0)),"",INDEX('Compliance Database'!$M$2:$M$1199,MATCH(114,'Transfer Engine'!$C$2:$C$1199,0)))</f>
        <v>• [Must] Acquisition and implementation controls must be in place for new publication mechanisms to ensure published data meets user requirements
• [Must] Validation and monitoring controls must ensure published data continues to meet specified user requirements</v>
      </c>
      <c r="N123" s="7" t="str">
        <f>IF(ISNA(MATCH(114,'Transfer Engine'!$C$2:$C$1199,0)),"",INDEX('Compliance Database'!$N$2:$N$1199,MATCH(114,'Transfer Engine'!$C$2:$C$1199,0)))</f>
        <v>• [Must] Processes must manage data issues raised by users</v>
      </c>
      <c r="O123" s="7" t="str">
        <f>IF(ISNA(MATCH(114,'Transfer Engine'!$C$2:$C$1199,0)),"",INDEX('Compliance Database'!$O$2:$O$1199,MATCH(114,'Transfer Engine'!$C$2:$C$1199,0)))</f>
        <v>Data publication refers to the production of information for internal and external stakeholders (e.g. operational information, management information, customer information, media releases, regulatory reporting).</v>
      </c>
      <c r="P123" s="6" t="str">
        <f>IF(ISNA(MATCH(114,'Transfer Engine'!$C$2:$C$1199,0)),"",HYPERLINK("#Acts!A"&amp;INDEX('Compliance Database'!$P$2:$P$1199,MATCH(114,'Transfer Engine'!$C$2:$C$1199,0)),"Go to Act"))</f>
        <v>Go to Act</v>
      </c>
    </row>
    <row r="124" spans="1:16" ht="172.95" customHeight="1" x14ac:dyDescent="0.3">
      <c r="A124" s="6" t="str">
        <f>IF(ISNA(MATCH(115,'Transfer Engine'!$C$2:$C$1199,0)),"",INDEX('Compliance Database'!$A$2:$A$1199,MATCH(115,'Transfer Engine'!$C$2:$C$1199,0)))</f>
        <v>Australia</v>
      </c>
      <c r="B124" s="6" t="str">
        <f>IF(ISNA(MATCH(115,'Transfer Engine'!$C$2:$C$1199,0)),"",INDEX('Compliance Database'!$B$2:$B$1199,MATCH(115,'Transfer Engine'!$C$2:$C$1199,0)))</f>
        <v>Prudential-Practice-Guide-CPG-235-Managing-Data-Risk_1 (Australia - Row 4)</v>
      </c>
      <c r="C124" s="6" t="str">
        <f>IF(ISNA(MATCH(115,'Transfer Engine'!$C$2:$C$1199,0)),"",INDEX('Compliance Database'!$C$2:$C$1199,MATCH(115,'Transfer Engine'!$C$2:$C$1199,0)))</f>
        <v>40</v>
      </c>
      <c r="D124" s="7" t="str">
        <f>IF(ISNA(MATCH(115,'Transfer Engine'!$C$2:$C$1199,0)),"",INDEX('Compliance Database'!$D$2:$D$1199,MATCH(115,'Transfer Engine'!$C$2:$C$1199,0)))</f>
        <v>Data publication confidentiality and quality</v>
      </c>
      <c r="E124" s="6" t="str">
        <f>IF(ISNA(MATCH(115,'Transfer Engine'!$C$2:$C$1199,0)),"",INDEX('Compliance Database'!$E$2:$E$1199,MATCH(115,'Transfer Engine'!$C$2:$C$1199,0)))</f>
        <v>12</v>
      </c>
      <c r="F124" s="6" t="str">
        <f>IF(ISNA(MATCH(115,'Transfer Engine'!$C$2:$C$1199,0)),"",INDEX('Compliance Database'!$F$2:$F$1199,MATCH(115,'Transfer Engine'!$C$2:$C$1199,0)))</f>
        <v>High</v>
      </c>
      <c r="G124" s="6" t="str">
        <f>IF(ISNA(MATCH(115,'Transfer Engine'!$C$2:$C$1199,0)),"",INDEX('Compliance Database'!$G$2:$G$1199,MATCH(115,'Transfer Engine'!$C$2:$C$1199,0)))</f>
        <v>High (explicit)</v>
      </c>
      <c r="H124" s="7" t="str">
        <f>IF(ISNA(MATCH(115,'Transfer Engine'!$C$2:$C$1199,0)),"",INDEX('Compliance Database'!$H$2:$H$1199,MATCH(115,'Transfer Engine'!$C$2:$C$1199,0)))</f>
        <v>Data Sharing</v>
      </c>
      <c r="I124" s="7" t="str">
        <f>IF(ISNA(MATCH(115,'Transfer Engine'!$C$2:$C$1199,0)),"",INDEX('Compliance Database'!$I$2:$I$1199,MATCH(115,'Transfer Engine'!$C$2:$C$1199,0)))</f>
        <v>Personal Information</v>
      </c>
      <c r="J124" s="6" t="str">
        <f>IF(ISNA(MATCH(115,'Transfer Engine'!$C$2:$C$1199,0)),"",INDEX('Compliance Database'!$J$2:$J$1199,MATCH(115,'Transfer Engine'!$C$2:$C$1199,0)))</f>
        <v>APRA</v>
      </c>
      <c r="K124" s="7" t="str">
        <f>IF(ISNA(MATCH(115,'Transfer Engine'!$C$2:$C$1199,0)),"",INDEX('Compliance Database'!$K$2:$K$1199,MATCH(115,'Transfer Engine'!$C$2:$C$1199,0)))</f>
        <v>APRA emphasizes that data quality requirements must be clearly specified and that confidentiality must not be compromised through data publication. This section does not impose direct obligations but highlights the importance of balancing data quality and confidentiality in published information.</v>
      </c>
      <c r="L124" s="7" t="str">
        <f>IF(ISNA(MATCH(115,'Transfer Engine'!$C$2:$C$1199,0)),"",INDEX('Compliance Database'!$L$2:$L$1199,MATCH(115,'Transfer Engine'!$C$2:$C$1199,0)))</f>
        <v>Clear data quality specifications and confidentiality safeguards are essential for preventing data breaches during cross-border data publication.</v>
      </c>
      <c r="M124" s="7" t="str">
        <f>IF(ISNA(MATCH(115,'Transfer Engine'!$C$2:$C$1199,0)),"",INDEX('Compliance Database'!$M$2:$M$1199,MATCH(115,'Transfer Engine'!$C$2:$C$1199,0)))</f>
        <v>• [Must] Data quality requirements must be clearly specified</v>
      </c>
      <c r="N124" s="7" t="str">
        <f>IF(ISNA(MATCH(115,'Transfer Engine'!$C$2:$C$1199,0)),"",INDEX('Compliance Database'!$N$2:$N$1199,MATCH(115,'Transfer Engine'!$C$2:$C$1199,0)))</f>
        <v>• [Must Not] Confidentiality must not be compromised through the publication of data</v>
      </c>
      <c r="O124" s="7" t="str">
        <f>IF(ISNA(MATCH(115,'Transfer Engine'!$C$2:$C$1199,0)),"",INDEX('Compliance Database'!$O$2:$O$1199,MATCH(115,'Transfer Engine'!$C$2:$C$1199,0)))</f>
        <v>In APRA's view, it is important that data quality requirements are clearly specified and that confidentiality is not compromised through the publication of data.</v>
      </c>
      <c r="P124" s="6" t="str">
        <f>IF(ISNA(MATCH(115,'Transfer Engine'!$C$2:$C$1199,0)),"",HYPERLINK("#Acts!A"&amp;INDEX('Compliance Database'!$P$2:$P$1199,MATCH(115,'Transfer Engine'!$C$2:$C$1199,0)),"Go to Act"))</f>
        <v>Go to Act</v>
      </c>
    </row>
    <row r="125" spans="1:16" ht="172.95" customHeight="1" x14ac:dyDescent="0.3">
      <c r="A125" s="6" t="str">
        <f>IF(ISNA(MATCH(116,'Transfer Engine'!$C$2:$C$1199,0)),"",INDEX('Compliance Database'!$A$2:$A$1199,MATCH(116,'Transfer Engine'!$C$2:$C$1199,0)))</f>
        <v>Australia</v>
      </c>
      <c r="B125" s="6" t="str">
        <f>IF(ISNA(MATCH(116,'Transfer Engine'!$C$2:$C$1199,0)),"",INDEX('Compliance Database'!$B$2:$B$1199,MATCH(116,'Transfer Engine'!$C$2:$C$1199,0)))</f>
        <v>Prudential-Practice-Guide-CPG-235-Managing-Data-Risk_1 (Australia - Row 4)</v>
      </c>
      <c r="C125" s="6" t="str">
        <f>IF(ISNA(MATCH(116,'Transfer Engine'!$C$2:$C$1199,0)),"",INDEX('Compliance Database'!$C$2:$C$1199,MATCH(116,'Transfer Engine'!$C$2:$C$1199,0)))</f>
        <v>42</v>
      </c>
      <c r="D125" s="7" t="str">
        <f>IF(ISNA(MATCH(116,'Transfer Engine'!$C$2:$C$1199,0)),"",INDEX('Compliance Database'!$D$2:$D$1199,MATCH(116,'Transfer Engine'!$C$2:$C$1199,0)))</f>
        <v>Disposal controls for data compliance and confidentiality</v>
      </c>
      <c r="E125" s="6" t="str">
        <f>IF(ISNA(MATCH(116,'Transfer Engine'!$C$2:$C$1199,0)),"",INDEX('Compliance Database'!$E$2:$E$1199,MATCH(116,'Transfer Engine'!$C$2:$C$1199,0)))</f>
        <v>12–13</v>
      </c>
      <c r="F125" s="6" t="str">
        <f>IF(ISNA(MATCH(116,'Transfer Engine'!$C$2:$C$1199,0)),"",INDEX('Compliance Database'!$F$2:$F$1199,MATCH(116,'Transfer Engine'!$C$2:$C$1199,0)))</f>
        <v>Medium</v>
      </c>
      <c r="G125" s="6" t="str">
        <f>IF(ISNA(MATCH(116,'Transfer Engine'!$C$2:$C$1199,0)),"",INDEX('Compliance Database'!$G$2:$G$1199,MATCH(116,'Transfer Engine'!$C$2:$C$1199,0)))</f>
        <v>High (explicit)</v>
      </c>
      <c r="H125" s="7" t="str">
        <f>IF(ISNA(MATCH(116,'Transfer Engine'!$C$2:$C$1199,0)),"",INDEX('Compliance Database'!$H$2:$H$1199,MATCH(116,'Transfer Engine'!$C$2:$C$1199,0)))</f>
        <v>Data Storage</v>
      </c>
      <c r="I125" s="7" t="str">
        <f>IF(ISNA(MATCH(116,'Transfer Engine'!$C$2:$C$1199,0)),"",INDEX('Compliance Database'!$I$2:$I$1199,MATCH(116,'Transfer Engine'!$C$2:$C$1199,0)))</f>
        <v>Personal Information</v>
      </c>
      <c r="J125" s="6" t="str">
        <f>IF(ISNA(MATCH(116,'Transfer Engine'!$C$2:$C$1199,0)),"",INDEX('Compliance Database'!$J$2:$J$1199,MATCH(116,'Transfer Engine'!$C$2:$C$1199,0)))</f>
        <v>Australian Prudential Regulation Authority</v>
      </c>
      <c r="K125" s="7" t="str">
        <f>IF(ISNA(MATCH(116,'Transfer Engine'!$C$2:$C$1199,0)),"",INDEX('Compliance Database'!$K$2:$K$1199,MATCH(116,'Transfer Engine'!$C$2:$C$1199,0)))</f>
        <v>This section mandates that disposal controls ensure data is deleted or archived according to retention strategies and confidentiality requirements. It specifies that hardware, software, or data must not compromise business confidentiality when reaching end-of-life or recommissioning. The controls apply to regulated entities handling sensitive information.</v>
      </c>
      <c r="L125" s="7" t="str">
        <f>IF(ISNA(MATCH(116,'Transfer Engine'!$C$2:$C$1199,0)),"",INDEX('Compliance Database'!$L$2:$L$1199,MATCH(116,'Transfer Engine'!$C$2:$C$1199,0)))</f>
        <v>Disposal controls are critical for DTIAs to ensure data is securely removed before hardware decommissioning, preventing unauthorized access to sensitive information during transitions.</v>
      </c>
      <c r="M125" s="7" t="str">
        <f>IF(ISNA(MATCH(116,'Transfer Engine'!$C$2:$C$1199,0)),"",INDEX('Compliance Database'!$M$2:$M$1199,MATCH(116,'Transfer Engine'!$C$2:$C$1199,0)))</f>
        <v>• [Must] Data must be disposed of in compliance with retention strategy</v>
      </c>
      <c r="N125" s="7" t="str">
        <f>IF(ISNA(MATCH(116,'Transfer Engine'!$C$2:$C$1199,0)),"",INDEX('Compliance Database'!$N$2:$N$1199,MATCH(116,'Transfer Engine'!$C$2:$C$1199,0)))</f>
        <v>• [Must] Business confidentiality requirements must not be compromised when hardware, software or data reach end of useful life</v>
      </c>
      <c r="O125" s="7" t="str">
        <f>IF(ISNA(MATCH(116,'Transfer Engine'!$C$2:$C$1199,0)),"",INDEX('Compliance Database'!$O$2:$O$1199,MATCH(116,'Transfer Engine'!$C$2:$C$1199,0)))</f>
        <v>Disposal controls would typically be in place to ensure: (a) data is disposed of in compliance with the retention strategy; and (b) business requirements with respect to confidentiality are not compromised as hardware, software or data reach the end of their useful life or the hardware/software is recommissioned for another use.</v>
      </c>
      <c r="P125" s="6" t="str">
        <f>IF(ISNA(MATCH(116,'Transfer Engine'!$C$2:$C$1199,0)),"",HYPERLINK("#Acts!A"&amp;INDEX('Compliance Database'!$P$2:$P$1199,MATCH(116,'Transfer Engine'!$C$2:$C$1199,0)),"Go to Act"))</f>
        <v>Go to Act</v>
      </c>
    </row>
    <row r="126" spans="1:16" ht="172.95" customHeight="1" x14ac:dyDescent="0.3">
      <c r="A126" s="6" t="str">
        <f>IF(ISNA(MATCH(117,'Transfer Engine'!$C$2:$C$1199,0)),"",INDEX('Compliance Database'!$A$2:$A$1199,MATCH(117,'Transfer Engine'!$C$2:$C$1199,0)))</f>
        <v>Australia</v>
      </c>
      <c r="B126" s="6" t="str">
        <f>IF(ISNA(MATCH(117,'Transfer Engine'!$C$2:$C$1199,0)),"",INDEX('Compliance Database'!$B$2:$B$1199,MATCH(117,'Transfer Engine'!$C$2:$C$1199,0)))</f>
        <v>Prudential-Practice-Guide-CPG-235-Managing-Data-Risk_1 (Australia - Row 4)</v>
      </c>
      <c r="C126" s="6" t="str">
        <f>IF(ISNA(MATCH(117,'Transfer Engine'!$C$2:$C$1199,0)),"",INDEX('Compliance Database'!$C$2:$C$1199,MATCH(117,'Transfer Engine'!$C$2:$C$1199,0)))</f>
        <v>44</v>
      </c>
      <c r="D126" s="7" t="str">
        <f>IF(ISNA(MATCH(117,'Transfer Engine'!$C$2:$C$1199,0)),"",INDEX('Compliance Database'!$D$2:$D$1199,MATCH(117,'Transfer Engine'!$C$2:$C$1199,0)))</f>
        <v>Desensitisation techniques for data confidentiality</v>
      </c>
      <c r="E126" s="6" t="str">
        <f>IF(ISNA(MATCH(117,'Transfer Engine'!$C$2:$C$1199,0)),"",INDEX('Compliance Database'!$E$2:$E$1199,MATCH(117,'Transfer Engine'!$C$2:$C$1199,0)))</f>
        <v>13</v>
      </c>
      <c r="F126" s="6" t="str">
        <f>IF(ISNA(MATCH(117,'Transfer Engine'!$C$2:$C$1199,0)),"",INDEX('Compliance Database'!$F$2:$F$1199,MATCH(117,'Transfer Engine'!$C$2:$C$1199,0)))</f>
        <v>Medium</v>
      </c>
      <c r="G126" s="6" t="str">
        <f>IF(ISNA(MATCH(117,'Transfer Engine'!$C$2:$C$1199,0)),"",INDEX('Compliance Database'!$G$2:$G$1199,MATCH(117,'Transfer Engine'!$C$2:$C$1199,0)))</f>
        <v>High (explicit)</v>
      </c>
      <c r="H126" s="7" t="str">
        <f>IF(ISNA(MATCH(117,'Transfer Engine'!$C$2:$C$1199,0)),"",INDEX('Compliance Database'!$H$2:$H$1199,MATCH(117,'Transfer Engine'!$C$2:$C$1199,0)))</f>
        <v>Data Sharing, Security</v>
      </c>
      <c r="I126" s="7" t="str">
        <f>IF(ISNA(MATCH(117,'Transfer Engine'!$C$2:$C$1199,0)),"",INDEX('Compliance Database'!$I$2:$I$1199,MATCH(117,'Transfer Engine'!$C$2:$C$1199,0)))</f>
        <v>Personal Information</v>
      </c>
      <c r="J126" s="6" t="str">
        <f>IF(ISNA(MATCH(117,'Transfer Engine'!$C$2:$C$1199,0)),"",INDEX('Compliance Database'!$J$2:$J$1199,MATCH(117,'Transfer Engine'!$C$2:$C$1199,0)))</f>
        <v>Australian Prudential Regulation Authority</v>
      </c>
      <c r="K126" s="7" t="str">
        <f>IF(ISNA(MATCH(117,'Transfer Engine'!$C$2:$C$1199,0)),"",INDEX('Compliance Database'!$K$2:$K$1199,MATCH(117,'Transfer Engine'!$C$2:$C$1199,0)))</f>
        <v>This section describes desensitisation as reducing data sensitivity to match authorized end-user access levels. It requires using cryptographic or de-identification techniques when transferring data to less trusted environments. The strength of desensitisation must prevent reconstruction of original data through brute force or other means.</v>
      </c>
      <c r="L126" s="7" t="str">
        <f>IF(ISNA(MATCH(117,'Transfer Engine'!$C$2:$C$1199,0)),"",INDEX('Compliance Database'!$L$2:$L$1199,MATCH(117,'Transfer Engine'!$C$2:$C$1199,0)))</f>
        <v>Desensitisation is essential for DTIAs to ensure data transferred across borders or to third parties remains sufficiently anonymised to prevent unauthorized reconstruction.</v>
      </c>
      <c r="M126" s="7" t="str">
        <f>IF(ISNA(MATCH(117,'Transfer Engine'!$C$2:$C$1199,0)),"",INDEX('Compliance Database'!$M$2:$M$1199,MATCH(117,'Transfer Engine'!$C$2:$C$1199,0)))</f>
        <v>• [Must] Desensitisation reduces data sensitivity to comply with authorized end-user access levels
• [Must] Use cryptographic or de-identification techniques when transferring data to less trusted environments</v>
      </c>
      <c r="N126" s="7" t="str">
        <f>IF(ISNA(MATCH(117,'Transfer Engine'!$C$2:$C$1199,0)),"",INDEX('Compliance Database'!$N$2:$N$1199,MATCH(117,'Transfer Engine'!$C$2:$C$1199,0)))</f>
        <v>• [Must] Desensitisation strength must prevent reconstruction of original data using brute force techniques</v>
      </c>
      <c r="O126" s="7" t="str">
        <f>IF(ISNA(MATCH(117,'Transfer Engine'!$C$2:$C$1199,0)),"",INDEX('Compliance Database'!$O$2:$O$1199,MATCH(117,'Transfer Engine'!$C$2:$C$1199,0)))</f>
        <v>Desensitisation (the process of reducing a data set's sensitivity to a level which complies with the authorised access of the end-user) is a useful approach for maintaining the confidentiality of data while extending its usage.</v>
      </c>
      <c r="P126" s="6" t="str">
        <f>IF(ISNA(MATCH(117,'Transfer Engine'!$C$2:$C$1199,0)),"",HYPERLINK("#Acts!A"&amp;INDEX('Compliance Database'!$P$2:$P$1199,MATCH(117,'Transfer Engine'!$C$2:$C$1199,0)),"Go to Act"))</f>
        <v>Go to Act</v>
      </c>
    </row>
    <row r="127" spans="1:16" ht="172.95" customHeight="1" x14ac:dyDescent="0.3">
      <c r="A127" s="6" t="str">
        <f>IF(ISNA(MATCH(118,'Transfer Engine'!$C$2:$C$1199,0)),"",INDEX('Compliance Database'!$A$2:$A$1199,MATCH(118,'Transfer Engine'!$C$2:$C$1199,0)))</f>
        <v>Australia</v>
      </c>
      <c r="B127" s="6" t="str">
        <f>IF(ISNA(MATCH(118,'Transfer Engine'!$C$2:$C$1199,0)),"",INDEX('Compliance Database'!$B$2:$B$1199,MATCH(118,'Transfer Engine'!$C$2:$C$1199,0)))</f>
        <v>Prudential-Practice-Guide-CPG-235-Managing-Data-Risk_1 (Australia - Row 4)</v>
      </c>
      <c r="C127" s="6" t="str">
        <f>IF(ISNA(MATCH(118,'Transfer Engine'!$C$2:$C$1199,0)),"",INDEX('Compliance Database'!$C$2:$C$1199,MATCH(118,'Transfer Engine'!$C$2:$C$1199,0)))</f>
        <v>46</v>
      </c>
      <c r="D127" s="7" t="str">
        <f>IF(ISNA(MATCH(118,'Transfer Engine'!$C$2:$C$1199,0)),"",INDEX('Compliance Database'!$D$2:$D$1199,MATCH(118,'Transfer Engine'!$C$2:$C$1199,0)))</f>
        <v>Software risk assessment for critical data</v>
      </c>
      <c r="E127" s="6" t="str">
        <f>IF(ISNA(MATCH(118,'Transfer Engine'!$C$2:$C$1199,0)),"",INDEX('Compliance Database'!$E$2:$E$1199,MATCH(118,'Transfer Engine'!$C$2:$C$1199,0)))</f>
        <v>13</v>
      </c>
      <c r="F127" s="6" t="str">
        <f>IF(ISNA(MATCH(118,'Transfer Engine'!$C$2:$C$1199,0)),"",INDEX('Compliance Database'!$F$2:$F$1199,MATCH(118,'Transfer Engine'!$C$2:$C$1199,0)))</f>
        <v>High</v>
      </c>
      <c r="G127" s="6" t="str">
        <f>IF(ISNA(MATCH(118,'Transfer Engine'!$C$2:$C$1199,0)),"",INDEX('Compliance Database'!$G$2:$G$1199,MATCH(118,'Transfer Engine'!$C$2:$C$1199,0)))</f>
        <v>High (explicit)</v>
      </c>
      <c r="H127" s="7">
        <f>IF(ISNA(MATCH(118,'Transfer Engine'!$C$2:$C$1199,0)),"",INDEX('Compliance Database'!$H$2:$H$1199,MATCH(118,'Transfer Engine'!$C$2:$C$1199,0)))</f>
        <v>0</v>
      </c>
      <c r="I127" s="7">
        <f>IF(ISNA(MATCH(118,'Transfer Engine'!$C$2:$C$1199,0)),"",INDEX('Compliance Database'!$I$2:$I$1199,MATCH(118,'Transfer Engine'!$C$2:$C$1199,0)))</f>
        <v>0</v>
      </c>
      <c r="J127" s="6" t="str">
        <f>IF(ISNA(MATCH(118,'Transfer Engine'!$C$2:$C$1199,0)),"",INDEX('Compliance Database'!$J$2:$J$1199,MATCH(118,'Transfer Engine'!$C$2:$C$1199,0)))</f>
        <v>Australian Prudential Regulation Authority</v>
      </c>
      <c r="K127" s="7" t="str">
        <f>IF(ISNA(MATCH(118,'Transfer Engine'!$C$2:$C$1199,0)),"",INDEX('Compliance Database'!$K$2:$K$1199,MATCH(118,'Transfer Engine'!$C$2:$C$1199,0)))</f>
        <v>This section requires regulated entities to identify end-user developed/configured software and assess its risk exposure, particularly for critical or sensitive data. The entity must ensure such software complies with relevant lifecycle controls to maintain data security and confidentiality.</v>
      </c>
      <c r="L127" s="7" t="str">
        <f>IF(ISNA(MATCH(118,'Transfer Engine'!$C$2:$C$1199,0)),"",INDEX('Compliance Database'!$L$2:$L$1199,MATCH(118,'Transfer Engine'!$C$2:$C$1199,0)))</f>
        <v>Software risk assessments are vital for DTIAs to ensure third-party software used in data processing does not introduce vulnerabilities when handling sensitive information across jurisdictions.</v>
      </c>
      <c r="M127" s="7" t="str">
        <f>IF(ISNA(MATCH(118,'Transfer Engine'!$C$2:$C$1199,0)),"",INDEX('Compliance Database'!$M$2:$M$1199,MATCH(118,'Transfer Engine'!$C$2:$C$1199,0)))</f>
        <v>• [Must] Regulated entities must identify end-user developed/configured software
• [Must] Regulated entities must assess risk exposure of software handling critical or sensitive data</v>
      </c>
      <c r="N127" s="7" t="str">
        <f>IF(ISNA(MATCH(118,'Transfer Engine'!$C$2:$C$1199,0)),"",INDEX('Compliance Database'!$N$2:$N$1199,MATCH(118,'Transfer Engine'!$C$2:$C$1199,0)))</f>
        <v>• [Must] Software used for critical/sensitive data must comply with entity's lifecycle controls</v>
      </c>
      <c r="O127" s="7" t="str">
        <f>IF(ISNA(MATCH(118,'Transfer Engine'!$C$2:$C$1199,0)),"",INDEX('Compliance Database'!$O$2:$O$1199,MATCH(118,'Transfer Engine'!$C$2:$C$1199,0)))</f>
        <v>A regulated entity would normally introduce processes to identify the existence of end-user developed/configured software and assess its risk exposure. In APRA's view, any software that is used for the processing and retention of critical or sensitive data would comply with the relevant life-cycle controls of the entity.</v>
      </c>
      <c r="P127" s="6" t="str">
        <f>IF(ISNA(MATCH(118,'Transfer Engine'!$C$2:$C$1199,0)),"",HYPERLINK("#Acts!A"&amp;INDEX('Compliance Database'!$P$2:$P$1199,MATCH(118,'Transfer Engine'!$C$2:$C$1199,0)),"Go to Act"))</f>
        <v>Go to Act</v>
      </c>
    </row>
    <row r="128" spans="1:16" ht="172.95" customHeight="1" x14ac:dyDescent="0.3">
      <c r="A128" s="6" t="str">
        <f>IF(ISNA(MATCH(119,'Transfer Engine'!$C$2:$C$1199,0)),"",INDEX('Compliance Database'!$A$2:$A$1199,MATCH(119,'Transfer Engine'!$C$2:$C$1199,0)))</f>
        <v>Australia</v>
      </c>
      <c r="B128" s="6" t="str">
        <f>IF(ISNA(MATCH(119,'Transfer Engine'!$C$2:$C$1199,0)),"",INDEX('Compliance Database'!$B$2:$B$1199,MATCH(119,'Transfer Engine'!$C$2:$C$1199,0)))</f>
        <v>Prudential-Practice-Guide-CPG-235-Managing-Data-Risk_1 (Australia - Row 4)</v>
      </c>
      <c r="C128" s="6" t="str">
        <f>IF(ISNA(MATCH(119,'Transfer Engine'!$C$2:$C$1199,0)),"",INDEX('Compliance Database'!$C$2:$C$1199,MATCH(119,'Transfer Engine'!$C$2:$C$1199,0)))</f>
        <v>48</v>
      </c>
      <c r="D128" s="7" t="str">
        <f>IF(ISNA(MATCH(119,'Transfer Engine'!$C$2:$C$1199,0)),"",INDEX('Compliance Database'!$D$2:$D$1199,MATCH(119,'Transfer Engine'!$C$2:$C$1199,0)))</f>
        <v>Jurisdictional data retention risks</v>
      </c>
      <c r="E128" s="6" t="str">
        <f>IF(ISNA(MATCH(119,'Transfer Engine'!$C$2:$C$1199,0)),"",INDEX('Compliance Database'!$E$2:$E$1199,MATCH(119,'Transfer Engine'!$C$2:$C$1199,0)))</f>
        <v>13–14</v>
      </c>
      <c r="F128" s="6" t="str">
        <f>IF(ISNA(MATCH(119,'Transfer Engine'!$C$2:$C$1199,0)),"",INDEX('Compliance Database'!$F$2:$F$1199,MATCH(119,'Transfer Engine'!$C$2:$C$1199,0)))</f>
        <v>High</v>
      </c>
      <c r="G128" s="6" t="str">
        <f>IF(ISNA(MATCH(119,'Transfer Engine'!$C$2:$C$1199,0)),"",INDEX('Compliance Database'!$G$2:$G$1199,MATCH(119,'Transfer Engine'!$C$2:$C$1199,0)))</f>
        <v>High (explicit)</v>
      </c>
      <c r="H128" s="7" t="str">
        <f>IF(ISNA(MATCH(119,'Transfer Engine'!$C$2:$C$1199,0)),"",INDEX('Compliance Database'!$H$2:$H$1199,MATCH(119,'Transfer Engine'!$C$2:$C$1199,0)))</f>
        <v>Cross-border Transfer, Data Storage</v>
      </c>
      <c r="I128" s="7">
        <f>IF(ISNA(MATCH(119,'Transfer Engine'!$C$2:$C$1199,0)),"",INDEX('Compliance Database'!$I$2:$I$1199,MATCH(119,'Transfer Engine'!$C$2:$C$1199,0)))</f>
        <v>0</v>
      </c>
      <c r="J128" s="6" t="str">
        <f>IF(ISNA(MATCH(119,'Transfer Engine'!$C$2:$C$1199,0)),"",INDEX('Compliance Database'!$J$2:$J$1199,MATCH(119,'Transfer Engine'!$C$2:$C$1199,0)))</f>
        <v>Australian Prudential Regulation Authority</v>
      </c>
      <c r="K128" s="7" t="str">
        <f>IF(ISNA(MATCH(119,'Transfer Engine'!$C$2:$C$1199,0)),"",INDEX('Compliance Database'!$K$2:$K$1199,MATCH(119,'Transfer Engine'!$C$2:$C$1199,0)))</f>
        <v>This section requires regulated entities to apply a cautious approach when retaining data outside their jurisdiction, ensuring they understand risks and make informed decisions about whether additional risks are within their risk appetite. The entity must be aware of jurisdictional and technical hurdles that could impede regulatory oversight.</v>
      </c>
      <c r="L128" s="7" t="str">
        <f>IF(ISNA(MATCH(119,'Transfer Engine'!$C$2:$C$1199,0)),"",INDEX('Compliance Database'!$L$2:$L$1199,MATCH(119,'Transfer Engine'!$C$2:$C$1199,0)))</f>
        <v>Jurisdictional data retention is critical for DTIAs to assess whether transferring data to foreign jurisdictions introduces unacceptable risks to regulatory oversight and data security.</v>
      </c>
      <c r="M128" s="7" t="str">
        <f>IF(ISNA(MATCH(119,'Transfer Engine'!$C$2:$C$1199,0)),"",INDEX('Compliance Database'!$M$2:$M$1199,MATCH(119,'Transfer Engine'!$C$2:$C$1199,0)))</f>
        <v>• [Must] Regulated entities must apply a cautious and measured approach when retaining data outside jurisdiction
• [Must] Regulated entities must be fully aware of risks involved in retaining data outside jurisdiction</v>
      </c>
      <c r="N128" s="7" t="str">
        <f>IF(ISNA(MATCH(119,'Transfer Engine'!$C$2:$C$1199,0)),"",INDEX('Compliance Database'!$N$2:$N$1199,MATCH(119,'Transfer Engine'!$C$2:$C$1199,0)))</f>
        <v>• [Must] Regulated entities must make informed decisions about whether additional risks are within risk appetite</v>
      </c>
      <c r="O128" s="7" t="str">
        <f>IF(ISNA(MATCH(119,'Transfer Engine'!$C$2:$C$1199,0)),"",INDEX('Compliance Database'!$O$2:$O$1199,MATCH(119,'Transfer Engine'!$C$2:$C$1199,0)))</f>
        <v>APRA expects a regulated entity to apply a cautious and measured approach when considering retaining data outside the jurisdiction it pertains to. It is important that a regulated entity is fully aware of the risks involved and makes a conscious and informed decision as to whether the additional risks are within its risk appetite.</v>
      </c>
      <c r="P128" s="6" t="str">
        <f>IF(ISNA(MATCH(119,'Transfer Engine'!$C$2:$C$1199,0)),"",HYPERLINK("#Acts!A"&amp;INDEX('Compliance Database'!$P$2:$P$1199,MATCH(119,'Transfer Engine'!$C$2:$C$1199,0)),"Go to Act"))</f>
        <v>Go to Act</v>
      </c>
    </row>
    <row r="129" spans="1:16" ht="172.95" customHeight="1" x14ac:dyDescent="0.3">
      <c r="A129" s="6" t="str">
        <f>IF(ISNA(MATCH(120,'Transfer Engine'!$C$2:$C$1199,0)),"",INDEX('Compliance Database'!$A$2:$A$1199,MATCH(120,'Transfer Engine'!$C$2:$C$1199,0)))</f>
        <v>Australia</v>
      </c>
      <c r="B129" s="6" t="str">
        <f>IF(ISNA(MATCH(120,'Transfer Engine'!$C$2:$C$1199,0)),"",INDEX('Compliance Database'!$B$2:$B$1199,MATCH(120,'Transfer Engine'!$C$2:$C$1199,0)))</f>
        <v>Prudential-Practice-Guide-CPG-235-Managing-Data-Risk_1 (Australia - Row 4)</v>
      </c>
      <c r="C129" s="6" t="str">
        <f>IF(ISNA(MATCH(120,'Transfer Engine'!$C$2:$C$1199,0)),"",INDEX('Compliance Database'!$C$2:$C$1199,MATCH(120,'Transfer Engine'!$C$2:$C$1199,0)))</f>
        <v>49</v>
      </c>
      <c r="D129" s="7" t="str">
        <f>IF(ISNA(MATCH(120,'Transfer Engine'!$C$2:$C$1199,0)),"",INDEX('Compliance Database'!$D$2:$D$1199,MATCH(120,'Transfer Engine'!$C$2:$C$1199,0)))</f>
        <v>Outsourcing/offshoring data management requirements</v>
      </c>
      <c r="E129" s="6" t="str">
        <f>IF(ISNA(MATCH(120,'Transfer Engine'!$C$2:$C$1199,0)),"",INDEX('Compliance Database'!$E$2:$E$1199,MATCH(120,'Transfer Engine'!$C$2:$C$1199,0)))</f>
        <v>14</v>
      </c>
      <c r="F129" s="6" t="str">
        <f>IF(ISNA(MATCH(120,'Transfer Engine'!$C$2:$C$1199,0)),"",INDEX('Compliance Database'!$F$2:$F$1199,MATCH(120,'Transfer Engine'!$C$2:$C$1199,0)))</f>
        <v>High</v>
      </c>
      <c r="G129" s="6" t="str">
        <f>IF(ISNA(MATCH(120,'Transfer Engine'!$C$2:$C$1199,0)),"",INDEX('Compliance Database'!$G$2:$G$1199,MATCH(120,'Transfer Engine'!$C$2:$C$1199,0)))</f>
        <v>High (explicit)</v>
      </c>
      <c r="H129" s="7" t="str">
        <f>IF(ISNA(MATCH(120,'Transfer Engine'!$C$2:$C$1199,0)),"",INDEX('Compliance Database'!$H$2:$H$1199,MATCH(120,'Transfer Engine'!$C$2:$C$1199,0)))</f>
        <v>Third Party Processing, Data Storage</v>
      </c>
      <c r="I129" s="7">
        <f>IF(ISNA(MATCH(120,'Transfer Engine'!$C$2:$C$1199,0)),"",INDEX('Compliance Database'!$I$2:$I$1199,MATCH(120,'Transfer Engine'!$C$2:$C$1199,0)))</f>
        <v>0</v>
      </c>
      <c r="J129" s="6" t="str">
        <f>IF(ISNA(MATCH(120,'Transfer Engine'!$C$2:$C$1199,0)),"",INDEX('Compliance Database'!$J$2:$J$1199,MATCH(120,'Transfer Engine'!$C$2:$C$1199,0)))</f>
        <v>Australian Prudential Regulation Authority</v>
      </c>
      <c r="K129" s="7" t="str">
        <f>IF(ISNA(MATCH(120,'Transfer Engine'!$C$2:$C$1199,0)),"",INDEX('Compliance Database'!$K$2:$K$1199,MATCH(120,'Transfer Engine'!$C$2:$C$1199,0)))</f>
        <v>This section specifies that regulated entities must demonstrate the ability to continue operations after service loss, maintain critical/sensitive data quality, comply with legislative requirements, and ensure no jurisdictional or technical barriers prevent regulators from accessing data. These requirements apply to data management outsourcing or offshoring.</v>
      </c>
      <c r="L129" s="7" t="str">
        <f>IF(ISNA(MATCH(120,'Transfer Engine'!$C$2:$C$1199,0)),"",INDEX('Compliance Database'!$L$2:$L$1199,MATCH(120,'Transfer Engine'!$C$2:$C$1199,0)))</f>
        <v>Outsourcing/offshoring data management requires DTIAs to verify that third-party arrangements maintain data security, regulatory compliance, and uninterrupted access for regulators.</v>
      </c>
      <c r="M129" s="7" t="str">
        <f>IF(ISNA(MATCH(120,'Transfer Engine'!$C$2:$C$1199,0)),"",INDEX('Compliance Database'!$M$2:$M$1199,MATCH(120,'Transfer Engine'!$C$2:$C$1199,0)))</f>
        <v>• [Must] Regulated entities must demonstrate ability to continue operations after loss of services
• [Must] Regulated entities must maintain quality of critical or sensitive data</v>
      </c>
      <c r="N129" s="7" t="str">
        <f>IF(ISNA(MATCH(120,'Transfer Engine'!$C$2:$C$1199,0)),"",INDEX('Compliance Database'!$N$2:$N$1199,MATCH(120,'Transfer Engine'!$C$2:$C$1199,0)))</f>
        <v>• [Must] Regulated entities must comply with legislative and prudential requirements
• [Must] Regulated entities must ensure no impediments to APRA's ability to fulfil regulatory duties</v>
      </c>
      <c r="O129" s="7" t="str">
        <f>IF(ISNA(MATCH(120,'Transfer Engine'!$C$2:$C$1199,0)),"",INDEX('Compliance Database'!$O$2:$O$1199,MATCH(120,'Transfer Engine'!$C$2:$C$1199,0)))</f>
        <v>When outsourcing/offshoring data management responsibilities, APRA expects that a regulated entity would be able to demonstrate the following: (a) ability to continue operations and meet core obligations following a loss of services; (b) maintenance of the quality of critical or sensitive data; (c) compliance with legislative and prudential requirements; and (d) a lack of impediments (from jurisdictional hurdles or technical complications) to APRA being able to fulfil its duties as prudential regulator (including timely access to data in a usable form).</v>
      </c>
      <c r="P129" s="6" t="str">
        <f>IF(ISNA(MATCH(120,'Transfer Engine'!$C$2:$C$1199,0)),"",HYPERLINK("#Acts!A"&amp;INDEX('Compliance Database'!$P$2:$P$1199,MATCH(120,'Transfer Engine'!$C$2:$C$1199,0)),"Go to Act"))</f>
        <v>Go to Act</v>
      </c>
    </row>
    <row r="130" spans="1:16" ht="172.95" customHeight="1" x14ac:dyDescent="0.3">
      <c r="A130" s="6" t="str">
        <f>IF(ISNA(MATCH(121,'Transfer Engine'!$C$2:$C$1199,0)),"",INDEX('Compliance Database'!$A$2:$A$1199,MATCH(121,'Transfer Engine'!$C$2:$C$1199,0)))</f>
        <v>Australia</v>
      </c>
      <c r="B130" s="6" t="str">
        <f>IF(ISNA(MATCH(121,'Transfer Engine'!$C$2:$C$1199,0)),"",INDEX('Compliance Database'!$B$2:$B$1199,MATCH(121,'Transfer Engine'!$C$2:$C$1199,0)))</f>
        <v>Prudential-Practice-Guide-CPG-235-Managing-Data-Risk_1 (Australia - Row 4)</v>
      </c>
      <c r="C130" s="6" t="str">
        <f>IF(ISNA(MATCH(121,'Transfer Engine'!$C$2:$C$1199,0)),"",INDEX('Compliance Database'!$C$2:$C$1199,MATCH(121,'Transfer Engine'!$C$2:$C$1199,0)))</f>
        <v>50</v>
      </c>
      <c r="D130" s="7" t="str">
        <f>IF(ISNA(MATCH(121,'Transfer Engine'!$C$2:$C$1199,0)),"",INDEX('Compliance Database'!$D$2:$D$1199,MATCH(121,'Transfer Engine'!$C$2:$C$1199,0)))</f>
        <v>Outsourcing/offshoring risk management framework</v>
      </c>
      <c r="E130" s="6" t="str">
        <f>IF(ISNA(MATCH(121,'Transfer Engine'!$C$2:$C$1199,0)),"",INDEX('Compliance Database'!$E$2:$E$1199,MATCH(121,'Transfer Engine'!$C$2:$C$1199,0)))</f>
        <v>14</v>
      </c>
      <c r="F130" s="6" t="str">
        <f>IF(ISNA(MATCH(121,'Transfer Engine'!$C$2:$C$1199,0)),"",INDEX('Compliance Database'!$F$2:$F$1199,MATCH(121,'Transfer Engine'!$C$2:$C$1199,0)))</f>
        <v>High</v>
      </c>
      <c r="G130" s="6" t="str">
        <f>IF(ISNA(MATCH(121,'Transfer Engine'!$C$2:$C$1199,0)),"",INDEX('Compliance Database'!$G$2:$G$1199,MATCH(121,'Transfer Engine'!$C$2:$C$1199,0)))</f>
        <v>High (explicit)</v>
      </c>
      <c r="H130" s="7" t="str">
        <f>IF(ISNA(MATCH(121,'Transfer Engine'!$C$2:$C$1199,0)),"",INDEX('Compliance Database'!$H$2:$H$1199,MATCH(121,'Transfer Engine'!$C$2:$C$1199,0)))</f>
        <v>Third Party Processing, Data Storage</v>
      </c>
      <c r="I130" s="7">
        <f>IF(ISNA(MATCH(121,'Transfer Engine'!$C$2:$C$1199,0)),"",INDEX('Compliance Database'!$I$2:$I$1199,MATCH(121,'Transfer Engine'!$C$2:$C$1199,0)))</f>
        <v>0</v>
      </c>
      <c r="J130" s="6" t="str">
        <f>IF(ISNA(MATCH(121,'Transfer Engine'!$C$2:$C$1199,0)),"",INDEX('Compliance Database'!$J$2:$J$1199,MATCH(121,'Transfer Engine'!$C$2:$C$1199,0)))</f>
        <v>Australian Prudential Regulation Authority</v>
      </c>
      <c r="K130" s="7" t="str">
        <f>IF(ISNA(MATCH(121,'Transfer Engine'!$C$2:$C$1199,0)),"",INDEX('Compliance Database'!$K$2:$K$1199,MATCH(121,'Transfer Engine'!$C$2:$C$1199,0)))</f>
        <v>This section mandates that regulated entities apply enterprise frameworks, detailed risk assessments, understanding of business processes, data sensitivity, alignment with data architecture, business cases, and periodic reassessment of risks when outsourcing or offshoring data management responsibilities. These requirements ensure ongoing risk management for data transfers.</v>
      </c>
      <c r="L130" s="7" t="str">
        <f>IF(ISNA(MATCH(121,'Transfer Engine'!$C$2:$C$1199,0)),"",INDEX('Compliance Database'!$L$2:$L$1199,MATCH(121,'Transfer Engine'!$C$2:$C$1199,0)))</f>
        <v>Outsourcing/offshoring risk frameworks are critical for DTIAs to ensure third-party data arrangements maintain robust security, compliance, and regulatory oversight capabilities.</v>
      </c>
      <c r="M130" s="7" t="str">
        <f>IF(ISNA(MATCH(121,'Transfer Engine'!$C$2:$C$1199,0)),"",INDEX('Compliance Database'!$M$2:$M$1199,MATCH(121,'Transfer Engine'!$C$2:$C$1199,0)))</f>
        <v>• [Must] Regulated entities must apply enterprise frameworks such as security, project management, system development, business continuity management, outsourcing/offshoring management, risk management and delegation limits
• [Must] Regulated entities must conduct detailed risk assessments of specific arrangements
• [Must] Regulated entities must understand the extent and nature of business processes and data sensitivity
• [Must] Regulated entities must align with data architecture supporting broader IT and business strategies</v>
      </c>
      <c r="N130" s="7" t="str">
        <f>IF(ISNA(MATCH(121,'Transfer Engine'!$C$2:$C$1199,0)),"",INDEX('Compliance Database'!$N$2:$N$1199,MATCH(121,'Transfer Engine'!$C$2:$C$1199,0)))</f>
        <v>• [Must] Regulated entities must justify additional risk exposures with a business case
• [Must] Regulated entities must have board/senior management approval of resulting risk profile
• [Must] Regulated entities must periodically reassess risks in line with risk management framework</v>
      </c>
      <c r="O130" s="7" t="str">
        <f>IF(ISNA(MATCH(121,'Transfer Engine'!$C$2:$C$1199,0)),"",INDEX('Compliance Database'!$O$2:$O$1199,MATCH(121,'Transfer Engine'!$C$2:$C$1199,0)))</f>
        <v>In APRA's view, the following would normally be applied to the assessment and ongoing management of outsourced/offshored data management responsibilities: (a) enterprise frameworks such as security, project management, system development, business continuity management, outsourcing/offshoring management, risk management and delegation limits; (b) detailed risk assessments of the specific arrangements underlying the services offered.</v>
      </c>
      <c r="P130" s="6" t="str">
        <f>IF(ISNA(MATCH(121,'Transfer Engine'!$C$2:$C$1199,0)),"",HYPERLINK("#Acts!A"&amp;INDEX('Compliance Database'!$P$2:$P$1199,MATCH(121,'Transfer Engine'!$C$2:$C$1199,0)),"Go to Act"))</f>
        <v>Go to Act</v>
      </c>
    </row>
    <row r="131" spans="1:16" ht="172.95" customHeight="1" x14ac:dyDescent="0.3">
      <c r="A131" s="6" t="str">
        <f>IF(ISNA(MATCH(122,'Transfer Engine'!$C$2:$C$1199,0)),"",INDEX('Compliance Database'!$A$2:$A$1199,MATCH(122,'Transfer Engine'!$C$2:$C$1199,0)))</f>
        <v>Australia</v>
      </c>
      <c r="B131" s="6" t="str">
        <f>IF(ISNA(MATCH(122,'Transfer Engine'!$C$2:$C$1199,0)),"",INDEX('Compliance Database'!$B$2:$B$1199,MATCH(122,'Transfer Engine'!$C$2:$C$1199,0)))</f>
        <v>Prudential-Practice-Guide-CPG-235-Managing-Data-Risk_1 (Australia - Row 4)</v>
      </c>
      <c r="C131" s="6" t="str">
        <f>IF(ISNA(MATCH(122,'Transfer Engine'!$C$2:$C$1199,0)),"",INDEX('Compliance Database'!$C$2:$C$1199,MATCH(122,'Transfer Engine'!$C$2:$C$1199,0)))</f>
        <v>51</v>
      </c>
      <c r="D131" s="7" t="str">
        <f>IF(ISNA(MATCH(122,'Transfer Engine'!$C$2:$C$1199,0)),"",INDEX('Compliance Database'!$D$2:$D$1199,MATCH(122,'Transfer Engine'!$C$2:$C$1199,0)))</f>
        <v>Data validation assesses data quality against business rules</v>
      </c>
      <c r="E131" s="6" t="str">
        <f>IF(ISNA(MATCH(122,'Transfer Engine'!$C$2:$C$1199,0)),"",INDEX('Compliance Database'!$E$2:$E$1199,MATCH(122,'Transfer Engine'!$C$2:$C$1199,0)))</f>
        <v>14</v>
      </c>
      <c r="F131" s="6" t="str">
        <f>IF(ISNA(MATCH(122,'Transfer Engine'!$C$2:$C$1199,0)),"",INDEX('Compliance Database'!$F$2:$F$1199,MATCH(122,'Transfer Engine'!$C$2:$C$1199,0)))</f>
        <v>Medium</v>
      </c>
      <c r="G131" s="6" t="str">
        <f>IF(ISNA(MATCH(122,'Transfer Engine'!$C$2:$C$1199,0)),"",INDEX('Compliance Database'!$G$2:$G$1199,MATCH(122,'Transfer Engine'!$C$2:$C$1199,0)))</f>
        <v>High (explicit)</v>
      </c>
      <c r="H131" s="7">
        <f>IF(ISNA(MATCH(122,'Transfer Engine'!$C$2:$C$1199,0)),"",INDEX('Compliance Database'!$H$2:$H$1199,MATCH(122,'Transfer Engine'!$C$2:$C$1199,0)))</f>
        <v>0</v>
      </c>
      <c r="I131" s="7" t="str">
        <f>IF(ISNA(MATCH(122,'Transfer Engine'!$C$2:$C$1199,0)),"",INDEX('Compliance Database'!$I$2:$I$1199,MATCH(122,'Transfer Engine'!$C$2:$C$1199,0)))</f>
        <v>Personal Information</v>
      </c>
      <c r="J131" s="6" t="str">
        <f>IF(ISNA(MATCH(122,'Transfer Engine'!$C$2:$C$1199,0)),"",INDEX('Compliance Database'!$J$2:$J$1199,MATCH(122,'Transfer Engine'!$C$2:$C$1199,0)))</f>
        <v>APRA</v>
      </c>
      <c r="K131" s="7" t="str">
        <f>IF(ISNA(MATCH(122,'Transfer Engine'!$C$2:$C$1199,0)),"",INDEX('Compliance Database'!$K$2:$K$1199,MATCH(122,'Transfer Engine'!$C$2:$C$1199,0)))</f>
        <v>This section defines data validation as assessing data against business rules to determine its fitness for use before further processing. It establishes data validation as a key control mechanism for ensuring data meets quality requirements. Regulated entities must implement this validation process to maintain data integrity throughout their operations.</v>
      </c>
      <c r="L131" s="7" t="str">
        <f>IF(ISNA(MATCH(122,'Transfer Engine'!$C$2:$C$1199,0)),"",INDEX('Compliance Database'!$L$2:$L$1199,MATCH(122,'Transfer Engine'!$C$2:$C$1199,0)))</f>
        <v>Data validation is critical for ensuring transferred data meets quality standards before processing, reducing risks associated with poor data quality in cross-border transfers.</v>
      </c>
      <c r="M131" s="7" t="str">
        <f>IF(ISNA(MATCH(122,'Transfer Engine'!$C$2:$C$1199,0)),"",INDEX('Compliance Database'!$M$2:$M$1199,MATCH(122,'Transfer Engine'!$C$2:$C$1199,0)))</f>
        <v>• [Must] Data validation assesses data against business rules to determine fitness for use prior to further processing</v>
      </c>
      <c r="N131" s="7" t="str">
        <f>IF(ISNA(MATCH(122,'Transfer Engine'!$C$2:$C$1199,0)),"",INDEX('Compliance Database'!$N$2:$N$1199,MATCH(122,'Transfer Engine'!$C$2:$C$1199,0)))</f>
        <v>• [Must] Data validation constitutes a key set of controls for ensuring data meets quality requirements</v>
      </c>
      <c r="O131" s="7" t="str">
        <f>IF(ISNA(MATCH(122,'Transfer Engine'!$C$2:$C$1199,0)),"",INDEX('Compliance Database'!$O$2:$O$1199,MATCH(122,'Transfer Engine'!$C$2:$C$1199,0)))</f>
        <v>Data validation is the assessment of the data against business rules to determine its fitness for use prior to further processing. It constitutes a key set of controls for ensuring that data meets quality requirements.</v>
      </c>
      <c r="P131" s="6" t="str">
        <f>IF(ISNA(MATCH(122,'Transfer Engine'!$C$2:$C$1199,0)),"",HYPERLINK("#Acts!A"&amp;INDEX('Compliance Database'!$P$2:$P$1199,MATCH(122,'Transfer Engine'!$C$2:$C$1199,0)),"Go to Act"))</f>
        <v>Go to Act</v>
      </c>
    </row>
    <row r="132" spans="1:16" ht="172.95" customHeight="1" x14ac:dyDescent="0.3">
      <c r="A132" s="6" t="str">
        <f>IF(ISNA(MATCH(123,'Transfer Engine'!$C$2:$C$1199,0)),"",INDEX('Compliance Database'!$A$2:$A$1199,MATCH(123,'Transfer Engine'!$C$2:$C$1199,0)))</f>
        <v>Australia</v>
      </c>
      <c r="B132" s="6" t="str">
        <f>IF(ISNA(MATCH(123,'Transfer Engine'!$C$2:$C$1199,0)),"",INDEX('Compliance Database'!$B$2:$B$1199,MATCH(123,'Transfer Engine'!$C$2:$C$1199,0)))</f>
        <v>Prudential-Practice-Guide-CPG-235-Managing-Data-Risk_1 (Australia - Row 4)</v>
      </c>
      <c r="C132" s="6" t="str">
        <f>IF(ISNA(MATCH(123,'Transfer Engine'!$C$2:$C$1199,0)),"",INDEX('Compliance Database'!$C$2:$C$1199,MATCH(123,'Transfer Engine'!$C$2:$C$1199,0)))</f>
        <v>53</v>
      </c>
      <c r="D132" s="7" t="str">
        <f>IF(ISNA(MATCH(123,'Transfer Engine'!$C$2:$C$1199,0)),"",INDEX('Compliance Database'!$D$2:$D$1199,MATCH(123,'Transfer Engine'!$C$2:$C$1199,0)))</f>
        <v>Data validation considerations for quality degradation</v>
      </c>
      <c r="E132" s="6" t="str">
        <f>IF(ISNA(MATCH(123,'Transfer Engine'!$C$2:$C$1199,0)),"",INDEX('Compliance Database'!$E$2:$E$1199,MATCH(123,'Transfer Engine'!$C$2:$C$1199,0)))</f>
        <v>14</v>
      </c>
      <c r="F132" s="6" t="str">
        <f>IF(ISNA(MATCH(123,'Transfer Engine'!$C$2:$C$1199,0)),"",INDEX('Compliance Database'!$F$2:$F$1199,MATCH(123,'Transfer Engine'!$C$2:$C$1199,0)))</f>
        <v>High</v>
      </c>
      <c r="G132" s="6" t="str">
        <f>IF(ISNA(MATCH(123,'Transfer Engine'!$C$2:$C$1199,0)),"",INDEX('Compliance Database'!$G$2:$G$1199,MATCH(123,'Transfer Engine'!$C$2:$C$1199,0)))</f>
        <v>High (explicit)</v>
      </c>
      <c r="H132" s="7">
        <f>IF(ISNA(MATCH(123,'Transfer Engine'!$C$2:$C$1199,0)),"",INDEX('Compliance Database'!$H$2:$H$1199,MATCH(123,'Transfer Engine'!$C$2:$C$1199,0)))</f>
        <v>0</v>
      </c>
      <c r="I132" s="7" t="str">
        <f>IF(ISNA(MATCH(123,'Transfer Engine'!$C$2:$C$1199,0)),"",INDEX('Compliance Database'!$I$2:$I$1199,MATCH(123,'Transfer Engine'!$C$2:$C$1199,0)))</f>
        <v>Financial Data</v>
      </c>
      <c r="J132" s="6" t="str">
        <f>IF(ISNA(MATCH(123,'Transfer Engine'!$C$2:$C$1199,0)),"",INDEX('Compliance Database'!$J$2:$J$1199,MATCH(123,'Transfer Engine'!$C$2:$C$1199,0)))</f>
        <v>APRA</v>
      </c>
      <c r="K132" s="7" t="str">
        <f>IF(ISNA(MATCH(123,'Transfer Engine'!$C$2:$C$1199,0)),"",INDEX('Compliance Database'!$K$2:$K$1199,MATCH(123,'Transfer Engine'!$C$2:$C$1199,0)))</f>
        <v>This section specifies that data validation must consider the level of trustworthiness of data sources and how data quality degrades over time. Regulated entities should design business processes to revalidate data periodically based on data criticality and risk of degradation to maintain data quality standards.</v>
      </c>
      <c r="L132" s="7" t="str">
        <f>IF(ISNA(MATCH(123,'Transfer Engine'!$C$2:$C$1199,0)),"",INDEX('Compliance Database'!$L$2:$L$1199,MATCH(123,'Transfer Engine'!$C$2:$C$1199,0)))</f>
        <v>Periodic revalidation of data is essential for maintaining data quality across borders, particularly for high-risk financial data where degradation could impact regulatory compliance.</v>
      </c>
      <c r="M132" s="7" t="str">
        <f>IF(ISNA(MATCH(123,'Transfer Engine'!$C$2:$C$1199,0)),"",INDEX('Compliance Database'!$M$2:$M$1199,MATCH(123,'Transfer Engine'!$C$2:$C$1199,0)))</f>
        <v>• [Should] Regulated entities should design business processes to revalidate data on a periodic basis to minimise data quality degradation</v>
      </c>
      <c r="N132" s="7" t="str">
        <f>IF(ISNA(MATCH(123,'Transfer Engine'!$C$2:$C$1199,0)),"",INDEX('Compliance Database'!$N$2:$N$1199,MATCH(123,'Transfer Engine'!$C$2:$C$1199,0)))</f>
        <v>• [Must] The comprehensiveness of revalidation would normally be commensurate with the criticality of the data and the risk of degradation</v>
      </c>
      <c r="O132" s="7" t="str">
        <f>IF(ISNA(MATCH(123,'Transfer Engine'!$C$2:$C$1199,0)),"",INDEX('Compliance Database'!$O$2:$O$1199,MATCH(123,'Transfer Engine'!$C$2:$C$1199,0)))</f>
        <v>Regulated entities would design business processes to revalidate data on a periodic basis to minimise the degree of data quality degradation. The comprehensiveness of revalidation would normally be commensurate with the criticality of the data and the risk of degradation.</v>
      </c>
      <c r="P132" s="6" t="str">
        <f>IF(ISNA(MATCH(123,'Transfer Engine'!$C$2:$C$1199,0)),"",HYPERLINK("#Acts!A"&amp;INDEX('Compliance Database'!$P$2:$P$1199,MATCH(123,'Transfer Engine'!$C$2:$C$1199,0)),"Go to Act"))</f>
        <v>Go to Act</v>
      </c>
    </row>
    <row r="133" spans="1:16" ht="172.95" customHeight="1" x14ac:dyDescent="0.3">
      <c r="A133" s="6" t="str">
        <f>IF(ISNA(MATCH(124,'Transfer Engine'!$C$2:$C$1199,0)),"",INDEX('Compliance Database'!$A$2:$A$1199,MATCH(124,'Transfer Engine'!$C$2:$C$1199,0)))</f>
        <v>Australia</v>
      </c>
      <c r="B133" s="6" t="str">
        <f>IF(ISNA(MATCH(124,'Transfer Engine'!$C$2:$C$1199,0)),"",INDEX('Compliance Database'!$B$2:$B$1199,MATCH(124,'Transfer Engine'!$C$2:$C$1199,0)))</f>
        <v>Prudential-Practice-Guide-CPG-235-Managing-Data-Risk_1 (Australia - Row 4)</v>
      </c>
      <c r="C133" s="6" t="str">
        <f>IF(ISNA(MATCH(124,'Transfer Engine'!$C$2:$C$1199,0)),"",INDEX('Compliance Database'!$C$2:$C$1199,MATCH(124,'Transfer Engine'!$C$2:$C$1199,0)))</f>
        <v>54</v>
      </c>
      <c r="D133" s="7" t="str">
        <f>IF(ISNA(MATCH(124,'Transfer Engine'!$C$2:$C$1199,0)),"",INDEX('Compliance Database'!$D$2:$D$1199,MATCH(124,'Transfer Engine'!$C$2:$C$1199,0)))</f>
        <v>Common data validation techniques and methods</v>
      </c>
      <c r="E133" s="6" t="str">
        <f>IF(ISNA(MATCH(124,'Transfer Engine'!$C$2:$C$1199,0)),"",INDEX('Compliance Database'!$E$2:$E$1199,MATCH(124,'Transfer Engine'!$C$2:$C$1199,0)))</f>
        <v>14–15</v>
      </c>
      <c r="F133" s="6" t="str">
        <f>IF(ISNA(MATCH(124,'Transfer Engine'!$C$2:$C$1199,0)),"",INDEX('Compliance Database'!$F$2:$F$1199,MATCH(124,'Transfer Engine'!$C$2:$C$1199,0)))</f>
        <v>High</v>
      </c>
      <c r="G133" s="6" t="str">
        <f>IF(ISNA(MATCH(124,'Transfer Engine'!$C$2:$C$1199,0)),"",INDEX('Compliance Database'!$G$2:$G$1199,MATCH(124,'Transfer Engine'!$C$2:$C$1199,0)))</f>
        <v>High (explicit)</v>
      </c>
      <c r="H133" s="7">
        <f>IF(ISNA(MATCH(124,'Transfer Engine'!$C$2:$C$1199,0)),"",INDEX('Compliance Database'!$H$2:$H$1199,MATCH(124,'Transfer Engine'!$C$2:$C$1199,0)))</f>
        <v>0</v>
      </c>
      <c r="I133" s="7" t="str">
        <f>IF(ISNA(MATCH(124,'Transfer Engine'!$C$2:$C$1199,0)),"",INDEX('Compliance Database'!$I$2:$I$1199,MATCH(124,'Transfer Engine'!$C$2:$C$1199,0)))</f>
        <v>Financial Data</v>
      </c>
      <c r="J133" s="6" t="str">
        <f>IF(ISNA(MATCH(124,'Transfer Engine'!$C$2:$C$1199,0)),"",INDEX('Compliance Database'!$J$2:$J$1199,MATCH(124,'Transfer Engine'!$C$2:$C$1199,0)))</f>
        <v>APRA</v>
      </c>
      <c r="K133" s="7" t="str">
        <f>IF(ISNA(MATCH(124,'Transfer Engine'!$C$2:$C$1199,0)),"",INDEX('Compliance Database'!$K$2:$K$1199,MATCH(124,'Transfer Engine'!$C$2:$C$1199,0)))</f>
        <v>This section lists common data validation techniques including format verification, type checks, value range validation, and dataset-level methods such as control totalling, reconciliation, benchmarking, data profiling, and expert review for reasonableness. These techniques help ensure data accuracy and completeness before processing.</v>
      </c>
      <c r="L133" s="7" t="str">
        <f>IF(ISNA(MATCH(124,'Transfer Engine'!$C$2:$C$1199,0)),"",INDEX('Compliance Database'!$L$2:$L$1199,MATCH(124,'Transfer Engine'!$C$2:$C$1199,0)))</f>
        <v>These validation techniques are critical for ensuring data quality in cross-border transfers, particularly for financial data where accuracy impacts regulatory compliance and risk management.</v>
      </c>
      <c r="M133" s="7" t="str">
        <f>IF(ISNA(MATCH(124,'Transfer Engine'!$C$2:$C$1199,0)),"",INDEX('Compliance Database'!$M$2:$M$1199,MATCH(124,'Transfer Engine'!$C$2:$C$1199,0)))</f>
        <v>• [Must] Verification of format, type, value range, currency, presence, consistency and completeness
• [Must] Control totalling: aggregation techniques including hash totalling, amount totalling and record counts
• [Must] Reconciliation: comparing two sets of data and explaining variances</v>
      </c>
      <c r="N133" s="7" t="str">
        <f>IF(ISNA(MATCH(124,'Transfer Engine'!$C$2:$C$1199,0)),"",INDEX('Compliance Database'!$N$2:$N$1199,MATCH(124,'Transfer Engine'!$C$2:$C$1199,0)))</f>
        <v>• [Must] Benchmarking: comparing two sets of data that would normally exhibit similar characteristics to highlight material variations
• [Must] Data profiling: examination of a data set to gather statistics and highlight data anomalies
• [Must] Review of data for reasonableness using expert judgement</v>
      </c>
      <c r="O133" s="7" t="str">
        <f>IF(ISNA(MATCH(124,'Transfer Engine'!$C$2:$C$1199,0)),"",INDEX('Compliance Database'!$O$2:$O$1199,MATCH(124,'Transfer Engine'!$C$2:$C$1199,0)))</f>
        <v>Common forms of data validation include verification of format, type, value range, currency, presence, consistency and completeness. Data validation can also be usefully conducted at a dataset level such as the use of: (a) control totalling, (b) reconciliation, (c) benchmarking, (d) data profiling, and (e) a review of data for reasonableness using expert judgement.</v>
      </c>
      <c r="P133" s="6" t="str">
        <f>IF(ISNA(MATCH(124,'Transfer Engine'!$C$2:$C$1199,0)),"",HYPERLINK("#Acts!A"&amp;INDEX('Compliance Database'!$P$2:$P$1199,MATCH(124,'Transfer Engine'!$C$2:$C$1199,0)),"Go to Act"))</f>
        <v>Go to Act</v>
      </c>
    </row>
    <row r="134" spans="1:16" ht="172.95" customHeight="1" x14ac:dyDescent="0.3">
      <c r="A134" s="6" t="str">
        <f>IF(ISNA(MATCH(125,'Transfer Engine'!$C$2:$C$1199,0)),"",INDEX('Compliance Database'!$A$2:$A$1199,MATCH(125,'Transfer Engine'!$C$2:$C$1199,0)))</f>
        <v>Australia</v>
      </c>
      <c r="B134" s="6" t="str">
        <f>IF(ISNA(MATCH(125,'Transfer Engine'!$C$2:$C$1199,0)),"",INDEX('Compliance Database'!$B$2:$B$1199,MATCH(125,'Transfer Engine'!$C$2:$C$1199,0)))</f>
        <v>Prudential-Practice-Guide-CPG-235-Managing-Data-Risk_1 (Australia - Row 4)</v>
      </c>
      <c r="C134" s="6" t="str">
        <f>IF(ISNA(MATCH(125,'Transfer Engine'!$C$2:$C$1199,0)),"",INDEX('Compliance Database'!$C$2:$C$1199,MATCH(125,'Transfer Engine'!$C$2:$C$1199,0)))</f>
        <v>56</v>
      </c>
      <c r="D134" s="7" t="str">
        <f>IF(ISNA(MATCH(125,'Transfer Engine'!$C$2:$C$1199,0)),"",INDEX('Compliance Database'!$D$2:$D$1199,MATCH(125,'Transfer Engine'!$C$2:$C$1199,0)))</f>
        <v>Documenting data validation processes and accountability</v>
      </c>
      <c r="E134" s="6" t="str">
        <f>IF(ISNA(MATCH(125,'Transfer Engine'!$C$2:$C$1199,0)),"",INDEX('Compliance Database'!$E$2:$E$1199,MATCH(125,'Transfer Engine'!$C$2:$C$1199,0)))</f>
        <v>15</v>
      </c>
      <c r="F134" s="6" t="str">
        <f>IF(ISNA(MATCH(125,'Transfer Engine'!$C$2:$C$1199,0)),"",INDEX('Compliance Database'!$F$2:$F$1199,MATCH(125,'Transfer Engine'!$C$2:$C$1199,0)))</f>
        <v>High</v>
      </c>
      <c r="G134" s="6" t="str">
        <f>IF(ISNA(MATCH(125,'Transfer Engine'!$C$2:$C$1199,0)),"",INDEX('Compliance Database'!$G$2:$G$1199,MATCH(125,'Transfer Engine'!$C$2:$C$1199,0)))</f>
        <v>High (explicit)</v>
      </c>
      <c r="H134" s="7">
        <f>IF(ISNA(MATCH(125,'Transfer Engine'!$C$2:$C$1199,0)),"",INDEX('Compliance Database'!$H$2:$H$1199,MATCH(125,'Transfer Engine'!$C$2:$C$1199,0)))</f>
        <v>0</v>
      </c>
      <c r="I134" s="7" t="str">
        <f>IF(ISNA(MATCH(125,'Transfer Engine'!$C$2:$C$1199,0)),"",INDEX('Compliance Database'!$I$2:$I$1199,MATCH(125,'Transfer Engine'!$C$2:$C$1199,0)))</f>
        <v>Financial Data</v>
      </c>
      <c r="J134" s="6" t="str">
        <f>IF(ISNA(MATCH(125,'Transfer Engine'!$C$2:$C$1199,0)),"",INDEX('Compliance Database'!$J$2:$J$1199,MATCH(125,'Transfer Engine'!$C$2:$C$1199,0)))</f>
        <v>APRA</v>
      </c>
      <c r="K134" s="7" t="str">
        <f>IF(ISNA(MATCH(125,'Transfer Engine'!$C$2:$C$1199,0)),"",INDEX('Compliance Database'!$K$2:$K$1199,MATCH(125,'Transfer Engine'!$C$2:$C$1199,0)))</f>
        <v>This section requires regulated entities to document data validation processes, including their nature, frequency, granularity, and accountability for detecting, investigating, reporting, and escalating data anomalies. It also states that data validation processes should inform the design of data quality metrics.</v>
      </c>
      <c r="L134" s="7" t="str">
        <f>IF(ISNA(MATCH(125,'Transfer Engine'!$C$2:$C$1199,0)),"",INDEX('Compliance Database'!$L$2:$L$1199,MATCH(125,'Transfer Engine'!$C$2:$C$1199,0)))</f>
        <v>Documenting data validation processes ensures transparency and accountability in data handling, which is critical for cross-border data transfers where data quality impacts regulatory compliance.</v>
      </c>
      <c r="M134" s="7" t="str">
        <f>IF(ISNA(MATCH(125,'Transfer Engine'!$C$2:$C$1199,0)),"",INDEX('Compliance Database'!$M$2:$M$1199,MATCH(125,'Transfer Engine'!$C$2:$C$1199,0)))</f>
        <v>• [Must] Regulated entities must document data validation processes, including their nature, frequency and level of granularity
• [Must] Regulated entities must provide clear allocation of accountabilities for detection, investigation, reporting and escalation of data anomalies</v>
      </c>
      <c r="N134" s="7" t="str">
        <f>IF(ISNA(MATCH(125,'Transfer Engine'!$C$2:$C$1199,0)),"",INDEX('Compliance Database'!$N$2:$N$1199,MATCH(125,'Transfer Engine'!$C$2:$C$1199,0)))</f>
        <v>• [Should] Data validation processes can be a key consideration when designing data quality metrics</v>
      </c>
      <c r="O134" s="7" t="str">
        <f>IF(ISNA(MATCH(125,'Transfer Engine'!$C$2:$C$1199,0)),"",INDEX('Compliance Database'!$O$2:$O$1199,MATCH(125,'Transfer Engine'!$C$2:$C$1199,0)))</f>
        <v>A regulated entity would normally document data validation processes, including their nature, frequency and level of granularity, and provide clear allocation of accountabilities for the detection, investigation, reporting and escalation of data anomalies.</v>
      </c>
      <c r="P134" s="6" t="str">
        <f>IF(ISNA(MATCH(125,'Transfer Engine'!$C$2:$C$1199,0)),"",HYPERLINK("#Acts!A"&amp;INDEX('Compliance Database'!$P$2:$P$1199,MATCH(125,'Transfer Engine'!$C$2:$C$1199,0)),"Go to Act"))</f>
        <v>Go to Act</v>
      </c>
    </row>
    <row r="135" spans="1:16" ht="172.95" customHeight="1" x14ac:dyDescent="0.3">
      <c r="A135" s="6" t="str">
        <f>IF(ISNA(MATCH(126,'Transfer Engine'!$C$2:$C$1199,0)),"",INDEX('Compliance Database'!$A$2:$A$1199,MATCH(126,'Transfer Engine'!$C$2:$C$1199,0)))</f>
        <v>Australia</v>
      </c>
      <c r="B135" s="6" t="str">
        <f>IF(ISNA(MATCH(126,'Transfer Engine'!$C$2:$C$1199,0)),"",INDEX('Compliance Database'!$B$2:$B$1199,MATCH(126,'Transfer Engine'!$C$2:$C$1199,0)))</f>
        <v>Prudential-Practice-Guide-CPG-235-Managing-Data-Risk_1 (Australia - Row 4)</v>
      </c>
      <c r="C135" s="6" t="str">
        <f>IF(ISNA(MATCH(126,'Transfer Engine'!$C$2:$C$1199,0)),"",INDEX('Compliance Database'!$C$2:$C$1199,MATCH(126,'Transfer Engine'!$C$2:$C$1199,0)))</f>
        <v>60</v>
      </c>
      <c r="D135" s="7" t="str">
        <f>IF(ISNA(MATCH(126,'Transfer Engine'!$C$2:$C$1199,0)),"",INDEX('Compliance Database'!$D$2:$D$1199,MATCH(126,'Transfer Engine'!$C$2:$C$1199,0)))</f>
        <v>Data issue management processes</v>
      </c>
      <c r="E135" s="6" t="str">
        <f>IF(ISNA(MATCH(126,'Transfer Engine'!$C$2:$C$1199,0)),"",INDEX('Compliance Database'!$E$2:$E$1199,MATCH(126,'Transfer Engine'!$C$2:$C$1199,0)))</f>
        <v>15–16</v>
      </c>
      <c r="F135" s="6" t="str">
        <f>IF(ISNA(MATCH(126,'Transfer Engine'!$C$2:$C$1199,0)),"",INDEX('Compliance Database'!$F$2:$F$1199,MATCH(126,'Transfer Engine'!$C$2:$C$1199,0)))</f>
        <v>High</v>
      </c>
      <c r="G135" s="6" t="str">
        <f>IF(ISNA(MATCH(126,'Transfer Engine'!$C$2:$C$1199,0)),"",INDEX('Compliance Database'!$G$2:$G$1199,MATCH(126,'Transfer Engine'!$C$2:$C$1199,0)))</f>
        <v>High (explicit)</v>
      </c>
      <c r="H135" s="7">
        <f>IF(ISNA(MATCH(126,'Transfer Engine'!$C$2:$C$1199,0)),"",INDEX('Compliance Database'!$H$2:$H$1199,MATCH(126,'Transfer Engine'!$C$2:$C$1199,0)))</f>
        <v>0</v>
      </c>
      <c r="I135" s="7" t="str">
        <f>IF(ISNA(MATCH(126,'Transfer Engine'!$C$2:$C$1199,0)),"",INDEX('Compliance Database'!$I$2:$I$1199,MATCH(126,'Transfer Engine'!$C$2:$C$1199,0)))</f>
        <v>Financial Data</v>
      </c>
      <c r="J135" s="6" t="str">
        <f>IF(ISNA(MATCH(126,'Transfer Engine'!$C$2:$C$1199,0)),"",INDEX('Compliance Database'!$J$2:$J$1199,MATCH(126,'Transfer Engine'!$C$2:$C$1199,0)))</f>
        <v>APRA</v>
      </c>
      <c r="K135" s="7" t="str">
        <f>IF(ISNA(MATCH(126,'Transfer Engine'!$C$2:$C$1199,0)),"",INDEX('Compliance Database'!$K$2:$K$1199,MATCH(126,'Transfer Engine'!$C$2:$C$1199,0)))</f>
        <v>This section outlines that regulated entities must develop processes to manage all stages of data issues, including detection, identification, containment, investigation, evidence gathering, resolution, return to business-as-usual, and adjustment of controls. Common data issues include processing errors, lack of timeliness, pricing errors, data leakage, instruction failures, migration issues, and unfit data.</v>
      </c>
      <c r="L135" s="7" t="str">
        <f>IF(ISNA(MATCH(126,'Transfer Engine'!$C$2:$C$1199,0)),"",INDEX('Compliance Database'!$L$2:$L$1199,MATCH(126,'Transfer Engine'!$C$2:$C$1199,0)))</f>
        <v>Robust data issue management processes are essential for maintaining data quality in cross-border transfers, particularly for financial data where errors can lead to regulatory non-compliance and financial losses.</v>
      </c>
      <c r="M135" s="7" t="str">
        <f>IF(ISNA(MATCH(126,'Transfer Engine'!$C$2:$C$1199,0)),"",INDEX('Compliance Database'!$M$2:$M$1199,MATCH(126,'Transfer Engine'!$C$2:$C$1199,0)))</f>
        <v>• [Must] Regulated entities must develop processes to manage all stages of a data issue including detection, identification, containment, investigation, evidence gathering, resolution, return to business-as-usual and adjustment of controls
• [Must] Common data issues include processing errors impacting accuracy and completeness of balances and transactions
• [Must] Common data issues include lack of timeliness in updating data to reflect recent market conditions
• [Must] Common data issues include inadequate data availability, accuracy or consistency resulting in pricing and valuation errors</v>
      </c>
      <c r="N135" s="7" t="str">
        <f>IF(ISNA(MATCH(126,'Transfer Engine'!$C$2:$C$1199,0)),"",INDEX('Compliance Database'!$N$2:$N$1199,MATCH(126,'Transfer Engine'!$C$2:$C$1199,0)))</f>
        <v>• [Must] Common data issues include data leakage leading to breach of confidentiality
• [Must] Common data issues include failure to accurately execute instructions in a timely manner
• [Must] Common data issues include failure to maintain data quality when migrating data to another system
• [Must] Common data issues include data that is not fit-for-use resulting in poor business decisions</v>
      </c>
      <c r="O135" s="7" t="str">
        <f>IF(ISNA(MATCH(126,'Transfer Engine'!$C$2:$C$1199,0)),"",INDEX('Compliance Database'!$O$2:$O$1199,MATCH(126,'Transfer Engine'!$C$2:$C$1199,0)))</f>
        <v>APRA envisages that a regulated entity would develop appropriate processes to manage all stages of a data issue including detection, identification, containment, investigation, evidence gathering, resolution, return to business-as-usual and the adjustment of controls to reduce the risk of similar issues in the future.</v>
      </c>
      <c r="P135" s="6" t="str">
        <f>IF(ISNA(MATCH(126,'Transfer Engine'!$C$2:$C$1199,0)),"",HYPERLINK("#Acts!A"&amp;INDEX('Compliance Database'!$P$2:$P$1199,MATCH(126,'Transfer Engine'!$C$2:$C$1199,0)),"Go to Act"))</f>
        <v>Go to Act</v>
      </c>
    </row>
    <row r="136" spans="1:16" ht="172.95" customHeight="1" x14ac:dyDescent="0.3">
      <c r="A136" s="6" t="str">
        <f>IF(ISNA(MATCH(127,'Transfer Engine'!$C$2:$C$1199,0)),"",INDEX('Compliance Database'!$A$2:$A$1199,MATCH(127,'Transfer Engine'!$C$2:$C$1199,0)))</f>
        <v>Australia</v>
      </c>
      <c r="B136" s="6" t="str">
        <f>IF(ISNA(MATCH(127,'Transfer Engine'!$C$2:$C$1199,0)),"",INDEX('Compliance Database'!$B$2:$B$1199,MATCH(127,'Transfer Engine'!$C$2:$C$1199,0)))</f>
        <v>Prudential-Practice-Guide-CPG-235-Managing-Data-Risk_1 (Australia - Row 4)</v>
      </c>
      <c r="C136" s="6" t="str">
        <f>IF(ISNA(MATCH(127,'Transfer Engine'!$C$2:$C$1199,0)),"",INDEX('Compliance Database'!$C$2:$C$1199,MATCH(127,'Transfer Engine'!$C$2:$C$1199,0)))</f>
        <v>61</v>
      </c>
      <c r="D136" s="7" t="str">
        <f>IF(ISNA(MATCH(127,'Transfer Engine'!$C$2:$C$1199,0)),"",INDEX('Compliance Database'!$D$2:$D$1199,MATCH(127,'Transfer Engine'!$C$2:$C$1199,0)))</f>
        <v>Data issue response and root cause analysis</v>
      </c>
      <c r="E136" s="6" t="str">
        <f>IF(ISNA(MATCH(127,'Transfer Engine'!$C$2:$C$1199,0)),"",INDEX('Compliance Database'!$E$2:$E$1199,MATCH(127,'Transfer Engine'!$C$2:$C$1199,0)))</f>
        <v>16</v>
      </c>
      <c r="F136" s="6" t="str">
        <f>IF(ISNA(MATCH(127,'Transfer Engine'!$C$2:$C$1199,0)),"",INDEX('Compliance Database'!$F$2:$F$1199,MATCH(127,'Transfer Engine'!$C$2:$C$1199,0)))</f>
        <v>High</v>
      </c>
      <c r="G136" s="6" t="str">
        <f>IF(ISNA(MATCH(127,'Transfer Engine'!$C$2:$C$1199,0)),"",INDEX('Compliance Database'!$G$2:$G$1199,MATCH(127,'Transfer Engine'!$C$2:$C$1199,0)))</f>
        <v>High (explicit)</v>
      </c>
      <c r="H136" s="7">
        <f>IF(ISNA(MATCH(127,'Transfer Engine'!$C$2:$C$1199,0)),"",INDEX('Compliance Database'!$H$2:$H$1199,MATCH(127,'Transfer Engine'!$C$2:$C$1199,0)))</f>
        <v>0</v>
      </c>
      <c r="I136" s="7" t="str">
        <f>IF(ISNA(MATCH(127,'Transfer Engine'!$C$2:$C$1199,0)),"",INDEX('Compliance Database'!$I$2:$I$1199,MATCH(127,'Transfer Engine'!$C$2:$C$1199,0)))</f>
        <v>Financial Data</v>
      </c>
      <c r="J136" s="6" t="str">
        <f>IF(ISNA(MATCH(127,'Transfer Engine'!$C$2:$C$1199,0)),"",INDEX('Compliance Database'!$J$2:$J$1199,MATCH(127,'Transfer Engine'!$C$2:$C$1199,0)))</f>
        <v>APRA</v>
      </c>
      <c r="K136" s="7" t="str">
        <f>IF(ISNA(MATCH(127,'Transfer Engine'!$C$2:$C$1199,0)),"",INDEX('Compliance Database'!$K$2:$K$1199,MATCH(127,'Transfer Engine'!$C$2:$C$1199,0)))</f>
        <v>This section requires regulated entities to have clear accountability and communication strategies to limit the impact of data issues, including defined escalation and reporting mechanisms to the Board and senior management. It also mandates root cause analysis to identify underlying causes and adjust controls to prevent future occurrences, with prioritization of remediation based on resource constraints.</v>
      </c>
      <c r="L136" s="7" t="str">
        <f>IF(ISNA(MATCH(127,'Transfer Engine'!$C$2:$C$1199,0)),"",INDEX('Compliance Database'!$L$2:$L$1199,MATCH(127,'Transfer Engine'!$C$2:$C$1199,0)))</f>
        <v>Effective data issue response and root cause analysis are critical for maintaining data quality in cross-border transfers, ensuring timely resolution of issues that could impact financial compliance and regulatory reporting.</v>
      </c>
      <c r="M136" s="7" t="str">
        <f>IF(ISNA(MATCH(127,'Transfer Engine'!$C$2:$C$1199,0)),"",INDEX('Compliance Database'!$M$2:$M$1199,MATCH(127,'Transfer Engine'!$C$2:$C$1199,0)))</f>
        <v>• [Must] Regulated entities must have clear accountability and communication strategies to limit the impact of data issues
• [Must] Regulated entities must define mechanisms and thresholds for escalation and reporting to the Board and senior management</v>
      </c>
      <c r="N136" s="7" t="str">
        <f>IF(ISNA(MATCH(127,'Transfer Engine'!$C$2:$C$1199,0)),"",INDEX('Compliance Database'!$N$2:$N$1199,MATCH(127,'Transfer Engine'!$C$2:$C$1199,0)))</f>
        <v>• [Must] Regulated entities must conduct root cause analysis of data issues to identify underlying causes and adjust controls
• [Should] Regulated entities must prioritize remediation of data issues due to resource constraints</v>
      </c>
      <c r="O136" s="7" t="str">
        <f>IF(ISNA(MATCH(127,'Transfer Engine'!$C$2:$C$1199,0)),"",INDEX('Compliance Database'!$O$2:$O$1199,MATCH(127,'Transfer Engine'!$C$2:$C$1199,0)))</f>
        <v>Subject to the nature of the data, a regulated entity would: (a) have clear accountability and communication strategies to limit the impact of data issues, including defined mechanisms and thresholds for escalation and reporting to the Board and senior management, and customer communication where appropriate; and (b) conduct root cause analysis of the data issue, where the underlying cause is identified and analysed, with controls adjusted to reduce the likelihood of future occurrence.</v>
      </c>
      <c r="P136" s="6" t="str">
        <f>IF(ISNA(MATCH(127,'Transfer Engine'!$C$2:$C$1199,0)),"",HYPERLINK("#Acts!A"&amp;INDEX('Compliance Database'!$P$2:$P$1199,MATCH(127,'Transfer Engine'!$C$2:$C$1199,0)),"Go to Act"))</f>
        <v>Go to Act</v>
      </c>
    </row>
    <row r="137" spans="1:16" ht="172.95" customHeight="1" x14ac:dyDescent="0.3">
      <c r="A137" s="6" t="str">
        <f>IF(ISNA(MATCH(128,'Transfer Engine'!$C$2:$C$1199,0)),"",INDEX('Compliance Database'!$A$2:$A$1199,MATCH(128,'Transfer Engine'!$C$2:$C$1199,0)))</f>
        <v>Australia</v>
      </c>
      <c r="B137" s="6" t="str">
        <f>IF(ISNA(MATCH(128,'Transfer Engine'!$C$2:$C$1199,0)),"",INDEX('Compliance Database'!$B$2:$B$1199,MATCH(128,'Transfer Engine'!$C$2:$C$1199,0)))</f>
        <v>Prudential-Practice-Guide-CPG-235-Managing-Data-Risk_1 (Australia - Row 4)</v>
      </c>
      <c r="C137" s="6" t="str">
        <f>IF(ISNA(MATCH(128,'Transfer Engine'!$C$2:$C$1199,0)),"",INDEX('Compliance Database'!$C$2:$C$1199,MATCH(128,'Transfer Engine'!$C$2:$C$1199,0)))</f>
        <v>63</v>
      </c>
      <c r="D137" s="7" t="str">
        <f>IF(ISNA(MATCH(128,'Transfer Engine'!$C$2:$C$1199,0)),"",INDEX('Compliance Database'!$D$2:$D$1199,MATCH(128,'Transfer Engine'!$C$2:$C$1199,0)))</f>
        <v>Data quality metrics for assessing data risk success</v>
      </c>
      <c r="E137" s="6" t="str">
        <f>IF(ISNA(MATCH(128,'Transfer Engine'!$C$2:$C$1199,0)),"",INDEX('Compliance Database'!$E$2:$E$1199,MATCH(128,'Transfer Engine'!$C$2:$C$1199,0)))</f>
        <v>16</v>
      </c>
      <c r="F137" s="6" t="str">
        <f>IF(ISNA(MATCH(128,'Transfer Engine'!$C$2:$C$1199,0)),"",INDEX('Compliance Database'!$F$2:$F$1199,MATCH(128,'Transfer Engine'!$C$2:$C$1199,0)))</f>
        <v>Low</v>
      </c>
      <c r="G137" s="6" t="str">
        <f>IF(ISNA(MATCH(128,'Transfer Engine'!$C$2:$C$1199,0)),"",INDEX('Compliance Database'!$G$2:$G$1199,MATCH(128,'Transfer Engine'!$C$2:$C$1199,0)))</f>
        <v>High (explicit)</v>
      </c>
      <c r="H137" s="7">
        <f>IF(ISNA(MATCH(128,'Transfer Engine'!$C$2:$C$1199,0)),"",INDEX('Compliance Database'!$H$2:$H$1199,MATCH(128,'Transfer Engine'!$C$2:$C$1199,0)))</f>
        <v>0</v>
      </c>
      <c r="I137" s="7" t="str">
        <f>IF(ISNA(MATCH(128,'Transfer Engine'!$C$2:$C$1199,0)),"",INDEX('Compliance Database'!$I$2:$I$1199,MATCH(128,'Transfer Engine'!$C$2:$C$1199,0)))</f>
        <v>Personal Information</v>
      </c>
      <c r="J137" s="6">
        <f>IF(ISNA(MATCH(128,'Transfer Engine'!$C$2:$C$1199,0)),"",INDEX('Compliance Database'!$J$2:$J$1199,MATCH(128,'Transfer Engine'!$C$2:$C$1199,0)))</f>
        <v>0</v>
      </c>
      <c r="K137" s="7" t="str">
        <f>IF(ISNA(MATCH(128,'Transfer Engine'!$C$2:$C$1199,0)),"",INDEX('Compliance Database'!$K$2:$K$1199,MATCH(128,'Transfer Engine'!$C$2:$C$1199,0)))</f>
        <v>This section states that data quality metrics help evaluate data quality and data risk management effectiveness. The metrics should focus on areas with regulatory, legal, or industry requirements and those with high sensitivity or criticality as identified by the risk assessment process. These areas are prioritized to ensure data risk management aligns with compliance needs and risk levels.</v>
      </c>
      <c r="L137" s="7">
        <f>IF(ISNA(MATCH(128,'Transfer Engine'!$C$2:$C$1199,0)),"",INDEX('Compliance Database'!$L$2:$L$1199,MATCH(128,'Transfer Engine'!$C$2:$C$1199,0)))</f>
        <v>0</v>
      </c>
      <c r="M137" s="7" t="str">
        <f>IF(ISNA(MATCH(128,'Transfer Engine'!$C$2:$C$1199,0)),"",INDEX('Compliance Database'!$M$2:$M$1199,MATCH(128,'Transfer Engine'!$C$2:$C$1199,0)))</f>
        <v>• [Must] Data quality metrics are a useful mechanism for assessing data quality and data risk management success
• [Must] Metrics should be targeted to areas with regulatory, legal, and specific industry requirements</v>
      </c>
      <c r="N137" s="7" t="str">
        <f>IF(ISNA(MATCH(128,'Transfer Engine'!$C$2:$C$1199,0)),"",INDEX('Compliance Database'!$N$2:$N$1199,MATCH(128,'Transfer Engine'!$C$2:$C$1199,0)))</f>
        <v>• [Must] Metrics should be targeted to areas with the greatest sensitivity/criticality as determined by the risk assessment process</v>
      </c>
      <c r="O137" s="7" t="str">
        <f>IF(ISNA(MATCH(128,'Transfer Engine'!$C$2:$C$1199,0)),"",INDEX('Compliance Database'!$O$2:$O$1199,MATCH(128,'Transfer Engine'!$C$2:$C$1199,0)))</f>
        <v>Data quality metrics are a useful mechanism for assessing data quality and the success of data risk management. Typically, the use of metrics would be targeted to areas: (a) where there are regulatory, legal and specific industry requirements; and (b) that have the greatest sensitivity/criticality, as determined by the risk assessment process.</v>
      </c>
      <c r="P137" s="6" t="str">
        <f>IF(ISNA(MATCH(128,'Transfer Engine'!$C$2:$C$1199,0)),"",HYPERLINK("#Acts!A"&amp;INDEX('Compliance Database'!$P$2:$P$1199,MATCH(128,'Transfer Engine'!$C$2:$C$1199,0)),"Go to Act"))</f>
        <v>Go to Act</v>
      </c>
    </row>
    <row r="138" spans="1:16" ht="172.95" customHeight="1" x14ac:dyDescent="0.3">
      <c r="A138" s="6" t="str">
        <f>IF(ISNA(MATCH(129,'Transfer Engine'!$C$2:$C$1199,0)),"",INDEX('Compliance Database'!$A$2:$A$1199,MATCH(129,'Transfer Engine'!$C$2:$C$1199,0)))</f>
        <v>Australia</v>
      </c>
      <c r="B138" s="6" t="str">
        <f>IF(ISNA(MATCH(129,'Transfer Engine'!$C$2:$C$1199,0)),"",INDEX('Compliance Database'!$B$2:$B$1199,MATCH(129,'Transfer Engine'!$C$2:$C$1199,0)))</f>
        <v>Prudential-Standard-CPS-232-Business-Continuity-Management-(July-2017) (Australia - Row 5)</v>
      </c>
      <c r="C138" s="6" t="str">
        <f>IF(ISNA(MATCH(129,'Transfer Engine'!$C$2:$C$1199,0)),"",INDEX('Compliance Database'!$C$2:$C$1199,MATCH(129,'Transfer Engine'!$C$2:$C$1199,0)))</f>
        <v>1</v>
      </c>
      <c r="D138" s="7" t="str">
        <f>IF(ISNA(MATCH(129,'Transfer Engine'!$C$2:$C$1199,0)),"",INDEX('Compliance Database'!$D$2:$D$1199,MATCH(129,'Transfer Engine'!$C$2:$C$1199,0)))</f>
        <v>Prudential Standard authority basis</v>
      </c>
      <c r="E138" s="6" t="str">
        <f>IF(ISNA(MATCH(129,'Transfer Engine'!$C$2:$C$1199,0)),"",INDEX('Compliance Database'!$E$2:$E$1199,MATCH(129,'Transfer Engine'!$C$2:$C$1199,0)))</f>
        <v>3</v>
      </c>
      <c r="F138" s="6" t="str">
        <f>IF(ISNA(MATCH(129,'Transfer Engine'!$C$2:$C$1199,0)),"",INDEX('Compliance Database'!$F$2:$F$1199,MATCH(129,'Transfer Engine'!$C$2:$C$1199,0)))</f>
        <v>Low</v>
      </c>
      <c r="G138" s="6" t="str">
        <f>IF(ISNA(MATCH(129,'Transfer Engine'!$C$2:$C$1199,0)),"",INDEX('Compliance Database'!$G$2:$G$1199,MATCH(129,'Transfer Engine'!$C$2:$C$1199,0)))</f>
        <v>High (explicit)</v>
      </c>
      <c r="H138" s="7" t="str">
        <f>IF(ISNA(MATCH(129,'Transfer Engine'!$C$2:$C$1199,0)),"",INDEX('Compliance Database'!$H$2:$H$1199,MATCH(129,'Transfer Engine'!$C$2:$C$1199,0)))</f>
        <v>Governance</v>
      </c>
      <c r="I138" s="7">
        <f>IF(ISNA(MATCH(129,'Transfer Engine'!$C$2:$C$1199,0)),"",INDEX('Compliance Database'!$I$2:$I$1199,MATCH(129,'Transfer Engine'!$C$2:$C$1199,0)))</f>
        <v>0</v>
      </c>
      <c r="J138" s="6" t="str">
        <f>IF(ISNA(MATCH(129,'Transfer Engine'!$C$2:$C$1199,0)),"",INDEX('Compliance Database'!$J$2:$J$1199,MATCH(129,'Transfer Engine'!$C$2:$C$1199,0)))</f>
        <v>APRA</v>
      </c>
      <c r="K138" s="7" t="str">
        <f>IF(ISNA(MATCH(129,'Transfer Engine'!$C$2:$C$1199,0)),"",INDEX('Compliance Database'!$K$2:$K$1199,MATCH(129,'Transfer Engine'!$C$2:$C$1199,0)))</f>
        <v>This section specifies that the Prudential Standard is enacted under three specific sections of Australian legislation: the Banking Act 1959, Insurance Act 1973, and Life Insurance Act 1995. It establishes the legal foundation for the standard by referencing relevant regulatory acts that authorize its implementation.</v>
      </c>
      <c r="L138" s="7">
        <f>IF(ISNA(MATCH(129,'Transfer Engine'!$C$2:$C$1199,0)),"",INDEX('Compliance Database'!$L$2:$L$1199,MATCH(129,'Transfer Engine'!$C$2:$C$1199,0)))</f>
        <v>0</v>
      </c>
      <c r="M138" s="7" t="str">
        <f>IF(ISNA(MATCH(129,'Transfer Engine'!$C$2:$C$1199,0)),"",INDEX('Compliance Database'!$M$2:$M$1199,MATCH(129,'Transfer Engine'!$C$2:$C$1199,0)))</f>
        <v>• [Must] This Prudential Standard is made under section 11AF of the Banking Act 1959
• [Must] This Prudential Standard is made under section 32 of the Insurance Act 1973</v>
      </c>
      <c r="N138" s="7" t="str">
        <f>IF(ISNA(MATCH(129,'Transfer Engine'!$C$2:$C$1199,0)),"",INDEX('Compliance Database'!$N$2:$N$1199,MATCH(129,'Transfer Engine'!$C$2:$C$1199,0)))</f>
        <v>• [Must] This Prudential Standard is made under section 230A of the Life Insurance Act 1995</v>
      </c>
      <c r="O138" s="7" t="str">
        <f>IF(ISNA(MATCH(129,'Transfer Engine'!$C$2:$C$1199,0)),"",INDEX('Compliance Database'!$O$2:$O$1199,MATCH(129,'Transfer Engine'!$C$2:$C$1199,0)))</f>
        <v>This Prudential Standard is made under: (a) section 11AF of the Banking Act 1959 (Banking Act); (b) section 32 of the Insurance Act 1973 (Insurance Act); and (c) section 230A of the Life Insurance Act 1995 (Life Insurance Act).</v>
      </c>
      <c r="P138" s="6" t="str">
        <f>IF(ISNA(MATCH(129,'Transfer Engine'!$C$2:$C$1199,0)),"",HYPERLINK("#Acts!A"&amp;INDEX('Compliance Database'!$P$2:$P$1199,MATCH(129,'Transfer Engine'!$C$2:$C$1199,0)),"Go to Act"))</f>
        <v>Go to Act</v>
      </c>
    </row>
    <row r="139" spans="1:16" ht="172.95" customHeight="1" x14ac:dyDescent="0.3">
      <c r="A139" s="6" t="str">
        <f>IF(ISNA(MATCH(130,'Transfer Engine'!$C$2:$C$1199,0)),"",INDEX('Compliance Database'!$A$2:$A$1199,MATCH(130,'Transfer Engine'!$C$2:$C$1199,0)))</f>
        <v>Australia</v>
      </c>
      <c r="B139" s="6" t="str">
        <f>IF(ISNA(MATCH(130,'Transfer Engine'!$C$2:$C$1199,0)),"",INDEX('Compliance Database'!$B$2:$B$1199,MATCH(130,'Transfer Engine'!$C$2:$C$1199,0)))</f>
        <v>Prudential-Standard-CPS-232-Business-Continuity-Management-(July-2017) (Australia - Row 5)</v>
      </c>
      <c r="C139" s="6" t="str">
        <f>IF(ISNA(MATCH(130,'Transfer Engine'!$C$2:$C$1199,0)),"",INDEX('Compliance Database'!$C$2:$C$1199,MATCH(130,'Transfer Engine'!$C$2:$C$1199,0)))</f>
        <v>2</v>
      </c>
      <c r="D139" s="7" t="str">
        <f>IF(ISNA(MATCH(130,'Transfer Engine'!$C$2:$C$1199,0)),"",INDEX('Compliance Database'!$D$2:$D$1199,MATCH(130,'Transfer Engine'!$C$2:$C$1199,0)))</f>
        <v>APRA-regulated institutions scope</v>
      </c>
      <c r="E139" s="6" t="str">
        <f>IF(ISNA(MATCH(130,'Transfer Engine'!$C$2:$C$1199,0)),"",INDEX('Compliance Database'!$E$2:$E$1199,MATCH(130,'Transfer Engine'!$C$2:$C$1199,0)))</f>
        <v>3</v>
      </c>
      <c r="F139" s="6" t="str">
        <f>IF(ISNA(MATCH(130,'Transfer Engine'!$C$2:$C$1199,0)),"",INDEX('Compliance Database'!$F$2:$F$1199,MATCH(130,'Transfer Engine'!$C$2:$C$1199,0)))</f>
        <v>Low</v>
      </c>
      <c r="G139" s="6" t="str">
        <f>IF(ISNA(MATCH(130,'Transfer Engine'!$C$2:$C$1199,0)),"",INDEX('Compliance Database'!$G$2:$G$1199,MATCH(130,'Transfer Engine'!$C$2:$C$1199,0)))</f>
        <v>High (explicit)</v>
      </c>
      <c r="H139" s="7" t="str">
        <f>IF(ISNA(MATCH(130,'Transfer Engine'!$C$2:$C$1199,0)),"",INDEX('Compliance Database'!$H$2:$H$1199,MATCH(130,'Transfer Engine'!$C$2:$C$1199,0)))</f>
        <v>Governance</v>
      </c>
      <c r="I139" s="7">
        <f>IF(ISNA(MATCH(130,'Transfer Engine'!$C$2:$C$1199,0)),"",INDEX('Compliance Database'!$I$2:$I$1199,MATCH(130,'Transfer Engine'!$C$2:$C$1199,0)))</f>
        <v>0</v>
      </c>
      <c r="J139" s="6" t="str">
        <f>IF(ISNA(MATCH(130,'Transfer Engine'!$C$2:$C$1199,0)),"",INDEX('Compliance Database'!$J$2:$J$1199,MATCH(130,'Transfer Engine'!$C$2:$C$1199,0)))</f>
        <v>APRA</v>
      </c>
      <c r="K139" s="7" t="str">
        <f>IF(ISNA(MATCH(130,'Transfer Engine'!$C$2:$C$1199,0)),"",INDEX('Compliance Database'!$K$2:$K$1199,MATCH(130,'Transfer Engine'!$C$2:$C$1199,0)))</f>
        <v>This section defines which financial institutions fall under the Prudential Standard. It includes authorized deposit-taking institutions (ADIs), foreign ADIs, non-operating holding companies, general insurers, Category C insurers, authorized insurance NOHCs, parent entities of Level 2 insurance groups, life companies, friendly societies, eligible foreign life insurance companies (EFLICs), and registered life NOHCs. The scope covers all APRA-regulated entities in Australia and internationally.</v>
      </c>
      <c r="L139" s="7">
        <f>IF(ISNA(MATCH(130,'Transfer Engine'!$C$2:$C$1199,0)),"",INDEX('Compliance Database'!$L$2:$L$1199,MATCH(130,'Transfer Engine'!$C$2:$C$1199,0)))</f>
        <v>0</v>
      </c>
      <c r="M139" s="7" t="str">
        <f>IF(ISNA(MATCH(130,'Transfer Engine'!$C$2:$C$1199,0)),"",INDEX('Compliance Database'!$M$2:$M$1199,MATCH(130,'Transfer Engine'!$C$2:$C$1199,0)))</f>
        <v>• [Must] This Prudential Standard applies to all 'APRA-regulated institutions' defined as: all authorised deposit-taking institutions (ADIs), including foreign ADIs, and non-operating holding companies authorised under the Banking Act
• [Must] This Prudential Standard applies to all 'APRA-regulated institutions' defined as: all general insurers, including Category C insurers, non-operating holding companies authorised under the Insurance Act, and parent entities of Level 2 insurance groups</v>
      </c>
      <c r="N139" s="7" t="str">
        <f>IF(ISNA(MATCH(130,'Transfer Engine'!$C$2:$C$1199,0)),"",INDEX('Compliance Database'!$N$2:$N$1199,MATCH(130,'Transfer Engine'!$C$2:$C$1199,0)))</f>
        <v>• [Must] This Prudential Standard applies to all 'APRA-regulated institutions' defined as: all life companies, including friendly societies and eligible foreign life insurance companies (EFLICs), and non-operating holding companies registered under the Life Insurance Act</v>
      </c>
      <c r="O139" s="7" t="str">
        <f>IF(ISNA(MATCH(130,'Transfer Engine'!$C$2:$C$1199,0)),"",INDEX('Compliance Database'!$O$2:$O$1199,MATCH(130,'Transfer Engine'!$C$2:$C$1199,0)))</f>
        <v>This Prudential Standard applies to all 'APRA-regulated institutions', defined as: (a) all authorised deposit-taking institutions (ADIs), including foreign ADIs, and non-operating holding companies authorised under the Banking Act (authorised banking NOHCs); (b) all general insurers, including Category C insurers, non-operating holding companies authorised under the Insurance Act (authorised insurance NOHCs) and parent entities of Level 2 insurance groups; and (c) all life companies, including friendly societies and eligible foreign life insurance companies (EFLICs), and non-operating holding companies registered under the Life Insurance Act (registered life NOHCs).</v>
      </c>
      <c r="P139" s="6" t="str">
        <f>IF(ISNA(MATCH(130,'Transfer Engine'!$C$2:$C$1199,0)),"",HYPERLINK("#Acts!A"&amp;INDEX('Compliance Database'!$P$2:$P$1199,MATCH(130,'Transfer Engine'!$C$2:$C$1199,0)),"Go to Act"))</f>
        <v>Go to Act</v>
      </c>
    </row>
    <row r="140" spans="1:16" ht="172.95" customHeight="1" x14ac:dyDescent="0.3">
      <c r="A140" s="6" t="str">
        <f>IF(ISNA(MATCH(131,'Transfer Engine'!$C$2:$C$1199,0)),"",INDEX('Compliance Database'!$A$2:$A$1199,MATCH(131,'Transfer Engine'!$C$2:$C$1199,0)))</f>
        <v>Australia</v>
      </c>
      <c r="B140" s="6" t="str">
        <f>IF(ISNA(MATCH(131,'Transfer Engine'!$C$2:$C$1199,0)),"",INDEX('Compliance Database'!$B$2:$B$1199,MATCH(131,'Transfer Engine'!$C$2:$C$1199,0)))</f>
        <v>Prudential-Standard-CPS-232-Business-Continuity-Management-(July-2017) (Australia - Row 5)</v>
      </c>
      <c r="C140" s="6" t="str">
        <f>IF(ISNA(MATCH(131,'Transfer Engine'!$C$2:$C$1199,0)),"",INDEX('Compliance Database'!$C$2:$C$1199,MATCH(131,'Transfer Engine'!$C$2:$C$1199,0)))</f>
        <v>8</v>
      </c>
      <c r="D140" s="7" t="str">
        <f>IF(ISNA(MATCH(131,'Transfer Engine'!$C$2:$C$1199,0)),"",INDEX('Compliance Database'!$D$2:$D$1199,MATCH(131,'Transfer Engine'!$C$2:$C$1199,0)))</f>
        <v>Defined terms reference</v>
      </c>
      <c r="E140" s="6" t="str">
        <f>IF(ISNA(MATCH(131,'Transfer Engine'!$C$2:$C$1199,0)),"",INDEX('Compliance Database'!$E$2:$E$1199,MATCH(131,'Transfer Engine'!$C$2:$C$1199,0)))</f>
        <v>4</v>
      </c>
      <c r="F140" s="6" t="str">
        <f>IF(ISNA(MATCH(131,'Transfer Engine'!$C$2:$C$1199,0)),"",INDEX('Compliance Database'!$F$2:$F$1199,MATCH(131,'Transfer Engine'!$C$2:$C$1199,0)))</f>
        <v>None</v>
      </c>
      <c r="G140" s="6" t="str">
        <f>IF(ISNA(MATCH(131,'Transfer Engine'!$C$2:$C$1199,0)),"",INDEX('Compliance Database'!$G$2:$G$1199,MATCH(131,'Transfer Engine'!$C$2:$C$1199,0)))</f>
        <v>High (explicit)</v>
      </c>
      <c r="H140" s="7" t="str">
        <f>IF(ISNA(MATCH(131,'Transfer Engine'!$C$2:$C$1199,0)),"",INDEX('Compliance Database'!$H$2:$H$1199,MATCH(131,'Transfer Engine'!$C$2:$C$1199,0)))</f>
        <v>Governance</v>
      </c>
      <c r="I140" s="7">
        <f>IF(ISNA(MATCH(131,'Transfer Engine'!$C$2:$C$1199,0)),"",INDEX('Compliance Database'!$I$2:$I$1199,MATCH(131,'Transfer Engine'!$C$2:$C$1199,0)))</f>
        <v>0</v>
      </c>
      <c r="J140" s="6">
        <f>IF(ISNA(MATCH(131,'Transfer Engine'!$C$2:$C$1199,0)),"",INDEX('Compliance Database'!$J$2:$J$1199,MATCH(131,'Transfer Engine'!$C$2:$C$1199,0)))</f>
        <v>0</v>
      </c>
      <c r="K140" s="7" t="str">
        <f>IF(ISNA(MATCH(131,'Transfer Engine'!$C$2:$C$1199,0)),"",INDEX('Compliance Database'!$K$2:$K$1199,MATCH(131,'Transfer Engine'!$C$2:$C$1199,0)))</f>
        <v>This section states that terms defined in other Prudential Standards (APS 001, GPS 001, LPS 001) will be highlighted in bold when first used in this standard. It ensures consistency in terminology across regulatory documents by directing users to the relevant definitions.</v>
      </c>
      <c r="L140" s="7">
        <f>IF(ISNA(MATCH(131,'Transfer Engine'!$C$2:$C$1199,0)),"",INDEX('Compliance Database'!$L$2:$L$1199,MATCH(131,'Transfer Engine'!$C$2:$C$1199,0)))</f>
        <v>0</v>
      </c>
      <c r="M140" s="7" t="str">
        <f>IF(ISNA(MATCH(131,'Transfer Engine'!$C$2:$C$1199,0)),"",INDEX('Compliance Database'!$M$2:$M$1199,MATCH(131,'Transfer Engine'!$C$2:$C$1199,0)))</f>
        <v>• [Must] Terms that are defined in Prudential Standard 3PS 001 Definitions, Prudential Standard APS 001 Definitions (APS 001), Prudential Standard GPS 001 Definitions (GPS 001) or Prudential Standard LPS 001 Definitions appear in bold the first time they are used in this Prudential Standard</v>
      </c>
      <c r="N140" s="7">
        <f>IF(ISNA(MATCH(131,'Transfer Engine'!$C$2:$C$1199,0)),"",INDEX('Compliance Database'!$N$2:$N$1199,MATCH(131,'Transfer Engine'!$C$2:$C$1199,0)))</f>
        <v>0</v>
      </c>
      <c r="O140" s="7" t="str">
        <f>IF(ISNA(MATCH(131,'Transfer Engine'!$C$2:$C$1199,0)),"",INDEX('Compliance Database'!$O$2:$O$1199,MATCH(131,'Transfer Engine'!$C$2:$C$1199,0)))</f>
        <v>Terms that are defined in Prudential Standard 3PS 001 Definitions, Prudential Standard APS 001 Definitions (APS 001), Prudential Standard GPS 001 Definitions (GPS 001) or Prudential Standard LPS 001 Definitions appear in bold the first time they are used in this Prudential Standard.</v>
      </c>
      <c r="P140" s="6" t="str">
        <f>IF(ISNA(MATCH(131,'Transfer Engine'!$C$2:$C$1199,0)),"",HYPERLINK("#Acts!A"&amp;INDEX('Compliance Database'!$P$2:$P$1199,MATCH(131,'Transfer Engine'!$C$2:$C$1199,0)),"Go to Act"))</f>
        <v>Go to Act</v>
      </c>
    </row>
    <row r="141" spans="1:16" ht="172.95" customHeight="1" x14ac:dyDescent="0.3">
      <c r="A141" s="6" t="str">
        <f>IF(ISNA(MATCH(132,'Transfer Engine'!$C$2:$C$1199,0)),"",INDEX('Compliance Database'!$A$2:$A$1199,MATCH(132,'Transfer Engine'!$C$2:$C$1199,0)))</f>
        <v>Australia</v>
      </c>
      <c r="B141" s="6" t="str">
        <f>IF(ISNA(MATCH(132,'Transfer Engine'!$C$2:$C$1199,0)),"",INDEX('Compliance Database'!$B$2:$B$1199,MATCH(132,'Transfer Engine'!$C$2:$C$1199,0)))</f>
        <v>Prudential-Standard-CPS-232-Business-Continuity-Management-(July-2017) (Australia - Row 5)</v>
      </c>
      <c r="C141" s="6" t="str">
        <f>IF(ISNA(MATCH(132,'Transfer Engine'!$C$2:$C$1199,0)),"",INDEX('Compliance Database'!$C$2:$C$1199,MATCH(132,'Transfer Engine'!$C$2:$C$1199,0)))</f>
        <v>10</v>
      </c>
      <c r="D141" s="7" t="str">
        <f>IF(ISNA(MATCH(132,'Transfer Engine'!$C$2:$C$1199,0)),"",INDEX('Compliance Database'!$D$2:$D$1199,MATCH(132,'Transfer Engine'!$C$2:$C$1199,0)))</f>
        <v>Group and Head definitions</v>
      </c>
      <c r="E141" s="6" t="str">
        <f>IF(ISNA(MATCH(132,'Transfer Engine'!$C$2:$C$1199,0)),"",INDEX('Compliance Database'!$E$2:$E$1199,MATCH(132,'Transfer Engine'!$C$2:$C$1199,0)))</f>
        <v>4</v>
      </c>
      <c r="F141" s="6" t="str">
        <f>IF(ISNA(MATCH(132,'Transfer Engine'!$C$2:$C$1199,0)),"",INDEX('Compliance Database'!$F$2:$F$1199,MATCH(132,'Transfer Engine'!$C$2:$C$1199,0)))</f>
        <v>Low</v>
      </c>
      <c r="G141" s="6" t="str">
        <f>IF(ISNA(MATCH(132,'Transfer Engine'!$C$2:$C$1199,0)),"",INDEX('Compliance Database'!$G$2:$G$1199,MATCH(132,'Transfer Engine'!$C$2:$C$1199,0)))</f>
        <v>High (explicit)</v>
      </c>
      <c r="H141" s="7" t="str">
        <f>IF(ISNA(MATCH(132,'Transfer Engine'!$C$2:$C$1199,0)),"",INDEX('Compliance Database'!$H$2:$H$1199,MATCH(132,'Transfer Engine'!$C$2:$C$1199,0)))</f>
        <v>Governance</v>
      </c>
      <c r="I141" s="7">
        <f>IF(ISNA(MATCH(132,'Transfer Engine'!$C$2:$C$1199,0)),"",INDEX('Compliance Database'!$I$2:$I$1199,MATCH(132,'Transfer Engine'!$C$2:$C$1199,0)))</f>
        <v>0</v>
      </c>
      <c r="J141" s="6">
        <f>IF(ISNA(MATCH(132,'Transfer Engine'!$C$2:$C$1199,0)),"",INDEX('Compliance Database'!$J$2:$J$1199,MATCH(132,'Transfer Engine'!$C$2:$C$1199,0)))</f>
        <v>0</v>
      </c>
      <c r="K141" s="7" t="str">
        <f>IF(ISNA(MATCH(132,'Transfer Engine'!$C$2:$C$1199,0)),"",INDEX('Compliance Database'!$K$2:$K$1199,MATCH(132,'Transfer Engine'!$C$2:$C$1199,0)))</f>
        <v>This section defines key terms for group structures within APRA-regulated institutions. It specifies what constitutes a 'group', 'Head of a group', 'Level 2 group', and 'Level 2 Head' based on regulatory frameworks. These definitions are critical for understanding organizational hierarchies and reporting responsibilities under business continuity management.</v>
      </c>
      <c r="L141" s="7">
        <f>IF(ISNA(MATCH(132,'Transfer Engine'!$C$2:$C$1199,0)),"",INDEX('Compliance Database'!$L$2:$L$1199,MATCH(132,'Transfer Engine'!$C$2:$C$1199,0)))</f>
        <v>0</v>
      </c>
      <c r="M141" s="7" t="str">
        <f>IF(ISNA(MATCH(132,'Transfer Engine'!$C$2:$C$1199,0)),"",INDEX('Compliance Database'!$M$2:$M$1199,MATCH(132,'Transfer Engine'!$C$2:$C$1199,0)))</f>
        <v>• [Must] For the purposes of this Prudential Standard, 'group' means a Level 2 group or a Level 3 group, as relevant
• [Must] For the purposes of this Prudential Standard, 'Head of a group' means a Level 2 Head or Level 3 Head, as relevant</v>
      </c>
      <c r="N141" s="7" t="str">
        <f>IF(ISNA(MATCH(132,'Transfer Engine'!$C$2:$C$1199,0)),"",INDEX('Compliance Database'!$N$2:$N$1199,MATCH(132,'Transfer Engine'!$C$2:$C$1199,0)))</f>
        <v>• [Must] For the purposes of this Prudential Standard, 'Level 2 group' means the entities that comprise: Level 2 as defined in APS 001 or a Level 2 insurance group as defined in GPS 001
• [Must] For the purposes of this Prudential Standard, 'Level 2 Head' means: where an ADI that is a member of a Level 2 group is not a subsidiary of an authorised banking NOHC or another ADI, that ADI; where an ADI that is a member of a Level 2 group is a subsidiary of an authorised banking NOHC, that authorised banking NOHC; or the parent entity of a Leve…</v>
      </c>
      <c r="O141" s="7" t="str">
        <f>IF(ISNA(MATCH(132,'Transfer Engine'!$C$2:$C$1199,0)),"",INDEX('Compliance Database'!$O$2:$O$1199,MATCH(132,'Transfer Engine'!$C$2:$C$1199,0)))</f>
        <v>For the purposes of this Prudential Standard: 'group' means a Level 2 group or a Level 3 group, as relevant; 'Head of a group' means a Level 2 Head or Level 3 Head, as relevant; 'Level 2 group' means the entities that comprise: (a) Level 2 as defined in APS 001; or (b) a Level 2 insurance group as defined in GPS 001; 'Level 2 Head' means: (a) where an ADI that is a member of a Level 2 group is not a subsidiary of an authorised banking NOHC or another ADI, that ADI; (b) where an ADI that is a member of a Level 2 group is a subsidiary of an authorised banking NOHC, that authorised banking NOHC; or (c) the parent entity of a Level 2 insurance group as defined in GPS 001.</v>
      </c>
      <c r="P141" s="6" t="str">
        <f>IF(ISNA(MATCH(132,'Transfer Engine'!$C$2:$C$1199,0)),"",HYPERLINK("#Acts!A"&amp;INDEX('Compliance Database'!$P$2:$P$1199,MATCH(132,'Transfer Engine'!$C$2:$C$1199,0)),"Go to Act"))</f>
        <v>Go to Act</v>
      </c>
    </row>
    <row r="142" spans="1:16" ht="172.95" customHeight="1" x14ac:dyDescent="0.3">
      <c r="A142" s="6" t="str">
        <f>IF(ISNA(MATCH(133,'Transfer Engine'!$C$2:$C$1199,0)),"",INDEX('Compliance Database'!$A$2:$A$1199,MATCH(133,'Transfer Engine'!$C$2:$C$1199,0)))</f>
        <v>Australia</v>
      </c>
      <c r="B142" s="6" t="str">
        <f>IF(ISNA(MATCH(133,'Transfer Engine'!$C$2:$C$1199,0)),"",INDEX('Compliance Database'!$B$2:$B$1199,MATCH(133,'Transfer Engine'!$C$2:$C$1199,0)))</f>
        <v>Prudential-Standard-CPS-232-Business-Continuity-Management-(July-2017) (Australia - Row 5)</v>
      </c>
      <c r="C142" s="6" t="str">
        <f>IF(ISNA(MATCH(133,'Transfer Engine'!$C$2:$C$1199,0)),"",INDEX('Compliance Database'!$C$2:$C$1199,MATCH(133,'Transfer Engine'!$C$2:$C$1199,0)))</f>
        <v>14</v>
      </c>
      <c r="D142" s="7" t="str">
        <f>IF(ISNA(MATCH(133,'Transfer Engine'!$C$2:$C$1199,0)),"",INDEX('Compliance Database'!$D$2:$D$1199,MATCH(133,'Transfer Engine'!$C$2:$C$1199,0)))</f>
        <v>Major disruption notification</v>
      </c>
      <c r="E142" s="6" t="str">
        <f>IF(ISNA(MATCH(133,'Transfer Engine'!$C$2:$C$1199,0)),"",INDEX('Compliance Database'!$E$2:$E$1199,MATCH(133,'Transfer Engine'!$C$2:$C$1199,0)))</f>
        <v>5</v>
      </c>
      <c r="F142" s="6" t="str">
        <f>IF(ISNA(MATCH(133,'Transfer Engine'!$C$2:$C$1199,0)),"",INDEX('Compliance Database'!$F$2:$F$1199,MATCH(133,'Transfer Engine'!$C$2:$C$1199,0)))</f>
        <v>Low</v>
      </c>
      <c r="G142" s="6" t="str">
        <f>IF(ISNA(MATCH(133,'Transfer Engine'!$C$2:$C$1199,0)),"",INDEX('Compliance Database'!$G$2:$G$1199,MATCH(133,'Transfer Engine'!$C$2:$C$1199,0)))</f>
        <v>High (explicit)</v>
      </c>
      <c r="H142" s="7" t="str">
        <f>IF(ISNA(MATCH(133,'Transfer Engine'!$C$2:$C$1199,0)),"",INDEX('Compliance Database'!$H$2:$H$1199,MATCH(133,'Transfer Engine'!$C$2:$C$1199,0)))</f>
        <v>Incident Reporting</v>
      </c>
      <c r="I142" s="7">
        <f>IF(ISNA(MATCH(133,'Transfer Engine'!$C$2:$C$1199,0)),"",INDEX('Compliance Database'!$I$2:$I$1199,MATCH(133,'Transfer Engine'!$C$2:$C$1199,0)))</f>
        <v>0</v>
      </c>
      <c r="J142" s="6" t="str">
        <f>IF(ISNA(MATCH(133,'Transfer Engine'!$C$2:$C$1199,0)),"",INDEX('Compliance Database'!$J$2:$J$1199,MATCH(133,'Transfer Engine'!$C$2:$C$1199,0)))</f>
        <v>APRA</v>
      </c>
      <c r="K142" s="7" t="str">
        <f>IF(ISNA(MATCH(133,'Transfer Engine'!$C$2:$C$1199,0)),"",INDEX('Compliance Database'!$K$2:$K$1199,MATCH(133,'Transfer Engine'!$C$2:$C$1199,0)))</f>
        <v>This section mandates that the Head of a group must notify APRA if an institution experiences a major disruption that could materially impact its risk profile or financial soundness. The notification is required unless another APRA-regulated institution within the group has already reported the same information to APRA.</v>
      </c>
      <c r="L142" s="7">
        <f>IF(ISNA(MATCH(133,'Transfer Engine'!$C$2:$C$1199,0)),"",INDEX('Compliance Database'!$L$2:$L$1199,MATCH(133,'Transfer Engine'!$C$2:$C$1199,0)))</f>
        <v>0</v>
      </c>
      <c r="M142" s="7" t="str">
        <f>IF(ISNA(MATCH(133,'Transfer Engine'!$C$2:$C$1199,0)),"",INDEX('Compliance Database'!$M$2:$M$1199,MATCH(133,'Transfer Engine'!$C$2:$C$1199,0)))</f>
        <v>• [Must] The Head of a group must notify APRA in accordance with paragraph 36 if the institution experiences a major disruption that has the potential to have a material impact on the institution's risk profile, or affect its financial soundness</v>
      </c>
      <c r="N142" s="7" t="str">
        <f>IF(ISNA(MATCH(133,'Transfer Engine'!$C$2:$C$1199,0)),"",INDEX('Compliance Database'!$N$2:$N$1199,MATCH(133,'Transfer Engine'!$C$2:$C$1199,0)))</f>
        <v>• [Must Not] The Head of a group must notify APRA in accordance with paragraph 36 if the institution experiences a major disruption that has the potential to have a material impact on the institution's risk profile, or affect its financial soundness, except where an APRA-regulated institution within the group has otherwise notified APRA of that information</v>
      </c>
      <c r="O142" s="7" t="str">
        <f>IF(ISNA(MATCH(133,'Transfer Engine'!$C$2:$C$1199,0)),"",INDEX('Compliance Database'!$O$2:$O$1199,MATCH(133,'Transfer Engine'!$C$2:$C$1199,0)))</f>
        <v>The Head of a group must notify APRA in accordance with paragraph 36 if the institution experiences a major disruption that has the potential to have a material impact on the institution's risk profile, or affect its financial soundness, except where an APRA-regulated institution within the group has otherwise notified APRA of that information.</v>
      </c>
      <c r="P142" s="6" t="str">
        <f>IF(ISNA(MATCH(133,'Transfer Engine'!$C$2:$C$1199,0)),"",HYPERLINK("#Acts!A"&amp;INDEX('Compliance Database'!$P$2:$P$1199,MATCH(133,'Transfer Engine'!$C$2:$C$1199,0)),"Go to Act"))</f>
        <v>Go to Act</v>
      </c>
    </row>
    <row r="143" spans="1:16" ht="172.95" customHeight="1" x14ac:dyDescent="0.3">
      <c r="A143" s="6" t="str">
        <f>IF(ISNA(MATCH(134,'Transfer Engine'!$C$2:$C$1199,0)),"",INDEX('Compliance Database'!$A$2:$A$1199,MATCH(134,'Transfer Engine'!$C$2:$C$1199,0)))</f>
        <v>Australia</v>
      </c>
      <c r="B143" s="6" t="str">
        <f>IF(ISNA(MATCH(134,'Transfer Engine'!$C$2:$C$1199,0)),"",INDEX('Compliance Database'!$B$2:$B$1199,MATCH(134,'Transfer Engine'!$C$2:$C$1199,0)))</f>
        <v>Prudential-Standard-CPS-232-Business-Continuity-Management-(July-2017) (Australia - Row 5)</v>
      </c>
      <c r="C143" s="6" t="str">
        <f>IF(ISNA(MATCH(134,'Transfer Engine'!$C$2:$C$1199,0)),"",INDEX('Compliance Database'!$C$2:$C$1199,MATCH(134,'Transfer Engine'!$C$2:$C$1199,0)))</f>
        <v>17</v>
      </c>
      <c r="D143" s="7" t="str">
        <f>IF(ISNA(MATCH(134,'Transfer Engine'!$C$2:$C$1199,0)),"",INDEX('Compliance Database'!$D$2:$D$1199,MATCH(134,'Transfer Engine'!$C$2:$C$1199,0)))</f>
        <v>Business continuity risk management</v>
      </c>
      <c r="E143" s="6" t="str">
        <f>IF(ISNA(MATCH(134,'Transfer Engine'!$C$2:$C$1199,0)),"",INDEX('Compliance Database'!$E$2:$E$1199,MATCH(134,'Transfer Engine'!$C$2:$C$1199,0)))</f>
        <v>5</v>
      </c>
      <c r="F143" s="6" t="str">
        <f>IF(ISNA(MATCH(134,'Transfer Engine'!$C$2:$C$1199,0)),"",INDEX('Compliance Database'!$F$2:$F$1199,MATCH(134,'Transfer Engine'!$C$2:$C$1199,0)))</f>
        <v>High</v>
      </c>
      <c r="G143" s="6" t="str">
        <f>IF(ISNA(MATCH(134,'Transfer Engine'!$C$2:$C$1199,0)),"",INDEX('Compliance Database'!$G$2:$G$1199,MATCH(134,'Transfer Engine'!$C$2:$C$1199,0)))</f>
        <v>High (explicit)</v>
      </c>
      <c r="H143" s="7">
        <f>IF(ISNA(MATCH(134,'Transfer Engine'!$C$2:$C$1199,0)),"",INDEX('Compliance Database'!$H$2:$H$1199,MATCH(134,'Transfer Engine'!$C$2:$C$1199,0)))</f>
        <v>0</v>
      </c>
      <c r="I143" s="7">
        <f>IF(ISNA(MATCH(134,'Transfer Engine'!$C$2:$C$1199,0)),"",INDEX('Compliance Database'!$I$2:$I$1199,MATCH(134,'Transfer Engine'!$C$2:$C$1199,0)))</f>
        <v>0</v>
      </c>
      <c r="J143" s="6" t="str">
        <f>IF(ISNA(MATCH(134,'Transfer Engine'!$C$2:$C$1199,0)),"",INDEX('Compliance Database'!$J$2:$J$1199,MATCH(134,'Transfer Engine'!$C$2:$C$1199,0)))</f>
        <v>APRA</v>
      </c>
      <c r="K143" s="7" t="str">
        <f>IF(ISNA(MATCH(134,'Transfer Engine'!$C$2:$C$1199,0)),"",INDEX('Compliance Database'!$K$2:$K$1199,MATCH(134,'Transfer Engine'!$C$2:$C$1199,0)))</f>
        <v>This section requires APRA-regulated institutions to identify, assess, manage, mitigate, and report on potential business continuity risks. The purpose is to ensure institutions can meet financial and service obligations to depositors, policyholders, and other stakeholders during disruptions.</v>
      </c>
      <c r="L143" s="7">
        <f>IF(ISNA(MATCH(134,'Transfer Engine'!$C$2:$C$1199,0)),"",INDEX('Compliance Database'!$L$2:$L$1199,MATCH(134,'Transfer Engine'!$C$2:$C$1199,0)))</f>
        <v>0</v>
      </c>
      <c r="M143" s="7" t="str">
        <f>IF(ISNA(MATCH(134,'Transfer Engine'!$C$2:$C$1199,0)),"",INDEX('Compliance Database'!$M$2:$M$1199,MATCH(134,'Transfer Engine'!$C$2:$C$1199,0)))</f>
        <v>• [Must] An APRA-regulated institution must identify, assess, manage, mitigate and report on potential business continuity risks</v>
      </c>
      <c r="N143" s="7" t="str">
        <f>IF(ISNA(MATCH(134,'Transfer Engine'!$C$2:$C$1199,0)),"",INDEX('Compliance Database'!$N$2:$N$1199,MATCH(134,'Transfer Engine'!$C$2:$C$1199,0)))</f>
        <v>• [Must] An APRA-regulated institution must ensure it is able to meet its financial and service obligations to its depositors, policyholders and other stakeholders</v>
      </c>
      <c r="O143" s="7" t="str">
        <f>IF(ISNA(MATCH(134,'Transfer Engine'!$C$2:$C$1199,0)),"",INDEX('Compliance Database'!$O$2:$O$1199,MATCH(134,'Transfer Engine'!$C$2:$C$1199,0)))</f>
        <v>An APRA-regulated institution must identify, assess, manage, mitigate and report on potential business continuity risks to ensure that the institution is able to meet its financial and service obligations to its depositors, policyholders and other stakeholders.</v>
      </c>
      <c r="P143" s="6" t="str">
        <f>IF(ISNA(MATCH(134,'Transfer Engine'!$C$2:$C$1199,0)),"",HYPERLINK("#Acts!A"&amp;INDEX('Compliance Database'!$P$2:$P$1199,MATCH(134,'Transfer Engine'!$C$2:$C$1199,0)),"Go to Act"))</f>
        <v>Go to Act</v>
      </c>
    </row>
    <row r="144" spans="1:16" ht="172.95" customHeight="1" x14ac:dyDescent="0.3">
      <c r="A144" s="6" t="str">
        <f>IF(ISNA(MATCH(135,'Transfer Engine'!$C$2:$C$1199,0)),"",INDEX('Compliance Database'!$A$2:$A$1199,MATCH(135,'Transfer Engine'!$C$2:$C$1199,0)))</f>
        <v>Australia</v>
      </c>
      <c r="B144" s="6" t="str">
        <f>IF(ISNA(MATCH(135,'Transfer Engine'!$C$2:$C$1199,0)),"",INDEX('Compliance Database'!$B$2:$B$1199,MATCH(135,'Transfer Engine'!$C$2:$C$1199,0)))</f>
        <v>Prudential-Standard-CPS-232-Business-Continuity-Management-(July-2017) (Australia - Row 5)</v>
      </c>
      <c r="C144" s="6" t="str">
        <f>IF(ISNA(MATCH(135,'Transfer Engine'!$C$2:$C$1199,0)),"",INDEX('Compliance Database'!$C$2:$C$1199,MATCH(135,'Transfer Engine'!$C$2:$C$1199,0)))</f>
        <v>19</v>
      </c>
      <c r="D144" s="7" t="str">
        <f>IF(ISNA(MATCH(135,'Transfer Engine'!$C$2:$C$1199,0)),"",INDEX('Compliance Database'!$D$2:$D$1199,MATCH(135,'Transfer Engine'!$C$2:$C$1199,0)))</f>
        <v>Business continuity risks integrated into risk management strategy</v>
      </c>
      <c r="E144" s="6" t="str">
        <f>IF(ISNA(MATCH(135,'Transfer Engine'!$C$2:$C$1199,0)),"",INDEX('Compliance Database'!$E$2:$E$1199,MATCH(135,'Transfer Engine'!$C$2:$C$1199,0)))</f>
        <v>5–6</v>
      </c>
      <c r="F144" s="6" t="str">
        <f>IF(ISNA(MATCH(135,'Transfer Engine'!$C$2:$C$1199,0)),"",INDEX('Compliance Database'!$F$2:$F$1199,MATCH(135,'Transfer Engine'!$C$2:$C$1199,0)))</f>
        <v>High</v>
      </c>
      <c r="G144" s="6" t="str">
        <f>IF(ISNA(MATCH(135,'Transfer Engine'!$C$2:$C$1199,0)),"",INDEX('Compliance Database'!$G$2:$G$1199,MATCH(135,'Transfer Engine'!$C$2:$C$1199,0)))</f>
        <v>High (explicit)</v>
      </c>
      <c r="H144" s="7">
        <f>IF(ISNA(MATCH(135,'Transfer Engine'!$C$2:$C$1199,0)),"",INDEX('Compliance Database'!$H$2:$H$1199,MATCH(135,'Transfer Engine'!$C$2:$C$1199,0)))</f>
        <v>0</v>
      </c>
      <c r="I144" s="7" t="str">
        <f>IF(ISNA(MATCH(135,'Transfer Engine'!$C$2:$C$1199,0)),"",INDEX('Compliance Database'!$I$2:$I$1199,MATCH(135,'Transfer Engine'!$C$2:$C$1199,0)))</f>
        <v>Financial Data</v>
      </c>
      <c r="J144" s="6" t="str">
        <f>IF(ISNA(MATCH(135,'Transfer Engine'!$C$2:$C$1199,0)),"",INDEX('Compliance Database'!$J$2:$J$1199,MATCH(135,'Transfer Engine'!$C$2:$C$1199,0)))</f>
        <v>APRA</v>
      </c>
      <c r="K144" s="7" t="str">
        <f>IF(ISNA(MATCH(135,'Transfer Engine'!$C$2:$C$1199,0)),"",INDEX('Compliance Database'!$K$2:$K$1199,MATCH(135,'Transfer Engine'!$C$2:$C$1199,0)))</f>
        <v>The Board must ensure business continuity risks and controls are incorporated into the institution's overall risk management strategy and included in the risk management declaration submitted to APRA. This requirement applies to APRA-regulated financial institutions to maintain alignment with regulatory expectations for risk management.</v>
      </c>
      <c r="L144" s="7" t="str">
        <f>IF(ISNA(MATCH(135,'Transfer Engine'!$C$2:$C$1199,0)),"",INDEX('Compliance Database'!$L$2:$L$1199,MATCH(135,'Transfer Engine'!$C$2:$C$1199,0)))</f>
        <v>This section mandates that business continuity risks be systematically integrated into risk management, which is critical for assessing cross-border data transfer impacts in financial institutions due to the need for comprehensive risk coverage.</v>
      </c>
      <c r="M144" s="7" t="str">
        <f>IF(ISNA(MATCH(135,'Transfer Engine'!$C$2:$C$1199,0)),"",INDEX('Compliance Database'!$M$2:$M$1199,MATCH(135,'Transfer Engine'!$C$2:$C$1199,0)))</f>
        <v>• [Must] The Board must ensure business continuity risks and controls are taken into account as part of the institution's risk management strategy</v>
      </c>
      <c r="N144" s="7" t="str">
        <f>IF(ISNA(MATCH(135,'Transfer Engine'!$C$2:$C$1199,0)),"",INDEX('Compliance Database'!$N$2:$N$1199,MATCH(135,'Transfer Engine'!$C$2:$C$1199,0)))</f>
        <v>• [Must] The Board must ensure business continuity risks and controls are included in the risk management declaration required to be provided to APRA</v>
      </c>
      <c r="O144" s="7" t="str">
        <f>IF(ISNA(MATCH(135,'Transfer Engine'!$C$2:$C$1199,0)),"",INDEX('Compliance Database'!$O$2:$O$1199,MATCH(135,'Transfer Engine'!$C$2:$C$1199,0)))</f>
        <v>The Board must ensure that the business continuity risks and controls are taken into account as part of the institution's risk management strategy and when completing a risk management declaration required to be provided to APRA.</v>
      </c>
      <c r="P144" s="6" t="str">
        <f>IF(ISNA(MATCH(135,'Transfer Engine'!$C$2:$C$1199,0)),"",HYPERLINK("#Acts!A"&amp;INDEX('Compliance Database'!$P$2:$P$1199,MATCH(135,'Transfer Engine'!$C$2:$C$1199,0)),"Go to Act"))</f>
        <v>Go to Act</v>
      </c>
    </row>
    <row r="145" spans="1:16" ht="172.95" customHeight="1" x14ac:dyDescent="0.3">
      <c r="A145" s="6" t="str">
        <f>IF(ISNA(MATCH(136,'Transfer Engine'!$C$2:$C$1199,0)),"",INDEX('Compliance Database'!$A$2:$A$1199,MATCH(136,'Transfer Engine'!$C$2:$C$1199,0)))</f>
        <v>Australia</v>
      </c>
      <c r="B145" s="6" t="str">
        <f>IF(ISNA(MATCH(136,'Transfer Engine'!$C$2:$C$1199,0)),"",INDEX('Compliance Database'!$B$2:$B$1199,MATCH(136,'Transfer Engine'!$C$2:$C$1199,0)))</f>
        <v>Prudential-Standard-CPS-232-Business-Continuity-Management-(July-2017) (Australia - Row 5)</v>
      </c>
      <c r="C145" s="6" t="str">
        <f>IF(ISNA(MATCH(136,'Transfer Engine'!$C$2:$C$1199,0)),"",INDEX('Compliance Database'!$C$2:$C$1199,MATCH(136,'Transfer Engine'!$C$2:$C$1199,0)))</f>
        <v>20</v>
      </c>
      <c r="D145" s="7" t="str">
        <f>IF(ISNA(MATCH(136,'Transfer Engine'!$C$2:$C$1199,0)),"",INDEX('Compliance Database'!$D$2:$D$1199,MATCH(136,'Transfer Engine'!$C$2:$C$1199,0)))</f>
        <v>Business continuity as whole-of-business approach</v>
      </c>
      <c r="E145" s="6" t="str">
        <f>IF(ISNA(MATCH(136,'Transfer Engine'!$C$2:$C$1199,0)),"",INDEX('Compliance Database'!$E$2:$E$1199,MATCH(136,'Transfer Engine'!$C$2:$C$1199,0)))</f>
        <v>6</v>
      </c>
      <c r="F145" s="6" t="str">
        <f>IF(ISNA(MATCH(136,'Transfer Engine'!$C$2:$C$1199,0)),"",INDEX('Compliance Database'!$F$2:$F$1199,MATCH(136,'Transfer Engine'!$C$2:$C$1199,0)))</f>
        <v>High</v>
      </c>
      <c r="G145" s="6" t="str">
        <f>IF(ISNA(MATCH(136,'Transfer Engine'!$C$2:$C$1199,0)),"",INDEX('Compliance Database'!$G$2:$G$1199,MATCH(136,'Transfer Engine'!$C$2:$C$1199,0)))</f>
        <v>High (explicit)</v>
      </c>
      <c r="H145" s="7">
        <f>IF(ISNA(MATCH(136,'Transfer Engine'!$C$2:$C$1199,0)),"",INDEX('Compliance Database'!$H$2:$H$1199,MATCH(136,'Transfer Engine'!$C$2:$C$1199,0)))</f>
        <v>0</v>
      </c>
      <c r="I145" s="7" t="str">
        <f>IF(ISNA(MATCH(136,'Transfer Engine'!$C$2:$C$1199,0)),"",INDEX('Compliance Database'!$I$2:$I$1199,MATCH(136,'Transfer Engine'!$C$2:$C$1199,0)))</f>
        <v>Financial Data</v>
      </c>
      <c r="J145" s="6" t="str">
        <f>IF(ISNA(MATCH(136,'Transfer Engine'!$C$2:$C$1199,0)),"",INDEX('Compliance Database'!$J$2:$J$1199,MATCH(136,'Transfer Engine'!$C$2:$C$1199,0)))</f>
        <v>APRA</v>
      </c>
      <c r="K145" s="7" t="str">
        <f>IF(ISNA(MATCH(136,'Transfer Engine'!$C$2:$C$1199,0)),"",INDEX('Compliance Database'!$K$2:$K$1199,MATCH(136,'Transfer Engine'!$C$2:$C$1199,0)))</f>
        <v>Business continuity management (BCM) requires institutions to establish policies, standards, and procedures that ensure critical business operations can be maintained or recovered during disruptions. This approach aims to minimize financial, legal, regulatory, and reputational consequences from operational interruptions.</v>
      </c>
      <c r="L145" s="7" t="str">
        <f>IF(ISNA(MATCH(136,'Transfer Engine'!$C$2:$C$1199,0)),"",INDEX('Compliance Database'!$L$2:$L$1199,MATCH(136,'Transfer Engine'!$C$2:$C$1199,0)))</f>
        <v>This section defines BCM as a whole-of-business approach, which is relevant for DTIAs as it establishes foundational requirements for maintaining critical operations during disruptions, impacting data transfer resilience.</v>
      </c>
      <c r="M145" s="7" t="str">
        <f>IF(ISNA(MATCH(136,'Transfer Engine'!$C$2:$C$1199,0)),"",INDEX('Compliance Database'!$M$2:$M$1199,MATCH(136,'Transfer Engine'!$C$2:$C$1199,0)))</f>
        <v>• [Must] BCM includes policies, standards and procedures for ensuring critical business operations can be maintained or recovered in a timely fashion during disruptions</v>
      </c>
      <c r="N145" s="7" t="str">
        <f>IF(ISNA(MATCH(136,'Transfer Engine'!$C$2:$C$1199,0)),"",INDEX('Compliance Database'!$N$2:$N$1199,MATCH(136,'Transfer Engine'!$C$2:$C$1199,0)))</f>
        <v>• [Must] BCM aims to minimise financial, legal, regulatory and reputational consequences arising from disruptions</v>
      </c>
      <c r="O145" s="7" t="str">
        <f>IF(ISNA(MATCH(136,'Transfer Engine'!$C$2:$C$1199,0)),"",INDEX('Compliance Database'!$O$2:$O$1199,MATCH(136,'Transfer Engine'!$C$2:$C$1199,0)))</f>
        <v>BCM is a whole-of-business approach that includes policies, standards and procedures for ensuring that critical business operations can be maintained or recovered in a timely fashion, in the event of a disruption. Its purpose is to minimise the financial, legal, regulatory, reputational and other material consequences arising from a disruption.</v>
      </c>
      <c r="P145" s="6" t="str">
        <f>IF(ISNA(MATCH(136,'Transfer Engine'!$C$2:$C$1199,0)),"",HYPERLINK("#Acts!A"&amp;INDEX('Compliance Database'!$P$2:$P$1199,MATCH(136,'Transfer Engine'!$C$2:$C$1199,0)),"Go to Act"))</f>
        <v>Go to Act</v>
      </c>
    </row>
    <row r="146" spans="1:16" ht="172.95" customHeight="1" x14ac:dyDescent="0.3">
      <c r="A146" s="6" t="str">
        <f>IF(ISNA(MATCH(137,'Transfer Engine'!$C$2:$C$1199,0)),"",INDEX('Compliance Database'!$A$2:$A$1199,MATCH(137,'Transfer Engine'!$C$2:$C$1199,0)))</f>
        <v>Australia</v>
      </c>
      <c r="B146" s="6" t="str">
        <f>IF(ISNA(MATCH(137,'Transfer Engine'!$C$2:$C$1199,0)),"",INDEX('Compliance Database'!$B$2:$B$1199,MATCH(137,'Transfer Engine'!$C$2:$C$1199,0)))</f>
        <v>Prudential-Standard-CPS-232-Business-Continuity-Management-(July-2017) (Australia - Row 5)</v>
      </c>
      <c r="C146" s="6" t="str">
        <f>IF(ISNA(MATCH(137,'Transfer Engine'!$C$2:$C$1199,0)),"",INDEX('Compliance Database'!$C$2:$C$1199,MATCH(137,'Transfer Engine'!$C$2:$C$1199,0)))</f>
        <v>27</v>
      </c>
      <c r="D146" s="7" t="str">
        <f>IF(ISNA(MATCH(137,'Transfer Engine'!$C$2:$C$1199,0)),"",INDEX('Compliance Database'!$D$2:$D$1199,MATCH(137,'Transfer Engine'!$C$2:$C$1199,0)))</f>
        <v>Business impact analysis considerations for disruptions</v>
      </c>
      <c r="E146" s="6" t="str">
        <f>IF(ISNA(MATCH(137,'Transfer Engine'!$C$2:$C$1199,0)),"",INDEX('Compliance Database'!$E$2:$E$1199,MATCH(137,'Transfer Engine'!$C$2:$C$1199,0)))</f>
        <v>6–7</v>
      </c>
      <c r="F146" s="6" t="str">
        <f>IF(ISNA(MATCH(137,'Transfer Engine'!$C$2:$C$1199,0)),"",INDEX('Compliance Database'!$F$2:$F$1199,MATCH(137,'Transfer Engine'!$C$2:$C$1199,0)))</f>
        <v>High</v>
      </c>
      <c r="G146" s="6" t="str">
        <f>IF(ISNA(MATCH(137,'Transfer Engine'!$C$2:$C$1199,0)),"",INDEX('Compliance Database'!$G$2:$G$1199,MATCH(137,'Transfer Engine'!$C$2:$C$1199,0)))</f>
        <v>High (explicit)</v>
      </c>
      <c r="H146" s="7">
        <f>IF(ISNA(MATCH(137,'Transfer Engine'!$C$2:$C$1199,0)),"",INDEX('Compliance Database'!$H$2:$H$1199,MATCH(137,'Transfer Engine'!$C$2:$C$1199,0)))</f>
        <v>0</v>
      </c>
      <c r="I146" s="7" t="str">
        <f>IF(ISNA(MATCH(137,'Transfer Engine'!$C$2:$C$1199,0)),"",INDEX('Compliance Database'!$I$2:$I$1199,MATCH(137,'Transfer Engine'!$C$2:$C$1199,0)))</f>
        <v>Financial Data</v>
      </c>
      <c r="J146" s="6" t="str">
        <f>IF(ISNA(MATCH(137,'Transfer Engine'!$C$2:$C$1199,0)),"",INDEX('Compliance Database'!$J$2:$J$1199,MATCH(137,'Transfer Engine'!$C$2:$C$1199,0)))</f>
        <v>APRA</v>
      </c>
      <c r="K146" s="7" t="str">
        <f>IF(ISNA(MATCH(137,'Transfer Engine'!$C$2:$C$1199,0)),"",INDEX('Compliance Database'!$K$2:$K$1199,MATCH(137,'Transfer Engine'!$C$2:$C$1199,0)))</f>
        <v>APRA-regulated institutions must evaluate plausible disruption scenarios, operational downtime periods, impact on depositors/policyholders, and financial/legal/regulatory consequences when conducting a Business Impact Analysis (BIA). This ensures comprehensive risk assessment for critical operations.</v>
      </c>
      <c r="L146" s="7" t="str">
        <f>IF(ISNA(MATCH(137,'Transfer Engine'!$C$2:$C$1199,0)),"",INDEX('Compliance Database'!$L$2:$L$1199,MATCH(137,'Transfer Engine'!$C$2:$C$1199,0)))</f>
        <v>This section specifies key considerations for BIAs, which are essential for DTIAs to evaluate the impact of disruptions on data transfers, particularly regarding financial and regulatory consequences.</v>
      </c>
      <c r="M146" s="7" t="str">
        <f>IF(ISNA(MATCH(137,'Transfer Engine'!$C$2:$C$1199,0)),"",INDEX('Compliance Database'!$M$2:$M$1199,MATCH(137,'Transfer Engine'!$C$2:$C$1199,0)))</f>
        <v>• [Must] The institution must consider plausible disruption scenarios over varying periods of time
• [Must] The institution must determine the period of time for which critical business operations could not operate without the institution</v>
      </c>
      <c r="N146" s="7" t="str">
        <f>IF(ISNA(MATCH(137,'Transfer Engine'!$C$2:$C$1199,0)),"",INDEX('Compliance Database'!$N$2:$N$1199,MATCH(137,'Transfer Engine'!$C$2:$C$1199,0)))</f>
        <v>• [Must] The institution must assess the extent to which disruptions might impact depositors and/or policyholders
• [Must] The institution must evaluate financial, legal, regulatory and reputational impacts of disruptions over varying periods</v>
      </c>
      <c r="O146" s="7" t="str">
        <f>IF(ISNA(MATCH(137,'Transfer Engine'!$C$2:$C$1199,0)),"",INDEX('Compliance Database'!$O$2:$O$1199,MATCH(137,'Transfer Engine'!$C$2:$C$1199,0)))</f>
        <v>When conducting the BIA, the APRA-regulated institution must consider: (a) plausible disruption scenarios over varying periods of time; (b) the period of time for which the institution could not operate without each of its critical business operations; (c) the extent to which a disruption to the critical business operations might have a material impact on the interests of depositors and/or policyholders of the institution; and (d) the financial, legal, regulatory and reputational impact of a disruption to the institution's critical business operations over varying periods of time.</v>
      </c>
      <c r="P146" s="6" t="str">
        <f>IF(ISNA(MATCH(137,'Transfer Engine'!$C$2:$C$1199,0)),"",HYPERLINK("#Acts!A"&amp;INDEX('Compliance Database'!$P$2:$P$1199,MATCH(137,'Transfer Engine'!$C$2:$C$1199,0)),"Go to Act"))</f>
        <v>Go to Act</v>
      </c>
    </row>
    <row r="147" spans="1:16" ht="172.95" customHeight="1" x14ac:dyDescent="0.3">
      <c r="A147" s="6" t="str">
        <f>IF(ISNA(MATCH(138,'Transfer Engine'!$C$2:$C$1199,0)),"",INDEX('Compliance Database'!$A$2:$A$1199,MATCH(138,'Transfer Engine'!$C$2:$C$1199,0)))</f>
        <v>Australia</v>
      </c>
      <c r="B147" s="6" t="str">
        <f>IF(ISNA(MATCH(138,'Transfer Engine'!$C$2:$C$1199,0)),"",INDEX('Compliance Database'!$B$2:$B$1199,MATCH(138,'Transfer Engine'!$C$2:$C$1199,0)))</f>
        <v>Prudential-Standard-CPS-232-Business-Continuity-Management-(July-2017) (Australia - Row 5)</v>
      </c>
      <c r="C147" s="6" t="str">
        <f>IF(ISNA(MATCH(138,'Transfer Engine'!$C$2:$C$1199,0)),"",INDEX('Compliance Database'!$C$2:$C$1199,MATCH(138,'Transfer Engine'!$C$2:$C$1199,0)))</f>
        <v>36</v>
      </c>
      <c r="D147" s="7" t="str">
        <f>IF(ISNA(MATCH(138,'Transfer Engine'!$C$2:$C$1199,0)),"",INDEX('Compliance Database'!$D$2:$D$1199,MATCH(138,'Transfer Engine'!$C$2:$C$1199,0)))</f>
        <v>Notification of major disruptions to APRA</v>
      </c>
      <c r="E147" s="6" t="str">
        <f>IF(ISNA(MATCH(138,'Transfer Engine'!$C$2:$C$1199,0)),"",INDEX('Compliance Database'!$E$2:$E$1199,MATCH(138,'Transfer Engine'!$C$2:$C$1199,0)))</f>
        <v>8</v>
      </c>
      <c r="F147" s="6" t="str">
        <f>IF(ISNA(MATCH(138,'Transfer Engine'!$C$2:$C$1199,0)),"",INDEX('Compliance Database'!$F$2:$F$1199,MATCH(138,'Transfer Engine'!$C$2:$C$1199,0)))</f>
        <v>High</v>
      </c>
      <c r="G147" s="6" t="str">
        <f>IF(ISNA(MATCH(138,'Transfer Engine'!$C$2:$C$1199,0)),"",INDEX('Compliance Database'!$G$2:$G$1199,MATCH(138,'Transfer Engine'!$C$2:$C$1199,0)))</f>
        <v>High (explicit)</v>
      </c>
      <c r="H147" s="7">
        <f>IF(ISNA(MATCH(138,'Transfer Engine'!$C$2:$C$1199,0)),"",INDEX('Compliance Database'!$H$2:$H$1199,MATCH(138,'Transfer Engine'!$C$2:$C$1199,0)))</f>
        <v>0</v>
      </c>
      <c r="I147" s="7" t="str">
        <f>IF(ISNA(MATCH(138,'Transfer Engine'!$C$2:$C$1199,0)),"",INDEX('Compliance Database'!$I$2:$I$1199,MATCH(138,'Transfer Engine'!$C$2:$C$1199,0)))</f>
        <v>Financial Data</v>
      </c>
      <c r="J147" s="6" t="str">
        <f>IF(ISNA(MATCH(138,'Transfer Engine'!$C$2:$C$1199,0)),"",INDEX('Compliance Database'!$J$2:$J$1199,MATCH(138,'Transfer Engine'!$C$2:$C$1199,0)))</f>
        <v>APRA</v>
      </c>
      <c r="K147" s="7" t="str">
        <f>IF(ISNA(MATCH(138,'Transfer Engine'!$C$2:$C$1199,0)),"",INDEX('Compliance Database'!$K$2:$K$1199,MATCH(138,'Transfer Engine'!$C$2:$C$1199,0)))</f>
        <v>APRA-regulated institutions must notify APRA within 24 hours of experiencing a major disruption that could materially impact their risk profile or financial soundness. The notification must detail the disruption's nature, actions taken, expected effects, and timeline for recovery, with a follow-up notification upon resumption of normal operations.</v>
      </c>
      <c r="L147" s="7" t="str">
        <f>IF(ISNA(MATCH(138,'Transfer Engine'!$C$2:$C$1199,0)),"",INDEX('Compliance Database'!$L$2:$L$1199,MATCH(138,'Transfer Engine'!$C$2:$C$1199,0)))</f>
        <v>This section requires timely reporting of disruptions to APRA, which is critical for DTIAs to ensure data transfer continuity during incidents and to maintain regulatory oversight of cross-border data flows.</v>
      </c>
      <c r="M147" s="7" t="str">
        <f>IF(ISNA(MATCH(138,'Transfer Engine'!$C$2:$C$1199,0)),"",INDEX('Compliance Database'!$M$2:$M$1199,MATCH(138,'Transfer Engine'!$C$2:$C$1199,0)))</f>
        <v>• [Must] APRA-regulated institutions must notify APRA as soon as possible and no later than 24 hours after experiencing a major disruption
• [Must] The institution must explain the nature of the disruption, actions being taken, likely effects, and timeframe for returning to normal operations</v>
      </c>
      <c r="N147" s="7" t="str">
        <f>IF(ISNA(MATCH(138,'Transfer Engine'!$C$2:$C$1199,0)),"",INDEX('Compliance Database'!$N$2:$N$1199,MATCH(138,'Transfer Engine'!$C$2:$C$1199,0)))</f>
        <v>• [Must] The institution must notify APRA when normal operations resume</v>
      </c>
      <c r="O147" s="7" t="str">
        <f>IF(ISNA(MATCH(138,'Transfer Engine'!$C$2:$C$1199,0)),"",INDEX('Compliance Database'!$O$2:$O$1199,MATCH(138,'Transfer Engine'!$C$2:$C$1199,0)))</f>
        <v>An APRA-regulated institution must notify APRA as soon as possible and no later than 24 hours after the institution experiences a major disruption that has the potential to have a material impact on the institution's risk profile, or affect its financial soundness.</v>
      </c>
      <c r="P147" s="6" t="str">
        <f>IF(ISNA(MATCH(138,'Transfer Engine'!$C$2:$C$1199,0)),"",HYPERLINK("#Acts!A"&amp;INDEX('Compliance Database'!$P$2:$P$1199,MATCH(138,'Transfer Engine'!$C$2:$C$1199,0)),"Go to Act"))</f>
        <v>Go to Act</v>
      </c>
    </row>
    <row r="148" spans="1:16" ht="172.95" customHeight="1" x14ac:dyDescent="0.3">
      <c r="A148" s="6" t="str">
        <f>IF(ISNA(MATCH(139,'Transfer Engine'!$C$2:$C$1199,0)),"",INDEX('Compliance Database'!$A$2:$A$1199,MATCH(139,'Transfer Engine'!$C$2:$C$1199,0)))</f>
        <v>Australia</v>
      </c>
      <c r="B148" s="6" t="str">
        <f>IF(ISNA(MATCH(139,'Transfer Engine'!$C$2:$C$1199,0)),"",INDEX('Compliance Database'!$B$2:$B$1199,MATCH(139,'Transfer Engine'!$C$2:$C$1199,0)))</f>
        <v>Prudential-Standard-CPS-232-Business-Continuity-Management-(July-2017) (Australia - Row 5)</v>
      </c>
      <c r="C148" s="6" t="str">
        <f>IF(ISNA(MATCH(139,'Transfer Engine'!$C$2:$C$1199,0)),"",INDEX('Compliance Database'!$C$2:$C$1199,MATCH(139,'Transfer Engine'!$C$2:$C$1199,0)))</f>
        <v>40</v>
      </c>
      <c r="D148" s="7" t="str">
        <f>IF(ISNA(MATCH(139,'Transfer Engine'!$C$2:$C$1199,0)),"",INDEX('Compliance Database'!$D$2:$D$1199,MATCH(139,'Transfer Engine'!$C$2:$C$1199,0)))</f>
        <v>APRA's authority to adjust prudential standards</v>
      </c>
      <c r="E148" s="6" t="str">
        <f>IF(ISNA(MATCH(139,'Transfer Engine'!$C$2:$C$1199,0)),"",INDEX('Compliance Database'!$E$2:$E$1199,MATCH(139,'Transfer Engine'!$C$2:$C$1199,0)))</f>
        <v>8–9</v>
      </c>
      <c r="F148" s="6" t="str">
        <f>IF(ISNA(MATCH(139,'Transfer Engine'!$C$2:$C$1199,0)),"",INDEX('Compliance Database'!$F$2:$F$1199,MATCH(139,'Transfer Engine'!$C$2:$C$1199,0)))</f>
        <v>High</v>
      </c>
      <c r="G148" s="6" t="str">
        <f>IF(ISNA(MATCH(139,'Transfer Engine'!$C$2:$C$1199,0)),"",INDEX('Compliance Database'!$G$2:$G$1199,MATCH(139,'Transfer Engine'!$C$2:$C$1199,0)))</f>
        <v>High (explicit)</v>
      </c>
      <c r="H148" s="7">
        <f>IF(ISNA(MATCH(139,'Transfer Engine'!$C$2:$C$1199,0)),"",INDEX('Compliance Database'!$H$2:$H$1199,MATCH(139,'Transfer Engine'!$C$2:$C$1199,0)))</f>
        <v>0</v>
      </c>
      <c r="I148" s="7" t="str">
        <f>IF(ISNA(MATCH(139,'Transfer Engine'!$C$2:$C$1199,0)),"",INDEX('Compliance Database'!$I$2:$I$1199,MATCH(139,'Transfer Engine'!$C$2:$C$1199,0)))</f>
        <v>Financial Data</v>
      </c>
      <c r="J148" s="6" t="str">
        <f>IF(ISNA(MATCH(139,'Transfer Engine'!$C$2:$C$1199,0)),"",INDEX('Compliance Database'!$J$2:$J$1199,MATCH(139,'Transfer Engine'!$C$2:$C$1199,0)))</f>
        <v>APRA</v>
      </c>
      <c r="K148" s="7" t="str">
        <f>IF(ISNA(MATCH(139,'Transfer Engine'!$C$2:$C$1199,0)),"",INDEX('Compliance Database'!$K$2:$K$1199,MATCH(139,'Transfer Engine'!$C$2:$C$1199,0)))</f>
        <v>APRA has the authority to adjust or exclude specific requirements within this Prudential Standard for regulated institutions, subject to relevant legal provisions under the Banking Act, Insurance Act, and Life Insurance Act.</v>
      </c>
      <c r="L148" s="7" t="str">
        <f>IF(ISNA(MATCH(139,'Transfer Engine'!$C$2:$C$1199,0)),"",INDEX('Compliance Database'!$L$2:$L$1199,MATCH(139,'Transfer Engine'!$C$2:$C$1199,0)))</f>
        <v>This section grants APRA flexibility to modify requirements, which may impact DTIAs by allowing tailored approaches to data transfer compliance in specific regulatory contexts.</v>
      </c>
      <c r="M148" s="7" t="str">
        <f>IF(ISNA(MATCH(139,'Transfer Engine'!$C$2:$C$1199,0)),"",INDEX('Compliance Database'!$M$2:$M$1199,MATCH(139,'Transfer Engine'!$C$2:$C$1199,0)))</f>
        <v>• [May] APRA may adjust or exclude a specific requirement in this Prudential Standard in relation to an APRA-regulated institution</v>
      </c>
      <c r="N148" s="7">
        <f>IF(ISNA(MATCH(139,'Transfer Engine'!$C$2:$C$1199,0)),"",INDEX('Compliance Database'!$N$2:$N$1199,MATCH(139,'Transfer Engine'!$C$2:$C$1199,0)))</f>
        <v>0</v>
      </c>
      <c r="O148" s="7" t="str">
        <f>IF(ISNA(MATCH(139,'Transfer Engine'!$C$2:$C$1199,0)),"",INDEX('Compliance Database'!$O$2:$O$1199,MATCH(139,'Transfer Engine'!$C$2:$C$1199,0)))</f>
        <v>APRA may adjust or exclude a specific requirement in this Prudential Standard in relation to an APRA-regulated institution.</v>
      </c>
      <c r="P148" s="6" t="str">
        <f>IF(ISNA(MATCH(139,'Transfer Engine'!$C$2:$C$1199,0)),"",HYPERLINK("#Acts!A"&amp;INDEX('Compliance Database'!$P$2:$P$1199,MATCH(139,'Transfer Engine'!$C$2:$C$1199,0)),"Go to Act"))</f>
        <v>Go to Act</v>
      </c>
    </row>
    <row r="149" spans="1:16" ht="172.95" customHeight="1" x14ac:dyDescent="0.3">
      <c r="A149" s="6" t="str">
        <f>IF(ISNA(MATCH(140,'Transfer Engine'!$C$2:$C$1199,0)),"",INDEX('Compliance Database'!$A$2:$A$1199,MATCH(140,'Transfer Engine'!$C$2:$C$1199,0)))</f>
        <v>Australia</v>
      </c>
      <c r="B149" s="6" t="str">
        <f>IF(ISNA(MATCH(140,'Transfer Engine'!$C$2:$C$1199,0)),"",INDEX('Compliance Database'!$B$2:$B$1199,MATCH(140,'Transfer Engine'!$C$2:$C$1199,0)))</f>
        <v>Statutory tort for serious invasions of privacy _ OAIC (Australia - Row 24)</v>
      </c>
      <c r="C149" s="6" t="str">
        <f>IF(ISNA(MATCH(140,'Transfer Engine'!$C$2:$C$1199,0)),"",INDEX('Compliance Database'!$C$2:$C$1199,MATCH(140,'Transfer Engine'!$C$2:$C$1199,0)))</f>
        <v>p1</v>
      </c>
      <c r="D149" s="7" t="str">
        <f>IF(ISNA(MATCH(140,'Transfer Engine'!$C$2:$C$1199,0)),"",INDEX('Compliance Database'!$D$2:$D$1199,MATCH(140,'Transfer Engine'!$C$2:$C$1199,0)))</f>
        <v>Statutory tort for serious invasions of privacy</v>
      </c>
      <c r="E149" s="6" t="str">
        <f>IF(ISNA(MATCH(140,'Transfer Engine'!$C$2:$C$1199,0)),"",INDEX('Compliance Database'!$E$2:$E$1199,MATCH(140,'Transfer Engine'!$C$2:$C$1199,0)))</f>
        <v>1–2</v>
      </c>
      <c r="F149" s="6" t="str">
        <f>IF(ISNA(MATCH(140,'Transfer Engine'!$C$2:$C$1199,0)),"",INDEX('Compliance Database'!$F$2:$F$1199,MATCH(140,'Transfer Engine'!$C$2:$C$1199,0)))</f>
        <v>Medium</v>
      </c>
      <c r="G149" s="6" t="str">
        <f>IF(ISNA(MATCH(140,'Transfer Engine'!$C$2:$C$1199,0)),"",INDEX('Compliance Database'!$G$2:$G$1199,MATCH(140,'Transfer Engine'!$C$2:$C$1199,0)))</f>
        <v>High (explicit)</v>
      </c>
      <c r="H149" s="7" t="str">
        <f>IF(ISNA(MATCH(140,'Transfer Engine'!$C$2:$C$1199,0)),"",INDEX('Compliance Database'!$H$2:$H$1199,MATCH(140,'Transfer Engine'!$C$2:$C$1199,0)))</f>
        <v>Cross-border Transfer, International Processing, Data Storage, Data Residency, Security, Encryption, Access Control, Processing, Collection, Retention, Deletion, Data Sharing, Third Party Processing, Outsourcing, Cloud Services, Incident Reporting, Breach Notification, Consent, Customer Information, Employee Information, Special Personal Information, Children, Financial Data, KYC, AML, Governance, Record Keeping</v>
      </c>
      <c r="I149" s="7" t="str">
        <f>IF(ISNA(MATCH(140,'Transfer Engine'!$C$2:$C$1199,0)),"",INDEX('Compliance Database'!$I$2:$I$1199,MATCH(140,'Transfer Engine'!$C$2:$C$1199,0)))</f>
        <v>Personal Information</v>
      </c>
      <c r="J149" s="6">
        <f>IF(ISNA(MATCH(140,'Transfer Engine'!$C$2:$C$1199,0)),"",INDEX('Compliance Database'!$J$2:$J$1199,MATCH(140,'Transfer Engine'!$C$2:$C$1199,0)))</f>
        <v>0</v>
      </c>
      <c r="K149" s="7" t="str">
        <f>IF(ISNA(MATCH(140,'Transfer Engine'!$C$2:$C$1199,0)),"",INDEX('Compliance Database'!$K$2:$K$1199,MATCH(140,'Transfer Engine'!$C$2:$C$1199,0)))</f>
        <v>This section introduces the statutory tort for serious invasions of privacy as a legal mechanism allowing individuals to seek redress for privacy harms in court. It establishes that the tort applies beyond traditional Privacy Act entities to include individuals and other entities. The section outlines key components such as the definition of invasion, required elements for a claim, and the role of the court in determining remedies.</v>
      </c>
      <c r="L149" s="7">
        <f>IF(ISNA(MATCH(140,'Transfer Engine'!$C$2:$C$1199,0)),"",INDEX('Compliance Database'!$L$2:$L$1199,MATCH(140,'Transfer Engine'!$C$2:$C$1199,0)))</f>
        <v>0</v>
      </c>
      <c r="M149" s="7" t="str">
        <f>IF(ISNA(MATCH(140,'Transfer Engine'!$C$2:$C$1199,0)),"",INDEX('Compliance Database'!$M$2:$M$1199,MATCH(140,'Transfer Engine'!$C$2:$C$1199,0)))</f>
        <v>• [Must] Statutory tort for serious invasions of privacy</v>
      </c>
      <c r="N149" s="7">
        <f>IF(ISNA(MATCH(140,'Transfer Engine'!$C$2:$C$1199,0)),"",INDEX('Compliance Database'!$N$2:$N$1199,MATCH(140,'Transfer Engine'!$C$2:$C$1199,0)))</f>
        <v>0</v>
      </c>
      <c r="O149" s="7" t="str">
        <f>IF(ISNA(MATCH(140,'Transfer Engine'!$C$2:$C$1199,0)),"",INDEX('Compliance Database'!$O$2:$O$1199,MATCH(140,'Transfer Engine'!$C$2:$C$1199,0)))</f>
        <v>Statutory tort for serious invasions of privacy | OAIC</v>
      </c>
      <c r="P149" s="6" t="str">
        <f>IF(ISNA(MATCH(140,'Transfer Engine'!$C$2:$C$1199,0)),"",HYPERLINK("#Acts!A"&amp;INDEX('Compliance Database'!$P$2:$P$1199,MATCH(140,'Transfer Engine'!$C$2:$C$1199,0)),"Go to Act"))</f>
        <v>Go to Act</v>
      </c>
    </row>
    <row r="150" spans="1:16" ht="172.95" customHeight="1" x14ac:dyDescent="0.3">
      <c r="A150" s="6" t="str">
        <f>IF(ISNA(MATCH(141,'Transfer Engine'!$C$2:$C$1199,0)),"",INDEX('Compliance Database'!$A$2:$A$1199,MATCH(141,'Transfer Engine'!$C$2:$C$1199,0)))</f>
        <v>Australia</v>
      </c>
      <c r="B150" s="6" t="str">
        <f>IF(ISNA(MATCH(141,'Transfer Engine'!$C$2:$C$1199,0)),"",INDEX('Compliance Database'!$B$2:$B$1199,MATCH(141,'Transfer Engine'!$C$2:$C$1199,0)))</f>
        <v>Statutory tort for serious invasions of privacy _ OAIC (Australia - Row 24)</v>
      </c>
      <c r="C150" s="6" t="str">
        <f>IF(ISNA(MATCH(141,'Transfer Engine'!$C$2:$C$1199,0)),"",INDEX('Compliance Database'!$C$2:$C$1199,MATCH(141,'Transfer Engine'!$C$2:$C$1199,0)))</f>
        <v>p2</v>
      </c>
      <c r="D150" s="7" t="str">
        <f>IF(ISNA(MATCH(141,'Transfer Engine'!$C$2:$C$1199,0)),"",INDEX('Compliance Database'!$D$2:$D$1199,MATCH(141,'Transfer Engine'!$C$2:$C$1199,0)))</f>
        <v>Statutory tort for serious invasions of privacy: claims and defences</v>
      </c>
      <c r="E150" s="6" t="str">
        <f>IF(ISNA(MATCH(141,'Transfer Engine'!$C$2:$C$1199,0)),"",INDEX('Compliance Database'!$E$2:$E$1199,MATCH(141,'Transfer Engine'!$C$2:$C$1199,0)))</f>
        <v>2–3</v>
      </c>
      <c r="F150" s="6" t="str">
        <f>IF(ISNA(MATCH(141,'Transfer Engine'!$C$2:$C$1199,0)),"",INDEX('Compliance Database'!$F$2:$F$1199,MATCH(141,'Transfer Engine'!$C$2:$C$1199,0)))</f>
        <v>Medium</v>
      </c>
      <c r="G150" s="6" t="str">
        <f>IF(ISNA(MATCH(141,'Transfer Engine'!$C$2:$C$1199,0)),"",INDEX('Compliance Database'!$G$2:$G$1199,MATCH(141,'Transfer Engine'!$C$2:$C$1199,0)))</f>
        <v>High (explicit)</v>
      </c>
      <c r="H150" s="7" t="str">
        <f>IF(ISNA(MATCH(141,'Transfer Engine'!$C$2:$C$1199,0)),"",INDEX('Compliance Database'!$H$2:$H$1199,MATCH(141,'Transfer Engine'!$C$2:$C$1199,0)))</f>
        <v>Cross-border Transfer, International Processing, Data Storage, Data Residency, Security, Encryption, Access Control, Processing, Collection, Retention, Deletion, Data Sharing, Third Party Processing, Outsourcing, Cloud Services, Incident Reporting, Breach Notification, Consent, Customer Information, Employee Information, Special Personal Information, Children, Financial Data, KYC, AML, Governance, Record Keeping</v>
      </c>
      <c r="I150" s="7" t="str">
        <f>IF(ISNA(MATCH(141,'Transfer Engine'!$C$2:$C$1199,0)),"",INDEX('Compliance Database'!$I$2:$I$1199,MATCH(141,'Transfer Engine'!$C$2:$C$1199,0)))</f>
        <v>Personal Information</v>
      </c>
      <c r="J150" s="6">
        <f>IF(ISNA(MATCH(141,'Transfer Engine'!$C$2:$C$1199,0)),"",INDEX('Compliance Database'!$J$2:$J$1199,MATCH(141,'Transfer Engine'!$C$2:$C$1199,0)))</f>
        <v>0</v>
      </c>
      <c r="K150" s="7" t="str">
        <f>IF(ISNA(MATCH(141,'Transfer Engine'!$C$2:$C$1199,0)),"",INDEX('Compliance Database'!$K$2:$K$1199,MATCH(141,'Transfer Engine'!$C$2:$C$1199,0)))</f>
        <v>This section details the conditions under which an individual may claim a statutory tort for serious invasions of privacy, including the requirement that the plaintiff had a reasonable expectation of privacy. It specifies that the defendant must have invaded privacy through actions like intruding upon seclusion or misusing information. The section also outlines defences such as consent or lawful authority, and exemptions for intelligence agencies, law enforcement, and journalists.</v>
      </c>
      <c r="L150" s="7">
        <f>IF(ISNA(MATCH(141,'Transfer Engine'!$C$2:$C$1199,0)),"",INDEX('Compliance Database'!$L$2:$L$1199,MATCH(141,'Transfer Engine'!$C$2:$C$1199,0)))</f>
        <v>0</v>
      </c>
      <c r="M150" s="7" t="str">
        <f>IF(ISNA(MATCH(141,'Transfer Engine'!$C$2:$C$1199,0)),"",INDEX('Compliance Database'!$M$2:$M$1199,MATCH(141,'Transfer Engine'!$C$2:$C$1199,0)))</f>
        <v>• [Must] An individual may have a cause of action against another person or organisation who has invaded their privacy by doing one or more of the following: intruding upon the individual's seclusion or misusing information that relates to the plaintiff
• [Must] The plaintiff must have had a reasonable expectation of privacy in all circumstances
• [Must] The plaintiff must demonstrate that the public interest in protecting their privacy outweighs any countervailing public interest</v>
      </c>
      <c r="N150" s="7" t="str">
        <f>IF(ISNA(MATCH(141,'Transfer Engine'!$C$2:$C$1199,0)),"",INDEX('Compliance Database'!$N$2:$N$1199,MATCH(141,'Transfer Engine'!$C$2:$C$1199,0)))</f>
        <v>• [Must Not] Consent or lawful authority is a defence
• [Must Not] Exemptions apply to intelligence agencies, law enforcement bodies, and journalists in certain circumstances</v>
      </c>
      <c r="O150" s="7" t="str">
        <f>IF(ISNA(MATCH(141,'Transfer Engine'!$C$2:$C$1199,0)),"",INDEX('Compliance Database'!$O$2:$O$1199,MATCH(141,'Transfer Engine'!$C$2:$C$1199,0)))</f>
        <v>An individual (plaintiff) may have a cause of action against another person or organisation (defendant) who has invaded their privacy by doing one or more of the following, in instances where the plaintiff would have had a reasonable expectation of privacy in all the circumstances: • intruding upon the individual's seclusion – for example, by physically intruding into their private space; • misusing information that relates to the plaintiff.</v>
      </c>
      <c r="P150" s="6" t="str">
        <f>IF(ISNA(MATCH(141,'Transfer Engine'!$C$2:$C$1199,0)),"",HYPERLINK("#Acts!A"&amp;INDEX('Compliance Database'!$P$2:$P$1199,MATCH(141,'Transfer Engine'!$C$2:$C$1199,0)),"Go to Act"))</f>
        <v>Go to Act</v>
      </c>
    </row>
    <row r="151" spans="1:16" ht="172.95" customHeight="1" x14ac:dyDescent="0.3">
      <c r="A151" s="6" t="str">
        <f>IF(ISNA(MATCH(142,'Transfer Engine'!$C$2:$C$1199,0)),"",INDEX('Compliance Database'!$A$2:$A$1199,MATCH(142,'Transfer Engine'!$C$2:$C$1199,0)))</f>
        <v>Australia</v>
      </c>
      <c r="B151" s="6" t="str">
        <f>IF(ISNA(MATCH(142,'Transfer Engine'!$C$2:$C$1199,0)),"",INDEX('Compliance Database'!$B$2:$B$1199,MATCH(142,'Transfer Engine'!$C$2:$C$1199,0)))</f>
        <v>Statutory tort for serious invasions of privacy _ OAIC (Australia - Row 24)</v>
      </c>
      <c r="C151" s="6" t="str">
        <f>IF(ISNA(MATCH(142,'Transfer Engine'!$C$2:$C$1199,0)),"",INDEX('Compliance Database'!$C$2:$C$1199,MATCH(142,'Transfer Engine'!$C$2:$C$1199,0)))</f>
        <v>p3</v>
      </c>
      <c r="D151" s="7" t="str">
        <f>IF(ISNA(MATCH(142,'Transfer Engine'!$C$2:$C$1199,0)),"",INDEX('Compliance Database'!$D$2:$D$1199,MATCH(142,'Transfer Engine'!$C$2:$C$1199,0)))</f>
        <v>Timeframes for statutory tort claims</v>
      </c>
      <c r="E151" s="6" t="str">
        <f>IF(ISNA(MATCH(142,'Transfer Engine'!$C$2:$C$1199,0)),"",INDEX('Compliance Database'!$E$2:$E$1199,MATCH(142,'Transfer Engine'!$C$2:$C$1199,0)))</f>
        <v>3–4</v>
      </c>
      <c r="F151" s="6" t="str">
        <f>IF(ISNA(MATCH(142,'Transfer Engine'!$C$2:$C$1199,0)),"",INDEX('Compliance Database'!$F$2:$F$1199,MATCH(142,'Transfer Engine'!$C$2:$C$1199,0)))</f>
        <v>Medium</v>
      </c>
      <c r="G151" s="6" t="str">
        <f>IF(ISNA(MATCH(142,'Transfer Engine'!$C$2:$C$1199,0)),"",INDEX('Compliance Database'!$G$2:$G$1199,MATCH(142,'Transfer Engine'!$C$2:$C$1199,0)))</f>
        <v>High (explicit)</v>
      </c>
      <c r="H151" s="7" t="str">
        <f>IF(ISNA(MATCH(142,'Transfer Engine'!$C$2:$C$1199,0)),"",INDEX('Compliance Database'!$H$2:$H$1199,MATCH(142,'Transfer Engine'!$C$2:$C$1199,0)))</f>
        <v>Cross-border Transfer, International Processing, Data Storage, Data Residency, Security, Encryption, Access Control, Processing, Collection, Retention, Deletion, Data Sharing, Third Party Processing, Outsourcing, Cloud Services, Incident Reporting, Breach Notification, Consent, Customer Information, Employee Information, Special Personal Information, Children, Financial Data, KYC, AML, Governance, Record Keeping</v>
      </c>
      <c r="I151" s="7" t="str">
        <f>IF(ISNA(MATCH(142,'Transfer Engine'!$C$2:$C$1199,0)),"",INDEX('Compliance Database'!$I$2:$I$1199,MATCH(142,'Transfer Engine'!$C$2:$C$1199,0)))</f>
        <v>Personal Information</v>
      </c>
      <c r="J151" s="6">
        <f>IF(ISNA(MATCH(142,'Transfer Engine'!$C$2:$C$1199,0)),"",INDEX('Compliance Database'!$J$2:$J$1199,MATCH(142,'Transfer Engine'!$C$2:$C$1199,0)))</f>
        <v>0</v>
      </c>
      <c r="K151" s="7" t="str">
        <f>IF(ISNA(MATCH(142,'Transfer Engine'!$C$2:$C$1199,0)),"",INDEX('Compliance Database'!$K$2:$K$1199,MATCH(142,'Transfer Engine'!$C$2:$C$1199,0)))</f>
        <v>This section specifies the timeframes within which legal proceedings for the statutory tort must be commenced. If the plaintiff is under 18 at the time of the alleged invasion, proceedings must begin before their 21st birthday. Otherwise, the timeframe is the earlier of one year after the plaintiff became aware of the invasion or three years after the invasion occurred. The section also notes that courts may grant remedies such as damages, injunctions, or orders requiring an apology.</v>
      </c>
      <c r="L151" s="7">
        <f>IF(ISNA(MATCH(142,'Transfer Engine'!$C$2:$C$1199,0)),"",INDEX('Compliance Database'!$L$2:$L$1199,MATCH(142,'Transfer Engine'!$C$2:$C$1199,0)))</f>
        <v>0</v>
      </c>
      <c r="M151" s="7" t="str">
        <f>IF(ISNA(MATCH(142,'Transfer Engine'!$C$2:$C$1199,0)),"",INDEX('Compliance Database'!$M$2:$M$1199,MATCH(142,'Transfer Engine'!$C$2:$C$1199,0)))</f>
        <v>• [Must] Proceedings must be commenced within 1 year after the plaintiff became aware of the invasion of privacy or 3 years after the invasion occurred, whichever is earlier
• [Must] If the plaintiff is under 18 at the time of the alleged invasion, proceedings must be commenced before their 21st birthday</v>
      </c>
      <c r="N151" s="7" t="str">
        <f>IF(ISNA(MATCH(142,'Transfer Engine'!$C$2:$C$1199,0)),"",INDEX('Compliance Database'!$N$2:$N$1199,MATCH(142,'Transfer Engine'!$C$2:$C$1199,0)))</f>
        <v>• [May] Courts may grant remedies including damages, injunctions, or orders requiring an apology</v>
      </c>
      <c r="O151" s="7" t="str">
        <f>IF(ISNA(MATCH(142,'Transfer Engine'!$C$2:$C$1199,0)),"",INDEX('Compliance Database'!$O$2:$O$1199,MATCH(142,'Transfer Engine'!$C$2:$C$1199,0)))</f>
        <v>Proceedings under the statutory tort must be commenced within certain timeframes. If a plaintiff is under 18 years of age when the alleged invasion of privacy occurred, proceedings must commence before their 21st birthday. In other circumstances, the timeframe is the earlier of: • 1 year after the day on which the plaintiff became aware of the invasion of privacy; and • 3 years after the invasion of privacy occurred.</v>
      </c>
      <c r="P151" s="6" t="str">
        <f>IF(ISNA(MATCH(142,'Transfer Engine'!$C$2:$C$1199,0)),"",HYPERLINK("#Acts!A"&amp;INDEX('Compliance Database'!$P$2:$P$1199,MATCH(142,'Transfer Engine'!$C$2:$C$1199,0)),"Go to Act"))</f>
        <v>Go to Act</v>
      </c>
    </row>
    <row r="152" spans="1:16" ht="172.95" customHeight="1" x14ac:dyDescent="0.3">
      <c r="A152" s="6" t="str">
        <f>IF(ISNA(MATCH(143,'Transfer Engine'!$C$2:$C$1199,0)),"",INDEX('Compliance Database'!$A$2:$A$1199,MATCH(143,'Transfer Engine'!$C$2:$C$1199,0)))</f>
        <v>Australia</v>
      </c>
      <c r="B152" s="6" t="str">
        <f>IF(ISNA(MATCH(143,'Transfer Engine'!$C$2:$C$1199,0)),"",INDEX('Compliance Database'!$B$2:$B$1199,MATCH(143,'Transfer Engine'!$C$2:$C$1199,0)))</f>
        <v>Statutory tort for serious invasions of privacy _ OAIC (Australia - Row 24)</v>
      </c>
      <c r="C152" s="6" t="str">
        <f>IF(ISNA(MATCH(143,'Transfer Engine'!$C$2:$C$1199,0)),"",INDEX('Compliance Database'!$C$2:$C$1199,MATCH(143,'Transfer Engine'!$C$2:$C$1199,0)))</f>
        <v>p4</v>
      </c>
      <c r="D152" s="7" t="str">
        <f>IF(ISNA(MATCH(143,'Transfer Engine'!$C$2:$C$1199,0)),"",INDEX('Compliance Database'!$D$2:$D$1199,MATCH(143,'Transfer Engine'!$C$2:$C$1199,0)))</f>
        <v>Site map for statutory tort information</v>
      </c>
      <c r="E152" s="6" t="str">
        <f>IF(ISNA(MATCH(143,'Transfer Engine'!$C$2:$C$1199,0)),"",INDEX('Compliance Database'!$E$2:$E$1199,MATCH(143,'Transfer Engine'!$C$2:$C$1199,0)))</f>
        <v>4–5</v>
      </c>
      <c r="F152" s="6" t="str">
        <f>IF(ISNA(MATCH(143,'Transfer Engine'!$C$2:$C$1199,0)),"",INDEX('Compliance Database'!$F$2:$F$1199,MATCH(143,'Transfer Engine'!$C$2:$C$1199,0)))</f>
        <v>Medium</v>
      </c>
      <c r="G152" s="6" t="str">
        <f>IF(ISNA(MATCH(143,'Transfer Engine'!$C$2:$C$1199,0)),"",INDEX('Compliance Database'!$G$2:$G$1199,MATCH(143,'Transfer Engine'!$C$2:$C$1199,0)))</f>
        <v>High (explicit)</v>
      </c>
      <c r="H152" s="7" t="str">
        <f>IF(ISNA(MATCH(143,'Transfer Engine'!$C$2:$C$1199,0)),"",INDEX('Compliance Database'!$H$2:$H$1199,MATCH(143,'Transfer Engine'!$C$2:$C$1199,0)))</f>
        <v>Cross-border Transfer, International Processing, Data Storage, Data Residency, Security, Encryption, Access Control, Processing, Collection, Retention, Deletion, Data Sharing, Third Party Processing, Outsourcing, Cloud Services, Incident Reporting, Breach Notification, Consent, Customer Information, Employee Information, Special Personal Information, Children, Financial Data, KYC, AML, Governance, Record Keeping</v>
      </c>
      <c r="I152" s="7" t="str">
        <f>IF(ISNA(MATCH(143,'Transfer Engine'!$C$2:$C$1199,0)),"",INDEX('Compliance Database'!$I$2:$I$1199,MATCH(143,'Transfer Engine'!$C$2:$C$1199,0)))</f>
        <v>Personal Information</v>
      </c>
      <c r="J152" s="6">
        <f>IF(ISNA(MATCH(143,'Transfer Engine'!$C$2:$C$1199,0)),"",INDEX('Compliance Database'!$J$2:$J$1199,MATCH(143,'Transfer Engine'!$C$2:$C$1199,0)))</f>
        <v>0</v>
      </c>
      <c r="K152" s="7" t="str">
        <f>IF(ISNA(MATCH(143,'Transfer Engine'!$C$2:$C$1199,0)),"",INDEX('Compliance Database'!$K$2:$K$1199,MATCH(143,'Transfer Engine'!$C$2:$C$1199,0)))</f>
        <v>This section provides a site map for the statutory tort for serious invasions of privacy, including links to copyright, terms and conditions, privacy policy, accessibility, and contact information. It does not contain substantive legal requirements or obligations related to data transfers or privacy practices.</v>
      </c>
      <c r="L152" s="7">
        <f>IF(ISNA(MATCH(143,'Transfer Engine'!$C$2:$C$1199,0)),"",INDEX('Compliance Database'!$L$2:$L$1199,MATCH(143,'Transfer Engine'!$C$2:$C$1199,0)))</f>
        <v>0</v>
      </c>
      <c r="M152" s="7" t="str">
        <f>IF(ISNA(MATCH(143,'Transfer Engine'!$C$2:$C$1199,0)),"",INDEX('Compliance Database'!$M$2:$M$1199,MATCH(143,'Transfer Engine'!$C$2:$C$1199,0)))</f>
        <v>• [Must] Site map includes links to copyright, terms and conditions, privacy policy, accessibility, and contact information</v>
      </c>
      <c r="N152" s="7">
        <f>IF(ISNA(MATCH(143,'Transfer Engine'!$C$2:$C$1199,0)),"",INDEX('Compliance Database'!$N$2:$N$1199,MATCH(143,'Transfer Engine'!$C$2:$C$1199,0)))</f>
        <v>0</v>
      </c>
      <c r="O152" s="7" t="str">
        <f>IF(ISNA(MATCH(143,'Transfer Engine'!$C$2:$C$1199,0)),"",INDEX('Compliance Database'!$O$2:$O$1199,MATCH(143,'Transfer Engine'!$C$2:$C$1199,0)))</f>
        <v>Site map</v>
      </c>
      <c r="P152" s="6" t="str">
        <f>IF(ISNA(MATCH(143,'Transfer Engine'!$C$2:$C$1199,0)),"",HYPERLINK("#Acts!A"&amp;INDEX('Compliance Database'!$P$2:$P$1199,MATCH(143,'Transfer Engine'!$C$2:$C$1199,0)),"Go to Act"))</f>
        <v>Go to Act</v>
      </c>
    </row>
    <row r="153" spans="1:16" ht="172.95" customHeight="1" x14ac:dyDescent="0.3">
      <c r="A153" s="6" t="str">
        <f>IF(ISNA(MATCH(144,'Transfer Engine'!$C$2:$C$1199,0)),"",INDEX('Compliance Database'!$A$2:$A$1199,MATCH(144,'Transfer Engine'!$C$2:$C$1199,0)))</f>
        <v>Australia</v>
      </c>
      <c r="B153" s="6" t="str">
        <f>IF(ISNA(MATCH(144,'Transfer Engine'!$C$2:$C$1199,0)),"",INDEX('Compliance Database'!$B$2:$B$1199,MATCH(144,'Transfer Engine'!$C$2:$C$1199,0)))</f>
        <v>Statutory tort for serious invasions of privacy _ OAIC (Australia - Row 24)</v>
      </c>
      <c r="C153" s="6" t="str">
        <f>IF(ISNA(MATCH(144,'Transfer Engine'!$C$2:$C$1199,0)),"",INDEX('Compliance Database'!$C$2:$C$1199,MATCH(144,'Transfer Engine'!$C$2:$C$1199,0)))</f>
        <v>p5</v>
      </c>
      <c r="D153" s="7" t="str">
        <f>IF(ISNA(MATCH(144,'Transfer Engine'!$C$2:$C$1199,0)),"",INDEX('Compliance Database'!$D$2:$D$1199,MATCH(144,'Transfer Engine'!$C$2:$C$1199,0)))</f>
        <v>Contact information for statutory tort support</v>
      </c>
      <c r="E153" s="6" t="str">
        <f>IF(ISNA(MATCH(144,'Transfer Engine'!$C$2:$C$1199,0)),"",INDEX('Compliance Database'!$E$2:$E$1199,MATCH(144,'Transfer Engine'!$C$2:$C$1199,0)))</f>
        <v>5</v>
      </c>
      <c r="F153" s="6" t="str">
        <f>IF(ISNA(MATCH(144,'Transfer Engine'!$C$2:$C$1199,0)),"",INDEX('Compliance Database'!$F$2:$F$1199,MATCH(144,'Transfer Engine'!$C$2:$C$1199,0)))</f>
        <v>Medium</v>
      </c>
      <c r="G153" s="6" t="str">
        <f>IF(ISNA(MATCH(144,'Transfer Engine'!$C$2:$C$1199,0)),"",INDEX('Compliance Database'!$G$2:$G$1199,MATCH(144,'Transfer Engine'!$C$2:$C$1199,0)))</f>
        <v>High (explicit)</v>
      </c>
      <c r="H153" s="7" t="str">
        <f>IF(ISNA(MATCH(144,'Transfer Engine'!$C$2:$C$1199,0)),"",INDEX('Compliance Database'!$H$2:$H$1199,MATCH(144,'Transfer Engine'!$C$2:$C$1199,0)))</f>
        <v>Cross-border Transfer, International Processing, Data Storage, Data Residency, Security, Encryption, Access Control, Processing, Collection, Retention, Deletion, Data Sharing, Third Party Processing, Outsourcing, Cloud Services, Incident Reporting, Breach Notification, Consent, Customer Information, Employee Information, Special Personal Information, Children, Financial Data, KYC, AML, Governance, Record Keeping</v>
      </c>
      <c r="I153" s="7" t="str">
        <f>IF(ISNA(MATCH(144,'Transfer Engine'!$C$2:$C$1199,0)),"",INDEX('Compliance Database'!$I$2:$I$1199,MATCH(144,'Transfer Engine'!$C$2:$C$1199,0)))</f>
        <v>Personal Information</v>
      </c>
      <c r="J153" s="6">
        <f>IF(ISNA(MATCH(144,'Transfer Engine'!$C$2:$C$1199,0)),"",INDEX('Compliance Database'!$J$2:$J$1199,MATCH(144,'Transfer Engine'!$C$2:$C$1199,0)))</f>
        <v>0</v>
      </c>
      <c r="K153" s="7" t="str">
        <f>IF(ISNA(MATCH(144,'Transfer Engine'!$C$2:$C$1199,0)),"",INDEX('Compliance Database'!$K$2:$K$1199,MATCH(144,'Transfer Engine'!$C$2:$C$1199,0)))</f>
        <v>This section provides contact details for the Office of the Australian Information Commissioner (OAIC), including a phone number and operating hours. It also includes an acknowledgment of country statement and copyright information, but does not contain substantive legal requirements for data transfers or privacy practices.</v>
      </c>
      <c r="L153" s="7">
        <f>IF(ISNA(MATCH(144,'Transfer Engine'!$C$2:$C$1199,0)),"",INDEX('Compliance Database'!$L$2:$L$1199,MATCH(144,'Transfer Engine'!$C$2:$C$1199,0)))</f>
        <v>0</v>
      </c>
      <c r="M153" s="7" t="str">
        <f>IF(ISNA(MATCH(144,'Transfer Engine'!$C$2:$C$1199,0)),"",INDEX('Compliance Database'!$M$2:$M$1199,MATCH(144,'Transfer Engine'!$C$2:$C$1199,0)))</f>
        <v>• [Must] Contact number: 1300 363 992</v>
      </c>
      <c r="N153" s="7" t="str">
        <f>IF(ISNA(MATCH(144,'Transfer Engine'!$C$2:$C$1199,0)),"",INDEX('Compliance Database'!$N$2:$N$1199,MATCH(144,'Transfer Engine'!$C$2:$C$1199,0)))</f>
        <v>• [Must] Operating hours: Monday to Thursday 10 am to 4 pm (AEST/AEDT)</v>
      </c>
      <c r="O153" s="7" t="str">
        <f>IF(ISNA(MATCH(144,'Transfer Engine'!$C$2:$C$1199,0)),"",INDEX('Compliance Database'!$O$2:$O$1199,MATCH(144,'Transfer Engine'!$C$2:$C$1199,0)))</f>
        <v>Contact us 1300 363 992 Monday to Thursday 10 am to 4 pm (AEST/AEDT)</v>
      </c>
      <c r="P153" s="6" t="str">
        <f>IF(ISNA(MATCH(144,'Transfer Engine'!$C$2:$C$1199,0)),"",HYPERLINK("#Acts!A"&amp;INDEX('Compliance Database'!$P$2:$P$1199,MATCH(144,'Transfer Engine'!$C$2:$C$1199,0)),"Go to Act"))</f>
        <v>Go to Act</v>
      </c>
    </row>
    <row r="154" spans="1:16" ht="172.95" customHeight="1" x14ac:dyDescent="0.3">
      <c r="A154" s="6" t="str">
        <f>IF(ISNA(MATCH(145,'Transfer Engine'!$C$2:$C$1199,0)),"",INDEX('Compliance Database'!$A$2:$A$1199,MATCH(145,'Transfer Engine'!$C$2:$C$1199,0)))</f>
        <v>Australia</v>
      </c>
      <c r="B154" s="6" t="str">
        <f>IF(ISNA(MATCH(145,'Transfer Engine'!$C$2:$C$1199,0)),"",INDEX('Compliance Database'!$B$2:$B$1199,MATCH(145,'Transfer Engine'!$C$2:$C$1199,0)))</f>
        <v>cps_234_july_2019_for_public_release (Australia - Row 6)</v>
      </c>
      <c r="C154" s="6" t="str">
        <f>IF(ISNA(MATCH(145,'Transfer Engine'!$C$2:$C$1199,0)),"",INDEX('Compliance Database'!$C$2:$C$1199,MATCH(145,'Transfer Engine'!$C$2:$C$1199,0)))</f>
        <v>1</v>
      </c>
      <c r="D154" s="7" t="str">
        <f>IF(ISNA(MATCH(145,'Transfer Engine'!$C$2:$C$1199,0)),"",INDEX('Compliance Database'!$D$2:$D$1199,MATCH(145,'Transfer Engine'!$C$2:$C$1199,0)))</f>
        <v>Prudential Standard authority basis</v>
      </c>
      <c r="E154" s="6" t="str">
        <f>IF(ISNA(MATCH(145,'Transfer Engine'!$C$2:$C$1199,0)),"",INDEX('Compliance Database'!$E$2:$E$1199,MATCH(145,'Transfer Engine'!$C$2:$C$1199,0)))</f>
        <v>2</v>
      </c>
      <c r="F154" s="6" t="str">
        <f>IF(ISNA(MATCH(145,'Transfer Engine'!$C$2:$C$1199,0)),"",INDEX('Compliance Database'!$F$2:$F$1199,MATCH(145,'Transfer Engine'!$C$2:$C$1199,0)))</f>
        <v>High</v>
      </c>
      <c r="G154" s="6" t="str">
        <f>IF(ISNA(MATCH(145,'Transfer Engine'!$C$2:$C$1199,0)),"",INDEX('Compliance Database'!$G$2:$G$1199,MATCH(145,'Transfer Engine'!$C$2:$C$1199,0)))</f>
        <v>High (explicit)</v>
      </c>
      <c r="H154" s="7" t="str">
        <f>IF(ISNA(MATCH(145,'Transfer Engine'!$C$2:$C$1199,0)),"",INDEX('Compliance Database'!$H$2:$H$1199,MATCH(145,'Transfer Engine'!$C$2:$C$1199,0)))</f>
        <v>Governance</v>
      </c>
      <c r="I154" s="7">
        <f>IF(ISNA(MATCH(145,'Transfer Engine'!$C$2:$C$1199,0)),"",INDEX('Compliance Database'!$I$2:$I$1199,MATCH(145,'Transfer Engine'!$C$2:$C$1199,0)))</f>
        <v>0</v>
      </c>
      <c r="J154" s="6" t="str">
        <f>IF(ISNA(MATCH(145,'Transfer Engine'!$C$2:$C$1199,0)),"",INDEX('Compliance Database'!$J$2:$J$1199,MATCH(145,'Transfer Engine'!$C$2:$C$1199,0)))</f>
        <v>APRA</v>
      </c>
      <c r="K154" s="7" t="str">
        <f>IF(ISNA(MATCH(145,'Transfer Engine'!$C$2:$C$1199,0)),"",INDEX('Compliance Database'!$K$2:$K$1199,MATCH(145,'Transfer Engine'!$C$2:$C$1199,0)))</f>
        <v>This section specifies the legislative basis for the Prudential Standard, stating it is enacted under five specific sections of Australian financial legislation: Banking Act 1959, Insurance Act 1973, Life Insurance Act 1995, Private Health Insurance (Prudential Supervision) Act 2015, and Superannuation Industry (Supervision) Act 1993. The section establishes the legal foundation for the Prudential Standard's authority.</v>
      </c>
      <c r="L154" s="7">
        <f>IF(ISNA(MATCH(145,'Transfer Engine'!$C$2:$C$1199,0)),"",INDEX('Compliance Database'!$L$2:$L$1199,MATCH(145,'Transfer Engine'!$C$2:$C$1199,0)))</f>
        <v>0</v>
      </c>
      <c r="M154" s="7" t="str">
        <f>IF(ISNA(MATCH(145,'Transfer Engine'!$C$2:$C$1199,0)),"",INDEX('Compliance Database'!$M$2:$M$1199,MATCH(145,'Transfer Engine'!$C$2:$C$1199,0)))</f>
        <v>• [Must] This Prudential Standard is made under section 11AF of the Banking Act 1959
• [Must] This Prudential Standard is made under section 32 of the Insurance Act 1973
• [Must] This Prudential Standard is made under section 230A of the Life Insurance Act 1995</v>
      </c>
      <c r="N154" s="7" t="str">
        <f>IF(ISNA(MATCH(145,'Transfer Engine'!$C$2:$C$1199,0)),"",INDEX('Compliance Database'!$N$2:$N$1199,MATCH(145,'Transfer Engine'!$C$2:$C$1199,0)))</f>
        <v>• [Must] This Prudential Standard is made under section 92 of the Private Health Insurance (Prudential Supervision) Act 2015
• [Must] This Prudential Standard is made under section 34C of the Superannuation Industry (Supervision) Act 1993</v>
      </c>
      <c r="O154" s="7" t="str">
        <f>IF(ISNA(MATCH(145,'Transfer Engine'!$C$2:$C$1199,0)),"",INDEX('Compliance Database'!$O$2:$O$1199,MATCH(145,'Transfer Engine'!$C$2:$C$1199,0)))</f>
        <v>This Prudential Standard is made under: (a) section 11AF of the Banking Act 1959 (Banking Act); (b) section 32 of the Insurance Act 1973 (Insurance Act); (c) section 230A of the Life Insurance Act 1995 (Life Insurance Act); (d) section 92 of the Private Health Insurance (Prudential Supervision) Act 2015 (PHIPS Act); and (e) section 34C of the Superannuation Industry (Supervision) Act 1993 (SIS Act).</v>
      </c>
      <c r="P154" s="6" t="str">
        <f>IF(ISNA(MATCH(145,'Transfer Engine'!$C$2:$C$1199,0)),"",HYPERLINK("#Acts!A"&amp;INDEX('Compliance Database'!$P$2:$P$1199,MATCH(145,'Transfer Engine'!$C$2:$C$1199,0)),"Go to Act"))</f>
        <v>Go to Act</v>
      </c>
    </row>
    <row r="155" spans="1:16" ht="172.95" customHeight="1" x14ac:dyDescent="0.3">
      <c r="A155" s="6" t="str">
        <f>IF(ISNA(MATCH(146,'Transfer Engine'!$C$2:$C$1199,0)),"",INDEX('Compliance Database'!$A$2:$A$1199,MATCH(146,'Transfer Engine'!$C$2:$C$1199,0)))</f>
        <v>Australia</v>
      </c>
      <c r="B155" s="6" t="str">
        <f>IF(ISNA(MATCH(146,'Transfer Engine'!$C$2:$C$1199,0)),"",INDEX('Compliance Database'!$B$2:$B$1199,MATCH(146,'Transfer Engine'!$C$2:$C$1199,0)))</f>
        <v>cps_234_july_2019_for_public_release (Australia - Row 6)</v>
      </c>
      <c r="C155" s="6" t="str">
        <f>IF(ISNA(MATCH(146,'Transfer Engine'!$C$2:$C$1199,0)),"",INDEX('Compliance Database'!$C$2:$C$1199,MATCH(146,'Transfer Engine'!$C$2:$C$1199,0)))</f>
        <v>2</v>
      </c>
      <c r="D155" s="7" t="str">
        <f>IF(ISNA(MATCH(146,'Transfer Engine'!$C$2:$C$1199,0)),"",INDEX('Compliance Database'!$D$2:$D$1199,MATCH(146,'Transfer Engine'!$C$2:$C$1199,0)))</f>
        <v>APRA-regulated entities covered by the standard</v>
      </c>
      <c r="E155" s="6" t="str">
        <f>IF(ISNA(MATCH(146,'Transfer Engine'!$C$2:$C$1199,0)),"",INDEX('Compliance Database'!$E$2:$E$1199,MATCH(146,'Transfer Engine'!$C$2:$C$1199,0)))</f>
        <v>2</v>
      </c>
      <c r="F155" s="6" t="str">
        <f>IF(ISNA(MATCH(146,'Transfer Engine'!$C$2:$C$1199,0)),"",INDEX('Compliance Database'!$F$2:$F$1199,MATCH(146,'Transfer Engine'!$C$2:$C$1199,0)))</f>
        <v>High</v>
      </c>
      <c r="G155" s="6" t="str">
        <f>IF(ISNA(MATCH(146,'Transfer Engine'!$C$2:$C$1199,0)),"",INDEX('Compliance Database'!$G$2:$G$1199,MATCH(146,'Transfer Engine'!$C$2:$C$1199,0)))</f>
        <v>High (explicit)</v>
      </c>
      <c r="H155" s="7" t="str">
        <f>IF(ISNA(MATCH(146,'Transfer Engine'!$C$2:$C$1199,0)),"",INDEX('Compliance Database'!$H$2:$H$1199,MATCH(146,'Transfer Engine'!$C$2:$C$1199,0)))</f>
        <v>Governance</v>
      </c>
      <c r="I155" s="7">
        <f>IF(ISNA(MATCH(146,'Transfer Engine'!$C$2:$C$1199,0)),"",INDEX('Compliance Database'!$I$2:$I$1199,MATCH(146,'Transfer Engine'!$C$2:$C$1199,0)))</f>
        <v>0</v>
      </c>
      <c r="J155" s="6" t="str">
        <f>IF(ISNA(MATCH(146,'Transfer Engine'!$C$2:$C$1199,0)),"",INDEX('Compliance Database'!$J$2:$J$1199,MATCH(146,'Transfer Engine'!$C$2:$C$1199,0)))</f>
        <v>APRA</v>
      </c>
      <c r="K155" s="7" t="str">
        <f>IF(ISNA(MATCH(146,'Transfer Engine'!$C$2:$C$1199,0)),"",INDEX('Compliance Database'!$K$2:$K$1199,MATCH(146,'Transfer Engine'!$C$2:$C$1199,0)))</f>
        <v>This section defines which entities fall under the Prudential Standard by specifying APRA-regulated entities, including authorized deposit-taking institutions, general insurers, life companies, private health insurers, and superannuation industry licensees. The scope covers both Australian and foreign entities operating within these categories.</v>
      </c>
      <c r="L155" s="7">
        <f>IF(ISNA(MATCH(146,'Transfer Engine'!$C$2:$C$1199,0)),"",INDEX('Compliance Database'!$L$2:$L$1199,MATCH(146,'Transfer Engine'!$C$2:$C$1199,0)))</f>
        <v>0</v>
      </c>
      <c r="M155" s="7" t="str">
        <f>IF(ISNA(MATCH(146,'Transfer Engine'!$C$2:$C$1199,0)),"",INDEX('Compliance Database'!$M$2:$M$1199,MATCH(146,'Transfer Engine'!$C$2:$C$1199,0)))</f>
        <v>• [Must] This Prudential Standard applies to all 'APRA-regulated entities' defined as: (a) authorized deposit-taking institutions (ADIs), including foreign ADIs, and non-operating holding companies authorized under the Banking Act
• [Must] This Prudential Standard applies to all 'APRA-regulated entities' defined as: (b) general insurers, including Category C insurers, non-operating holding companies authorized under the Insurance Act, and parent entities of Level 2 insurance groups
• [Must] This Prudential Standard applies to all 'APRA-regulated entities' defined as: (c) life companies, including friendly societies, eligible foreign life insurance companies (EFLICs) and non-operating holding companies registered under the Life Insurance Act</v>
      </c>
      <c r="N155" s="7" t="str">
        <f>IF(ISNA(MATCH(146,'Transfer Engine'!$C$2:$C$1199,0)),"",INDEX('Compliance Database'!$N$2:$N$1199,MATCH(146,'Transfer Engine'!$C$2:$C$1199,0)))</f>
        <v>• [Must] This Prudential Standard applies to all 'APRA-regulated entities' defined as: (d) private health insurers registered under the PHIPS Act
• [Must] This Prudential Standard applies to all 'APRA-regulated entities' defined as: (e) RSE licensees under the SIS Act in respect of their business operations</v>
      </c>
      <c r="O155" s="7" t="str">
        <f>IF(ISNA(MATCH(146,'Transfer Engine'!$C$2:$C$1199,0)),"",INDEX('Compliance Database'!$O$2:$O$1199,MATCH(146,'Transfer Engine'!$C$2:$C$1199,0)))</f>
        <v>This Prudential Standard applies to all 'APRA-regulated entities' defined as: (a) authorized deposit-taking institutions (ADIs), including foreign ADIs, and non-operating holding companies authorized under the Banking Act (authorized banking NOHCs); (b) general insurers, including Category C insurers, non-operating holding companies authorized under the Insurance Act (authorised insurance NOHCs), and parent entities of Level 2 insurance groups; (c) life companies, including friendly societies, eligible foreign life insurance companies (EFLICs) and non-operating holding companies registered under the Life Insurance Act (registered life NOHCs); (d) private health insurers registered under the PHIPS Act; and (e) RSE licensees under the SIS Act in respect of their business operations.</v>
      </c>
      <c r="P155" s="6" t="str">
        <f>IF(ISNA(MATCH(146,'Transfer Engine'!$C$2:$C$1199,0)),"",HYPERLINK("#Acts!A"&amp;INDEX('Compliance Database'!$P$2:$P$1199,MATCH(146,'Transfer Engine'!$C$2:$C$1199,0)),"Go to Act"))</f>
        <v>Go to Act</v>
      </c>
    </row>
    <row r="156" spans="1:16" ht="172.95" customHeight="1" x14ac:dyDescent="0.3">
      <c r="A156" s="6" t="str">
        <f>IF(ISNA(MATCH(147,'Transfer Engine'!$C$2:$C$1199,0)),"",INDEX('Compliance Database'!$A$2:$A$1199,MATCH(147,'Transfer Engine'!$C$2:$C$1199,0)))</f>
        <v>Australia</v>
      </c>
      <c r="B156" s="6" t="str">
        <f>IF(ISNA(MATCH(147,'Transfer Engine'!$C$2:$C$1199,0)),"",INDEX('Compliance Database'!$B$2:$B$1199,MATCH(147,'Transfer Engine'!$C$2:$C$1199,0)))</f>
        <v>cps_234_july_2019_for_public_release (Australia - Row 6)</v>
      </c>
      <c r="C156" s="6" t="str">
        <f>IF(ISNA(MATCH(147,'Transfer Engine'!$C$2:$C$1199,0)),"",INDEX('Compliance Database'!$C$2:$C$1199,MATCH(147,'Transfer Engine'!$C$2:$C$1199,0)))</f>
        <v>3</v>
      </c>
      <c r="D156" s="7" t="str">
        <f>IF(ISNA(MATCH(147,'Transfer Engine'!$C$2:$C$1199,0)),"",INDEX('Compliance Database'!$D$2:$D$1199,MATCH(147,'Transfer Engine'!$C$2:$C$1199,0)))</f>
        <v>Foreign entities' Australian branch operations scope</v>
      </c>
      <c r="E156" s="6" t="str">
        <f>IF(ISNA(MATCH(147,'Transfer Engine'!$C$2:$C$1199,0)),"",INDEX('Compliance Database'!$E$2:$E$1199,MATCH(147,'Transfer Engine'!$C$2:$C$1199,0)))</f>
        <v>2</v>
      </c>
      <c r="F156" s="6" t="str">
        <f>IF(ISNA(MATCH(147,'Transfer Engine'!$C$2:$C$1199,0)),"",INDEX('Compliance Database'!$F$2:$F$1199,MATCH(147,'Transfer Engine'!$C$2:$C$1199,0)))</f>
        <v>High</v>
      </c>
      <c r="G156" s="6" t="str">
        <f>IF(ISNA(MATCH(147,'Transfer Engine'!$C$2:$C$1199,0)),"",INDEX('Compliance Database'!$G$2:$G$1199,MATCH(147,'Transfer Engine'!$C$2:$C$1199,0)))</f>
        <v>High (explicit)</v>
      </c>
      <c r="H156" s="7" t="str">
        <f>IF(ISNA(MATCH(147,'Transfer Engine'!$C$2:$C$1199,0)),"",INDEX('Compliance Database'!$H$2:$H$1199,MATCH(147,'Transfer Engine'!$C$2:$C$1199,0)))</f>
        <v>Governance</v>
      </c>
      <c r="I156" s="7">
        <f>IF(ISNA(MATCH(147,'Transfer Engine'!$C$2:$C$1199,0)),"",INDEX('Compliance Database'!$I$2:$I$1199,MATCH(147,'Transfer Engine'!$C$2:$C$1199,0)))</f>
        <v>0</v>
      </c>
      <c r="J156" s="6" t="str">
        <f>IF(ISNA(MATCH(147,'Transfer Engine'!$C$2:$C$1199,0)),"",INDEX('Compliance Database'!$J$2:$J$1199,MATCH(147,'Transfer Engine'!$C$2:$C$1199,0)))</f>
        <v>APRA</v>
      </c>
      <c r="K156" s="7" t="str">
        <f>IF(ISNA(MATCH(147,'Transfer Engine'!$C$2:$C$1199,0)),"",INDEX('Compliance Database'!$K$2:$K$1199,MATCH(147,'Transfer Engine'!$C$2:$C$1199,0)))</f>
        <v>This section limits the application of the Prudential Standard to Australian branch operations of foreign entities. It specifies that obligations only apply to foreign ADIs, Category C insurers, or EFLICs in relation to their Australian branch activities, excluding other operations.</v>
      </c>
      <c r="L156" s="7">
        <f>IF(ISNA(MATCH(147,'Transfer Engine'!$C$2:$C$1199,0)),"",INDEX('Compliance Database'!$L$2:$L$1199,MATCH(147,'Transfer Engine'!$C$2:$C$1199,0)))</f>
        <v>0</v>
      </c>
      <c r="M156" s="7" t="str">
        <f>IF(ISNA(MATCH(147,'Transfer Engine'!$C$2:$C$1199,0)),"",INDEX('Compliance Database'!$M$2:$M$1199,MATCH(147,'Transfer Engine'!$C$2:$C$1199,0)))</f>
        <v>• [Must] The obligations imposed by this Prudential Standard on, or in relation to, a foreign ADI, a Category C insurer or an EFLIC apply only in relation to the Australian branch operations of that entity</v>
      </c>
      <c r="N156" s="7">
        <f>IF(ISNA(MATCH(147,'Transfer Engine'!$C$2:$C$1199,0)),"",INDEX('Compliance Database'!$N$2:$N$1199,MATCH(147,'Transfer Engine'!$C$2:$C$1199,0)))</f>
        <v>0</v>
      </c>
      <c r="O156" s="7" t="str">
        <f>IF(ISNA(MATCH(147,'Transfer Engine'!$C$2:$C$1199,0)),"",INDEX('Compliance Database'!$O$2:$O$1199,MATCH(147,'Transfer Engine'!$C$2:$C$1199,0)))</f>
        <v>The obligations imposed by this Prudential Standard on, or in relation to, a foreign ADI, a Category C insurer or an EFLIC apply only in relation to the Australian branch operations of that entity.</v>
      </c>
      <c r="P156" s="6" t="str">
        <f>IF(ISNA(MATCH(147,'Transfer Engine'!$C$2:$C$1199,0)),"",HYPERLINK("#Acts!A"&amp;INDEX('Compliance Database'!$P$2:$P$1199,MATCH(147,'Transfer Engine'!$C$2:$C$1199,0)),"Go to Act"))</f>
        <v>Go to Act</v>
      </c>
    </row>
    <row r="157" spans="1:16" ht="172.95" customHeight="1" x14ac:dyDescent="0.3">
      <c r="A157" s="6" t="str">
        <f>IF(ISNA(MATCH(148,'Transfer Engine'!$C$2:$C$1199,0)),"",INDEX('Compliance Database'!$A$2:$A$1199,MATCH(148,'Transfer Engine'!$C$2:$C$1199,0)))</f>
        <v>Australia</v>
      </c>
      <c r="B157" s="6" t="str">
        <f>IF(ISNA(MATCH(148,'Transfer Engine'!$C$2:$C$1199,0)),"",INDEX('Compliance Database'!$B$2:$B$1199,MATCH(148,'Transfer Engine'!$C$2:$C$1199,0)))</f>
        <v>cps_234_july_2019_for_public_release (Australia - Row 6)</v>
      </c>
      <c r="C157" s="6" t="str">
        <f>IF(ISNA(MATCH(148,'Transfer Engine'!$C$2:$C$1199,0)),"",INDEX('Compliance Database'!$C$2:$C$1199,MATCH(148,'Transfer Engine'!$C$2:$C$1199,0)))</f>
        <v>4</v>
      </c>
      <c r="D157" s="7" t="str">
        <f>IF(ISNA(MATCH(148,'Transfer Engine'!$C$2:$C$1199,0)),"",INDEX('Compliance Database'!$D$2:$D$1199,MATCH(148,'Transfer Engine'!$C$2:$C$1199,0)))</f>
        <v>Group compliance requirements</v>
      </c>
      <c r="E157" s="6" t="str">
        <f>IF(ISNA(MATCH(148,'Transfer Engine'!$C$2:$C$1199,0)),"",INDEX('Compliance Database'!$E$2:$E$1199,MATCH(148,'Transfer Engine'!$C$2:$C$1199,0)))</f>
        <v>2–3</v>
      </c>
      <c r="F157" s="6" t="str">
        <f>IF(ISNA(MATCH(148,'Transfer Engine'!$C$2:$C$1199,0)),"",INDEX('Compliance Database'!$F$2:$F$1199,MATCH(148,'Transfer Engine'!$C$2:$C$1199,0)))</f>
        <v>High</v>
      </c>
      <c r="G157" s="6" t="str">
        <f>IF(ISNA(MATCH(148,'Transfer Engine'!$C$2:$C$1199,0)),"",INDEX('Compliance Database'!$G$2:$G$1199,MATCH(148,'Transfer Engine'!$C$2:$C$1199,0)))</f>
        <v>High (explicit)</v>
      </c>
      <c r="H157" s="7" t="str">
        <f>IF(ISNA(MATCH(148,'Transfer Engine'!$C$2:$C$1199,0)),"",INDEX('Compliance Database'!$H$2:$H$1199,MATCH(148,'Transfer Engine'!$C$2:$C$1199,0)))</f>
        <v>Governance</v>
      </c>
      <c r="I157" s="7">
        <f>IF(ISNA(MATCH(148,'Transfer Engine'!$C$2:$C$1199,0)),"",INDEX('Compliance Database'!$I$2:$I$1199,MATCH(148,'Transfer Engine'!$C$2:$C$1199,0)))</f>
        <v>0</v>
      </c>
      <c r="J157" s="6" t="str">
        <f>IF(ISNA(MATCH(148,'Transfer Engine'!$C$2:$C$1199,0)),"",INDEX('Compliance Database'!$J$2:$J$1199,MATCH(148,'Transfer Engine'!$C$2:$C$1199,0)))</f>
        <v>APRA</v>
      </c>
      <c r="K157" s="7" t="str">
        <f>IF(ISNA(MATCH(148,'Transfer Engine'!$C$2:$C$1199,0)),"",INDEX('Compliance Database'!$K$2:$K$1199,MATCH(148,'Transfer Engine'!$C$2:$C$1199,0)))</f>
        <v>This section mandates that group entities must comply with the Prudential Standard in their capacity as APRA-regulated entities, ensuring requirements are applied appropriately throughout the group, including non-regulated entities, and on a group basis. It clarifies that references to 'APRA-regulated entity' in the standard apply to 'Head of a group' and 'entity' to 'group' when applying requirements group-wide.</v>
      </c>
      <c r="L157" s="7">
        <f>IF(ISNA(MATCH(148,'Transfer Engine'!$C$2:$C$1199,0)),"",INDEX('Compliance Database'!$L$2:$L$1199,MATCH(148,'Transfer Engine'!$C$2:$C$1199,0)))</f>
        <v>0</v>
      </c>
      <c r="M157" s="7" t="str">
        <f>IF(ISNA(MATCH(148,'Transfer Engine'!$C$2:$C$1199,0)),"",INDEX('Compliance Database'!$M$2:$M$1199,MATCH(148,'Transfer Engine'!$C$2:$C$1199,0)))</f>
        <v>• [Must] Where an APRA-regulated entity is the 'Head of a group', it must comply with a requirement of this Prudential Standard in its capacity as an APRA-regulated entity
• [Must] Where an APRA-regulated entity is the 'Head of a group', it must ensure that the requirement is applied appropriately throughout the group, including in relation to entities that are not APRA-regulated
• [Must] Where an APRA-regulated entity is the 'Head of a group', it must comply with the requirement on a group basis</v>
      </c>
      <c r="N157" s="7" t="str">
        <f>IF(ISNA(MATCH(148,'Transfer Engine'!$C$2:$C$1199,0)),"",INDEX('Compliance Database'!$N$2:$N$1199,MATCH(148,'Transfer Engine'!$C$2:$C$1199,0)))</f>
        <v>• [Must] In applying the requirements of this Prudential Standard on a group basis, references in paragraphs 13 to 36 to an 'APRA-regulated entity' are to be read as 'Head of a group'
• [Must] In applying the requirements of this Prudential Standard on a group basis, references to 'entity' are to be read as 'group'</v>
      </c>
      <c r="O157" s="7" t="str">
        <f>IF(ISNA(MATCH(148,'Transfer Engine'!$C$2:$C$1199,0)),"",INDEX('Compliance Database'!$O$2:$O$1199,MATCH(148,'Transfer Engine'!$C$2:$C$1199,0)))</f>
        <v>Where an APRA-regulated entity is the 'Head of a group', it must comply with a requirement of this Prudential Standard: (a) in its capacity as an APRA-regulated entity; (b) by ensuring that the requirement is applied appropriately throughout the group, including in relation to entities that are not APRA-regulated; and (c) on a group basis.</v>
      </c>
      <c r="P157" s="6" t="str">
        <f>IF(ISNA(MATCH(148,'Transfer Engine'!$C$2:$C$1199,0)),"",HYPERLINK("#Acts!A"&amp;INDEX('Compliance Database'!$P$2:$P$1199,MATCH(148,'Transfer Engine'!$C$2:$C$1199,0)),"Go to Act"))</f>
        <v>Go to Act</v>
      </c>
    </row>
    <row r="158" spans="1:16" ht="172.95" customHeight="1" x14ac:dyDescent="0.3">
      <c r="A158" s="6" t="str">
        <f>IF(ISNA(MATCH(149,'Transfer Engine'!$C$2:$C$1199,0)),"",INDEX('Compliance Database'!$A$2:$A$1199,MATCH(149,'Transfer Engine'!$C$2:$C$1199,0)))</f>
        <v>Australia</v>
      </c>
      <c r="B158" s="6" t="str">
        <f>IF(ISNA(MATCH(149,'Transfer Engine'!$C$2:$C$1199,0)),"",INDEX('Compliance Database'!$B$2:$B$1199,MATCH(149,'Transfer Engine'!$C$2:$C$1199,0)))</f>
        <v>cps_234_july_2019_for_public_release (Australia - Row 6)</v>
      </c>
      <c r="C158" s="6" t="str">
        <f>IF(ISNA(MATCH(149,'Transfer Engine'!$C$2:$C$1199,0)),"",INDEX('Compliance Database'!$C$2:$C$1199,MATCH(149,'Transfer Engine'!$C$2:$C$1199,0)))</f>
        <v>6</v>
      </c>
      <c r="D158" s="7" t="str">
        <f>IF(ISNA(MATCH(149,'Transfer Engine'!$C$2:$C$1199,0)),"",INDEX('Compliance Database'!$D$2:$D$1199,MATCH(149,'Transfer Engine'!$C$2:$C$1199,0)))</f>
        <v>Third-party information asset compliance timeline</v>
      </c>
      <c r="E158" s="6" t="str">
        <f>IF(ISNA(MATCH(149,'Transfer Engine'!$C$2:$C$1199,0)),"",INDEX('Compliance Database'!$E$2:$E$1199,MATCH(149,'Transfer Engine'!$C$2:$C$1199,0)))</f>
        <v>3</v>
      </c>
      <c r="F158" s="6" t="str">
        <f>IF(ISNA(MATCH(149,'Transfer Engine'!$C$2:$C$1199,0)),"",INDEX('Compliance Database'!$F$2:$F$1199,MATCH(149,'Transfer Engine'!$C$2:$C$1199,0)))</f>
        <v>High</v>
      </c>
      <c r="G158" s="6" t="str">
        <f>IF(ISNA(MATCH(149,'Transfer Engine'!$C$2:$C$1199,0)),"",INDEX('Compliance Database'!$G$2:$G$1199,MATCH(149,'Transfer Engine'!$C$2:$C$1199,0)))</f>
        <v>High (explicit)</v>
      </c>
      <c r="H158" s="7" t="str">
        <f>IF(ISNA(MATCH(149,'Transfer Engine'!$C$2:$C$1199,0)),"",INDEX('Compliance Database'!$H$2:$H$1199,MATCH(149,'Transfer Engine'!$C$2:$C$1199,0)))</f>
        <v>Governance</v>
      </c>
      <c r="I158" s="7">
        <f>IF(ISNA(MATCH(149,'Transfer Engine'!$C$2:$C$1199,0)),"",INDEX('Compliance Database'!$I$2:$I$1199,MATCH(149,'Transfer Engine'!$C$2:$C$1199,0)))</f>
        <v>0</v>
      </c>
      <c r="J158" s="6" t="str">
        <f>IF(ISNA(MATCH(149,'Transfer Engine'!$C$2:$C$1199,0)),"",INDEX('Compliance Database'!$J$2:$J$1199,MATCH(149,'Transfer Engine'!$C$2:$C$1199,0)))</f>
        <v>APRA</v>
      </c>
      <c r="K158" s="7" t="str">
        <f>IF(ISNA(MATCH(149,'Transfer Engine'!$C$2:$C$1199,0)),"",INDEX('Compliance Database'!$K$2:$K$1199,MATCH(149,'Transfer Engine'!$C$2:$C$1199,0)))</f>
        <v>This section establishes when the Prudential Standard applies to information assets managed by third parties, specifying that requirements take effect from the earlier of the next renewal date of the third-party contract or 1 July 2020. This ensures timely compliance with data management obligations.</v>
      </c>
      <c r="L158" s="7">
        <f>IF(ISNA(MATCH(149,'Transfer Engine'!$C$2:$C$1199,0)),"",INDEX('Compliance Database'!$L$2:$L$1199,MATCH(149,'Transfer Engine'!$C$2:$C$1199,0)))</f>
        <v>0</v>
      </c>
      <c r="M158" s="7" t="str">
        <f>IF(ISNA(MATCH(149,'Transfer Engine'!$C$2:$C$1199,0)),"",INDEX('Compliance Database'!$M$2:$M$1199,MATCH(149,'Transfer Engine'!$C$2:$C$1199,0)))</f>
        <v>• [Must] Where an APRA-regulated entity's information assets are managed by a third party, the requirements in this Prudential Standard will apply in relation to those information assets from the earlier of the next renewal date of the contract with the third party or 1 July 2020</v>
      </c>
      <c r="N158" s="7">
        <f>IF(ISNA(MATCH(149,'Transfer Engine'!$C$2:$C$1199,0)),"",INDEX('Compliance Database'!$N$2:$N$1199,MATCH(149,'Transfer Engine'!$C$2:$C$1199,0)))</f>
        <v>0</v>
      </c>
      <c r="O158" s="7" t="str">
        <f>IF(ISNA(MATCH(149,'Transfer Engine'!$C$2:$C$1199,0)),"",INDEX('Compliance Database'!$O$2:$O$1199,MATCH(149,'Transfer Engine'!$C$2:$C$1199,0)))</f>
        <v>Where an APRA-regulated entity's information assets are managed by a third party, the requirements in this Prudential Standard will apply in relation to those information assets from the earlier of the next renewal date of the contract with the third party or 1 July 2020.</v>
      </c>
      <c r="P158" s="6" t="str">
        <f>IF(ISNA(MATCH(149,'Transfer Engine'!$C$2:$C$1199,0)),"",HYPERLINK("#Acts!A"&amp;INDEX('Compliance Database'!$P$2:$P$1199,MATCH(149,'Transfer Engine'!$C$2:$C$1199,0)),"Go to Act"))</f>
        <v>Go to Act</v>
      </c>
    </row>
    <row r="159" spans="1:16" ht="172.95" customHeight="1" x14ac:dyDescent="0.3">
      <c r="A159" s="6" t="str">
        <f>IF(ISNA(MATCH(150,'Transfer Engine'!$C$2:$C$1199,0)),"",INDEX('Compliance Database'!$A$2:$A$1199,MATCH(150,'Transfer Engine'!$C$2:$C$1199,0)))</f>
        <v>Australia</v>
      </c>
      <c r="B159" s="6" t="str">
        <f>IF(ISNA(MATCH(150,'Transfer Engine'!$C$2:$C$1199,0)),"",INDEX('Compliance Database'!$B$2:$B$1199,MATCH(150,'Transfer Engine'!$C$2:$C$1199,0)))</f>
        <v>cps_234_july_2019_for_public_release (Australia - Row 6)</v>
      </c>
      <c r="C159" s="6" t="str">
        <f>IF(ISNA(MATCH(150,'Transfer Engine'!$C$2:$C$1199,0)),"",INDEX('Compliance Database'!$C$2:$C$1199,MATCH(150,'Transfer Engine'!$C$2:$C$1199,0)))</f>
        <v>7</v>
      </c>
      <c r="D159" s="7" t="str">
        <f>IF(ISNA(MATCH(150,'Transfer Engine'!$C$2:$C$1199,0)),"",INDEX('Compliance Database'!$D$2:$D$1199,MATCH(150,'Transfer Engine'!$C$2:$C$1199,0)))</f>
        <v>Definition usage in standard</v>
      </c>
      <c r="E159" s="6" t="str">
        <f>IF(ISNA(MATCH(150,'Transfer Engine'!$C$2:$C$1199,0)),"",INDEX('Compliance Database'!$E$2:$E$1199,MATCH(150,'Transfer Engine'!$C$2:$C$1199,0)))</f>
        <v>3</v>
      </c>
      <c r="F159" s="6" t="str">
        <f>IF(ISNA(MATCH(150,'Transfer Engine'!$C$2:$C$1199,0)),"",INDEX('Compliance Database'!$F$2:$F$1199,MATCH(150,'Transfer Engine'!$C$2:$C$1199,0)))</f>
        <v>High</v>
      </c>
      <c r="G159" s="6" t="str">
        <f>IF(ISNA(MATCH(150,'Transfer Engine'!$C$2:$C$1199,0)),"",INDEX('Compliance Database'!$G$2:$G$1199,MATCH(150,'Transfer Engine'!$C$2:$C$1199,0)))</f>
        <v>High (explicit)</v>
      </c>
      <c r="H159" s="7" t="str">
        <f>IF(ISNA(MATCH(150,'Transfer Engine'!$C$2:$C$1199,0)),"",INDEX('Compliance Database'!$H$2:$H$1199,MATCH(150,'Transfer Engine'!$C$2:$C$1199,0)))</f>
        <v>Governance</v>
      </c>
      <c r="I159" s="7">
        <f>IF(ISNA(MATCH(150,'Transfer Engine'!$C$2:$C$1199,0)),"",INDEX('Compliance Database'!$I$2:$I$1199,MATCH(150,'Transfer Engine'!$C$2:$C$1199,0)))</f>
        <v>0</v>
      </c>
      <c r="J159" s="6" t="str">
        <f>IF(ISNA(MATCH(150,'Transfer Engine'!$C$2:$C$1199,0)),"",INDEX('Compliance Database'!$J$2:$J$1199,MATCH(150,'Transfer Engine'!$C$2:$C$1199,0)))</f>
        <v>APRA</v>
      </c>
      <c r="K159" s="7" t="str">
        <f>IF(ISNA(MATCH(150,'Transfer Engine'!$C$2:$C$1199,0)),"",INDEX('Compliance Database'!$K$2:$K$1199,MATCH(150,'Transfer Engine'!$C$2:$C$1199,0)))</f>
        <v>This section states that terms defined in other Prudential Standards (APS 001, GPS 001, LPS 001, HPS 001, 3PS 001) appear in bold for the first time they are used in this Prudential Standard. This ensures consistency in terminology across regulatory documents.</v>
      </c>
      <c r="L159" s="7">
        <f>IF(ISNA(MATCH(150,'Transfer Engine'!$C$2:$C$1199,0)),"",INDEX('Compliance Database'!$L$2:$L$1199,MATCH(150,'Transfer Engine'!$C$2:$C$1199,0)))</f>
        <v>0</v>
      </c>
      <c r="M159" s="7" t="str">
        <f>IF(ISNA(MATCH(150,'Transfer Engine'!$C$2:$C$1199,0)),"",INDEX('Compliance Database'!$M$2:$M$1199,MATCH(150,'Transfer Engine'!$C$2:$C$1199,0)))</f>
        <v>• [Must] Terms that are defined in Prudential Standard APS 001 Definitions (APS 001), Prudential Standard GPS 001 Definitions (GPS 001), Prudential Standard LPS 001 Definitions, Prudential Standard HPS 001 Definitions or Prudential Standard 3PS 001 Definitions appear in bold the first time they are used in this Prudential Standard</v>
      </c>
      <c r="N159" s="7">
        <f>IF(ISNA(MATCH(150,'Transfer Engine'!$C$2:$C$1199,0)),"",INDEX('Compliance Database'!$N$2:$N$1199,MATCH(150,'Transfer Engine'!$C$2:$C$1199,0)))</f>
        <v>0</v>
      </c>
      <c r="O159" s="7" t="str">
        <f>IF(ISNA(MATCH(150,'Transfer Engine'!$C$2:$C$1199,0)),"",INDEX('Compliance Database'!$O$2:$O$1199,MATCH(150,'Transfer Engine'!$C$2:$C$1199,0)))</f>
        <v>Terms that are defined in Prudential Standard APS 001 Definitions (APS 001), Prudential Standard GPS 001 Definitions (GPS 001), Prudential Standard LPS 001 Definitions, Prudential Standard HPS 001 Definitions or Prudential Standard 3PS 001 Definitions appear in bold the first time they are used in this Prudential Standard.</v>
      </c>
      <c r="P159" s="6" t="str">
        <f>IF(ISNA(MATCH(150,'Transfer Engine'!$C$2:$C$1199,0)),"",HYPERLINK("#Acts!A"&amp;INDEX('Compliance Database'!$P$2:$P$1199,MATCH(150,'Transfer Engine'!$C$2:$C$1199,0)),"Go to Act"))</f>
        <v>Go to Act</v>
      </c>
    </row>
    <row r="160" spans="1:16" ht="172.95" customHeight="1" x14ac:dyDescent="0.3">
      <c r="A160" s="6" t="str">
        <f>IF(ISNA(MATCH(151,'Transfer Engine'!$C$2:$C$1199,0)),"",INDEX('Compliance Database'!$A$2:$A$1199,MATCH(151,'Transfer Engine'!$C$2:$C$1199,0)))</f>
        <v>Australia</v>
      </c>
      <c r="B160" s="6" t="str">
        <f>IF(ISNA(MATCH(151,'Transfer Engine'!$C$2:$C$1199,0)),"",INDEX('Compliance Database'!$B$2:$B$1199,MATCH(151,'Transfer Engine'!$C$2:$C$1199,0)))</f>
        <v>cps_234_july_2019_for_public_release (Australia - Row 6)</v>
      </c>
      <c r="C160" s="6" t="str">
        <f>IF(ISNA(MATCH(151,'Transfer Engine'!$C$2:$C$1199,0)),"",INDEX('Compliance Database'!$C$2:$C$1199,MATCH(151,'Transfer Engine'!$C$2:$C$1199,0)))</f>
        <v>8</v>
      </c>
      <c r="D160" s="7" t="str">
        <f>IF(ISNA(MATCH(151,'Transfer Engine'!$C$2:$C$1199,0)),"",INDEX('Compliance Database'!$D$2:$D$1199,MATCH(151,'Transfer Engine'!$C$2:$C$1199,0)))</f>
        <v>Reference to Acts and Standards</v>
      </c>
      <c r="E160" s="6" t="str">
        <f>IF(ISNA(MATCH(151,'Transfer Engine'!$C$2:$C$1199,0)),"",INDEX('Compliance Database'!$E$2:$E$1199,MATCH(151,'Transfer Engine'!$C$2:$C$1199,0)))</f>
        <v>3</v>
      </c>
      <c r="F160" s="6" t="str">
        <f>IF(ISNA(MATCH(151,'Transfer Engine'!$C$2:$C$1199,0)),"",INDEX('Compliance Database'!$F$2:$F$1199,MATCH(151,'Transfer Engine'!$C$2:$C$1199,0)))</f>
        <v>None</v>
      </c>
      <c r="G160" s="6" t="str">
        <f>IF(ISNA(MATCH(151,'Transfer Engine'!$C$2:$C$1199,0)),"",INDEX('Compliance Database'!$G$2:$G$1199,MATCH(151,'Transfer Engine'!$C$2:$C$1199,0)))</f>
        <v>High (explicit)</v>
      </c>
      <c r="H160" s="7">
        <f>IF(ISNA(MATCH(151,'Transfer Engine'!$C$2:$C$1199,0)),"",INDEX('Compliance Database'!$H$2:$H$1199,MATCH(151,'Transfer Engine'!$C$2:$C$1199,0)))</f>
        <v>0</v>
      </c>
      <c r="I160" s="7">
        <f>IF(ISNA(MATCH(151,'Transfer Engine'!$C$2:$C$1199,0)),"",INDEX('Compliance Database'!$I$2:$I$1199,MATCH(151,'Transfer Engine'!$C$2:$C$1199,0)))</f>
        <v>0</v>
      </c>
      <c r="J160" s="6">
        <f>IF(ISNA(MATCH(151,'Transfer Engine'!$C$2:$C$1199,0)),"",INDEX('Compliance Database'!$J$2:$J$1199,MATCH(151,'Transfer Engine'!$C$2:$C$1199,0)))</f>
        <v>0</v>
      </c>
      <c r="K160" s="7" t="str">
        <f>IF(ISNA(MATCH(151,'Transfer Engine'!$C$2:$C$1199,0)),"",INDEX('Compliance Database'!$K$2:$K$1199,MATCH(151,'Transfer Engine'!$C$2:$C$1199,0)))</f>
        <v>This section clarifies that references to Acts, Regulations, or Prudential Standards within the standard refer to the current in-force versions. It establishes the temporal scope for such references without specifying any particular version or amendment.</v>
      </c>
      <c r="L160" s="7">
        <f>IF(ISNA(MATCH(151,'Transfer Engine'!$C$2:$C$1199,0)),"",INDEX('Compliance Database'!$L$2:$L$1199,MATCH(151,'Transfer Engine'!$C$2:$C$1199,0)))</f>
        <v>0</v>
      </c>
      <c r="M160" s="7" t="str">
        <f>IF(ISNA(MATCH(151,'Transfer Engine'!$C$2:$C$1199,0)),"",INDEX('Compliance Database'!$M$2:$M$1199,MATCH(151,'Transfer Engine'!$C$2:$C$1199,0)))</f>
        <v>• [Definition] References to Acts, Regulations, or Prudential Standards refer to the current in-force versions</v>
      </c>
      <c r="N160" s="7">
        <f>IF(ISNA(MATCH(151,'Transfer Engine'!$C$2:$C$1199,0)),"",INDEX('Compliance Database'!$N$2:$N$1199,MATCH(151,'Transfer Engine'!$C$2:$C$1199,0)))</f>
        <v>0</v>
      </c>
      <c r="O160" s="7" t="str">
        <f>IF(ISNA(MATCH(151,'Transfer Engine'!$C$2:$C$1199,0)),"",INDEX('Compliance Database'!$O$2:$O$1199,MATCH(151,'Transfer Engine'!$C$2:$C$1199,0)))</f>
        <v>In this Prudential Standard, unless the contrary intention appears, a reference to an Act, Regulation or Prudential Standard is a reference to the Act, Regulation or Prudential Standard as in force from time to time.</v>
      </c>
      <c r="P160" s="6" t="str">
        <f>IF(ISNA(MATCH(151,'Transfer Engine'!$C$2:$C$1199,0)),"",HYPERLINK("#Acts!A"&amp;INDEX('Compliance Database'!$P$2:$P$1199,MATCH(151,'Transfer Engine'!$C$2:$C$1199,0)),"Go to Act"))</f>
        <v>Go to Act</v>
      </c>
    </row>
    <row r="161" spans="1:16" ht="172.95" customHeight="1" x14ac:dyDescent="0.3">
      <c r="A161" s="6" t="str">
        <f>IF(ISNA(MATCH(152,'Transfer Engine'!$C$2:$C$1199,0)),"",INDEX('Compliance Database'!$A$2:$A$1199,MATCH(152,'Transfer Engine'!$C$2:$C$1199,0)))</f>
        <v>Australia</v>
      </c>
      <c r="B161" s="6" t="str">
        <f>IF(ISNA(MATCH(152,'Transfer Engine'!$C$2:$C$1199,0)),"",INDEX('Compliance Database'!$B$2:$B$1199,MATCH(152,'Transfer Engine'!$C$2:$C$1199,0)))</f>
        <v>cps_234_july_2019_for_public_release (Australia - Row 6)</v>
      </c>
      <c r="C161" s="6" t="str">
        <f>IF(ISNA(MATCH(152,'Transfer Engine'!$C$2:$C$1199,0)),"",INDEX('Compliance Database'!$C$2:$C$1199,MATCH(152,'Transfer Engine'!$C$2:$C$1199,0)))</f>
        <v>10</v>
      </c>
      <c r="D161" s="7" t="str">
        <f>IF(ISNA(MATCH(152,'Transfer Engine'!$C$2:$C$1199,0)),"",INDEX('Compliance Database'!$D$2:$D$1199,MATCH(152,'Transfer Engine'!$C$2:$C$1199,0)))</f>
        <v>Group and Head Definitions</v>
      </c>
      <c r="E161" s="6" t="str">
        <f>IF(ISNA(MATCH(152,'Transfer Engine'!$C$2:$C$1199,0)),"",INDEX('Compliance Database'!$E$2:$E$1199,MATCH(152,'Transfer Engine'!$C$2:$C$1199,0)))</f>
        <v>3–4</v>
      </c>
      <c r="F161" s="6" t="str">
        <f>IF(ISNA(MATCH(152,'Transfer Engine'!$C$2:$C$1199,0)),"",INDEX('Compliance Database'!$F$2:$F$1199,MATCH(152,'Transfer Engine'!$C$2:$C$1199,0)))</f>
        <v>Low</v>
      </c>
      <c r="G161" s="6" t="str">
        <f>IF(ISNA(MATCH(152,'Transfer Engine'!$C$2:$C$1199,0)),"",INDEX('Compliance Database'!$G$2:$G$1199,MATCH(152,'Transfer Engine'!$C$2:$C$1199,0)))</f>
        <v>High (explicit)</v>
      </c>
      <c r="H161" s="7">
        <f>IF(ISNA(MATCH(152,'Transfer Engine'!$C$2:$C$1199,0)),"",INDEX('Compliance Database'!$H$2:$H$1199,MATCH(152,'Transfer Engine'!$C$2:$C$1199,0)))</f>
        <v>0</v>
      </c>
      <c r="I161" s="7">
        <f>IF(ISNA(MATCH(152,'Transfer Engine'!$C$2:$C$1199,0)),"",INDEX('Compliance Database'!$I$2:$I$1199,MATCH(152,'Transfer Engine'!$C$2:$C$1199,0)))</f>
        <v>0</v>
      </c>
      <c r="J161" s="6">
        <f>IF(ISNA(MATCH(152,'Transfer Engine'!$C$2:$C$1199,0)),"",INDEX('Compliance Database'!$J$2:$J$1199,MATCH(152,'Transfer Engine'!$C$2:$C$1199,0)))</f>
        <v>0</v>
      </c>
      <c r="K161" s="7" t="str">
        <f>IF(ISNA(MATCH(152,'Transfer Engine'!$C$2:$C$1199,0)),"",INDEX('Compliance Database'!$K$2:$K$1199,MATCH(152,'Transfer Engine'!$C$2:$C$1199,0)))</f>
        <v>This section defines key terms such as 'group', 'Head of a group', 'Level 2 group', and 'Level 2 Head' to clarify the organizational structure and leadership roles within APRA-regulated entities. These definitions are critical for understanding the scope of regulatory oversight and responsibilities.</v>
      </c>
      <c r="L161" s="7">
        <f>IF(ISNA(MATCH(152,'Transfer Engine'!$C$2:$C$1199,0)),"",INDEX('Compliance Database'!$L$2:$L$1199,MATCH(152,'Transfer Engine'!$C$2:$C$1199,0)))</f>
        <v>0</v>
      </c>
      <c r="M161" s="7" t="str">
        <f>IF(ISNA(MATCH(152,'Transfer Engine'!$C$2:$C$1199,0)),"",INDEX('Compliance Database'!$M$2:$M$1199,MATCH(152,'Transfer Engine'!$C$2:$C$1199,0)))</f>
        <v>• [Definition] ‘group' means a Level 2 group or a Level 3 group, as relevant
• [Definition] ‘Head of a group' means a Level 2 Head or Level 3 Head, as relevant</v>
      </c>
      <c r="N161" s="7" t="str">
        <f>IF(ISNA(MATCH(152,'Transfer Engine'!$C$2:$C$1199,0)),"",INDEX('Compliance Database'!$N$2:$N$1199,MATCH(152,'Transfer Engine'!$C$2:$C$1199,0)))</f>
        <v>• [Definition] ‘Level 2 group' means the entities that comprise: (a) Level 2 as defined in APS 001; or (b) a Level 2 insurance group as defined in GPS 001
• [Definition] ‘Level 2 Head' means: (a) where an ADI that is a member of a Level 2 group is not a subsidiary of an authorised banking NOHC or another ADI, that ADI; (b) where an ADI that is a member of a Level 2 group is a subsidiary of an authorised banking NOHC, that authorised banking NOHC; or (c) the parent entity of a Level 2 insurance group as defined in…</v>
      </c>
      <c r="O161" s="7" t="str">
        <f>IF(ISNA(MATCH(152,'Transfer Engine'!$C$2:$C$1199,0)),"",INDEX('Compliance Database'!$O$2:$O$1199,MATCH(152,'Transfer Engine'!$C$2:$C$1199,0)))</f>
        <v>For the purposes of this Prudential Standard: ‘group' means a Level 2 group or a Level 3 group, as relevant; ‘Head of a group' means a Level 2 Head or Level 3 Head, as relevant; ‘Level 2 group' means the entities that comprise: (a) Level 2 as defined in APS 001; or (b) a Level 2 insurance group as defined in GPS 001; ‘Level 2 Head' means: (a) where an ADI that is a member of a Level 2 group is not a subsidiary of an authorised banking NOHC or another ADI, that ADI; (b) where an ADI that is a member of a Level 2 group is a subsidiary of an authorised banking NOHC, that authorised banking NOHC; or (c) the parent entity of a Level 2 insurance group as defined in GPS 001.</v>
      </c>
      <c r="P161" s="6" t="str">
        <f>IF(ISNA(MATCH(152,'Transfer Engine'!$C$2:$C$1199,0)),"",HYPERLINK("#Acts!A"&amp;INDEX('Compliance Database'!$P$2:$P$1199,MATCH(152,'Transfer Engine'!$C$2:$C$1199,0)),"Go to Act"))</f>
        <v>Go to Act</v>
      </c>
    </row>
    <row r="162" spans="1:16" ht="172.95" customHeight="1" x14ac:dyDescent="0.3">
      <c r="A162" s="6" t="str">
        <f>IF(ISNA(MATCH(153,'Transfer Engine'!$C$2:$C$1199,0)),"",INDEX('Compliance Database'!$A$2:$A$1199,MATCH(153,'Transfer Engine'!$C$2:$C$1199,0)))</f>
        <v>Australia</v>
      </c>
      <c r="B162" s="6" t="str">
        <f>IF(ISNA(MATCH(153,'Transfer Engine'!$C$2:$C$1199,0)),"",INDEX('Compliance Database'!$B$2:$B$1199,MATCH(153,'Transfer Engine'!$C$2:$C$1199,0)))</f>
        <v>cps_234_july_2019_for_public_release (Australia - Row 6)</v>
      </c>
      <c r="C162" s="6" t="str">
        <f>IF(ISNA(MATCH(153,'Transfer Engine'!$C$2:$C$1199,0)),"",INDEX('Compliance Database'!$C$2:$C$1199,MATCH(153,'Transfer Engine'!$C$2:$C$1199,0)))</f>
        <v>12</v>
      </c>
      <c r="D162" s="7" t="str">
        <f>IF(ISNA(MATCH(153,'Transfer Engine'!$C$2:$C$1199,0)),"",INDEX('Compliance Database'!$D$2:$D$1199,MATCH(153,'Transfer Engine'!$C$2:$C$1199,0)))</f>
        <v>Information Security Definitions</v>
      </c>
      <c r="E162" s="6" t="str">
        <f>IF(ISNA(MATCH(153,'Transfer Engine'!$C$2:$C$1199,0)),"",INDEX('Compliance Database'!$E$2:$E$1199,MATCH(153,'Transfer Engine'!$C$2:$C$1199,0)))</f>
        <v>4–5</v>
      </c>
      <c r="F162" s="6" t="str">
        <f>IF(ISNA(MATCH(153,'Transfer Engine'!$C$2:$C$1199,0)),"",INDEX('Compliance Database'!$F$2:$F$1199,MATCH(153,'Transfer Engine'!$C$2:$C$1199,0)))</f>
        <v>Low</v>
      </c>
      <c r="G162" s="6" t="str">
        <f>IF(ISNA(MATCH(153,'Transfer Engine'!$C$2:$C$1199,0)),"",INDEX('Compliance Database'!$G$2:$G$1199,MATCH(153,'Transfer Engine'!$C$2:$C$1199,0)))</f>
        <v>High (explicit)</v>
      </c>
      <c r="H162" s="7">
        <f>IF(ISNA(MATCH(153,'Transfer Engine'!$C$2:$C$1199,0)),"",INDEX('Compliance Database'!$H$2:$H$1199,MATCH(153,'Transfer Engine'!$C$2:$C$1199,0)))</f>
        <v>0</v>
      </c>
      <c r="I162" s="7">
        <f>IF(ISNA(MATCH(153,'Transfer Engine'!$C$2:$C$1199,0)),"",INDEX('Compliance Database'!$I$2:$I$1199,MATCH(153,'Transfer Engine'!$C$2:$C$1199,0)))</f>
        <v>0</v>
      </c>
      <c r="J162" s="6">
        <f>IF(ISNA(MATCH(153,'Transfer Engine'!$C$2:$C$1199,0)),"",INDEX('Compliance Database'!$J$2:$J$1199,MATCH(153,'Transfer Engine'!$C$2:$C$1199,0)))</f>
        <v>0</v>
      </c>
      <c r="K162" s="7" t="str">
        <f>IF(ISNA(MATCH(153,'Transfer Engine'!$C$2:$C$1199,0)),"",INDEX('Compliance Database'!$K$2:$K$1199,MATCH(153,'Transfer Engine'!$C$2:$C$1199,0)))</f>
        <v>This section provides detailed definitions for information security terms such as availability, confidentiality, criticality, information assets, information security, information security capability, information security controls, information security incidents, information security policy frameworks, information security threats, information security vulnerabilities, integrity, and sensitivity. These definitions are foundational for implementing information security measures.</v>
      </c>
      <c r="L162" s="7">
        <f>IF(ISNA(MATCH(153,'Transfer Engine'!$C$2:$C$1199,0)),"",INDEX('Compliance Database'!$L$2:$L$1199,MATCH(153,'Transfer Engine'!$C$2:$C$1199,0)))</f>
        <v>0</v>
      </c>
      <c r="M162" s="7" t="str">
        <f>IF(ISNA(MATCH(153,'Transfer Engine'!$C$2:$C$1199,0)),"",INDEX('Compliance Database'!$M$2:$M$1199,MATCH(153,'Transfer Engine'!$C$2:$C$1199,0)))</f>
        <v>• [Definition] availability refers to accessibility and usability when required
• [Definition] confidentiality refers to access being restricted only to those authorised
• [Definition] criticality refers to the potential impact of a loss of availability
• [Definition] information asset means information and information technology, including software, hardware and data (both soft and hard copy)
• [Definition] information security means the preservation of an information asset's confidentiality, integrity and availability
• [Definition] information security capability means the totality of resources, skills and controls which provide the ability and capacity to maintain information security
• [Definition] information security control means a prevention, detection or response measure to reduce the likelihood or impact of an information security incident</v>
      </c>
      <c r="N162" s="7" t="str">
        <f>IF(ISNA(MATCH(153,'Transfer Engine'!$C$2:$C$1199,0)),"",INDEX('Compliance Database'!$N$2:$N$1199,MATCH(153,'Transfer Engine'!$C$2:$C$1199,0)))</f>
        <v>• [Definition] information security incident means an actual or potential compromise of information security
• [Definition] information security policy framework means the totality of policies, standards, guidelines and procedures pertaining to information security
• [Definition] information security threat (threat) is a circumstance or event that has the potential to exploit an information security vulnerability
• [Definition] information security vulnerability (vulnerability) is a weakness in an information asset or information security control that could be exploited to compromise information security
• [Definition] integrity refers to completeness, accuracy and freedom from unauthorised change or usage
• [Definition] sensitivity means the potential impact of a loss of confidentiality or integrity</v>
      </c>
      <c r="O162" s="7" t="str">
        <f>IF(ISNA(MATCH(153,'Transfer Engine'!$C$2:$C$1199,0)),"",INDEX('Compliance Database'!$O$2:$O$1199,MATCH(153,'Transfer Engine'!$C$2:$C$1199,0)))</f>
        <v>The following definitions are used in this Prudential Standard: (a) availability refers to accessibility and usability when required; (b) confidentiality refers to access being restricted only to those authorised; (c) criticality refers to the potential impact of a loss of availability; (d) information asset means information and information technology, including software, hardware and data (both soft and hard copy); (e) information security means the preservation of an information asset's confidentiality, integrity and availability; (f) information security capability means the totality of resources, skills and controls which provide the ability and capacity to maintain information security; (g) information security control means a prevention, detection or response measure to reduce the likelihood or impact of an information security incident; (h) information security incident means an actual or potential compromise of information security; (i) information security policy framework means the totality of policies, standards, guidelines and procedures pertaining to information security; (j) information security threat (threat) is a circumstance or event that has the potential to exploit an information security vulnerability; (k) information security vulnerability (vulnerability) is a weakness in an information asset or information security control that could be exploited to compromise information security; (l) integrity refers to completeness, accuracy and freedom from unauthorised change or usage; and (m) sensitivity means the potential impact of a loss of confidentiality or integrity.</v>
      </c>
      <c r="P162" s="6" t="str">
        <f>IF(ISNA(MATCH(153,'Transfer Engine'!$C$2:$C$1199,0)),"",HYPERLINK("#Acts!A"&amp;INDEX('Compliance Database'!$P$2:$P$1199,MATCH(153,'Transfer Engine'!$C$2:$C$1199,0)),"Go to Act"))</f>
        <v>Go to Act</v>
      </c>
    </row>
    <row r="163" spans="1:16" ht="172.95" customHeight="1" x14ac:dyDescent="0.3">
      <c r="A163" s="6" t="str">
        <f>IF(ISNA(MATCH(154,'Transfer Engine'!$C$2:$C$1199,0)),"",INDEX('Compliance Database'!$A$2:$A$1199,MATCH(154,'Transfer Engine'!$C$2:$C$1199,0)))</f>
        <v>Australia</v>
      </c>
      <c r="B163" s="6" t="str">
        <f>IF(ISNA(MATCH(154,'Transfer Engine'!$C$2:$C$1199,0)),"",INDEX('Compliance Database'!$B$2:$B$1199,MATCH(154,'Transfer Engine'!$C$2:$C$1199,0)))</f>
        <v>cps_234_july_2019_for_public_release (Australia - Row 6)</v>
      </c>
      <c r="C163" s="6" t="str">
        <f>IF(ISNA(MATCH(154,'Transfer Engine'!$C$2:$C$1199,0)),"",INDEX('Compliance Database'!$C$2:$C$1199,MATCH(154,'Transfer Engine'!$C$2:$C$1199,0)))</f>
        <v>13</v>
      </c>
      <c r="D163" s="7" t="str">
        <f>IF(ISNA(MATCH(154,'Transfer Engine'!$C$2:$C$1199,0)),"",INDEX('Compliance Database'!$D$2:$D$1199,MATCH(154,'Transfer Engine'!$C$2:$C$1199,0)))</f>
        <v>Board Responsibility for Information Security</v>
      </c>
      <c r="E163" s="6" t="str">
        <f>IF(ISNA(MATCH(154,'Transfer Engine'!$C$2:$C$1199,0)),"",INDEX('Compliance Database'!$E$2:$E$1199,MATCH(154,'Transfer Engine'!$C$2:$C$1199,0)))</f>
        <v>5</v>
      </c>
      <c r="F163" s="6" t="str">
        <f>IF(ISNA(MATCH(154,'Transfer Engine'!$C$2:$C$1199,0)),"",INDEX('Compliance Database'!$F$2:$F$1199,MATCH(154,'Transfer Engine'!$C$2:$C$1199,0)))</f>
        <v>Low</v>
      </c>
      <c r="G163" s="6" t="str">
        <f>IF(ISNA(MATCH(154,'Transfer Engine'!$C$2:$C$1199,0)),"",INDEX('Compliance Database'!$G$2:$G$1199,MATCH(154,'Transfer Engine'!$C$2:$C$1199,0)))</f>
        <v>High (explicit)</v>
      </c>
      <c r="H163" s="7" t="str">
        <f>IF(ISNA(MATCH(154,'Transfer Engine'!$C$2:$C$1199,0)),"",INDEX('Compliance Database'!$H$2:$H$1199,MATCH(154,'Transfer Engine'!$C$2:$C$1199,0)))</f>
        <v>Governance</v>
      </c>
      <c r="I163" s="7">
        <f>IF(ISNA(MATCH(154,'Transfer Engine'!$C$2:$C$1199,0)),"",INDEX('Compliance Database'!$I$2:$I$1199,MATCH(154,'Transfer Engine'!$C$2:$C$1199,0)))</f>
        <v>0</v>
      </c>
      <c r="J163" s="6" t="str">
        <f>IF(ISNA(MATCH(154,'Transfer Engine'!$C$2:$C$1199,0)),"",INDEX('Compliance Database'!$J$2:$J$1199,MATCH(154,'Transfer Engine'!$C$2:$C$1199,0)))</f>
        <v>APRA</v>
      </c>
      <c r="K163" s="7" t="str">
        <f>IF(ISNA(MATCH(154,'Transfer Engine'!$C$2:$C$1199,0)),"",INDEX('Compliance Database'!$K$2:$K$1199,MATCH(154,'Transfer Engine'!$C$2:$C$1199,0)))</f>
        <v>This section mandates that the Board of an APRA-regulated entity is ultimately responsible for the information security of the entity. The Board must ensure that information security measures are commensurate with the size and extent of threats to information assets and support the continued sound operation of the entity.</v>
      </c>
      <c r="L163" s="7">
        <f>IF(ISNA(MATCH(154,'Transfer Engine'!$C$2:$C$1199,0)),"",INDEX('Compliance Database'!$L$2:$L$1199,MATCH(154,'Transfer Engine'!$C$2:$C$1199,0)))</f>
        <v>0</v>
      </c>
      <c r="M163" s="7" t="str">
        <f>IF(ISNA(MATCH(154,'Transfer Engine'!$C$2:$C$1199,0)),"",INDEX('Compliance Database'!$M$2:$M$1199,MATCH(154,'Transfer Engine'!$C$2:$C$1199,0)))</f>
        <v>• [Must] The Board of an APRA-regulated entity is ultimately responsible for the information security of the entity
• [Must] The Board must ensure that the entity maintains information security in a manner commensurate with the size and extent of threats to its information assets</v>
      </c>
      <c r="N163" s="7" t="str">
        <f>IF(ISNA(MATCH(154,'Transfer Engine'!$C$2:$C$1199,0)),"",INDEX('Compliance Database'!$N$2:$N$1199,MATCH(154,'Transfer Engine'!$C$2:$C$1199,0)))</f>
        <v>• [Must] The Board must ensure that the entity maintains information security which enables the continued sound operation of the entity</v>
      </c>
      <c r="O163" s="7" t="str">
        <f>IF(ISNA(MATCH(154,'Transfer Engine'!$C$2:$C$1199,0)),"",INDEX('Compliance Database'!$O$2:$O$1199,MATCH(154,'Transfer Engine'!$C$2:$C$1199,0)))</f>
        <v>The Board4 of an APRA-regulated entity (Board) is ultimately responsible for the information security of the entity. The Board must ensure that the entity maintains information security in a manner commensurate with the size and extent of threats to its information assets, and which enables the continued sound operation of the entity.</v>
      </c>
      <c r="P163" s="6" t="str">
        <f>IF(ISNA(MATCH(154,'Transfer Engine'!$C$2:$C$1199,0)),"",HYPERLINK("#Acts!A"&amp;INDEX('Compliance Database'!$P$2:$P$1199,MATCH(154,'Transfer Engine'!$C$2:$C$1199,0)),"Go to Act"))</f>
        <v>Go to Act</v>
      </c>
    </row>
    <row r="164" spans="1:16" ht="172.95" customHeight="1" x14ac:dyDescent="0.3">
      <c r="A164" s="6" t="str">
        <f>IF(ISNA(MATCH(155,'Transfer Engine'!$C$2:$C$1199,0)),"",INDEX('Compliance Database'!$A$2:$A$1199,MATCH(155,'Transfer Engine'!$C$2:$C$1199,0)))</f>
        <v>Australia</v>
      </c>
      <c r="B164" s="6" t="str">
        <f>IF(ISNA(MATCH(155,'Transfer Engine'!$C$2:$C$1199,0)),"",INDEX('Compliance Database'!$B$2:$B$1199,MATCH(155,'Transfer Engine'!$C$2:$C$1199,0)))</f>
        <v>cps_234_july_2019_for_public_release (Australia - Row 6)</v>
      </c>
      <c r="C164" s="6" t="str">
        <f>IF(ISNA(MATCH(155,'Transfer Engine'!$C$2:$C$1199,0)),"",INDEX('Compliance Database'!$C$2:$C$1199,MATCH(155,'Transfer Engine'!$C$2:$C$1199,0)))</f>
        <v>14</v>
      </c>
      <c r="D164" s="7" t="str">
        <f>IF(ISNA(MATCH(155,'Transfer Engine'!$C$2:$C$1199,0)),"",INDEX('Compliance Database'!$D$2:$D$1199,MATCH(155,'Transfer Engine'!$C$2:$C$1199,0)))</f>
        <v>Definition of Information Security Roles</v>
      </c>
      <c r="E164" s="6" t="str">
        <f>IF(ISNA(MATCH(155,'Transfer Engine'!$C$2:$C$1199,0)),"",INDEX('Compliance Database'!$E$2:$E$1199,MATCH(155,'Transfer Engine'!$C$2:$C$1199,0)))</f>
        <v>5</v>
      </c>
      <c r="F164" s="6" t="str">
        <f>IF(ISNA(MATCH(155,'Transfer Engine'!$C$2:$C$1199,0)),"",INDEX('Compliance Database'!$F$2:$F$1199,MATCH(155,'Transfer Engine'!$C$2:$C$1199,0)))</f>
        <v>Low</v>
      </c>
      <c r="G164" s="6" t="str">
        <f>IF(ISNA(MATCH(155,'Transfer Engine'!$C$2:$C$1199,0)),"",INDEX('Compliance Database'!$G$2:$G$1199,MATCH(155,'Transfer Engine'!$C$2:$C$1199,0)))</f>
        <v>High (explicit)</v>
      </c>
      <c r="H164" s="7" t="str">
        <f>IF(ISNA(MATCH(155,'Transfer Engine'!$C$2:$C$1199,0)),"",INDEX('Compliance Database'!$H$2:$H$1199,MATCH(155,'Transfer Engine'!$C$2:$C$1199,0)))</f>
        <v>Governance</v>
      </c>
      <c r="I164" s="7">
        <f>IF(ISNA(MATCH(155,'Transfer Engine'!$C$2:$C$1199,0)),"",INDEX('Compliance Database'!$I$2:$I$1199,MATCH(155,'Transfer Engine'!$C$2:$C$1199,0)))</f>
        <v>0</v>
      </c>
      <c r="J164" s="6" t="str">
        <f>IF(ISNA(MATCH(155,'Transfer Engine'!$C$2:$C$1199,0)),"",INDEX('Compliance Database'!$J$2:$J$1199,MATCH(155,'Transfer Engine'!$C$2:$C$1199,0)))</f>
        <v>APRA</v>
      </c>
      <c r="K164" s="7" t="str">
        <f>IF(ISNA(MATCH(155,'Transfer Engine'!$C$2:$C$1199,0)),"",INDEX('Compliance Database'!$K$2:$K$1199,MATCH(155,'Transfer Engine'!$C$2:$C$1199,0)))</f>
        <v>This section requires APRA-regulated entities to clearly define the information security-related roles and responsibilities of the Board, senior management, governing bodies, and individuals with decision-making authority. This includes oversight, approval, operations, and other information security functions.</v>
      </c>
      <c r="L164" s="7">
        <f>IF(ISNA(MATCH(155,'Transfer Engine'!$C$2:$C$1199,0)),"",INDEX('Compliance Database'!$L$2:$L$1199,MATCH(155,'Transfer Engine'!$C$2:$C$1199,0)))</f>
        <v>0</v>
      </c>
      <c r="M164" s="7" t="str">
        <f>IF(ISNA(MATCH(155,'Transfer Engine'!$C$2:$C$1199,0)),"",INDEX('Compliance Database'!$M$2:$M$1199,MATCH(155,'Transfer Engine'!$C$2:$C$1199,0)))</f>
        <v>• [Must] An APRA-regulated entity must clearly define the information security-related roles and responsibilities of the Board, senior management, governing bodies and individuals with responsibility for decision-making</v>
      </c>
      <c r="N164" s="7" t="str">
        <f>IF(ISNA(MATCH(155,'Transfer Engine'!$C$2:$C$1199,0)),"",INDEX('Compliance Database'!$N$2:$N$1199,MATCH(155,'Transfer Engine'!$C$2:$C$1199,0)))</f>
        <v>• [Must] An APRA-regulated entity must clearly define the information security-related roles and responsibilities for approval, oversight, operations and other information security functions</v>
      </c>
      <c r="O164" s="7" t="str">
        <f>IF(ISNA(MATCH(155,'Transfer Engine'!$C$2:$C$1199,0)),"",INDEX('Compliance Database'!$O$2:$O$1199,MATCH(155,'Transfer Engine'!$C$2:$C$1199,0)))</f>
        <v>An APRA-regulated entity must clearly define the information security-related roles and responsibilities of the Board, senior management, governing bodies and individuals with responsibility for decision-making, approval, oversight, operations and other information security functions.</v>
      </c>
      <c r="P164" s="6" t="str">
        <f>IF(ISNA(MATCH(155,'Transfer Engine'!$C$2:$C$1199,0)),"",HYPERLINK("#Acts!A"&amp;INDEX('Compliance Database'!$P$2:$P$1199,MATCH(155,'Transfer Engine'!$C$2:$C$1199,0)),"Go to Act"))</f>
        <v>Go to Act</v>
      </c>
    </row>
    <row r="165" spans="1:16" ht="172.95" customHeight="1" x14ac:dyDescent="0.3">
      <c r="A165" s="6" t="str">
        <f>IF(ISNA(MATCH(156,'Transfer Engine'!$C$2:$C$1199,0)),"",INDEX('Compliance Database'!$A$2:$A$1199,MATCH(156,'Transfer Engine'!$C$2:$C$1199,0)))</f>
        <v>Australia</v>
      </c>
      <c r="B165" s="6" t="str">
        <f>IF(ISNA(MATCH(156,'Transfer Engine'!$C$2:$C$1199,0)),"",INDEX('Compliance Database'!$B$2:$B$1199,MATCH(156,'Transfer Engine'!$C$2:$C$1199,0)))</f>
        <v>cps_234_july_2019_for_public_release (Australia - Row 6)</v>
      </c>
      <c r="C165" s="6" t="str">
        <f>IF(ISNA(MATCH(156,'Transfer Engine'!$C$2:$C$1199,0)),"",INDEX('Compliance Database'!$C$2:$C$1199,MATCH(156,'Transfer Engine'!$C$2:$C$1199,0)))</f>
        <v>15</v>
      </c>
      <c r="D165" s="7" t="str">
        <f>IF(ISNA(MATCH(156,'Transfer Engine'!$C$2:$C$1199,0)),"",INDEX('Compliance Database'!$D$2:$D$1199,MATCH(156,'Transfer Engine'!$C$2:$C$1199,0)))</f>
        <v>Information Security Capability Maintenance</v>
      </c>
      <c r="E165" s="6" t="str">
        <f>IF(ISNA(MATCH(156,'Transfer Engine'!$C$2:$C$1199,0)),"",INDEX('Compliance Database'!$E$2:$E$1199,MATCH(156,'Transfer Engine'!$C$2:$C$1199,0)))</f>
        <v>5</v>
      </c>
      <c r="F165" s="6" t="str">
        <f>IF(ISNA(MATCH(156,'Transfer Engine'!$C$2:$C$1199,0)),"",INDEX('Compliance Database'!$F$2:$F$1199,MATCH(156,'Transfer Engine'!$C$2:$C$1199,0)))</f>
        <v>Low</v>
      </c>
      <c r="G165" s="6" t="str">
        <f>IF(ISNA(MATCH(156,'Transfer Engine'!$C$2:$C$1199,0)),"",INDEX('Compliance Database'!$G$2:$G$1199,MATCH(156,'Transfer Engine'!$C$2:$C$1199,0)))</f>
        <v>High (explicit)</v>
      </c>
      <c r="H165" s="7" t="str">
        <f>IF(ISNA(MATCH(156,'Transfer Engine'!$C$2:$C$1199,0)),"",INDEX('Compliance Database'!$H$2:$H$1199,MATCH(156,'Transfer Engine'!$C$2:$C$1199,0)))</f>
        <v>Security</v>
      </c>
      <c r="I165" s="7">
        <f>IF(ISNA(MATCH(156,'Transfer Engine'!$C$2:$C$1199,0)),"",INDEX('Compliance Database'!$I$2:$I$1199,MATCH(156,'Transfer Engine'!$C$2:$C$1199,0)))</f>
        <v>0</v>
      </c>
      <c r="J165" s="6" t="str">
        <f>IF(ISNA(MATCH(156,'Transfer Engine'!$C$2:$C$1199,0)),"",INDEX('Compliance Database'!$J$2:$J$1199,MATCH(156,'Transfer Engine'!$C$2:$C$1199,0)))</f>
        <v>APRA</v>
      </c>
      <c r="K165" s="7" t="str">
        <f>IF(ISNA(MATCH(156,'Transfer Engine'!$C$2:$C$1199,0)),"",INDEX('Compliance Database'!$K$2:$K$1199,MATCH(156,'Transfer Engine'!$C$2:$C$1199,0)))</f>
        <v>This section requires APRA-regulated entities to maintain an information security capability that is commensurate with the size and extent of threats to their information assets and supports the continued sound operation of the entity. This capability must be sufficient to address evolving risks.</v>
      </c>
      <c r="L165" s="7">
        <f>IF(ISNA(MATCH(156,'Transfer Engine'!$C$2:$C$1199,0)),"",INDEX('Compliance Database'!$L$2:$L$1199,MATCH(156,'Transfer Engine'!$C$2:$C$1199,0)))</f>
        <v>0</v>
      </c>
      <c r="M165" s="7" t="str">
        <f>IF(ISNA(MATCH(156,'Transfer Engine'!$C$2:$C$1199,0)),"",INDEX('Compliance Database'!$M$2:$M$1199,MATCH(156,'Transfer Engine'!$C$2:$C$1199,0)))</f>
        <v>• [Must] An APRA-regulated entity must maintain an information security capability commensurate with the size and extent of threats to its information assets</v>
      </c>
      <c r="N165" s="7" t="str">
        <f>IF(ISNA(MATCH(156,'Transfer Engine'!$C$2:$C$1199,0)),"",INDEX('Compliance Database'!$N$2:$N$1199,MATCH(156,'Transfer Engine'!$C$2:$C$1199,0)))</f>
        <v>• [Must] An APRA-regulated entity must maintain an information security capability which enables the continued sound operation of the entity</v>
      </c>
      <c r="O165" s="7" t="str">
        <f>IF(ISNA(MATCH(156,'Transfer Engine'!$C$2:$C$1199,0)),"",INDEX('Compliance Database'!$O$2:$O$1199,MATCH(156,'Transfer Engine'!$C$2:$C$1199,0)))</f>
        <v>An APRA-regulated entity must maintain an information security capability commensurate with the size and extent of threats to its information assets, and which enables the continued sound operation of the entity.</v>
      </c>
      <c r="P165" s="6" t="str">
        <f>IF(ISNA(MATCH(156,'Transfer Engine'!$C$2:$C$1199,0)),"",HYPERLINK("#Acts!A"&amp;INDEX('Compliance Database'!$P$2:$P$1199,MATCH(156,'Transfer Engine'!$C$2:$C$1199,0)),"Go to Act"))</f>
        <v>Go to Act</v>
      </c>
    </row>
    <row r="166" spans="1:16" ht="172.95" customHeight="1" x14ac:dyDescent="0.3">
      <c r="A166" s="6" t="str">
        <f>IF(ISNA(MATCH(157,'Transfer Engine'!$C$2:$C$1199,0)),"",INDEX('Compliance Database'!$A$2:$A$1199,MATCH(157,'Transfer Engine'!$C$2:$C$1199,0)))</f>
        <v>Australia</v>
      </c>
      <c r="B166" s="6" t="str">
        <f>IF(ISNA(MATCH(157,'Transfer Engine'!$C$2:$C$1199,0)),"",INDEX('Compliance Database'!$B$2:$B$1199,MATCH(157,'Transfer Engine'!$C$2:$C$1199,0)))</f>
        <v>cps_234_july_2019_for_public_release (Australia - Row 6)</v>
      </c>
      <c r="C166" s="6" t="str">
        <f>IF(ISNA(MATCH(157,'Transfer Engine'!$C$2:$C$1199,0)),"",INDEX('Compliance Database'!$C$2:$C$1199,MATCH(157,'Transfer Engine'!$C$2:$C$1199,0)))</f>
        <v>16</v>
      </c>
      <c r="D166" s="7" t="str">
        <f>IF(ISNA(MATCH(157,'Transfer Engine'!$C$2:$C$1199,0)),"",INDEX('Compliance Database'!$D$2:$D$1199,MATCH(157,'Transfer Engine'!$C$2:$C$1199,0)))</f>
        <v>Assess information security capability of related parties and third parties</v>
      </c>
      <c r="E166" s="6" t="str">
        <f>IF(ISNA(MATCH(157,'Transfer Engine'!$C$2:$C$1199,0)),"",INDEX('Compliance Database'!$E$2:$E$1199,MATCH(157,'Transfer Engine'!$C$2:$C$1199,0)))</f>
        <v>5</v>
      </c>
      <c r="F166" s="6" t="str">
        <f>IF(ISNA(MATCH(157,'Transfer Engine'!$C$2:$C$1199,0)),"",INDEX('Compliance Database'!$F$2:$F$1199,MATCH(157,'Transfer Engine'!$C$2:$C$1199,0)))</f>
        <v>High</v>
      </c>
      <c r="G166" s="6" t="str">
        <f>IF(ISNA(MATCH(157,'Transfer Engine'!$C$2:$C$1199,0)),"",INDEX('Compliance Database'!$G$2:$G$1199,MATCH(157,'Transfer Engine'!$C$2:$C$1199,0)))</f>
        <v>High (explicit)</v>
      </c>
      <c r="H166" s="7" t="str">
        <f>IF(ISNA(MATCH(157,'Transfer Engine'!$C$2:$C$1199,0)),"",INDEX('Compliance Database'!$H$2:$H$1199,MATCH(157,'Transfer Engine'!$C$2:$C$1199,0)))</f>
        <v>Security, Third Party Processing</v>
      </c>
      <c r="I166" s="7" t="str">
        <f>IF(ISNA(MATCH(157,'Transfer Engine'!$C$2:$C$1199,0)),"",INDEX('Compliance Database'!$I$2:$I$1199,MATCH(157,'Transfer Engine'!$C$2:$C$1199,0)))</f>
        <v>Personal Information</v>
      </c>
      <c r="J166" s="6" t="str">
        <f>IF(ISNA(MATCH(157,'Transfer Engine'!$C$2:$C$1199,0)),"",INDEX('Compliance Database'!$J$2:$J$1199,MATCH(157,'Transfer Engine'!$C$2:$C$1199,0)))</f>
        <v>APRA</v>
      </c>
      <c r="K166" s="7" t="str">
        <f>IF(ISNA(MATCH(157,'Transfer Engine'!$C$2:$C$1199,0)),"",INDEX('Compliance Database'!$K$2:$K$1199,MATCH(157,'Transfer Engine'!$C$2:$C$1199,0)))</f>
        <v>APRA-regulated entities must evaluate the information security capabilities of related parties and third parties managing their information assets. This assessment must consider the potential impact of security incidents on those assets. The requirement applies to all information assets handled by external parties, not just outsourced activities.</v>
      </c>
      <c r="L166" s="7" t="str">
        <f>IF(ISNA(MATCH(157,'Transfer Engine'!$C$2:$C$1199,0)),"",INDEX('Compliance Database'!$L$2:$L$1199,MATCH(157,'Transfer Engine'!$C$2:$C$1199,0)))</f>
        <v>This section requires assessing third-party security capabilities before transferring data, directly impacting DTIA by mandating risk-based evaluations of external data handlers.</v>
      </c>
      <c r="M166" s="7" t="str">
        <f>IF(ISNA(MATCH(157,'Transfer Engine'!$C$2:$C$1199,0)),"",INDEX('Compliance Database'!$M$2:$M$1199,MATCH(157,'Transfer Engine'!$C$2:$C$1199,0)))</f>
        <v>• [Must] APRA-regulated entity must assess information security capability of related parties and third parties managing information assets</v>
      </c>
      <c r="N166" s="7" t="str">
        <f>IF(ISNA(MATCH(157,'Transfer Engine'!$C$2:$C$1199,0)),"",INDEX('Compliance Database'!$N$2:$N$1199,MATCH(157,'Transfer Engine'!$C$2:$C$1199,0)))</f>
        <v>• [Must] Assessment must be commensurate with potential consequences of security incidents affecting those assets</v>
      </c>
      <c r="O166" s="7" t="str">
        <f>IF(ISNA(MATCH(157,'Transfer Engine'!$C$2:$C$1199,0)),"",INDEX('Compliance Database'!$O$2:$O$1199,MATCH(157,'Transfer Engine'!$C$2:$C$1199,0)))</f>
        <v>Where information assets are managed by a related party or third party, the APRA-regulated entity must assess the information security capability of that party, commensurate with the potential consequences of an information security incident affecting those assets.</v>
      </c>
      <c r="P166" s="6" t="str">
        <f>IF(ISNA(MATCH(157,'Transfer Engine'!$C$2:$C$1199,0)),"",HYPERLINK("#Acts!A"&amp;INDEX('Compliance Database'!$P$2:$P$1199,MATCH(157,'Transfer Engine'!$C$2:$C$1199,0)),"Go to Act"))</f>
        <v>Go to Act</v>
      </c>
    </row>
    <row r="167" spans="1:16" ht="172.95" customHeight="1" x14ac:dyDescent="0.3">
      <c r="A167" s="6" t="str">
        <f>IF(ISNA(MATCH(158,'Transfer Engine'!$C$2:$C$1199,0)),"",INDEX('Compliance Database'!$A$2:$A$1199,MATCH(158,'Transfer Engine'!$C$2:$C$1199,0)))</f>
        <v>Australia</v>
      </c>
      <c r="B167" s="6" t="str">
        <f>IF(ISNA(MATCH(158,'Transfer Engine'!$C$2:$C$1199,0)),"",INDEX('Compliance Database'!$B$2:$B$1199,MATCH(158,'Transfer Engine'!$C$2:$C$1199,0)))</f>
        <v>cps_234_july_2019_for_public_release (Australia - Row 6)</v>
      </c>
      <c r="C167" s="6" t="str">
        <f>IF(ISNA(MATCH(158,'Transfer Engine'!$C$2:$C$1199,0)),"",INDEX('Compliance Database'!$C$2:$C$1199,MATCH(158,'Transfer Engine'!$C$2:$C$1199,0)))</f>
        <v>17</v>
      </c>
      <c r="D167" s="7" t="str">
        <f>IF(ISNA(MATCH(158,'Transfer Engine'!$C$2:$C$1199,0)),"",INDEX('Compliance Database'!$D$2:$D$1199,MATCH(158,'Transfer Engine'!$C$2:$C$1199,0)))</f>
        <v>Maintain information security capability through threat monitoring</v>
      </c>
      <c r="E167" s="6" t="str">
        <f>IF(ISNA(MATCH(158,'Transfer Engine'!$C$2:$C$1199,0)),"",INDEX('Compliance Database'!$E$2:$E$1199,MATCH(158,'Transfer Engine'!$C$2:$C$1199,0)))</f>
        <v>5</v>
      </c>
      <c r="F167" s="6" t="str">
        <f>IF(ISNA(MATCH(158,'Transfer Engine'!$C$2:$C$1199,0)),"",INDEX('Compliance Database'!$F$2:$F$1199,MATCH(158,'Transfer Engine'!$C$2:$C$1199,0)))</f>
        <v>High</v>
      </c>
      <c r="G167" s="6" t="str">
        <f>IF(ISNA(MATCH(158,'Transfer Engine'!$C$2:$C$1199,0)),"",INDEX('Compliance Database'!$G$2:$G$1199,MATCH(158,'Transfer Engine'!$C$2:$C$1199,0)))</f>
        <v>High (explicit)</v>
      </c>
      <c r="H167" s="7" t="str">
        <f>IF(ISNA(MATCH(158,'Transfer Engine'!$C$2:$C$1199,0)),"",INDEX('Compliance Database'!$H$2:$H$1199,MATCH(158,'Transfer Engine'!$C$2:$C$1199,0)))</f>
        <v>Security</v>
      </c>
      <c r="I167" s="7" t="str">
        <f>IF(ISNA(MATCH(158,'Transfer Engine'!$C$2:$C$1199,0)),"",INDEX('Compliance Database'!$I$2:$I$1199,MATCH(158,'Transfer Engine'!$C$2:$C$1199,0)))</f>
        <v>Personal Information</v>
      </c>
      <c r="J167" s="6" t="str">
        <f>IF(ISNA(MATCH(158,'Transfer Engine'!$C$2:$C$1199,0)),"",INDEX('Compliance Database'!$J$2:$J$1199,MATCH(158,'Transfer Engine'!$C$2:$C$1199,0)))</f>
        <v>APRA</v>
      </c>
      <c r="K167" s="7" t="str">
        <f>IF(ISNA(MATCH(158,'Transfer Engine'!$C$2:$C$1199,0)),"",INDEX('Compliance Database'!$K$2:$K$1199,MATCH(158,'Transfer Engine'!$C$2:$C$1199,0)))</f>
        <v>APRA-regulated entities must continuously update their information security capabilities to address evolving vulnerabilities and threats. This includes adapting to changes in information assets or business environments. The requirement emphasizes active maintenance rather than static security measures.</v>
      </c>
      <c r="L167" s="7" t="str">
        <f>IF(ISNA(MATCH(158,'Transfer Engine'!$C$2:$C$1199,0)),"",INDEX('Compliance Database'!$L$2:$L$1199,MATCH(158,'Transfer Engine'!$C$2:$C$1199,0)))</f>
        <v>This section mandates ongoing security updates, critical for DTIA as it requires continuous risk assessment and adaptation to changing threats when handling cross-border data.</v>
      </c>
      <c r="M167" s="7" t="str">
        <f>IF(ISNA(MATCH(158,'Transfer Engine'!$C$2:$C$1199,0)),"",INDEX('Compliance Database'!$M$2:$M$1199,MATCH(158,'Transfer Engine'!$C$2:$C$1199,0)))</f>
        <v>• [Must] APRA-regulated entity must actively maintain information security capability with respect to changes in vulnerabilities and threats</v>
      </c>
      <c r="N167" s="7" t="str">
        <f>IF(ISNA(MATCH(158,'Transfer Engine'!$C$2:$C$1199,0)),"",INDEX('Compliance Database'!$N$2:$N$1199,MATCH(158,'Transfer Engine'!$C$2:$C$1199,0)))</f>
        <v>• [Must] This includes threats resulting from changes to information assets or business environment</v>
      </c>
      <c r="O167" s="7" t="str">
        <f>IF(ISNA(MATCH(158,'Transfer Engine'!$C$2:$C$1199,0)),"",INDEX('Compliance Database'!$O$2:$O$1199,MATCH(158,'Transfer Engine'!$C$2:$C$1199,0)))</f>
        <v>An APRA-regulated entity must actively maintain its information security capability with respect to changes in vulnerabilities and threats, including those resulting from changes to information assets or its business environment.</v>
      </c>
      <c r="P167" s="6" t="str">
        <f>IF(ISNA(MATCH(158,'Transfer Engine'!$C$2:$C$1199,0)),"",HYPERLINK("#Acts!A"&amp;INDEX('Compliance Database'!$P$2:$P$1199,MATCH(158,'Transfer Engine'!$C$2:$C$1199,0)),"Go to Act"))</f>
        <v>Go to Act</v>
      </c>
    </row>
    <row r="168" spans="1:16" ht="172.95" customHeight="1" x14ac:dyDescent="0.3">
      <c r="A168" s="6" t="str">
        <f>IF(ISNA(MATCH(159,'Transfer Engine'!$C$2:$C$1199,0)),"",INDEX('Compliance Database'!$A$2:$A$1199,MATCH(159,'Transfer Engine'!$C$2:$C$1199,0)))</f>
        <v>Australia</v>
      </c>
      <c r="B168" s="6" t="str">
        <f>IF(ISNA(MATCH(159,'Transfer Engine'!$C$2:$C$1199,0)),"",INDEX('Compliance Database'!$B$2:$B$1199,MATCH(159,'Transfer Engine'!$C$2:$C$1199,0)))</f>
        <v>cps_234_july_2019_for_public_release (Australia - Row 6)</v>
      </c>
      <c r="C168" s="6" t="str">
        <f>IF(ISNA(MATCH(159,'Transfer Engine'!$C$2:$C$1199,0)),"",INDEX('Compliance Database'!$C$2:$C$1199,MATCH(159,'Transfer Engine'!$C$2:$C$1199,0)))</f>
        <v>18</v>
      </c>
      <c r="D168" s="7" t="str">
        <f>IF(ISNA(MATCH(159,'Transfer Engine'!$C$2:$C$1199,0)),"",INDEX('Compliance Database'!$D$2:$D$1199,MATCH(159,'Transfer Engine'!$C$2:$C$1199,0)))</f>
        <v>Maintain information security policy framework</v>
      </c>
      <c r="E168" s="6" t="str">
        <f>IF(ISNA(MATCH(159,'Transfer Engine'!$C$2:$C$1199,0)),"",INDEX('Compliance Database'!$E$2:$E$1199,MATCH(159,'Transfer Engine'!$C$2:$C$1199,0)))</f>
        <v>5</v>
      </c>
      <c r="F168" s="6" t="str">
        <f>IF(ISNA(MATCH(159,'Transfer Engine'!$C$2:$C$1199,0)),"",INDEX('Compliance Database'!$F$2:$F$1199,MATCH(159,'Transfer Engine'!$C$2:$C$1199,0)))</f>
        <v>High</v>
      </c>
      <c r="G168" s="6" t="str">
        <f>IF(ISNA(MATCH(159,'Transfer Engine'!$C$2:$C$1199,0)),"",INDEX('Compliance Database'!$G$2:$G$1199,MATCH(159,'Transfer Engine'!$C$2:$C$1199,0)))</f>
        <v>High (explicit)</v>
      </c>
      <c r="H168" s="7" t="str">
        <f>IF(ISNA(MATCH(159,'Transfer Engine'!$C$2:$C$1199,0)),"",INDEX('Compliance Database'!$H$2:$H$1199,MATCH(159,'Transfer Engine'!$C$2:$C$1199,0)))</f>
        <v>Security</v>
      </c>
      <c r="I168" s="7" t="str">
        <f>IF(ISNA(MATCH(159,'Transfer Engine'!$C$2:$C$1199,0)),"",INDEX('Compliance Database'!$I$2:$I$1199,MATCH(159,'Transfer Engine'!$C$2:$C$1199,0)))</f>
        <v>Personal Information</v>
      </c>
      <c r="J168" s="6" t="str">
        <f>IF(ISNA(MATCH(159,'Transfer Engine'!$C$2:$C$1199,0)),"",INDEX('Compliance Database'!$J$2:$J$1199,MATCH(159,'Transfer Engine'!$C$2:$C$1199,0)))</f>
        <v>APRA</v>
      </c>
      <c r="K168" s="7" t="str">
        <f>IF(ISNA(MATCH(159,'Transfer Engine'!$C$2:$C$1199,0)),"",INDEX('Compliance Database'!$K$2:$K$1199,MATCH(159,'Transfer Engine'!$C$2:$C$1199,0)))</f>
        <v>APRA-regulated entities must maintain an information security policy framework that matches their exposure to vulnerabilities and threats. This framework must be tailored to the specific risks the entity faces, ensuring appropriate security measures are in place.</v>
      </c>
      <c r="L168" s="7" t="str">
        <f>IF(ISNA(MATCH(159,'Transfer Engine'!$C$2:$C$1199,0)),"",INDEX('Compliance Database'!$L$2:$L$1199,MATCH(159,'Transfer Engine'!$C$2:$C$1199,0)))</f>
        <v>This section requires a risk-based security policy framework, directly relevant to DTIA as it mandates alignment between security policies and potential data transfer risks.</v>
      </c>
      <c r="M168" s="7" t="str">
        <f>IF(ISNA(MATCH(159,'Transfer Engine'!$C$2:$C$1199,0)),"",INDEX('Compliance Database'!$M$2:$M$1199,MATCH(159,'Transfer Engine'!$C$2:$C$1199,0)))</f>
        <v>• [Must] APRA-regulated entity must maintain an information security policy framework</v>
      </c>
      <c r="N168" s="7" t="str">
        <f>IF(ISNA(MATCH(159,'Transfer Engine'!$C$2:$C$1199,0)),"",INDEX('Compliance Database'!$N$2:$N$1199,MATCH(159,'Transfer Engine'!$C$2:$C$1199,0)))</f>
        <v>• [Must] Framework must be commensurate with exposures to vulnerabilities and threats</v>
      </c>
      <c r="O168" s="7" t="str">
        <f>IF(ISNA(MATCH(159,'Transfer Engine'!$C$2:$C$1199,0)),"",INDEX('Compliance Database'!$O$2:$O$1199,MATCH(159,'Transfer Engine'!$C$2:$C$1199,0)))</f>
        <v>An APRA-regulated entity must maintain an information security policy framework commensurate with its exposures to vulnerabilities and threats.</v>
      </c>
      <c r="P168" s="6" t="str">
        <f>IF(ISNA(MATCH(159,'Transfer Engine'!$C$2:$C$1199,0)),"",HYPERLINK("#Acts!A"&amp;INDEX('Compliance Database'!$P$2:$P$1199,MATCH(159,'Transfer Engine'!$C$2:$C$1199,0)),"Go to Act"))</f>
        <v>Go to Act</v>
      </c>
    </row>
    <row r="169" spans="1:16" ht="172.95" customHeight="1" x14ac:dyDescent="0.3">
      <c r="A169" s="6" t="str">
        <f>IF(ISNA(MATCH(160,'Transfer Engine'!$C$2:$C$1199,0)),"",INDEX('Compliance Database'!$A$2:$A$1199,MATCH(160,'Transfer Engine'!$C$2:$C$1199,0)))</f>
        <v>Australia</v>
      </c>
      <c r="B169" s="6" t="str">
        <f>IF(ISNA(MATCH(160,'Transfer Engine'!$C$2:$C$1199,0)),"",INDEX('Compliance Database'!$B$2:$B$1199,MATCH(160,'Transfer Engine'!$C$2:$C$1199,0)))</f>
        <v>cps_234_july_2019_for_public_release (Australia - Row 6)</v>
      </c>
      <c r="C169" s="6" t="str">
        <f>IF(ISNA(MATCH(160,'Transfer Engine'!$C$2:$C$1199,0)),"",INDEX('Compliance Database'!$C$2:$C$1199,MATCH(160,'Transfer Engine'!$C$2:$C$1199,0)))</f>
        <v>19</v>
      </c>
      <c r="D169" s="7" t="str">
        <f>IF(ISNA(MATCH(160,'Transfer Engine'!$C$2:$C$1199,0)),"",INDEX('Compliance Database'!$D$2:$D$1199,MATCH(160,'Transfer Engine'!$C$2:$C$1199,0)))</f>
        <v>Define information security responsibilities for all parties</v>
      </c>
      <c r="E169" s="6" t="str">
        <f>IF(ISNA(MATCH(160,'Transfer Engine'!$C$2:$C$1199,0)),"",INDEX('Compliance Database'!$E$2:$E$1199,MATCH(160,'Transfer Engine'!$C$2:$C$1199,0)))</f>
        <v>5–6</v>
      </c>
      <c r="F169" s="6" t="str">
        <f>IF(ISNA(MATCH(160,'Transfer Engine'!$C$2:$C$1199,0)),"",INDEX('Compliance Database'!$F$2:$F$1199,MATCH(160,'Transfer Engine'!$C$2:$C$1199,0)))</f>
        <v>High</v>
      </c>
      <c r="G169" s="6" t="str">
        <f>IF(ISNA(MATCH(160,'Transfer Engine'!$C$2:$C$1199,0)),"",INDEX('Compliance Database'!$G$2:$G$1199,MATCH(160,'Transfer Engine'!$C$2:$C$1199,0)))</f>
        <v>High (explicit)</v>
      </c>
      <c r="H169" s="7" t="str">
        <f>IF(ISNA(MATCH(160,'Transfer Engine'!$C$2:$C$1199,0)),"",INDEX('Compliance Database'!$H$2:$H$1199,MATCH(160,'Transfer Engine'!$C$2:$C$1199,0)))</f>
        <v>Security, Third Party Processing</v>
      </c>
      <c r="I169" s="7" t="str">
        <f>IF(ISNA(MATCH(160,'Transfer Engine'!$C$2:$C$1199,0)),"",INDEX('Compliance Database'!$I$2:$I$1199,MATCH(160,'Transfer Engine'!$C$2:$C$1199,0)))</f>
        <v>Personal Information</v>
      </c>
      <c r="J169" s="6" t="str">
        <f>IF(ISNA(MATCH(160,'Transfer Engine'!$C$2:$C$1199,0)),"",INDEX('Compliance Database'!$J$2:$J$1199,MATCH(160,'Transfer Engine'!$C$2:$C$1199,0)))</f>
        <v>APRA</v>
      </c>
      <c r="K169" s="7" t="str">
        <f>IF(ISNA(MATCH(160,'Transfer Engine'!$C$2:$C$1199,0)),"",INDEX('Compliance Database'!$K$2:$K$1199,MATCH(160,'Transfer Engine'!$C$2:$C$1199,0)))</f>
        <v>APRA-regulated entities must ensure their information security policy framework specifies responsibilities for all parties obligated to maintain information security. This includes staff, contractors, related parties, third parties, and customers, ensuring comprehensive accountability.</v>
      </c>
      <c r="L169" s="7" t="str">
        <f>IF(ISNA(MATCH(160,'Transfer Engine'!$C$2:$C$1199,0)),"",INDEX('Compliance Database'!$L$2:$L$1199,MATCH(160,'Transfer Engine'!$C$2:$C$1199,0)))</f>
        <v>This section clarifies responsibility allocation for third parties, critical for DTIA as it defines who is accountable for data security when transferring information across borders.</v>
      </c>
      <c r="M169" s="7" t="str">
        <f>IF(ISNA(MATCH(160,'Transfer Engine'!$C$2:$C$1199,0)),"",INDEX('Compliance Database'!$M$2:$M$1199,MATCH(160,'Transfer Engine'!$C$2:$C$1199,0)))</f>
        <v>• [Must] Information security policy framework must provide direction on responsibilities of all parties with obligation to maintain information security</v>
      </c>
      <c r="N169" s="7">
        <f>IF(ISNA(MATCH(160,'Transfer Engine'!$C$2:$C$1199,0)),"",INDEX('Compliance Database'!$N$2:$N$1199,MATCH(160,'Transfer Engine'!$C$2:$C$1199,0)))</f>
        <v>0</v>
      </c>
      <c r="O169" s="7" t="str">
        <f>IF(ISNA(MATCH(160,'Transfer Engine'!$C$2:$C$1199,0)),"",INDEX('Compliance Database'!$O$2:$O$1199,MATCH(160,'Transfer Engine'!$C$2:$C$1199,0)))</f>
        <v>An APRA-regulated entity's information security policy framework must provide direction on the responsibilities of all parties who have an obligation to maintain information security.</v>
      </c>
      <c r="P169" s="6" t="str">
        <f>IF(ISNA(MATCH(160,'Transfer Engine'!$C$2:$C$1199,0)),"",HYPERLINK("#Acts!A"&amp;INDEX('Compliance Database'!$P$2:$P$1199,MATCH(160,'Transfer Engine'!$C$2:$C$1199,0)),"Go to Act"))</f>
        <v>Go to Act</v>
      </c>
    </row>
    <row r="170" spans="1:16" ht="172.95" customHeight="1" x14ac:dyDescent="0.3">
      <c r="A170" s="6" t="str">
        <f>IF(ISNA(MATCH(161,'Transfer Engine'!$C$2:$C$1199,0)),"",INDEX('Compliance Database'!$A$2:$A$1199,MATCH(161,'Transfer Engine'!$C$2:$C$1199,0)))</f>
        <v>Australia</v>
      </c>
      <c r="B170" s="6" t="str">
        <f>IF(ISNA(MATCH(161,'Transfer Engine'!$C$2:$C$1199,0)),"",INDEX('Compliance Database'!$B$2:$B$1199,MATCH(161,'Transfer Engine'!$C$2:$C$1199,0)))</f>
        <v>cps_234_july_2019_for_public_release (Australia - Row 6)</v>
      </c>
      <c r="C170" s="6" t="str">
        <f>IF(ISNA(MATCH(161,'Transfer Engine'!$C$2:$C$1199,0)),"",INDEX('Compliance Database'!$C$2:$C$1199,MATCH(161,'Transfer Engine'!$C$2:$C$1199,0)))</f>
        <v>20</v>
      </c>
      <c r="D170" s="7" t="str">
        <f>IF(ISNA(MATCH(161,'Transfer Engine'!$C$2:$C$1199,0)),"",INDEX('Compliance Database'!$D$2:$D$1199,MATCH(161,'Transfer Engine'!$C$2:$C$1199,0)))</f>
        <v>Classify information assets by criticality and sensitivity</v>
      </c>
      <c r="E170" s="6" t="str">
        <f>IF(ISNA(MATCH(161,'Transfer Engine'!$C$2:$C$1199,0)),"",INDEX('Compliance Database'!$E$2:$E$1199,MATCH(161,'Transfer Engine'!$C$2:$C$1199,0)))</f>
        <v>6</v>
      </c>
      <c r="F170" s="6" t="str">
        <f>IF(ISNA(MATCH(161,'Transfer Engine'!$C$2:$C$1199,0)),"",INDEX('Compliance Database'!$F$2:$F$1199,MATCH(161,'Transfer Engine'!$C$2:$C$1199,0)))</f>
        <v>High</v>
      </c>
      <c r="G170" s="6" t="str">
        <f>IF(ISNA(MATCH(161,'Transfer Engine'!$C$2:$C$1199,0)),"",INDEX('Compliance Database'!$G$2:$G$1199,MATCH(161,'Transfer Engine'!$C$2:$C$1199,0)))</f>
        <v>High (explicit)</v>
      </c>
      <c r="H170" s="7" t="str">
        <f>IF(ISNA(MATCH(161,'Transfer Engine'!$C$2:$C$1199,0)),"",INDEX('Compliance Database'!$H$2:$H$1199,MATCH(161,'Transfer Engine'!$C$2:$C$1199,0)))</f>
        <v>Security</v>
      </c>
      <c r="I170" s="7" t="str">
        <f>IF(ISNA(MATCH(161,'Transfer Engine'!$C$2:$C$1199,0)),"",INDEX('Compliance Database'!$I$2:$I$1199,MATCH(161,'Transfer Engine'!$C$2:$C$1199,0)))</f>
        <v>Personal Information</v>
      </c>
      <c r="J170" s="6" t="str">
        <f>IF(ISNA(MATCH(161,'Transfer Engine'!$C$2:$C$1199,0)),"",INDEX('Compliance Database'!$J$2:$J$1199,MATCH(161,'Transfer Engine'!$C$2:$C$1199,0)))</f>
        <v>APRA</v>
      </c>
      <c r="K170" s="7" t="str">
        <f>IF(ISNA(MATCH(161,'Transfer Engine'!$C$2:$C$1199,0)),"",INDEX('Compliance Database'!$K$2:$K$1199,MATCH(161,'Transfer Engine'!$C$2:$C$1199,0)))</f>
        <v>APRA-regulated entities must classify their information assets based on criticality and sensitivity, reflecting the potential financial or non-financial impact of security incidents. This classification includes assets managed by related parties and third parties, ensuring appropriate security measures are applied.</v>
      </c>
      <c r="L170" s="7" t="str">
        <f>IF(ISNA(MATCH(161,'Transfer Engine'!$C$2:$C$1199,0)),"",INDEX('Compliance Database'!$L$2:$L$1199,MATCH(161,'Transfer Engine'!$C$2:$C$1199,0)))</f>
        <v>This section requires data classification for DTIA, as it mandates assessing the impact of security incidents on financial and customer interests when transferring data internationally.</v>
      </c>
      <c r="M170" s="7" t="str">
        <f>IF(ISNA(MATCH(161,'Transfer Engine'!$C$2:$C$1199,0)),"",INDEX('Compliance Database'!$M$2:$M$1199,MATCH(161,'Transfer Engine'!$C$2:$C$1199,0)))</f>
        <v>• [Must] APRA-regulated entity must classify information assets by criticality and sensitivity</v>
      </c>
      <c r="N170" s="7" t="str">
        <f>IF(ISNA(MATCH(161,'Transfer Engine'!$C$2:$C$1199,0)),"",INDEX('Compliance Database'!$N$2:$N$1199,MATCH(161,'Transfer Engine'!$C$2:$C$1199,0)))</f>
        <v>• [Must] Classification must reflect potential financial or non-financial impact of security incidents on entity or customers</v>
      </c>
      <c r="O170" s="7" t="str">
        <f>IF(ISNA(MATCH(161,'Transfer Engine'!$C$2:$C$1199,0)),"",INDEX('Compliance Database'!$O$2:$O$1199,MATCH(161,'Transfer Engine'!$C$2:$C$1199,0)))</f>
        <v>An APRA-regulated entity must classify its information assets, including those managed by related parties and third parties, by criticality and sensitivity. This classification must reflect the degree to which an information security incident affecting an information asset has the potential to affect, financially or non-financially, the entity or the interests of depositors, policyholders, beneficiaries or other customers.</v>
      </c>
      <c r="P170" s="6" t="str">
        <f>IF(ISNA(MATCH(161,'Transfer Engine'!$C$2:$C$1199,0)),"",HYPERLINK("#Acts!A"&amp;INDEX('Compliance Database'!$P$2:$P$1199,MATCH(161,'Transfer Engine'!$C$2:$C$1199,0)),"Go to Act"))</f>
        <v>Go to Act</v>
      </c>
    </row>
    <row r="171" spans="1:16" ht="172.95" customHeight="1" x14ac:dyDescent="0.3">
      <c r="A171" s="6" t="str">
        <f>IF(ISNA(MATCH(162,'Transfer Engine'!$C$2:$C$1199,0)),"",INDEX('Compliance Database'!$A$2:$A$1199,MATCH(162,'Transfer Engine'!$C$2:$C$1199,0)))</f>
        <v>Australia</v>
      </c>
      <c r="B171" s="6" t="str">
        <f>IF(ISNA(MATCH(162,'Transfer Engine'!$C$2:$C$1199,0)),"",INDEX('Compliance Database'!$B$2:$B$1199,MATCH(162,'Transfer Engine'!$C$2:$C$1199,0)))</f>
        <v>cps_234_july_2019_for_public_release (Australia - Row 6)</v>
      </c>
      <c r="C171" s="6" t="str">
        <f>IF(ISNA(MATCH(162,'Transfer Engine'!$C$2:$C$1199,0)),"",INDEX('Compliance Database'!$C$2:$C$1199,MATCH(162,'Transfer Engine'!$C$2:$C$1199,0)))</f>
        <v>21</v>
      </c>
      <c r="D171" s="7" t="str">
        <f>IF(ISNA(MATCH(162,'Transfer Engine'!$C$2:$C$1199,0)),"",INDEX('Compliance Database'!$D$2:$D$1199,MATCH(162,'Transfer Engine'!$C$2:$C$1199,0)))</f>
        <v>Implement security controls commensurate with risk</v>
      </c>
      <c r="E171" s="6" t="str">
        <f>IF(ISNA(MATCH(162,'Transfer Engine'!$C$2:$C$1199,0)),"",INDEX('Compliance Database'!$E$2:$E$1199,MATCH(162,'Transfer Engine'!$C$2:$C$1199,0)))</f>
        <v>6</v>
      </c>
      <c r="F171" s="6" t="str">
        <f>IF(ISNA(MATCH(162,'Transfer Engine'!$C$2:$C$1199,0)),"",INDEX('Compliance Database'!$F$2:$F$1199,MATCH(162,'Transfer Engine'!$C$2:$C$1199,0)))</f>
        <v>High</v>
      </c>
      <c r="G171" s="6" t="str">
        <f>IF(ISNA(MATCH(162,'Transfer Engine'!$C$2:$C$1199,0)),"",INDEX('Compliance Database'!$G$2:$G$1199,MATCH(162,'Transfer Engine'!$C$2:$C$1199,0)))</f>
        <v>High (explicit)</v>
      </c>
      <c r="H171" s="7" t="str">
        <f>IF(ISNA(MATCH(162,'Transfer Engine'!$C$2:$C$1199,0)),"",INDEX('Compliance Database'!$H$2:$H$1199,MATCH(162,'Transfer Engine'!$C$2:$C$1199,0)))</f>
        <v>Security</v>
      </c>
      <c r="I171" s="7" t="str">
        <f>IF(ISNA(MATCH(162,'Transfer Engine'!$C$2:$C$1199,0)),"",INDEX('Compliance Database'!$I$2:$I$1199,MATCH(162,'Transfer Engine'!$C$2:$C$1199,0)))</f>
        <v>Personal Information</v>
      </c>
      <c r="J171" s="6" t="str">
        <f>IF(ISNA(MATCH(162,'Transfer Engine'!$C$2:$C$1199,0)),"",INDEX('Compliance Database'!$J$2:$J$1199,MATCH(162,'Transfer Engine'!$C$2:$C$1199,0)))</f>
        <v>APRA</v>
      </c>
      <c r="K171" s="7" t="str">
        <f>IF(ISNA(MATCH(162,'Transfer Engine'!$C$2:$C$1199,0)),"",INDEX('Compliance Database'!$K$2:$K$1199,MATCH(162,'Transfer Engine'!$C$2:$C$1199,0)))</f>
        <v>APRA-regulated entities must implement information security controls that are timely and proportionate to vulnerabilities, threats, asset criticality, sensitivity, life-cycle stage, and potential incident consequences. These controls must protect information assets managed by related parties and third parties.</v>
      </c>
      <c r="L171" s="7" t="str">
        <f>IF(ISNA(MATCH(162,'Transfer Engine'!$C$2:$C$1199,0)),"",INDEX('Compliance Database'!$L$2:$L$1199,MATCH(162,'Transfer Engine'!$C$2:$C$1199,0)))</f>
        <v>This section requires risk-based security controls for DTIA, ensuring that data transfers are protected by measures proportional to the potential impact on financial stakeholders.</v>
      </c>
      <c r="M171" s="7" t="str">
        <f>IF(ISNA(MATCH(162,'Transfer Engine'!$C$2:$C$1199,0)),"",INDEX('Compliance Database'!$M$2:$M$1199,MATCH(162,'Transfer Engine'!$C$2:$C$1199,0)))</f>
        <v>• [Must] APRA-regulated entity must have information security controls to protect information assets
• [Must] Controls must be implemented in a timely manner
• [Must] Controls must be commensurate with vulnerabilities and threats to information assets</v>
      </c>
      <c r="N171" s="7" t="str">
        <f>IF(ISNA(MATCH(162,'Transfer Engine'!$C$2:$C$1199,0)),"",INDEX('Compliance Database'!$N$2:$N$1199,MATCH(162,'Transfer Engine'!$C$2:$C$1199,0)))</f>
        <v>• [Must] Controls must be commensurate with criticality and sensitivity of information assets
• [Must] Controls must be commensurate with stage of information assets within their life-cycle
• [Must] Controls must be commensurate with potential consequences of information security incidents</v>
      </c>
      <c r="O171" s="7" t="str">
        <f>IF(ISNA(MATCH(162,'Transfer Engine'!$C$2:$C$1199,0)),"",INDEX('Compliance Database'!$O$2:$O$1199,MATCH(162,'Transfer Engine'!$C$2:$C$1199,0)))</f>
        <v>An APRA-regulated entity must have information security controls to protect its information assets, including those managed by related parties and third parties, that are implemented in a timely manner and that are commensurate with: (a) vulnerabilities and threats to the information assets; (b) the criticality and sensitivity of the information assets; (c) the stage at which the information assets are within their life-cycle; and (d) the potential consequences of an information security incident.</v>
      </c>
      <c r="P171" s="6" t="str">
        <f>IF(ISNA(MATCH(162,'Transfer Engine'!$C$2:$C$1199,0)),"",HYPERLINK("#Acts!A"&amp;INDEX('Compliance Database'!$P$2:$P$1199,MATCH(162,'Transfer Engine'!$C$2:$C$1199,0)),"Go to Act"))</f>
        <v>Go to Act</v>
      </c>
    </row>
    <row r="172" spans="1:16" ht="172.95" customHeight="1" x14ac:dyDescent="0.3">
      <c r="A172" s="6" t="str">
        <f>IF(ISNA(MATCH(163,'Transfer Engine'!$C$2:$C$1199,0)),"",INDEX('Compliance Database'!$A$2:$A$1199,MATCH(163,'Transfer Engine'!$C$2:$C$1199,0)))</f>
        <v>Australia</v>
      </c>
      <c r="B172" s="6" t="str">
        <f>IF(ISNA(MATCH(163,'Transfer Engine'!$C$2:$C$1199,0)),"",INDEX('Compliance Database'!$B$2:$B$1199,MATCH(163,'Transfer Engine'!$C$2:$C$1199,0)))</f>
        <v>cps_234_july_2019_for_public_release (Australia - Row 6)</v>
      </c>
      <c r="C172" s="6" t="str">
        <f>IF(ISNA(MATCH(163,'Transfer Engine'!$C$2:$C$1199,0)),"",INDEX('Compliance Database'!$C$2:$C$1199,MATCH(163,'Transfer Engine'!$C$2:$C$1199,0)))</f>
        <v>22</v>
      </c>
      <c r="D172" s="7" t="str">
        <f>IF(ISNA(MATCH(163,'Transfer Engine'!$C$2:$C$1199,0)),"",INDEX('Compliance Database'!$D$2:$D$1199,MATCH(163,'Transfer Engine'!$C$2:$C$1199,0)))</f>
        <v>Information security controls for related parties</v>
      </c>
      <c r="E172" s="6" t="str">
        <f>IF(ISNA(MATCH(163,'Transfer Engine'!$C$2:$C$1199,0)),"",INDEX('Compliance Database'!$E$2:$E$1199,MATCH(163,'Transfer Engine'!$C$2:$C$1199,0)))</f>
        <v>6</v>
      </c>
      <c r="F172" s="6" t="str">
        <f>IF(ISNA(MATCH(163,'Transfer Engine'!$C$2:$C$1199,0)),"",INDEX('Compliance Database'!$F$2:$F$1199,MATCH(163,'Transfer Engine'!$C$2:$C$1199,0)))</f>
        <v>High</v>
      </c>
      <c r="G172" s="6" t="str">
        <f>IF(ISNA(MATCH(163,'Transfer Engine'!$C$2:$C$1199,0)),"",INDEX('Compliance Database'!$G$2:$G$1199,MATCH(163,'Transfer Engine'!$C$2:$C$1199,0)))</f>
        <v>High (explicit)</v>
      </c>
      <c r="H172" s="7" t="str">
        <f>IF(ISNA(MATCH(163,'Transfer Engine'!$C$2:$C$1199,0)),"",INDEX('Compliance Database'!$H$2:$H$1199,MATCH(163,'Transfer Engine'!$C$2:$C$1199,0)))</f>
        <v>Security, Third Party Processing</v>
      </c>
      <c r="I172" s="7" t="str">
        <f>IF(ISNA(MATCH(163,'Transfer Engine'!$C$2:$C$1199,0)),"",INDEX('Compliance Database'!$I$2:$I$1199,MATCH(163,'Transfer Engine'!$C$2:$C$1199,0)))</f>
        <v>Personal Information</v>
      </c>
      <c r="J172" s="6" t="str">
        <f>IF(ISNA(MATCH(163,'Transfer Engine'!$C$2:$C$1199,0)),"",INDEX('Compliance Database'!$J$2:$J$1199,MATCH(163,'Transfer Engine'!$C$2:$C$1199,0)))</f>
        <v>APRA</v>
      </c>
      <c r="K172" s="7" t="str">
        <f>IF(ISNA(MATCH(163,'Transfer Engine'!$C$2:$C$1199,0)),"",INDEX('Compliance Database'!$K$2:$K$1199,MATCH(163,'Transfer Engine'!$C$2:$C$1199,0)))</f>
        <v>APRA-regulated entities must evaluate the design of information security controls managed by related parties or third parties that protect their information assets. This applies to all information assets handled by such parties, including those under outsourcing agreements. The evaluation ensures adequate protection mechanisms are in place for sensitive data.</v>
      </c>
      <c r="L172" s="7" t="str">
        <f>IF(ISNA(MATCH(163,'Transfer Engine'!$C$2:$C$1199,0)),"",INDEX('Compliance Database'!$L$2:$L$1199,MATCH(163,'Transfer Engine'!$C$2:$C$1199,0)))</f>
        <v>Requires assessment of third-party security controls before data transfers involving related entities, critical for DTIA to verify cross-border data protection adequacy.</v>
      </c>
      <c r="M172" s="7" t="str">
        <f>IF(ISNA(MATCH(163,'Transfer Engine'!$C$2:$C$1199,0)),"",INDEX('Compliance Database'!$M$2:$M$1199,MATCH(163,'Transfer Engine'!$C$2:$C$1199,0)))</f>
        <v>• [Must] APRA-regulated entity must evaluate design of information security controls protecting its information assets managed by related parties or third parties</v>
      </c>
      <c r="N172" s="7">
        <f>IF(ISNA(MATCH(163,'Transfer Engine'!$C$2:$C$1199,0)),"",INDEX('Compliance Database'!$N$2:$N$1199,MATCH(163,'Transfer Engine'!$C$2:$C$1199,0)))</f>
        <v>0</v>
      </c>
      <c r="O172" s="7" t="str">
        <f>IF(ISNA(MATCH(163,'Transfer Engine'!$C$2:$C$1199,0)),"",INDEX('Compliance Database'!$O$2:$O$1199,MATCH(163,'Transfer Engine'!$C$2:$C$1199,0)))</f>
        <v>Where an APRA-regulated entity's information assets are managed by a related party or third party, the APRA-regulated entity must evaluate the design of that party's information security controls that protects the information assets of the APRA-regulated entity.</v>
      </c>
      <c r="P172" s="6" t="str">
        <f>IF(ISNA(MATCH(163,'Transfer Engine'!$C$2:$C$1199,0)),"",HYPERLINK("#Acts!A"&amp;INDEX('Compliance Database'!$P$2:$P$1199,MATCH(163,'Transfer Engine'!$C$2:$C$1199,0)),"Go to Act"))</f>
        <v>Go to Act</v>
      </c>
    </row>
    <row r="173" spans="1:16" ht="172.95" customHeight="1" x14ac:dyDescent="0.3">
      <c r="A173" s="6" t="str">
        <f>IF(ISNA(MATCH(164,'Transfer Engine'!$C$2:$C$1199,0)),"",INDEX('Compliance Database'!$A$2:$A$1199,MATCH(164,'Transfer Engine'!$C$2:$C$1199,0)))</f>
        <v>Australia</v>
      </c>
      <c r="B173" s="6" t="str">
        <f>IF(ISNA(MATCH(164,'Transfer Engine'!$C$2:$C$1199,0)),"",INDEX('Compliance Database'!$B$2:$B$1199,MATCH(164,'Transfer Engine'!$C$2:$C$1199,0)))</f>
        <v>cps_234_july_2019_for_public_release (Australia - Row 6)</v>
      </c>
      <c r="C173" s="6" t="str">
        <f>IF(ISNA(MATCH(164,'Transfer Engine'!$C$2:$C$1199,0)),"",INDEX('Compliance Database'!$C$2:$C$1199,MATCH(164,'Transfer Engine'!$C$2:$C$1199,0)))</f>
        <v>23</v>
      </c>
      <c r="D173" s="7" t="str">
        <f>IF(ISNA(MATCH(164,'Transfer Engine'!$C$2:$C$1199,0)),"",INDEX('Compliance Database'!$D$2:$D$1199,MATCH(164,'Transfer Engine'!$C$2:$C$1199,0)))</f>
        <v>Timely incident detection and response mechanisms</v>
      </c>
      <c r="E173" s="6" t="str">
        <f>IF(ISNA(MATCH(164,'Transfer Engine'!$C$2:$C$1199,0)),"",INDEX('Compliance Database'!$E$2:$E$1199,MATCH(164,'Transfer Engine'!$C$2:$C$1199,0)))</f>
        <v>6</v>
      </c>
      <c r="F173" s="6" t="str">
        <f>IF(ISNA(MATCH(164,'Transfer Engine'!$C$2:$C$1199,0)),"",INDEX('Compliance Database'!$F$2:$F$1199,MATCH(164,'Transfer Engine'!$C$2:$C$1199,0)))</f>
        <v>High</v>
      </c>
      <c r="G173" s="6" t="str">
        <f>IF(ISNA(MATCH(164,'Transfer Engine'!$C$2:$C$1199,0)),"",INDEX('Compliance Database'!$G$2:$G$1199,MATCH(164,'Transfer Engine'!$C$2:$C$1199,0)))</f>
        <v>High (explicit)</v>
      </c>
      <c r="H173" s="7" t="str">
        <f>IF(ISNA(MATCH(164,'Transfer Engine'!$C$2:$C$1199,0)),"",INDEX('Compliance Database'!$H$2:$H$1199,MATCH(164,'Transfer Engine'!$C$2:$C$1199,0)))</f>
        <v>Security, Incident Reporting, Breach Notification</v>
      </c>
      <c r="I173" s="7" t="str">
        <f>IF(ISNA(MATCH(164,'Transfer Engine'!$C$2:$C$1199,0)),"",INDEX('Compliance Database'!$I$2:$I$1199,MATCH(164,'Transfer Engine'!$C$2:$C$1199,0)))</f>
        <v>Personal Information</v>
      </c>
      <c r="J173" s="6" t="str">
        <f>IF(ISNA(MATCH(164,'Transfer Engine'!$C$2:$C$1199,0)),"",INDEX('Compliance Database'!$J$2:$J$1199,MATCH(164,'Transfer Engine'!$C$2:$C$1199,0)))</f>
        <v>APRA</v>
      </c>
      <c r="K173" s="7" t="str">
        <f>IF(ISNA(MATCH(164,'Transfer Engine'!$C$2:$C$1199,0)),"",INDEX('Compliance Database'!$K$2:$K$1199,MATCH(164,'Transfer Engine'!$C$2:$C$1199,0)))</f>
        <v>APRA-regulated entities must establish robust mechanisms to detect and respond to information security incidents promptly. This ensures rapid containment and mitigation of potential breaches, minimizing financial and operational impacts on the entity.</v>
      </c>
      <c r="L173" s="7" t="str">
        <f>IF(ISNA(MATCH(164,'Transfer Engine'!$C$2:$C$1199,0)),"",INDEX('Compliance Database'!$L$2:$L$1199,MATCH(164,'Transfer Engine'!$C$2:$C$1199,0)))</f>
        <v>Mandates real-time incident response capabilities, crucial for DTIA to assess timely breach containment during cross-border data transfers.</v>
      </c>
      <c r="M173" s="7" t="str">
        <f>IF(ISNA(MATCH(164,'Transfer Engine'!$C$2:$C$1199,0)),"",INDEX('Compliance Database'!$M$2:$M$1199,MATCH(164,'Transfer Engine'!$C$2:$C$1199,0)))</f>
        <v>• [Must] APRA-regulated entity must have robust mechanisms to detect and respond to information security incidents in a timely manner</v>
      </c>
      <c r="N173" s="7">
        <f>IF(ISNA(MATCH(164,'Transfer Engine'!$C$2:$C$1199,0)),"",INDEX('Compliance Database'!$N$2:$N$1199,MATCH(164,'Transfer Engine'!$C$2:$C$1199,0)))</f>
        <v>0</v>
      </c>
      <c r="O173" s="7" t="str">
        <f>IF(ISNA(MATCH(164,'Transfer Engine'!$C$2:$C$1199,0)),"",INDEX('Compliance Database'!$O$2:$O$1199,MATCH(164,'Transfer Engine'!$C$2:$C$1199,0)))</f>
        <v>An APRA-regulated entity must have robust mechanisms in place to detect and respond to information security incidents in a timely manner.</v>
      </c>
      <c r="P173" s="6" t="str">
        <f>IF(ISNA(MATCH(164,'Transfer Engine'!$C$2:$C$1199,0)),"",HYPERLINK("#Acts!A"&amp;INDEX('Compliance Database'!$P$2:$P$1199,MATCH(164,'Transfer Engine'!$C$2:$C$1199,0)),"Go to Act"))</f>
        <v>Go to Act</v>
      </c>
    </row>
    <row r="174" spans="1:16" ht="172.95" customHeight="1" x14ac:dyDescent="0.3">
      <c r="A174" s="6" t="str">
        <f>IF(ISNA(MATCH(165,'Transfer Engine'!$C$2:$C$1199,0)),"",INDEX('Compliance Database'!$A$2:$A$1199,MATCH(165,'Transfer Engine'!$C$2:$C$1199,0)))</f>
        <v>Australia</v>
      </c>
      <c r="B174" s="6" t="str">
        <f>IF(ISNA(MATCH(165,'Transfer Engine'!$C$2:$C$1199,0)),"",INDEX('Compliance Database'!$B$2:$B$1199,MATCH(165,'Transfer Engine'!$C$2:$C$1199,0)))</f>
        <v>cps_234_july_2019_for_public_release (Australia - Row 6)</v>
      </c>
      <c r="C174" s="6" t="str">
        <f>IF(ISNA(MATCH(165,'Transfer Engine'!$C$2:$C$1199,0)),"",INDEX('Compliance Database'!$C$2:$C$1199,MATCH(165,'Transfer Engine'!$C$2:$C$1199,0)))</f>
        <v>24</v>
      </c>
      <c r="D174" s="7" t="str">
        <f>IF(ISNA(MATCH(165,'Transfer Engine'!$C$2:$C$1199,0)),"",INDEX('Compliance Database'!$D$2:$D$1199,MATCH(165,'Transfer Engine'!$C$2:$C$1199,0)))</f>
        <v>Information security incident response plans</v>
      </c>
      <c r="E174" s="6" t="str">
        <f>IF(ISNA(MATCH(165,'Transfer Engine'!$C$2:$C$1199,0)),"",INDEX('Compliance Database'!$E$2:$E$1199,MATCH(165,'Transfer Engine'!$C$2:$C$1199,0)))</f>
        <v>6</v>
      </c>
      <c r="F174" s="6" t="str">
        <f>IF(ISNA(MATCH(165,'Transfer Engine'!$C$2:$C$1199,0)),"",INDEX('Compliance Database'!$F$2:$F$1199,MATCH(165,'Transfer Engine'!$C$2:$C$1199,0)))</f>
        <v>High</v>
      </c>
      <c r="G174" s="6" t="str">
        <f>IF(ISNA(MATCH(165,'Transfer Engine'!$C$2:$C$1199,0)),"",INDEX('Compliance Database'!$G$2:$G$1199,MATCH(165,'Transfer Engine'!$C$2:$C$1199,0)))</f>
        <v>High (explicit)</v>
      </c>
      <c r="H174" s="7" t="str">
        <f>IF(ISNA(MATCH(165,'Transfer Engine'!$C$2:$C$1199,0)),"",INDEX('Compliance Database'!$H$2:$H$1199,MATCH(165,'Transfer Engine'!$C$2:$C$1199,0)))</f>
        <v>Security, Incident Reporting, Breach Notification</v>
      </c>
      <c r="I174" s="7" t="str">
        <f>IF(ISNA(MATCH(165,'Transfer Engine'!$C$2:$C$1199,0)),"",INDEX('Compliance Database'!$I$2:$I$1199,MATCH(165,'Transfer Engine'!$C$2:$C$1199,0)))</f>
        <v>Personal Information</v>
      </c>
      <c r="J174" s="6" t="str">
        <f>IF(ISNA(MATCH(165,'Transfer Engine'!$C$2:$C$1199,0)),"",INDEX('Compliance Database'!$J$2:$J$1199,MATCH(165,'Transfer Engine'!$C$2:$C$1199,0)))</f>
        <v>APRA</v>
      </c>
      <c r="K174" s="7" t="str">
        <f>IF(ISNA(MATCH(165,'Transfer Engine'!$C$2:$C$1199,0)),"",INDEX('Compliance Database'!$K$2:$K$1199,MATCH(165,'Transfer Engine'!$C$2:$C$1199,0)))</f>
        <v>APRA-regulated entities must maintain detailed response plans for information security incidents that could plausibly occur. These plans must address potential threats and ensure readiness to mitigate risks effectively.</v>
      </c>
      <c r="L174" s="7" t="str">
        <f>IF(ISNA(MATCH(165,'Transfer Engine'!$C$2:$C$1199,0)),"",INDEX('Compliance Database'!$L$2:$L$1199,MATCH(165,'Transfer Engine'!$C$2:$C$1199,0)))</f>
        <v>Requires proactive planning for potential incidents, essential for DTIA to evaluate preparedness in cross-border data environments.</v>
      </c>
      <c r="M174" s="7" t="str">
        <f>IF(ISNA(MATCH(165,'Transfer Engine'!$C$2:$C$1199,0)),"",INDEX('Compliance Database'!$M$2:$M$1199,MATCH(165,'Transfer Engine'!$C$2:$C$1199,0)))</f>
        <v>• [Must] APRA-regulated entity must maintain plans to respond to information security incidents that the entity considers could plausibly occur</v>
      </c>
      <c r="N174" s="7">
        <f>IF(ISNA(MATCH(165,'Transfer Engine'!$C$2:$C$1199,0)),"",INDEX('Compliance Database'!$N$2:$N$1199,MATCH(165,'Transfer Engine'!$C$2:$C$1199,0)))</f>
        <v>0</v>
      </c>
      <c r="O174" s="7" t="str">
        <f>IF(ISNA(MATCH(165,'Transfer Engine'!$C$2:$C$1199,0)),"",INDEX('Compliance Database'!$O$2:$O$1199,MATCH(165,'Transfer Engine'!$C$2:$C$1199,0)))</f>
        <v>An APRA-regulated entity must maintain plans to respond to information security incidents that the entity considers could plausibly occur (information security response plans).</v>
      </c>
      <c r="P174" s="6" t="str">
        <f>IF(ISNA(MATCH(165,'Transfer Engine'!$C$2:$C$1199,0)),"",HYPERLINK("#Acts!A"&amp;INDEX('Compliance Database'!$P$2:$P$1199,MATCH(165,'Transfer Engine'!$C$2:$C$1199,0)),"Go to Act"))</f>
        <v>Go to Act</v>
      </c>
    </row>
    <row r="175" spans="1:16" ht="172.95" customHeight="1" x14ac:dyDescent="0.3">
      <c r="A175" s="6" t="str">
        <f>IF(ISNA(MATCH(166,'Transfer Engine'!$C$2:$C$1199,0)),"",INDEX('Compliance Database'!$A$2:$A$1199,MATCH(166,'Transfer Engine'!$C$2:$C$1199,0)))</f>
        <v>Australia</v>
      </c>
      <c r="B175" s="6" t="str">
        <f>IF(ISNA(MATCH(166,'Transfer Engine'!$C$2:$C$1199,0)),"",INDEX('Compliance Database'!$B$2:$B$1199,MATCH(166,'Transfer Engine'!$C$2:$C$1199,0)))</f>
        <v>cps_234_july_2019_for_public_release (Australia - Row 6)</v>
      </c>
      <c r="C175" s="6" t="str">
        <f>IF(ISNA(MATCH(166,'Transfer Engine'!$C$2:$C$1199,0)),"",INDEX('Compliance Database'!$C$2:$C$1199,MATCH(166,'Transfer Engine'!$C$2:$C$1199,0)))</f>
        <v>25</v>
      </c>
      <c r="D175" s="7" t="str">
        <f>IF(ISNA(MATCH(166,'Transfer Engine'!$C$2:$C$1199,0)),"",INDEX('Compliance Database'!$D$2:$D$1199,MATCH(166,'Transfer Engine'!$C$2:$C$1199,0)))</f>
        <v>Incident response plan components</v>
      </c>
      <c r="E175" s="6" t="str">
        <f>IF(ISNA(MATCH(166,'Transfer Engine'!$C$2:$C$1199,0)),"",INDEX('Compliance Database'!$E$2:$E$1199,MATCH(166,'Transfer Engine'!$C$2:$C$1199,0)))</f>
        <v>6–7</v>
      </c>
      <c r="F175" s="6" t="str">
        <f>IF(ISNA(MATCH(166,'Transfer Engine'!$C$2:$C$1199,0)),"",INDEX('Compliance Database'!$F$2:$F$1199,MATCH(166,'Transfer Engine'!$C$2:$C$1199,0)))</f>
        <v>High</v>
      </c>
      <c r="G175" s="6" t="str">
        <f>IF(ISNA(MATCH(166,'Transfer Engine'!$C$2:$C$1199,0)),"",INDEX('Compliance Database'!$G$2:$G$1199,MATCH(166,'Transfer Engine'!$C$2:$C$1199,0)))</f>
        <v>High (explicit)</v>
      </c>
      <c r="H175" s="7" t="str">
        <f>IF(ISNA(MATCH(166,'Transfer Engine'!$C$2:$C$1199,0)),"",INDEX('Compliance Database'!$H$2:$H$1199,MATCH(166,'Transfer Engine'!$C$2:$C$1199,0)))</f>
        <v>Security, Incident Reporting, Breach Notification</v>
      </c>
      <c r="I175" s="7" t="str">
        <f>IF(ISNA(MATCH(166,'Transfer Engine'!$C$2:$C$1199,0)),"",INDEX('Compliance Database'!$I$2:$I$1199,MATCH(166,'Transfer Engine'!$C$2:$C$1199,0)))</f>
        <v>Personal Information</v>
      </c>
      <c r="J175" s="6" t="str">
        <f>IF(ISNA(MATCH(166,'Transfer Engine'!$C$2:$C$1199,0)),"",INDEX('Compliance Database'!$J$2:$J$1199,MATCH(166,'Transfer Engine'!$C$2:$C$1199,0)))</f>
        <v>APRA</v>
      </c>
      <c r="K175" s="7" t="str">
        <f>IF(ISNA(MATCH(166,'Transfer Engine'!$C$2:$C$1199,0)),"",INDEX('Compliance Database'!$K$2:$K$1199,MATCH(166,'Transfer Engine'!$C$2:$C$1199,0)))</f>
        <v>APRA-regulated entities' incident response plans must include mechanisms for managing incident stages from detection to post-incident review and for escalating incidents to appropriate oversight bodies. This ensures comprehensive incident handling and accountability.</v>
      </c>
      <c r="L175" s="7" t="str">
        <f>IF(ISNA(MATCH(166,'Transfer Engine'!$C$2:$C$1199,0)),"",INDEX('Compliance Database'!$L$2:$L$1199,MATCH(166,'Transfer Engine'!$C$2:$C$1199,0)))</f>
        <v>Specifies detailed incident management requirements, critical for DTIA to assess thoroughness in cross-border data incident handling.</v>
      </c>
      <c r="M175" s="7" t="str">
        <f>IF(ISNA(MATCH(166,'Transfer Engine'!$C$2:$C$1199,0)),"",INDEX('Compliance Database'!$M$2:$M$1199,MATCH(166,'Transfer Engine'!$C$2:$C$1199,0)))</f>
        <v>• [Must] APRA-regulated entity's information security response plans must include mechanisms for managing all relevant stages of an incident from detection to post-incident review</v>
      </c>
      <c r="N175" s="7" t="str">
        <f>IF(ISNA(MATCH(166,'Transfer Engine'!$C$2:$C$1199,0)),"",INDEX('Compliance Database'!$N$2:$N$1199,MATCH(166,'Transfer Engine'!$C$2:$C$1199,0)))</f>
        <v>• [Must] APRA-regulated entity's information security response plans must include mechanisms for escalation and reporting of information security incidents to the Board, other governing bodies and individuals responsible for information security incident management and oversight</v>
      </c>
      <c r="O175" s="7" t="str">
        <f>IF(ISNA(MATCH(166,'Transfer Engine'!$C$2:$C$1199,0)),"",INDEX('Compliance Database'!$O$2:$O$1199,MATCH(166,'Transfer Engine'!$C$2:$C$1199,0)))</f>
        <v>An APRA-regulated entity's information security response plans must include the mechanisms in place for: (a) managing all relevant stages of an incident, from detection to post-incident review; and (b) escalation and reporting of information security incidents to the Board, other governing bodies and individuals responsible for information security incident management and oversight, as appropriate.</v>
      </c>
      <c r="P175" s="6" t="str">
        <f>IF(ISNA(MATCH(166,'Transfer Engine'!$C$2:$C$1199,0)),"",HYPERLINK("#Acts!A"&amp;INDEX('Compliance Database'!$P$2:$P$1199,MATCH(166,'Transfer Engine'!$C$2:$C$1199,0)),"Go to Act"))</f>
        <v>Go to Act</v>
      </c>
    </row>
    <row r="176" spans="1:16" ht="172.95" customHeight="1" x14ac:dyDescent="0.3">
      <c r="A176" s="6" t="str">
        <f>IF(ISNA(MATCH(167,'Transfer Engine'!$C$2:$C$1199,0)),"",INDEX('Compliance Database'!$A$2:$A$1199,MATCH(167,'Transfer Engine'!$C$2:$C$1199,0)))</f>
        <v>Australia</v>
      </c>
      <c r="B176" s="6" t="str">
        <f>IF(ISNA(MATCH(167,'Transfer Engine'!$C$2:$C$1199,0)),"",INDEX('Compliance Database'!$B$2:$B$1199,MATCH(167,'Transfer Engine'!$C$2:$C$1199,0)))</f>
        <v>cps_234_july_2019_for_public_release (Australia - Row 6)</v>
      </c>
      <c r="C176" s="6" t="str">
        <f>IF(ISNA(MATCH(167,'Transfer Engine'!$C$2:$C$1199,0)),"",INDEX('Compliance Database'!$C$2:$C$1199,MATCH(167,'Transfer Engine'!$C$2:$C$1199,0)))</f>
        <v>26</v>
      </c>
      <c r="D176" s="7" t="str">
        <f>IF(ISNA(MATCH(167,'Transfer Engine'!$C$2:$C$1199,0)),"",INDEX('Compliance Database'!$D$2:$D$1199,MATCH(167,'Transfer Engine'!$C$2:$C$1199,0)))</f>
        <v>Annual review and testing of response plans</v>
      </c>
      <c r="E176" s="6" t="str">
        <f>IF(ISNA(MATCH(167,'Transfer Engine'!$C$2:$C$1199,0)),"",INDEX('Compliance Database'!$E$2:$E$1199,MATCH(167,'Transfer Engine'!$C$2:$C$1199,0)))</f>
        <v>7</v>
      </c>
      <c r="F176" s="6" t="str">
        <f>IF(ISNA(MATCH(167,'Transfer Engine'!$C$2:$C$1199,0)),"",INDEX('Compliance Database'!$F$2:$F$1199,MATCH(167,'Transfer Engine'!$C$2:$C$1199,0)))</f>
        <v>High</v>
      </c>
      <c r="G176" s="6" t="str">
        <f>IF(ISNA(MATCH(167,'Transfer Engine'!$C$2:$C$1199,0)),"",INDEX('Compliance Database'!$G$2:$G$1199,MATCH(167,'Transfer Engine'!$C$2:$C$1199,0)))</f>
        <v>High (explicit)</v>
      </c>
      <c r="H176" s="7" t="str">
        <f>IF(ISNA(MATCH(167,'Transfer Engine'!$C$2:$C$1199,0)),"",INDEX('Compliance Database'!$H$2:$H$1199,MATCH(167,'Transfer Engine'!$C$2:$C$1199,0)))</f>
        <v>Security, Incident Reporting, Breach Notification</v>
      </c>
      <c r="I176" s="7" t="str">
        <f>IF(ISNA(MATCH(167,'Transfer Engine'!$C$2:$C$1199,0)),"",INDEX('Compliance Database'!$I$2:$I$1199,MATCH(167,'Transfer Engine'!$C$2:$C$1199,0)))</f>
        <v>Personal Information</v>
      </c>
      <c r="J176" s="6" t="str">
        <f>IF(ISNA(MATCH(167,'Transfer Engine'!$C$2:$C$1199,0)),"",INDEX('Compliance Database'!$J$2:$J$1199,MATCH(167,'Transfer Engine'!$C$2:$C$1199,0)))</f>
        <v>APRA</v>
      </c>
      <c r="K176" s="7" t="str">
        <f>IF(ISNA(MATCH(167,'Transfer Engine'!$C$2:$C$1199,0)),"",INDEX('Compliance Database'!$K$2:$K$1199,MATCH(167,'Transfer Engine'!$C$2:$C$1199,0)))</f>
        <v>APRA-regulated entities must annually review and test their information security response plans to ensure they remain effective and fit for purpose. This ongoing validation maintains the relevance and reliability of incident response capabilities.</v>
      </c>
      <c r="L176" s="7" t="str">
        <f>IF(ISNA(MATCH(167,'Transfer Engine'!$C$2:$C$1199,0)),"",INDEX('Compliance Database'!$L$2:$L$1199,MATCH(167,'Transfer Engine'!$C$2:$C$1199,0)))</f>
        <v>Mandates annual testing of incident response plans, vital for DTIA to confirm ongoing effectiveness in cross-border data scenarios.</v>
      </c>
      <c r="M176" s="7" t="str">
        <f>IF(ISNA(MATCH(167,'Transfer Engine'!$C$2:$C$1199,0)),"",INDEX('Compliance Database'!$M$2:$M$1199,MATCH(167,'Transfer Engine'!$C$2:$C$1199,0)))</f>
        <v>• [Must] APRA-regulated entity must annually review and test its information security response plans to ensure they remain effective and fit-for-purpose</v>
      </c>
      <c r="N176" s="7">
        <f>IF(ISNA(MATCH(167,'Transfer Engine'!$C$2:$C$1199,0)),"",INDEX('Compliance Database'!$N$2:$N$1199,MATCH(167,'Transfer Engine'!$C$2:$C$1199,0)))</f>
        <v>0</v>
      </c>
      <c r="O176" s="7" t="str">
        <f>IF(ISNA(MATCH(167,'Transfer Engine'!$C$2:$C$1199,0)),"",INDEX('Compliance Database'!$O$2:$O$1199,MATCH(167,'Transfer Engine'!$C$2:$C$1199,0)))</f>
        <v>An APRA-regulated entity must annually review and test its information security response plans to ensure they remain effective and fit-for-purpose.</v>
      </c>
      <c r="P176" s="6" t="str">
        <f>IF(ISNA(MATCH(167,'Transfer Engine'!$C$2:$C$1199,0)),"",HYPERLINK("#Acts!A"&amp;INDEX('Compliance Database'!$P$2:$P$1199,MATCH(167,'Transfer Engine'!$C$2:$C$1199,0)),"Go to Act"))</f>
        <v>Go to Act</v>
      </c>
    </row>
    <row r="177" spans="1:16" ht="172.95" customHeight="1" x14ac:dyDescent="0.3">
      <c r="A177" s="6" t="str">
        <f>IF(ISNA(MATCH(168,'Transfer Engine'!$C$2:$C$1199,0)),"",INDEX('Compliance Database'!$A$2:$A$1199,MATCH(168,'Transfer Engine'!$C$2:$C$1199,0)))</f>
        <v>Australia</v>
      </c>
      <c r="B177" s="6" t="str">
        <f>IF(ISNA(MATCH(168,'Transfer Engine'!$C$2:$C$1199,0)),"",INDEX('Compliance Database'!$B$2:$B$1199,MATCH(168,'Transfer Engine'!$C$2:$C$1199,0)))</f>
        <v>cps_234_july_2019_for_public_release (Australia - Row 6)</v>
      </c>
      <c r="C177" s="6" t="str">
        <f>IF(ISNA(MATCH(168,'Transfer Engine'!$C$2:$C$1199,0)),"",INDEX('Compliance Database'!$C$2:$C$1199,MATCH(168,'Transfer Engine'!$C$2:$C$1199,0)))</f>
        <v>27</v>
      </c>
      <c r="D177" s="7" t="str">
        <f>IF(ISNA(MATCH(168,'Transfer Engine'!$C$2:$C$1199,0)),"",INDEX('Compliance Database'!$D$2:$D$1199,MATCH(168,'Transfer Engine'!$C$2:$C$1199,0)))</f>
        <v>Systematic testing of security controls</v>
      </c>
      <c r="E177" s="6" t="str">
        <f>IF(ISNA(MATCH(168,'Transfer Engine'!$C$2:$C$1199,0)),"",INDEX('Compliance Database'!$E$2:$E$1199,MATCH(168,'Transfer Engine'!$C$2:$C$1199,0)))</f>
        <v>7</v>
      </c>
      <c r="F177" s="6" t="str">
        <f>IF(ISNA(MATCH(168,'Transfer Engine'!$C$2:$C$1199,0)),"",INDEX('Compliance Database'!$F$2:$F$1199,MATCH(168,'Transfer Engine'!$C$2:$C$1199,0)))</f>
        <v>High</v>
      </c>
      <c r="G177" s="6" t="str">
        <f>IF(ISNA(MATCH(168,'Transfer Engine'!$C$2:$C$1199,0)),"",INDEX('Compliance Database'!$G$2:$G$1199,MATCH(168,'Transfer Engine'!$C$2:$C$1199,0)))</f>
        <v>High (explicit)</v>
      </c>
      <c r="H177" s="7" t="str">
        <f>IF(ISNA(MATCH(168,'Transfer Engine'!$C$2:$C$1199,0)),"",INDEX('Compliance Database'!$H$2:$H$1199,MATCH(168,'Transfer Engine'!$C$2:$C$1199,0)))</f>
        <v>Security</v>
      </c>
      <c r="I177" s="7" t="str">
        <f>IF(ISNA(MATCH(168,'Transfer Engine'!$C$2:$C$1199,0)),"",INDEX('Compliance Database'!$I$2:$I$1199,MATCH(168,'Transfer Engine'!$C$2:$C$1199,0)))</f>
        <v>Personal Information</v>
      </c>
      <c r="J177" s="6" t="str">
        <f>IF(ISNA(MATCH(168,'Transfer Engine'!$C$2:$C$1199,0)),"",INDEX('Compliance Database'!$J$2:$J$1199,MATCH(168,'Transfer Engine'!$C$2:$C$1199,0)))</f>
        <v>APRA</v>
      </c>
      <c r="K177" s="7" t="str">
        <f>IF(ISNA(MATCH(168,'Transfer Engine'!$C$2:$C$1199,0)),"",INDEX('Compliance Database'!$K$2:$K$1199,MATCH(168,'Transfer Engine'!$C$2:$C$1199,0)))</f>
        <v>APRA-regulated entities must conduct systematic testing of information security controls with frequency and scope commensurate to threat changes, asset criticality, incident consequences, policy enforcement risks, and asset changes. This ensures controls remain effective against evolving threats.</v>
      </c>
      <c r="L177" s="7" t="str">
        <f>IF(ISNA(MATCH(168,'Transfer Engine'!$C$2:$C$1199,0)),"",INDEX('Compliance Database'!$L$2:$L$1199,MATCH(168,'Transfer Engine'!$C$2:$C$1199,0)))</f>
        <v>Requires tailored testing of security controls, critical for DTIA to assess adequacy of cross-border data protection mechanisms.</v>
      </c>
      <c r="M177" s="7" t="str">
        <f>IF(ISNA(MATCH(168,'Transfer Engine'!$C$2:$C$1199,0)),"",INDEX('Compliance Database'!$M$2:$M$1199,MATCH(168,'Transfer Engine'!$C$2:$C$1199,0)))</f>
        <v>• [Must] APRA-regulated entity must test effectiveness of information security controls through systematic testing program
• [Must] Nature and frequency of systematic testing must be commensurate with rate of change in vulnerabilities and threats
• [Must] Nature and frequency of systematic testing must be commensurate with criticality and sensitivity of information asset</v>
      </c>
      <c r="N177" s="7" t="str">
        <f>IF(ISNA(MATCH(168,'Transfer Engine'!$C$2:$C$1199,0)),"",INDEX('Compliance Database'!$N$2:$N$1199,MATCH(168,'Transfer Engine'!$C$2:$C$1199,0)))</f>
        <v>• [Must] Nature and frequency of systematic testing must be commensurate with consequences of information security incident
• [Must] Nature and frequency of systematic testing must be commensurate with risks associated with exposure to environments where APRA-regulated entity cannot enforce information security policies
• [Must] Nature and frequency of systematic testing must be commensurate with materiality and frequency of change to information assets</v>
      </c>
      <c r="O177" s="7" t="str">
        <f>IF(ISNA(MATCH(168,'Transfer Engine'!$C$2:$C$1199,0)),"",INDEX('Compliance Database'!$O$2:$O$1199,MATCH(168,'Transfer Engine'!$C$2:$C$1199,0)))</f>
        <v>An APRA-regulated entity must test the effectiveness of its information security controls through a systematic testing program. The nature and frequency of the systematic testing must be commensurate with: (a) the rate at which the vulnerabilities and threats change; (b) the criticality and sensitivity of the information asset; (c) the consequences of an information security incident; (d) the risks associated with exposure to environments where the APRA-regulated entity is unable to enforce its information security policies; and (e) the materiality and frequency of change to information assets.</v>
      </c>
      <c r="P177" s="6" t="str">
        <f>IF(ISNA(MATCH(168,'Transfer Engine'!$C$2:$C$1199,0)),"",HYPERLINK("#Acts!A"&amp;INDEX('Compliance Database'!$P$2:$P$1199,MATCH(168,'Transfer Engine'!$C$2:$C$1199,0)),"Go to Act"))</f>
        <v>Go to Act</v>
      </c>
    </row>
    <row r="178" spans="1:16" ht="172.95" customHeight="1" x14ac:dyDescent="0.3">
      <c r="A178" s="6" t="str">
        <f>IF(ISNA(MATCH(169,'Transfer Engine'!$C$2:$C$1199,0)),"",INDEX('Compliance Database'!$A$2:$A$1199,MATCH(169,'Transfer Engine'!$C$2:$C$1199,0)))</f>
        <v>Australia</v>
      </c>
      <c r="B178" s="6" t="str">
        <f>IF(ISNA(MATCH(169,'Transfer Engine'!$C$2:$C$1199,0)),"",INDEX('Compliance Database'!$B$2:$B$1199,MATCH(169,'Transfer Engine'!$C$2:$C$1199,0)))</f>
        <v>cps_234_july_2019_for_public_release (Australia - Row 6)</v>
      </c>
      <c r="C178" s="6" t="str">
        <f>IF(ISNA(MATCH(169,'Transfer Engine'!$C$2:$C$1199,0)),"",INDEX('Compliance Database'!$C$2:$C$1199,MATCH(169,'Transfer Engine'!$C$2:$C$1199,0)))</f>
        <v>28</v>
      </c>
      <c r="D178" s="7" t="str">
        <f>IF(ISNA(MATCH(169,'Transfer Engine'!$C$2:$C$1199,0)),"",INDEX('Compliance Database'!$D$2:$D$1199,MATCH(169,'Transfer Engine'!$C$2:$C$1199,0)))</f>
        <v>Information security testing adequacy for related parties</v>
      </c>
      <c r="E178" s="6" t="str">
        <f>IF(ISNA(MATCH(169,'Transfer Engine'!$C$2:$C$1199,0)),"",INDEX('Compliance Database'!$E$2:$E$1199,MATCH(169,'Transfer Engine'!$C$2:$C$1199,0)))</f>
        <v>7</v>
      </c>
      <c r="F178" s="6" t="str">
        <f>IF(ISNA(MATCH(169,'Transfer Engine'!$C$2:$C$1199,0)),"",INDEX('Compliance Database'!$F$2:$F$1199,MATCH(169,'Transfer Engine'!$C$2:$C$1199,0)))</f>
        <v>High</v>
      </c>
      <c r="G178" s="6" t="str">
        <f>IF(ISNA(MATCH(169,'Transfer Engine'!$C$2:$C$1199,0)),"",INDEX('Compliance Database'!$G$2:$G$1199,MATCH(169,'Transfer Engine'!$C$2:$C$1199,0)))</f>
        <v>High (explicit)</v>
      </c>
      <c r="H178" s="7" t="str">
        <f>IF(ISNA(MATCH(169,'Transfer Engine'!$C$2:$C$1199,0)),"",INDEX('Compliance Database'!$H$2:$H$1199,MATCH(169,'Transfer Engine'!$C$2:$C$1199,0)))</f>
        <v>Security</v>
      </c>
      <c r="I178" s="7" t="str">
        <f>IF(ISNA(MATCH(169,'Transfer Engine'!$C$2:$C$1199,0)),"",INDEX('Compliance Database'!$I$2:$I$1199,MATCH(169,'Transfer Engine'!$C$2:$C$1199,0)))</f>
        <v>Personal Information</v>
      </c>
      <c r="J178" s="6" t="str">
        <f>IF(ISNA(MATCH(169,'Transfer Engine'!$C$2:$C$1199,0)),"",INDEX('Compliance Database'!$J$2:$J$1199,MATCH(169,'Transfer Engine'!$C$2:$C$1199,0)))</f>
        <v>APRA</v>
      </c>
      <c r="K178" s="7" t="str">
        <f>IF(ISNA(MATCH(169,'Transfer Engine'!$C$2:$C$1199,0)),"",INDEX('Compliance Database'!$K$2:$K$1199,MATCH(169,'Transfer Engine'!$C$2:$C$1199,0)))</f>
        <v>APRA-regulated entities must assess whether the frequency and nature of information security control testing by related parties or third parties aligns with specified prudential standards. This assessment is required when the entity relies on those parties' testing for security controls. The assessment ensures controls meet minimum standards for information assets managed externally.</v>
      </c>
      <c r="L178" s="7" t="str">
        <f>IF(ISNA(MATCH(169,'Transfer Engine'!$C$2:$C$1199,0)),"",INDEX('Compliance Database'!$L$2:$L$1199,MATCH(169,'Transfer Engine'!$C$2:$C$1199,0)))</f>
        <v>Requires entities to verify that external parties' security testing meets baseline standards before relying on their controls, impacting cross-border data transfers involving third parties.</v>
      </c>
      <c r="M178" s="7" t="str">
        <f>IF(ISNA(MATCH(169,'Transfer Engine'!$C$2:$C$1199,0)),"",INDEX('Compliance Database'!$M$2:$M$1199,MATCH(169,'Transfer Engine'!$C$2:$C$1199,0)))</f>
        <v>• [Must] APRA-regulated entity must assess whether the nature and frequency of testing of controls in respect of information assets is commensurate with paragraphs 27(a) to 27(e) of this Prudential Standard</v>
      </c>
      <c r="N178" s="7">
        <f>IF(ISNA(MATCH(169,'Transfer Engine'!$C$2:$C$1199,0)),"",INDEX('Compliance Database'!$N$2:$N$1199,MATCH(169,'Transfer Engine'!$C$2:$C$1199,0)))</f>
        <v>0</v>
      </c>
      <c r="O178" s="7" t="str">
        <f>IF(ISNA(MATCH(169,'Transfer Engine'!$C$2:$C$1199,0)),"",INDEX('Compliance Database'!$O$2:$O$1199,MATCH(169,'Transfer Engine'!$C$2:$C$1199,0)))</f>
        <v>Where an APRA-regulated entity's information assets are managed by a related party or a third party, and the APRA-regulated entity is reliant on that party's information security control testing, the APRA-regulated entity must assess whether the nature and frequency of testing of controls in respect of those information assets is commensurate with paragraphs 27(a) to 27(e) of this Prudential Standard.</v>
      </c>
      <c r="P178" s="6" t="str">
        <f>IF(ISNA(MATCH(169,'Transfer Engine'!$C$2:$C$1199,0)),"",HYPERLINK("#Acts!A"&amp;INDEX('Compliance Database'!$P$2:$P$1199,MATCH(169,'Transfer Engine'!$C$2:$C$1199,0)),"Go to Act"))</f>
        <v>Go to Act</v>
      </c>
    </row>
    <row r="179" spans="1:16" ht="172.95" customHeight="1" x14ac:dyDescent="0.3">
      <c r="A179" s="6" t="str">
        <f>IF(ISNA(MATCH(170,'Transfer Engine'!$C$2:$C$1199,0)),"",INDEX('Compliance Database'!$A$2:$A$1199,MATCH(170,'Transfer Engine'!$C$2:$C$1199,0)))</f>
        <v>Australia</v>
      </c>
      <c r="B179" s="6" t="str">
        <f>IF(ISNA(MATCH(170,'Transfer Engine'!$C$2:$C$1199,0)),"",INDEX('Compliance Database'!$B$2:$B$1199,MATCH(170,'Transfer Engine'!$C$2:$C$1199,0)))</f>
        <v>cps_234_july_2019_for_public_release (Australia - Row 6)</v>
      </c>
      <c r="C179" s="6" t="str">
        <f>IF(ISNA(MATCH(170,'Transfer Engine'!$C$2:$C$1199,0)),"",INDEX('Compliance Database'!$C$2:$C$1199,MATCH(170,'Transfer Engine'!$C$2:$C$1199,0)))</f>
        <v>29</v>
      </c>
      <c r="D179" s="7" t="str">
        <f>IF(ISNA(MATCH(170,'Transfer Engine'!$C$2:$C$1199,0)),"",INDEX('Compliance Database'!$D$2:$D$1199,MATCH(170,'Transfer Engine'!$C$2:$C$1199,0)))</f>
        <v>Escalation of critical security control deficiencies</v>
      </c>
      <c r="E179" s="6" t="str">
        <f>IF(ISNA(MATCH(170,'Transfer Engine'!$C$2:$C$1199,0)),"",INDEX('Compliance Database'!$E$2:$E$1199,MATCH(170,'Transfer Engine'!$C$2:$C$1199,0)))</f>
        <v>7</v>
      </c>
      <c r="F179" s="6" t="str">
        <f>IF(ISNA(MATCH(170,'Transfer Engine'!$C$2:$C$1199,0)),"",INDEX('Compliance Database'!$F$2:$F$1199,MATCH(170,'Transfer Engine'!$C$2:$C$1199,0)))</f>
        <v>High</v>
      </c>
      <c r="G179" s="6" t="str">
        <f>IF(ISNA(MATCH(170,'Transfer Engine'!$C$2:$C$1199,0)),"",INDEX('Compliance Database'!$G$2:$G$1199,MATCH(170,'Transfer Engine'!$C$2:$C$1199,0)))</f>
        <v>High (explicit)</v>
      </c>
      <c r="H179" s="7" t="str">
        <f>IF(ISNA(MATCH(170,'Transfer Engine'!$C$2:$C$1199,0)),"",INDEX('Compliance Database'!$H$2:$H$1199,MATCH(170,'Transfer Engine'!$C$2:$C$1199,0)))</f>
        <v>Security, Incident Reporting</v>
      </c>
      <c r="I179" s="7" t="str">
        <f>IF(ISNA(MATCH(170,'Transfer Engine'!$C$2:$C$1199,0)),"",INDEX('Compliance Database'!$I$2:$I$1199,MATCH(170,'Transfer Engine'!$C$2:$C$1199,0)))</f>
        <v>Personal Information</v>
      </c>
      <c r="J179" s="6" t="str">
        <f>IF(ISNA(MATCH(170,'Transfer Engine'!$C$2:$C$1199,0)),"",INDEX('Compliance Database'!$J$2:$J$1199,MATCH(170,'Transfer Engine'!$C$2:$C$1199,0)))</f>
        <v>APRA</v>
      </c>
      <c r="K179" s="7" t="str">
        <f>IF(ISNA(MATCH(170,'Transfer Engine'!$C$2:$C$1199,0)),"",INDEX('Compliance Database'!$K$2:$K$1199,MATCH(170,'Transfer Engine'!$C$2:$C$1199,0)))</f>
        <v>APRA-regulated entities must escalate and report to their Board or senior management any information security control deficiencies that cannot be fixed promptly. This requirement applies to deficiencies identified through testing that pose significant risks to the entity or its customers. The escalation ensures timely resolution of critical security issues.</v>
      </c>
      <c r="L179" s="7" t="str">
        <f>IF(ISNA(MATCH(170,'Transfer Engine'!$C$2:$C$1199,0)),"",INDEX('Compliance Database'!$L$2:$L$1199,MATCH(170,'Transfer Engine'!$C$2:$C$1199,0)))</f>
        <v>Mandates reporting of unremediable security control gaps to leadership, critical for assessing risks in data transfers involving third parties.</v>
      </c>
      <c r="M179" s="7" t="str">
        <f>IF(ISNA(MATCH(170,'Transfer Engine'!$C$2:$C$1199,0)),"",INDEX('Compliance Database'!$M$2:$M$1199,MATCH(170,'Transfer Engine'!$C$2:$C$1199,0)))</f>
        <v>• [Must] APRA-regulated entity must escalate and report to the Board or senior management any testing results that identify information security control deficiencies that cannot be remediated in a timely manner</v>
      </c>
      <c r="N179" s="7">
        <f>IF(ISNA(MATCH(170,'Transfer Engine'!$C$2:$C$1199,0)),"",INDEX('Compliance Database'!$N$2:$N$1199,MATCH(170,'Transfer Engine'!$C$2:$C$1199,0)))</f>
        <v>0</v>
      </c>
      <c r="O179" s="7" t="str">
        <f>IF(ISNA(MATCH(170,'Transfer Engine'!$C$2:$C$1199,0)),"",INDEX('Compliance Database'!$O$2:$O$1199,MATCH(170,'Transfer Engine'!$C$2:$C$1199,0)))</f>
        <v>An APRA-regulated entity must escalate and report to the Board or senior management any testing results that identify information security control deficiencies that cannot be remediated in a timely manner.</v>
      </c>
      <c r="P179" s="6" t="str">
        <f>IF(ISNA(MATCH(170,'Transfer Engine'!$C$2:$C$1199,0)),"",HYPERLINK("#Acts!A"&amp;INDEX('Compliance Database'!$P$2:$P$1199,MATCH(170,'Transfer Engine'!$C$2:$C$1199,0)),"Go to Act"))</f>
        <v>Go to Act</v>
      </c>
    </row>
    <row r="180" spans="1:16" ht="172.95" customHeight="1" x14ac:dyDescent="0.3">
      <c r="A180" s="6" t="str">
        <f>IF(ISNA(MATCH(171,'Transfer Engine'!$C$2:$C$1199,0)),"",INDEX('Compliance Database'!$A$2:$A$1199,MATCH(171,'Transfer Engine'!$C$2:$C$1199,0)))</f>
        <v>Australia</v>
      </c>
      <c r="B180" s="6" t="str">
        <f>IF(ISNA(MATCH(171,'Transfer Engine'!$C$2:$C$1199,0)),"",INDEX('Compliance Database'!$B$2:$B$1199,MATCH(171,'Transfer Engine'!$C$2:$C$1199,0)))</f>
        <v>cps_234_july_2019_for_public_release (Australia - Row 6)</v>
      </c>
      <c r="C180" s="6" t="str">
        <f>IF(ISNA(MATCH(171,'Transfer Engine'!$C$2:$C$1199,0)),"",INDEX('Compliance Database'!$C$2:$C$1199,MATCH(171,'Transfer Engine'!$C$2:$C$1199,0)))</f>
        <v>31</v>
      </c>
      <c r="D180" s="7" t="str">
        <f>IF(ISNA(MATCH(171,'Transfer Engine'!$C$2:$C$1199,0)),"",INDEX('Compliance Database'!$D$2:$D$1199,MATCH(171,'Transfer Engine'!$C$2:$C$1199,0)))</f>
        <v>Annual review of information security testing program</v>
      </c>
      <c r="E180" s="6" t="str">
        <f>IF(ISNA(MATCH(171,'Transfer Engine'!$C$2:$C$1199,0)),"",INDEX('Compliance Database'!$E$2:$E$1199,MATCH(171,'Transfer Engine'!$C$2:$C$1199,0)))</f>
        <v>7</v>
      </c>
      <c r="F180" s="6" t="str">
        <f>IF(ISNA(MATCH(171,'Transfer Engine'!$C$2:$C$1199,0)),"",INDEX('Compliance Database'!$F$2:$F$1199,MATCH(171,'Transfer Engine'!$C$2:$C$1199,0)))</f>
        <v>High</v>
      </c>
      <c r="G180" s="6" t="str">
        <f>IF(ISNA(MATCH(171,'Transfer Engine'!$C$2:$C$1199,0)),"",INDEX('Compliance Database'!$G$2:$G$1199,MATCH(171,'Transfer Engine'!$C$2:$C$1199,0)))</f>
        <v>High (explicit)</v>
      </c>
      <c r="H180" s="7" t="str">
        <f>IF(ISNA(MATCH(171,'Transfer Engine'!$C$2:$C$1199,0)),"",INDEX('Compliance Database'!$H$2:$H$1199,MATCH(171,'Transfer Engine'!$C$2:$C$1199,0)))</f>
        <v>Security</v>
      </c>
      <c r="I180" s="7" t="str">
        <f>IF(ISNA(MATCH(171,'Transfer Engine'!$C$2:$C$1199,0)),"",INDEX('Compliance Database'!$I$2:$I$1199,MATCH(171,'Transfer Engine'!$C$2:$C$1199,0)))</f>
        <v>Personal Information</v>
      </c>
      <c r="J180" s="6" t="str">
        <f>IF(ISNA(MATCH(171,'Transfer Engine'!$C$2:$C$1199,0)),"",INDEX('Compliance Database'!$J$2:$J$1199,MATCH(171,'Transfer Engine'!$C$2:$C$1199,0)))</f>
        <v>APRA</v>
      </c>
      <c r="K180" s="7" t="str">
        <f>IF(ISNA(MATCH(171,'Transfer Engine'!$C$2:$C$1199,0)),"",INDEX('Compliance Database'!$K$2:$K$1199,MATCH(171,'Transfer Engine'!$C$2:$C$1199,0)))</f>
        <v>APRA-regulated entities must review the sufficiency of their information security testing program at least annually or whenever there are significant changes to information assets or the business environment. This review ensures the testing program remains aligned with evolving risks and operational needs, particularly for data transfers involving third parties.</v>
      </c>
      <c r="L180" s="7" t="str">
        <f>IF(ISNA(MATCH(171,'Transfer Engine'!$C$2:$C$1199,0)),"",INDEX('Compliance Database'!$L$2:$L$1199,MATCH(171,'Transfer Engine'!$C$2:$C$1199,0)))</f>
        <v>Requires periodic review of security testing adequacy, critical for maintaining robust data transfer safeguards with external parties.</v>
      </c>
      <c r="M180" s="7" t="str">
        <f>IF(ISNA(MATCH(171,'Transfer Engine'!$C$2:$C$1199,0)),"",INDEX('Compliance Database'!$M$2:$M$1199,MATCH(171,'Transfer Engine'!$C$2:$C$1199,0)))</f>
        <v>• [Must] APRA-regulated entity must review the sufficiency of the testing program at least annually or when there is a material change to information assets or the business environment</v>
      </c>
      <c r="N180" s="7">
        <f>IF(ISNA(MATCH(171,'Transfer Engine'!$C$2:$C$1199,0)),"",INDEX('Compliance Database'!$N$2:$N$1199,MATCH(171,'Transfer Engine'!$C$2:$C$1199,0)))</f>
        <v>0</v>
      </c>
      <c r="O180" s="7" t="str">
        <f>IF(ISNA(MATCH(171,'Transfer Engine'!$C$2:$C$1199,0)),"",INDEX('Compliance Database'!$O$2:$O$1199,MATCH(171,'Transfer Engine'!$C$2:$C$1199,0)))</f>
        <v>An APRA-regulated entity must review the sufficiency of the testing program at least annually or when there is a material change to information assets or the business environment.</v>
      </c>
      <c r="P180" s="6" t="str">
        <f>IF(ISNA(MATCH(171,'Transfer Engine'!$C$2:$C$1199,0)),"",HYPERLINK("#Acts!A"&amp;INDEX('Compliance Database'!$P$2:$P$1199,MATCH(171,'Transfer Engine'!$C$2:$C$1199,0)),"Go to Act"))</f>
        <v>Go to Act</v>
      </c>
    </row>
    <row r="181" spans="1:16" ht="172.95" customHeight="1" x14ac:dyDescent="0.3">
      <c r="A181" s="6" t="str">
        <f>IF(ISNA(MATCH(172,'Transfer Engine'!$C$2:$C$1199,0)),"",INDEX('Compliance Database'!$A$2:$A$1199,MATCH(172,'Transfer Engine'!$C$2:$C$1199,0)))</f>
        <v>Australia</v>
      </c>
      <c r="B181" s="6" t="str">
        <f>IF(ISNA(MATCH(172,'Transfer Engine'!$C$2:$C$1199,0)),"",INDEX('Compliance Database'!$B$2:$B$1199,MATCH(172,'Transfer Engine'!$C$2:$C$1199,0)))</f>
        <v>cps_234_july_2019_for_public_release (Australia - Row 6)</v>
      </c>
      <c r="C181" s="6" t="str">
        <f>IF(ISNA(MATCH(172,'Transfer Engine'!$C$2:$C$1199,0)),"",INDEX('Compliance Database'!$C$2:$C$1199,MATCH(172,'Transfer Engine'!$C$2:$C$1199,0)))</f>
        <v>32</v>
      </c>
      <c r="D181" s="7" t="str">
        <f>IF(ISNA(MATCH(172,'Transfer Engine'!$C$2:$C$1199,0)),"",INDEX('Compliance Database'!$D$2:$D$1199,MATCH(172,'Transfer Engine'!$C$2:$C$1199,0)))</f>
        <v>Internal audit review of third-party security controls</v>
      </c>
      <c r="E181" s="6" t="str">
        <f>IF(ISNA(MATCH(172,'Transfer Engine'!$C$2:$C$1199,0)),"",INDEX('Compliance Database'!$E$2:$E$1199,MATCH(172,'Transfer Engine'!$C$2:$C$1199,0)))</f>
        <v>7–8</v>
      </c>
      <c r="F181" s="6" t="str">
        <f>IF(ISNA(MATCH(172,'Transfer Engine'!$C$2:$C$1199,0)),"",INDEX('Compliance Database'!$F$2:$F$1199,MATCH(172,'Transfer Engine'!$C$2:$C$1199,0)))</f>
        <v>High</v>
      </c>
      <c r="G181" s="6" t="str">
        <f>IF(ISNA(MATCH(172,'Transfer Engine'!$C$2:$C$1199,0)),"",INDEX('Compliance Database'!$G$2:$G$1199,MATCH(172,'Transfer Engine'!$C$2:$C$1199,0)))</f>
        <v>High (explicit)</v>
      </c>
      <c r="H181" s="7" t="str">
        <f>IF(ISNA(MATCH(172,'Transfer Engine'!$C$2:$C$1199,0)),"",INDEX('Compliance Database'!$H$2:$H$1199,MATCH(172,'Transfer Engine'!$C$2:$C$1199,0)))</f>
        <v>Security</v>
      </c>
      <c r="I181" s="7" t="str">
        <f>IF(ISNA(MATCH(172,'Transfer Engine'!$C$2:$C$1199,0)),"",INDEX('Compliance Database'!$I$2:$I$1199,MATCH(172,'Transfer Engine'!$C$2:$C$1199,0)))</f>
        <v>Personal Information</v>
      </c>
      <c r="J181" s="6" t="str">
        <f>IF(ISNA(MATCH(172,'Transfer Engine'!$C$2:$C$1199,0)),"",INDEX('Compliance Database'!$J$2:$J$1199,MATCH(172,'Transfer Engine'!$C$2:$C$1199,0)))</f>
        <v>APRA</v>
      </c>
      <c r="K181" s="7" t="str">
        <f>IF(ISNA(MATCH(172,'Transfer Engine'!$C$2:$C$1199,0)),"",INDEX('Compliance Database'!$K$2:$K$1199,MATCH(172,'Transfer Engine'!$C$2:$C$1199,0)))</f>
        <v>Internal audit activities must include reviewing the design and operating effectiveness of information security controls maintained by related parties and third parties. This ensures that external parties' security controls provide adequate assurance before being relied upon by the entity, particularly for critical information assets.</v>
      </c>
      <c r="L181" s="7" t="str">
        <f>IF(ISNA(MATCH(172,'Transfer Engine'!$C$2:$C$1199,0)),"",INDEX('Compliance Database'!$L$2:$L$1199,MATCH(172,'Transfer Engine'!$C$2:$C$1199,0)))</f>
        <v>Requires internal audits to validate third-party security controls, essential for assessing data transfer risks with external entities.</v>
      </c>
      <c r="M181" s="7" t="str">
        <f>IF(ISNA(MATCH(172,'Transfer Engine'!$C$2:$C$1199,0)),"",INDEX('Compliance Database'!$M$2:$M$1199,MATCH(172,'Transfer Engine'!$C$2:$C$1199,0)))</f>
        <v>• [Must] APRA-regulated entity's internal audit activities must include a review of the design and operating effectiveness of information security controls, including those maintained by related parties and third parties (information security control assurance)</v>
      </c>
      <c r="N181" s="7">
        <f>IF(ISNA(MATCH(172,'Transfer Engine'!$C$2:$C$1199,0)),"",INDEX('Compliance Database'!$N$2:$N$1199,MATCH(172,'Transfer Engine'!$C$2:$C$1199,0)))</f>
        <v>0</v>
      </c>
      <c r="O181" s="7" t="str">
        <f>IF(ISNA(MATCH(172,'Transfer Engine'!$C$2:$C$1199,0)),"",INDEX('Compliance Database'!$O$2:$O$1199,MATCH(172,'Transfer Engine'!$C$2:$C$1199,0)))</f>
        <v>An APRA-regulated entity's internal audit activities must include a review of the design and operating effectiveness of information security controls, including those maintained by related parties and third parties (information security control assurance).</v>
      </c>
      <c r="P181" s="6" t="str">
        <f>IF(ISNA(MATCH(172,'Transfer Engine'!$C$2:$C$1199,0)),"",HYPERLINK("#Acts!A"&amp;INDEX('Compliance Database'!$P$2:$P$1199,MATCH(172,'Transfer Engine'!$C$2:$C$1199,0)),"Go to Act"))</f>
        <v>Go to Act</v>
      </c>
    </row>
    <row r="182" spans="1:16" ht="172.95" customHeight="1" x14ac:dyDescent="0.3">
      <c r="A182" s="6" t="str">
        <f>IF(ISNA(MATCH(173,'Transfer Engine'!$C$2:$C$1199,0)),"",INDEX('Compliance Database'!$A$2:$A$1199,MATCH(173,'Transfer Engine'!$C$2:$C$1199,0)))</f>
        <v>Australia</v>
      </c>
      <c r="B182" s="6" t="str">
        <f>IF(ISNA(MATCH(173,'Transfer Engine'!$C$2:$C$1199,0)),"",INDEX('Compliance Database'!$B$2:$B$1199,MATCH(173,'Transfer Engine'!$C$2:$C$1199,0)))</f>
        <v>cps_234_july_2019_for_public_release (Australia - Row 6)</v>
      </c>
      <c r="C182" s="6" t="str">
        <f>IF(ISNA(MATCH(173,'Transfer Engine'!$C$2:$C$1199,0)),"",INDEX('Compliance Database'!$C$2:$C$1199,MATCH(173,'Transfer Engine'!$C$2:$C$1199,0)))</f>
        <v>33</v>
      </c>
      <c r="D182" s="7" t="str">
        <f>IF(ISNA(MATCH(173,'Transfer Engine'!$C$2:$C$1199,0)),"",INDEX('Compliance Database'!$D$2:$D$1199,MATCH(173,'Transfer Engine'!$C$2:$C$1199,0)))</f>
        <v>Skilled personnel for information security assurance</v>
      </c>
      <c r="E182" s="6" t="str">
        <f>IF(ISNA(MATCH(173,'Transfer Engine'!$C$2:$C$1199,0)),"",INDEX('Compliance Database'!$E$2:$E$1199,MATCH(173,'Transfer Engine'!$C$2:$C$1199,0)))</f>
        <v>8</v>
      </c>
      <c r="F182" s="6" t="str">
        <f>IF(ISNA(MATCH(173,'Transfer Engine'!$C$2:$C$1199,0)),"",INDEX('Compliance Database'!$F$2:$F$1199,MATCH(173,'Transfer Engine'!$C$2:$C$1199,0)))</f>
        <v>High</v>
      </c>
      <c r="G182" s="6" t="str">
        <f>IF(ISNA(MATCH(173,'Transfer Engine'!$C$2:$C$1199,0)),"",INDEX('Compliance Database'!$G$2:$G$1199,MATCH(173,'Transfer Engine'!$C$2:$C$1199,0)))</f>
        <v>High (explicit)</v>
      </c>
      <c r="H182" s="7" t="str">
        <f>IF(ISNA(MATCH(173,'Transfer Engine'!$C$2:$C$1199,0)),"",INDEX('Compliance Database'!$H$2:$H$1199,MATCH(173,'Transfer Engine'!$C$2:$C$1199,0)))</f>
        <v>Security</v>
      </c>
      <c r="I182" s="7" t="str">
        <f>IF(ISNA(MATCH(173,'Transfer Engine'!$C$2:$C$1199,0)),"",INDEX('Compliance Database'!$I$2:$I$1199,MATCH(173,'Transfer Engine'!$C$2:$C$1199,0)))</f>
        <v>Personal Information</v>
      </c>
      <c r="J182" s="6" t="str">
        <f>IF(ISNA(MATCH(173,'Transfer Engine'!$C$2:$C$1199,0)),"",INDEX('Compliance Database'!$J$2:$J$1199,MATCH(173,'Transfer Engine'!$C$2:$C$1199,0)))</f>
        <v>APRA</v>
      </c>
      <c r="K182" s="7" t="str">
        <f>IF(ISNA(MATCH(173,'Transfer Engine'!$C$2:$C$1199,0)),"",INDEX('Compliance Database'!$K$2:$K$1199,MATCH(173,'Transfer Engine'!$C$2:$C$1199,0)))</f>
        <v>APRA-regulated entities must ensure that personnel providing information security control assurance are appropriately skilled. This requirement ensures that external parties' security assessments are conducted by qualified individuals, reducing risks associated with inadequate security evaluations.</v>
      </c>
      <c r="L182" s="7" t="str">
        <f>IF(ISNA(MATCH(173,'Transfer Engine'!$C$2:$C$1199,0)),"",INDEX('Compliance Database'!$L$2:$L$1199,MATCH(173,'Transfer Engine'!$C$2:$C$1199,0)))</f>
        <v>Mandates skilled personnel for third-party security assurance, critical for validating data transfer security.</v>
      </c>
      <c r="M182" s="7" t="str">
        <f>IF(ISNA(MATCH(173,'Transfer Engine'!$C$2:$C$1199,0)),"",INDEX('Compliance Database'!$M$2:$M$1199,MATCH(173,'Transfer Engine'!$C$2:$C$1199,0)))</f>
        <v>• [Must] APRA-regulated entity must ensure that the information security control assurance is provided by personnel appropriately skilled in providing such assurance</v>
      </c>
      <c r="N182" s="7">
        <f>IF(ISNA(MATCH(173,'Transfer Engine'!$C$2:$C$1199,0)),"",INDEX('Compliance Database'!$N$2:$N$1199,MATCH(173,'Transfer Engine'!$C$2:$C$1199,0)))</f>
        <v>0</v>
      </c>
      <c r="O182" s="7" t="str">
        <f>IF(ISNA(MATCH(173,'Transfer Engine'!$C$2:$C$1199,0)),"",INDEX('Compliance Database'!$O$2:$O$1199,MATCH(173,'Transfer Engine'!$C$2:$C$1199,0)))</f>
        <v>An APRA-regulated entity must ensure that the information security control assurance is provided by personnel appropriately skilled in providing such assurance.</v>
      </c>
      <c r="P182" s="6" t="str">
        <f>IF(ISNA(MATCH(173,'Transfer Engine'!$C$2:$C$1199,0)),"",HYPERLINK("#Acts!A"&amp;INDEX('Compliance Database'!$P$2:$P$1199,MATCH(173,'Transfer Engine'!$C$2:$C$1199,0)),"Go to Act"))</f>
        <v>Go to Act</v>
      </c>
    </row>
    <row r="183" spans="1:16" ht="172.95" customHeight="1" x14ac:dyDescent="0.3">
      <c r="A183" s="6" t="str">
        <f>IF(ISNA(MATCH(174,'Transfer Engine'!$C$2:$C$1199,0)),"",INDEX('Compliance Database'!$A$2:$A$1199,MATCH(174,'Transfer Engine'!$C$2:$C$1199,0)))</f>
        <v>Australia</v>
      </c>
      <c r="B183" s="6" t="str">
        <f>IF(ISNA(MATCH(174,'Transfer Engine'!$C$2:$C$1199,0)),"",INDEX('Compliance Database'!$B$2:$B$1199,MATCH(174,'Transfer Engine'!$C$2:$C$1199,0)))</f>
        <v>cps_234_july_2019_for_public_release (Australia - Row 6)</v>
      </c>
      <c r="C183" s="6" t="str">
        <f>IF(ISNA(MATCH(174,'Transfer Engine'!$C$2:$C$1199,0)),"",INDEX('Compliance Database'!$C$2:$C$1199,MATCH(174,'Transfer Engine'!$C$2:$C$1199,0)))</f>
        <v>34</v>
      </c>
      <c r="D183" s="7" t="str">
        <f>IF(ISNA(MATCH(174,'Transfer Engine'!$C$2:$C$1199,0)),"",INDEX('Compliance Database'!$D$2:$D$1199,MATCH(174,'Transfer Engine'!$C$2:$C$1199,0)))</f>
        <v>Internal audit assessment of third-party security incidents</v>
      </c>
      <c r="E183" s="6" t="str">
        <f>IF(ISNA(MATCH(174,'Transfer Engine'!$C$2:$C$1199,0)),"",INDEX('Compliance Database'!$E$2:$E$1199,MATCH(174,'Transfer Engine'!$C$2:$C$1199,0)))</f>
        <v>8</v>
      </c>
      <c r="F183" s="6" t="str">
        <f>IF(ISNA(MATCH(174,'Transfer Engine'!$C$2:$C$1199,0)),"",INDEX('Compliance Database'!$F$2:$F$1199,MATCH(174,'Transfer Engine'!$C$2:$C$1199,0)))</f>
        <v>High</v>
      </c>
      <c r="G183" s="6" t="str">
        <f>IF(ISNA(MATCH(174,'Transfer Engine'!$C$2:$C$1199,0)),"",INDEX('Compliance Database'!$G$2:$G$1199,MATCH(174,'Transfer Engine'!$C$2:$C$1199,0)))</f>
        <v>High (explicit)</v>
      </c>
      <c r="H183" s="7" t="str">
        <f>IF(ISNA(MATCH(174,'Transfer Engine'!$C$2:$C$1199,0)),"",INDEX('Compliance Database'!$H$2:$H$1199,MATCH(174,'Transfer Engine'!$C$2:$C$1199,0)))</f>
        <v>Security</v>
      </c>
      <c r="I183" s="7" t="str">
        <f>IF(ISNA(MATCH(174,'Transfer Engine'!$C$2:$C$1199,0)),"",INDEX('Compliance Database'!$I$2:$I$1199,MATCH(174,'Transfer Engine'!$C$2:$C$1199,0)))</f>
        <v>Personal Information</v>
      </c>
      <c r="J183" s="6" t="str">
        <f>IF(ISNA(MATCH(174,'Transfer Engine'!$C$2:$C$1199,0)),"",INDEX('Compliance Database'!$J$2:$J$1199,MATCH(174,'Transfer Engine'!$C$2:$C$1199,0)))</f>
        <v>APRA</v>
      </c>
      <c r="K183" s="7" t="str">
        <f>IF(ISNA(MATCH(174,'Transfer Engine'!$C$2:$C$1199,0)),"",INDEX('Compliance Database'!$K$2:$K$1199,MATCH(174,'Transfer Engine'!$C$2:$C$1199,0)))</f>
        <v>Internal audit must assess information security control assurance provided by related parties or third parties when there is a potential for significant financial or non-financial impact from incidents affecting information assets, or when internal audit intends to rely on those parties' assurance. This ensures critical risks are addressed before external parties are used for data processing.</v>
      </c>
      <c r="L183" s="7" t="str">
        <f>IF(ISNA(MATCH(174,'Transfer Engine'!$C$2:$C$1199,0)),"",INDEX('Compliance Database'!$L$2:$L$1199,MATCH(174,'Transfer Engine'!$C$2:$C$1199,0)))</f>
        <v>Requires internal audits to evaluate third-party security assurance in high-risk scenarios, directly impacting data transfer security.</v>
      </c>
      <c r="M183" s="7" t="str">
        <f>IF(ISNA(MATCH(174,'Transfer Engine'!$C$2:$C$1199,0)),"",INDEX('Compliance Database'!$M$2:$M$1199,MATCH(174,'Transfer Engine'!$C$2:$C$1199,0)))</f>
        <v>• [Must] APRA-regulated entity's internal audit function must assess the information security control assurance provided by a related party or third party where: (a) an information security incident affecting the information assets has the potential to materially affect, financially or non-financially, the entity or the interests of depositors, policyholde…</v>
      </c>
      <c r="N183" s="7">
        <f>IF(ISNA(MATCH(174,'Transfer Engine'!$C$2:$C$1199,0)),"",INDEX('Compliance Database'!$N$2:$N$1199,MATCH(174,'Transfer Engine'!$C$2:$C$1199,0)))</f>
        <v>0</v>
      </c>
      <c r="O183" s="7" t="str">
        <f>IF(ISNA(MATCH(174,'Transfer Engine'!$C$2:$C$1199,0)),"",INDEX('Compliance Database'!$O$2:$O$1199,MATCH(174,'Transfer Engine'!$C$2:$C$1199,0)))</f>
        <v>An APRA-regulated entity's internal audit function must assess the information security control assurance provided by a related party or third party where: (a) an information security incident affecting the information assets has the potential to materially affect, financially or non-financially, the entity or the interests of depositors, policyholders, beneficiaries or other customers; and (b) internal audit intends to rely on the information security control assurance provided by the related party or third party.</v>
      </c>
      <c r="P183" s="6" t="str">
        <f>IF(ISNA(MATCH(174,'Transfer Engine'!$C$2:$C$1199,0)),"",HYPERLINK("#Acts!A"&amp;INDEX('Compliance Database'!$P$2:$P$1199,MATCH(174,'Transfer Engine'!$C$2:$C$1199,0)),"Go to Act"))</f>
        <v>Go to Act</v>
      </c>
    </row>
    <row r="184" spans="1:16" ht="172.95" customHeight="1" x14ac:dyDescent="0.3">
      <c r="A184" s="6" t="str">
        <f>IF(ISNA(MATCH(175,'Transfer Engine'!$C$2:$C$1199,0)),"",INDEX('Compliance Database'!$A$2:$A$1199,MATCH(175,'Transfer Engine'!$C$2:$C$1199,0)))</f>
        <v>Australia</v>
      </c>
      <c r="B184" s="6" t="str">
        <f>IF(ISNA(MATCH(175,'Transfer Engine'!$C$2:$C$1199,0)),"",INDEX('Compliance Database'!$B$2:$B$1199,MATCH(175,'Transfer Engine'!$C$2:$C$1199,0)))</f>
        <v>cps_234_july_2019_for_public_release (Australia - Row 6)</v>
      </c>
      <c r="C184" s="6" t="str">
        <f>IF(ISNA(MATCH(175,'Transfer Engine'!$C$2:$C$1199,0)),"",INDEX('Compliance Database'!$C$2:$C$1199,MATCH(175,'Transfer Engine'!$C$2:$C$1199,0)))</f>
        <v>35</v>
      </c>
      <c r="D184" s="7" t="str">
        <f>IF(ISNA(MATCH(175,'Transfer Engine'!$C$2:$C$1199,0)),"",INDEX('Compliance Database'!$D$2:$D$1199,MATCH(175,'Transfer Engine'!$C$2:$C$1199,0)))</f>
        <v>Notification of material information security incidents to APRA</v>
      </c>
      <c r="E184" s="6" t="str">
        <f>IF(ISNA(MATCH(175,'Transfer Engine'!$C$2:$C$1199,0)),"",INDEX('Compliance Database'!$E$2:$E$1199,MATCH(175,'Transfer Engine'!$C$2:$C$1199,0)))</f>
        <v>8</v>
      </c>
      <c r="F184" s="6" t="str">
        <f>IF(ISNA(MATCH(175,'Transfer Engine'!$C$2:$C$1199,0)),"",INDEX('Compliance Database'!$F$2:$F$1199,MATCH(175,'Transfer Engine'!$C$2:$C$1199,0)))</f>
        <v>High</v>
      </c>
      <c r="G184" s="6" t="str">
        <f>IF(ISNA(MATCH(175,'Transfer Engine'!$C$2:$C$1199,0)),"",INDEX('Compliance Database'!$G$2:$G$1199,MATCH(175,'Transfer Engine'!$C$2:$C$1199,0)))</f>
        <v>High (explicit)</v>
      </c>
      <c r="H184" s="7" t="str">
        <f>IF(ISNA(MATCH(175,'Transfer Engine'!$C$2:$C$1199,0)),"",INDEX('Compliance Database'!$H$2:$H$1199,MATCH(175,'Transfer Engine'!$C$2:$C$1199,0)))</f>
        <v>Incident Reporting, Breach Notification</v>
      </c>
      <c r="I184" s="7" t="str">
        <f>IF(ISNA(MATCH(175,'Transfer Engine'!$C$2:$C$1199,0)),"",INDEX('Compliance Database'!$I$2:$I$1199,MATCH(175,'Transfer Engine'!$C$2:$C$1199,0)))</f>
        <v>Personal Information</v>
      </c>
      <c r="J184" s="6" t="str">
        <f>IF(ISNA(MATCH(175,'Transfer Engine'!$C$2:$C$1199,0)),"",INDEX('Compliance Database'!$J$2:$J$1199,MATCH(175,'Transfer Engine'!$C$2:$C$1199,0)))</f>
        <v>APRA</v>
      </c>
      <c r="K184" s="7" t="str">
        <f>IF(ISNA(MATCH(175,'Transfer Engine'!$C$2:$C$1199,0)),"",INDEX('Compliance Database'!$K$2:$K$1199,MATCH(175,'Transfer Engine'!$C$2:$C$1199,0)))</f>
        <v>An APRA-regulated entity must notify APRA within 72 hours of becoming aware of an information security incident that materially affected or had the potential to materially affect financially or non-financially the entity or its customers. The incident must involve depositors, policyholders, beneficiaries, or other customers. The notification must be made as soon as possible, with a maximum deadline of 72 hours.</v>
      </c>
      <c r="L184" s="7" t="str">
        <f>IF(ISNA(MATCH(175,'Transfer Engine'!$C$2:$C$1199,0)),"",INDEX('Compliance Database'!$L$2:$L$1199,MATCH(175,'Transfer Engine'!$C$2:$C$1199,0)))</f>
        <v>This section requires timely reporting of material information security incidents that could impact financial or non-financial interests, directly affecting DTIA timelines for incident response and cross-border data handling.</v>
      </c>
      <c r="M184" s="7" t="str">
        <f>IF(ISNA(MATCH(175,'Transfer Engine'!$C$2:$C$1199,0)),"",INDEX('Compliance Database'!$M$2:$M$1199,MATCH(175,'Transfer Engine'!$C$2:$C$1199,0)))</f>
        <v>• [Must] An APRA-regulated entity must notify APRA as soon as possible
• [Must] An APRA-regulated entity must notify APRA no later than 72 hours after becoming aware of an information security incident</v>
      </c>
      <c r="N184" s="7" t="str">
        <f>IF(ISNA(MATCH(175,'Transfer Engine'!$C$2:$C$1199,0)),"",INDEX('Compliance Database'!$N$2:$N$1199,MATCH(175,'Transfer Engine'!$C$2:$C$1199,0)))</f>
        <v>• [Must] The information security incident must materially affect or have the potential to materially affect financially or non-financially the entity or the interests of depositors, policyholders, beneficiaries or other customers</v>
      </c>
      <c r="O184" s="7" t="str">
        <f>IF(ISNA(MATCH(175,'Transfer Engine'!$C$2:$C$1199,0)),"",INDEX('Compliance Database'!$O$2:$O$1199,MATCH(175,'Transfer Engine'!$C$2:$C$1199,0)))</f>
        <v>An APRA-regulated entity must notify APRA as soon as possible and, in any case, no later than 72 hours, after becoming aware of an information security incident that: (a) materially affected, or had the potential to materially affect, financially or non-financially, the entity or the interests of depositors, policyholders, beneficiaries or other customers; or (b) has been notified to other regulators, either in Australia or other jurisdictions.</v>
      </c>
      <c r="P184" s="6" t="str">
        <f>IF(ISNA(MATCH(175,'Transfer Engine'!$C$2:$C$1199,0)),"",HYPERLINK("#Acts!A"&amp;INDEX('Compliance Database'!$P$2:$P$1199,MATCH(175,'Transfer Engine'!$C$2:$C$1199,0)),"Go to Act"))</f>
        <v>Go to Act</v>
      </c>
    </row>
    <row r="185" spans="1:16" ht="172.95" customHeight="1" x14ac:dyDescent="0.3">
      <c r="A185" s="6" t="str">
        <f>IF(ISNA(MATCH(176,'Transfer Engine'!$C$2:$C$1199,0)),"",INDEX('Compliance Database'!$A$2:$A$1199,MATCH(176,'Transfer Engine'!$C$2:$C$1199,0)))</f>
        <v>Australia</v>
      </c>
      <c r="B185" s="6" t="str">
        <f>IF(ISNA(MATCH(176,'Transfer Engine'!$C$2:$C$1199,0)),"",INDEX('Compliance Database'!$B$2:$B$1199,MATCH(176,'Transfer Engine'!$C$2:$C$1199,0)))</f>
        <v>cps_234_july_2019_for_public_release (Australia - Row 6)</v>
      </c>
      <c r="C185" s="6" t="str">
        <f>IF(ISNA(MATCH(176,'Transfer Engine'!$C$2:$C$1199,0)),"",INDEX('Compliance Database'!$C$2:$C$1199,MATCH(176,'Transfer Engine'!$C$2:$C$1199,0)))</f>
        <v>36</v>
      </c>
      <c r="D185" s="7" t="str">
        <f>IF(ISNA(MATCH(176,'Transfer Engine'!$C$2:$C$1199,0)),"",INDEX('Compliance Database'!$D$2:$D$1199,MATCH(176,'Transfer Engine'!$C$2:$C$1199,0)))</f>
        <v>Notification of material information security control weaknesses to APRA</v>
      </c>
      <c r="E185" s="6" t="str">
        <f>IF(ISNA(MATCH(176,'Transfer Engine'!$C$2:$C$1199,0)),"",INDEX('Compliance Database'!$E$2:$E$1199,MATCH(176,'Transfer Engine'!$C$2:$C$1199,0)))</f>
        <v>8</v>
      </c>
      <c r="F185" s="6" t="str">
        <f>IF(ISNA(MATCH(176,'Transfer Engine'!$C$2:$C$1199,0)),"",INDEX('Compliance Database'!$F$2:$F$1199,MATCH(176,'Transfer Engine'!$C$2:$C$1199,0)))</f>
        <v>High</v>
      </c>
      <c r="G185" s="6" t="str">
        <f>IF(ISNA(MATCH(176,'Transfer Engine'!$C$2:$C$1199,0)),"",INDEX('Compliance Database'!$G$2:$G$1199,MATCH(176,'Transfer Engine'!$C$2:$C$1199,0)))</f>
        <v>High (explicit)</v>
      </c>
      <c r="H185" s="7" t="str">
        <f>IF(ISNA(MATCH(176,'Transfer Engine'!$C$2:$C$1199,0)),"",INDEX('Compliance Database'!$H$2:$H$1199,MATCH(176,'Transfer Engine'!$C$2:$C$1199,0)))</f>
        <v>Incident Reporting, Breach Notification</v>
      </c>
      <c r="I185" s="7" t="str">
        <f>IF(ISNA(MATCH(176,'Transfer Engine'!$C$2:$C$1199,0)),"",INDEX('Compliance Database'!$I$2:$I$1199,MATCH(176,'Transfer Engine'!$C$2:$C$1199,0)))</f>
        <v>Personal Information</v>
      </c>
      <c r="J185" s="6" t="str">
        <f>IF(ISNA(MATCH(176,'Transfer Engine'!$C$2:$C$1199,0)),"",INDEX('Compliance Database'!$J$2:$J$1199,MATCH(176,'Transfer Engine'!$C$2:$C$1199,0)))</f>
        <v>APRA</v>
      </c>
      <c r="K185" s="7" t="str">
        <f>IF(ISNA(MATCH(176,'Transfer Engine'!$C$2:$C$1199,0)),"",INDEX('Compliance Database'!$K$2:$K$1199,MATCH(176,'Transfer Engine'!$C$2:$C$1199,0)))</f>
        <v>An APRA-regulated entity must notify APRA within 10 business days of becoming aware of a material information security control weakness that the entity expects it will not be able to remediate in a timely manner. This applies to weaknesses that could impact the entity's operations or customer interests.</v>
      </c>
      <c r="L185" s="7" t="str">
        <f>IF(ISNA(MATCH(176,'Transfer Engine'!$C$2:$C$1199,0)),"",INDEX('Compliance Database'!$L$2:$L$1199,MATCH(176,'Transfer Engine'!$C$2:$C$1199,0)))</f>
        <v>This section mandates reporting of unresolved information security control weaknesses, which impacts DTIA assessments for third-party risk and remediation timelines in cross-border data environments.</v>
      </c>
      <c r="M185" s="7" t="str">
        <f>IF(ISNA(MATCH(176,'Transfer Engine'!$C$2:$C$1199,0)),"",INDEX('Compliance Database'!$M$2:$M$1199,MATCH(176,'Transfer Engine'!$C$2:$C$1199,0)))</f>
        <v>• [Must] An APRA-regulated entity must notify APRA as soon as possible
• [Must] An APRA-regulated entity must notify APRA no later than 10 business days after becoming aware of a material information security control weakness</v>
      </c>
      <c r="N185" s="7" t="str">
        <f>IF(ISNA(MATCH(176,'Transfer Engine'!$C$2:$C$1199,0)),"",INDEX('Compliance Database'!$N$2:$N$1199,MATCH(176,'Transfer Engine'!$C$2:$C$1199,0)))</f>
        <v>• [Must] The information security control weakness must be one the entity expects it will not be able to remediate in a timely manner</v>
      </c>
      <c r="O185" s="7" t="str">
        <f>IF(ISNA(MATCH(176,'Transfer Engine'!$C$2:$C$1199,0)),"",INDEX('Compliance Database'!$O$2:$O$1199,MATCH(176,'Transfer Engine'!$C$2:$C$1199,0)))</f>
        <v>An APRA-regulated entity must notify APRA as soon as possible and, in any case, no later than 10 business days, after it becomes aware of a material information security control weakness which the entity expects it will not be able to remediate in a timely manner.</v>
      </c>
      <c r="P185" s="6" t="str">
        <f>IF(ISNA(MATCH(176,'Transfer Engine'!$C$2:$C$1199,0)),"",HYPERLINK("#Acts!A"&amp;INDEX('Compliance Database'!$P$2:$P$1199,MATCH(176,'Transfer Engine'!$C$2:$C$1199,0)),"Go to Act"))</f>
        <v>Go to Act</v>
      </c>
    </row>
    <row r="186" spans="1:16" ht="172.95" customHeight="1" x14ac:dyDescent="0.3">
      <c r="A186" s="6" t="str">
        <f>IF(ISNA(MATCH(177,'Transfer Engine'!$C$2:$C$1199,0)),"",INDEX('Compliance Database'!$A$2:$A$1199,MATCH(177,'Transfer Engine'!$C$2:$C$1199,0)))</f>
        <v>Australia</v>
      </c>
      <c r="B186" s="6" t="str">
        <f>IF(ISNA(MATCH(177,'Transfer Engine'!$C$2:$C$1199,0)),"",INDEX('Compliance Database'!$B$2:$B$1199,MATCH(177,'Transfer Engine'!$C$2:$C$1199,0)))</f>
        <v>rg255-published-30-august-2016-20220328 (Australia - Row 9)</v>
      </c>
      <c r="C186" s="6" t="str">
        <f>IF(ISNA(MATCH(177,'Transfer Engine'!$C$2:$C$1199,0)),"",INDEX('Compliance Database'!$C$2:$C$1199,MATCH(177,'Transfer Engine'!$C$2:$C$1199,0)))</f>
        <v>p1</v>
      </c>
      <c r="D186" s="7" t="str">
        <f>IF(ISNA(MATCH(177,'Transfer Engine'!$C$2:$C$1199,0)),"",INDEX('Compliance Database'!$D$2:$D$1199,MATCH(177,'Transfer Engine'!$C$2:$C$1199,0)))</f>
        <v>Digital advice definition and scope</v>
      </c>
      <c r="E186" s="6" t="str">
        <f>IF(ISNA(MATCH(177,'Transfer Engine'!$C$2:$C$1199,0)),"",INDEX('Compliance Database'!$E$2:$E$1199,MATCH(177,'Transfer Engine'!$C$2:$C$1199,0)))</f>
        <v>1–2</v>
      </c>
      <c r="F186" s="6" t="str">
        <f>IF(ISNA(MATCH(177,'Transfer Engine'!$C$2:$C$1199,0)),"",INDEX('Compliance Database'!$F$2:$F$1199,MATCH(177,'Transfer Engine'!$C$2:$C$1199,0)))</f>
        <v>High</v>
      </c>
      <c r="G186" s="6" t="str">
        <f>IF(ISNA(MATCH(177,'Transfer Engine'!$C$2:$C$1199,0)),"",INDEX('Compliance Database'!$G$2:$G$1199,MATCH(177,'Transfer Engine'!$C$2:$C$1199,0)))</f>
        <v>High (explicit)</v>
      </c>
      <c r="H186" s="7">
        <f>IF(ISNA(MATCH(177,'Transfer Engine'!$C$2:$C$1199,0)),"",INDEX('Compliance Database'!$H$2:$H$1199,MATCH(177,'Transfer Engine'!$C$2:$C$1199,0)))</f>
        <v>0</v>
      </c>
      <c r="I186" s="7" t="str">
        <f>IF(ISNA(MATCH(177,'Transfer Engine'!$C$2:$C$1199,0)),"",INDEX('Compliance Database'!$I$2:$I$1199,MATCH(177,'Transfer Engine'!$C$2:$C$1199,0)))</f>
        <v>Customer Data</v>
      </c>
      <c r="J186" s="6" t="str">
        <f>IF(ISNA(MATCH(177,'Transfer Engine'!$C$2:$C$1199,0)),"",INDEX('Compliance Database'!$J$2:$J$1199,MATCH(177,'Transfer Engine'!$C$2:$C$1199,0)))</f>
        <v>ASIC</v>
      </c>
      <c r="K186" s="7" t="str">
        <f>IF(ISNA(MATCH(177,'Transfer Engine'!$C$2:$C$1199,0)),"",INDEX('Compliance Database'!$K$2:$K$1199,MATCH(177,'Transfer Engine'!$C$2:$C$1199,0)))</f>
        <v>This section defines digital advice as automated financial product advice using algorithms and technology without direct human involvement. It clarifies that digital advice can range from narrow scope advice (e.g., portfolio construction) to comprehensive financial planning. The definition distinguishes digital advice from traditional personal advice and specifies that it applies to retail clients.</v>
      </c>
      <c r="L186" s="7">
        <f>IF(ISNA(MATCH(177,'Transfer Engine'!$C$2:$C$1199,0)),"",INDEX('Compliance Database'!$L$2:$L$1199,MATCH(177,'Transfer Engine'!$C$2:$C$1199,0)))</f>
        <v>0</v>
      </c>
      <c r="M186" s="7" t="str">
        <f>IF(ISNA(MATCH(177,'Transfer Engine'!$C$2:$C$1199,0)),"",INDEX('Compliance Database'!$M$2:$M$1199,MATCH(177,'Transfer Engine'!$C$2:$C$1199,0)))</f>
        <v>• [Definition] Digital advice (also known as 'robo-advice' or 'automated advice') is the provision of automated financial product advice using algorithms and technology and without the direct involvement of a human adviser.</v>
      </c>
      <c r="N186" s="7" t="str">
        <f>IF(ISNA(MATCH(177,'Transfer Engine'!$C$2:$C$1199,0)),"",INDEX('Compliance Database'!$N$2:$N$1199,MATCH(177,'Transfer Engine'!$C$2:$C$1199,0)))</f>
        <v>• [Definition] Digital advice can comprise general or personal advice, and range from advice that is narrow in scope (e.g. advice about portfolio construction) to a comprehensive financial plan.</v>
      </c>
      <c r="O186" s="7" t="str">
        <f>IF(ISNA(MATCH(177,'Transfer Engine'!$C$2:$C$1199,0)),"",INDEX('Compliance Database'!$O$2:$O$1199,MATCH(177,'Transfer Engine'!$C$2:$C$1199,0)))</f>
        <v>Digital advice (also known as robo-advice or automated advice) is the provision of automated financial product advice using algorithms and technology and without the direct involvement of a human adviser.</v>
      </c>
      <c r="P186" s="6" t="str">
        <f>IF(ISNA(MATCH(177,'Transfer Engine'!$C$2:$C$1199,0)),"",HYPERLINK("#Acts!A"&amp;INDEX('Compliance Database'!$P$2:$P$1199,MATCH(177,'Transfer Engine'!$C$2:$C$1199,0)),"Go to Act"))</f>
        <v>Go to Act</v>
      </c>
    </row>
    <row r="187" spans="1:16" ht="172.95" customHeight="1" x14ac:dyDescent="0.3">
      <c r="A187" s="6" t="str">
        <f>IF(ISNA(MATCH(178,'Transfer Engine'!$C$2:$C$1199,0)),"",INDEX('Compliance Database'!$A$2:$A$1199,MATCH(178,'Transfer Engine'!$C$2:$C$1199,0)))</f>
        <v>Australia</v>
      </c>
      <c r="B187" s="6" t="str">
        <f>IF(ISNA(MATCH(178,'Transfer Engine'!$C$2:$C$1199,0)),"",INDEX('Compliance Database'!$B$2:$B$1199,MATCH(178,'Transfer Engine'!$C$2:$C$1199,0)))</f>
        <v>rg255-published-30-august-2016-20220328 (Australia - Row 9)</v>
      </c>
      <c r="C187" s="6" t="str">
        <f>IF(ISNA(MATCH(178,'Transfer Engine'!$C$2:$C$1199,0)),"",INDEX('Compliance Database'!$C$2:$C$1199,MATCH(178,'Transfer Engine'!$C$2:$C$1199,0)))</f>
        <v>p2</v>
      </c>
      <c r="D187" s="7" t="str">
        <f>IF(ISNA(MATCH(178,'Transfer Engine'!$C$2:$C$1199,0)),"",INDEX('Compliance Database'!$D$2:$D$1199,MATCH(178,'Transfer Engine'!$C$2:$C$1199,0)))</f>
        <v>ASIC regulatory document types and history</v>
      </c>
      <c r="E187" s="6" t="str">
        <f>IF(ISNA(MATCH(178,'Transfer Engine'!$C$2:$C$1199,0)),"",INDEX('Compliance Database'!$E$2:$E$1199,MATCH(178,'Transfer Engine'!$C$2:$C$1199,0)))</f>
        <v>2–3</v>
      </c>
      <c r="F187" s="6" t="str">
        <f>IF(ISNA(MATCH(178,'Transfer Engine'!$C$2:$C$1199,0)),"",INDEX('Compliance Database'!$F$2:$F$1199,MATCH(178,'Transfer Engine'!$C$2:$C$1199,0)))</f>
        <v>High</v>
      </c>
      <c r="G187" s="6" t="str">
        <f>IF(ISNA(MATCH(178,'Transfer Engine'!$C$2:$C$1199,0)),"",INDEX('Compliance Database'!$G$2:$G$1199,MATCH(178,'Transfer Engine'!$C$2:$C$1199,0)))</f>
        <v>High (explicit)</v>
      </c>
      <c r="H187" s="7">
        <f>IF(ISNA(MATCH(178,'Transfer Engine'!$C$2:$C$1199,0)),"",INDEX('Compliance Database'!$H$2:$H$1199,MATCH(178,'Transfer Engine'!$C$2:$C$1199,0)))</f>
        <v>0</v>
      </c>
      <c r="I187" s="7">
        <f>IF(ISNA(MATCH(178,'Transfer Engine'!$C$2:$C$1199,0)),"",INDEX('Compliance Database'!$I$2:$I$1199,MATCH(178,'Transfer Engine'!$C$2:$C$1199,0)))</f>
        <v>0</v>
      </c>
      <c r="J187" s="6" t="str">
        <f>IF(ISNA(MATCH(178,'Transfer Engine'!$C$2:$C$1199,0)),"",INDEX('Compliance Database'!$J$2:$J$1199,MATCH(178,'Transfer Engine'!$C$2:$C$1199,0)))</f>
        <v>ASIC</v>
      </c>
      <c r="K187" s="7" t="str">
        <f>IF(ISNA(MATCH(178,'Transfer Engine'!$C$2:$C$1199,0)),"",INDEX('Compliance Database'!$K$2:$K$1199,MATCH(178,'Transfer Engine'!$C$2:$C$1199,0)))</f>
        <v>This section explains the types of regulatory documents ASIC issues, including consultation papers, regulatory guides, information sheets, and reports. It details the document's history, noting minor updates in 2021 and 2022 to reflect changes in fee arrangements, training requirements, and breach reporting reforms. The document emphasizes that it does not constitute legal advice and is illustrative only.</v>
      </c>
      <c r="L187" s="7">
        <f>IF(ISNA(MATCH(178,'Transfer Engine'!$C$2:$C$1199,0)),"",INDEX('Compliance Database'!$L$2:$L$1199,MATCH(178,'Transfer Engine'!$C$2:$C$1199,0)))</f>
        <v>0</v>
      </c>
      <c r="M187" s="7" t="str">
        <f>IF(ISNA(MATCH(178,'Transfer Engine'!$C$2:$C$1199,0)),"",INDEX('Compliance Database'!$M$2:$M$1199,MATCH(178,'Transfer Engine'!$C$2:$C$1199,0)))</f>
        <v>• [Definition] ASIC issues regulatory documents such as consultation papers, regulatory guides, information sheets, and reports.
• [Definition] Regulatory guides explain when and how ASIC will exercise specific powers under legislation, interpret the law, describe principles, and provide practical guidance.
• [Definition] This guide was issued in August 2016 and is based on legislation and regulations as at the date of issue.
• [Definition] Minor updates were made in June 2021 to Table 1 in the Appendix to reflect changes to ongoing fee arrangements.</v>
      </c>
      <c r="N187" s="7" t="str">
        <f>IF(ISNA(MATCH(178,'Transfer Engine'!$C$2:$C$1199,0)),"",INDEX('Compliance Database'!$N$2:$N$1199,MATCH(178,'Transfer Engine'!$C$2:$C$1199,0)))</f>
        <v>• [Definition] RG 255.51 was updated in June 2021 to reflect changes to training, education, and ethical standards for financial advisers.
• [Definition] One sample question at RG 255.41 and RG 255.115 was updated in March 2022 to reflect breach reporting reforms effective from 1 October 2021.
• [Definition] This guide does not constitute legal advice; users must seek their own professional advice to determine obligations.</v>
      </c>
      <c r="O187" s="7" t="str">
        <f>IF(ISNA(MATCH(178,'Transfer Engine'!$C$2:$C$1199,0)),"",INDEX('Compliance Database'!$O$2:$O$1199,MATCH(178,'Transfer Engine'!$C$2:$C$1199,0)))</f>
        <v>Regulatory guides: give guidance to regulated entities by: explaining when and how ASIC will exercise specific powers under legislation (primarily the Corporations Act)...</v>
      </c>
      <c r="P187" s="6" t="str">
        <f>IF(ISNA(MATCH(178,'Transfer Engine'!$C$2:$C$1199,0)),"",HYPERLINK("#Acts!A"&amp;INDEX('Compliance Database'!$P$2:$P$1199,MATCH(178,'Transfer Engine'!$C$2:$C$1199,0)),"Go to Act"))</f>
        <v>Go to Act</v>
      </c>
    </row>
    <row r="188" spans="1:16" ht="172.95" customHeight="1" x14ac:dyDescent="0.3">
      <c r="A188" s="6" t="str">
        <f>IF(ISNA(MATCH(179,'Transfer Engine'!$C$2:$C$1199,0)),"",INDEX('Compliance Database'!$A$2:$A$1199,MATCH(179,'Transfer Engine'!$C$2:$C$1199,0)))</f>
        <v>Australia</v>
      </c>
      <c r="B188" s="6" t="str">
        <f>IF(ISNA(MATCH(179,'Transfer Engine'!$C$2:$C$1199,0)),"",INDEX('Compliance Database'!$B$2:$B$1199,MATCH(179,'Transfer Engine'!$C$2:$C$1199,0)))</f>
        <v>rg255-published-30-august-2016-20220328 (Australia - Row 9)</v>
      </c>
      <c r="C188" s="6" t="str">
        <f>IF(ISNA(MATCH(179,'Transfer Engine'!$C$2:$C$1199,0)),"",INDEX('Compliance Database'!$C$2:$C$1199,MATCH(179,'Transfer Engine'!$C$2:$C$1199,0)))</f>
        <v>p3</v>
      </c>
      <c r="D188" s="7" t="str">
        <f>IF(ISNA(MATCH(179,'Transfer Engine'!$C$2:$C$1199,0)),"",INDEX('Compliance Database'!$D$2:$D$1199,MATCH(179,'Transfer Engine'!$C$2:$C$1199,0)))</f>
        <v>Regulatory guide structure and contents</v>
      </c>
      <c r="E188" s="6" t="str">
        <f>IF(ISNA(MATCH(179,'Transfer Engine'!$C$2:$C$1199,0)),"",INDEX('Compliance Database'!$E$2:$E$1199,MATCH(179,'Transfer Engine'!$C$2:$C$1199,0)))</f>
        <v>3–4</v>
      </c>
      <c r="F188" s="6" t="str">
        <f>IF(ISNA(MATCH(179,'Transfer Engine'!$C$2:$C$1199,0)),"",INDEX('Compliance Database'!$F$2:$F$1199,MATCH(179,'Transfer Engine'!$C$2:$C$1199,0)))</f>
        <v>High</v>
      </c>
      <c r="G188" s="6" t="str">
        <f>IF(ISNA(MATCH(179,'Transfer Engine'!$C$2:$C$1199,0)),"",INDEX('Compliance Database'!$G$2:$G$1199,MATCH(179,'Transfer Engine'!$C$2:$C$1199,0)))</f>
        <v>High (explicit)</v>
      </c>
      <c r="H188" s="7">
        <f>IF(ISNA(MATCH(179,'Transfer Engine'!$C$2:$C$1199,0)),"",INDEX('Compliance Database'!$H$2:$H$1199,MATCH(179,'Transfer Engine'!$C$2:$C$1199,0)))</f>
        <v>0</v>
      </c>
      <c r="I188" s="7">
        <f>IF(ISNA(MATCH(179,'Transfer Engine'!$C$2:$C$1199,0)),"",INDEX('Compliance Database'!$I$2:$I$1199,MATCH(179,'Transfer Engine'!$C$2:$C$1199,0)))</f>
        <v>0</v>
      </c>
      <c r="J188" s="6" t="str">
        <f>IF(ISNA(MATCH(179,'Transfer Engine'!$C$2:$C$1199,0)),"",INDEX('Compliance Database'!$J$2:$J$1199,MATCH(179,'Transfer Engine'!$C$2:$C$1199,0)))</f>
        <v>ASIC</v>
      </c>
      <c r="K188" s="7" t="str">
        <f>IF(ISNA(MATCH(179,'Transfer Engine'!$C$2:$C$1199,0)),"",INDEX('Compliance Database'!$K$2:$K$1199,MATCH(179,'Transfer Engine'!$C$2:$C$1199,0)))</f>
        <v>This section outlines the structure of the regulatory guide, including sections on digital advice in Australia, AFS licensing requirements, general obligations for digital advice licensees, and providing scaled advice in the best interests of clients. It lists the guide's contents and related information, such as key terms and non-ASIC publications.</v>
      </c>
      <c r="L188" s="7">
        <f>IF(ISNA(MATCH(179,'Transfer Engine'!$C$2:$C$1199,0)),"",INDEX('Compliance Database'!$L$2:$L$1199,MATCH(179,'Transfer Engine'!$C$2:$C$1199,0)))</f>
        <v>0</v>
      </c>
      <c r="M188" s="7" t="str">
        <f>IF(ISNA(MATCH(179,'Transfer Engine'!$C$2:$C$1199,0)),"",INDEX('Compliance Database'!$M$2:$M$1199,MATCH(179,'Transfer Engine'!$C$2:$C$1199,0)))</f>
        <v>• [Definition] The guide includes an overview section on digital advice in Australia.
• [Definition] The guide covers scope of this regulatory guide.
• [Definition] The guide lists other relevant guidance.
• [Definition] The guide addresses digital advice and the AFS licensing regime.</v>
      </c>
      <c r="N188" s="7" t="str">
        <f>IF(ISNA(MATCH(179,'Transfer Engine'!$C$2:$C$1199,0)),"",INDEX('Compliance Database'!$N$2:$N$1199,MATCH(179,'Transfer Engine'!$C$2:$C$1199,0)))</f>
        <v>• [Definition] The guide includes general obligations applying to digital advice licensees.
• [Definition] The guide covers providing scaled advice in the best interests of the client.
• [Definition] The guide provides an appendix with other ASIC guidance.</v>
      </c>
      <c r="O188" s="7" t="str">
        <f>IF(ISNA(MATCH(179,'Transfer Engine'!$C$2:$C$1199,0)),"",INDEX('Compliance Database'!$O$2:$O$1199,MATCH(179,'Transfer Engine'!$C$2:$C$1199,0)))</f>
        <v>A Overview ........................................................................................... 4 Digital advice in Australia ................................................................... 4 Scope of this regulatory guide ........................................................... 5</v>
      </c>
      <c r="P188" s="6" t="str">
        <f>IF(ISNA(MATCH(179,'Transfer Engine'!$C$2:$C$1199,0)),"",HYPERLINK("#Acts!A"&amp;INDEX('Compliance Database'!$P$2:$P$1199,MATCH(179,'Transfer Engine'!$C$2:$C$1199,0)),"Go to Act"))</f>
        <v>Go to Act</v>
      </c>
    </row>
    <row r="189" spans="1:16" ht="172.95" customHeight="1" x14ac:dyDescent="0.3">
      <c r="A189" s="6" t="str">
        <f>IF(ISNA(MATCH(180,'Transfer Engine'!$C$2:$C$1199,0)),"",INDEX('Compliance Database'!$A$2:$A$1199,MATCH(180,'Transfer Engine'!$C$2:$C$1199,0)))</f>
        <v>Australia</v>
      </c>
      <c r="B189" s="6" t="str">
        <f>IF(ISNA(MATCH(180,'Transfer Engine'!$C$2:$C$1199,0)),"",INDEX('Compliance Database'!$B$2:$B$1199,MATCH(180,'Transfer Engine'!$C$2:$C$1199,0)))</f>
        <v>rg255-published-30-august-2016-20220328 (Australia - Row 9)</v>
      </c>
      <c r="C189" s="6" t="str">
        <f>IF(ISNA(MATCH(180,'Transfer Engine'!$C$2:$C$1199,0)),"",INDEX('Compliance Database'!$C$2:$C$1199,MATCH(180,'Transfer Engine'!$C$2:$C$1199,0)))</f>
        <v>p4</v>
      </c>
      <c r="D189" s="7" t="str">
        <f>IF(ISNA(MATCH(180,'Transfer Engine'!$C$2:$C$1199,0)),"",INDEX('Compliance Database'!$D$2:$D$1199,MATCH(180,'Transfer Engine'!$C$2:$C$1199,0)))</f>
        <v>Digital advice definition and market context</v>
      </c>
      <c r="E189" s="6" t="str">
        <f>IF(ISNA(MATCH(180,'Transfer Engine'!$C$2:$C$1199,0)),"",INDEX('Compliance Database'!$E$2:$E$1199,MATCH(180,'Transfer Engine'!$C$2:$C$1199,0)))</f>
        <v>4–5</v>
      </c>
      <c r="F189" s="6" t="str">
        <f>IF(ISNA(MATCH(180,'Transfer Engine'!$C$2:$C$1199,0)),"",INDEX('Compliance Database'!$F$2:$F$1199,MATCH(180,'Transfer Engine'!$C$2:$C$1199,0)))</f>
        <v>High</v>
      </c>
      <c r="G189" s="6" t="str">
        <f>IF(ISNA(MATCH(180,'Transfer Engine'!$C$2:$C$1199,0)),"",INDEX('Compliance Database'!$G$2:$G$1199,MATCH(180,'Transfer Engine'!$C$2:$C$1199,0)))</f>
        <v>High (explicit)</v>
      </c>
      <c r="H189" s="7">
        <f>IF(ISNA(MATCH(180,'Transfer Engine'!$C$2:$C$1199,0)),"",INDEX('Compliance Database'!$H$2:$H$1199,MATCH(180,'Transfer Engine'!$C$2:$C$1199,0)))</f>
        <v>0</v>
      </c>
      <c r="I189" s="7" t="str">
        <f>IF(ISNA(MATCH(180,'Transfer Engine'!$C$2:$C$1199,0)),"",INDEX('Compliance Database'!$I$2:$I$1199,MATCH(180,'Transfer Engine'!$C$2:$C$1199,0)))</f>
        <v>Customer Data</v>
      </c>
      <c r="J189" s="6" t="str">
        <f>IF(ISNA(MATCH(180,'Transfer Engine'!$C$2:$C$1199,0)),"",INDEX('Compliance Database'!$J$2:$J$1199,MATCH(180,'Transfer Engine'!$C$2:$C$1199,0)))</f>
        <v>ASIC</v>
      </c>
      <c r="K189" s="7" t="str">
        <f>IF(ISNA(MATCH(180,'Transfer Engine'!$C$2:$C$1199,0)),"",INDEX('Compliance Database'!$K$2:$K$1199,MATCH(180,'Transfer Engine'!$C$2:$C$1199,0)))</f>
        <v>This section defines digital advice as automated financial product advice without direct human involvement, clarifies its scope (from narrow to comprehensive advice), and notes its rapid growth in Australia since 2014. It emphasizes ASIC's support for a healthy digital advice market and the potential for digital advice to serve retail clients who do not seek traditional advice.</v>
      </c>
      <c r="L189" s="7">
        <f>IF(ISNA(MATCH(180,'Transfer Engine'!$C$2:$C$1199,0)),"",INDEX('Compliance Database'!$L$2:$L$1199,MATCH(180,'Transfer Engine'!$C$2:$C$1199,0)))</f>
        <v>0</v>
      </c>
      <c r="M189" s="7" t="str">
        <f>IF(ISNA(MATCH(180,'Transfer Engine'!$C$2:$C$1199,0)),"",INDEX('Compliance Database'!$M$2:$M$1199,MATCH(180,'Transfer Engine'!$C$2:$C$1199,0)))</f>
        <v>• [Definition] Digital advice (also known as 'robo-advice' or 'automated advice') is the provision of automated financial product advice using algorithms and technology and without the direct involvement of a human adviser.
• [Definition] Digital advice can comprise general or personal advice, and range from advice that is narrow in scope (e.g. advice about portfolio construction) to a comprehensive financial plan.
• [Definition] The provision of digital advice has grown rapidly in Australia since 2014, with a number of start-up Australian financial services (AFS) licensees and existing AFS licensees developing digital advice models.</v>
      </c>
      <c r="N189" s="7" t="str">
        <f>IF(ISNA(MATCH(180,'Transfer Engine'!$C$2:$C$1199,0)),"",INDEX('Compliance Database'!$N$2:$N$1199,MATCH(180,'Transfer Engine'!$C$2:$C$1199,0)))</f>
        <v>• [Definition] ASIC supports the development of a healthy and robust digital advice market in Australia.
• [Definition] In an environment where only around 20% of adult Australians seek personal advice, digital advice has the potential to be a convenient and low-cost option for retail clients who may not otherwise seek advice.</v>
      </c>
      <c r="O189" s="7" t="str">
        <f>IF(ISNA(MATCH(180,'Transfer Engine'!$C$2:$C$1199,0)),"",INDEX('Compliance Database'!$O$2:$O$1199,MATCH(180,'Transfer Engine'!$C$2:$C$1199,0)))</f>
        <v>Digital advice (also known as 'robo-advice' or 'automated advice') is the provision of automated financial product advice using algorithms and technology and without the direct involvement of a human adviser.</v>
      </c>
      <c r="P189" s="6" t="str">
        <f>IF(ISNA(MATCH(180,'Transfer Engine'!$C$2:$C$1199,0)),"",HYPERLINK("#Acts!A"&amp;INDEX('Compliance Database'!$P$2:$P$1199,MATCH(180,'Transfer Engine'!$C$2:$C$1199,0)),"Go to Act"))</f>
        <v>Go to Act</v>
      </c>
    </row>
    <row r="190" spans="1:16" ht="172.95" customHeight="1" x14ac:dyDescent="0.3">
      <c r="A190" s="6" t="str">
        <f>IF(ISNA(MATCH(181,'Transfer Engine'!$C$2:$C$1199,0)),"",INDEX('Compliance Database'!$A$2:$A$1199,MATCH(181,'Transfer Engine'!$C$2:$C$1199,0)))</f>
        <v>Australia</v>
      </c>
      <c r="B190" s="6" t="str">
        <f>IF(ISNA(MATCH(181,'Transfer Engine'!$C$2:$C$1199,0)),"",INDEX('Compliance Database'!$B$2:$B$1199,MATCH(181,'Transfer Engine'!$C$2:$C$1199,0)))</f>
        <v>rg255-published-30-august-2016-20220328 (Australia - Row 9)</v>
      </c>
      <c r="C190" s="6" t="str">
        <f>IF(ISNA(MATCH(181,'Transfer Engine'!$C$2:$C$1199,0)),"",INDEX('Compliance Database'!$C$2:$C$1199,MATCH(181,'Transfer Engine'!$C$2:$C$1199,0)))</f>
        <v>p5</v>
      </c>
      <c r="D190" s="7" t="str">
        <f>IF(ISNA(MATCH(181,'Transfer Engine'!$C$2:$C$1199,0)),"",INDEX('Compliance Database'!$D$2:$D$1199,MATCH(181,'Transfer Engine'!$C$2:$C$1199,0)))</f>
        <v>Scope and purpose of regulatory guide</v>
      </c>
      <c r="E190" s="6" t="str">
        <f>IF(ISNA(MATCH(181,'Transfer Engine'!$C$2:$C$1199,0)),"",INDEX('Compliance Database'!$E$2:$E$1199,MATCH(181,'Transfer Engine'!$C$2:$C$1199,0)))</f>
        <v>5–6</v>
      </c>
      <c r="F190" s="6" t="str">
        <f>IF(ISNA(MATCH(181,'Transfer Engine'!$C$2:$C$1199,0)),"",INDEX('Compliance Database'!$F$2:$F$1199,MATCH(181,'Transfer Engine'!$C$2:$C$1199,0)))</f>
        <v>High</v>
      </c>
      <c r="G190" s="6" t="str">
        <f>IF(ISNA(MATCH(181,'Transfer Engine'!$C$2:$C$1199,0)),"",INDEX('Compliance Database'!$G$2:$G$1199,MATCH(181,'Transfer Engine'!$C$2:$C$1199,0)))</f>
        <v>High (explicit)</v>
      </c>
      <c r="H190" s="7">
        <f>IF(ISNA(MATCH(181,'Transfer Engine'!$C$2:$C$1199,0)),"",INDEX('Compliance Database'!$H$2:$H$1199,MATCH(181,'Transfer Engine'!$C$2:$C$1199,0)))</f>
        <v>0</v>
      </c>
      <c r="I190" s="7">
        <f>IF(ISNA(MATCH(181,'Transfer Engine'!$C$2:$C$1199,0)),"",INDEX('Compliance Database'!$I$2:$I$1199,MATCH(181,'Transfer Engine'!$C$2:$C$1199,0)))</f>
        <v>0</v>
      </c>
      <c r="J190" s="6" t="str">
        <f>IF(ISNA(MATCH(181,'Transfer Engine'!$C$2:$C$1199,0)),"",INDEX('Compliance Database'!$J$2:$J$1199,MATCH(181,'Transfer Engine'!$C$2:$C$1199,0)))</f>
        <v>ASIC</v>
      </c>
      <c r="K190" s="7" t="str">
        <f>IF(ISNA(MATCH(181,'Transfer Engine'!$C$2:$C$1199,0)),"",INDEX('Compliance Database'!$K$2:$K$1199,MATCH(181,'Transfer Engine'!$C$2:$C$1199,0)))</f>
        <v>This section explains that the regulatory guide builds on existing ASIC guidance without introducing new regulatory concepts, as the law is technology neutral. It clarifies the guide's scope, including its focus on obligations for digital advice providers and the need for digital advice licensees to comply with the best interests duty. It also addresses unique aspects of digital advice, such as organizational competence obligations and algorithm monitoring.</v>
      </c>
      <c r="L190" s="7">
        <f>IF(ISNA(MATCH(181,'Transfer Engine'!$C$2:$C$1199,0)),"",INDEX('Compliance Database'!$L$2:$L$1199,MATCH(181,'Transfer Engine'!$C$2:$C$1199,0)))</f>
        <v>0</v>
      </c>
      <c r="M190" s="7" t="str">
        <f>IF(ISNA(MATCH(181,'Transfer Engine'!$C$2:$C$1199,0)),"",INDEX('Compliance Database'!$M$2:$M$1199,MATCH(181,'Transfer Engine'!$C$2:$C$1199,0)))</f>
        <v>• [Definition] This regulatory guide generally builds on existing ASIC guidance and does not introduce new regulatory concepts.
• [Definition] This guide brings together some of the issues that you will need to consider if you want to provide digital advice when operating in Australia—from the licensing stage (i.e. obtaining an AFS licence) through to the actual provision of advice.
• [Definition] Our guidance focuses on the obligations of those providing, or wanting to provide, digital advice.
• [Definition] Businesses that provide associated services (e.g. technology or compliance services) may also find this guidance useful.</v>
      </c>
      <c r="N190" s="7" t="str">
        <f>IF(ISNA(MATCH(181,'Transfer Engine'!$C$2:$C$1199,0)),"",INDEX('Compliance Database'!$N$2:$N$1199,MATCH(181,'Transfer Engine'!$C$2:$C$1199,0)))</f>
        <v>• [Definition] Those who provide combined (or hybrid) financial product advice models should also consider this guidance.
• [Definition] This guide provides guidance on how the organisational competence obligation in s912A(1)(e) of the Corporations Act applies to digital advice licensees.
• [Definition] The guide outlines ways in which digital advice licensees should monitor and test their algorithms.
• [Definition] The guide specifies minimum steps for digital advice providers to comply with the best interests duty when providing scaled advice.</v>
      </c>
      <c r="O190" s="7" t="str">
        <f>IF(ISNA(MATCH(181,'Transfer Engine'!$C$2:$C$1199,0)),"",INDEX('Compliance Database'!$O$2:$O$1199,MATCH(181,'Transfer Engine'!$C$2:$C$1199,0)))</f>
        <v>This regulatory guide generally builds on existing ASIC guidance and does not introduce new regulatory concepts.</v>
      </c>
      <c r="P190" s="6" t="str">
        <f>IF(ISNA(MATCH(181,'Transfer Engine'!$C$2:$C$1199,0)),"",HYPERLINK("#Acts!A"&amp;INDEX('Compliance Database'!$P$2:$P$1199,MATCH(181,'Transfer Engine'!$C$2:$C$1199,0)),"Go to Act"))</f>
        <v>Go to Act</v>
      </c>
    </row>
    <row r="191" spans="1:16" ht="172.95" customHeight="1" x14ac:dyDescent="0.3">
      <c r="A191" s="6" t="str">
        <f>IF(ISNA(MATCH(182,'Transfer Engine'!$C$2:$C$1199,0)),"",INDEX('Compliance Database'!$A$2:$A$1199,MATCH(182,'Transfer Engine'!$C$2:$C$1199,0)))</f>
        <v>Australia</v>
      </c>
      <c r="B191" s="6" t="str">
        <f>IF(ISNA(MATCH(182,'Transfer Engine'!$C$2:$C$1199,0)),"",INDEX('Compliance Database'!$B$2:$B$1199,MATCH(182,'Transfer Engine'!$C$2:$C$1199,0)))</f>
        <v>rg255-published-30-august-2016-20220328 (Australia - Row 9)</v>
      </c>
      <c r="C191" s="6" t="str">
        <f>IF(ISNA(MATCH(182,'Transfer Engine'!$C$2:$C$1199,0)),"",INDEX('Compliance Database'!$C$2:$C$1199,MATCH(182,'Transfer Engine'!$C$2:$C$1199,0)))</f>
        <v>p6</v>
      </c>
      <c r="D191" s="7" t="str">
        <f>IF(ISNA(MATCH(182,'Transfer Engine'!$C$2:$C$1199,0)),"",INDEX('Compliance Database'!$D$2:$D$1199,MATCH(182,'Transfer Engine'!$C$2:$C$1199,0)))</f>
        <v>Regulatory framework principles and compliance expectations</v>
      </c>
      <c r="E191" s="6" t="str">
        <f>IF(ISNA(MATCH(182,'Transfer Engine'!$C$2:$C$1199,0)),"",INDEX('Compliance Database'!$E$2:$E$1199,MATCH(182,'Transfer Engine'!$C$2:$C$1199,0)))</f>
        <v>6–7</v>
      </c>
      <c r="F191" s="6" t="str">
        <f>IF(ISNA(MATCH(182,'Transfer Engine'!$C$2:$C$1199,0)),"",INDEX('Compliance Database'!$F$2:$F$1199,MATCH(182,'Transfer Engine'!$C$2:$C$1199,0)))</f>
        <v>High</v>
      </c>
      <c r="G191" s="6" t="str">
        <f>IF(ISNA(MATCH(182,'Transfer Engine'!$C$2:$C$1199,0)),"",INDEX('Compliance Database'!$G$2:$G$1199,MATCH(182,'Transfer Engine'!$C$2:$C$1199,0)))</f>
        <v>High (explicit)</v>
      </c>
      <c r="H191" s="7">
        <f>IF(ISNA(MATCH(182,'Transfer Engine'!$C$2:$C$1199,0)),"",INDEX('Compliance Database'!$H$2:$H$1199,MATCH(182,'Transfer Engine'!$C$2:$C$1199,0)))</f>
        <v>0</v>
      </c>
      <c r="I191" s="7">
        <f>IF(ISNA(MATCH(182,'Transfer Engine'!$C$2:$C$1199,0)),"",INDEX('Compliance Database'!$I$2:$I$1199,MATCH(182,'Transfer Engine'!$C$2:$C$1199,0)))</f>
        <v>0</v>
      </c>
      <c r="J191" s="6" t="str">
        <f>IF(ISNA(MATCH(182,'Transfer Engine'!$C$2:$C$1199,0)),"",INDEX('Compliance Database'!$J$2:$J$1199,MATCH(182,'Transfer Engine'!$C$2:$C$1199,0)))</f>
        <v>ASIC</v>
      </c>
      <c r="K191" s="7" t="str">
        <f>IF(ISNA(MATCH(182,'Transfer Engine'!$C$2:$C$1199,0)),"",INDEX('Compliance Database'!$K$2:$K$1199,MATCH(182,'Transfer Engine'!$C$2:$C$1199,0)))</f>
        <v>This section describes Australia's principles-based financial services regulatory regime, emphasizing that it does not prescribe specific compliance steps. It explains that ASIC provides guidance to help industry understand regulatory obligations, using terms like 'must' for legal obligations and 'expect' for recommended practices. It encourages digital advice providers to contact ASIC if they have alternative compliance methods.</v>
      </c>
      <c r="L191" s="7">
        <f>IF(ISNA(MATCH(182,'Transfer Engine'!$C$2:$C$1199,0)),"",INDEX('Compliance Database'!$L$2:$L$1199,MATCH(182,'Transfer Engine'!$C$2:$C$1199,0)))</f>
        <v>0</v>
      </c>
      <c r="M191" s="7" t="str">
        <f>IF(ISNA(MATCH(182,'Transfer Engine'!$C$2:$C$1199,0)),"",INDEX('Compliance Database'!$M$2:$M$1199,MATCH(182,'Transfer Engine'!$C$2:$C$1199,0)))</f>
        <v>• [Definition] Australia's financial services regulatory regime is principles based and does not prescribe the steps that an AFS licensee needs to take to comply with the law.
• [Definition] From engagement with industry, ASIC has issued this guide to assist in understanding regulatory obligations for digital advice providers.
• [Definition] In this guide, 'must' or 'required to' refers to legal obligations that must be complied with.
• [Definition] In this guide, 'expect' or 'should' refers to recommended practices for compliance.</v>
      </c>
      <c r="N191" s="7" t="str">
        <f>IF(ISNA(MATCH(182,'Transfer Engine'!$C$2:$C$1199,0)),"",INDEX('Compliance Database'!$N$2:$N$1199,MATCH(182,'Transfer Engine'!$C$2:$C$1199,0)))</f>
        <v>• [Definition] AFS licensees will generally be able to comply with the law by adhering to the ways ASIC thinks they can comply.
• [Definition] Failure to do what is expected may result in further regulatory inquiry from ASIC.
• [Definition] ASIC is open to hearing about new or alternative ways to comply with the law.</v>
      </c>
      <c r="O191" s="7" t="str">
        <f>IF(ISNA(MATCH(182,'Transfer Engine'!$C$2:$C$1199,0)),"",INDEX('Compliance Database'!$O$2:$O$1199,MATCH(182,'Transfer Engine'!$C$2:$C$1199,0)))</f>
        <v>Generally, Australia's financial services regulatory regime is principles based and does not prescribe the steps that an AFS licensee needs to take to comply with the law.</v>
      </c>
      <c r="P191" s="6" t="str">
        <f>IF(ISNA(MATCH(182,'Transfer Engine'!$C$2:$C$1199,0)),"",HYPERLINK("#Acts!A"&amp;INDEX('Compliance Database'!$P$2:$P$1199,MATCH(182,'Transfer Engine'!$C$2:$C$1199,0)),"Go to Act"))</f>
        <v>Go to Act</v>
      </c>
    </row>
    <row r="192" spans="1:16" ht="172.95" customHeight="1" x14ac:dyDescent="0.3">
      <c r="A192" s="6" t="str">
        <f>IF(ISNA(MATCH(183,'Transfer Engine'!$C$2:$C$1199,0)),"",INDEX('Compliance Database'!$A$2:$A$1199,MATCH(183,'Transfer Engine'!$C$2:$C$1199,0)))</f>
        <v>Australia</v>
      </c>
      <c r="B192" s="6" t="str">
        <f>IF(ISNA(MATCH(183,'Transfer Engine'!$C$2:$C$1199,0)),"",INDEX('Compliance Database'!$B$2:$B$1199,MATCH(183,'Transfer Engine'!$C$2:$C$1199,0)))</f>
        <v>rg255-published-30-august-2016-20220328 (Australia - Row 9)</v>
      </c>
      <c r="C192" s="6" t="str">
        <f>IF(ISNA(MATCH(183,'Transfer Engine'!$C$2:$C$1199,0)),"",INDEX('Compliance Database'!$C$2:$C$1199,MATCH(183,'Transfer Engine'!$C$2:$C$1199,0)))</f>
        <v>p7</v>
      </c>
      <c r="D192" s="7" t="str">
        <f>IF(ISNA(MATCH(183,'Transfer Engine'!$C$2:$C$1199,0)),"",INDEX('Compliance Database'!$D$2:$D$1199,MATCH(183,'Transfer Engine'!$C$2:$C$1199,0)))</f>
        <v>Digital advice communication design and disclosure requirements</v>
      </c>
      <c r="E192" s="6" t="str">
        <f>IF(ISNA(MATCH(183,'Transfer Engine'!$C$2:$C$1199,0)),"",INDEX('Compliance Database'!$E$2:$E$1199,MATCH(183,'Transfer Engine'!$C$2:$C$1199,0)))</f>
        <v>7–8</v>
      </c>
      <c r="F192" s="6" t="str">
        <f>IF(ISNA(MATCH(183,'Transfer Engine'!$C$2:$C$1199,0)),"",INDEX('Compliance Database'!$F$2:$F$1199,MATCH(183,'Transfer Engine'!$C$2:$C$1199,0)))</f>
        <v>High</v>
      </c>
      <c r="G192" s="6" t="str">
        <f>IF(ISNA(MATCH(183,'Transfer Engine'!$C$2:$C$1199,0)),"",INDEX('Compliance Database'!$G$2:$G$1199,MATCH(183,'Transfer Engine'!$C$2:$C$1199,0)))</f>
        <v>High (explicit)</v>
      </c>
      <c r="H192" s="7">
        <f>IF(ISNA(MATCH(183,'Transfer Engine'!$C$2:$C$1199,0)),"",INDEX('Compliance Database'!$H$2:$H$1199,MATCH(183,'Transfer Engine'!$C$2:$C$1199,0)))</f>
        <v>0</v>
      </c>
      <c r="I192" s="7" t="str">
        <f>IF(ISNA(MATCH(183,'Transfer Engine'!$C$2:$C$1199,0)),"",INDEX('Compliance Database'!$I$2:$I$1199,MATCH(183,'Transfer Engine'!$C$2:$C$1199,0)))</f>
        <v>Customer Data</v>
      </c>
      <c r="J192" s="6" t="str">
        <f>IF(ISNA(MATCH(183,'Transfer Engine'!$C$2:$C$1199,0)),"",INDEX('Compliance Database'!$J$2:$J$1199,MATCH(183,'Transfer Engine'!$C$2:$C$1199,0)))</f>
        <v>ASIC</v>
      </c>
      <c r="K192" s="7" t="str">
        <f>IF(ISNA(MATCH(183,'Transfer Engine'!$C$2:$C$1199,0)),"",INDEX('Compliance Database'!$K$2:$K$1199,MATCH(183,'Transfer Engine'!$C$2:$C$1199,0)))</f>
        <v>Digital advice providers must design communications and disclosures with a user-focused approach prioritizing client needs. They should consider device-specific contexts and implement ongoing testing to enhance communication effectiveness. This applies to all digital advice providers operating in Australia.</v>
      </c>
      <c r="L192" s="7" t="str">
        <f>IF(ISNA(MATCH(183,'Transfer Engine'!$C$2:$C$1199,0)),"",INDEX('Compliance Database'!$L$2:$L$1199,MATCH(183,'Transfer Engine'!$C$2:$C$1199,0)))</f>
        <v>Digital advice providers must ensure communications are designed with client needs first and undergo ongoing testing to avoid misinterpretation of advice type. This affects how data is shared and disclosed across digital channels.</v>
      </c>
      <c r="M192" s="7" t="str">
        <f>IF(ISNA(MATCH(183,'Transfer Engine'!$C$2:$C$1199,0)),"",INDEX('Compliance Database'!$M$2:$M$1199,MATCH(183,'Transfer Engine'!$C$2:$C$1199,0)))</f>
        <v>• [Must] Digital advice providers must design communications and disclosures with a user-focused approach prioritizing client needs
• [Should] Digital advice providers should consider device-specific contexts for communication effectiveness</v>
      </c>
      <c r="N192" s="7" t="str">
        <f>IF(ISNA(MATCH(183,'Transfer Engine'!$C$2:$C$1199,0)),"",INDEX('Compliance Database'!$N$2:$N$1199,MATCH(183,'Transfer Engine'!$C$2:$C$1199,0)))</f>
        <v>• [Should] Digital advice providers should implement ongoing testing to enhance communication effectiveness</v>
      </c>
      <c r="O192" s="7" t="str">
        <f>IF(ISNA(MATCH(183,'Transfer Engine'!$C$2:$C$1199,0)),"",INDEX('Compliance Database'!$O$2:$O$1199,MATCH(183,'Transfer Engine'!$C$2:$C$1199,0)))</f>
        <v>Communication in a digital context: RG 255.15</v>
      </c>
      <c r="P192" s="6" t="str">
        <f>IF(ISNA(MATCH(183,'Transfer Engine'!$C$2:$C$1199,0)),"",HYPERLINK("#Acts!A"&amp;INDEX('Compliance Database'!$P$2:$P$1199,MATCH(183,'Transfer Engine'!$C$2:$C$1199,0)),"Go to Act"))</f>
        <v>Go to Act</v>
      </c>
    </row>
    <row r="193" spans="1:16" ht="172.95" customHeight="1" x14ac:dyDescent="0.3">
      <c r="A193" s="6" t="str">
        <f>IF(ISNA(MATCH(184,'Transfer Engine'!$C$2:$C$1199,0)),"",INDEX('Compliance Database'!$A$2:$A$1199,MATCH(184,'Transfer Engine'!$C$2:$C$1199,0)))</f>
        <v>Australia</v>
      </c>
      <c r="B193" s="6" t="str">
        <f>IF(ISNA(MATCH(184,'Transfer Engine'!$C$2:$C$1199,0)),"",INDEX('Compliance Database'!$B$2:$B$1199,MATCH(184,'Transfer Engine'!$C$2:$C$1199,0)))</f>
        <v>rg255-published-30-august-2016-20220328 (Australia - Row 9)</v>
      </c>
      <c r="C193" s="6" t="str">
        <f>IF(ISNA(MATCH(184,'Transfer Engine'!$C$2:$C$1199,0)),"",INDEX('Compliance Database'!$C$2:$C$1199,MATCH(184,'Transfer Engine'!$C$2:$C$1199,0)))</f>
        <v>p8</v>
      </c>
      <c r="D193" s="7" t="str">
        <f>IF(ISNA(MATCH(184,'Transfer Engine'!$C$2:$C$1199,0)),"",INDEX('Compliance Database'!$D$2:$D$1199,MATCH(184,'Transfer Engine'!$C$2:$C$1199,0)))</f>
        <v>AFS licensing requirements for digital advice providers</v>
      </c>
      <c r="E193" s="6" t="str">
        <f>IF(ISNA(MATCH(184,'Transfer Engine'!$C$2:$C$1199,0)),"",INDEX('Compliance Database'!$E$2:$E$1199,MATCH(184,'Transfer Engine'!$C$2:$C$1199,0)))</f>
        <v>8–9</v>
      </c>
      <c r="F193" s="6" t="str">
        <f>IF(ISNA(MATCH(184,'Transfer Engine'!$C$2:$C$1199,0)),"",INDEX('Compliance Database'!$F$2:$F$1199,MATCH(184,'Transfer Engine'!$C$2:$C$1199,0)))</f>
        <v>High</v>
      </c>
      <c r="G193" s="6" t="str">
        <f>IF(ISNA(MATCH(184,'Transfer Engine'!$C$2:$C$1199,0)),"",INDEX('Compliance Database'!$G$2:$G$1199,MATCH(184,'Transfer Engine'!$C$2:$C$1199,0)))</f>
        <v>High (explicit)</v>
      </c>
      <c r="H193" s="7">
        <f>IF(ISNA(MATCH(184,'Transfer Engine'!$C$2:$C$1199,0)),"",INDEX('Compliance Database'!$H$2:$H$1199,MATCH(184,'Transfer Engine'!$C$2:$C$1199,0)))</f>
        <v>0</v>
      </c>
      <c r="I193" s="7" t="str">
        <f>IF(ISNA(MATCH(184,'Transfer Engine'!$C$2:$C$1199,0)),"",INDEX('Compliance Database'!$I$2:$I$1199,MATCH(184,'Transfer Engine'!$C$2:$C$1199,0)))</f>
        <v>Customer Data</v>
      </c>
      <c r="J193" s="6" t="str">
        <f>IF(ISNA(MATCH(184,'Transfer Engine'!$C$2:$C$1199,0)),"",INDEX('Compliance Database'!$J$2:$J$1199,MATCH(184,'Transfer Engine'!$C$2:$C$1199,0)))</f>
        <v>ASIC</v>
      </c>
      <c r="K193" s="7" t="str">
        <f>IF(ISNA(MATCH(184,'Transfer Engine'!$C$2:$C$1199,0)),"",INDEX('Compliance Database'!$K$2:$K$1199,MATCH(184,'Transfer Engine'!$C$2:$C$1199,0)))</f>
        <v>Digital advice providers must hold an AFS licence or be an authorised representative of an AFS licensee unless exempted. This applies to all providers of financial product advice to retail clients. Providers must comply with conduct and disclosure obligations under the Corporations Act. Factual information provision does not require AFS licensing.</v>
      </c>
      <c r="L193" s="7" t="str">
        <f>IF(ISNA(MATCH(184,'Transfer Engine'!$C$2:$C$1199,0)),"",INDEX('Compliance Database'!$L$2:$L$1199,MATCH(184,'Transfer Engine'!$C$2:$C$1199,0)))</f>
        <v>Digital advice providers must obtain AFS licensing before providing financial product advice, which affects data transfer and processing across borders due to licensing requirements. This section clarifies when AFS licensing is required for digital advice.</v>
      </c>
      <c r="M193" s="7" t="str">
        <f>IF(ISNA(MATCH(184,'Transfer Engine'!$C$2:$C$1199,0)),"",INDEX('Compliance Database'!$M$2:$M$1199,MATCH(184,'Transfer Engine'!$C$2:$C$1199,0)))</f>
        <v>• [Must] Digital advice providers must hold an AFS licence or act as an authorised representative of an AFS licensee unless exempted
• [Must] Digital advice providers must comply with conduct and disclosure obligations under Pt 7.7 and Div 2 of Pt 7.7A</v>
      </c>
      <c r="N193" s="7" t="str">
        <f>IF(ISNA(MATCH(184,'Transfer Engine'!$C$2:$C$1199,0)),"",INDEX('Compliance Database'!$N$2:$N$1199,MATCH(184,'Transfer Engine'!$C$2:$C$1199,0)))</f>
        <v>• [Must] Factual information provision does not require AFS licensing</v>
      </c>
      <c r="O193" s="7" t="str">
        <f>IF(ISNA(MATCH(184,'Transfer Engine'!$C$2:$C$1199,0)),"",INDEX('Compliance Database'!$O$2:$O$1199,MATCH(184,'Transfer Engine'!$C$2:$C$1199,0)))</f>
        <v>Under the Corporations Act, you are required to hold an AFS licence, or to be an authorised representative of an AFS licensee, if you are carrying on a financial services business, unless an exemption applies.</v>
      </c>
      <c r="P193" s="6" t="str">
        <f>IF(ISNA(MATCH(184,'Transfer Engine'!$C$2:$C$1199,0)),"",HYPERLINK("#Acts!A"&amp;INDEX('Compliance Database'!$P$2:$P$1199,MATCH(184,'Transfer Engine'!$C$2:$C$1199,0)),"Go to Act"))</f>
        <v>Go to Act</v>
      </c>
    </row>
    <row r="194" spans="1:16" ht="172.95" customHeight="1" x14ac:dyDescent="0.3">
      <c r="A194" s="6" t="str">
        <f>IF(ISNA(MATCH(185,'Transfer Engine'!$C$2:$C$1199,0)),"",INDEX('Compliance Database'!$A$2:$A$1199,MATCH(185,'Transfer Engine'!$C$2:$C$1199,0)))</f>
        <v>Australia</v>
      </c>
      <c r="B194" s="6" t="str">
        <f>IF(ISNA(MATCH(185,'Transfer Engine'!$C$2:$C$1199,0)),"",INDEX('Compliance Database'!$B$2:$B$1199,MATCH(185,'Transfer Engine'!$C$2:$C$1199,0)))</f>
        <v>rg255-published-30-august-2016-20220328 (Australia - Row 9)</v>
      </c>
      <c r="C194" s="6" t="str">
        <f>IF(ISNA(MATCH(185,'Transfer Engine'!$C$2:$C$1199,0)),"",INDEX('Compliance Database'!$C$2:$C$1199,MATCH(185,'Transfer Engine'!$C$2:$C$1199,0)))</f>
        <v>p9</v>
      </c>
      <c r="D194" s="7" t="str">
        <f>IF(ISNA(MATCH(185,'Transfer Engine'!$C$2:$C$1199,0)),"",INDEX('Compliance Database'!$D$2:$D$1199,MATCH(185,'Transfer Engine'!$C$2:$C$1199,0)))</f>
        <v>Definition of financial product advice types for digital services</v>
      </c>
      <c r="E194" s="6" t="str">
        <f>IF(ISNA(MATCH(185,'Transfer Engine'!$C$2:$C$1199,0)),"",INDEX('Compliance Database'!$E$2:$E$1199,MATCH(185,'Transfer Engine'!$C$2:$C$1199,0)))</f>
        <v>9–10</v>
      </c>
      <c r="F194" s="6" t="str">
        <f>IF(ISNA(MATCH(185,'Transfer Engine'!$C$2:$C$1199,0)),"",INDEX('Compliance Database'!$F$2:$F$1199,MATCH(185,'Transfer Engine'!$C$2:$C$1199,0)))</f>
        <v>High</v>
      </c>
      <c r="G194" s="6" t="str">
        <f>IF(ISNA(MATCH(185,'Transfer Engine'!$C$2:$C$1199,0)),"",INDEX('Compliance Database'!$G$2:$G$1199,MATCH(185,'Transfer Engine'!$C$2:$C$1199,0)))</f>
        <v>High (explicit)</v>
      </c>
      <c r="H194" s="7">
        <f>IF(ISNA(MATCH(185,'Transfer Engine'!$C$2:$C$1199,0)),"",INDEX('Compliance Database'!$H$2:$H$1199,MATCH(185,'Transfer Engine'!$C$2:$C$1199,0)))</f>
        <v>0</v>
      </c>
      <c r="I194" s="7" t="str">
        <f>IF(ISNA(MATCH(185,'Transfer Engine'!$C$2:$C$1199,0)),"",INDEX('Compliance Database'!$I$2:$I$1199,MATCH(185,'Transfer Engine'!$C$2:$C$1199,0)))</f>
        <v>Customer Data</v>
      </c>
      <c r="J194" s="6" t="str">
        <f>IF(ISNA(MATCH(185,'Transfer Engine'!$C$2:$C$1199,0)),"",INDEX('Compliance Database'!$J$2:$J$1199,MATCH(185,'Transfer Engine'!$C$2:$C$1199,0)))</f>
        <v>ASIC</v>
      </c>
      <c r="K194" s="7" t="str">
        <f>IF(ISNA(MATCH(185,'Transfer Engine'!$C$2:$C$1199,0)),"",INDEX('Compliance Database'!$K$2:$K$1199,MATCH(185,'Transfer Engine'!$C$2:$C$1199,0)))</f>
        <v>Financial product advice is classified as either personal or general advice under the Corporations Act. Personal advice requires consideration of client objectives, financial situation, and needs. General advice does not consider these factors. Digital advice providers must determine whether their communications constitute personal or general advice to ensure appropriate licensing.</v>
      </c>
      <c r="L194" s="7" t="str">
        <f>IF(ISNA(MATCH(185,'Transfer Engine'!$C$2:$C$1199,0)),"",INDEX('Compliance Database'!$L$2:$L$1199,MATCH(185,'Transfer Engine'!$C$2:$C$1199,0)))</f>
        <v>Digital advice providers must classify their communications as factual information, general advice, or personal advice to determine licensing requirements. This classification affects data processing and transfer obligations.</v>
      </c>
      <c r="M194" s="7" t="str">
        <f>IF(ISNA(MATCH(185,'Transfer Engine'!$C$2:$C$1199,0)),"",INDEX('Compliance Database'!$M$2:$M$1199,MATCH(185,'Transfer Engine'!$C$2:$C$1199,0)))</f>
        <v>• [Must] Financial product advice is either personal or general advice under the Corporations Act
• [Must] Personal advice requires consideration of client objectives, financial situation, and needs</v>
      </c>
      <c r="N194" s="7" t="str">
        <f>IF(ISNA(MATCH(185,'Transfer Engine'!$C$2:$C$1199,0)),"",INDEX('Compliance Database'!$N$2:$N$1199,MATCH(185,'Transfer Engine'!$C$2:$C$1199,0)))</f>
        <v>• [Must] General advice does not consider client objectives, financial situation, or needs</v>
      </c>
      <c r="O194" s="7" t="str">
        <f>IF(ISNA(MATCH(185,'Transfer Engine'!$C$2:$C$1199,0)),"",INDEX('Compliance Database'!$O$2:$O$1199,MATCH(185,'Transfer Engine'!$C$2:$C$1199,0)))</f>
        <v>Under the Corporations Act, all financial product advice is either 'personal advice' or 'general advice'.</v>
      </c>
      <c r="P194" s="6" t="str">
        <f>IF(ISNA(MATCH(185,'Transfer Engine'!$C$2:$C$1199,0)),"",HYPERLINK("#Acts!A"&amp;INDEX('Compliance Database'!$P$2:$P$1199,MATCH(185,'Transfer Engine'!$C$2:$C$1199,0)),"Go to Act"))</f>
        <v>Go to Act</v>
      </c>
    </row>
    <row r="195" spans="1:16" ht="172.95" customHeight="1" x14ac:dyDescent="0.3">
      <c r="A195" s="6" t="str">
        <f>IF(ISNA(MATCH(186,'Transfer Engine'!$C$2:$C$1199,0)),"",INDEX('Compliance Database'!$A$2:$A$1199,MATCH(186,'Transfer Engine'!$C$2:$C$1199,0)))</f>
        <v>Australia</v>
      </c>
      <c r="B195" s="6" t="str">
        <f>IF(ISNA(MATCH(186,'Transfer Engine'!$C$2:$C$1199,0)),"",INDEX('Compliance Database'!$B$2:$B$1199,MATCH(186,'Transfer Engine'!$C$2:$C$1199,0)))</f>
        <v>rg255-published-30-august-2016-20220328 (Australia - Row 9)</v>
      </c>
      <c r="C195" s="6" t="str">
        <f>IF(ISNA(MATCH(186,'Transfer Engine'!$C$2:$C$1199,0)),"",INDEX('Compliance Database'!$C$2:$C$1199,MATCH(186,'Transfer Engine'!$C$2:$C$1199,0)))</f>
        <v>p10</v>
      </c>
      <c r="D195" s="7" t="str">
        <f>IF(ISNA(MATCH(186,'Transfer Engine'!$C$2:$C$1199,0)),"",INDEX('Compliance Database'!$D$2:$D$1199,MATCH(186,'Transfer Engine'!$C$2:$C$1199,0)))</f>
        <v>Examples of digital advice classification and licensing requirements</v>
      </c>
      <c r="E195" s="6" t="str">
        <f>IF(ISNA(MATCH(186,'Transfer Engine'!$C$2:$C$1199,0)),"",INDEX('Compliance Database'!$E$2:$E$1199,MATCH(186,'Transfer Engine'!$C$2:$C$1199,0)))</f>
        <v>10–11</v>
      </c>
      <c r="F195" s="6" t="str">
        <f>IF(ISNA(MATCH(186,'Transfer Engine'!$C$2:$C$1199,0)),"",INDEX('Compliance Database'!$F$2:$F$1199,MATCH(186,'Transfer Engine'!$C$2:$C$1199,0)))</f>
        <v>High</v>
      </c>
      <c r="G195" s="6" t="str">
        <f>IF(ISNA(MATCH(186,'Transfer Engine'!$C$2:$C$1199,0)),"",INDEX('Compliance Database'!$G$2:$G$1199,MATCH(186,'Transfer Engine'!$C$2:$C$1199,0)))</f>
        <v>High (explicit)</v>
      </c>
      <c r="H195" s="7">
        <f>IF(ISNA(MATCH(186,'Transfer Engine'!$C$2:$C$1199,0)),"",INDEX('Compliance Database'!$H$2:$H$1199,MATCH(186,'Transfer Engine'!$C$2:$C$1199,0)))</f>
        <v>0</v>
      </c>
      <c r="I195" s="7" t="str">
        <f>IF(ISNA(MATCH(186,'Transfer Engine'!$C$2:$C$1199,0)),"",INDEX('Compliance Database'!$I$2:$I$1199,MATCH(186,'Transfer Engine'!$C$2:$C$1199,0)))</f>
        <v>Customer Data</v>
      </c>
      <c r="J195" s="6" t="str">
        <f>IF(ISNA(MATCH(186,'Transfer Engine'!$C$2:$C$1199,0)),"",INDEX('Compliance Database'!$J$2:$J$1199,MATCH(186,'Transfer Engine'!$C$2:$C$1199,0)))</f>
        <v>ASIC</v>
      </c>
      <c r="K195" s="7" t="str">
        <f>IF(ISNA(MATCH(186,'Transfer Engine'!$C$2:$C$1199,0)),"",INDEX('Compliance Database'!$K$2:$K$1199,MATCH(186,'Transfer Engine'!$C$2:$C$1199,0)))</f>
        <v>Digital advice providers must determine whether their services constitute factual information, general advice, or personal advice. Examples show that providing recommendations or statements of opinion that influence client decisions requires AFS licensing. Providers must ensure their services meet the criteria for personal advice (considering client circumstances) or general advice (not considering client circumstances).</v>
      </c>
      <c r="L195" s="7" t="str">
        <f>IF(ISNA(MATCH(186,'Transfer Engine'!$C$2:$C$1199,0)),"",INDEX('Compliance Database'!$L$2:$L$1199,MATCH(186,'Transfer Engine'!$C$2:$C$1199,0)))</f>
        <v>Digital advice providers must classify their services as factual information, general advice, or personal advice to determine AFS licensing requirements. This classification directly impacts data transfer and processing obligations.</v>
      </c>
      <c r="M195" s="7" t="str">
        <f>IF(ISNA(MATCH(186,'Transfer Engine'!$C$2:$C$1199,0)),"",INDEX('Compliance Database'!$M$2:$M$1199,MATCH(186,'Transfer Engine'!$C$2:$C$1199,0)))</f>
        <v>• [Must] Digital advice providers must determine whether their services constitute factual information, general advice, or personal advice
• [Must] Services providing recommendations or statements of opinion that influence client decisions require AFS licensing</v>
      </c>
      <c r="N195" s="7" t="str">
        <f>IF(ISNA(MATCH(186,'Transfer Engine'!$C$2:$C$1199,0)),"",INDEX('Compliance Database'!$N$2:$N$1199,MATCH(186,'Transfer Engine'!$C$2:$C$1199,0)))</f>
        <v>• [Must] Personal advice requires consideration of client objectives, financial situation, and needs</v>
      </c>
      <c r="O195" s="7" t="str">
        <f>IF(ISNA(MATCH(186,'Transfer Engine'!$C$2:$C$1199,0)),"",INDEX('Compliance Database'!$O$2:$O$1199,MATCH(186,'Transfer Engine'!$C$2:$C$1199,0)))</f>
        <v>If a communication is a recommendation or a statement of opinion, or a report of either of these things, that is intended to, or can reasonably be regarded as being intended to, influence a client in making a decision about a particular financial product or class of financial product (or an interest in either of these), it is financial product advice: s766B (see RG 244.27).</v>
      </c>
      <c r="P195" s="6" t="str">
        <f>IF(ISNA(MATCH(186,'Transfer Engine'!$C$2:$C$1199,0)),"",HYPERLINK("#Acts!A"&amp;INDEX('Compliance Database'!$P$2:$P$1199,MATCH(186,'Transfer Engine'!$C$2:$C$1199,0)),"Go to Act"))</f>
        <v>Go to Act</v>
      </c>
    </row>
    <row r="196" spans="1:16" ht="172.95" customHeight="1" x14ac:dyDescent="0.3">
      <c r="A196" s="6" t="str">
        <f>IF(ISNA(MATCH(187,'Transfer Engine'!$C$2:$C$1199,0)),"",INDEX('Compliance Database'!$A$2:$A$1199,MATCH(187,'Transfer Engine'!$C$2:$C$1199,0)))</f>
        <v>Australia</v>
      </c>
      <c r="B196" s="6" t="str">
        <f>IF(ISNA(MATCH(187,'Transfer Engine'!$C$2:$C$1199,0)),"",INDEX('Compliance Database'!$B$2:$B$1199,MATCH(187,'Transfer Engine'!$C$2:$C$1199,0)))</f>
        <v>rg255-published-30-august-2016-20220328 (Australia - Row 9)</v>
      </c>
      <c r="C196" s="6" t="str">
        <f>IF(ISNA(MATCH(187,'Transfer Engine'!$C$2:$C$1199,0)),"",INDEX('Compliance Database'!$C$2:$C$1199,MATCH(187,'Transfer Engine'!$C$2:$C$1199,0)))</f>
        <v>p11</v>
      </c>
      <c r="D196" s="7" t="str">
        <f>IF(ISNA(MATCH(187,'Transfer Engine'!$C$2:$C$1199,0)),"",INDEX('Compliance Database'!$D$2:$D$1199,MATCH(187,'Transfer Engine'!$C$2:$C$1199,0)))</f>
        <v>Exemptions and AFS licensing arrangements for digital advice</v>
      </c>
      <c r="E196" s="6" t="str">
        <f>IF(ISNA(MATCH(187,'Transfer Engine'!$C$2:$C$1199,0)),"",INDEX('Compliance Database'!$E$2:$E$1199,MATCH(187,'Transfer Engine'!$C$2:$C$1199,0)))</f>
        <v>11–12</v>
      </c>
      <c r="F196" s="6" t="str">
        <f>IF(ISNA(MATCH(187,'Transfer Engine'!$C$2:$C$1199,0)),"",INDEX('Compliance Database'!$F$2:$F$1199,MATCH(187,'Transfer Engine'!$C$2:$C$1199,0)))</f>
        <v>High</v>
      </c>
      <c r="G196" s="6" t="str">
        <f>IF(ISNA(MATCH(187,'Transfer Engine'!$C$2:$C$1199,0)),"",INDEX('Compliance Database'!$G$2:$G$1199,MATCH(187,'Transfer Engine'!$C$2:$C$1199,0)))</f>
        <v>High (explicit)</v>
      </c>
      <c r="H196" s="7">
        <f>IF(ISNA(MATCH(187,'Transfer Engine'!$C$2:$C$1199,0)),"",INDEX('Compliance Database'!$H$2:$H$1199,MATCH(187,'Transfer Engine'!$C$2:$C$1199,0)))</f>
        <v>0</v>
      </c>
      <c r="I196" s="7" t="str">
        <f>IF(ISNA(MATCH(187,'Transfer Engine'!$C$2:$C$1199,0)),"",INDEX('Compliance Database'!$I$2:$I$1199,MATCH(187,'Transfer Engine'!$C$2:$C$1199,0)))</f>
        <v>Customer Data</v>
      </c>
      <c r="J196" s="6" t="str">
        <f>IF(ISNA(MATCH(187,'Transfer Engine'!$C$2:$C$1199,0)),"",INDEX('Compliance Database'!$J$2:$J$1199,MATCH(187,'Transfer Engine'!$C$2:$C$1199,0)))</f>
        <v>ASIC</v>
      </c>
      <c r="K196" s="7" t="str">
        <f>IF(ISNA(MATCH(187,'Transfer Engine'!$C$2:$C$1199,0)),"",INDEX('Compliance Database'!$K$2:$K$1199,MATCH(187,'Transfer Engine'!$C$2:$C$1199,0)))</f>
        <v>Digital advice providers may be exempt from AFS licensing if they provide generic financial calculators or only allocate funds among general asset types without recommending specific products. Existing AFS licensees may not need to change licensing arrangements but must review compliance. Start-up fintech businesses must obtain their own licence or become authorised representatives.</v>
      </c>
      <c r="L196" s="7" t="str">
        <f>IF(ISNA(MATCH(187,'Transfer Engine'!$C$2:$C$1199,0)),"",INDEX('Compliance Database'!$L$2:$L$1199,MATCH(187,'Transfer Engine'!$C$2:$C$1199,0)))</f>
        <v>Digital advice providers must determine if they qualify for exemptions from AFS licensing, which affects data transfer and processing obligations. This section clarifies when licensing is required for digital advice services.</v>
      </c>
      <c r="M196" s="7" t="str">
        <f>IF(ISNA(MATCH(187,'Transfer Engine'!$C$2:$C$1199,0)),"",INDEX('Compliance Database'!$M$2:$M$1199,MATCH(187,'Transfer Engine'!$C$2:$C$1199,0)))</f>
        <v>• [May] Digital advice providers may be exempt from AFS licensing if they provide generic financial calculators
• [May] Digital advice providers may be exempt from AFS licensing if they only allocate funds among general asset types without recommending specific products</v>
      </c>
      <c r="N196" s="7" t="str">
        <f>IF(ISNA(MATCH(187,'Transfer Engine'!$C$2:$C$1199,0)),"",INDEX('Compliance Database'!$N$2:$N$1199,MATCH(187,'Transfer Engine'!$C$2:$C$1199,0)))</f>
        <v>• [May] Existing AFS licensees may not need to change licensing arrangements to provide digital advice
• [Must] Start-up fintech businesses must obtain their own AFS licence or become authorised representatives</v>
      </c>
      <c r="O196" s="7" t="str">
        <f>IF(ISNA(MATCH(187,'Transfer Engine'!$C$2:$C$1199,0)),"",INDEX('Compliance Database'!$O$2:$O$1199,MATCH(187,'Transfer Engine'!$C$2:$C$1199,0)))</f>
        <v>Depending on your circumstances, you may be exempt or have relief from the requirement to hold an AFS licence: see 911A(2) and RG 36.34.</v>
      </c>
      <c r="P196" s="6" t="str">
        <f>IF(ISNA(MATCH(187,'Transfer Engine'!$C$2:$C$1199,0)),"",HYPERLINK("#Acts!A"&amp;INDEX('Compliance Database'!$P$2:$P$1199,MATCH(187,'Transfer Engine'!$C$2:$C$1199,0)),"Go to Act"))</f>
        <v>Go to Act</v>
      </c>
    </row>
    <row r="197" spans="1:16" ht="172.95" customHeight="1" x14ac:dyDescent="0.3">
      <c r="A197" s="6" t="str">
        <f>IF(ISNA(MATCH(188,'Transfer Engine'!$C$2:$C$1199,0)),"",INDEX('Compliance Database'!$A$2:$A$1199,MATCH(188,'Transfer Engine'!$C$2:$C$1199,0)))</f>
        <v>Australia</v>
      </c>
      <c r="B197" s="6" t="str">
        <f>IF(ISNA(MATCH(188,'Transfer Engine'!$C$2:$C$1199,0)),"",INDEX('Compliance Database'!$B$2:$B$1199,MATCH(188,'Transfer Engine'!$C$2:$C$1199,0)))</f>
        <v>rg255-published-30-august-2016-20220328 (Australia - Row 9)</v>
      </c>
      <c r="C197" s="6" t="str">
        <f>IF(ISNA(MATCH(188,'Transfer Engine'!$C$2:$C$1199,0)),"",INDEX('Compliance Database'!$C$2:$C$1199,MATCH(188,'Transfer Engine'!$C$2:$C$1199,0)))</f>
        <v>p12</v>
      </c>
      <c r="D197" s="7" t="str">
        <f>IF(ISNA(MATCH(188,'Transfer Engine'!$C$2:$C$1199,0)),"",INDEX('Compliance Database'!$D$2:$D$1199,MATCH(188,'Transfer Engine'!$C$2:$C$1199,0)))</f>
        <v>Becoming an authorised representative for digital advice services</v>
      </c>
      <c r="E197" s="6" t="str">
        <f>IF(ISNA(MATCH(188,'Transfer Engine'!$C$2:$C$1199,0)),"",INDEX('Compliance Database'!$E$2:$E$1199,MATCH(188,'Transfer Engine'!$C$2:$C$1199,0)))</f>
        <v>12–13</v>
      </c>
      <c r="F197" s="6" t="str">
        <f>IF(ISNA(MATCH(188,'Transfer Engine'!$C$2:$C$1199,0)),"",INDEX('Compliance Database'!$F$2:$F$1199,MATCH(188,'Transfer Engine'!$C$2:$C$1199,0)))</f>
        <v>High</v>
      </c>
      <c r="G197" s="6" t="str">
        <f>IF(ISNA(MATCH(188,'Transfer Engine'!$C$2:$C$1199,0)),"",INDEX('Compliance Database'!$G$2:$G$1199,MATCH(188,'Transfer Engine'!$C$2:$C$1199,0)))</f>
        <v>High (explicit)</v>
      </c>
      <c r="H197" s="7">
        <f>IF(ISNA(MATCH(188,'Transfer Engine'!$C$2:$C$1199,0)),"",INDEX('Compliance Database'!$H$2:$H$1199,MATCH(188,'Transfer Engine'!$C$2:$C$1199,0)))</f>
        <v>0</v>
      </c>
      <c r="I197" s="7" t="str">
        <f>IF(ISNA(MATCH(188,'Transfer Engine'!$C$2:$C$1199,0)),"",INDEX('Compliance Database'!$I$2:$I$1199,MATCH(188,'Transfer Engine'!$C$2:$C$1199,0)))</f>
        <v>Customer Data</v>
      </c>
      <c r="J197" s="6" t="str">
        <f>IF(ISNA(MATCH(188,'Transfer Engine'!$C$2:$C$1199,0)),"",INDEX('Compliance Database'!$J$2:$J$1199,MATCH(188,'Transfer Engine'!$C$2:$C$1199,0)))</f>
        <v>ASIC</v>
      </c>
      <c r="K197" s="7" t="str">
        <f>IF(ISNA(MATCH(188,'Transfer Engine'!$C$2:$C$1199,0)),"",INDEX('Compliance Database'!$K$2:$K$1199,MATCH(188,'Transfer Engine'!$C$2:$C$1199,0)))</f>
        <v>Digital advice providers considering becoming authorised representatives must obtain written authorisation from an AFS licensee. They must consider the type of financial services, required licence authorisations, and compliance assistance needs. AFS licensees must have appropriate licence authorisations to provide financial product advice to clients.</v>
      </c>
      <c r="L197" s="7" t="str">
        <f>IF(ISNA(MATCH(188,'Transfer Engine'!$C$2:$C$1199,0)),"",INDEX('Compliance Database'!$L$2:$L$1199,MATCH(188,'Transfer Engine'!$C$2:$C$1199,0)))</f>
        <v>Digital advice providers must obtain written authorisation from an AFS licensee to act as an authorised representative, which affects data transfer and processing obligations. This section outlines the requirements for becoming an authorised representative.</v>
      </c>
      <c r="M197" s="7" t="str">
        <f>IF(ISNA(MATCH(188,'Transfer Engine'!$C$2:$C$1199,0)),"",INDEX('Compliance Database'!$M$2:$M$1199,MATCH(188,'Transfer Engine'!$C$2:$C$1199,0)))</f>
        <v>• [Must] Digital advice providers must obtain written authorisation from an AFS licensee to act as an authorised representative
• [Must] Digital advice providers must consider the type of financial services they intend to offer</v>
      </c>
      <c r="N197" s="7" t="str">
        <f>IF(ISNA(MATCH(188,'Transfer Engine'!$C$2:$C$1199,0)),"",INDEX('Compliance Database'!$N$2:$N$1199,MATCH(188,'Transfer Engine'!$C$2:$C$1199,0)))</f>
        <v>• [Must] Digital advice providers must consider the required licence authorisations for their business
• [Must] Digital advice providers must consider compliance assistance needs</v>
      </c>
      <c r="O197" s="7" t="str">
        <f>IF(ISNA(MATCH(188,'Transfer Engine'!$C$2:$C$1199,0)),"",INDEX('Compliance Database'!$O$2:$O$1199,MATCH(188,'Transfer Engine'!$C$2:$C$1199,0)))</f>
        <v>If you would like to provide a financial service, such as digital advice, as an authorised representative on behalf of an AFS licensee, you must hold a written authorisation from that licensee: see s916A of the Corporations Act.</v>
      </c>
      <c r="P197" s="6" t="str">
        <f>IF(ISNA(MATCH(188,'Transfer Engine'!$C$2:$C$1199,0)),"",HYPERLINK("#Acts!A"&amp;INDEX('Compliance Database'!$P$2:$P$1199,MATCH(188,'Transfer Engine'!$C$2:$C$1199,0)),"Go to Act"))</f>
        <v>Go to Act</v>
      </c>
    </row>
    <row r="198" spans="1:16" ht="172.95" customHeight="1" x14ac:dyDescent="0.3">
      <c r="A198" s="6" t="str">
        <f>IF(ISNA(MATCH(189,'Transfer Engine'!$C$2:$C$1199,0)),"",INDEX('Compliance Database'!$A$2:$A$1199,MATCH(189,'Transfer Engine'!$C$2:$C$1199,0)))</f>
        <v>Australia</v>
      </c>
      <c r="B198" s="6" t="str">
        <f>IF(ISNA(MATCH(189,'Transfer Engine'!$C$2:$C$1199,0)),"",INDEX('Compliance Database'!$B$2:$B$1199,MATCH(189,'Transfer Engine'!$C$2:$C$1199,0)))</f>
        <v>rg255-published-30-august-2016-20220328 (Australia - Row 9)</v>
      </c>
      <c r="C198" s="6" t="str">
        <f>IF(ISNA(MATCH(189,'Transfer Engine'!$C$2:$C$1199,0)),"",INDEX('Compliance Database'!$C$2:$C$1199,MATCH(189,'Transfer Engine'!$C$2:$C$1199,0)))</f>
        <v>p13</v>
      </c>
      <c r="D198" s="7" t="str">
        <f>IF(ISNA(MATCH(189,'Transfer Engine'!$C$2:$C$1199,0)),"",INDEX('Compliance Database'!$D$2:$D$1199,MATCH(189,'Transfer Engine'!$C$2:$C$1199,0)))</f>
        <v>Digital advice provider assessment questions for AFS licensees</v>
      </c>
      <c r="E198" s="6" t="str">
        <f>IF(ISNA(MATCH(189,'Transfer Engine'!$C$2:$C$1199,0)),"",INDEX('Compliance Database'!$E$2:$E$1199,MATCH(189,'Transfer Engine'!$C$2:$C$1199,0)))</f>
        <v>13–14</v>
      </c>
      <c r="F198" s="6" t="str">
        <f>IF(ISNA(MATCH(189,'Transfer Engine'!$C$2:$C$1199,0)),"",INDEX('Compliance Database'!$F$2:$F$1199,MATCH(189,'Transfer Engine'!$C$2:$C$1199,0)))</f>
        <v>High</v>
      </c>
      <c r="G198" s="6" t="str">
        <f>IF(ISNA(MATCH(189,'Transfer Engine'!$C$2:$C$1199,0)),"",INDEX('Compliance Database'!$G$2:$G$1199,MATCH(189,'Transfer Engine'!$C$2:$C$1199,0)))</f>
        <v>High (explicit)</v>
      </c>
      <c r="H198" s="7" t="str">
        <f>IF(ISNA(MATCH(189,'Transfer Engine'!$C$2:$C$1199,0)),"",INDEX('Compliance Database'!$H$2:$H$1199,MATCH(189,'Transfer Engine'!$C$2:$C$1199,0)))</f>
        <v>Cross-border Transfer, Data Storage, Security, Processing, Data Sharing, Third Party Processing, Cloud Services, Incident Reporting, Breach Notification</v>
      </c>
      <c r="I198" s="7" t="str">
        <f>IF(ISNA(MATCH(189,'Transfer Engine'!$C$2:$C$1199,0)),"",INDEX('Compliance Database'!$I$2:$I$1199,MATCH(189,'Transfer Engine'!$C$2:$C$1199,0)))</f>
        <v>Financial Data, Customer Data</v>
      </c>
      <c r="J198" s="6" t="str">
        <f>IF(ISNA(MATCH(189,'Transfer Engine'!$C$2:$C$1199,0)),"",INDEX('Compliance Database'!$J$2:$J$1199,MATCH(189,'Transfer Engine'!$C$2:$C$1199,0)))</f>
        <v>ASIC</v>
      </c>
      <c r="K198" s="7" t="str">
        <f>IF(ISNA(MATCH(189,'Transfer Engine'!$C$2:$C$1199,0)),"",INDEX('Compliance Database'!$K$2:$K$1199,MATCH(189,'Transfer Engine'!$C$2:$C$1199,0)))</f>
        <v>This section outlines sample questions for prospective Australian Financial Services (AFS) licensees to assess their capability in providing digital financial advice. It covers business model, revenue sources, license scope, experience with innovation, algorithm testing, representative numbers, compliance assistance, training provision, monitoring capabilities, record-keeping procedures, past regulatory notifications, and enforcement history. The questions aim to evaluate whether the licensee can meet regulatory obligations for digital advice services.</v>
      </c>
      <c r="L198" s="7" t="str">
        <f>IF(ISNA(MATCH(189,'Transfer Engine'!$C$2:$C$1199,0)),"",INDEX('Compliance Database'!$L$2:$L$1199,MATCH(189,'Transfer Engine'!$C$2:$C$1199,0)))</f>
        <v>This section identifies key questions to assess AFS licensees' capacity for digital advice, including algorithm testing and compliance monitoring, which are critical for data transfer impact assessments involving algorithmic financial advice systems.</v>
      </c>
      <c r="M198" s="7" t="str">
        <f>IF(ISNA(MATCH(189,'Transfer Engine'!$C$2:$C$1199,0)),"",INDEX('Compliance Database'!$M$2:$M$1199,MATCH(189,'Transfer Engine'!$C$2:$C$1199,0)))</f>
        <v>• [Must] What is your main financial services business?
• [Must] Do you operate your own financial services business or only obtain revenue by appointing authorised representatives?
• [Must] Does your AFS licence include authorisations needed to provide digital advice and related services?
• [Must] What experience do you have with innovation and digital advice?
• [Must] What monitoring and testing will you carry out in relation to advice algorithms?
• [Must] How many other authorised representatives do you have?</v>
      </c>
      <c r="N198" s="7" t="str">
        <f>IF(ISNA(MATCH(189,'Transfer Engine'!$C$2:$C$1199,0)),"",INDEX('Compliance Database'!$N$2:$N$1199,MATCH(189,'Transfer Engine'!$C$2:$C$1199,0)))</f>
        <v>• [Must] What compliance assistance will you provide?
• [Must] Will you provide my business with any training?
• [Must] Will you provide enough monitoring and supervision to ensure my business operates within the law?
• [Must] Do you have compliance procedures for record keeping?
• [Must] How many notifications of reportable situations have you lodged with ASIC in the past two years?
• [Must] Have you been the subject of any ASIC or other regulatory agency's surveillance, investigation, enforceable undertaking or enforcement action?</v>
      </c>
      <c r="O198" s="7" t="str">
        <f>IF(ISNA(MATCH(189,'Transfer Engine'!$C$2:$C$1199,0)),"",INDEX('Compliance Database'!$O$2:$O$1199,MATCH(189,'Transfer Engine'!$C$2:$C$1199,0)))</f>
        <v>Sample questions to ask prospective AFS licensees • What is your main financial services business? • Do you operate your own financial services business or do you only obtain your revenue by appointing authorised representatives? • Does your AFS licence include the authorisations that my business needs to provide digital advice and any related services? • What experience do you have with innovation and digital advice? • What monitoring and testing will you carry out in relation to my advice algorithms? • How many other authorised representatives do you have? • What compliance assistance will you provide? • Will you provide my business with any training? • Will you provide enough monitoring and supervision to ensure that my business is operating within the law? • Do you have compliance procedures for record keeping? • How many notifications of reportable situations have you lodged with ASIC in the past two years? • Have you been the subject of any ASIC or other regulatory agency's surveillance, investigation, enforceable undertaking or enforcement action?</v>
      </c>
      <c r="P198" s="6" t="str">
        <f>IF(ISNA(MATCH(189,'Transfer Engine'!$C$2:$C$1199,0)),"",HYPERLINK("#Acts!A"&amp;INDEX('Compliance Database'!$P$2:$P$1199,MATCH(189,'Transfer Engine'!$C$2:$C$1199,0)),"Go to Act"))</f>
        <v>Go to Act</v>
      </c>
    </row>
    <row r="199" spans="1:16" ht="172.95" customHeight="1" x14ac:dyDescent="0.3">
      <c r="A199" s="6" t="str">
        <f>IF(ISNA(MATCH(190,'Transfer Engine'!$C$2:$C$1199,0)),"",INDEX('Compliance Database'!$A$2:$A$1199,MATCH(190,'Transfer Engine'!$C$2:$C$1199,0)))</f>
        <v>Australia</v>
      </c>
      <c r="B199" s="6" t="str">
        <f>IF(ISNA(MATCH(190,'Transfer Engine'!$C$2:$C$1199,0)),"",INDEX('Compliance Database'!$B$2:$B$1199,MATCH(190,'Transfer Engine'!$C$2:$C$1199,0)))</f>
        <v>rg255-published-30-august-2016-20220328 (Australia - Row 9)</v>
      </c>
      <c r="C199" s="6" t="str">
        <f>IF(ISNA(MATCH(190,'Transfer Engine'!$C$2:$C$1199,0)),"",INDEX('Compliance Database'!$C$2:$C$1199,MATCH(190,'Transfer Engine'!$C$2:$C$1199,0)))</f>
        <v>p14</v>
      </c>
      <c r="D199" s="7" t="str">
        <f>IF(ISNA(MATCH(190,'Transfer Engine'!$C$2:$C$1199,0)),"",INDEX('Compliance Database'!$D$2:$D$1199,MATCH(190,'Transfer Engine'!$C$2:$C$1199,0)))</f>
        <v>Additional information required for AFS licensees providing digital advice</v>
      </c>
      <c r="E199" s="6" t="str">
        <f>IF(ISNA(MATCH(190,'Transfer Engine'!$C$2:$C$1199,0)),"",INDEX('Compliance Database'!$E$2:$E$1199,MATCH(190,'Transfer Engine'!$C$2:$C$1199,0)))</f>
        <v>14–15</v>
      </c>
      <c r="F199" s="6" t="str">
        <f>IF(ISNA(MATCH(190,'Transfer Engine'!$C$2:$C$1199,0)),"",INDEX('Compliance Database'!$F$2:$F$1199,MATCH(190,'Transfer Engine'!$C$2:$C$1199,0)))</f>
        <v>High</v>
      </c>
      <c r="G199" s="6" t="str">
        <f>IF(ISNA(MATCH(190,'Transfer Engine'!$C$2:$C$1199,0)),"",INDEX('Compliance Database'!$G$2:$G$1199,MATCH(190,'Transfer Engine'!$C$2:$C$1199,0)))</f>
        <v>High (explicit)</v>
      </c>
      <c r="H199" s="7" t="str">
        <f>IF(ISNA(MATCH(190,'Transfer Engine'!$C$2:$C$1199,0)),"",INDEX('Compliance Database'!$H$2:$H$1199,MATCH(190,'Transfer Engine'!$C$2:$C$1199,0)))</f>
        <v>Cross-border Transfer, Data Storage, Security, Processing, Data Sharing, Third Party Processing, Cloud Services, Incident Reporting, Breach Notification</v>
      </c>
      <c r="I199" s="7" t="str">
        <f>IF(ISNA(MATCH(190,'Transfer Engine'!$C$2:$C$1199,0)),"",INDEX('Compliance Database'!$I$2:$I$1199,MATCH(190,'Transfer Engine'!$C$2:$C$1199,0)))</f>
        <v>Financial Data, Customer Data</v>
      </c>
      <c r="J199" s="6" t="str">
        <f>IF(ISNA(MATCH(190,'Transfer Engine'!$C$2:$C$1199,0)),"",INDEX('Compliance Database'!$J$2:$J$1199,MATCH(190,'Transfer Engine'!$C$2:$C$1199,0)))</f>
        <v>ASIC</v>
      </c>
      <c r="K199" s="7" t="str">
        <f>IF(ISNA(MATCH(190,'Transfer Engine'!$C$2:$C$1199,0)),"",INDEX('Compliance Database'!$K$2:$K$1199,MATCH(190,'Transfer Engine'!$C$2:$C$1199,0)))</f>
        <v>This section specifies additional information AFS licensees must provide to ASIC when applying for a license to offer digital financial advice. It covers human resources with technological knowledge, human review for personal advice, outsourcing measures, algorithm monitoring procedures, record-keeping arrangements, risk management and security systems, and professional indemnity insurance adequacy. The requirements ensure digital advice providers meet regulatory standards for client data handling and service delivery.</v>
      </c>
      <c r="L199" s="7" t="str">
        <f>IF(ISNA(MATCH(190,'Transfer Engine'!$C$2:$C$1199,0)),"",INDEX('Compliance Database'!$L$2:$L$1199,MATCH(190,'Transfer Engine'!$C$2:$C$1199,0)))</f>
        <v>This section details specific information needed for digital advice providers to ensure compliance with data handling and security requirements, which are critical for data transfer impact assessments involving algorithmic financial advice.</v>
      </c>
      <c r="M199" s="7" t="str">
        <f>IF(ISNA(MATCH(190,'Transfer Engine'!$C$2:$C$1199,0)),"",INDEX('Compliance Database'!$M$2:$M$1199,MATCH(190,'Transfer Engine'!$C$2:$C$1199,0)))</f>
        <v>• [Must] Provide information about human resources with technological knowledge and skills to understand algorithms and review digital advice
• [Must] Specify the level of human review for personal advice generated by algorithms
• [Must] Describe measures to ensure due skill and care in selecting service providers when outsourcing functions
• [Must] Outline procedures to monitor ongoing performance of service providers</v>
      </c>
      <c r="N199" s="7" t="str">
        <f>IF(ISNA(MATCH(190,'Transfer Engine'!$C$2:$C$1199,0)),"",INDEX('Compliance Database'!$N$2:$N$1199,MATCH(190,'Transfer Engine'!$C$2:$C$1199,0)))</f>
        <v>• [Must] Detail procedures for monitoring and testing algorithms
• [Must] Explain arrangements for complying with record-keeping obligations
• [Must] Describe risk management and security arrangements for client information storage and transmission
• [Must] Explain how professional indemnity insurance cover is determined to be adequate</v>
      </c>
      <c r="O199" s="7" t="str">
        <f>IF(ISNA(MATCH(190,'Transfer Engine'!$C$2:$C$1199,0)),"",INDEX('Compliance Database'!$O$2:$O$1199,MATCH(190,'Transfer Engine'!$C$2:$C$1199,0)))</f>
        <v>RG 255.45: RG 2 explains what information you need to provide to ASIC as part of your AFS licence application. Depending on the nature, scale and complexity of your business, we may ask you for additional information about: (a) the human resources you will have with the technological knowledge and skills to: (i) generally understand the technology and algorithms used to provide the digital advice; and (ii) review the digital advice generated by algorithms (see RG 255.60–RG 255.64); (b) if you are providing personal advice, the level of human review that will be undertaken on the advice generated (see RG 255.109–RG 255.112); (c) if you outsource any functions, the measures you will put in place to ensure that: (i) due skill and care are taken in choosing suitable service providers; and (ii) you can and will monitor the ongoing performance of service providers (see RG 255.67–RG 255.68); (d) the procedures you have in place to monitor and test algorithms (see RG 255.72–RG 255.74); (e) the arrangements you will put in place to comply with your record-keeping obligations; (f) the risk management and security arrangements you will have in place to ensure that client information is stored and transmitted securely (see RG 255.70–RG 255.79); and (g) how you have determined that your professional indemnity (PI) insurance cover is adequate (see RG 255.80–RG 255.85).</v>
      </c>
      <c r="P199" s="6" t="str">
        <f>IF(ISNA(MATCH(190,'Transfer Engine'!$C$2:$C$1199,0)),"",HYPERLINK("#Acts!A"&amp;INDEX('Compliance Database'!$P$2:$P$1199,MATCH(190,'Transfer Engine'!$C$2:$C$1199,0)),"Go to Act"))</f>
        <v>Go to Act</v>
      </c>
    </row>
    <row r="200" spans="1:16" ht="172.95" customHeight="1" x14ac:dyDescent="0.3">
      <c r="A200" s="6" t="str">
        <f>IF(ISNA(MATCH(191,'Transfer Engine'!$C$2:$C$1199,0)),"",INDEX('Compliance Database'!$A$2:$A$1199,MATCH(191,'Transfer Engine'!$C$2:$C$1199,0)))</f>
        <v>Australia</v>
      </c>
      <c r="B200" s="6" t="str">
        <f>IF(ISNA(MATCH(191,'Transfer Engine'!$C$2:$C$1199,0)),"",INDEX('Compliance Database'!$B$2:$B$1199,MATCH(191,'Transfer Engine'!$C$2:$C$1199,0)))</f>
        <v>rg255-published-30-august-2016-20220328 (Australia - Row 9)</v>
      </c>
      <c r="C200" s="6" t="str">
        <f>IF(ISNA(MATCH(191,'Transfer Engine'!$C$2:$C$1199,0)),"",INDEX('Compliance Database'!$C$2:$C$1199,MATCH(191,'Transfer Engine'!$C$2:$C$1199,0)))</f>
        <v>p15</v>
      </c>
      <c r="D200" s="7" t="str">
        <f>IF(ISNA(MATCH(191,'Transfer Engine'!$C$2:$C$1199,0)),"",INDEX('Compliance Database'!$D$2:$D$1199,MATCH(191,'Transfer Engine'!$C$2:$C$1199,0)))</f>
        <v>Organisational competence requirements for digital advice licensees</v>
      </c>
      <c r="E200" s="6" t="str">
        <f>IF(ISNA(MATCH(191,'Transfer Engine'!$C$2:$C$1199,0)),"",INDEX('Compliance Database'!$E$2:$E$1199,MATCH(191,'Transfer Engine'!$C$2:$C$1199,0)))</f>
        <v>15–16</v>
      </c>
      <c r="F200" s="6" t="str">
        <f>IF(ISNA(MATCH(191,'Transfer Engine'!$C$2:$C$1199,0)),"",INDEX('Compliance Database'!$F$2:$F$1199,MATCH(191,'Transfer Engine'!$C$2:$C$1199,0)))</f>
        <v>High</v>
      </c>
      <c r="G200" s="6" t="str">
        <f>IF(ISNA(MATCH(191,'Transfer Engine'!$C$2:$C$1199,0)),"",INDEX('Compliance Database'!$G$2:$G$1199,MATCH(191,'Transfer Engine'!$C$2:$C$1199,0)))</f>
        <v>High (explicit)</v>
      </c>
      <c r="H200" s="7" t="str">
        <f>IF(ISNA(MATCH(191,'Transfer Engine'!$C$2:$C$1199,0)),"",INDEX('Compliance Database'!$H$2:$H$1199,MATCH(191,'Transfer Engine'!$C$2:$C$1199,0)))</f>
        <v>Cross-border Transfer, Data Storage, Security, Processing, Data Sharing, Third Party Processing, Cloud Services, Incident Reporting, Breach Notification</v>
      </c>
      <c r="I200" s="7" t="str">
        <f>IF(ISNA(MATCH(191,'Transfer Engine'!$C$2:$C$1199,0)),"",INDEX('Compliance Database'!$I$2:$I$1199,MATCH(191,'Transfer Engine'!$C$2:$C$1199,0)))</f>
        <v>Financial Data, Customer Data</v>
      </c>
      <c r="J200" s="6" t="str">
        <f>IF(ISNA(MATCH(191,'Transfer Engine'!$C$2:$C$1199,0)),"",INDEX('Compliance Database'!$J$2:$J$1199,MATCH(191,'Transfer Engine'!$C$2:$C$1199,0)))</f>
        <v>ASIC</v>
      </c>
      <c r="K200" s="7" t="str">
        <f>IF(ISNA(MATCH(191,'Transfer Engine'!$C$2:$C$1199,0)),"",INDEX('Compliance Database'!$K$2:$K$1199,MATCH(191,'Transfer Engine'!$C$2:$C$1199,0)))</f>
        <v>This section details the organisational competence obligations for AFS licensees providing digital financial advice. It specifies that digital advice licensees must have at least one responsible manager who meets training and competence standards, as there is no natural person directly involved in providing advice. The requirements ensure that digital advice providers maintain appropriate knowledge and skills to operate within the law, with specific focus on algorithmic advice systems.</v>
      </c>
      <c r="L200" s="7" t="str">
        <f>IF(ISNA(MATCH(191,'Transfer Engine'!$C$2:$C$1199,0)),"",INDEX('Compliance Database'!$L$2:$L$1199,MATCH(191,'Transfer Engine'!$C$2:$C$1199,0)))</f>
        <v>This section addresses the organisational competence requirements for digital advice providers, which are critical for ensuring that algorithmic advice systems meet regulatory standards and do not pose risks to client data.</v>
      </c>
      <c r="M200" s="7" t="str">
        <f>IF(ISNA(MATCH(191,'Transfer Engine'!$C$2:$C$1199,0)),"",INDEX('Compliance Database'!$M$2:$M$1199,MATCH(191,'Transfer Engine'!$C$2:$C$1199,0)))</f>
        <v>• [Must] Maintain competence to provide financial services covered by their licence
• [Must] Ensure representatives are adequately trained and competent to provide financial services
• [Must] Demonstrate that each responsible manager meets one of five options for appropriate knowledge and skills</v>
      </c>
      <c r="N200" s="7" t="str">
        <f>IF(ISNA(MATCH(191,'Transfer Engine'!$C$2:$C$1199,0)),"",INDEX('Compliance Database'!$N$2:$N$1199,MATCH(191,'Transfer Engine'!$C$2:$C$1199,0)))</f>
        <v>• [Must] Ensure responsible managers collectively have appropriate knowledge and skills to cover all financial services and products
• [Must] In digital advice contexts, there is no natural person directly involved in providing advice, so training and competence standards do not apply
• [Must] Digital advice licensees must have at least one responsible manager who meets training and competence standards</v>
      </c>
      <c r="O200" s="7" t="str">
        <f>IF(ISNA(MATCH(191,'Transfer Engine'!$C$2:$C$1199,0)),"",INDEX('Compliance Database'!$O$2:$O$1199,MATCH(191,'Transfer Engine'!$C$2:$C$1199,0)))</f>
        <v>RG 255.48: Under the Corporations Act, AFS licensees are required to: (a) maintain competence to provide the financial services covered by their licence (s912A(1)(e)); and (b) ensure that their representatives are adequately trained and competent to provide those financial services (s912A(1)(f)).</v>
      </c>
      <c r="P200" s="6" t="str">
        <f>IF(ISNA(MATCH(191,'Transfer Engine'!$C$2:$C$1199,0)),"",HYPERLINK("#Acts!A"&amp;INDEX('Compliance Database'!$P$2:$P$1199,MATCH(191,'Transfer Engine'!$C$2:$C$1199,0)),"Go to Act"))</f>
        <v>Go to Act</v>
      </c>
    </row>
    <row r="201" spans="1:16" ht="172.95" customHeight="1" x14ac:dyDescent="0.3">
      <c r="A201" s="6" t="str">
        <f>IF(ISNA(MATCH(192,'Transfer Engine'!$C$2:$C$1199,0)),"",INDEX('Compliance Database'!$A$2:$A$1199,MATCH(192,'Transfer Engine'!$C$2:$C$1199,0)))</f>
        <v>Australia</v>
      </c>
      <c r="B201" s="6" t="str">
        <f>IF(ISNA(MATCH(192,'Transfer Engine'!$C$2:$C$1199,0)),"",INDEX('Compliance Database'!$B$2:$B$1199,MATCH(192,'Transfer Engine'!$C$2:$C$1199,0)))</f>
        <v>rg255-published-30-august-2016-20220328 (Australia - Row 9)</v>
      </c>
      <c r="C201" s="6" t="str">
        <f>IF(ISNA(MATCH(192,'Transfer Engine'!$C$2:$C$1199,0)),"",INDEX('Compliance Database'!$C$2:$C$1199,MATCH(192,'Transfer Engine'!$C$2:$C$1199,0)))</f>
        <v>p16</v>
      </c>
      <c r="D201" s="7" t="str">
        <f>IF(ISNA(MATCH(192,'Transfer Engine'!$C$2:$C$1199,0)),"",INDEX('Compliance Database'!$D$2:$D$1199,MATCH(192,'Transfer Engine'!$C$2:$C$1199,0)))</f>
        <v>Responsible manager competence for digital advice licensees</v>
      </c>
      <c r="E201" s="6" t="str">
        <f>IF(ISNA(MATCH(192,'Transfer Engine'!$C$2:$C$1199,0)),"",INDEX('Compliance Database'!$E$2:$E$1199,MATCH(192,'Transfer Engine'!$C$2:$C$1199,0)))</f>
        <v>16–17</v>
      </c>
      <c r="F201" s="6" t="str">
        <f>IF(ISNA(MATCH(192,'Transfer Engine'!$C$2:$C$1199,0)),"",INDEX('Compliance Database'!$F$2:$F$1199,MATCH(192,'Transfer Engine'!$C$2:$C$1199,0)))</f>
        <v>High</v>
      </c>
      <c r="G201" s="6" t="str">
        <f>IF(ISNA(MATCH(192,'Transfer Engine'!$C$2:$C$1199,0)),"",INDEX('Compliance Database'!$G$2:$G$1199,MATCH(192,'Transfer Engine'!$C$2:$C$1199,0)))</f>
        <v>High (explicit)</v>
      </c>
      <c r="H201" s="7" t="str">
        <f>IF(ISNA(MATCH(192,'Transfer Engine'!$C$2:$C$1199,0)),"",INDEX('Compliance Database'!$H$2:$H$1199,MATCH(192,'Transfer Engine'!$C$2:$C$1199,0)))</f>
        <v>Cross-border Transfer, Data Storage, Security, Processing, Data Sharing, Third Party Processing, Cloud Services, Incident Reporting, Breach Notification</v>
      </c>
      <c r="I201" s="7" t="str">
        <f>IF(ISNA(MATCH(192,'Transfer Engine'!$C$2:$C$1199,0)),"",INDEX('Compliance Database'!$I$2:$I$1199,MATCH(192,'Transfer Engine'!$C$2:$C$1199,0)))</f>
        <v>Financial Data, Customer Data</v>
      </c>
      <c r="J201" s="6" t="str">
        <f>IF(ISNA(MATCH(192,'Transfer Engine'!$C$2:$C$1199,0)),"",INDEX('Compliance Database'!$J$2:$J$1199,MATCH(192,'Transfer Engine'!$C$2:$C$1199,0)))</f>
        <v>ASIC</v>
      </c>
      <c r="K201" s="7" t="str">
        <f>IF(ISNA(MATCH(192,'Transfer Engine'!$C$2:$C$1199,0)),"",INDEX('Compliance Database'!$K$2:$K$1199,MATCH(192,'Transfer Engine'!$C$2:$C$1199,0)))</f>
        <v>This section explains that in most cases, existing AFS licensees already have a responsible manager who meets training and competence standards. However, in some instances, a licensee may not have a responsible manager who meets these standards, particularly if the responsible manager previously demonstrated competence through relevant experience over the past 10 years.</v>
      </c>
      <c r="L201" s="7" t="str">
        <f>IF(ISNA(MATCH(192,'Transfer Engine'!$C$2:$C$1199,0)),"",INDEX('Compliance Database'!$L$2:$L$1199,MATCH(192,'Transfer Engine'!$C$2:$C$1199,0)))</f>
        <v>This section clarifies the competence requirements for responsible managers in digital advice licensees, which is relevant for ensuring that algorithmic advice systems are operated within regulatory frameworks.</v>
      </c>
      <c r="M201" s="7" t="str">
        <f>IF(ISNA(MATCH(192,'Transfer Engine'!$C$2:$C$1199,0)),"",INDEX('Compliance Database'!$M$2:$M$1199,MATCH(192,'Transfer Engine'!$C$2:$C$1199,0)))</f>
        <v>• [Must] At least one responsible manager of an existing AFS licensee will meet the training and competence standards
• [Must] In some instances, a licensee may not have a responsible manager who meets training and competence standards</v>
      </c>
      <c r="N201" s="7" t="str">
        <f>IF(ISNA(MATCH(192,'Transfer Engine'!$C$2:$C$1199,0)),"",INDEX('Compliance Database'!$N$2:$N$1199,MATCH(192,'Transfer Engine'!$C$2:$C$1199,0)))</f>
        <v>• [Must] Responsible managers who previously demonstrated competence through relevant experience over the past 10 years may not meet current standards</v>
      </c>
      <c r="O201" s="7" t="str">
        <f>IF(ISNA(MATCH(192,'Transfer Engine'!$C$2:$C$1199,0)),"",INDEX('Compliance Database'!$O$2:$O$1199,MATCH(192,'Transfer Engine'!$C$2:$C$1199,0)))</f>
        <v>RG 255.54: In most cases, at least one responsible manager of an existing AFS licensee will meet the training and competence standards. In a small number of instances, however, a licensee may not have a responsible manager who meets these standards. This is because the responsible manager was previously able to demonstrate their competence under RG 105 by showing they had relevant experience over the previous 10 years.</v>
      </c>
      <c r="P201" s="6" t="str">
        <f>IF(ISNA(MATCH(192,'Transfer Engine'!$C$2:$C$1199,0)),"",HYPERLINK("#Acts!A"&amp;INDEX('Compliance Database'!$P$2:$P$1199,MATCH(192,'Transfer Engine'!$C$2:$C$1199,0)),"Go to Act"))</f>
        <v>Go to Act</v>
      </c>
    </row>
    <row r="202" spans="1:16" ht="172.95" customHeight="1" x14ac:dyDescent="0.3">
      <c r="A202" s="6" t="str">
        <f>IF(ISNA(MATCH(193,'Transfer Engine'!$C$2:$C$1199,0)),"",INDEX('Compliance Database'!$A$2:$A$1199,MATCH(193,'Transfer Engine'!$C$2:$C$1199,0)))</f>
        <v>Australia</v>
      </c>
      <c r="B202" s="6" t="str">
        <f>IF(ISNA(MATCH(193,'Transfer Engine'!$C$2:$C$1199,0)),"",INDEX('Compliance Database'!$B$2:$B$1199,MATCH(193,'Transfer Engine'!$C$2:$C$1199,0)))</f>
        <v>rg255-published-30-august-2016-20220328 (Australia - Row 9)</v>
      </c>
      <c r="C202" s="6" t="str">
        <f>IF(ISNA(MATCH(193,'Transfer Engine'!$C$2:$C$1199,0)),"",INDEX('Compliance Database'!$C$2:$C$1199,MATCH(193,'Transfer Engine'!$C$2:$C$1199,0)))</f>
        <v>p17</v>
      </c>
      <c r="D202" s="7" t="str">
        <f>IF(ISNA(MATCH(193,'Transfer Engine'!$C$2:$C$1199,0)),"",INDEX('Compliance Database'!$D$2:$D$1199,MATCH(193,'Transfer Engine'!$C$2:$C$1199,0)))</f>
        <v>General obligations for digital advice licensees</v>
      </c>
      <c r="E202" s="6" t="str">
        <f>IF(ISNA(MATCH(193,'Transfer Engine'!$C$2:$C$1199,0)),"",INDEX('Compliance Database'!$E$2:$E$1199,MATCH(193,'Transfer Engine'!$C$2:$C$1199,0)))</f>
        <v>17–18</v>
      </c>
      <c r="F202" s="6" t="str">
        <f>IF(ISNA(MATCH(193,'Transfer Engine'!$C$2:$C$1199,0)),"",INDEX('Compliance Database'!$F$2:$F$1199,MATCH(193,'Transfer Engine'!$C$2:$C$1199,0)))</f>
        <v>High</v>
      </c>
      <c r="G202" s="6" t="str">
        <f>IF(ISNA(MATCH(193,'Transfer Engine'!$C$2:$C$1199,0)),"",INDEX('Compliance Database'!$G$2:$G$1199,MATCH(193,'Transfer Engine'!$C$2:$C$1199,0)))</f>
        <v>High (explicit)</v>
      </c>
      <c r="H202" s="7" t="str">
        <f>IF(ISNA(MATCH(193,'Transfer Engine'!$C$2:$C$1199,0)),"",INDEX('Compliance Database'!$H$2:$H$1199,MATCH(193,'Transfer Engine'!$C$2:$C$1199,0)))</f>
        <v>Cross-border Transfer, Data Storage, Security, Processing, Data Sharing, Third Party Processing, Cloud Services, Incident Reporting, Breach Notification</v>
      </c>
      <c r="I202" s="7" t="str">
        <f>IF(ISNA(MATCH(193,'Transfer Engine'!$C$2:$C$1199,0)),"",INDEX('Compliance Database'!$I$2:$I$1199,MATCH(193,'Transfer Engine'!$C$2:$C$1199,0)))</f>
        <v>Financial Data, Customer Data</v>
      </c>
      <c r="J202" s="6" t="str">
        <f>IF(ISNA(MATCH(193,'Transfer Engine'!$C$2:$C$1199,0)),"",INDEX('Compliance Database'!$J$2:$J$1199,MATCH(193,'Transfer Engine'!$C$2:$C$1199,0)))</f>
        <v>ASIC</v>
      </c>
      <c r="K202" s="7" t="str">
        <f>IF(ISNA(MATCH(193,'Transfer Engine'!$C$2:$C$1199,0)),"",INDEX('Compliance Database'!$K$2:$K$1199,MATCH(193,'Transfer Engine'!$C$2:$C$1199,0)))</f>
        <v>This section outlines the general obligations that apply to all AFS licensees, including the requirement to have adequate resources, establish risk management systems, and comply with financial services laws. It specifies that digital advice licensees must meet these obligations, with additional guidance on human resources, technological capabilities, and risk management to ensure compliance with the Corporations Act.</v>
      </c>
      <c r="L202" s="7" t="str">
        <f>IF(ISNA(MATCH(193,'Transfer Engine'!$C$2:$C$1199,0)),"",INDEX('Compliance Database'!$L$2:$L$1199,MATCH(193,'Transfer Engine'!$C$2:$C$1199,0)))</f>
        <v>This section details the general obligations for digital advice licensees, which are critical for ensuring that algorithmic advice systems comply with regulatory requirements and data handling standards.</v>
      </c>
      <c r="M202" s="7" t="str">
        <f>IF(ISNA(MATCH(193,'Transfer Engine'!$C$2:$C$1199,0)),"",INDEX('Compliance Database'!$M$2:$M$1199,MATCH(193,'Transfer Engine'!$C$2:$C$1199,0)))</f>
        <v>• [Must] Have adequate financial, technological and human resources to provide financial services and carry out supervisory arrangements
• [Must] Establish and maintain adequate risk management systems
• [Must] Comply with financial services laws</v>
      </c>
      <c r="N202" s="7" t="str">
        <f>IF(ISNA(MATCH(193,'Transfer Engine'!$C$2:$C$1199,0)),"",INDEX('Compliance Database'!$N$2:$N$1199,MATCH(193,'Transfer Engine'!$C$2:$C$1199,0)))</f>
        <v>• [Must] Take reasonable steps to ensure representatives comply with financial services laws
• [Must] Maintain competence to provide financial services
• [Must] Ensure representatives are adequately trained and competent to provide financial services</v>
      </c>
      <c r="O202" s="7" t="str">
        <f>IF(ISNA(MATCH(193,'Transfer Engine'!$C$2:$C$1199,0)),"",INDEX('Compliance Database'!$O$2:$O$1199,MATCH(193,'Transfer Engine'!$C$2:$C$1199,0)))</f>
        <v>RG 255.55: If you are an AFS licensee, you have general obligations under s912A(1) of the Corporations Act to: (a) do all things necessary to ensure that the financial services covered by your licence are provided efficiently, honestly and fairly (s912A(1)(a)); (b) have adequate arrangements in place for managing conflicts of interest (s912A(1)(aa)); (c) comply with the conditions on your licence (s912A(1)(b)); (d) comply with the financial services laws (s912A(1)(c)); (e) take reasonable steps to ensure that your representatives comply with the financial services laws (s912A(1)(ca)); (f) have adequate financial, technological and human resources to provide the financial services covered by your licence and to carry out supervisory arrangements (s912A(1)(d)); (g) maintain the competence to provide the financial services covered by your licence (s912A(1)(e)); (h) ensure that your representatives are adequately trained and competent to provide those financial services (s912A(1)(f)); (i) if you provide financial services to retail clients, have a dispute resolution system (s912A(1)(g)); and (j) establish and maintain adequate risk management systems (s912A(1)(h)).</v>
      </c>
      <c r="P202" s="6" t="str">
        <f>IF(ISNA(MATCH(193,'Transfer Engine'!$C$2:$C$1199,0)),"",HYPERLINK("#Acts!A"&amp;INDEX('Compliance Database'!$P$2:$P$1199,MATCH(193,'Transfer Engine'!$C$2:$C$1199,0)),"Go to Act"))</f>
        <v>Go to Act</v>
      </c>
    </row>
    <row r="203" spans="1:16" ht="172.95" customHeight="1" x14ac:dyDescent="0.3">
      <c r="A203" s="6" t="str">
        <f>IF(ISNA(MATCH(194,'Transfer Engine'!$C$2:$C$1199,0)),"",INDEX('Compliance Database'!$A$2:$A$1199,MATCH(194,'Transfer Engine'!$C$2:$C$1199,0)))</f>
        <v>Australia</v>
      </c>
      <c r="B203" s="6" t="str">
        <f>IF(ISNA(MATCH(194,'Transfer Engine'!$C$2:$C$1199,0)),"",INDEX('Compliance Database'!$B$2:$B$1199,MATCH(194,'Transfer Engine'!$C$2:$C$1199,0)))</f>
        <v>rg255-published-30-august-2016-20220328 (Australia - Row 9)</v>
      </c>
      <c r="C203" s="6" t="str">
        <f>IF(ISNA(MATCH(194,'Transfer Engine'!$C$2:$C$1199,0)),"",INDEX('Compliance Database'!$C$2:$C$1199,MATCH(194,'Transfer Engine'!$C$2:$C$1199,0)))</f>
        <v>p18</v>
      </c>
      <c r="D203" s="7" t="str">
        <f>IF(ISNA(MATCH(194,'Transfer Engine'!$C$2:$C$1199,0)),"",INDEX('Compliance Database'!$D$2:$D$1199,MATCH(194,'Transfer Engine'!$C$2:$C$1199,0)))</f>
        <v>Resource requirements for digital advice licensees</v>
      </c>
      <c r="E203" s="6" t="str">
        <f>IF(ISNA(MATCH(194,'Transfer Engine'!$C$2:$C$1199,0)),"",INDEX('Compliance Database'!$E$2:$E$1199,MATCH(194,'Transfer Engine'!$C$2:$C$1199,0)))</f>
        <v>18–19</v>
      </c>
      <c r="F203" s="6" t="str">
        <f>IF(ISNA(MATCH(194,'Transfer Engine'!$C$2:$C$1199,0)),"",INDEX('Compliance Database'!$F$2:$F$1199,MATCH(194,'Transfer Engine'!$C$2:$C$1199,0)))</f>
        <v>High</v>
      </c>
      <c r="G203" s="6" t="str">
        <f>IF(ISNA(MATCH(194,'Transfer Engine'!$C$2:$C$1199,0)),"",INDEX('Compliance Database'!$G$2:$G$1199,MATCH(194,'Transfer Engine'!$C$2:$C$1199,0)))</f>
        <v>High (explicit)</v>
      </c>
      <c r="H203" s="7" t="str">
        <f>IF(ISNA(MATCH(194,'Transfer Engine'!$C$2:$C$1199,0)),"",INDEX('Compliance Database'!$H$2:$H$1199,MATCH(194,'Transfer Engine'!$C$2:$C$1199,0)))</f>
        <v>Cross-border Transfer, Data Storage, Security, Processing, Data Sharing, Third Party Processing, Cloud Services, Incident Reporting, Breach Notification</v>
      </c>
      <c r="I203" s="7" t="str">
        <f>IF(ISNA(MATCH(194,'Transfer Engine'!$C$2:$C$1199,0)),"",INDEX('Compliance Database'!$I$2:$I$1199,MATCH(194,'Transfer Engine'!$C$2:$C$1199,0)))</f>
        <v>Financial Data, Customer Data</v>
      </c>
      <c r="J203" s="6" t="str">
        <f>IF(ISNA(MATCH(194,'Transfer Engine'!$C$2:$C$1199,0)),"",INDEX('Compliance Database'!$J$2:$J$1199,MATCH(194,'Transfer Engine'!$C$2:$C$1199,0)))</f>
        <v>ASIC</v>
      </c>
      <c r="K203" s="7" t="str">
        <f>IF(ISNA(MATCH(194,'Transfer Engine'!$C$2:$C$1199,0)),"",INDEX('Compliance Database'!$K$2:$K$1199,MATCH(194,'Transfer Engine'!$C$2:$C$1199,0)))</f>
        <v>This section focuses on the resource requirements for AFS licensees providing digital financial advice, emphasizing the need for adequate human resources to understand algorithms and review digital advice outputs. It specifies that digital advice licensees must have individuals within their business who can comprehend the technology and algorithms used to provide advice and assess the generated advice for compliance.</v>
      </c>
      <c r="L203" s="7" t="str">
        <f>IF(ISNA(MATCH(194,'Transfer Engine'!$C$2:$C$1199,0)),"",INDEX('Compliance Database'!$L$2:$L$1199,MATCH(194,'Transfer Engine'!$C$2:$C$1199,0)))</f>
        <v>This section addresses the human resource requirements for digital advice licensees, which are critical for ensuring that algorithmic advice systems are properly monitored and compliant with regulatory standards.</v>
      </c>
      <c r="M203" s="7" t="str">
        <f>IF(ISNA(MATCH(194,'Transfer Engine'!$C$2:$C$1199,0)),"",INDEX('Compliance Database'!$M$2:$M$1199,MATCH(194,'Transfer Engine'!$C$2:$C$1199,0)))</f>
        <v>• [Must] Ensure there are people within the business who understand the technology and algorithms used to provide digital advice</v>
      </c>
      <c r="N203" s="7" t="str">
        <f>IF(ISNA(MATCH(194,'Transfer Engine'!$C$2:$C$1199,0)),"",INDEX('Compliance Database'!$N$2:$N$1199,MATCH(194,'Transfer Engine'!$C$2:$C$1199,0)))</f>
        <v>• [Must] Ensure there are people within the business who can review digital advice generated by algorithms</v>
      </c>
      <c r="O203" s="7" t="str">
        <f>IF(ISNA(MATCH(194,'Transfer Engine'!$C$2:$C$1199,0)),"",INDEX('Compliance Database'!$O$2:$O$1199,MATCH(194,'Transfer Engine'!$C$2:$C$1199,0)))</f>
        <v>RG 255.60: As a digital advice licensee, you should ensure that there are people within your business who: (a) have an understanding of the technology and algorithms used to provide digital advice; and (b) are able to review the digital advice generated by algorithms.</v>
      </c>
      <c r="P203" s="6" t="str">
        <f>IF(ISNA(MATCH(194,'Transfer Engine'!$C$2:$C$1199,0)),"",HYPERLINK("#Acts!A"&amp;INDEX('Compliance Database'!$P$2:$P$1199,MATCH(194,'Transfer Engine'!$C$2:$C$1199,0)),"Go to Act"))</f>
        <v>Go to Act</v>
      </c>
    </row>
    <row r="204" spans="1:16" ht="172.95" customHeight="1" x14ac:dyDescent="0.3">
      <c r="A204" s="6" t="str">
        <f>IF(ISNA(MATCH(195,'Transfer Engine'!$C$2:$C$1199,0)),"",INDEX('Compliance Database'!$A$2:$A$1199,MATCH(195,'Transfer Engine'!$C$2:$C$1199,0)))</f>
        <v>Australia</v>
      </c>
      <c r="B204" s="6" t="str">
        <f>IF(ISNA(MATCH(195,'Transfer Engine'!$C$2:$C$1199,0)),"",INDEX('Compliance Database'!$B$2:$B$1199,MATCH(195,'Transfer Engine'!$C$2:$C$1199,0)))</f>
        <v>rg255-published-30-august-2016-20220328 (Australia - Row 9)</v>
      </c>
      <c r="C204" s="6" t="str">
        <f>IF(ISNA(MATCH(195,'Transfer Engine'!$C$2:$C$1199,0)),"",INDEX('Compliance Database'!$C$2:$C$1199,MATCH(195,'Transfer Engine'!$C$2:$C$1199,0)))</f>
        <v>p19</v>
      </c>
      <c r="D204" s="7" t="str">
        <f>IF(ISNA(MATCH(195,'Transfer Engine'!$C$2:$C$1199,0)),"",INDEX('Compliance Database'!$D$2:$D$1199,MATCH(195,'Transfer Engine'!$C$2:$C$1199,0)))</f>
        <v>Digital advice licensees must have staff understanding algorithms and technology</v>
      </c>
      <c r="E204" s="6" t="str">
        <f>IF(ISNA(MATCH(195,'Transfer Engine'!$C$2:$C$1199,0)),"",INDEX('Compliance Database'!$E$2:$E$1199,MATCH(195,'Transfer Engine'!$C$2:$C$1199,0)))</f>
        <v>19–20</v>
      </c>
      <c r="F204" s="6" t="str">
        <f>IF(ISNA(MATCH(195,'Transfer Engine'!$C$2:$C$1199,0)),"",INDEX('Compliance Database'!$F$2:$F$1199,MATCH(195,'Transfer Engine'!$C$2:$C$1199,0)))</f>
        <v>High</v>
      </c>
      <c r="G204" s="6" t="str">
        <f>IF(ISNA(MATCH(195,'Transfer Engine'!$C$2:$C$1199,0)),"",INDEX('Compliance Database'!$G$2:$G$1199,MATCH(195,'Transfer Engine'!$C$2:$C$1199,0)))</f>
        <v>High (explicit)</v>
      </c>
      <c r="H204" s="7">
        <f>IF(ISNA(MATCH(195,'Transfer Engine'!$C$2:$C$1199,0)),"",INDEX('Compliance Database'!$H$2:$H$1199,MATCH(195,'Transfer Engine'!$C$2:$C$1199,0)))</f>
        <v>0</v>
      </c>
      <c r="I204" s="7" t="str">
        <f>IF(ISNA(MATCH(195,'Transfer Engine'!$C$2:$C$1199,0)),"",INDEX('Compliance Database'!$I$2:$I$1199,MATCH(195,'Transfer Engine'!$C$2:$C$1199,0)))</f>
        <v>Financial Data</v>
      </c>
      <c r="J204" s="6" t="str">
        <f>IF(ISNA(MATCH(195,'Transfer Engine'!$C$2:$C$1199,0)),"",INDEX('Compliance Database'!$J$2:$J$1199,MATCH(195,'Transfer Engine'!$C$2:$C$1199,0)))</f>
        <v>ASIC</v>
      </c>
      <c r="K204" s="7" t="str">
        <f>IF(ISNA(MATCH(195,'Transfer Engine'!$C$2:$C$1199,0)),"",INDEX('Compliance Database'!$K$2:$K$1199,MATCH(195,'Transfer Engine'!$C$2:$C$1199,0)))</f>
        <v>Digital advice licensees must have at least one person who understands the technology and algorithms used for digital advice. This person does not need to understand the specific computer coding but must comprehend the rationale, risks, and rules behind the algorithms. The requirement applies to all digital advice licensees regardless of business size, with the extent of human resources depending on the scale of operations.</v>
      </c>
      <c r="L204" s="7" t="str">
        <f>IF(ISNA(MATCH(195,'Transfer Engine'!$C$2:$C$1199,0)),"",INDEX('Compliance Database'!$L$2:$L$1199,MATCH(195,'Transfer Engine'!$C$2:$C$1199,0)))</f>
        <v>Digital advice licensees must ensure staff can review algorithmic advice for compliance, which impacts data transfer assessments by requiring technical oversight of algorithmic systems.</v>
      </c>
      <c r="M204" s="7" t="str">
        <f>IF(ISNA(MATCH(195,'Transfer Engine'!$C$2:$C$1199,0)),"",INDEX('Compliance Database'!$M$2:$M$1199,MATCH(195,'Transfer Engine'!$C$2:$C$1199,0)))</f>
        <v>• [Must] Digital advice licensees must have at least one person who understands the technology and algorithms used for digital advice</v>
      </c>
      <c r="N204" s="7" t="str">
        <f>IF(ISNA(MATCH(195,'Transfer Engine'!$C$2:$C$1199,0)),"",INDEX('Compliance Database'!$N$2:$N$1199,MATCH(195,'Transfer Engine'!$C$2:$C$1199,0)))</f>
        <v>• [Must] This person must comprehend the rationale, risks, and rules behind the algorithms without needing to understand specific computer coding</v>
      </c>
      <c r="O204" s="7" t="str">
        <f>IF(ISNA(MATCH(195,'Transfer Engine'!$C$2:$C$1199,0)),"",INDEX('Compliance Database'!$O$2:$O$1199,MATCH(195,'Transfer Engine'!$C$2:$C$1199,0)))</f>
        <v>RG 255.61: Digital advice is provided through technology... we expect digital advice licensees to have at least one person who has a general understanding of the technology and algorithms...</v>
      </c>
      <c r="P204" s="6" t="str">
        <f>IF(ISNA(MATCH(195,'Transfer Engine'!$C$2:$C$1199,0)),"",HYPERLINK("#Acts!A"&amp;INDEX('Compliance Database'!$P$2:$P$1199,MATCH(195,'Transfer Engine'!$C$2:$C$1199,0)),"Go to Act"))</f>
        <v>Go to Act</v>
      </c>
    </row>
    <row r="205" spans="1:16" ht="172.95" customHeight="1" x14ac:dyDescent="0.3">
      <c r="A205" s="6" t="str">
        <f>IF(ISNA(MATCH(196,'Transfer Engine'!$C$2:$C$1199,0)),"",INDEX('Compliance Database'!$A$2:$A$1199,MATCH(196,'Transfer Engine'!$C$2:$C$1199,0)))</f>
        <v>Australia</v>
      </c>
      <c r="B205" s="6" t="str">
        <f>IF(ISNA(MATCH(196,'Transfer Engine'!$C$2:$C$1199,0)),"",INDEX('Compliance Database'!$B$2:$B$1199,MATCH(196,'Transfer Engine'!$C$2:$C$1199,0)))</f>
        <v>rg255-published-30-august-2016-20220328 (Australia - Row 9)</v>
      </c>
      <c r="C205" s="6" t="str">
        <f>IF(ISNA(MATCH(196,'Transfer Engine'!$C$2:$C$1199,0)),"",INDEX('Compliance Database'!$C$2:$C$1199,MATCH(196,'Transfer Engine'!$C$2:$C$1199,0)))</f>
        <v>p20</v>
      </c>
      <c r="D205" s="7" t="str">
        <f>IF(ISNA(MATCH(196,'Transfer Engine'!$C$2:$C$1199,0)),"",INDEX('Compliance Database'!$D$2:$D$1199,MATCH(196,'Transfer Engine'!$C$2:$C$1199,0)))</f>
        <v>Digital advice licensees must monitor outsourced algorithm functions</v>
      </c>
      <c r="E205" s="6" t="str">
        <f>IF(ISNA(MATCH(196,'Transfer Engine'!$C$2:$C$1199,0)),"",INDEX('Compliance Database'!$E$2:$E$1199,MATCH(196,'Transfer Engine'!$C$2:$C$1199,0)))</f>
        <v>20–21</v>
      </c>
      <c r="F205" s="6" t="str">
        <f>IF(ISNA(MATCH(196,'Transfer Engine'!$C$2:$C$1199,0)),"",INDEX('Compliance Database'!$F$2:$F$1199,MATCH(196,'Transfer Engine'!$C$2:$C$1199,0)))</f>
        <v>High</v>
      </c>
      <c r="G205" s="6" t="str">
        <f>IF(ISNA(MATCH(196,'Transfer Engine'!$C$2:$C$1199,0)),"",INDEX('Compliance Database'!$G$2:$G$1199,MATCH(196,'Transfer Engine'!$C$2:$C$1199,0)))</f>
        <v>High (explicit)</v>
      </c>
      <c r="H205" s="7" t="str">
        <f>IF(ISNA(MATCH(196,'Transfer Engine'!$C$2:$C$1199,0)),"",INDEX('Compliance Database'!$H$2:$H$1199,MATCH(196,'Transfer Engine'!$C$2:$C$1199,0)))</f>
        <v>Third Party Processing</v>
      </c>
      <c r="I205" s="7" t="str">
        <f>IF(ISNA(MATCH(196,'Transfer Engine'!$C$2:$C$1199,0)),"",INDEX('Compliance Database'!$I$2:$I$1199,MATCH(196,'Transfer Engine'!$C$2:$C$1199,0)))</f>
        <v>Financial Data</v>
      </c>
      <c r="J205" s="6" t="str">
        <f>IF(ISNA(MATCH(196,'Transfer Engine'!$C$2:$C$1199,0)),"",INDEX('Compliance Database'!$J$2:$J$1199,MATCH(196,'Transfer Engine'!$C$2:$C$1199,0)))</f>
        <v>ASIC</v>
      </c>
      <c r="K205" s="7" t="str">
        <f>IF(ISNA(MATCH(196,'Transfer Engine'!$C$2:$C$1199,0)),"",INDEX('Compliance Database'!$K$2:$K$1199,MATCH(196,'Transfer Engine'!$C$2:$C$1199,0)))</f>
        <v>Digital advice licensees outsourcing algorithm functions must ensure suitable service providers are chosen and monitored. Licensees remain responsible for financial services provided to clients even when functions are outsourced. This includes understanding algorithm rationale, risks, and rules without needing to code the algorithms.</v>
      </c>
      <c r="L205" s="7" t="str">
        <f>IF(ISNA(MATCH(196,'Transfer Engine'!$C$2:$C$1199,0)),"",INDEX('Compliance Database'!$L$2:$L$1199,MATCH(196,'Transfer Engine'!$C$2:$C$1199,0)))</f>
        <v>Outsourcing algorithm functions requires licensees to maintain oversight of third-party providers to ensure compliance, affecting data transfer assessments through third-party data handling risks.</v>
      </c>
      <c r="M205" s="7" t="str">
        <f>IF(ISNA(MATCH(196,'Transfer Engine'!$C$2:$C$1199,0)),"",INDEX('Compliance Database'!$M$2:$M$1199,MATCH(196,'Transfer Engine'!$C$2:$C$1199,0)))</f>
        <v>• [Must] Digital advice licensees must choose service providers with due skill and care for outsourced functions
• [Must] Digital advice licensees must monitor ongoing performance of outsourced service providers</v>
      </c>
      <c r="N205" s="7" t="str">
        <f>IF(ISNA(MATCH(196,'Transfer Engine'!$C$2:$C$1199,0)),"",INDEX('Compliance Database'!$N$2:$N$1199,MATCH(196,'Transfer Engine'!$C$2:$C$1199,0)))</f>
        <v>• [Must] Digital advice licensees remain responsible for financial services provided to clients even when functions are outsourced</v>
      </c>
      <c r="O205" s="7" t="str">
        <f>IF(ISNA(MATCH(196,'Transfer Engine'!$C$2:$C$1199,0)),"",INDEX('Compliance Database'!$O$2:$O$1199,MATCH(196,'Transfer Engine'!$C$2:$C$1199,0)))</f>
        <v>RG 255.67: We expect that you will have measures in place to ensure that due skill and care are taken in choosing suitable outsourced service providers; and you can and will monitor the ongoing performance of outsourced service providers.</v>
      </c>
      <c r="P205" s="6" t="str">
        <f>IF(ISNA(MATCH(196,'Transfer Engine'!$C$2:$C$1199,0)),"",HYPERLINK("#Acts!A"&amp;INDEX('Compliance Database'!$P$2:$P$1199,MATCH(196,'Transfer Engine'!$C$2:$C$1199,0)),"Go to Act"))</f>
        <v>Go to Act</v>
      </c>
    </row>
    <row r="206" spans="1:16" ht="172.95" customHeight="1" x14ac:dyDescent="0.3">
      <c r="A206" s="6" t="str">
        <f>IF(ISNA(MATCH(197,'Transfer Engine'!$C$2:$C$1199,0)),"",INDEX('Compliance Database'!$A$2:$A$1199,MATCH(197,'Transfer Engine'!$C$2:$C$1199,0)))</f>
        <v>Australia</v>
      </c>
      <c r="B206" s="6" t="str">
        <f>IF(ISNA(MATCH(197,'Transfer Engine'!$C$2:$C$1199,0)),"",INDEX('Compliance Database'!$B$2:$B$1199,MATCH(197,'Transfer Engine'!$C$2:$C$1199,0)))</f>
        <v>rg255-published-30-august-2016-20220328 (Australia - Row 9)</v>
      </c>
      <c r="C206" s="6" t="str">
        <f>IF(ISNA(MATCH(197,'Transfer Engine'!$C$2:$C$1199,0)),"",INDEX('Compliance Database'!$C$2:$C$1199,MATCH(197,'Transfer Engine'!$C$2:$C$1199,0)))</f>
        <v>p21</v>
      </c>
      <c r="D206" s="7" t="str">
        <f>IF(ISNA(MATCH(197,'Transfer Engine'!$C$2:$C$1199,0)),"",INDEX('Compliance Database'!$D$2:$D$1199,MATCH(197,'Transfer Engine'!$C$2:$C$1199,0)))</f>
        <v>Digital advice licensees must monitor and test algorithms regularly</v>
      </c>
      <c r="E206" s="6" t="str">
        <f>IF(ISNA(MATCH(197,'Transfer Engine'!$C$2:$C$1199,0)),"",INDEX('Compliance Database'!$E$2:$E$1199,MATCH(197,'Transfer Engine'!$C$2:$C$1199,0)))</f>
        <v>21–22</v>
      </c>
      <c r="F206" s="6" t="str">
        <f>IF(ISNA(MATCH(197,'Transfer Engine'!$C$2:$C$1199,0)),"",INDEX('Compliance Database'!$F$2:$F$1199,MATCH(197,'Transfer Engine'!$C$2:$C$1199,0)))</f>
        <v>High</v>
      </c>
      <c r="G206" s="6" t="str">
        <f>IF(ISNA(MATCH(197,'Transfer Engine'!$C$2:$C$1199,0)),"",INDEX('Compliance Database'!$G$2:$G$1199,MATCH(197,'Transfer Engine'!$C$2:$C$1199,0)))</f>
        <v>High (explicit)</v>
      </c>
      <c r="H206" s="7">
        <f>IF(ISNA(MATCH(197,'Transfer Engine'!$C$2:$C$1199,0)),"",INDEX('Compliance Database'!$H$2:$H$1199,MATCH(197,'Transfer Engine'!$C$2:$C$1199,0)))</f>
        <v>0</v>
      </c>
      <c r="I206" s="7" t="str">
        <f>IF(ISNA(MATCH(197,'Transfer Engine'!$C$2:$C$1199,0)),"",INDEX('Compliance Database'!$I$2:$I$1199,MATCH(197,'Transfer Engine'!$C$2:$C$1199,0)))</f>
        <v>Financial Data</v>
      </c>
      <c r="J206" s="6" t="str">
        <f>IF(ISNA(MATCH(197,'Transfer Engine'!$C$2:$C$1199,0)),"",INDEX('Compliance Database'!$J$2:$J$1199,MATCH(197,'Transfer Engine'!$C$2:$C$1199,0)))</f>
        <v>ASIC</v>
      </c>
      <c r="K206" s="7" t="str">
        <f>IF(ISNA(MATCH(197,'Transfer Engine'!$C$2:$C$1199,0)),"",INDEX('Compliance Database'!$K$2:$K$1199,MATCH(197,'Transfer Engine'!$C$2:$C$1199,0)))</f>
        <v>Digital advice licensees must regularly monitor and test algorithms to ensure compliance. This includes having system design documentation, documented test strategies, processes for managing algorithm changes, records of algorithm changes over seven years, and mechanisms to suspend advice if errors are detected. These requirements apply to all digital advice licensees regardless of business scale.</v>
      </c>
      <c r="L206" s="7" t="str">
        <f>IF(ISNA(MATCH(197,'Transfer Engine'!$C$2:$C$1199,0)),"",INDEX('Compliance Database'!$L$2:$L$1199,MATCH(197,'Transfer Engine'!$C$2:$C$1199,0)))</f>
        <v>Algorithm monitoring and testing requirements directly impact data transfer assessments by mandating technical oversight of algorithmic systems to ensure compliance with financial regulations.</v>
      </c>
      <c r="M206" s="7" t="str">
        <f>IF(ISNA(MATCH(197,'Transfer Engine'!$C$2:$C$1199,0)),"",INDEX('Compliance Database'!$M$2:$M$1199,MATCH(197,'Transfer Engine'!$C$2:$C$1199,0)))</f>
        <v>• [Must] Digital advice licensees must have system design documentation that clearly sets out the purpose, scope, and design of algorithms
• [Must] Digital advice licensees must have a documented test strategy explaining the scope of algorithm testing
• [Must] Digital advice licensees must have processes for managing changes to algorithms with security arrangements to prevent unauthorized access
• [Must] Digital advice licensees must control, monitor, and retain records of algorithm changes for seven years</v>
      </c>
      <c r="N206" s="7" t="str">
        <f>IF(ISNA(MATCH(197,'Transfer Engine'!$C$2:$C$1199,0)),"",INDEX('Compliance Database'!$N$2:$N$1199,MATCH(197,'Transfer Engine'!$C$2:$C$1199,0)))</f>
        <v>• [Must] Digital advice licensees must review and update algorithms when factors affecting their currency change
• [Must] Digital advice licensees must suspend advice provision if algorithm errors are detected that could cause client loss or breach of the Corporations Act
• [Must] Digital advice licensees must have adequate resources to monitor and supervise algorithm performance
• [Must] Digital advice licensees must have an internal sign-off process to ensure compliance with algorithm monitoring requirements</v>
      </c>
      <c r="O206" s="7" t="str">
        <f>IF(ISNA(MATCH(197,'Transfer Engine'!$C$2:$C$1199,0)),"",INDEX('Compliance Database'!$O$2:$O$1199,MATCH(197,'Transfer Engine'!$C$2:$C$1199,0)))</f>
        <v>RG 255.72: As part of your risk management systems, you should regularly monitor and test the algorithms that underpin the advice.</v>
      </c>
      <c r="P206" s="6" t="str">
        <f>IF(ISNA(MATCH(197,'Transfer Engine'!$C$2:$C$1199,0)),"",HYPERLINK("#Acts!A"&amp;INDEX('Compliance Database'!$P$2:$P$1199,MATCH(197,'Transfer Engine'!$C$2:$C$1199,0)),"Go to Act"))</f>
        <v>Go to Act</v>
      </c>
    </row>
    <row r="207" spans="1:16" ht="172.95" customHeight="1" x14ac:dyDescent="0.3">
      <c r="A207" s="6" t="str">
        <f>IF(ISNA(MATCH(198,'Transfer Engine'!$C$2:$C$1199,0)),"",INDEX('Compliance Database'!$A$2:$A$1199,MATCH(198,'Transfer Engine'!$C$2:$C$1199,0)))</f>
        <v>Australia</v>
      </c>
      <c r="B207" s="6" t="str">
        <f>IF(ISNA(MATCH(198,'Transfer Engine'!$C$2:$C$1199,0)),"",INDEX('Compliance Database'!$B$2:$B$1199,MATCH(198,'Transfer Engine'!$C$2:$C$1199,0)))</f>
        <v>rg255-published-30-august-2016-20220328 (Australia - Row 9)</v>
      </c>
      <c r="C207" s="6" t="str">
        <f>IF(ISNA(MATCH(198,'Transfer Engine'!$C$2:$C$1199,0)),"",INDEX('Compliance Database'!$C$2:$C$1199,MATCH(198,'Transfer Engine'!$C$2:$C$1199,0)))</f>
        <v>p22</v>
      </c>
      <c r="D207" s="7" t="str">
        <f>IF(ISNA(MATCH(198,'Transfer Engine'!$C$2:$C$1199,0)),"",INDEX('Compliance Database'!$D$2:$D$1199,MATCH(198,'Transfer Engine'!$C$2:$C$1199,0)))</f>
        <v>Digital advice licensees must implement cyber security frameworks</v>
      </c>
      <c r="E207" s="6" t="str">
        <f>IF(ISNA(MATCH(198,'Transfer Engine'!$C$2:$C$1199,0)),"",INDEX('Compliance Database'!$E$2:$E$1199,MATCH(198,'Transfer Engine'!$C$2:$C$1199,0)))</f>
        <v>22–23</v>
      </c>
      <c r="F207" s="6" t="str">
        <f>IF(ISNA(MATCH(198,'Transfer Engine'!$C$2:$C$1199,0)),"",INDEX('Compliance Database'!$F$2:$F$1199,MATCH(198,'Transfer Engine'!$C$2:$C$1199,0)))</f>
        <v>High</v>
      </c>
      <c r="G207" s="6" t="str">
        <f>IF(ISNA(MATCH(198,'Transfer Engine'!$C$2:$C$1199,0)),"",INDEX('Compliance Database'!$G$2:$G$1199,MATCH(198,'Transfer Engine'!$C$2:$C$1199,0)))</f>
        <v>High (explicit)</v>
      </c>
      <c r="H207" s="7" t="str">
        <f>IF(ISNA(MATCH(198,'Transfer Engine'!$C$2:$C$1199,0)),"",INDEX('Compliance Database'!$H$2:$H$1199,MATCH(198,'Transfer Engine'!$C$2:$C$1199,0)))</f>
        <v>Security, Cloud Services</v>
      </c>
      <c r="I207" s="7" t="str">
        <f>IF(ISNA(MATCH(198,'Transfer Engine'!$C$2:$C$1199,0)),"",INDEX('Compliance Database'!$I$2:$I$1199,MATCH(198,'Transfer Engine'!$C$2:$C$1199,0)))</f>
        <v>Financial Data</v>
      </c>
      <c r="J207" s="6" t="str">
        <f>IF(ISNA(MATCH(198,'Transfer Engine'!$C$2:$C$1199,0)),"",INDEX('Compliance Database'!$J$2:$J$1199,MATCH(198,'Transfer Engine'!$C$2:$C$1199,0)))</f>
        <v>ASIC</v>
      </c>
      <c r="K207" s="7" t="str">
        <f>IF(ISNA(MATCH(198,'Transfer Engine'!$C$2:$C$1199,0)),"",INDEX('Compliance Database'!$K$2:$K$1199,MATCH(198,'Transfer Engine'!$C$2:$C$1199,0)))</f>
        <v>Digital advice licensees must assess cyber security using recognized frameworks like NIST or Australian Signals Directorate strategies. They must also comply with information security standards such as ISO/IEC 27001 and have adequate cloud security measures to mitigate malicious cyber activity risks.</v>
      </c>
      <c r="L207" s="7" t="str">
        <f>IF(ISNA(MATCH(198,'Transfer Engine'!$C$2:$C$1199,0)),"",INDEX('Compliance Database'!$L$2:$L$1199,MATCH(198,'Transfer Engine'!$C$2:$C$1199,0)))</f>
        <v>Cyber security requirements directly impact data transfer assessments by mandating robust security frameworks for digital advice systems, affecting cross-border data transfers.</v>
      </c>
      <c r="M207" s="7" t="str">
        <f>IF(ISNA(MATCH(198,'Transfer Engine'!$C$2:$C$1199,0)),"",INDEX('Compliance Database'!$M$2:$M$1199,MATCH(198,'Transfer Engine'!$C$2:$C$1199,0)))</f>
        <v>• [Must] Digital advice licensees must assess cyber security using recognized frameworks such as NIST or Australian Signals Directorate strategies
• [Must] Digital advice licensees must comply with information security standards including ISO/IEC 27001:2015</v>
      </c>
      <c r="N207" s="7" t="str">
        <f>IF(ISNA(MATCH(198,'Transfer Engine'!$C$2:$C$1199,0)),"",INDEX('Compliance Database'!$N$2:$N$1199,MATCH(198,'Transfer Engine'!$C$2:$C$1199,0)))</f>
        <v>• [Must] Digital advice licensees must implement adequate cloud security measures to mitigate malicious cyber activity</v>
      </c>
      <c r="O207" s="7" t="str">
        <f>IF(ISNA(MATCH(198,'Transfer Engine'!$C$2:$C$1199,0)),"",INDEX('Compliance Database'!$O$2:$O$1199,MATCH(198,'Transfer Engine'!$C$2:$C$1199,0)))</f>
        <v>RG 255.77: We expect digital advice licensees to assess their cyber security using recognised frameworks, such as the National Institute of Standards and Technology's Framework for improving critical infrastructure cybersecurity...</v>
      </c>
      <c r="P207" s="6" t="str">
        <f>IF(ISNA(MATCH(198,'Transfer Engine'!$C$2:$C$1199,0)),"",HYPERLINK("#Acts!A"&amp;INDEX('Compliance Database'!$P$2:$P$1199,MATCH(198,'Transfer Engine'!$C$2:$C$1199,0)),"Go to Act"))</f>
        <v>Go to Act</v>
      </c>
    </row>
    <row r="208" spans="1:16" ht="172.95" customHeight="1" x14ac:dyDescent="0.3">
      <c r="A208" s="6" t="str">
        <f>IF(ISNA(MATCH(199,'Transfer Engine'!$C$2:$C$1199,0)),"",INDEX('Compliance Database'!$A$2:$A$1199,MATCH(199,'Transfer Engine'!$C$2:$C$1199,0)))</f>
        <v>Australia</v>
      </c>
      <c r="B208" s="6" t="str">
        <f>IF(ISNA(MATCH(199,'Transfer Engine'!$C$2:$C$1199,0)),"",INDEX('Compliance Database'!$B$2:$B$1199,MATCH(199,'Transfer Engine'!$C$2:$C$1199,0)))</f>
        <v>rg255-published-30-august-2016-20220328 (Australia - Row 9)</v>
      </c>
      <c r="C208" s="6" t="str">
        <f>IF(ISNA(MATCH(199,'Transfer Engine'!$C$2:$C$1199,0)),"",INDEX('Compliance Database'!$C$2:$C$1199,MATCH(199,'Transfer Engine'!$C$2:$C$1199,0)))</f>
        <v>p23</v>
      </c>
      <c r="D208" s="7" t="str">
        <f>IF(ISNA(MATCH(199,'Transfer Engine'!$C$2:$C$1199,0)),"",INDEX('Compliance Database'!$D$2:$D$1199,MATCH(199,'Transfer Engine'!$C$2:$C$1199,0)))</f>
        <v>Digital advice licensees must have adequate compensation arrangements</v>
      </c>
      <c r="E208" s="6" t="str">
        <f>IF(ISNA(MATCH(199,'Transfer Engine'!$C$2:$C$1199,0)),"",INDEX('Compliance Database'!$E$2:$E$1199,MATCH(199,'Transfer Engine'!$C$2:$C$1199,0)))</f>
        <v>23–24</v>
      </c>
      <c r="F208" s="6" t="str">
        <f>IF(ISNA(MATCH(199,'Transfer Engine'!$C$2:$C$1199,0)),"",INDEX('Compliance Database'!$F$2:$F$1199,MATCH(199,'Transfer Engine'!$C$2:$C$1199,0)))</f>
        <v>High</v>
      </c>
      <c r="G208" s="6" t="str">
        <f>IF(ISNA(MATCH(199,'Transfer Engine'!$C$2:$C$1199,0)),"",INDEX('Compliance Database'!$G$2:$G$1199,MATCH(199,'Transfer Engine'!$C$2:$C$1199,0)))</f>
        <v>High (explicit)</v>
      </c>
      <c r="H208" s="7">
        <f>IF(ISNA(MATCH(199,'Transfer Engine'!$C$2:$C$1199,0)),"",INDEX('Compliance Database'!$H$2:$H$1199,MATCH(199,'Transfer Engine'!$C$2:$C$1199,0)))</f>
        <v>0</v>
      </c>
      <c r="I208" s="7" t="str">
        <f>IF(ISNA(MATCH(199,'Transfer Engine'!$C$2:$C$1199,0)),"",INDEX('Compliance Database'!$I$2:$I$1199,MATCH(199,'Transfer Engine'!$C$2:$C$1199,0)))</f>
        <v>Financial Data</v>
      </c>
      <c r="J208" s="6" t="str">
        <f>IF(ISNA(MATCH(199,'Transfer Engine'!$C$2:$C$1199,0)),"",INDEX('Compliance Database'!$J$2:$J$1199,MATCH(199,'Transfer Engine'!$C$2:$C$1199,0)))</f>
        <v>ASIC</v>
      </c>
      <c r="K208" s="7" t="str">
        <f>IF(ISNA(MATCH(199,'Transfer Engine'!$C$2:$C$1199,0)),"",INDEX('Compliance Database'!$K$2:$K$1199,MATCH(199,'Transfer Engine'!$C$2:$C$1199,0)))</f>
        <v>Digital advice licensees must have arrangements for compensating clients for losses resulting from breaches of obligations under the Corporations Act. These arrangements must either satisfy professional indemnity insurance requirements or be approved by ASIC as alternative arrangements, considering factors like client growth, potential widespread losses, and claim aggregation.</v>
      </c>
      <c r="L208" s="7" t="str">
        <f>IF(ISNA(MATCH(199,'Transfer Engine'!$C$2:$C$1199,0)),"",INDEX('Compliance Database'!$L$2:$L$1199,MATCH(199,'Transfer Engine'!$C$2:$C$1199,0)))</f>
        <v>Compensation arrangements requirements impact data transfer assessments by mandating financial safeguards for client losses, affecting cross-border data handling risks.</v>
      </c>
      <c r="M208" s="7" t="str">
        <f>IF(ISNA(MATCH(199,'Transfer Engine'!$C$2:$C$1199,0)),"",INDEX('Compliance Database'!$M$2:$M$1199,MATCH(199,'Transfer Engine'!$C$2:$C$1199,0)))</f>
        <v>• [Must] Digital advice licensees must have arrangements for compensating clients for losses from breaches of obligations under the Corporations Act
• [Must] Compensation arrangements must satisfy professional indemnity insurance requirements or be approved by ASIC as alternatives
• [Must] Digital advice licensees must regularly review business risks to assess PI insurance adequacy</v>
      </c>
      <c r="N208" s="7" t="str">
        <f>IF(ISNA(MATCH(199,'Transfer Engine'!$C$2:$C$1199,0)),"",INDEX('Compliance Database'!$N$2:$N$1199,MATCH(199,'Transfer Engine'!$C$2:$C$1199,0)))</f>
        <v>• [Must] Digital advice licensees must notify PI insurers of material business changes
• [Must] Digital advice licensees must review PI insurance policy features at least annually</v>
      </c>
      <c r="O208" s="7" t="str">
        <f>IF(ISNA(MATCH(199,'Transfer Engine'!$C$2:$C$1199,0)),"",INDEX('Compliance Database'!$O$2:$O$1199,MATCH(199,'Transfer Engine'!$C$2:$C$1199,0)))</f>
        <v>RG 255.80: Under s912B, AFS licensees that provide financial services to retail clients must have arrangements for compensating clients for loss they suffer as a result of a breach by the licensee or its representatives of their obligations in Ch 7 of the Corporations Act.</v>
      </c>
      <c r="P208" s="6" t="str">
        <f>IF(ISNA(MATCH(199,'Transfer Engine'!$C$2:$C$1199,0)),"",HYPERLINK("#Acts!A"&amp;INDEX('Compliance Database'!$P$2:$P$1199,MATCH(199,'Transfer Engine'!$C$2:$C$1199,0)),"Go to Act"))</f>
        <v>Go to Act</v>
      </c>
    </row>
    <row r="209" spans="1:16" ht="172.95" customHeight="1" x14ac:dyDescent="0.3">
      <c r="A209" s="6" t="str">
        <f>IF(ISNA(MATCH(200,'Transfer Engine'!$C$2:$C$1199,0)),"",INDEX('Compliance Database'!$A$2:$A$1199,MATCH(200,'Transfer Engine'!$C$2:$C$1199,0)))</f>
        <v>Australia</v>
      </c>
      <c r="B209" s="6" t="str">
        <f>IF(ISNA(MATCH(200,'Transfer Engine'!$C$2:$C$1199,0)),"",INDEX('Compliance Database'!$B$2:$B$1199,MATCH(200,'Transfer Engine'!$C$2:$C$1199,0)))</f>
        <v>rg255-published-30-august-2016-20220328 (Australia - Row 9)</v>
      </c>
      <c r="C209" s="6" t="str">
        <f>IF(ISNA(MATCH(200,'Transfer Engine'!$C$2:$C$1199,0)),"",INDEX('Compliance Database'!$C$2:$C$1199,MATCH(200,'Transfer Engine'!$C$2:$C$1199,0)))</f>
        <v>p24</v>
      </c>
      <c r="D209" s="7" t="str">
        <f>IF(ISNA(MATCH(200,'Transfer Engine'!$C$2:$C$1199,0)),"",INDEX('Compliance Database'!$D$2:$D$1199,MATCH(200,'Transfer Engine'!$C$2:$C$1199,0)))</f>
        <v>Digital advice must comply with best interests duty</v>
      </c>
      <c r="E209" s="6" t="str">
        <f>IF(ISNA(MATCH(200,'Transfer Engine'!$C$2:$C$1199,0)),"",INDEX('Compliance Database'!$E$2:$E$1199,MATCH(200,'Transfer Engine'!$C$2:$C$1199,0)))</f>
        <v>24–25</v>
      </c>
      <c r="F209" s="6" t="str">
        <f>IF(ISNA(MATCH(200,'Transfer Engine'!$C$2:$C$1199,0)),"",INDEX('Compliance Database'!$F$2:$F$1199,MATCH(200,'Transfer Engine'!$C$2:$C$1199,0)))</f>
        <v>High</v>
      </c>
      <c r="G209" s="6" t="str">
        <f>IF(ISNA(MATCH(200,'Transfer Engine'!$C$2:$C$1199,0)),"",INDEX('Compliance Database'!$G$2:$G$1199,MATCH(200,'Transfer Engine'!$C$2:$C$1199,0)))</f>
        <v>High (explicit)</v>
      </c>
      <c r="H209" s="7">
        <f>IF(ISNA(MATCH(200,'Transfer Engine'!$C$2:$C$1199,0)),"",INDEX('Compliance Database'!$H$2:$H$1199,MATCH(200,'Transfer Engine'!$C$2:$C$1199,0)))</f>
        <v>0</v>
      </c>
      <c r="I209" s="7" t="str">
        <f>IF(ISNA(MATCH(200,'Transfer Engine'!$C$2:$C$1199,0)),"",INDEX('Compliance Database'!$I$2:$I$1199,MATCH(200,'Transfer Engine'!$C$2:$C$1199,0)))</f>
        <v>Financial Data</v>
      </c>
      <c r="J209" s="6" t="str">
        <f>IF(ISNA(MATCH(200,'Transfer Engine'!$C$2:$C$1199,0)),"",INDEX('Compliance Database'!$J$2:$J$1199,MATCH(200,'Transfer Engine'!$C$2:$C$1199,0)))</f>
        <v>ASIC</v>
      </c>
      <c r="K209" s="7" t="str">
        <f>IF(ISNA(MATCH(200,'Transfer Engine'!$C$2:$C$1199,0)),"",INDEX('Compliance Database'!$K$2:$K$1199,MATCH(200,'Transfer Engine'!$C$2:$C$1199,0)))</f>
        <v>Digital advice providers must act in the best interests of clients when providing advice, as the law is technology neutral. This obligation applies to all digital advice providers, including those using computer programs, and requires adherence to the same standards as traditional financial advice.</v>
      </c>
      <c r="L209" s="7" t="str">
        <f>IF(ISNA(MATCH(200,'Transfer Engine'!$C$2:$C$1199,0)),"",INDEX('Compliance Database'!$L$2:$L$1199,MATCH(200,'Transfer Engine'!$C$2:$C$1199,0)))</f>
        <v>Best interests duty requirements impact data transfer assessments by mandating client-centric advice practices, affecting data handling and processing across borders.</v>
      </c>
      <c r="M209" s="7" t="str">
        <f>IF(ISNA(MATCH(200,'Transfer Engine'!$C$2:$C$1199,0)),"",INDEX('Compliance Database'!$M$2:$M$1199,MATCH(200,'Transfer Engine'!$C$2:$C$1199,0)))</f>
        <v>• [Must] Digital advice providers must act in the best interests of clients when providing advice</v>
      </c>
      <c r="N209" s="7">
        <f>IF(ISNA(MATCH(200,'Transfer Engine'!$C$2:$C$1199,0)),"",INDEX('Compliance Database'!$N$2:$N$1199,MATCH(200,'Transfer Engine'!$C$2:$C$1199,0)))</f>
        <v>0</v>
      </c>
      <c r="O209" s="7" t="str">
        <f>IF(ISNA(MATCH(200,'Transfer Engine'!$C$2:$C$1199,0)),"",INDEX('Compliance Database'!$O$2:$O$1199,MATCH(200,'Transfer Engine'!$C$2:$C$1199,0)))</f>
        <v>RG 255.87: When providing personal advice to a retail client, advice providers must act in the best interests of the client in relation to that advice: s961B(1).</v>
      </c>
      <c r="P209" s="6" t="str">
        <f>IF(ISNA(MATCH(200,'Transfer Engine'!$C$2:$C$1199,0)),"",HYPERLINK("#Acts!A"&amp;INDEX('Compliance Database'!$P$2:$P$1199,MATCH(200,'Transfer Engine'!$C$2:$C$1199,0)),"Go to Act"))</f>
        <v>Go to Act</v>
      </c>
    </row>
    <row r="210" spans="1:16" ht="172.95" customHeight="1" x14ac:dyDescent="0.3">
      <c r="A210" s="6" t="str">
        <f>IF(ISNA(MATCH(201,'Transfer Engine'!$C$2:$C$1199,0)),"",INDEX('Compliance Database'!$A$2:$A$1199,MATCH(201,'Transfer Engine'!$C$2:$C$1199,0)))</f>
        <v>Australia</v>
      </c>
      <c r="B210" s="6" t="str">
        <f>IF(ISNA(MATCH(201,'Transfer Engine'!$C$2:$C$1199,0)),"",INDEX('Compliance Database'!$B$2:$B$1199,MATCH(201,'Transfer Engine'!$C$2:$C$1199,0)))</f>
        <v>rg255-published-30-august-2016-20220328 (Australia - Row 9)</v>
      </c>
      <c r="C210" s="6" t="str">
        <f>IF(ISNA(MATCH(201,'Transfer Engine'!$C$2:$C$1199,0)),"",INDEX('Compliance Database'!$C$2:$C$1199,MATCH(201,'Transfer Engine'!$C$2:$C$1199,0)))</f>
        <v>p25</v>
      </c>
      <c r="D210" s="7" t="str">
        <f>IF(ISNA(MATCH(201,'Transfer Engine'!$C$2:$C$1199,0)),"",INDEX('Compliance Database'!$D$2:$D$1199,MATCH(201,'Transfer Engine'!$C$2:$C$1199,0)))</f>
        <v>Digital advice provider obligations for retail clients</v>
      </c>
      <c r="E210" s="6" t="str">
        <f>IF(ISNA(MATCH(201,'Transfer Engine'!$C$2:$C$1199,0)),"",INDEX('Compliance Database'!$E$2:$E$1199,MATCH(201,'Transfer Engine'!$C$2:$C$1199,0)))</f>
        <v>25–26</v>
      </c>
      <c r="F210" s="6" t="str">
        <f>IF(ISNA(MATCH(201,'Transfer Engine'!$C$2:$C$1199,0)),"",INDEX('Compliance Database'!$F$2:$F$1199,MATCH(201,'Transfer Engine'!$C$2:$C$1199,0)))</f>
        <v>High</v>
      </c>
      <c r="G210" s="6" t="str">
        <f>IF(ISNA(MATCH(201,'Transfer Engine'!$C$2:$C$1199,0)),"",INDEX('Compliance Database'!$G$2:$G$1199,MATCH(201,'Transfer Engine'!$C$2:$C$1199,0)))</f>
        <v>High (explicit)</v>
      </c>
      <c r="H210" s="7" t="str">
        <f>IF(ISNA(MATCH(201,'Transfer Engine'!$C$2:$C$1199,0)),"",INDEX('Compliance Database'!$H$2:$H$1199,MATCH(201,'Transfer Engine'!$C$2:$C$1199,0)))</f>
        <v>Data Sharing, Cross-border Transfer, Financial Data</v>
      </c>
      <c r="I210" s="7" t="str">
        <f>IF(ISNA(MATCH(201,'Transfer Engine'!$C$2:$C$1199,0)),"",INDEX('Compliance Database'!$I$2:$I$1199,MATCH(201,'Transfer Engine'!$C$2:$C$1199,0)))</f>
        <v>Financial Data</v>
      </c>
      <c r="J210" s="6" t="str">
        <f>IF(ISNA(MATCH(201,'Transfer Engine'!$C$2:$C$1199,0)),"",INDEX('Compliance Database'!$J$2:$J$1199,MATCH(201,'Transfer Engine'!$C$2:$C$1199,0)))</f>
        <v>ASIC</v>
      </c>
      <c r="K210" s="7" t="str">
        <f>IF(ISNA(MATCH(201,'Transfer Engine'!$C$2:$C$1199,0)),"",INDEX('Compliance Database'!$K$2:$K$1199,MATCH(201,'Transfer Engine'!$C$2:$C$1199,0)))</f>
        <v>Digital advice providers must provide appropriate advice, warn clients about incomplete or inaccurate information, and prioritize client interests over their own or associates' interests when giving personal financial advice. These obligations apply to all personal advice but exclude general advice. The guidance specifies that scaled advice (limited scope personal advice) must be handled with particular care due to the absence of direct client interaction in digital contexts.</v>
      </c>
      <c r="L210" s="7" t="str">
        <f>IF(ISNA(MATCH(201,'Transfer Engine'!$C$2:$C$1199,0)),"",INDEX('Compliance Database'!$L$2:$L$1199,MATCH(201,'Transfer Engine'!$C$2:$C$1199,0)))</f>
        <v>Digital advice providers must clearly communicate the scope of advice, obtain client consent for limited advice, and ensure advice remains within client's best interests to avoid cross-border data transfer risks.</v>
      </c>
      <c r="M210" s="7" t="str">
        <f>IF(ISNA(MATCH(201,'Transfer Engine'!$C$2:$C$1199,0)),"",INDEX('Compliance Database'!$M$2:$M$1199,MATCH(201,'Transfer Engine'!$C$2:$C$1199,0)))</f>
        <v>• [Must] Provide appropriate financial advice to retail clients
• [Must] Warn clients if advice is based on incomplete or inaccurate information</v>
      </c>
      <c r="N210" s="7" t="str">
        <f>IF(ISNA(MATCH(201,'Transfer Engine'!$C$2:$C$1199,0)),"",INDEX('Compliance Database'!$N$2:$N$1199,MATCH(201,'Transfer Engine'!$C$2:$C$1199,0)))</f>
        <v>• [Must] Prioritize client's interests over own interests or associates' interests</v>
      </c>
      <c r="O210" s="7" t="str">
        <f>IF(ISNA(MATCH(201,'Transfer Engine'!$C$2:$C$1199,0)),"",INDEX('Compliance Database'!$O$2:$O$1199,MATCH(201,'Transfer Engine'!$C$2:$C$1199,0)))</f>
        <v>RG 255.90: A digital advice provider giving personal advice to a client also has related obligations in Div 2 of Pt 7.7A of the Corporations Act to provide appropriate advice, to warn the client if advice is based on incomplete or inaccurate information, and to prioritise the client's interests over its own interests or that of the advice provider's associates.</v>
      </c>
      <c r="P210" s="6" t="str">
        <f>IF(ISNA(MATCH(201,'Transfer Engine'!$C$2:$C$1199,0)),"",HYPERLINK("#Acts!A"&amp;INDEX('Compliance Database'!$P$2:$P$1199,MATCH(201,'Transfer Engine'!$C$2:$C$1199,0)),"Go to Act"))</f>
        <v>Go to Act</v>
      </c>
    </row>
    <row r="211" spans="1:16" ht="172.95" customHeight="1" x14ac:dyDescent="0.3">
      <c r="A211" s="6" t="str">
        <f>IF(ISNA(MATCH(202,'Transfer Engine'!$C$2:$C$1199,0)),"",INDEX('Compliance Database'!$A$2:$A$1199,MATCH(202,'Transfer Engine'!$C$2:$C$1199,0)))</f>
        <v>Australia</v>
      </c>
      <c r="B211" s="6" t="str">
        <f>IF(ISNA(MATCH(202,'Transfer Engine'!$C$2:$C$1199,0)),"",INDEX('Compliance Database'!$B$2:$B$1199,MATCH(202,'Transfer Engine'!$C$2:$C$1199,0)))</f>
        <v>rg255-published-30-august-2016-20220328 (Australia - Row 9)</v>
      </c>
      <c r="C211" s="6" t="str">
        <f>IF(ISNA(MATCH(202,'Transfer Engine'!$C$2:$C$1199,0)),"",INDEX('Compliance Database'!$C$2:$C$1199,MATCH(202,'Transfer Engine'!$C$2:$C$1199,0)))</f>
        <v>p26</v>
      </c>
      <c r="D211" s="7" t="str">
        <f>IF(ISNA(MATCH(202,'Transfer Engine'!$C$2:$C$1199,0)),"",INDEX('Compliance Database'!$D$2:$D$1199,MATCH(202,'Transfer Engine'!$C$2:$C$1199,0)))</f>
        <v>Minimum expectations for digital scaled advice</v>
      </c>
      <c r="E211" s="6" t="str">
        <f>IF(ISNA(MATCH(202,'Transfer Engine'!$C$2:$C$1199,0)),"",INDEX('Compliance Database'!$E$2:$E$1199,MATCH(202,'Transfer Engine'!$C$2:$C$1199,0)))</f>
        <v>26–27</v>
      </c>
      <c r="F211" s="6" t="str">
        <f>IF(ISNA(MATCH(202,'Transfer Engine'!$C$2:$C$1199,0)),"",INDEX('Compliance Database'!$F$2:$F$1199,MATCH(202,'Transfer Engine'!$C$2:$C$1199,0)))</f>
        <v>High</v>
      </c>
      <c r="G211" s="6" t="str">
        <f>IF(ISNA(MATCH(202,'Transfer Engine'!$C$2:$C$1199,0)),"",INDEX('Compliance Database'!$G$2:$G$1199,MATCH(202,'Transfer Engine'!$C$2:$C$1199,0)))</f>
        <v>High (explicit)</v>
      </c>
      <c r="H211" s="7" t="str">
        <f>IF(ISNA(MATCH(202,'Transfer Engine'!$C$2:$C$1199,0)),"",INDEX('Compliance Database'!$H$2:$H$1199,MATCH(202,'Transfer Engine'!$C$2:$C$1199,0)))</f>
        <v>Data Sharing, Cross-border Transfer, Financial Data</v>
      </c>
      <c r="I211" s="7" t="str">
        <f>IF(ISNA(MATCH(202,'Transfer Engine'!$C$2:$C$1199,0)),"",INDEX('Compliance Database'!$I$2:$I$1199,MATCH(202,'Transfer Engine'!$C$2:$C$1199,0)))</f>
        <v>Financial Data</v>
      </c>
      <c r="J211" s="6" t="str">
        <f>IF(ISNA(MATCH(202,'Transfer Engine'!$C$2:$C$1199,0)),"",INDEX('Compliance Database'!$J$2:$J$1199,MATCH(202,'Transfer Engine'!$C$2:$C$1199,0)))</f>
        <v>ASIC</v>
      </c>
      <c r="K211" s="7" t="str">
        <f>IF(ISNA(MATCH(202,'Transfer Engine'!$C$2:$C$1199,0)),"",INDEX('Compliance Database'!$K$2:$K$1199,MATCH(202,'Transfer Engine'!$C$2:$C$1199,0)))</f>
        <v>Digital advice providers must explain the scope of advice upfront, require clients to actively demonstrate advice relevance, inform about limitations and consequences at key points, provide key concepts and risks/benefits, filter inappropriate clients, disclose costs, withdrawal options, dispute resolution, and explain benefits of following advice. These minimum expectations ensure scaled advice remains in the client's best interests without direct interaction.</v>
      </c>
      <c r="L211" s="7" t="str">
        <f>IF(ISNA(MATCH(202,'Transfer Engine'!$C$2:$C$1199,0)),"",INDEX('Compliance Database'!$L$2:$L$1199,MATCH(202,'Transfer Engine'!$C$2:$C$1199,0)))</f>
        <v>Digital advice providers must implement clear communication protocols to define advice scope and ensure client understanding, critical for data transfer compliance in cross-border financial contexts.</v>
      </c>
      <c r="M211" s="7" t="str">
        <f>IF(ISNA(MATCH(202,'Transfer Engine'!$C$2:$C$1199,0)),"",INDEX('Compliance Database'!$M$2:$M$1199,MATCH(202,'Transfer Engine'!$C$2:$C$1199,0)))</f>
        <v>• [Must] Explain advice scope and what is not offered from the outset
• [Must] Require client to actively demonstrate advice relevance
• [Must] Inform about limitations and consequences at key points
• [Must] Inform about key concepts and associated risks/benefits
• [Must] Filter clients for whom advice is inappropriate</v>
      </c>
      <c r="N211" s="7" t="str">
        <f>IF(ISNA(MATCH(202,'Transfer Engine'!$C$2:$C$1199,0)),"",INDEX('Compliance Database'!$N$2:$N$1199,MATCH(202,'Transfer Engine'!$C$2:$C$1199,0)))</f>
        <v>• [Must] Disclose upfront and ongoing costs of advice
• [Must] Inform about withdrawal options and associated costs
• [Must] Explain dispute resolution processes
• [Must] Explain why client will be in better position following advice</v>
      </c>
      <c r="O211" s="7" t="str">
        <f>IF(ISNA(MATCH(202,'Transfer Engine'!$C$2:$C$1199,0)),"",INDEX('Compliance Database'!$O$2:$O$1199,MATCH(202,'Transfer Engine'!$C$2:$C$1199,0)))</f>
        <v>RG 255.98: As a minimum, you should: explain to the client from the outset what advice is being offered and what is not being offered (i.e. the scope of the advice); require the client to actively demonstrate that the advice they are seeking is within the scope of what is being offered by the digital advice model; at key points in the advice process, inform the client about the limitations and potential consequences of the scope of advice; throughout the advice process, inform the client about key concepts and the relevant risks and benefits associated with the advice being provided; filter out clients for whom the advice being offered is not appropriate, or who want advice on a topic outside the scope of advice being offered; inform the client about the upfront and ongoing costs of the advice before the advice is given or implemented; inform the client about how they can withdraw from the advice being provided, and any associated costs, before the advice is implemented; explain what dispute resolution processes are available to the client if they wish to make a complaint; and explain why the client is likely to be in a better position if they follow the advice.</v>
      </c>
      <c r="P211" s="6" t="str">
        <f>IF(ISNA(MATCH(202,'Transfer Engine'!$C$2:$C$1199,0)),"",HYPERLINK("#Acts!A"&amp;INDEX('Compliance Database'!$P$2:$P$1199,MATCH(202,'Transfer Engine'!$C$2:$C$1199,0)),"Go to Act"))</f>
        <v>Go to Act</v>
      </c>
    </row>
    <row r="212" spans="1:16" ht="172.95" customHeight="1" x14ac:dyDescent="0.3">
      <c r="A212" s="6" t="str">
        <f>IF(ISNA(MATCH(203,'Transfer Engine'!$C$2:$C$1199,0)),"",INDEX('Compliance Database'!$A$2:$A$1199,MATCH(203,'Transfer Engine'!$C$2:$C$1199,0)))</f>
        <v>Australia</v>
      </c>
      <c r="B212" s="6" t="str">
        <f>IF(ISNA(MATCH(203,'Transfer Engine'!$C$2:$C$1199,0)),"",INDEX('Compliance Database'!$B$2:$B$1199,MATCH(203,'Transfer Engine'!$C$2:$C$1199,0)))</f>
        <v>rg255-published-30-august-2016-20220328 (Australia - Row 9)</v>
      </c>
      <c r="C212" s="6" t="str">
        <f>IF(ISNA(MATCH(203,'Transfer Engine'!$C$2:$C$1199,0)),"",INDEX('Compliance Database'!$C$2:$C$1199,MATCH(203,'Transfer Engine'!$C$2:$C$1199,0)))</f>
        <v>p27</v>
      </c>
      <c r="D212" s="7" t="str">
        <f>IF(ISNA(MATCH(203,'Transfer Engine'!$C$2:$C$1199,0)),"",INDEX('Compliance Database'!$D$2:$D$1199,MATCH(203,'Transfer Engine'!$C$2:$C$1199,0)))</f>
        <v>Example of scaled digital advice in client's best interests</v>
      </c>
      <c r="E212" s="6" t="str">
        <f>IF(ISNA(MATCH(203,'Transfer Engine'!$C$2:$C$1199,0)),"",INDEX('Compliance Database'!$E$2:$E$1199,MATCH(203,'Transfer Engine'!$C$2:$C$1199,0)))</f>
        <v>27–28</v>
      </c>
      <c r="F212" s="6" t="str">
        <f>IF(ISNA(MATCH(203,'Transfer Engine'!$C$2:$C$1199,0)),"",INDEX('Compliance Database'!$F$2:$F$1199,MATCH(203,'Transfer Engine'!$C$2:$C$1199,0)))</f>
        <v>High</v>
      </c>
      <c r="G212" s="6" t="str">
        <f>IF(ISNA(MATCH(203,'Transfer Engine'!$C$2:$C$1199,0)),"",INDEX('Compliance Database'!$G$2:$G$1199,MATCH(203,'Transfer Engine'!$C$2:$C$1199,0)))</f>
        <v>Medium (interpretation)</v>
      </c>
      <c r="H212" s="7" t="str">
        <f>IF(ISNA(MATCH(203,'Transfer Engine'!$C$2:$C$1199,0)),"",INDEX('Compliance Database'!$H$2:$H$1199,MATCH(203,'Transfer Engine'!$C$2:$C$1199,0)))</f>
        <v>Data Sharing, Cross-border Transfer, Financial Data</v>
      </c>
      <c r="I212" s="7" t="str">
        <f>IF(ISNA(MATCH(203,'Transfer Engine'!$C$2:$C$1199,0)),"",INDEX('Compliance Database'!$I$2:$I$1199,MATCH(203,'Transfer Engine'!$C$2:$C$1199,0)))</f>
        <v>Financial Data</v>
      </c>
      <c r="J212" s="6">
        <f>IF(ISNA(MATCH(203,'Transfer Engine'!$C$2:$C$1199,0)),"",INDEX('Compliance Database'!$J$2:$J$1199,MATCH(203,'Transfer Engine'!$C$2:$C$1199,0)))</f>
        <v>0</v>
      </c>
      <c r="K212" s="7" t="str">
        <f>IF(ISNA(MATCH(203,'Transfer Engine'!$C$2:$C$1199,0)),"",INDEX('Compliance Database'!$K$2:$K$1199,MATCH(203,'Transfer Engine'!$C$2:$C$1199,0)))</f>
        <v>The example demonstrates that digital advice is in the client's best interests when it clearly identifies advice scope, explains consequences of limited advice, obtains client consent, provides ongoing reinforcement of scope limitations, and filters clients based on relevant circumstances. This ensures advice remains appropriate and within legal scope without direct interaction.</v>
      </c>
      <c r="L212" s="7" t="str">
        <f>IF(ISNA(MATCH(203,'Transfer Engine'!$C$2:$C$1199,0)),"",INDEX('Compliance Database'!$L$2:$L$1199,MATCH(203,'Transfer Engine'!$C$2:$C$1199,0)))</f>
        <v>Digital advice must clearly define scope, obtain explicit consent, and implement ongoing client communication to ensure advice remains within client's best interests during data transfers.</v>
      </c>
      <c r="M212" s="7" t="str">
        <f>IF(ISNA(MATCH(203,'Transfer Engine'!$C$2:$C$1199,0)),"",INDEX('Compliance Database'!$M$2:$M$1199,MATCH(203,'Transfer Engine'!$C$2:$C$1199,0)))</f>
        <v>• [Must] Clearly identify what advice is provided and what is not
• [Must] Explain consequences of proceeding with scaled advice
• [Must] Obtain client consent to proceed with scaled advice</v>
      </c>
      <c r="N212" s="7" t="str">
        <f>IF(ISNA(MATCH(203,'Transfer Engine'!$C$2:$C$1199,0)),"",INDEX('Compliance Database'!$N$2:$N$1199,MATCH(203,'Transfer Engine'!$C$2:$C$1199,0)))</f>
        <v>• [Must] Provide pop-up information to reinforce limited scope and implications
• [Must] Identify whether client's circumstances are consistent with advice scope</v>
      </c>
      <c r="O212" s="7" t="str">
        <f>IF(ISNA(MATCH(203,'Transfer Engine'!$C$2:$C$1199,0)),"",INDEX('Compliance Database'!$O$2:$O$1199,MATCH(203,'Transfer Engine'!$C$2:$C$1199,0)))</f>
        <v>RG 255.99: In Example 5, we consider that the digital advice provider provides scaled advice that is in the best interests of the client.</v>
      </c>
      <c r="P212" s="6" t="str">
        <f>IF(ISNA(MATCH(203,'Transfer Engine'!$C$2:$C$1199,0)),"",HYPERLINK("#Acts!A"&amp;INDEX('Compliance Database'!$P$2:$P$1199,MATCH(203,'Transfer Engine'!$C$2:$C$1199,0)),"Go to Act"))</f>
        <v>Go to Act</v>
      </c>
    </row>
    <row r="213" spans="1:16" ht="172.95" customHeight="1" x14ac:dyDescent="0.3">
      <c r="A213" s="6" t="str">
        <f>IF(ISNA(MATCH(204,'Transfer Engine'!$C$2:$C$1199,0)),"",INDEX('Compliance Database'!$A$2:$A$1199,MATCH(204,'Transfer Engine'!$C$2:$C$1199,0)))</f>
        <v>Australia</v>
      </c>
      <c r="B213" s="6" t="str">
        <f>IF(ISNA(MATCH(204,'Transfer Engine'!$C$2:$C$1199,0)),"",INDEX('Compliance Database'!$B$2:$B$1199,MATCH(204,'Transfer Engine'!$C$2:$C$1199,0)))</f>
        <v>rg255-published-30-august-2016-20220328 (Australia - Row 9)</v>
      </c>
      <c r="C213" s="6" t="str">
        <f>IF(ISNA(MATCH(204,'Transfer Engine'!$C$2:$C$1199,0)),"",INDEX('Compliance Database'!$C$2:$C$1199,MATCH(204,'Transfer Engine'!$C$2:$C$1199,0)))</f>
        <v>p28</v>
      </c>
      <c r="D213" s="7" t="str">
        <f>IF(ISNA(MATCH(204,'Transfer Engine'!$C$2:$C$1199,0)),"",INDEX('Compliance Database'!$D$2:$D$1199,MATCH(204,'Transfer Engine'!$C$2:$C$1199,0)))</f>
        <v>Triage and filtering process for digital advice</v>
      </c>
      <c r="E213" s="6" t="str">
        <f>IF(ISNA(MATCH(204,'Transfer Engine'!$C$2:$C$1199,0)),"",INDEX('Compliance Database'!$E$2:$E$1199,MATCH(204,'Transfer Engine'!$C$2:$C$1199,0)))</f>
        <v>28–29</v>
      </c>
      <c r="F213" s="6" t="str">
        <f>IF(ISNA(MATCH(204,'Transfer Engine'!$C$2:$C$1199,0)),"",INDEX('Compliance Database'!$F$2:$F$1199,MATCH(204,'Transfer Engine'!$C$2:$C$1199,0)))</f>
        <v>High</v>
      </c>
      <c r="G213" s="6" t="str">
        <f>IF(ISNA(MATCH(204,'Transfer Engine'!$C$2:$C$1199,0)),"",INDEX('Compliance Database'!$G$2:$G$1199,MATCH(204,'Transfer Engine'!$C$2:$C$1199,0)))</f>
        <v>High (explicit)</v>
      </c>
      <c r="H213" s="7" t="str">
        <f>IF(ISNA(MATCH(204,'Transfer Engine'!$C$2:$C$1199,0)),"",INDEX('Compliance Database'!$H$2:$H$1199,MATCH(204,'Transfer Engine'!$C$2:$C$1199,0)))</f>
        <v>Data Sharing, Cross-border Transfer, Financial Data</v>
      </c>
      <c r="I213" s="7" t="str">
        <f>IF(ISNA(MATCH(204,'Transfer Engine'!$C$2:$C$1199,0)),"",INDEX('Compliance Database'!$I$2:$I$1199,MATCH(204,'Transfer Engine'!$C$2:$C$1199,0)))</f>
        <v>Financial Data</v>
      </c>
      <c r="J213" s="6" t="str">
        <f>IF(ISNA(MATCH(204,'Transfer Engine'!$C$2:$C$1199,0)),"",INDEX('Compliance Database'!$J$2:$J$1199,MATCH(204,'Transfer Engine'!$C$2:$C$1199,0)))</f>
        <v>ASIC</v>
      </c>
      <c r="K213" s="7" t="str">
        <f>IF(ISNA(MATCH(204,'Transfer Engine'!$C$2:$C$1199,0)),"",INDEX('Compliance Database'!$K$2:$K$1199,MATCH(204,'Transfer Engine'!$C$2:$C$1199,0)))</f>
        <v>Digital advice providers must implement a robust triage or filtering process to identify clients for whom advice is inappropriate. This includes testing at key points in the advice process whether advice is appropriate and in the client's best interests, filtering clients who seek advice outside scope, and handling inconsistent client responses through clarification or exclusion.</v>
      </c>
      <c r="L213" s="7" t="str">
        <f>IF(ISNA(MATCH(204,'Transfer Engine'!$C$2:$C$1199,0)),"",INDEX('Compliance Database'!$L$2:$L$1199,MATCH(204,'Transfer Engine'!$C$2:$C$1199,0)))</f>
        <v>Digital advice providers must actively filter clients to ensure advice remains within scope and in client's best interests, critical for data transfer compliance.</v>
      </c>
      <c r="M213" s="7" t="str">
        <f>IF(ISNA(MATCH(204,'Transfer Engine'!$C$2:$C$1199,0)),"",INDEX('Compliance Database'!$M$2:$M$1199,MATCH(204,'Transfer Engine'!$C$2:$C$1199,0)))</f>
        <v>• [Must] Ensure robust triage or filtering process to identify inappropriate clients
• [Must] Test at key points whether advice is appropriate and in client's best interests</v>
      </c>
      <c r="N213" s="7" t="str">
        <f>IF(ISNA(MATCH(204,'Transfer Engine'!$C$2:$C$1199,0)),"",INDEX('Compliance Database'!$N$2:$N$1199,MATCH(204,'Transfer Engine'!$C$2:$C$1199,0)))</f>
        <v>• [Must] Filter clients seeking advice outside scope of digital advice
• [Must] Identify inconsistencies in client responses and provide clarification or exclusion</v>
      </c>
      <c r="O213" s="7" t="str">
        <f>IF(ISNA(MATCH(204,'Transfer Engine'!$C$2:$C$1199,0)),"",INDEX('Compliance Database'!$O$2:$O$1199,MATCH(204,'Transfer Engine'!$C$2:$C$1199,0)))</f>
        <v>RG 255.102: If a client seeks advice on an area outside the scope of the advice being offered, the client should be filtered out of the digital advice model.</v>
      </c>
      <c r="P213" s="6" t="str">
        <f>IF(ISNA(MATCH(204,'Transfer Engine'!$C$2:$C$1199,0)),"",HYPERLINK("#Acts!A"&amp;INDEX('Compliance Database'!$P$2:$P$1199,MATCH(204,'Transfer Engine'!$C$2:$C$1199,0)),"Go to Act"))</f>
        <v>Go to Act</v>
      </c>
    </row>
    <row r="214" spans="1:16" ht="172.95" customHeight="1" x14ac:dyDescent="0.3">
      <c r="A214" s="6" t="str">
        <f>IF(ISNA(MATCH(205,'Transfer Engine'!$C$2:$C$1199,0)),"",INDEX('Compliance Database'!$A$2:$A$1199,MATCH(205,'Transfer Engine'!$C$2:$C$1199,0)))</f>
        <v>Australia</v>
      </c>
      <c r="B214" s="6" t="str">
        <f>IF(ISNA(MATCH(205,'Transfer Engine'!$C$2:$C$1199,0)),"",INDEX('Compliance Database'!$B$2:$B$1199,MATCH(205,'Transfer Engine'!$C$2:$C$1199,0)))</f>
        <v>rg255-published-30-august-2016-20220328 (Australia - Row 9)</v>
      </c>
      <c r="C214" s="6" t="str">
        <f>IF(ISNA(MATCH(205,'Transfer Engine'!$C$2:$C$1199,0)),"",INDEX('Compliance Database'!$C$2:$C$1199,MATCH(205,'Transfer Engine'!$C$2:$C$1199,0)))</f>
        <v>p29</v>
      </c>
      <c r="D214" s="7" t="str">
        <f>IF(ISNA(MATCH(205,'Transfer Engine'!$C$2:$C$1199,0)),"",INDEX('Compliance Database'!$D$2:$D$1199,MATCH(205,'Transfer Engine'!$C$2:$C$1199,0)))</f>
        <v>Combined financial advice model example</v>
      </c>
      <c r="E214" s="6" t="str">
        <f>IF(ISNA(MATCH(205,'Transfer Engine'!$C$2:$C$1199,0)),"",INDEX('Compliance Database'!$E$2:$E$1199,MATCH(205,'Transfer Engine'!$C$2:$C$1199,0)))</f>
        <v>29–30</v>
      </c>
      <c r="F214" s="6" t="str">
        <f>IF(ISNA(MATCH(205,'Transfer Engine'!$C$2:$C$1199,0)),"",INDEX('Compliance Database'!$F$2:$F$1199,MATCH(205,'Transfer Engine'!$C$2:$C$1199,0)))</f>
        <v>High</v>
      </c>
      <c r="G214" s="6" t="str">
        <f>IF(ISNA(MATCH(205,'Transfer Engine'!$C$2:$C$1199,0)),"",INDEX('Compliance Database'!$G$2:$G$1199,MATCH(205,'Transfer Engine'!$C$2:$C$1199,0)))</f>
        <v>High (explicit)</v>
      </c>
      <c r="H214" s="7" t="str">
        <f>IF(ISNA(MATCH(205,'Transfer Engine'!$C$2:$C$1199,0)),"",INDEX('Compliance Database'!$H$2:$H$1199,MATCH(205,'Transfer Engine'!$C$2:$C$1199,0)))</f>
        <v>Data Sharing, Cross-border Transfer, Financial Data</v>
      </c>
      <c r="I214" s="7" t="str">
        <f>IF(ISNA(MATCH(205,'Transfer Engine'!$C$2:$C$1199,0)),"",INDEX('Compliance Database'!$I$2:$I$1199,MATCH(205,'Transfer Engine'!$C$2:$C$1199,0)))</f>
        <v>Financial Data</v>
      </c>
      <c r="J214" s="6" t="str">
        <f>IF(ISNA(MATCH(205,'Transfer Engine'!$C$2:$C$1199,0)),"",INDEX('Compliance Database'!$J$2:$J$1199,MATCH(205,'Transfer Engine'!$C$2:$C$1199,0)))</f>
        <v>ASIC</v>
      </c>
      <c r="K214" s="7" t="str">
        <f>IF(ISNA(MATCH(205,'Transfer Engine'!$C$2:$C$1199,0)),"",INDEX('Compliance Database'!$K$2:$K$1199,MATCH(205,'Transfer Engine'!$C$2:$C$1199,0)))</f>
        <v>A combined model uses digital advice tools for initial assessment and human advisers for complex cases. The digital tool filters clients based on circumstances, and human advisers verify information and provide tailored advice, ensuring compliance with best interests obligations and SOA requirements.</v>
      </c>
      <c r="L214" s="7" t="str">
        <f>IF(ISNA(MATCH(205,'Transfer Engine'!$C$2:$C$1199,0)),"",INDEX('Compliance Database'!$L$2:$L$1199,MATCH(205,'Transfer Engine'!$C$2:$C$1199,0)))</f>
        <v>Digital advice models must include mechanisms to identify and handle complex client cases to maintain data transfer compliance and client protection.</v>
      </c>
      <c r="M214" s="7" t="str">
        <f>IF(ISNA(MATCH(205,'Transfer Engine'!$C$2:$C$1199,0)),"",INDEX('Compliance Database'!$M$2:$M$1199,MATCH(205,'Transfer Engine'!$C$2:$C$1199,0)))</f>
        <v>• [Must] Use digital advice tool for initial assessment and human adviser for complex cases
• [Must] Verify client information with client</v>
      </c>
      <c r="N214" s="7" t="str">
        <f>IF(ISNA(MATCH(205,'Transfer Engine'!$C$2:$C$1199,0)),"",INDEX('Compliance Database'!$N$2:$N$1199,MATCH(205,'Transfer Engine'!$C$2:$C$1199,0)))</f>
        <v>• [Must] Identify information gaps or inconsistencies
• [Must] Provide advice considering all client circumstances</v>
      </c>
      <c r="O214" s="7" t="str">
        <f>IF(ISNA(MATCH(205,'Transfer Engine'!$C$2:$C$1199,0)),"",INDEX('Compliance Database'!$O$2:$O$1199,MATCH(205,'Transfer Engine'!$C$2:$C$1199,0)))</f>
        <v>RG 255.106: In Example 6, a digital advice licensee provides a combined (or hybrid) financial product advice model. The licensee correctly filters the client out of the digital advice tool because the advice would not be appropriate for the client's more complex personal circumstances.</v>
      </c>
      <c r="P214" s="6" t="str">
        <f>IF(ISNA(MATCH(205,'Transfer Engine'!$C$2:$C$1199,0)),"",HYPERLINK("#Acts!A"&amp;INDEX('Compliance Database'!$P$2:$P$1199,MATCH(205,'Transfer Engine'!$C$2:$C$1199,0)),"Go to Act"))</f>
        <v>Go to Act</v>
      </c>
    </row>
    <row r="215" spans="1:16" ht="172.95" customHeight="1" x14ac:dyDescent="0.3">
      <c r="A215" s="6" t="str">
        <f>IF(ISNA(MATCH(206,'Transfer Engine'!$C$2:$C$1199,0)),"",INDEX('Compliance Database'!$A$2:$A$1199,MATCH(206,'Transfer Engine'!$C$2:$C$1199,0)))</f>
        <v>Australia</v>
      </c>
      <c r="B215" s="6" t="str">
        <f>IF(ISNA(MATCH(206,'Transfer Engine'!$C$2:$C$1199,0)),"",INDEX('Compliance Database'!$B$2:$B$1199,MATCH(206,'Transfer Engine'!$C$2:$C$1199,0)))</f>
        <v>rg255-published-30-august-2016-20220328 (Australia - Row 9)</v>
      </c>
      <c r="C215" s="6" t="str">
        <f>IF(ISNA(MATCH(206,'Transfer Engine'!$C$2:$C$1199,0)),"",INDEX('Compliance Database'!$C$2:$C$1199,MATCH(206,'Transfer Engine'!$C$2:$C$1199,0)))</f>
        <v>p30</v>
      </c>
      <c r="D215" s="7" t="str">
        <f>IF(ISNA(MATCH(206,'Transfer Engine'!$C$2:$C$1199,0)),"",INDEX('Compliance Database'!$D$2:$D$1199,MATCH(206,'Transfer Engine'!$C$2:$C$1199,0)))</f>
        <v>Digital strategic advice without product recommendations</v>
      </c>
      <c r="E215" s="6" t="str">
        <f>IF(ISNA(MATCH(206,'Transfer Engine'!$C$2:$C$1199,0)),"",INDEX('Compliance Database'!$E$2:$E$1199,MATCH(206,'Transfer Engine'!$C$2:$C$1199,0)))</f>
        <v>30–31</v>
      </c>
      <c r="F215" s="6" t="str">
        <f>IF(ISNA(MATCH(206,'Transfer Engine'!$C$2:$C$1199,0)),"",INDEX('Compliance Database'!$F$2:$F$1199,MATCH(206,'Transfer Engine'!$C$2:$C$1199,0)))</f>
        <v>High</v>
      </c>
      <c r="G215" s="6" t="str">
        <f>IF(ISNA(MATCH(206,'Transfer Engine'!$C$2:$C$1199,0)),"",INDEX('Compliance Database'!$G$2:$G$1199,MATCH(206,'Transfer Engine'!$C$2:$C$1199,0)))</f>
        <v>High (explicit)</v>
      </c>
      <c r="H215" s="7" t="str">
        <f>IF(ISNA(MATCH(206,'Transfer Engine'!$C$2:$C$1199,0)),"",INDEX('Compliance Database'!$H$2:$H$1199,MATCH(206,'Transfer Engine'!$C$2:$C$1199,0)))</f>
        <v>Data Sharing, Cross-border Transfer, Financial Data</v>
      </c>
      <c r="I215" s="7" t="str">
        <f>IF(ISNA(MATCH(206,'Transfer Engine'!$C$2:$C$1199,0)),"",INDEX('Compliance Database'!$I$2:$I$1199,MATCH(206,'Transfer Engine'!$C$2:$C$1199,0)))</f>
        <v>Financial Data</v>
      </c>
      <c r="J215" s="6" t="str">
        <f>IF(ISNA(MATCH(206,'Transfer Engine'!$C$2:$C$1199,0)),"",INDEX('Compliance Database'!$J$2:$J$1199,MATCH(206,'Transfer Engine'!$C$2:$C$1199,0)))</f>
        <v>ASIC</v>
      </c>
      <c r="K215" s="7" t="str">
        <f>IF(ISNA(MATCH(206,'Transfer Engine'!$C$2:$C$1199,0)),"",INDEX('Compliance Database'!$K$2:$K$1199,MATCH(206,'Transfer Engine'!$C$2:$C$1199,0)))</f>
        <v>Digital advice providers must ensure clients understand advice scope, obtain consent, and confirm data completeness before generating SOAs. This includes verifying client circumstances and readiness to proceed with advice, critical for maintaining compliance in digital contexts.</v>
      </c>
      <c r="L215" s="7" t="str">
        <f>IF(ISNA(MATCH(206,'Transfer Engine'!$C$2:$C$1199,0)),"",INDEX('Compliance Database'!$L$2:$L$1199,MATCH(206,'Transfer Engine'!$C$2:$C$1199,0)))</f>
        <v>Digital advice providers must confirm client data completeness and readiness before finalizing advice to ensure data transfer compliance.</v>
      </c>
      <c r="M215" s="7" t="str">
        <f>IF(ISNA(MATCH(206,'Transfer Engine'!$C$2:$C$1199,0)),"",INDEX('Compliance Database'!$M$2:$M$1199,MATCH(206,'Transfer Engine'!$C$2:$C$1199,0)))</f>
        <v>• [Must] Confirm client has finished inputting data and is ready to proceed</v>
      </c>
      <c r="N215" s="7" t="str">
        <f>IF(ISNA(MATCH(206,'Transfer Engine'!$C$2:$C$1199,0)),"",INDEX('Compliance Database'!$N$2:$N$1199,MATCH(206,'Transfer Engine'!$C$2:$C$1199,0)))</f>
        <v>• [Must] Provide SOA after confirming client circumstances are up to date and accurate</v>
      </c>
      <c r="O215" s="7" t="str">
        <f>IF(ISNA(MATCH(206,'Transfer Engine'!$C$2:$C$1199,0)),"",INDEX('Compliance Database'!$O$2:$O$1199,MATCH(206,'Transfer Engine'!$C$2:$C$1199,0)))</f>
        <v>RG 255.107: In a digital advice context, it may not always be clear when a client has finished inputting their data into the digital advice tool. This is because a client may 'play around' and change the variables of the tool.</v>
      </c>
      <c r="P215" s="6" t="str">
        <f>IF(ISNA(MATCH(206,'Transfer Engine'!$C$2:$C$1199,0)),"",HYPERLINK("#Acts!A"&amp;INDEX('Compliance Database'!$P$2:$P$1199,MATCH(206,'Transfer Engine'!$C$2:$C$1199,0)),"Go to Act"))</f>
        <v>Go to Act</v>
      </c>
    </row>
    <row r="216" spans="1:16" ht="172.95" customHeight="1" x14ac:dyDescent="0.3">
      <c r="A216" s="6" t="str">
        <f>IF(ISNA(MATCH(207,'Transfer Engine'!$C$2:$C$1199,0)),"",INDEX('Compliance Database'!$A$2:$A$1199,MATCH(207,'Transfer Engine'!$C$2:$C$1199,0)))</f>
        <v>Australia</v>
      </c>
      <c r="B216" s="6" t="str">
        <f>IF(ISNA(MATCH(207,'Transfer Engine'!$C$2:$C$1199,0)),"",INDEX('Compliance Database'!$B$2:$B$1199,MATCH(207,'Transfer Engine'!$C$2:$C$1199,0)))</f>
        <v>rg255-published-30-august-2016-20220328 (Australia - Row 9)</v>
      </c>
      <c r="C216" s="6" t="str">
        <f>IF(ISNA(MATCH(207,'Transfer Engine'!$C$2:$C$1199,0)),"",INDEX('Compliance Database'!$C$2:$C$1199,MATCH(207,'Transfer Engine'!$C$2:$C$1199,0)))</f>
        <v>p31</v>
      </c>
      <c r="D216" s="7" t="str">
        <f>IF(ISNA(MATCH(207,'Transfer Engine'!$C$2:$C$1199,0)),"",INDEX('Compliance Database'!$D$2:$D$1199,MATCH(207,'Transfer Engine'!$C$2:$C$1199,0)))</f>
        <v>Digital advice algorithm monitoring and error correction</v>
      </c>
      <c r="E216" s="6" t="str">
        <f>IF(ISNA(MATCH(207,'Transfer Engine'!$C$2:$C$1199,0)),"",INDEX('Compliance Database'!$E$2:$E$1199,MATCH(207,'Transfer Engine'!$C$2:$C$1199,0)))</f>
        <v>31–32</v>
      </c>
      <c r="F216" s="6" t="str">
        <f>IF(ISNA(MATCH(207,'Transfer Engine'!$C$2:$C$1199,0)),"",INDEX('Compliance Database'!$F$2:$F$1199,MATCH(207,'Transfer Engine'!$C$2:$C$1199,0)))</f>
        <v>High</v>
      </c>
      <c r="G216" s="6" t="str">
        <f>IF(ISNA(MATCH(207,'Transfer Engine'!$C$2:$C$1199,0)),"",INDEX('Compliance Database'!$G$2:$G$1199,MATCH(207,'Transfer Engine'!$C$2:$C$1199,0)))</f>
        <v>High (explicit)</v>
      </c>
      <c r="H216" s="7">
        <f>IF(ISNA(MATCH(207,'Transfer Engine'!$C$2:$C$1199,0)),"",INDEX('Compliance Database'!$H$2:$H$1199,MATCH(207,'Transfer Engine'!$C$2:$C$1199,0)))</f>
        <v>0</v>
      </c>
      <c r="I216" s="7" t="str">
        <f>IF(ISNA(MATCH(207,'Transfer Engine'!$C$2:$C$1199,0)),"",INDEX('Compliance Database'!$I$2:$I$1199,MATCH(207,'Transfer Engine'!$C$2:$C$1199,0)))</f>
        <v>Financial Data</v>
      </c>
      <c r="J216" s="6" t="str">
        <f>IF(ISNA(MATCH(207,'Transfer Engine'!$C$2:$C$1199,0)),"",INDEX('Compliance Database'!$J$2:$J$1199,MATCH(207,'Transfer Engine'!$C$2:$C$1199,0)))</f>
        <v>ASIC</v>
      </c>
      <c r="K216" s="7" t="str">
        <f>IF(ISNA(MATCH(207,'Transfer Engine'!$C$2:$C$1199,0)),"",INDEX('Compliance Database'!$K$2:$K$1199,MATCH(207,'Transfer Engine'!$C$2:$C$1199,0)))</f>
        <v>Digital advice licensees must conduct frequent reviews of algorithms initially and after any changes, including testing scenarios to ensure advice quality. They must monitor algorithms through periodic and random reviews. If errors are detected that could cause client loss or breach the Corporations Act, licensees must immediately rectify the issues and stop providing advice until fixed. They must also have procedures to identify and contact clients affected by inappropriate advice.</v>
      </c>
      <c r="L216" s="7" t="str">
        <f>IF(ISNA(MATCH(207,'Transfer Engine'!$C$2:$C$1199,0)),"",INDEX('Compliance Database'!$L$2:$L$1199,MATCH(207,'Transfer Engine'!$C$2:$C$1199,0)))</f>
        <v>Requires robust algorithm testing and error correction protocols for digital advice, critical for ensuring data transfers via algorithms comply with regulatory safeguards and client protection standards.</v>
      </c>
      <c r="M216" s="7" t="str">
        <f>IF(ISNA(MATCH(207,'Transfer Engine'!$C$2:$C$1199,0)),"",INDEX('Compliance Database'!$M$2:$M$1199,MATCH(207,'Transfer Engine'!$C$2:$C$1199,0)))</f>
        <v>• [Must] Conduct frequent reviews of digital advice algorithms initially and after any changes
• [Must] Test scenarios to ensure quality of advice after algorithm changes
• [Must] Monitor algorithms through periodic and random advice reviews</v>
      </c>
      <c r="N216" s="7" t="str">
        <f>IF(ISNA(MATCH(207,'Transfer Engine'!$C$2:$C$1199,0)),"",INDEX('Compliance Database'!$N$2:$N$1199,MATCH(207,'Transfer Engine'!$C$2:$C$1199,0)))</f>
        <v>• [Must] Immediately rectify algorithm errors that could cause client loss or breach the Corporations Act
• [Must] Stop providing advice until algorithm defects are rectified
• [Must] Have procedures to identify and contact clients affected by inappropriate advice</v>
      </c>
      <c r="O216" s="7" t="str">
        <f>IF(ISNA(MATCH(207,'Transfer Engine'!$C$2:$C$1199,0)),"",INDEX('Compliance Database'!$O$2:$O$1199,MATCH(207,'Transfer Engine'!$C$2:$C$1199,0)))</f>
        <v>Frequent reviews of digital advice should be conducted initially, and with heightened scrutiny when any change to an algorithm is made. When changes are made, it would be prudent to run a number of test scenarios to test the quality of advice provided. Algorithms should be regularly monitored and tested through periodic and random advice reviews.</v>
      </c>
      <c r="P216" s="6" t="str">
        <f>IF(ISNA(MATCH(207,'Transfer Engine'!$C$2:$C$1199,0)),"",HYPERLINK("#Acts!A"&amp;INDEX('Compliance Database'!$P$2:$P$1199,MATCH(207,'Transfer Engine'!$C$2:$C$1199,0)),"Go to Act"))</f>
        <v>Go to Act</v>
      </c>
    </row>
    <row r="217" spans="1:16" ht="172.95" customHeight="1" x14ac:dyDescent="0.3">
      <c r="A217" s="6" t="str">
        <f>IF(ISNA(MATCH(208,'Transfer Engine'!$C$2:$C$1199,0)),"",INDEX('Compliance Database'!$A$2:$A$1199,MATCH(208,'Transfer Engine'!$C$2:$C$1199,0)))</f>
        <v>Australia</v>
      </c>
      <c r="B217" s="6" t="str">
        <f>IF(ISNA(MATCH(208,'Transfer Engine'!$C$2:$C$1199,0)),"",INDEX('Compliance Database'!$B$2:$B$1199,MATCH(208,'Transfer Engine'!$C$2:$C$1199,0)))</f>
        <v>rg255-published-30-august-2016-20220328 (Australia - Row 9)</v>
      </c>
      <c r="C217" s="6" t="str">
        <f>IF(ISNA(MATCH(208,'Transfer Engine'!$C$2:$C$1199,0)),"",INDEX('Compliance Database'!$C$2:$C$1199,MATCH(208,'Transfer Engine'!$C$2:$C$1199,0)))</f>
        <v>p32</v>
      </c>
      <c r="D217" s="7" t="str">
        <f>IF(ISNA(MATCH(208,'Transfer Engine'!$C$2:$C$1199,0)),"",INDEX('Compliance Database'!$D$2:$D$1199,MATCH(208,'Transfer Engine'!$C$2:$C$1199,0)))</f>
        <v>Relevant ASIC regulatory guides for digital advice</v>
      </c>
      <c r="E217" s="6" t="str">
        <f>IF(ISNA(MATCH(208,'Transfer Engine'!$C$2:$C$1199,0)),"",INDEX('Compliance Database'!$E$2:$E$1199,MATCH(208,'Transfer Engine'!$C$2:$C$1199,0)))</f>
        <v>32–33</v>
      </c>
      <c r="F217" s="6" t="str">
        <f>IF(ISNA(MATCH(208,'Transfer Engine'!$C$2:$C$1199,0)),"",INDEX('Compliance Database'!$F$2:$F$1199,MATCH(208,'Transfer Engine'!$C$2:$C$1199,0)))</f>
        <v>Medium</v>
      </c>
      <c r="G217" s="6" t="str">
        <f>IF(ISNA(MATCH(208,'Transfer Engine'!$C$2:$C$1199,0)),"",INDEX('Compliance Database'!$G$2:$G$1199,MATCH(208,'Transfer Engine'!$C$2:$C$1199,0)))</f>
        <v>Medium (minor interpretation)</v>
      </c>
      <c r="H217" s="7">
        <f>IF(ISNA(MATCH(208,'Transfer Engine'!$C$2:$C$1199,0)),"",INDEX('Compliance Database'!$H$2:$H$1199,MATCH(208,'Transfer Engine'!$C$2:$C$1199,0)))</f>
        <v>0</v>
      </c>
      <c r="I217" s="7">
        <f>IF(ISNA(MATCH(208,'Transfer Engine'!$C$2:$C$1199,0)),"",INDEX('Compliance Database'!$I$2:$I$1199,MATCH(208,'Transfer Engine'!$C$2:$C$1199,0)))</f>
        <v>0</v>
      </c>
      <c r="J217" s="6">
        <f>IF(ISNA(MATCH(208,'Transfer Engine'!$C$2:$C$1199,0)),"",INDEX('Compliance Database'!$J$2:$J$1199,MATCH(208,'Transfer Engine'!$C$2:$C$1199,0)))</f>
        <v>0</v>
      </c>
      <c r="K217" s="7" t="str">
        <f>IF(ISNA(MATCH(208,'Transfer Engine'!$C$2:$C$1199,0)),"",INDEX('Compliance Database'!$K$2:$K$1199,MATCH(208,'Transfer Engine'!$C$2:$C$1199,0)))</f>
        <v>This section lists regulatory guides that may be relevant to digital advice, including AFS licensing, product disclosure, training, and conflict of interest guidance. It emphasizes reading other ASIC guides for comprehensive compliance with financial services regulations.</v>
      </c>
      <c r="L217" s="7">
        <f>IF(ISNA(MATCH(208,'Transfer Engine'!$C$2:$C$1199,0)),"",INDEX('Compliance Database'!$L$2:$L$1199,MATCH(208,'Transfer Engine'!$C$2:$C$1199,0)))</f>
        <v>0</v>
      </c>
      <c r="M217" s="7" t="str">
        <f>IF(ISNA(MATCH(208,'Transfer Engine'!$C$2:$C$1199,0)),"",INDEX('Compliance Database'!$M$2:$M$1199,MATCH(208,'Transfer Engine'!$C$2:$C$1199,0)))</f>
        <v>• [Should] Read other relevant ASIC regulatory guides for comprehensive compliance</v>
      </c>
      <c r="N217" s="7">
        <f>IF(ISNA(MATCH(208,'Transfer Engine'!$C$2:$C$1199,0)),"",INDEX('Compliance Database'!$N$2:$N$1199,MATCH(208,'Transfer Engine'!$C$2:$C$1199,0)))</f>
        <v>0</v>
      </c>
      <c r="O217" s="7" t="str">
        <f>IF(ISNA(MATCH(208,'Transfer Engine'!$C$2:$C$1199,0)),"",INDEX('Compliance Database'!$O$2:$O$1199,MATCH(208,'Transfer Engine'!$C$2:$C$1199,0)))</f>
        <v>This regulatory guide should be read in conjunction with other relevant regulatory guides issued by ASIC.</v>
      </c>
      <c r="P217" s="6" t="str">
        <f>IF(ISNA(MATCH(208,'Transfer Engine'!$C$2:$C$1199,0)),"",HYPERLINK("#Acts!A"&amp;INDEX('Compliance Database'!$P$2:$P$1199,MATCH(208,'Transfer Engine'!$C$2:$C$1199,0)),"Go to Act"))</f>
        <v>Go to Act</v>
      </c>
    </row>
    <row r="218" spans="1:16" ht="172.95" customHeight="1" x14ac:dyDescent="0.3">
      <c r="A218" s="6" t="str">
        <f>IF(ISNA(MATCH(209,'Transfer Engine'!$C$2:$C$1199,0)),"",INDEX('Compliance Database'!$A$2:$A$1199,MATCH(209,'Transfer Engine'!$C$2:$C$1199,0)))</f>
        <v>Australia</v>
      </c>
      <c r="B218" s="6" t="str">
        <f>IF(ISNA(MATCH(209,'Transfer Engine'!$C$2:$C$1199,0)),"",INDEX('Compliance Database'!$B$2:$B$1199,MATCH(209,'Transfer Engine'!$C$2:$C$1199,0)))</f>
        <v>rg255-published-30-august-2016-20220328 (Australia - Row 9)</v>
      </c>
      <c r="C218" s="6" t="str">
        <f>IF(ISNA(MATCH(209,'Transfer Engine'!$C$2:$C$1199,0)),"",INDEX('Compliance Database'!$C$2:$C$1199,MATCH(209,'Transfer Engine'!$C$2:$C$1199,0)))</f>
        <v>p33</v>
      </c>
      <c r="D218" s="7" t="str">
        <f>IF(ISNA(MATCH(209,'Transfer Engine'!$C$2:$C$1199,0)),"",INDEX('Compliance Database'!$D$2:$D$1199,MATCH(209,'Transfer Engine'!$C$2:$C$1199,0)))</f>
        <v>Additional ASIC guidance on digital advice compliance</v>
      </c>
      <c r="E218" s="6" t="str">
        <f>IF(ISNA(MATCH(209,'Transfer Engine'!$C$2:$C$1199,0)),"",INDEX('Compliance Database'!$E$2:$E$1199,MATCH(209,'Transfer Engine'!$C$2:$C$1199,0)))</f>
        <v>33–34</v>
      </c>
      <c r="F218" s="6" t="str">
        <f>IF(ISNA(MATCH(209,'Transfer Engine'!$C$2:$C$1199,0)),"",INDEX('Compliance Database'!$F$2:$F$1199,MATCH(209,'Transfer Engine'!$C$2:$C$1199,0)))</f>
        <v>High</v>
      </c>
      <c r="G218" s="6" t="str">
        <f>IF(ISNA(MATCH(209,'Transfer Engine'!$C$2:$C$1199,0)),"",INDEX('Compliance Database'!$G$2:$G$1199,MATCH(209,'Transfer Engine'!$C$2:$C$1199,0)))</f>
        <v>High (explicit)</v>
      </c>
      <c r="H218" s="7">
        <f>IF(ISNA(MATCH(209,'Transfer Engine'!$C$2:$C$1199,0)),"",INDEX('Compliance Database'!$H$2:$H$1199,MATCH(209,'Transfer Engine'!$C$2:$C$1199,0)))</f>
        <v>0</v>
      </c>
      <c r="I218" s="7" t="str">
        <f>IF(ISNA(MATCH(209,'Transfer Engine'!$C$2:$C$1199,0)),"",INDEX('Compliance Database'!$I$2:$I$1199,MATCH(209,'Transfer Engine'!$C$2:$C$1199,0)))</f>
        <v>Financial Data</v>
      </c>
      <c r="J218" s="6" t="str">
        <f>IF(ISNA(MATCH(209,'Transfer Engine'!$C$2:$C$1199,0)),"",INDEX('Compliance Database'!$J$2:$J$1199,MATCH(209,'Transfer Engine'!$C$2:$C$1199,0)))</f>
        <v>ASIC</v>
      </c>
      <c r="K218" s="7" t="str">
        <f>IF(ISNA(MATCH(209,'Transfer Engine'!$C$2:$C$1199,0)),"",INDEX('Compliance Database'!$K$2:$K$1199,MATCH(209,'Transfer Engine'!$C$2:$C$1199,0)))</f>
        <v>This section details specific ASIC guidance on discretionary powers, product disclosure, financial product advisers, managed discretionary accounts, and conflicts of interest relevant to digital advice. It outlines obligations for managing conflicts and ensuring proper disclosure practices.</v>
      </c>
      <c r="L218" s="7">
        <f>IF(ISNA(MATCH(209,'Transfer Engine'!$C$2:$C$1199,0)),"",INDEX('Compliance Database'!$L$2:$L$1199,MATCH(209,'Transfer Engine'!$C$2:$C$1199,0)))</f>
        <v>0</v>
      </c>
      <c r="M218" s="7" t="str">
        <f>IF(ISNA(MATCH(209,'Transfer Engine'!$C$2:$C$1199,0)),"",INDEX('Compliance Database'!$M$2:$M$1199,MATCH(209,'Transfer Engine'!$C$2:$C$1199,0)))</f>
        <v>• [Should] Follow guidance on discretionary powers for compliance with Corporations Act
• [Must] Comply with product disclosure obligations for digital advice
• [Must] Adhere to conduct and disclosure obligations for financial product advisers</v>
      </c>
      <c r="N218" s="7" t="str">
        <f>IF(ISNA(MATCH(209,'Transfer Engine'!$C$2:$C$1199,0)),"",INDEX('Compliance Database'!$N$2:$N$1199,MATCH(209,'Transfer Engine'!$C$2:$C$1199,0)))</f>
        <v>• [Must] Regulate managed discretionary account services for retail clients
• [Must] Manage conflicts of interest as required by s912A(1)(aa) of the Corporations Act</v>
      </c>
      <c r="O218" s="7" t="str">
        <f>IF(ISNA(MATCH(209,'Transfer Engine'!$C$2:$C$1199,0)),"",INDEX('Compliance Database'!$O$2:$O$1199,MATCH(209,'Transfer Engine'!$C$2:$C$1199,0)))</f>
        <v>RG 175 Licensing: Financial product advisers—Conduct and disclosure: This is a guide for persons who provide financial product advice to retail clients, and their professional advisers (e.g. lawyers).</v>
      </c>
      <c r="P218" s="6" t="str">
        <f>IF(ISNA(MATCH(209,'Transfer Engine'!$C$2:$C$1199,0)),"",HYPERLINK("#Acts!A"&amp;INDEX('Compliance Database'!$P$2:$P$1199,MATCH(209,'Transfer Engine'!$C$2:$C$1199,0)),"Go to Act"))</f>
        <v>Go to Act</v>
      </c>
    </row>
    <row r="219" spans="1:16" ht="172.95" customHeight="1" x14ac:dyDescent="0.3">
      <c r="A219" s="6" t="str">
        <f>IF(ISNA(MATCH(210,'Transfer Engine'!$C$2:$C$1199,0)),"",INDEX('Compliance Database'!$A$2:$A$1199,MATCH(210,'Transfer Engine'!$C$2:$C$1199,0)))</f>
        <v>Australia</v>
      </c>
      <c r="B219" s="6" t="str">
        <f>IF(ISNA(MATCH(210,'Transfer Engine'!$C$2:$C$1199,0)),"",INDEX('Compliance Database'!$B$2:$B$1199,MATCH(210,'Transfer Engine'!$C$2:$C$1199,0)))</f>
        <v>rg255-published-30-august-2016-20220328 (Australia - Row 9)</v>
      </c>
      <c r="C219" s="6" t="str">
        <f>IF(ISNA(MATCH(210,'Transfer Engine'!$C$2:$C$1199,0)),"",INDEX('Compliance Database'!$C$2:$C$1199,MATCH(210,'Transfer Engine'!$C$2:$C$1199,0)))</f>
        <v>p34</v>
      </c>
      <c r="D219" s="7" t="str">
        <f>IF(ISNA(MATCH(210,'Transfer Engine'!$C$2:$C$1199,0)),"",INDEX('Compliance Database'!$D$2:$D$1199,MATCH(210,'Transfer Engine'!$C$2:$C$1199,0)))</f>
        <v>Digital advice fee and remuneration compliance</v>
      </c>
      <c r="E219" s="6" t="str">
        <f>IF(ISNA(MATCH(210,'Transfer Engine'!$C$2:$C$1199,0)),"",INDEX('Compliance Database'!$E$2:$E$1199,MATCH(210,'Transfer Engine'!$C$2:$C$1199,0)))</f>
        <v>34–35</v>
      </c>
      <c r="F219" s="6" t="str">
        <f>IF(ISNA(MATCH(210,'Transfer Engine'!$C$2:$C$1199,0)),"",INDEX('Compliance Database'!$F$2:$F$1199,MATCH(210,'Transfer Engine'!$C$2:$C$1199,0)))</f>
        <v>High</v>
      </c>
      <c r="G219" s="6" t="str">
        <f>IF(ISNA(MATCH(210,'Transfer Engine'!$C$2:$C$1199,0)),"",INDEX('Compliance Database'!$G$2:$G$1199,MATCH(210,'Transfer Engine'!$C$2:$C$1199,0)))</f>
        <v>High (explicit)</v>
      </c>
      <c r="H219" s="7">
        <f>IF(ISNA(MATCH(210,'Transfer Engine'!$C$2:$C$1199,0)),"",INDEX('Compliance Database'!$H$2:$H$1199,MATCH(210,'Transfer Engine'!$C$2:$C$1199,0)))</f>
        <v>0</v>
      </c>
      <c r="I219" s="7" t="str">
        <f>IF(ISNA(MATCH(210,'Transfer Engine'!$C$2:$C$1199,0)),"",INDEX('Compliance Database'!$I$2:$I$1199,MATCH(210,'Transfer Engine'!$C$2:$C$1199,0)))</f>
        <v>Financial Data</v>
      </c>
      <c r="J219" s="6" t="str">
        <f>IF(ISNA(MATCH(210,'Transfer Engine'!$C$2:$C$1199,0)),"",INDEX('Compliance Database'!$J$2:$J$1199,MATCH(210,'Transfer Engine'!$C$2:$C$1199,0)))</f>
        <v>ASIC</v>
      </c>
      <c r="K219" s="7" t="str">
        <f>IF(ISNA(MATCH(210,'Transfer Engine'!$C$2:$C$1199,0)),"",INDEX('Compliance Database'!$K$2:$K$1199,MATCH(210,'Transfer Engine'!$C$2:$C$1199,0)))</f>
        <v>This section covers guidance on scaled advice, conflicted remuneration, and ongoing fee arrangements for digital advice. It specifies obligations for fee disclosures, annual renewals, and written consent for fee deductions.</v>
      </c>
      <c r="L219" s="7">
        <f>IF(ISNA(MATCH(210,'Transfer Engine'!$C$2:$C$1199,0)),"",INDEX('Compliance Database'!$L$2:$L$1199,MATCH(210,'Transfer Engine'!$C$2:$C$1199,0)))</f>
        <v>0</v>
      </c>
      <c r="M219" s="7" t="str">
        <f>IF(ISNA(MATCH(210,'Transfer Engine'!$C$2:$C$1199,0)),"",INDEX('Compliance Database'!$M$2:$M$1199,MATCH(210,'Transfer Engine'!$C$2:$C$1199,0)))</f>
        <v>• [Must] Provide annual fee disclosure statements to clients
• [Must] Seek annual renewal of ongoing fee arrangements</v>
      </c>
      <c r="N219" s="7" t="str">
        <f>IF(ISNA(MATCH(210,'Transfer Engine'!$C$2:$C$1199,0)),"",INDEX('Compliance Database'!$N$2:$N$1199,MATCH(210,'Transfer Engine'!$C$2:$C$1199,0)))</f>
        <v>• [Must] Obtain client written consent to deduct ongoing fees</v>
      </c>
      <c r="O219" s="7" t="str">
        <f>IF(ISNA(MATCH(210,'Transfer Engine'!$C$2:$C$1199,0)),"",INDEX('Compliance Database'!$O$2:$O$1199,MATCH(210,'Transfer Engine'!$C$2:$C$1199,0)))</f>
        <v>INFO 256 FAQs: Ongoing fee arrangements: This information sheet contains frequently asked questions (FAQs) that explain the obligations in Div 3 of Pt 7.7A and Pt 10.46 of the Corporations Act which apply to persons who provide personal advice to retail clients under an ongoing fee arrangement.</v>
      </c>
      <c r="P219" s="6" t="str">
        <f>IF(ISNA(MATCH(210,'Transfer Engine'!$C$2:$C$1199,0)),"",HYPERLINK("#Acts!A"&amp;INDEX('Compliance Database'!$P$2:$P$1199,MATCH(210,'Transfer Engine'!$C$2:$C$1199,0)),"Go to Act"))</f>
        <v>Go to Act</v>
      </c>
    </row>
    <row r="220" spans="1:16" ht="172.95" customHeight="1" x14ac:dyDescent="0.3">
      <c r="A220" s="6" t="str">
        <f>IF(ISNA(MATCH(211,'Transfer Engine'!$C$2:$C$1199,0)),"",INDEX('Compliance Database'!$A$2:$A$1199,MATCH(211,'Transfer Engine'!$C$2:$C$1199,0)))</f>
        <v>Australia</v>
      </c>
      <c r="B220" s="6" t="str">
        <f>IF(ISNA(MATCH(211,'Transfer Engine'!$C$2:$C$1199,0)),"",INDEX('Compliance Database'!$B$2:$B$1199,MATCH(211,'Transfer Engine'!$C$2:$C$1199,0)))</f>
        <v>rg255-published-30-august-2016-20220328 (Australia - Row 9)</v>
      </c>
      <c r="C220" s="6" t="str">
        <f>IF(ISNA(MATCH(211,'Transfer Engine'!$C$2:$C$1199,0)),"",INDEX('Compliance Database'!$C$2:$C$1199,MATCH(211,'Transfer Engine'!$C$2:$C$1199,0)))</f>
        <v>p35</v>
      </c>
      <c r="D220" s="7" t="str">
        <f>IF(ISNA(MATCH(211,'Transfer Engine'!$C$2:$C$1199,0)),"",INDEX('Compliance Database'!$D$2:$D$1199,MATCH(211,'Transfer Engine'!$C$2:$C$1199,0)))</f>
        <v>Key terms for digital advice compliance</v>
      </c>
      <c r="E220" s="6" t="str">
        <f>IF(ISNA(MATCH(211,'Transfer Engine'!$C$2:$C$1199,0)),"",INDEX('Compliance Database'!$E$2:$E$1199,MATCH(211,'Transfer Engine'!$C$2:$C$1199,0)))</f>
        <v>35–36</v>
      </c>
      <c r="F220" s="6" t="str">
        <f>IF(ISNA(MATCH(211,'Transfer Engine'!$C$2:$C$1199,0)),"",INDEX('Compliance Database'!$F$2:$F$1199,MATCH(211,'Transfer Engine'!$C$2:$C$1199,0)))</f>
        <v>Low</v>
      </c>
      <c r="G220" s="6" t="str">
        <f>IF(ISNA(MATCH(211,'Transfer Engine'!$C$2:$C$1199,0)),"",INDEX('Compliance Database'!$G$2:$G$1199,MATCH(211,'Transfer Engine'!$C$2:$C$1199,0)))</f>
        <v>High (explicit)</v>
      </c>
      <c r="H220" s="7">
        <f>IF(ISNA(MATCH(211,'Transfer Engine'!$C$2:$C$1199,0)),"",INDEX('Compliance Database'!$H$2:$H$1199,MATCH(211,'Transfer Engine'!$C$2:$C$1199,0)))</f>
        <v>0</v>
      </c>
      <c r="I220" s="7">
        <f>IF(ISNA(MATCH(211,'Transfer Engine'!$C$2:$C$1199,0)),"",INDEX('Compliance Database'!$I$2:$I$1199,MATCH(211,'Transfer Engine'!$C$2:$C$1199,0)))</f>
        <v>0</v>
      </c>
      <c r="J220" s="6">
        <f>IF(ISNA(MATCH(211,'Transfer Engine'!$C$2:$C$1199,0)),"",INDEX('Compliance Database'!$J$2:$J$1199,MATCH(211,'Transfer Engine'!$C$2:$C$1199,0)))</f>
        <v>0</v>
      </c>
      <c r="K220" s="7" t="str">
        <f>IF(ISNA(MATCH(211,'Transfer Engine'!$C$2:$C$1199,0)),"",INDEX('Compliance Database'!$K$2:$K$1199,MATCH(211,'Transfer Engine'!$C$2:$C$1199,0)))</f>
        <v>This section defines critical terms such as digital advice, digital advice licensee, and financial product advice, clarifying their meanings within the context of the Corporations Act and regulatory obligations. These definitions are essential for understanding compliance requirements.</v>
      </c>
      <c r="L220" s="7">
        <f>IF(ISNA(MATCH(211,'Transfer Engine'!$C$2:$C$1199,0)),"",INDEX('Compliance Database'!$L$2:$L$1199,MATCH(211,'Transfer Engine'!$C$2:$C$1199,0)))</f>
        <v>0</v>
      </c>
      <c r="M220" s="7" t="str">
        <f>IF(ISNA(MATCH(211,'Transfer Engine'!$C$2:$C$1199,0)),"",INDEX('Compliance Database'!$M$2:$M$1199,MATCH(211,'Transfer Engine'!$C$2:$C$1199,0)))</f>
        <v>• [Definition] Digital advice is defined as automated financial product advice using algorithms without direct human involvement
• [Definition] Digital advice licensee is an AFS licensee offering digital advice to retail clients</v>
      </c>
      <c r="N220" s="7" t="str">
        <f>IF(ISNA(MATCH(211,'Transfer Engine'!$C$2:$C$1199,0)),"",INDEX('Compliance Database'!$N$2:$N$1199,MATCH(211,'Transfer Engine'!$C$2:$C$1199,0)))</f>
        <v>• [Definition] Financial product advice is a recommendation or statement of opinion intended to influence financial product decisions</v>
      </c>
      <c r="O220" s="7" t="str">
        <f>IF(ISNA(MATCH(211,'Transfer Engine'!$C$2:$C$1199,0)),"",INDEX('Compliance Database'!$O$2:$O$1199,MATCH(211,'Transfer Engine'!$C$2:$C$1199,0)))</f>
        <v>digital advice: Also known as 'robo-advice' or 'automated advice'—the provision of automated financial product advice using algorithms and technology and without the direct involvement of a human adviser</v>
      </c>
      <c r="P220" s="6" t="str">
        <f>IF(ISNA(MATCH(211,'Transfer Engine'!$C$2:$C$1199,0)),"",HYPERLINK("#Acts!A"&amp;INDEX('Compliance Database'!$P$2:$P$1199,MATCH(211,'Transfer Engine'!$C$2:$C$1199,0)),"Go to Act"))</f>
        <v>Go to Act</v>
      </c>
    </row>
    <row r="221" spans="1:16" ht="172.95" customHeight="1" x14ac:dyDescent="0.3">
      <c r="A221" s="6" t="str">
        <f>IF(ISNA(MATCH(212,'Transfer Engine'!$C$2:$C$1199,0)),"",INDEX('Compliance Database'!$A$2:$A$1199,MATCH(212,'Transfer Engine'!$C$2:$C$1199,0)))</f>
        <v>Australia</v>
      </c>
      <c r="B221" s="6" t="str">
        <f>IF(ISNA(MATCH(212,'Transfer Engine'!$C$2:$C$1199,0)),"",INDEX('Compliance Database'!$B$2:$B$1199,MATCH(212,'Transfer Engine'!$C$2:$C$1199,0)))</f>
        <v>rg255-published-30-august-2016-20220328 (Australia - Row 9)</v>
      </c>
      <c r="C221" s="6" t="str">
        <f>IF(ISNA(MATCH(212,'Transfer Engine'!$C$2:$C$1199,0)),"",INDEX('Compliance Database'!$C$2:$C$1199,MATCH(212,'Transfer Engine'!$C$2:$C$1199,0)))</f>
        <v>p36</v>
      </c>
      <c r="D221" s="7" t="str">
        <f>IF(ISNA(MATCH(212,'Transfer Engine'!$C$2:$C$1199,0)),"",INDEX('Compliance Database'!$D$2:$D$1199,MATCH(212,'Transfer Engine'!$C$2:$C$1199,0)))</f>
        <v>Additional key terms for digital advice</v>
      </c>
      <c r="E221" s="6" t="str">
        <f>IF(ISNA(MATCH(212,'Transfer Engine'!$C$2:$C$1199,0)),"",INDEX('Compliance Database'!$E$2:$E$1199,MATCH(212,'Transfer Engine'!$C$2:$C$1199,0)))</f>
        <v>36–37</v>
      </c>
      <c r="F221" s="6" t="str">
        <f>IF(ISNA(MATCH(212,'Transfer Engine'!$C$2:$C$1199,0)),"",INDEX('Compliance Database'!$F$2:$F$1199,MATCH(212,'Transfer Engine'!$C$2:$C$1199,0)))</f>
        <v>Low</v>
      </c>
      <c r="G221" s="6" t="str">
        <f>IF(ISNA(MATCH(212,'Transfer Engine'!$C$2:$C$1199,0)),"",INDEX('Compliance Database'!$G$2:$G$1199,MATCH(212,'Transfer Engine'!$C$2:$C$1199,0)))</f>
        <v>High (explicit)</v>
      </c>
      <c r="H221" s="7">
        <f>IF(ISNA(MATCH(212,'Transfer Engine'!$C$2:$C$1199,0)),"",INDEX('Compliance Database'!$H$2:$H$1199,MATCH(212,'Transfer Engine'!$C$2:$C$1199,0)))</f>
        <v>0</v>
      </c>
      <c r="I221" s="7">
        <f>IF(ISNA(MATCH(212,'Transfer Engine'!$C$2:$C$1199,0)),"",INDEX('Compliance Database'!$I$2:$I$1199,MATCH(212,'Transfer Engine'!$C$2:$C$1199,0)))</f>
        <v>0</v>
      </c>
      <c r="J221" s="6">
        <f>IF(ISNA(MATCH(212,'Transfer Engine'!$C$2:$C$1199,0)),"",INDEX('Compliance Database'!$J$2:$J$1199,MATCH(212,'Transfer Engine'!$C$2:$C$1199,0)))</f>
        <v>0</v>
      </c>
      <c r="K221" s="7" t="str">
        <f>IF(ISNA(MATCH(212,'Transfer Engine'!$C$2:$C$1199,0)),"",INDEX('Compliance Database'!$K$2:$K$1199,MATCH(212,'Transfer Engine'!$C$2:$C$1199,0)))</f>
        <v>This section provides further definitions of terms like client's relevant circumstances, Corporations Act, and financial product advice, which are crucial for understanding the scope and application of digital advice regulations.</v>
      </c>
      <c r="L221" s="7">
        <f>IF(ISNA(MATCH(212,'Transfer Engine'!$C$2:$C$1199,0)),"",INDEX('Compliance Database'!$L$2:$L$1199,MATCH(212,'Transfer Engine'!$C$2:$C$1199,0)))</f>
        <v>0</v>
      </c>
      <c r="M221" s="7" t="str">
        <f>IF(ISNA(MATCH(212,'Transfer Engine'!$C$2:$C$1199,0)),"",INDEX('Compliance Database'!$M$2:$M$1199,MATCH(212,'Transfer Engine'!$C$2:$C$1199,0)))</f>
        <v>• [Definition] Client's relevant circumstances include objectives, financial situation, and needs
• [Definition] Corporations Act refers to the Corporations Act 2001 and related regulations</v>
      </c>
      <c r="N221" s="7" t="str">
        <f>IF(ISNA(MATCH(212,'Transfer Engine'!$C$2:$C$1199,0)),"",INDEX('Compliance Database'!$N$2:$N$1199,MATCH(212,'Transfer Engine'!$C$2:$C$1199,0)))</f>
        <v>• [Definition] Financial product advice is a recommendation or statement of opinion intended to influence financial product decisions</v>
      </c>
      <c r="O221" s="7" t="str">
        <f>IF(ISNA(MATCH(212,'Transfer Engine'!$C$2:$C$1199,0)),"",INDEX('Compliance Database'!$O$2:$O$1199,MATCH(212,'Transfer Engine'!$C$2:$C$1199,0)))</f>
        <v>client's relevant circumstances: The objectives, financial situation and needs of a client that would reasonably be considered relevant to the subject matter of advice sought by the client</v>
      </c>
      <c r="P221" s="6" t="str">
        <f>IF(ISNA(MATCH(212,'Transfer Engine'!$C$2:$C$1199,0)),"",HYPERLINK("#Acts!A"&amp;INDEX('Compliance Database'!$P$2:$P$1199,MATCH(212,'Transfer Engine'!$C$2:$C$1199,0)),"Go to Act"))</f>
        <v>Go to Act</v>
      </c>
    </row>
    <row r="222" spans="1:16" ht="172.95" customHeight="1" x14ac:dyDescent="0.3">
      <c r="A222" s="6" t="str">
        <f>IF(ISNA(MATCH(213,'Transfer Engine'!$C$2:$C$1199,0)),"",INDEX('Compliance Database'!$A$2:$A$1199,MATCH(213,'Transfer Engine'!$C$2:$C$1199,0)))</f>
        <v>Australia</v>
      </c>
      <c r="B222" s="6" t="str">
        <f>IF(ISNA(MATCH(213,'Transfer Engine'!$C$2:$C$1199,0)),"",INDEX('Compliance Database'!$B$2:$B$1199,MATCH(213,'Transfer Engine'!$C$2:$C$1199,0)))</f>
        <v>rg255-published-30-august-2016-20220328 (Australia - Row 9)</v>
      </c>
      <c r="C222" s="6" t="str">
        <f>IF(ISNA(MATCH(213,'Transfer Engine'!$C$2:$C$1199,0)),"",INDEX('Compliance Database'!$C$2:$C$1199,MATCH(213,'Transfer Engine'!$C$2:$C$1199,0)))</f>
        <v>p37</v>
      </c>
      <c r="D222" s="7" t="str">
        <f>IF(ISNA(MATCH(213,'Transfer Engine'!$C$2:$C$1199,0)),"",INDEX('Compliance Database'!$D$2:$D$1199,MATCH(213,'Transfer Engine'!$C$2:$C$1199,0)))</f>
        <v>Definitions for digital financial advice and AFS licensees</v>
      </c>
      <c r="E222" s="6" t="str">
        <f>IF(ISNA(MATCH(213,'Transfer Engine'!$C$2:$C$1199,0)),"",INDEX('Compliance Database'!$E$2:$E$1199,MATCH(213,'Transfer Engine'!$C$2:$C$1199,0)))</f>
        <v>37–38</v>
      </c>
      <c r="F222" s="6" t="str">
        <f>IF(ISNA(MATCH(213,'Transfer Engine'!$C$2:$C$1199,0)),"",INDEX('Compliance Database'!$F$2:$F$1199,MATCH(213,'Transfer Engine'!$C$2:$C$1199,0)))</f>
        <v>High</v>
      </c>
      <c r="G222" s="6" t="str">
        <f>IF(ISNA(MATCH(213,'Transfer Engine'!$C$2:$C$1199,0)),"",INDEX('Compliance Database'!$G$2:$G$1199,MATCH(213,'Transfer Engine'!$C$2:$C$1199,0)))</f>
        <v>High (explicit)</v>
      </c>
      <c r="H222" s="7">
        <f>IF(ISNA(MATCH(213,'Transfer Engine'!$C$2:$C$1199,0)),"",INDEX('Compliance Database'!$H$2:$H$1199,MATCH(213,'Transfer Engine'!$C$2:$C$1199,0)))</f>
        <v>0</v>
      </c>
      <c r="I222" s="7" t="str">
        <f>IF(ISNA(MATCH(213,'Transfer Engine'!$C$2:$C$1199,0)),"",INDEX('Compliance Database'!$I$2:$I$1199,MATCH(213,'Transfer Engine'!$C$2:$C$1199,0)))</f>
        <v>Personal Information, Financial Data</v>
      </c>
      <c r="J222" s="6" t="str">
        <f>IF(ISNA(MATCH(213,'Transfer Engine'!$C$2:$C$1199,0)),"",INDEX('Compliance Database'!$J$2:$J$1199,MATCH(213,'Transfer Engine'!$C$2:$C$1199,0)))</f>
        <v>ASIC</v>
      </c>
      <c r="K222" s="7" t="str">
        <f>IF(ISNA(MATCH(213,'Transfer Engine'!$C$2:$C$1199,0)),"",INDEX('Compliance Database'!$K$2:$K$1199,MATCH(213,'Transfer Engine'!$C$2:$C$1199,0)))</f>
        <v>This section defines key terms used in providing digital financial product advice to retail clients. It specifies that general advice is non-personal advice, personal advice requires consideration of client objectives and financial situation, and outlines the roles of responsible managers, AFS licensees, and other critical entities. These definitions support compliance with the Corporations Act and ASIC regulatory requirements.</v>
      </c>
      <c r="L222" s="7">
        <f>IF(ISNA(MATCH(213,'Transfer Engine'!$C$2:$C$1199,0)),"",INDEX('Compliance Database'!$L$2:$L$1199,MATCH(213,'Transfer Engine'!$C$2:$C$1199,0)))</f>
        <v>0</v>
      </c>
      <c r="M222" s="7" t="str">
        <f>IF(ISNA(MATCH(213,'Transfer Engine'!$C$2:$C$1199,0)),"",INDEX('Compliance Database'!$M$2:$M$1199,MATCH(213,'Transfer Engine'!$C$2:$C$1199,0)))</f>
        <v>• [Definition] General advice is financial product advice that is not personal advice
• [Definition] Personal advice is financial product advice given or directed to a person in circumstances where the provider has considered one or more of the client's objectives, financial situation and needs</v>
      </c>
      <c r="N222" s="7" t="str">
        <f>IF(ISNA(MATCH(213,'Transfer Engine'!$C$2:$C$1199,0)),"",INDEX('Compliance Database'!$N$2:$N$1199,MATCH(213,'Transfer Engine'!$C$2:$C$1199,0)))</f>
        <v>• [Definition] Responsible managers are persons nominated by an AFS licensee who are directly responsible for significant day-to-day decisions about the ongoing provision of financial services
• [Definition] Responsible managers must have appropriate knowledge and skills to ensure the licensee can provide financial services for which it has been authorised</v>
      </c>
      <c r="O222" s="7" t="str">
        <f>IF(ISNA(MATCH(213,'Transfer Engine'!$C$2:$C$1199,0)),"",INDEX('Compliance Database'!$O$2:$O$1199,MATCH(213,'Transfer Engine'!$C$2:$C$1199,0)))</f>
        <v>Term: general advice - Financial product advice that is not personal advice. Term: personal advice - Financial product advice given or directed to a person (including by electronic means) in circumstances where: the provider of the advice has considered one or more of the client's objectives, financial situation and needs; or a reasonable person might expect the provider to have considered one or more of these matters</v>
      </c>
      <c r="P222" s="6" t="str">
        <f>IF(ISNA(MATCH(213,'Transfer Engine'!$C$2:$C$1199,0)),"",HYPERLINK("#Acts!A"&amp;INDEX('Compliance Database'!$P$2:$P$1199,MATCH(213,'Transfer Engine'!$C$2:$C$1199,0)),"Go to Act"))</f>
        <v>Go to Act</v>
      </c>
    </row>
    <row r="223" spans="1:16" ht="172.95" customHeight="1" x14ac:dyDescent="0.3">
      <c r="A223" s="6" t="str">
        <f>IF(ISNA(MATCH(214,'Transfer Engine'!$C$2:$C$1199,0)),"",INDEX('Compliance Database'!$A$2:$A$1199,MATCH(214,'Transfer Engine'!$C$2:$C$1199,0)))</f>
        <v>Australia</v>
      </c>
      <c r="B223" s="6" t="str">
        <f>IF(ISNA(MATCH(214,'Transfer Engine'!$C$2:$C$1199,0)),"",INDEX('Compliance Database'!$B$2:$B$1199,MATCH(214,'Transfer Engine'!$C$2:$C$1199,0)))</f>
        <v>rg255-published-30-august-2016-20220328 (Australia - Row 9)</v>
      </c>
      <c r="C223" s="6" t="str">
        <f>IF(ISNA(MATCH(214,'Transfer Engine'!$C$2:$C$1199,0)),"",INDEX('Compliance Database'!$C$2:$C$1199,MATCH(214,'Transfer Engine'!$C$2:$C$1199,0)))</f>
        <v>p38</v>
      </c>
      <c r="D223" s="7" t="str">
        <f>IF(ISNA(MATCH(214,'Transfer Engine'!$C$2:$C$1199,0)),"",INDEX('Compliance Database'!$D$2:$D$1199,MATCH(214,'Transfer Engine'!$C$2:$C$1199,0)))</f>
        <v>Digital advice documentation and best interests standards</v>
      </c>
      <c r="E223" s="6" t="str">
        <f>IF(ISNA(MATCH(214,'Transfer Engine'!$C$2:$C$1199,0)),"",INDEX('Compliance Database'!$E$2:$E$1199,MATCH(214,'Transfer Engine'!$C$2:$C$1199,0)))</f>
        <v>38–39</v>
      </c>
      <c r="F223" s="6" t="str">
        <f>IF(ISNA(MATCH(214,'Transfer Engine'!$C$2:$C$1199,0)),"",INDEX('Compliance Database'!$F$2:$F$1199,MATCH(214,'Transfer Engine'!$C$2:$C$1199,0)))</f>
        <v>High</v>
      </c>
      <c r="G223" s="6" t="str">
        <f>IF(ISNA(MATCH(214,'Transfer Engine'!$C$2:$C$1199,0)),"",INDEX('Compliance Database'!$G$2:$G$1199,MATCH(214,'Transfer Engine'!$C$2:$C$1199,0)))</f>
        <v>High (explicit)</v>
      </c>
      <c r="H223" s="7">
        <f>IF(ISNA(MATCH(214,'Transfer Engine'!$C$2:$C$1199,0)),"",INDEX('Compliance Database'!$H$2:$H$1199,MATCH(214,'Transfer Engine'!$C$2:$C$1199,0)))</f>
        <v>0</v>
      </c>
      <c r="I223" s="7" t="str">
        <f>IF(ISNA(MATCH(214,'Transfer Engine'!$C$2:$C$1199,0)),"",INDEX('Compliance Database'!$I$2:$I$1199,MATCH(214,'Transfer Engine'!$C$2:$C$1199,0)))</f>
        <v>Financial Data</v>
      </c>
      <c r="J223" s="6" t="str">
        <f>IF(ISNA(MATCH(214,'Transfer Engine'!$C$2:$C$1199,0)),"",INDEX('Compliance Database'!$J$2:$J$1199,MATCH(214,'Transfer Engine'!$C$2:$C$1199,0)))</f>
        <v>ASIC</v>
      </c>
      <c r="K223" s="7" t="str">
        <f>IF(ISNA(MATCH(214,'Transfer Engine'!$C$2:$C$1199,0)),"",INDEX('Compliance Database'!$K$2:$K$1199,MATCH(214,'Transfer Engine'!$C$2:$C$1199,0)))</f>
        <v>This section defines terms related to digital financial advice, including scaled advice as personal advice limited in scope, and the safe harbour for the best interests duty which refers to specific steps under the Corporations Act. It also specifies that a Statement of Advice (SOA) must be provided to clients for personal advice under certain conditions.</v>
      </c>
      <c r="L223" s="7">
        <f>IF(ISNA(MATCH(214,'Transfer Engine'!$C$2:$C$1199,0)),"",INDEX('Compliance Database'!$L$2:$L$1199,MATCH(214,'Transfer Engine'!$C$2:$C$1199,0)))</f>
        <v>0</v>
      </c>
      <c r="M223" s="7" t="str">
        <f>IF(ISNA(MATCH(214,'Transfer Engine'!$C$2:$C$1199,0)),"",INDEX('Compliance Database'!$M$2:$M$1199,MATCH(214,'Transfer Engine'!$C$2:$C$1199,0)))</f>
        <v>• [Definition] Scaled advice is personal advice that is limited in scope
• [Definition] Safe harbour for the best interests duty refers to the steps set out in s961B(2) of the Corporations Act</v>
      </c>
      <c r="N223" s="7" t="str">
        <f>IF(ISNA(MATCH(214,'Transfer Engine'!$C$2:$C$1199,0)),"",INDEX('Compliance Database'!$N$2:$N$1199,MATCH(214,'Transfer Engine'!$C$2:$C$1199,0)))</f>
        <v>• [Definition] A Statement of Advice (SOA) must be given to a client for the provision of personal advice under Subdivs C and D of Div 3 of Pt 7.7 of the Corporations Act</v>
      </c>
      <c r="O223" s="7" t="str">
        <f>IF(ISNA(MATCH(214,'Transfer Engine'!$C$2:$C$1199,0)),"",INDEX('Compliance Database'!$O$2:$O$1199,MATCH(214,'Transfer Engine'!$C$2:$C$1199,0)))</f>
        <v>Term: scaled advice - Personal advice that is limited in scope. Term: safe harbour for the best interests duty - The steps set out in s961B(2) of the Corporations Act. Term: SOA (Statement of Advice) - A document that must be given to a client for the provision of personal advice under Subdivs C and D of Div 3 of Pt 7.7 of the Corporations Act</v>
      </c>
      <c r="P223" s="6" t="str">
        <f>IF(ISNA(MATCH(214,'Transfer Engine'!$C$2:$C$1199,0)),"",HYPERLINK("#Acts!A"&amp;INDEX('Compliance Database'!$P$2:$P$1199,MATCH(214,'Transfer Engine'!$C$2:$C$1199,0)),"Go to Act"))</f>
        <v>Go to Act</v>
      </c>
    </row>
    <row r="224" spans="1:16" ht="172.95" customHeight="1" x14ac:dyDescent="0.3">
      <c r="A224" s="6" t="str">
        <f>IF(ISNA(MATCH(215,'Transfer Engine'!$C$2:$C$1199,0)),"",INDEX('Compliance Database'!$A$2:$A$1199,MATCH(215,'Transfer Engine'!$C$2:$C$1199,0)))</f>
        <v>Australia</v>
      </c>
      <c r="B224" s="6" t="str">
        <f>IF(ISNA(MATCH(215,'Transfer Engine'!$C$2:$C$1199,0)),"",INDEX('Compliance Database'!$B$2:$B$1199,MATCH(215,'Transfer Engine'!$C$2:$C$1199,0)))</f>
        <v>rg255-published-30-august-2016-20220328 (Australia - Row 9)</v>
      </c>
      <c r="C224" s="6" t="str">
        <f>IF(ISNA(MATCH(215,'Transfer Engine'!$C$2:$C$1199,0)),"",INDEX('Compliance Database'!$C$2:$C$1199,MATCH(215,'Transfer Engine'!$C$2:$C$1199,0)))</f>
        <v>p39</v>
      </c>
      <c r="D224" s="7" t="str">
        <f>IF(ISNA(MATCH(215,'Transfer Engine'!$C$2:$C$1199,0)),"",INDEX('Compliance Database'!$D$2:$D$1199,MATCH(215,'Transfer Engine'!$C$2:$C$1199,0)))</f>
        <v>Related information and legislative references for digital advice</v>
      </c>
      <c r="E224" s="6" t="str">
        <f>IF(ISNA(MATCH(215,'Transfer Engine'!$C$2:$C$1199,0)),"",INDEX('Compliance Database'!$E$2:$E$1199,MATCH(215,'Transfer Engine'!$C$2:$C$1199,0)))</f>
        <v>39–40</v>
      </c>
      <c r="F224" s="6" t="str">
        <f>IF(ISNA(MATCH(215,'Transfer Engine'!$C$2:$C$1199,0)),"",INDEX('Compliance Database'!$F$2:$F$1199,MATCH(215,'Transfer Engine'!$C$2:$C$1199,0)))</f>
        <v>High</v>
      </c>
      <c r="G224" s="6" t="str">
        <f>IF(ISNA(MATCH(215,'Transfer Engine'!$C$2:$C$1199,0)),"",INDEX('Compliance Database'!$G$2:$G$1199,MATCH(215,'Transfer Engine'!$C$2:$C$1199,0)))</f>
        <v>Medium (minor interpretation)</v>
      </c>
      <c r="H224" s="7">
        <f>IF(ISNA(MATCH(215,'Transfer Engine'!$C$2:$C$1199,0)),"",INDEX('Compliance Database'!$H$2:$H$1199,MATCH(215,'Transfer Engine'!$C$2:$C$1199,0)))</f>
        <v>0</v>
      </c>
      <c r="I224" s="7" t="str">
        <f>IF(ISNA(MATCH(215,'Transfer Engine'!$C$2:$C$1199,0)),"",INDEX('Compliance Database'!$I$2:$I$1199,MATCH(215,'Transfer Engine'!$C$2:$C$1199,0)))</f>
        <v>Financial Data</v>
      </c>
      <c r="J224" s="6" t="str">
        <f>IF(ISNA(MATCH(215,'Transfer Engine'!$C$2:$C$1199,0)),"",INDEX('Compliance Database'!$J$2:$J$1199,MATCH(215,'Transfer Engine'!$C$2:$C$1199,0)))</f>
        <v>ASIC</v>
      </c>
      <c r="K224" s="7" t="str">
        <f>IF(ISNA(MATCH(215,'Transfer Engine'!$C$2:$C$1199,0)),"",INDEX('Compliance Database'!$K$2:$K$1199,MATCH(215,'Transfer Engine'!$C$2:$C$1199,0)))</f>
        <v>This section lists related information and legislative references for digital financial advice, including headnotes on key terms, relevant legislation such as the Corporations Act, and regulatory instruments like ASIC's Corporations (Generic Calculators) Instrument and Product Disclosure Statements. It identifies specific regulations and guidance documents that support compliance with digital advice requirements.</v>
      </c>
      <c r="L224" s="7">
        <f>IF(ISNA(MATCH(215,'Transfer Engine'!$C$2:$C$1199,0)),"",INDEX('Compliance Database'!$L$2:$L$1199,MATCH(215,'Transfer Engine'!$C$2:$C$1199,0)))</f>
        <v>0</v>
      </c>
      <c r="M224" s="7" t="str">
        <f>IF(ISNA(MATCH(215,'Transfer Engine'!$C$2:$C$1199,0)),"",INDEX('Compliance Database'!$M$2:$M$1199,MATCH(215,'Transfer Engine'!$C$2:$C$1199,0)))</f>
        <v>• [Definition] Headnotes include advisers, AFS licensees, algorithms, automated advice, best interests duty, and other relevant terms
• [Definition] Legislation includes the Corporations Act, Ch 7, Pt 7.7, and specific sections such as 761G, 766B, 912A(1), and others</v>
      </c>
      <c r="N224" s="7" t="str">
        <f>IF(ISNA(MATCH(215,'Transfer Engine'!$C$2:$C$1199,0)),"",INDEX('Compliance Database'!$N$2:$N$1199,MATCH(215,'Transfer Engine'!$C$2:$C$1199,0)))</f>
        <v>• [Definition] ASIC publications include the Corporations (Generic Calculators) Instrument 2016/207 and Corporations (Facilitating Electronic Delivery of Financial Services Disclosure) Instrument 2015/647</v>
      </c>
      <c r="O224" s="7" t="str">
        <f>IF(ISNA(MATCH(215,'Transfer Engine'!$C$2:$C$1199,0)),"",INDEX('Compliance Database'!$O$2:$O$1199,MATCH(215,'Transfer Engine'!$C$2:$C$1199,0)))</f>
        <v>Headnotes and legislation: advisers, AFS licensees, algorithms, authorised representatives, automated advice, best interests duty, compensation arrangements, compliance, cyber security, digital advice, exchange-traded funds, factual information, financial product advice, fintech, general advice, licensing, managed discretionary account, monitoring and testing, organisational competence, outsourcing, personal advice, record-keeping obligations, responsible manager, retail client, robo-advice, scaled advice, start-up business, technology, training and competence standards, triage or filtering process</v>
      </c>
      <c r="P224" s="6" t="str">
        <f>IF(ISNA(MATCH(215,'Transfer Engine'!$C$2:$C$1199,0)),"",HYPERLINK("#Acts!A"&amp;INDEX('Compliance Database'!$P$2:$P$1199,MATCH(215,'Transfer Engine'!$C$2:$C$1199,0)),"Go to Act"))</f>
        <v>Go to Act</v>
      </c>
    </row>
    <row r="225" spans="1:16" ht="172.95" customHeight="1" x14ac:dyDescent="0.3">
      <c r="A225" s="6" t="str">
        <f>IF(ISNA(MATCH(216,'Transfer Engine'!$C$2:$C$1199,0)),"",INDEX('Compliance Database'!$A$2:$A$1199,MATCH(216,'Transfer Engine'!$C$2:$C$1199,0)))</f>
        <v>Australia</v>
      </c>
      <c r="B225" s="6" t="str">
        <f>IF(ISNA(MATCH(216,'Transfer Engine'!$C$2:$C$1199,0)),"",INDEX('Compliance Database'!$B$2:$B$1199,MATCH(216,'Transfer Engine'!$C$2:$C$1199,0)))</f>
        <v>rg255-published-30-august-2016-20220328 (Australia - Row 9)</v>
      </c>
      <c r="C225" s="6" t="str">
        <f>IF(ISNA(MATCH(216,'Transfer Engine'!$C$2:$C$1199,0)),"",INDEX('Compliance Database'!$C$2:$C$1199,MATCH(216,'Transfer Engine'!$C$2:$C$1199,0)))</f>
        <v>p40</v>
      </c>
      <c r="D225" s="7" t="str">
        <f>IF(ISNA(MATCH(216,'Transfer Engine'!$C$2:$C$1199,0)),"",INDEX('Compliance Database'!$D$2:$D$1199,MATCH(216,'Transfer Engine'!$C$2:$C$1199,0)))</f>
        <v>Regulatory guides and reports for digital advice compliance</v>
      </c>
      <c r="E225" s="6" t="str">
        <f>IF(ISNA(MATCH(216,'Transfer Engine'!$C$2:$C$1199,0)),"",INDEX('Compliance Database'!$E$2:$E$1199,MATCH(216,'Transfer Engine'!$C$2:$C$1199,0)))</f>
        <v>40</v>
      </c>
      <c r="F225" s="6" t="str">
        <f>IF(ISNA(MATCH(216,'Transfer Engine'!$C$2:$C$1199,0)),"",INDEX('Compliance Database'!$F$2:$F$1199,MATCH(216,'Transfer Engine'!$C$2:$C$1199,0)))</f>
        <v>High</v>
      </c>
      <c r="G225" s="6" t="str">
        <f>IF(ISNA(MATCH(216,'Transfer Engine'!$C$2:$C$1199,0)),"",INDEX('Compliance Database'!$G$2:$G$1199,MATCH(216,'Transfer Engine'!$C$2:$C$1199,0)))</f>
        <v>High (explicit)</v>
      </c>
      <c r="H225" s="7">
        <f>IF(ISNA(MATCH(216,'Transfer Engine'!$C$2:$C$1199,0)),"",INDEX('Compliance Database'!$H$2:$H$1199,MATCH(216,'Transfer Engine'!$C$2:$C$1199,0)))</f>
        <v>0</v>
      </c>
      <c r="I225" s="7" t="str">
        <f>IF(ISNA(MATCH(216,'Transfer Engine'!$C$2:$C$1199,0)),"",INDEX('Compliance Database'!$I$2:$I$1199,MATCH(216,'Transfer Engine'!$C$2:$C$1199,0)))</f>
        <v>Financial Data</v>
      </c>
      <c r="J225" s="6" t="str">
        <f>IF(ISNA(MATCH(216,'Transfer Engine'!$C$2:$C$1199,0)),"",INDEX('Compliance Database'!$J$2:$J$1199,MATCH(216,'Transfer Engine'!$C$2:$C$1199,0)))</f>
        <v>ASIC</v>
      </c>
      <c r="K225" s="7" t="str">
        <f>IF(ISNA(MATCH(216,'Transfer Engine'!$C$2:$C$1199,0)),"",INDEX('Compliance Database'!$K$2:$K$1199,MATCH(216,'Transfer Engine'!$C$2:$C$1199,0)))</f>
        <v>This section lists regulatory guides and reports relevant to digital financial advice, including ASIC's Regulatory Guide 3, RG 36, RG 78, RG 104, RG 105, RG 126, RG 146, RG 167, RG 168, RG 175, RG 179, RG 221, RG 244, and specific reports on cyber resilience. These resources provide detailed guidance on compliance with digital advice requirements and cybersecurity standards.</v>
      </c>
      <c r="L225" s="7">
        <f>IF(ISNA(MATCH(216,'Transfer Engine'!$C$2:$C$1199,0)),"",INDEX('Compliance Database'!$L$2:$L$1199,MATCH(216,'Transfer Engine'!$C$2:$C$1199,0)))</f>
        <v>0</v>
      </c>
      <c r="M225" s="7" t="str">
        <f>IF(ISNA(MATCH(216,'Transfer Engine'!$C$2:$C$1199,0)),"",INDEX('Compliance Database'!$M$2:$M$1199,MATCH(216,'Transfer Engine'!$C$2:$C$1199,0)))</f>
        <v>• [Definition] Regulatory guides include RG 3, RG 36, RG 78, RG 104, RG 105, RG 126, RG 146, RG 167, RG 168, RG 175, RG 179, RG 221, RG 244</v>
      </c>
      <c r="N225" s="7" t="str">
        <f>IF(ISNA(MATCH(216,'Transfer Engine'!$C$2:$C$1199,0)),"",INDEX('Compliance Database'!$N$2:$N$1199,MATCH(216,'Transfer Engine'!$C$2:$C$1199,0)))</f>
        <v>• [Definition] Reports include REP 429 Cyber resilience: Health check and REP 468 Cyber resilience assessment report: ASX Group and Chi-X Australia Pty Ltd</v>
      </c>
      <c r="O225" s="7" t="str">
        <f>IF(ISNA(MATCH(216,'Transfer Engine'!$C$2:$C$1199,0)),"",INDEX('Compliance Database'!$O$2:$O$1199,MATCH(216,'Transfer Engine'!$C$2:$C$1199,0)))</f>
        <v>Regulatory guides: RG 3 AFS Licensing Kit: Part 3—Preparing your additional proofs, RG 36 Licensing: Financial product advice and dealing, RG 78 Breach reporting by AFS licensees and credit licensees, RG 104 AFS licensing: Meeting the general obligations, RG 105 AFS licensing: Organisational competence, RG 126 Compensation and insurance arrangements for AFS licensees, RG 146 Licensing: Training of financial product advisers, RG 167 Licensing: Discretionary powers, RG 168 Disclosure: Product Disclosure Statements (and other disclosure obligations), RG 175 Licensing: Financial product advisers—Conduct and disclosure, RG 179 Managed discretionary account services, RG 221 Facilitating digital financial services disclosures, RG 244 Giving information, general advice and scaled advice</v>
      </c>
      <c r="P225" s="6" t="str">
        <f>IF(ISNA(MATCH(216,'Transfer Engine'!$C$2:$C$1199,0)),"",HYPERLINK("#Acts!A"&amp;INDEX('Compliance Database'!$P$2:$P$1199,MATCH(216,'Transfer Engine'!$C$2:$C$1199,0)),"Go to Act"))</f>
        <v>Go to Act</v>
      </c>
    </row>
    <row r="226" spans="1:16" ht="172.95" customHeight="1" x14ac:dyDescent="0.3">
      <c r="A226" s="6" t="str">
        <f>IF(ISNA(MATCH(217,'Transfer Engine'!$C$2:$C$1199,0)),"",INDEX('Compliance Database'!$A$2:$A$1199,MATCH(217,'Transfer Engine'!$C$2:$C$1199,0)))</f>
        <v>GDPR</v>
      </c>
      <c r="B226" s="6" t="str">
        <f>IF(ISNA(MATCH(217,'Transfer Engine'!$C$2:$C$1199,0)),"",INDEX('Compliance Database'!$B$2:$B$1199,MATCH(217,'Transfer Engine'!$C$2:$C$1199,0)))</f>
        <v>CELEX_32002L0058_EN_TXT (GDPR Row 7)</v>
      </c>
      <c r="C226" s="6" t="str">
        <f>IF(ISNA(MATCH(217,'Transfer Engine'!$C$2:$C$1199,0)),"",INDEX('Compliance Database'!$C$2:$C$1199,MATCH(217,'Transfer Engine'!$C$2:$C$1199,0)))</f>
        <v>1</v>
      </c>
      <c r="D226" s="7" t="str">
        <f>IF(ISNA(MATCH(217,'Transfer Engine'!$C$2:$C$1199,0)),"",INDEX('Compliance Database'!$D$2:$D$1199,MATCH(217,'Transfer Engine'!$C$2:$C$1199,0)))</f>
        <v>Subscriber directory information disclosure</v>
      </c>
      <c r="E226" s="6" t="str">
        <f>IF(ISNA(MATCH(217,'Transfer Engine'!$C$2:$C$1199,0)),"",INDEX('Compliance Database'!$E$2:$E$1199,MATCH(217,'Transfer Engine'!$C$2:$C$1199,0)))</f>
        <v>6–7</v>
      </c>
      <c r="F226" s="6" t="str">
        <f>IF(ISNA(MATCH(217,'Transfer Engine'!$C$2:$C$1199,0)),"",INDEX('Compliance Database'!$F$2:$F$1199,MATCH(217,'Transfer Engine'!$C$2:$C$1199,0)))</f>
        <v>Low</v>
      </c>
      <c r="G226" s="6" t="str">
        <f>IF(ISNA(MATCH(217,'Transfer Engine'!$C$2:$C$1199,0)),"",INDEX('Compliance Database'!$G$2:$G$1199,MATCH(217,'Transfer Engine'!$C$2:$C$1199,0)))</f>
        <v>High (explicit)</v>
      </c>
      <c r="H226" s="7" t="str">
        <f>IF(ISNA(MATCH(217,'Transfer Engine'!$C$2:$C$1199,0)),"",INDEX('Compliance Database'!$H$2:$H$1199,MATCH(217,'Transfer Engine'!$C$2:$C$1199,0)))</f>
        <v>Data Sharing, Data Storage</v>
      </c>
      <c r="I226" s="7" t="str">
        <f>IF(ISNA(MATCH(217,'Transfer Engine'!$C$2:$C$1199,0)),"",INDEX('Compliance Database'!$I$2:$I$1199,MATCH(217,'Transfer Engine'!$C$2:$C$1199,0)))</f>
        <v>Customer Data</v>
      </c>
      <c r="J226" s="6">
        <f>IF(ISNA(MATCH(217,'Transfer Engine'!$C$2:$C$1199,0)),"",INDEX('Compliance Database'!$J$2:$J$1199,MATCH(217,'Transfer Engine'!$C$2:$C$1199,0)))</f>
        <v>0</v>
      </c>
      <c r="K226" s="7" t="str">
        <f>IF(ISNA(MATCH(217,'Transfer Engine'!$C$2:$C$1199,0)),"",INDEX('Compliance Database'!$K$2:$K$1199,MATCH(217,'Transfer Engine'!$C$2:$C$1199,0)))</f>
        <v>Member States must ensure subscribers are informed free of charge before inclusion in public directories about directory purposes, data usage, and search functions. This applies to printed or electronic directories available to the public or through directory enquiry services.</v>
      </c>
      <c r="L226" s="7" t="str">
        <f>IF(ISNA(MATCH(217,'Transfer Engine'!$C$2:$C$1199,0)),"",INDEX('Compliance Database'!$L$2:$L$1199,MATCH(217,'Transfer Engine'!$C$2:$C$1199,0)))</f>
        <v>Requires transparency in directory data usage, impacting how financial institutions share customer data across borders through public directories.</v>
      </c>
      <c r="M226" s="7" t="str">
        <f>IF(ISNA(MATCH(217,'Transfer Engine'!$C$2:$C$1199,0)),"",INDEX('Compliance Database'!$M$2:$M$1199,MATCH(217,'Transfer Engine'!$C$2:$C$1199,0)))</f>
        <v>• [Must] Member States shall ensure subscribers are informed, free of charge and before they are included in the directory, about the purpose(s) of a printed or electronic directory of subscribers available to the public or obtainable through directory enquiry services</v>
      </c>
      <c r="N226" s="7" t="str">
        <f>IF(ISNA(MATCH(217,'Transfer Engine'!$C$2:$C$1199,0)),"",INDEX('Compliance Database'!$N$2:$N$1199,MATCH(217,'Transfer Engine'!$C$2:$C$1199,0)))</f>
        <v>• [Must] Member States shall ensure subscribers are informed, free of charge and before they are included in the directory, about any further usage possibilities based on search functions embedded in electronic versions of the directory</v>
      </c>
      <c r="O226" s="7" t="str">
        <f>IF(ISNA(MATCH(217,'Transfer Engine'!$C$2:$C$1199,0)),"",INDEX('Compliance Database'!$O$2:$O$1199,MATCH(217,'Transfer Engine'!$C$2:$C$1199,0)))</f>
        <v>Member States shall ensure that subscribers are informed, free of charge and before they are included in the directory, about the purpose(s) of a printed or electronic directory of subscribers available to the public or obtainable through directory enquiry services, in which their personal data can be included and of any further usage possibilities based on search functions embedded in electronic versions of the directory.</v>
      </c>
      <c r="P226" s="6" t="str">
        <f>IF(ISNA(MATCH(217,'Transfer Engine'!$C$2:$C$1199,0)),"",HYPERLINK("#Acts!A"&amp;INDEX('Compliance Database'!$P$2:$P$1199,MATCH(217,'Transfer Engine'!$C$2:$C$1199,0)),"Go to Act"))</f>
        <v>Go to Act</v>
      </c>
    </row>
    <row r="227" spans="1:16" ht="172.95" customHeight="1" x14ac:dyDescent="0.3">
      <c r="A227" s="6" t="str">
        <f>IF(ISNA(MATCH(218,'Transfer Engine'!$C$2:$C$1199,0)),"",INDEX('Compliance Database'!$A$2:$A$1199,MATCH(218,'Transfer Engine'!$C$2:$C$1199,0)))</f>
        <v>GDPR</v>
      </c>
      <c r="B227" s="6" t="str">
        <f>IF(ISNA(MATCH(218,'Transfer Engine'!$C$2:$C$1199,0)),"",INDEX('Compliance Database'!$B$2:$B$1199,MATCH(218,'Transfer Engine'!$C$2:$C$1199,0)))</f>
        <v>CELEX_32002L0058_EN_TXT (GDPR Row 7)</v>
      </c>
      <c r="C227" s="6" t="str">
        <f>IF(ISNA(MATCH(218,'Transfer Engine'!$C$2:$C$1199,0)),"",INDEX('Compliance Database'!$C$2:$C$1199,MATCH(218,'Transfer Engine'!$C$2:$C$1199,0)))</f>
        <v>2</v>
      </c>
      <c r="D227" s="7" t="str">
        <f>IF(ISNA(MATCH(218,'Transfer Engine'!$C$2:$C$1199,0)),"",INDEX('Compliance Database'!$D$2:$D$1199,MATCH(218,'Transfer Engine'!$C$2:$C$1199,0)))</f>
        <v>Member States' obligation to report national law to Commission</v>
      </c>
      <c r="E227" s="6" t="str">
        <f>IF(ISNA(MATCH(218,'Transfer Engine'!$C$2:$C$1199,0)),"",INDEX('Compliance Database'!$E$2:$E$1199,MATCH(218,'Transfer Engine'!$C$2:$C$1199,0)))</f>
        <v>7</v>
      </c>
      <c r="F227" s="6" t="str">
        <f>IF(ISNA(MATCH(218,'Transfer Engine'!$C$2:$C$1199,0)),"",INDEX('Compliance Database'!$F$2:$F$1199,MATCH(218,'Transfer Engine'!$C$2:$C$1199,0)))</f>
        <v>Low</v>
      </c>
      <c r="G227" s="6" t="str">
        <f>IF(ISNA(MATCH(218,'Transfer Engine'!$C$2:$C$1199,0)),"",INDEX('Compliance Database'!$G$2:$G$1199,MATCH(218,'Transfer Engine'!$C$2:$C$1199,0)))</f>
        <v>High (explicit)</v>
      </c>
      <c r="H227" s="7" t="str">
        <f>IF(ISNA(MATCH(218,'Transfer Engine'!$C$2:$C$1199,0)),"",INDEX('Compliance Database'!$H$2:$H$1199,MATCH(218,'Transfer Engine'!$C$2:$C$1199,0)))</f>
        <v>Governance, Record Keeping</v>
      </c>
      <c r="I227" s="7">
        <f>IF(ISNA(MATCH(218,'Transfer Engine'!$C$2:$C$1199,0)),"",INDEX('Compliance Database'!$I$2:$I$1199,MATCH(218,'Transfer Engine'!$C$2:$C$1199,0)))</f>
        <v>0</v>
      </c>
      <c r="J227" s="6" t="str">
        <f>IF(ISNA(MATCH(218,'Transfer Engine'!$C$2:$C$1199,0)),"",INDEX('Compliance Database'!$J$2:$J$1199,MATCH(218,'Transfer Engine'!$C$2:$C$1199,0)))</f>
        <v>European Commission</v>
      </c>
      <c r="K227" s="7" t="str">
        <f>IF(ISNA(MATCH(218,'Transfer Engine'!$C$2:$C$1199,0)),"",INDEX('Compliance Database'!$K$2:$K$1199,MATCH(218,'Transfer Engine'!$C$2:$C$1199,0)))</f>
        <v>Member States must report to the European Commission the text of national laws they adopt implementing this Directive and any subsequent amendments. The Commission is required to submit a report to the European Parliament and Council within three years of the Directive's entry into force, assessing its application and economic impact, particularly regarding unsolicited communications. The Commission may request information from Member States without undue delay to inform this report.</v>
      </c>
      <c r="L227" s="7" t="str">
        <f>IF(ISNA(MATCH(218,'Transfer Engine'!$C$2:$C$1199,0)),"",INDEX('Compliance Database'!$L$2:$L$1199,MATCH(218,'Transfer Engine'!$C$2:$C$1199,0)))</f>
        <v>Requires Member States to report national laws affecting data transfers, relevant for understanding jurisdictional boundaries in cross-border data flows.</v>
      </c>
      <c r="M227" s="7" t="str">
        <f>IF(ISNA(MATCH(218,'Transfer Engine'!$C$2:$C$1199,0)),"",INDEX('Compliance Database'!$M$2:$M$1199,MATCH(218,'Transfer Engine'!$C$2:$C$1199,0)))</f>
        <v>• [Must] Member States shall communicate to the Commission the text of national law provisions adopted in the field governed by this Directive
• [Must] Member States shall communicate any subsequent amendments to national law provisions</v>
      </c>
      <c r="N227" s="7" t="str">
        <f>IF(ISNA(MATCH(218,'Transfer Engine'!$C$2:$C$1199,0)),"",INDEX('Compliance Database'!$N$2:$N$1199,MATCH(218,'Transfer Engine'!$C$2:$C$1199,0)))</f>
        <v>• [Must] Commission shall submit report to European Parliament and Council within three years of Directive entry into force
• [May] Commission may request information from Member States without undue delay</v>
      </c>
      <c r="O227" s="7" t="str">
        <f>IF(ISNA(MATCH(218,'Transfer Engine'!$C$2:$C$1199,0)),"",INDEX('Compliance Database'!$O$2:$O$1199,MATCH(218,'Transfer Engine'!$C$2:$C$1199,0)))</f>
        <v>Member States shall communicate to the Commission the text of the provisions of national law which they adopt in the field governed by this Directive and of any subsequent amendments to those provisions.</v>
      </c>
      <c r="P227" s="6" t="str">
        <f>IF(ISNA(MATCH(218,'Transfer Engine'!$C$2:$C$1199,0)),"",HYPERLINK("#Acts!A"&amp;INDEX('Compliance Database'!$P$2:$P$1199,MATCH(218,'Transfer Engine'!$C$2:$C$1199,0)),"Go to Act"))</f>
        <v>Go to Act</v>
      </c>
    </row>
    <row r="228" spans="1:16" ht="172.95" customHeight="1" x14ac:dyDescent="0.3">
      <c r="A228" s="6" t="str">
        <f>IF(ISNA(MATCH(219,'Transfer Engine'!$C$2:$C$1199,0)),"",INDEX('Compliance Database'!$A$2:$A$1199,MATCH(219,'Transfer Engine'!$C$2:$C$1199,0)))</f>
        <v>GDPR</v>
      </c>
      <c r="B228" s="6" t="str">
        <f>IF(ISNA(MATCH(219,'Transfer Engine'!$C$2:$C$1199,0)),"",INDEX('Compliance Database'!$B$2:$B$1199,MATCH(219,'Transfer Engine'!$C$2:$C$1199,0)))</f>
        <v>CELEX_32002L0058_EN_TXT (GDPR Row 7)</v>
      </c>
      <c r="C228" s="6" t="str">
        <f>IF(ISNA(MATCH(219,'Transfer Engine'!$C$2:$C$1199,0)),"",INDEX('Compliance Database'!$C$2:$C$1199,MATCH(219,'Transfer Engine'!$C$2:$C$1199,0)))</f>
        <v>3</v>
      </c>
      <c r="D228" s="7" t="str">
        <f>IF(ISNA(MATCH(219,'Transfer Engine'!$C$2:$C$1199,0)),"",INDEX('Compliance Database'!$D$2:$D$1199,MATCH(219,'Transfer Engine'!$C$2:$C$1199,0)))</f>
        <v>Working Party on individual data protection tasks</v>
      </c>
      <c r="E228" s="6" t="str">
        <f>IF(ISNA(MATCH(219,'Transfer Engine'!$C$2:$C$1199,0)),"",INDEX('Compliance Database'!$E$2:$E$1199,MATCH(219,'Transfer Engine'!$C$2:$C$1199,0)))</f>
        <v>7</v>
      </c>
      <c r="F228" s="6" t="str">
        <f>IF(ISNA(MATCH(219,'Transfer Engine'!$C$2:$C$1199,0)),"",INDEX('Compliance Database'!$F$2:$F$1199,MATCH(219,'Transfer Engine'!$C$2:$C$1199,0)))</f>
        <v>None</v>
      </c>
      <c r="G228" s="6" t="str">
        <f>IF(ISNA(MATCH(219,'Transfer Engine'!$C$2:$C$1199,0)),"",INDEX('Compliance Database'!$G$2:$G$1199,MATCH(219,'Transfer Engine'!$C$2:$C$1199,0)))</f>
        <v>High (explicit)</v>
      </c>
      <c r="H228" s="7">
        <f>IF(ISNA(MATCH(219,'Transfer Engine'!$C$2:$C$1199,0)),"",INDEX('Compliance Database'!$H$2:$H$1199,MATCH(219,'Transfer Engine'!$C$2:$C$1199,0)))</f>
        <v>0</v>
      </c>
      <c r="I228" s="7">
        <f>IF(ISNA(MATCH(219,'Transfer Engine'!$C$2:$C$1199,0)),"",INDEX('Compliance Database'!$I$2:$I$1199,MATCH(219,'Transfer Engine'!$C$2:$C$1199,0)))</f>
        <v>0</v>
      </c>
      <c r="J228" s="6">
        <f>IF(ISNA(MATCH(219,'Transfer Engine'!$C$2:$C$1199,0)),"",INDEX('Compliance Database'!$J$2:$J$1199,MATCH(219,'Transfer Engine'!$C$2:$C$1199,0)))</f>
        <v>0</v>
      </c>
      <c r="K228" s="7" t="str">
        <f>IF(ISNA(MATCH(219,'Transfer Engine'!$C$2:$C$1199,0)),"",INDEX('Compliance Database'!$K$2:$K$1199,MATCH(219,'Transfer Engine'!$C$2:$C$1199,0)))</f>
        <v>The Working Party on the Protection of Individuals with regard to the Processing of Personal Data (established under Article 29 of Directive 95/46/EC) must carry out tasks related to protecting fundamental rights and freedoms and legitimate interests in the electronic communications sector.</v>
      </c>
      <c r="L228" s="7" t="str">
        <f>IF(ISNA(MATCH(219,'Transfer Engine'!$C$2:$C$1199,0)),"",INDEX('Compliance Database'!$L$2:$L$1199,MATCH(219,'Transfer Engine'!$C$2:$C$1199,0)))</f>
        <v>Does not directly impact data transfer impact assessments as it is a procedural task for a specific working group, not a data transfer requirement.</v>
      </c>
      <c r="M228" s="7">
        <f>IF(ISNA(MATCH(219,'Transfer Engine'!$C$2:$C$1199,0)),"",INDEX('Compliance Database'!$M$2:$M$1199,MATCH(219,'Transfer Engine'!$C$2:$C$1199,0)))</f>
        <v>0</v>
      </c>
      <c r="N228" s="7">
        <f>IF(ISNA(MATCH(219,'Transfer Engine'!$C$2:$C$1199,0)),"",INDEX('Compliance Database'!$N$2:$N$1199,MATCH(219,'Transfer Engine'!$C$2:$C$1199,0)))</f>
        <v>0</v>
      </c>
      <c r="O228" s="7" t="str">
        <f>IF(ISNA(MATCH(219,'Transfer Engine'!$C$2:$C$1199,0)),"",INDEX('Compliance Database'!$O$2:$O$1199,MATCH(219,'Transfer Engine'!$C$2:$C$1199,0)))</f>
        <v>The Working Party on the Protection of Individuals with regard to the Processing of Personal Data instituted by Article 29 of Directive 95/46/EC shall also carry out the tasks laid down in Article 30 of that Directive with regard to matters covered by this Directive, namely the protection of fundamental rights and freedoms and of legitimate interests in the electronic communications sector.</v>
      </c>
      <c r="P228" s="6" t="str">
        <f>IF(ISNA(MATCH(219,'Transfer Engine'!$C$2:$C$1199,0)),"",HYPERLINK("#Acts!A"&amp;INDEX('Compliance Database'!$P$2:$P$1199,MATCH(219,'Transfer Engine'!$C$2:$C$1199,0)),"Go to Act"))</f>
        <v>Go to Act</v>
      </c>
    </row>
    <row r="229" spans="1:16" ht="172.95" customHeight="1" x14ac:dyDescent="0.3">
      <c r="A229" s="6" t="str">
        <f>IF(ISNA(MATCH(220,'Transfer Engine'!$C$2:$C$1199,0)),"",INDEX('Compliance Database'!$A$2:$A$1199,MATCH(220,'Transfer Engine'!$C$2:$C$1199,0)))</f>
        <v>GDPR</v>
      </c>
      <c r="B229" s="6" t="str">
        <f>IF(ISNA(MATCH(220,'Transfer Engine'!$C$2:$C$1199,0)),"",INDEX('Compliance Database'!$B$2:$B$1199,MATCH(220,'Transfer Engine'!$C$2:$C$1199,0)))</f>
        <v>CELEX_32002L0058_EN_TXT (GDPR Row 7)</v>
      </c>
      <c r="C229" s="6" t="str">
        <f>IF(ISNA(MATCH(220,'Transfer Engine'!$C$2:$C$1199,0)),"",INDEX('Compliance Database'!$C$2:$C$1199,MATCH(220,'Transfer Engine'!$C$2:$C$1199,0)))</f>
        <v>4</v>
      </c>
      <c r="D229" s="7" t="str">
        <f>IF(ISNA(MATCH(220,'Transfer Engine'!$C$2:$C$1199,0)),"",INDEX('Compliance Database'!$D$2:$D$1199,MATCH(220,'Transfer Engine'!$C$2:$C$1199,0)))</f>
        <v>Informing subscribers about traffic data processing</v>
      </c>
      <c r="E229" s="6" t="str">
        <f>IF(ISNA(MATCH(220,'Transfer Engine'!$C$2:$C$1199,0)),"",INDEX('Compliance Database'!$E$2:$E$1199,MATCH(220,'Transfer Engine'!$C$2:$C$1199,0)))</f>
        <v>8</v>
      </c>
      <c r="F229" s="6" t="str">
        <f>IF(ISNA(MATCH(220,'Transfer Engine'!$C$2:$C$1199,0)),"",INDEX('Compliance Database'!$F$2:$F$1199,MATCH(220,'Transfer Engine'!$C$2:$C$1199,0)))</f>
        <v>High</v>
      </c>
      <c r="G229" s="6" t="str">
        <f>IF(ISNA(MATCH(220,'Transfer Engine'!$C$2:$C$1199,0)),"",INDEX('Compliance Database'!$G$2:$G$1199,MATCH(220,'Transfer Engine'!$C$2:$C$1199,0)))</f>
        <v>High (explicit)</v>
      </c>
      <c r="H229" s="7" t="str">
        <f>IF(ISNA(MATCH(220,'Transfer Engine'!$C$2:$C$1199,0)),"",INDEX('Compliance Database'!$H$2:$H$1199,MATCH(220,'Transfer Engine'!$C$2:$C$1199,0)))</f>
        <v>Cross-border Transfer, Data Sharing, Consent</v>
      </c>
      <c r="I229" s="7">
        <f>IF(ISNA(MATCH(220,'Transfer Engine'!$C$2:$C$1199,0)),"",INDEX('Compliance Database'!$I$2:$I$1199,MATCH(220,'Transfer Engine'!$C$2:$C$1199,0)))</f>
        <v>0</v>
      </c>
      <c r="J229" s="6">
        <f>IF(ISNA(MATCH(220,'Transfer Engine'!$C$2:$C$1199,0)),"",INDEX('Compliance Database'!$J$2:$J$1199,MATCH(220,'Transfer Engine'!$C$2:$C$1199,0)))</f>
        <v>0</v>
      </c>
      <c r="K229" s="7" t="str">
        <f>IF(ISNA(MATCH(220,'Transfer Engine'!$C$2:$C$1199,0)),"",INDEX('Compliance Database'!$K$2:$K$1199,MATCH(220,'Transfer Engine'!$C$2:$C$1199,0)))</f>
        <v>Service providers must inform subscribers about the types of traffic data processed and the duration of processing for billing and interconnection purposes. This disclosure must occur prior to obtaining consent for marketing activities.</v>
      </c>
      <c r="L229" s="7" t="str">
        <f>IF(ISNA(MATCH(220,'Transfer Engine'!$C$2:$C$1199,0)),"",INDEX('Compliance Database'!$L$2:$L$1199,MATCH(220,'Transfer Engine'!$C$2:$C$1199,0)))</f>
        <v>Mandates transparency about traffic data processing duration and scope, critical for DTIA compliance in telecom data transfers.</v>
      </c>
      <c r="M229" s="7" t="str">
        <f>IF(ISNA(MATCH(220,'Transfer Engine'!$C$2:$C$1199,0)),"",INDEX('Compliance Database'!$M$2:$M$1199,MATCH(220,'Transfer Engine'!$C$2:$C$1199,0)))</f>
        <v>• [Must] Service provider must inform subscriber of types of traffic data processed
• [Must] Service provider must inform subscriber of duration of processing for billing and interconnection purposes</v>
      </c>
      <c r="N229" s="7" t="str">
        <f>IF(ISNA(MATCH(220,'Transfer Engine'!$C$2:$C$1199,0)),"",INDEX('Compliance Database'!$N$2:$N$1199,MATCH(220,'Transfer Engine'!$C$2:$C$1199,0)))</f>
        <v>• [Must] Service provider must inform subscriber of purposes before obtaining consent for marketing</v>
      </c>
      <c r="O229" s="7" t="str">
        <f>IF(ISNA(MATCH(220,'Transfer Engine'!$C$2:$C$1199,0)),"",INDEX('Compliance Database'!$O$2:$O$1199,MATCH(220,'Transfer Engine'!$C$2:$C$1199,0)))</f>
        <v>4. The service provider must inform the subscriber or user of the types of traffic data which are processed and of the duration of such processing for the purposes mentioned in paragraph 2 and, prior to obtaining consent, for the purposes mentioned in paragraph 3.</v>
      </c>
      <c r="P229" s="6" t="str">
        <f>IF(ISNA(MATCH(220,'Transfer Engine'!$C$2:$C$1199,0)),"",HYPERLINK("#Acts!A"&amp;INDEX('Compliance Database'!$P$2:$P$1199,MATCH(220,'Transfer Engine'!$C$2:$C$1199,0)),"Go to Act"))</f>
        <v>Go to Act</v>
      </c>
    </row>
    <row r="230" spans="1:16" ht="172.95" customHeight="1" x14ac:dyDescent="0.3">
      <c r="A230" s="6" t="str">
        <f>IF(ISNA(MATCH(221,'Transfer Engine'!$C$2:$C$1199,0)),"",INDEX('Compliance Database'!$A$2:$A$1199,MATCH(221,'Transfer Engine'!$C$2:$C$1199,0)))</f>
        <v>GDPR</v>
      </c>
      <c r="B230" s="6" t="str">
        <f>IF(ISNA(MATCH(221,'Transfer Engine'!$C$2:$C$1199,0)),"",INDEX('Compliance Database'!$B$2:$B$1199,MATCH(221,'Transfer Engine'!$C$2:$C$1199,0)))</f>
        <v>CELEX_32002L0058_EN_TXT (GDPR Row 7)</v>
      </c>
      <c r="C230" s="6" t="str">
        <f>IF(ISNA(MATCH(221,'Transfer Engine'!$C$2:$C$1199,0)),"",INDEX('Compliance Database'!$C$2:$C$1199,MATCH(221,'Transfer Engine'!$C$2:$C$1199,0)))</f>
        <v>5</v>
      </c>
      <c r="D230" s="7" t="str">
        <f>IF(ISNA(MATCH(221,'Transfer Engine'!$C$2:$C$1199,0)),"",INDEX('Compliance Database'!$D$2:$D$1199,MATCH(221,'Transfer Engine'!$C$2:$C$1199,0)))</f>
        <v>Restrictions on traffic data processing recipients</v>
      </c>
      <c r="E230" s="6" t="str">
        <f>IF(ISNA(MATCH(221,'Transfer Engine'!$C$2:$C$1199,0)),"",INDEX('Compliance Database'!$E$2:$E$1199,MATCH(221,'Transfer Engine'!$C$2:$C$1199,0)))</f>
        <v>8</v>
      </c>
      <c r="F230" s="6" t="str">
        <f>IF(ISNA(MATCH(221,'Transfer Engine'!$C$2:$C$1199,0)),"",INDEX('Compliance Database'!$F$2:$F$1199,MATCH(221,'Transfer Engine'!$C$2:$C$1199,0)))</f>
        <v>High</v>
      </c>
      <c r="G230" s="6" t="str">
        <f>IF(ISNA(MATCH(221,'Transfer Engine'!$C$2:$C$1199,0)),"",INDEX('Compliance Database'!$G$2:$G$1199,MATCH(221,'Transfer Engine'!$C$2:$C$1199,0)))</f>
        <v>High (explicit)</v>
      </c>
      <c r="H230" s="7" t="str">
        <f>IF(ISNA(MATCH(221,'Transfer Engine'!$C$2:$C$1199,0)),"",INDEX('Compliance Database'!$H$2:$H$1199,MATCH(221,'Transfer Engine'!$C$2:$C$1199,0)))</f>
        <v>Cross-border Transfer, Data Storage, Processing</v>
      </c>
      <c r="I230" s="7">
        <f>IF(ISNA(MATCH(221,'Transfer Engine'!$C$2:$C$1199,0)),"",INDEX('Compliance Database'!$I$2:$I$1199,MATCH(221,'Transfer Engine'!$C$2:$C$1199,0)))</f>
        <v>0</v>
      </c>
      <c r="J230" s="6">
        <f>IF(ISNA(MATCH(221,'Transfer Engine'!$C$2:$C$1199,0)),"",INDEX('Compliance Database'!$J$2:$J$1199,MATCH(221,'Transfer Engine'!$C$2:$C$1199,0)))</f>
        <v>0</v>
      </c>
      <c r="K230" s="7" t="str">
        <f>IF(ISNA(MATCH(221,'Transfer Engine'!$C$2:$C$1199,0)),"",INDEX('Compliance Database'!$K$2:$K$1199,MATCH(221,'Transfer Engine'!$C$2:$C$1199,0)))</f>
        <v>Traffic data processing must be limited to persons authorized by providers of public communications networks and services handling billing, traffic management, customer enquiries, fraud detection, marketing, or value-added services. Processing must be restricted to what is necessary for these activities.</v>
      </c>
      <c r="L230" s="7" t="str">
        <f>IF(ISNA(MATCH(221,'Transfer Engine'!$C$2:$C$1199,0)),"",INDEX('Compliance Database'!$L$2:$L$1199,MATCH(221,'Transfer Engine'!$C$2:$C$1199,0)))</f>
        <v>Defines permissible recipients for traffic data transfers, ensuring only authorized entities handle data for billing and service purposes across borders.</v>
      </c>
      <c r="M230" s="7" t="str">
        <f>IF(ISNA(MATCH(221,'Transfer Engine'!$C$2:$C$1199,0)),"",INDEX('Compliance Database'!$M$2:$M$1199,MATCH(221,'Transfer Engine'!$C$2:$C$1199,0)))</f>
        <v>• [Must] Processing must be restricted to persons acting under authority of providers of public communications networks
• [Must] Processing must be restricted to persons handling billing or traffic management
• [Must] Processing must be restricted to persons handling customer enquiries
• [Must] Processing must be restricted to persons handling fraud detection</v>
      </c>
      <c r="N230" s="7" t="str">
        <f>IF(ISNA(MATCH(221,'Transfer Engine'!$C$2:$C$1199,0)),"",INDEX('Compliance Database'!$N$2:$N$1199,MATCH(221,'Transfer Engine'!$C$2:$C$1199,0)))</f>
        <v>• [Must] Processing must be restricted to persons handling marketing electronic communications services
• [Must] Processing must be restricted to persons providing value added services
• [Must] Processing must be restricted to what is necessary for such activities</v>
      </c>
      <c r="O230" s="7" t="str">
        <f>IF(ISNA(MATCH(221,'Transfer Engine'!$C$2:$C$1199,0)),"",INDEX('Compliance Database'!$O$2:$O$1199,MATCH(221,'Transfer Engine'!$C$2:$C$1199,0)))</f>
        <v>5. Processing of traffic data, in accordance with paragraphs 1, 2, 3 and 4, must be restricted to persons acting under the authority of providers of the public communications networks and publicly available electronic communications services handling billing or traffic management, customer enquiries, fraud detection, marketing electronic communications services or providing a value added service, and must be restricted to what is necessary for the purposes of such activities.</v>
      </c>
      <c r="P230" s="6" t="str">
        <f>IF(ISNA(MATCH(221,'Transfer Engine'!$C$2:$C$1199,0)),"",HYPERLINK("#Acts!A"&amp;INDEX('Compliance Database'!$P$2:$P$1199,MATCH(221,'Transfer Engine'!$C$2:$C$1199,0)),"Go to Act"))</f>
        <v>Go to Act</v>
      </c>
    </row>
    <row r="231" spans="1:16" ht="172.95" customHeight="1" x14ac:dyDescent="0.3">
      <c r="A231" s="6" t="str">
        <f>IF(ISNA(MATCH(222,'Transfer Engine'!$C$2:$C$1199,0)),"",INDEX('Compliance Database'!$A$2:$A$1199,MATCH(222,'Transfer Engine'!$C$2:$C$1199,0)))</f>
        <v>GDPR</v>
      </c>
      <c r="B231" s="6" t="str">
        <f>IF(ISNA(MATCH(222,'Transfer Engine'!$C$2:$C$1199,0)),"",INDEX('Compliance Database'!$B$2:$B$1199,MATCH(222,'Transfer Engine'!$C$2:$C$1199,0)))</f>
        <v>CELEX_32015L2366_EN_TXT (GDPR - Row 18)</v>
      </c>
      <c r="C231" s="6" t="str">
        <f>IF(ISNA(MATCH(222,'Transfer Engine'!$C$2:$C$1199,0)),"",INDEX('Compliance Database'!$C$2:$C$1199,MATCH(222,'Transfer Engine'!$C$2:$C$1199,0)))</f>
        <v>1</v>
      </c>
      <c r="D231" s="7" t="str">
        <f>IF(ISNA(MATCH(222,'Transfer Engine'!$C$2:$C$1199,0)),"",INDEX('Compliance Database'!$D$2:$D$1199,MATCH(222,'Transfer Engine'!$C$2:$C$1199,0)))</f>
        <v>Payment account services definition</v>
      </c>
      <c r="E231" s="6" t="str">
        <f>IF(ISNA(MATCH(222,'Transfer Engine'!$C$2:$C$1199,0)),"",INDEX('Compliance Database'!$E$2:$E$1199,MATCH(222,'Transfer Engine'!$C$2:$C$1199,0)))</f>
        <v>3</v>
      </c>
      <c r="F231" s="6" t="str">
        <f>IF(ISNA(MATCH(222,'Transfer Engine'!$C$2:$C$1199,0)),"",INDEX('Compliance Database'!$F$2:$F$1199,MATCH(222,'Transfer Engine'!$C$2:$C$1199,0)))</f>
        <v>Medium</v>
      </c>
      <c r="G231" s="6" t="str">
        <f>IF(ISNA(MATCH(222,'Transfer Engine'!$C$2:$C$1199,0)),"",INDEX('Compliance Database'!$G$2:$G$1199,MATCH(222,'Transfer Engine'!$C$2:$C$1199,0)))</f>
        <v>High (explicit)</v>
      </c>
      <c r="H231" s="7">
        <f>IF(ISNA(MATCH(222,'Transfer Engine'!$C$2:$C$1199,0)),"",INDEX('Compliance Database'!$H$2:$H$1199,MATCH(222,'Transfer Engine'!$C$2:$C$1199,0)))</f>
        <v>0</v>
      </c>
      <c r="I231" s="7">
        <f>IF(ISNA(MATCH(222,'Transfer Engine'!$C$2:$C$1199,0)),"",INDEX('Compliance Database'!$I$2:$I$1199,MATCH(222,'Transfer Engine'!$C$2:$C$1199,0)))</f>
        <v>0</v>
      </c>
      <c r="J231" s="6">
        <f>IF(ISNA(MATCH(222,'Transfer Engine'!$C$2:$C$1199,0)),"",INDEX('Compliance Database'!$J$2:$J$1199,MATCH(222,'Transfer Engine'!$C$2:$C$1199,0)))</f>
        <v>0</v>
      </c>
      <c r="K231" s="7" t="str">
        <f>IF(ISNA(MATCH(222,'Transfer Engine'!$C$2:$C$1199,0)),"",INDEX('Compliance Database'!$K$2:$K$1199,MATCH(222,'Transfer Engine'!$C$2:$C$1199,0)))</f>
        <v>This section defines payment account services as services that enable cash to be placed on a payment account and all operations required for operating a payment account. It provides a clear scope for payment services under the directive.</v>
      </c>
      <c r="L231" s="7">
        <f>IF(ISNA(MATCH(222,'Transfer Engine'!$C$2:$C$1199,0)),"",INDEX('Compliance Database'!$L$2:$L$1199,MATCH(222,'Transfer Engine'!$C$2:$C$1199,0)))</f>
        <v>0</v>
      </c>
      <c r="M231" s="7" t="str">
        <f>IF(ISNA(MATCH(222,'Transfer Engine'!$C$2:$C$1199,0)),"",INDEX('Compliance Database'!$M$2:$M$1199,MATCH(222,'Transfer Engine'!$C$2:$C$1199,0)))</f>
        <v>• [Definition] Services enabling cash to be placed on a payment account as well as all the operations required for operating a payment account</v>
      </c>
      <c r="N231" s="7">
        <f>IF(ISNA(MATCH(222,'Transfer Engine'!$C$2:$C$1199,0)),"",INDEX('Compliance Database'!$N$2:$N$1199,MATCH(222,'Transfer Engine'!$C$2:$C$1199,0)))</f>
        <v>0</v>
      </c>
      <c r="O231" s="7" t="str">
        <f>IF(ISNA(MATCH(222,'Transfer Engine'!$C$2:$C$1199,0)),"",INDEX('Compliance Database'!$O$2:$O$1199,MATCH(222,'Transfer Engine'!$C$2:$C$1199,0)))</f>
        <v>Services enabling cash to be placed on a payment account as well as all the operations required for operating a payment account.</v>
      </c>
      <c r="P231" s="6" t="str">
        <f>IF(ISNA(MATCH(222,'Transfer Engine'!$C$2:$C$1199,0)),"",HYPERLINK("#Acts!A"&amp;INDEX('Compliance Database'!$P$2:$P$1199,MATCH(222,'Transfer Engine'!$C$2:$C$1199,0)),"Go to Act"))</f>
        <v>Go to Act</v>
      </c>
    </row>
    <row r="232" spans="1:16" ht="172.95" customHeight="1" x14ac:dyDescent="0.3">
      <c r="A232" s="6" t="str">
        <f>IF(ISNA(MATCH(223,'Transfer Engine'!$C$2:$C$1199,0)),"",INDEX('Compliance Database'!$A$2:$A$1199,MATCH(223,'Transfer Engine'!$C$2:$C$1199,0)))</f>
        <v>GDPR</v>
      </c>
      <c r="B232" s="6" t="str">
        <f>IF(ISNA(MATCH(223,'Transfer Engine'!$C$2:$C$1199,0)),"",INDEX('Compliance Database'!$B$2:$B$1199,MATCH(223,'Transfer Engine'!$C$2:$C$1199,0)))</f>
        <v>CELEX_32015L2366_EN_TXT (GDPR - Row 18)</v>
      </c>
      <c r="C232" s="6" t="str">
        <f>IF(ISNA(MATCH(223,'Transfer Engine'!$C$2:$C$1199,0)),"",INDEX('Compliance Database'!$C$2:$C$1199,MATCH(223,'Transfer Engine'!$C$2:$C$1199,0)))</f>
        <v>2</v>
      </c>
      <c r="D232" s="7" t="str">
        <f>IF(ISNA(MATCH(223,'Transfer Engine'!$C$2:$C$1199,0)),"",INDEX('Compliance Database'!$D$2:$D$1199,MATCH(223,'Transfer Engine'!$C$2:$C$1199,0)))</f>
        <v>Payment account withdrawal services definition</v>
      </c>
      <c r="E232" s="6" t="str">
        <f>IF(ISNA(MATCH(223,'Transfer Engine'!$C$2:$C$1199,0)),"",INDEX('Compliance Database'!$E$2:$E$1199,MATCH(223,'Transfer Engine'!$C$2:$C$1199,0)))</f>
        <v>2</v>
      </c>
      <c r="F232" s="6" t="str">
        <f>IF(ISNA(MATCH(223,'Transfer Engine'!$C$2:$C$1199,0)),"",INDEX('Compliance Database'!$F$2:$F$1199,MATCH(223,'Transfer Engine'!$C$2:$C$1199,0)))</f>
        <v>Medium</v>
      </c>
      <c r="G232" s="6" t="str">
        <f>IF(ISNA(MATCH(223,'Transfer Engine'!$C$2:$C$1199,0)),"",INDEX('Compliance Database'!$G$2:$G$1199,MATCH(223,'Transfer Engine'!$C$2:$C$1199,0)))</f>
        <v>High (explicit)</v>
      </c>
      <c r="H232" s="7">
        <f>IF(ISNA(MATCH(223,'Transfer Engine'!$C$2:$C$1199,0)),"",INDEX('Compliance Database'!$H$2:$H$1199,MATCH(223,'Transfer Engine'!$C$2:$C$1199,0)))</f>
        <v>0</v>
      </c>
      <c r="I232" s="7">
        <f>IF(ISNA(MATCH(223,'Transfer Engine'!$C$2:$C$1199,0)),"",INDEX('Compliance Database'!$I$2:$I$1199,MATCH(223,'Transfer Engine'!$C$2:$C$1199,0)))</f>
        <v>0</v>
      </c>
      <c r="J232" s="6">
        <f>IF(ISNA(MATCH(223,'Transfer Engine'!$C$2:$C$1199,0)),"",INDEX('Compliance Database'!$J$2:$J$1199,MATCH(223,'Transfer Engine'!$C$2:$C$1199,0)))</f>
        <v>0</v>
      </c>
      <c r="K232" s="7" t="str">
        <f>IF(ISNA(MATCH(223,'Transfer Engine'!$C$2:$C$1199,0)),"",INDEX('Compliance Database'!$K$2:$K$1199,MATCH(223,'Transfer Engine'!$C$2:$C$1199,0)))</f>
        <v>This section defines payment account withdrawal services as services that enable cash withdrawals from a payment account and all operations required for operating a payment account. It clarifies the scope of withdrawal services under the directive.</v>
      </c>
      <c r="L232" s="7">
        <f>IF(ISNA(MATCH(223,'Transfer Engine'!$C$2:$C$1199,0)),"",INDEX('Compliance Database'!$L$2:$L$1199,MATCH(223,'Transfer Engine'!$C$2:$C$1199,0)))</f>
        <v>0</v>
      </c>
      <c r="M232" s="7" t="str">
        <f>IF(ISNA(MATCH(223,'Transfer Engine'!$C$2:$C$1199,0)),"",INDEX('Compliance Database'!$M$2:$M$1199,MATCH(223,'Transfer Engine'!$C$2:$C$1199,0)))</f>
        <v>• [Definition] Services enabling cash withdrawals from a payment account as well as all the operations required for operating a payment account</v>
      </c>
      <c r="N232" s="7">
        <f>IF(ISNA(MATCH(223,'Transfer Engine'!$C$2:$C$1199,0)),"",INDEX('Compliance Database'!$N$2:$N$1199,MATCH(223,'Transfer Engine'!$C$2:$C$1199,0)))</f>
        <v>0</v>
      </c>
      <c r="O232" s="7" t="str">
        <f>IF(ISNA(MATCH(223,'Transfer Engine'!$C$2:$C$1199,0)),"",INDEX('Compliance Database'!$O$2:$O$1199,MATCH(223,'Transfer Engine'!$C$2:$C$1199,0)))</f>
        <v>Services enabling cash withdrawals from a payment account as well as all the operations required for operating a payment account.</v>
      </c>
      <c r="P232" s="6" t="str">
        <f>IF(ISNA(MATCH(223,'Transfer Engine'!$C$2:$C$1199,0)),"",HYPERLINK("#Acts!A"&amp;INDEX('Compliance Database'!$P$2:$P$1199,MATCH(223,'Transfer Engine'!$C$2:$C$1199,0)),"Go to Act"))</f>
        <v>Go to Act</v>
      </c>
    </row>
    <row r="233" spans="1:16" ht="172.95" customHeight="1" x14ac:dyDescent="0.3">
      <c r="A233" s="6" t="str">
        <f>IF(ISNA(MATCH(224,'Transfer Engine'!$C$2:$C$1199,0)),"",INDEX('Compliance Database'!$A$2:$A$1199,MATCH(224,'Transfer Engine'!$C$2:$C$1199,0)))</f>
        <v>GDPR</v>
      </c>
      <c r="B233" s="6" t="str">
        <f>IF(ISNA(MATCH(224,'Transfer Engine'!$C$2:$C$1199,0)),"",INDEX('Compliance Database'!$B$2:$B$1199,MATCH(224,'Transfer Engine'!$C$2:$C$1199,0)))</f>
        <v>CELEX_32015L2366_EN_TXT (GDPR - Row 18)</v>
      </c>
      <c r="C233" s="6" t="str">
        <f>IF(ISNA(MATCH(224,'Transfer Engine'!$C$2:$C$1199,0)),"",INDEX('Compliance Database'!$C$2:$C$1199,MATCH(224,'Transfer Engine'!$C$2:$C$1199,0)))</f>
        <v>3</v>
      </c>
      <c r="D233" s="7" t="str">
        <f>IF(ISNA(MATCH(224,'Transfer Engine'!$C$2:$C$1199,0)),"",INDEX('Compliance Database'!$D$2:$D$1199,MATCH(224,'Transfer Engine'!$C$2:$C$1199,0)))</f>
        <v>Payment transaction execution definition</v>
      </c>
      <c r="E233" s="6" t="str">
        <f>IF(ISNA(MATCH(224,'Transfer Engine'!$C$2:$C$1199,0)),"",INDEX('Compliance Database'!$E$2:$E$1199,MATCH(224,'Transfer Engine'!$C$2:$C$1199,0)))</f>
        <v>2–3</v>
      </c>
      <c r="F233" s="6" t="str">
        <f>IF(ISNA(MATCH(224,'Transfer Engine'!$C$2:$C$1199,0)),"",INDEX('Compliance Database'!$F$2:$F$1199,MATCH(224,'Transfer Engine'!$C$2:$C$1199,0)))</f>
        <v>Medium</v>
      </c>
      <c r="G233" s="6" t="str">
        <f>IF(ISNA(MATCH(224,'Transfer Engine'!$C$2:$C$1199,0)),"",INDEX('Compliance Database'!$G$2:$G$1199,MATCH(224,'Transfer Engine'!$C$2:$C$1199,0)))</f>
        <v>High (explicit)</v>
      </c>
      <c r="H233" s="7">
        <f>IF(ISNA(MATCH(224,'Transfer Engine'!$C$2:$C$1199,0)),"",INDEX('Compliance Database'!$H$2:$H$1199,MATCH(224,'Transfer Engine'!$C$2:$C$1199,0)))</f>
        <v>0</v>
      </c>
      <c r="I233" s="7">
        <f>IF(ISNA(MATCH(224,'Transfer Engine'!$C$2:$C$1199,0)),"",INDEX('Compliance Database'!$I$2:$I$1199,MATCH(224,'Transfer Engine'!$C$2:$C$1199,0)))</f>
        <v>0</v>
      </c>
      <c r="J233" s="6">
        <f>IF(ISNA(MATCH(224,'Transfer Engine'!$C$2:$C$1199,0)),"",INDEX('Compliance Database'!$J$2:$J$1199,MATCH(224,'Transfer Engine'!$C$2:$C$1199,0)))</f>
        <v>0</v>
      </c>
      <c r="K233" s="7" t="str">
        <f>IF(ISNA(MATCH(224,'Transfer Engine'!$C$2:$C$1199,0)),"",INDEX('Compliance Database'!$K$2:$K$1199,MATCH(224,'Transfer Engine'!$C$2:$C$1199,0)))</f>
        <v>This section defines payment transaction execution services as services that include direct debits, payment card transactions, and credit transfers. It specifies the types of payment transactions covered under the directive.</v>
      </c>
      <c r="L233" s="7">
        <f>IF(ISNA(MATCH(224,'Transfer Engine'!$C$2:$C$1199,0)),"",INDEX('Compliance Database'!$L$2:$L$1199,MATCH(224,'Transfer Engine'!$C$2:$C$1199,0)))</f>
        <v>0</v>
      </c>
      <c r="M233" s="7" t="str">
        <f>IF(ISNA(MATCH(224,'Transfer Engine'!$C$2:$C$1199,0)),"",INDEX('Compliance Database'!$M$2:$M$1199,MATCH(224,'Transfer Engine'!$C$2:$C$1199,0)))</f>
        <v>• [Definition] Execution of payment transactions, including transfers of funds on a payment account with the user's payment service provider or with another payment service provider</v>
      </c>
      <c r="N233" s="7">
        <f>IF(ISNA(MATCH(224,'Transfer Engine'!$C$2:$C$1199,0)),"",INDEX('Compliance Database'!$N$2:$N$1199,MATCH(224,'Transfer Engine'!$C$2:$C$1199,0)))</f>
        <v>0</v>
      </c>
      <c r="O233" s="7" t="str">
        <f>IF(ISNA(MATCH(224,'Transfer Engine'!$C$2:$C$1199,0)),"",INDEX('Compliance Database'!$O$2:$O$1199,MATCH(224,'Transfer Engine'!$C$2:$C$1199,0)))</f>
        <v>Execution of payment transactions, including transfers of funds on a payment account with the user's payment service provider or with another payment service provider: (a) execution of direct debits, including one-off direct debits; (b) execution of payment transactions through a payment card or a similar device; (c) execution of credit transfers, including standing orders.</v>
      </c>
      <c r="P233" s="6" t="str">
        <f>IF(ISNA(MATCH(224,'Transfer Engine'!$C$2:$C$1199,0)),"",HYPERLINK("#Acts!A"&amp;INDEX('Compliance Database'!$P$2:$P$1199,MATCH(224,'Transfer Engine'!$C$2:$C$1199,0)),"Go to Act"))</f>
        <v>Go to Act</v>
      </c>
    </row>
    <row r="234" spans="1:16" ht="172.95" customHeight="1" x14ac:dyDescent="0.3">
      <c r="A234" s="6" t="str">
        <f>IF(ISNA(MATCH(225,'Transfer Engine'!$C$2:$C$1199,0)),"",INDEX('Compliance Database'!$A$2:$A$1199,MATCH(225,'Transfer Engine'!$C$2:$C$1199,0)))</f>
        <v>GDPR</v>
      </c>
      <c r="B234" s="6" t="str">
        <f>IF(ISNA(MATCH(225,'Transfer Engine'!$C$2:$C$1199,0)),"",INDEX('Compliance Database'!$B$2:$B$1199,MATCH(225,'Transfer Engine'!$C$2:$C$1199,0)))</f>
        <v>CELEX_32015L2366_EN_TXT (GDPR - Row 18)</v>
      </c>
      <c r="C234" s="6" t="str">
        <f>IF(ISNA(MATCH(225,'Transfer Engine'!$C$2:$C$1199,0)),"",INDEX('Compliance Database'!$C$2:$C$1199,MATCH(225,'Transfer Engine'!$C$2:$C$1199,0)))</f>
        <v>4</v>
      </c>
      <c r="D234" s="7" t="str">
        <f>IF(ISNA(MATCH(225,'Transfer Engine'!$C$2:$C$1199,0)),"",INDEX('Compliance Database'!$D$2:$D$1199,MATCH(225,'Transfer Engine'!$C$2:$C$1199,0)))</f>
        <v>Execution of payment transactions using credit lines</v>
      </c>
      <c r="E234" s="6" t="str">
        <f>IF(ISNA(MATCH(225,'Transfer Engine'!$C$2:$C$1199,0)),"",INDEX('Compliance Database'!$E$2:$E$1199,MATCH(225,'Transfer Engine'!$C$2:$C$1199,0)))</f>
        <v>4</v>
      </c>
      <c r="F234" s="6" t="str">
        <f>IF(ISNA(MATCH(225,'Transfer Engine'!$C$2:$C$1199,0)),"",INDEX('Compliance Database'!$F$2:$F$1199,MATCH(225,'Transfer Engine'!$C$2:$C$1199,0)))</f>
        <v>High</v>
      </c>
      <c r="G234" s="6" t="str">
        <f>IF(ISNA(MATCH(225,'Transfer Engine'!$C$2:$C$1199,0)),"",INDEX('Compliance Database'!$G$2:$G$1199,MATCH(225,'Transfer Engine'!$C$2:$C$1199,0)))</f>
        <v>High (explicit)</v>
      </c>
      <c r="H234" s="7" t="str">
        <f>IF(ISNA(MATCH(225,'Transfer Engine'!$C$2:$C$1199,0)),"",INDEX('Compliance Database'!$H$2:$H$1199,MATCH(225,'Transfer Engine'!$C$2:$C$1199,0)))</f>
        <v>Cross-border Transfer</v>
      </c>
      <c r="I234" s="7" t="str">
        <f>IF(ISNA(MATCH(225,'Transfer Engine'!$C$2:$C$1199,0)),"",INDEX('Compliance Database'!$I$2:$I$1199,MATCH(225,'Transfer Engine'!$C$2:$C$1199,0)))</f>
        <v>Financial Data</v>
      </c>
      <c r="J234" s="6">
        <f>IF(ISNA(MATCH(225,'Transfer Engine'!$C$2:$C$1199,0)),"",INDEX('Compliance Database'!$J$2:$J$1199,MATCH(225,'Transfer Engine'!$C$2:$C$1199,0)))</f>
        <v>0</v>
      </c>
      <c r="K234" s="7" t="str">
        <f>IF(ISNA(MATCH(225,'Transfer Engine'!$C$2:$C$1199,0)),"",INDEX('Compliance Database'!$K$2:$K$1199,MATCH(225,'Transfer Engine'!$C$2:$C$1199,0)))</f>
        <v>This section specifies payment transaction execution methods that use credit lines for payment service users. It includes direct debits, payment cards, and credit transfers. These activities are covered under the payment service framework where funds are backed by credit lines.</v>
      </c>
      <c r="L234" s="7" t="str">
        <f>IF(ISNA(MATCH(225,'Transfer Engine'!$C$2:$C$1199,0)),"",INDEX('Compliance Database'!$L$2:$L$1199,MATCH(225,'Transfer Engine'!$C$2:$C$1199,0)))</f>
        <v>This section defines payment transaction execution methods that may involve cross-border data transfers, requiring assessment of credit line mechanisms for payment services.</v>
      </c>
      <c r="M234" s="7">
        <f>IF(ISNA(MATCH(225,'Transfer Engine'!$C$2:$C$1199,0)),"",INDEX('Compliance Database'!$M$2:$M$1199,MATCH(225,'Transfer Engine'!$C$2:$C$1199,0)))</f>
        <v>0</v>
      </c>
      <c r="N234" s="7">
        <f>IF(ISNA(MATCH(225,'Transfer Engine'!$C$2:$C$1199,0)),"",INDEX('Compliance Database'!$N$2:$N$1199,MATCH(225,'Transfer Engine'!$C$2:$C$1199,0)))</f>
        <v>0</v>
      </c>
      <c r="O234" s="7" t="str">
        <f>IF(ISNA(MATCH(225,'Transfer Engine'!$C$2:$C$1199,0)),"",INDEX('Compliance Database'!$O$2:$O$1199,MATCH(225,'Transfer Engine'!$C$2:$C$1199,0)))</f>
        <v>4. Execution of payment transactions where the funds are covered by a credit line for a payment service user: (a) execution of direct debits, including one-off direct debits; (b) execution of payment transactions through a payment card or a similar device; (c) execution of credit transfers, including standing orders.</v>
      </c>
      <c r="P234" s="6" t="str">
        <f>IF(ISNA(MATCH(225,'Transfer Engine'!$C$2:$C$1199,0)),"",HYPERLINK("#Acts!A"&amp;INDEX('Compliance Database'!$P$2:$P$1199,MATCH(225,'Transfer Engine'!$C$2:$C$1199,0)),"Go to Act"))</f>
        <v>Go to Act</v>
      </c>
    </row>
    <row r="235" spans="1:16" ht="172.95" customHeight="1" x14ac:dyDescent="0.3">
      <c r="A235" s="6" t="str">
        <f>IF(ISNA(MATCH(226,'Transfer Engine'!$C$2:$C$1199,0)),"",INDEX('Compliance Database'!$A$2:$A$1199,MATCH(226,'Transfer Engine'!$C$2:$C$1199,0)))</f>
        <v>GDPR</v>
      </c>
      <c r="B235" s="6" t="str">
        <f>IF(ISNA(MATCH(226,'Transfer Engine'!$C$2:$C$1199,0)),"",INDEX('Compliance Database'!$B$2:$B$1199,MATCH(226,'Transfer Engine'!$C$2:$C$1199,0)))</f>
        <v>CELEX_32015L2366_EN_TXT (GDPR - Row 18)</v>
      </c>
      <c r="C235" s="6" t="str">
        <f>IF(ISNA(MATCH(226,'Transfer Engine'!$C$2:$C$1199,0)),"",INDEX('Compliance Database'!$C$2:$C$1199,MATCH(226,'Transfer Engine'!$C$2:$C$1199,0)))</f>
        <v>5</v>
      </c>
      <c r="D235" s="7" t="str">
        <f>IF(ISNA(MATCH(226,'Transfer Engine'!$C$2:$C$1199,0)),"",INDEX('Compliance Database'!$D$2:$D$1199,MATCH(226,'Transfer Engine'!$C$2:$C$1199,0)))</f>
        <v>Transitional period for payment service providers</v>
      </c>
      <c r="E235" s="6" t="str">
        <f>IF(ISNA(MATCH(226,'Transfer Engine'!$C$2:$C$1199,0)),"",INDEX('Compliance Database'!$E$2:$E$1199,MATCH(226,'Transfer Engine'!$C$2:$C$1199,0)))</f>
        <v>4</v>
      </c>
      <c r="F235" s="6" t="str">
        <f>IF(ISNA(MATCH(226,'Transfer Engine'!$C$2:$C$1199,0)),"",INDEX('Compliance Database'!$F$2:$F$1199,MATCH(226,'Transfer Engine'!$C$2:$C$1199,0)))</f>
        <v>High</v>
      </c>
      <c r="G235" s="6" t="str">
        <f>IF(ISNA(MATCH(226,'Transfer Engine'!$C$2:$C$1199,0)),"",INDEX('Compliance Database'!$G$2:$G$1199,MATCH(226,'Transfer Engine'!$C$2:$C$1199,0)))</f>
        <v>High (explicit)</v>
      </c>
      <c r="H235" s="7" t="str">
        <f>IF(ISNA(MATCH(226,'Transfer Engine'!$C$2:$C$1199,0)),"",INDEX('Compliance Database'!$H$2:$H$1199,MATCH(226,'Transfer Engine'!$C$2:$C$1199,0)))</f>
        <v>Cross-border Transfer</v>
      </c>
      <c r="I235" s="7" t="str">
        <f>IF(ISNA(MATCH(226,'Transfer Engine'!$C$2:$C$1199,0)),"",INDEX('Compliance Database'!$I$2:$I$1199,MATCH(226,'Transfer Engine'!$C$2:$C$1199,0)))</f>
        <v>Financial Data</v>
      </c>
      <c r="J235" s="6">
        <f>IF(ISNA(MATCH(226,'Transfer Engine'!$C$2:$C$1199,0)),"",INDEX('Compliance Database'!$J$2:$J$1199,MATCH(226,'Transfer Engine'!$C$2:$C$1199,0)))</f>
        <v>0</v>
      </c>
      <c r="K235" s="7" t="str">
        <f>IF(ISNA(MATCH(226,'Transfer Engine'!$C$2:$C$1199,0)),"",INDEX('Compliance Database'!$K$2:$K$1199,MATCH(226,'Transfer Engine'!$C$2:$C$1199,0)))</f>
        <v>Member States cannot prohibit payment service providers that were active before January 12, 2016, from continuing their operations during a transitional period. This transitional period allows providers to maintain their services under existing regulatory frameworks until they comply with new standards.</v>
      </c>
      <c r="L235" s="7" t="str">
        <f>IF(ISNA(MATCH(226,'Transfer Engine'!$C$2:$C$1199,0)),"",INDEX('Compliance Database'!$L$2:$L$1199,MATCH(226,'Transfer Engine'!$C$2:$C$1199,0)))</f>
        <v>This section ensures payment service providers can continue operations during a transitional period without being blocked from cross-border data transfers, which is critical for DTIA planning in the early stages of implementation.</v>
      </c>
      <c r="M235" s="7" t="str">
        <f>IF(ISNA(MATCH(226,'Transfer Engine'!$C$2:$C$1199,0)),"",INDEX('Compliance Database'!$M$2:$M$1199,MATCH(226,'Transfer Engine'!$C$2:$C$1199,0)))</f>
        <v>• [Must Not] Member States shall not forbid legal persons that have performed in their territories, before 12 January 2016, activities of payment initiation service providers and account information service providers</v>
      </c>
      <c r="N235" s="7" t="str">
        <f>IF(ISNA(MATCH(226,'Transfer Engine'!$C$2:$C$1199,0)),"",INDEX('Compliance Database'!$N$2:$N$1199,MATCH(226,'Transfer Engine'!$C$2:$C$1199,0)))</f>
        <v>• [Must] to continue to perform the same activities in their territories during the transitional period referred to in paragraphs 2 and 4 in accordance with the currently applicable regulatory framework</v>
      </c>
      <c r="O235" s="7" t="str">
        <f>IF(ISNA(MATCH(226,'Transfer Engine'!$C$2:$C$1199,0)),"",INDEX('Compliance Database'!$O$2:$O$1199,MATCH(226,'Transfer Engine'!$C$2:$C$1199,0)))</f>
        <v>Member States shall not forbid legal persons that have performed in their territories, before 12 January 2016, activities of payment initiation service providers and account information service providers within the meaning of this Directive, to continue to perform the same activities in their territories during the transitional period referred to in paragraphs 2 and 4 in accordance with the currently applicable regulatory framework.</v>
      </c>
      <c r="P235" s="6" t="str">
        <f>IF(ISNA(MATCH(226,'Transfer Engine'!$C$2:$C$1199,0)),"",HYPERLINK("#Acts!A"&amp;INDEX('Compliance Database'!$P$2:$P$1199,MATCH(226,'Transfer Engine'!$C$2:$C$1199,0)),"Go to Act"))</f>
        <v>Go to Act</v>
      </c>
    </row>
    <row r="236" spans="1:16" ht="172.95" customHeight="1" x14ac:dyDescent="0.3">
      <c r="A236" s="6" t="str">
        <f>IF(ISNA(MATCH(227,'Transfer Engine'!$C$2:$C$1199,0)),"",INDEX('Compliance Database'!$A$2:$A$1199,MATCH(227,'Transfer Engine'!$C$2:$C$1199,0)))</f>
        <v>GDPR</v>
      </c>
      <c r="B236" s="6" t="str">
        <f>IF(ISNA(MATCH(227,'Transfer Engine'!$C$2:$C$1199,0)),"",INDEX('Compliance Database'!$B$2:$B$1199,MATCH(227,'Transfer Engine'!$C$2:$C$1199,0)))</f>
        <v>CELEX_32015L2366_EN_TXT (GDPR - Row 18)</v>
      </c>
      <c r="C236" s="6" t="str">
        <f>IF(ISNA(MATCH(227,'Transfer Engine'!$C$2:$C$1199,0)),"",INDEX('Compliance Database'!$C$2:$C$1199,MATCH(227,'Transfer Engine'!$C$2:$C$1199,0)))</f>
        <v>6</v>
      </c>
      <c r="D236" s="7" t="str">
        <f>IF(ISNA(MATCH(227,'Transfer Engine'!$C$2:$C$1199,0)),"",INDEX('Compliance Database'!$D$2:$D$1199,MATCH(227,'Transfer Engine'!$C$2:$C$1199,0)))</f>
        <v>Preventing payment service abuse during transition</v>
      </c>
      <c r="E236" s="6" t="str">
        <f>IF(ISNA(MATCH(227,'Transfer Engine'!$C$2:$C$1199,0)),"",INDEX('Compliance Database'!$E$2:$E$1199,MATCH(227,'Transfer Engine'!$C$2:$C$1199,0)))</f>
        <v>7</v>
      </c>
      <c r="F236" s="6" t="str">
        <f>IF(ISNA(MATCH(227,'Transfer Engine'!$C$2:$C$1199,0)),"",INDEX('Compliance Database'!$F$2:$F$1199,MATCH(227,'Transfer Engine'!$C$2:$C$1199,0)))</f>
        <v>High</v>
      </c>
      <c r="G236" s="6" t="str">
        <f>IF(ISNA(MATCH(227,'Transfer Engine'!$C$2:$C$1199,0)),"",INDEX('Compliance Database'!$G$2:$G$1199,MATCH(227,'Transfer Engine'!$C$2:$C$1199,0)))</f>
        <v>High (explicit)</v>
      </c>
      <c r="H236" s="7" t="str">
        <f>IF(ISNA(MATCH(227,'Transfer Engine'!$C$2:$C$1199,0)),"",INDEX('Compliance Database'!$H$2:$H$1199,MATCH(227,'Transfer Engine'!$C$2:$C$1199,0)))</f>
        <v>Security</v>
      </c>
      <c r="I236" s="7" t="str">
        <f>IF(ISNA(MATCH(227,'Transfer Engine'!$C$2:$C$1199,0)),"",INDEX('Compliance Database'!$I$2:$I$1199,MATCH(227,'Transfer Engine'!$C$2:$C$1199,0)))</f>
        <v>Financial Data</v>
      </c>
      <c r="J236" s="6">
        <f>IF(ISNA(MATCH(227,'Transfer Engine'!$C$2:$C$1199,0)),"",INDEX('Compliance Database'!$J$2:$J$1199,MATCH(227,'Transfer Engine'!$C$2:$C$1199,0)))</f>
        <v>0</v>
      </c>
      <c r="K236" s="7" t="str">
        <f>IF(ISNA(MATCH(227,'Transfer Engine'!$C$2:$C$1199,0)),"",INDEX('Compliance Database'!$K$2:$K$1199,MATCH(227,'Transfer Engine'!$C$2:$C$1199,0)))</f>
        <v>Member States must prevent payment service providers from blocking or obstructing payment services for accounts they service if they are not yet compliant with regulatory technical standards. This ensures uninterrupted access to payment services during the transition period.</v>
      </c>
      <c r="L236" s="7" t="str">
        <f>IF(ISNA(MATCH(227,'Transfer Engine'!$C$2:$C$1199,0)),"",INDEX('Compliance Database'!$L$2:$L$1199,MATCH(227,'Transfer Engine'!$C$2:$C$1199,0)))</f>
        <v>This section addresses the risk of payment service providers abusing non-compliance to disrupt services, which is critical for DTIA to ensure continuous data flow and service availability during regulatory transitions.</v>
      </c>
      <c r="M236" s="7" t="str">
        <f>IF(ISNA(MATCH(227,'Transfer Engine'!$C$2:$C$1199,0)),"",INDEX('Compliance Database'!$M$2:$M$1199,MATCH(227,'Transfer Engine'!$C$2:$C$1199,0)))</f>
        <v>• [Must] Member States shall ensure that until individual account servicing payment service providers comply with the regulatory technical standards referred to in paragraph 4</v>
      </c>
      <c r="N236" s="7" t="str">
        <f>IF(ISNA(MATCH(227,'Transfer Engine'!$C$2:$C$1199,0)),"",INDEX('Compliance Database'!$N$2:$N$1199,MATCH(227,'Transfer Engine'!$C$2:$C$1199,0)))</f>
        <v>• [Must Not] account servicing payment service providers do not abuse their non-compliance to block or obstruct the use of payment initiation and account information services for the accounts that they are servicing</v>
      </c>
      <c r="O236" s="7" t="str">
        <f>IF(ISNA(MATCH(227,'Transfer Engine'!$C$2:$C$1199,0)),"",INDEX('Compliance Database'!$O$2:$O$1199,MATCH(227,'Transfer Engine'!$C$2:$C$1199,0)))</f>
        <v>Member States shall ensure that until individual account servicing payment service providers comply with the regulatory technical standards referred to in paragraph 4, account servicing payment service providers do not abuse their non-compliance to block or obstruct the use of payment initiation and account information services for the accounts that they are servicing.</v>
      </c>
      <c r="P236" s="6" t="str">
        <f>IF(ISNA(MATCH(227,'Transfer Engine'!$C$2:$C$1199,0)),"",HYPERLINK("#Acts!A"&amp;INDEX('Compliance Database'!$P$2:$P$1199,MATCH(227,'Transfer Engine'!$C$2:$C$1199,0)),"Go to Act"))</f>
        <v>Go to Act</v>
      </c>
    </row>
    <row r="237" spans="1:16" ht="172.95" customHeight="1" x14ac:dyDescent="0.3">
      <c r="A237" s="6" t="str">
        <f>IF(ISNA(MATCH(228,'Transfer Engine'!$C$2:$C$1199,0)),"",INDEX('Compliance Database'!$A$2:$A$1199,MATCH(228,'Transfer Engine'!$C$2:$C$1199,0)))</f>
        <v>GDPR</v>
      </c>
      <c r="B237" s="6" t="str">
        <f>IF(ISNA(MATCH(228,'Transfer Engine'!$C$2:$C$1199,0)),"",INDEX('Compliance Database'!$B$2:$B$1199,MATCH(228,'Transfer Engine'!$C$2:$C$1199,0)))</f>
        <v>CELEX_32018L1673_EN_TXT (GDPR - Row 2)</v>
      </c>
      <c r="C237" s="6" t="str">
        <f>IF(ISNA(MATCH(228,'Transfer Engine'!$C$2:$C$1199,0)),"",INDEX('Compliance Database'!$C$2:$C$1199,MATCH(228,'Transfer Engine'!$C$2:$C$1199,0)))</f>
        <v>1</v>
      </c>
      <c r="D237" s="7" t="str">
        <f>IF(ISNA(MATCH(228,'Transfer Engine'!$C$2:$C$1199,0)),"",INDEX('Compliance Database'!$D$2:$D$1199,MATCH(228,'Transfer Engine'!$C$2:$C$1199,0)))</f>
        <v>Member States must implement GDPR-compliant laws by deadline</v>
      </c>
      <c r="E237" s="6" t="str">
        <f>IF(ISNA(MATCH(228,'Transfer Engine'!$C$2:$C$1199,0)),"",INDEX('Compliance Database'!$E$2:$E$1199,MATCH(228,'Transfer Engine'!$C$2:$C$1199,0)))</f>
        <v>4–5</v>
      </c>
      <c r="F237" s="6" t="str">
        <f>IF(ISNA(MATCH(228,'Transfer Engine'!$C$2:$C$1199,0)),"",INDEX('Compliance Database'!$F$2:$F$1199,MATCH(228,'Transfer Engine'!$C$2:$C$1199,0)))</f>
        <v>Medium</v>
      </c>
      <c r="G237" s="6" t="str">
        <f>IF(ISNA(MATCH(228,'Transfer Engine'!$C$2:$C$1199,0)),"",INDEX('Compliance Database'!$G$2:$G$1199,MATCH(228,'Transfer Engine'!$C$2:$C$1199,0)))</f>
        <v>High (explicit)</v>
      </c>
      <c r="H237" s="7" t="str">
        <f>IF(ISNA(MATCH(228,'Transfer Engine'!$C$2:$C$1199,0)),"",INDEX('Compliance Database'!$H$2:$H$1199,MATCH(228,'Transfer Engine'!$C$2:$C$1199,0)))</f>
        <v>Cross-border Transfer, Governance, Record Keeping</v>
      </c>
      <c r="I237" s="7" t="str">
        <f>IF(ISNA(MATCH(228,'Transfer Engine'!$C$2:$C$1199,0)),"",INDEX('Compliance Database'!$I$2:$I$1199,MATCH(228,'Transfer Engine'!$C$2:$C$1199,0)))</f>
        <v>Personal Information</v>
      </c>
      <c r="J237" s="6" t="str">
        <f>IF(ISNA(MATCH(228,'Transfer Engine'!$C$2:$C$1199,0)),"",INDEX('Compliance Database'!$J$2:$J$1199,MATCH(228,'Transfer Engine'!$C$2:$C$1199,0)))</f>
        <v>European Commission</v>
      </c>
      <c r="K237" s="7" t="str">
        <f>IF(ISNA(MATCH(228,'Transfer Engine'!$C$2:$C$1199,0)),"",INDEX('Compliance Database'!$K$2:$K$1199,MATCH(228,'Transfer Engine'!$C$2:$C$1199,0)))</f>
        <v>Member States are required to enact national laws, regulations, and administrative provisions that comply with the GDPR by 3 December 2020. They must immediately notify the European Commission of these measures and ensure their official publications include a reference to this Directive. Member States must also establish methods for making such references.</v>
      </c>
      <c r="L237" s="7" t="str">
        <f>IF(ISNA(MATCH(228,'Transfer Engine'!$C$2:$C$1199,0)),"",INDEX('Compliance Database'!$L$2:$L$1199,MATCH(228,'Transfer Engine'!$C$2:$C$1199,0)))</f>
        <v>This section establishes a deadline for Member States to implement GDPR-compliant laws, which affects the timeline for data transfer impact assessments in national jurisdictions.</v>
      </c>
      <c r="M237" s="7" t="str">
        <f>IF(ISNA(MATCH(228,'Transfer Engine'!$C$2:$C$1199,0)),"",INDEX('Compliance Database'!$M$2:$M$1199,MATCH(228,'Transfer Engine'!$C$2:$C$1199,0)))</f>
        <v>• [Must] Member States must enact national laws, regulations, and administrative provisions compliant with this Directive by 3 December 2020
• [Must] Member States must immediately inform the Commission of these measures</v>
      </c>
      <c r="N237" s="7" t="str">
        <f>IF(ISNA(MATCH(228,'Transfer Engine'!$C$2:$C$1199,0)),"",INDEX('Compliance Database'!$N$2:$N$1199,MATCH(228,'Transfer Engine'!$C$2:$C$1199,0)))</f>
        <v>• [Must] Member States must ensure official publications include a reference to this Directive
• [Must] Member States must establish methods for making such references</v>
      </c>
      <c r="O237" s="7" t="str">
        <f>IF(ISNA(MATCH(228,'Transfer Engine'!$C$2:$C$1199,0)),"",INDEX('Compliance Database'!$O$2:$O$1199,MATCH(228,'Transfer Engine'!$C$2:$C$1199,0)))</f>
        <v>Member States shall bring into force the laws, regulations and administrative provisions necessary to comply with this Directive by 3 December 2020. They shall immediately inform the Commission thereof.</v>
      </c>
      <c r="P237" s="6" t="str">
        <f>IF(ISNA(MATCH(228,'Transfer Engine'!$C$2:$C$1199,0)),"",HYPERLINK("#Acts!A"&amp;INDEX('Compliance Database'!$P$2:$P$1199,MATCH(228,'Transfer Engine'!$C$2:$C$1199,0)),"Go to Act"))</f>
        <v>Go to Act</v>
      </c>
    </row>
    <row r="238" spans="1:16" ht="172.95" customHeight="1" x14ac:dyDescent="0.3">
      <c r="A238" s="6" t="str">
        <f>IF(ISNA(MATCH(229,'Transfer Engine'!$C$2:$C$1199,0)),"",INDEX('Compliance Database'!$A$2:$A$1199,MATCH(229,'Transfer Engine'!$C$2:$C$1199,0)))</f>
        <v>GDPR</v>
      </c>
      <c r="B238" s="6" t="str">
        <f>IF(ISNA(MATCH(229,'Transfer Engine'!$C$2:$C$1199,0)),"",INDEX('Compliance Database'!$B$2:$B$1199,MATCH(229,'Transfer Engine'!$C$2:$C$1199,0)))</f>
        <v>CELEX_32018L1673_EN_TXT (GDPR - Row 2)</v>
      </c>
      <c r="C238" s="6" t="str">
        <f>IF(ISNA(MATCH(229,'Transfer Engine'!$C$2:$C$1199,0)),"",INDEX('Compliance Database'!$C$2:$C$1199,MATCH(229,'Transfer Engine'!$C$2:$C$1199,0)))</f>
        <v>2</v>
      </c>
      <c r="D238" s="7" t="str">
        <f>IF(ISNA(MATCH(229,'Transfer Engine'!$C$2:$C$1199,0)),"",INDEX('Compliance Database'!$D$2:$D$1199,MATCH(229,'Transfer Engine'!$C$2:$C$1199,0)))</f>
        <v>Member States report national law provisions to Commission</v>
      </c>
      <c r="E238" s="6" t="str">
        <f>IF(ISNA(MATCH(229,'Transfer Engine'!$C$2:$C$1199,0)),"",INDEX('Compliance Database'!$E$2:$E$1199,MATCH(229,'Transfer Engine'!$C$2:$C$1199,0)))</f>
        <v>5–6</v>
      </c>
      <c r="F238" s="6" t="str">
        <f>IF(ISNA(MATCH(229,'Transfer Engine'!$C$2:$C$1199,0)),"",INDEX('Compliance Database'!$F$2:$F$1199,MATCH(229,'Transfer Engine'!$C$2:$C$1199,0)))</f>
        <v>Medium</v>
      </c>
      <c r="G238" s="6" t="str">
        <f>IF(ISNA(MATCH(229,'Transfer Engine'!$C$2:$C$1199,0)),"",INDEX('Compliance Database'!$G$2:$G$1199,MATCH(229,'Transfer Engine'!$C$2:$C$1199,0)))</f>
        <v>High (explicit)</v>
      </c>
      <c r="H238" s="7" t="str">
        <f>IF(ISNA(MATCH(229,'Transfer Engine'!$C$2:$C$1199,0)),"",INDEX('Compliance Database'!$H$2:$H$1199,MATCH(229,'Transfer Engine'!$C$2:$C$1199,0)))</f>
        <v>Cross-border Transfer, Governance, Record Keeping</v>
      </c>
      <c r="I238" s="7" t="str">
        <f>IF(ISNA(MATCH(229,'Transfer Engine'!$C$2:$C$1199,0)),"",INDEX('Compliance Database'!$I$2:$I$1199,MATCH(229,'Transfer Engine'!$C$2:$C$1199,0)))</f>
        <v>Personal Information</v>
      </c>
      <c r="J238" s="6" t="str">
        <f>IF(ISNA(MATCH(229,'Transfer Engine'!$C$2:$C$1199,0)),"",INDEX('Compliance Database'!$J$2:$J$1199,MATCH(229,'Transfer Engine'!$C$2:$C$1199,0)))</f>
        <v>European Commission</v>
      </c>
      <c r="K238" s="7" t="str">
        <f>IF(ISNA(MATCH(229,'Transfer Engine'!$C$2:$C$1199,0)),"",INDEX('Compliance Database'!$K$2:$K$1199,MATCH(229,'Transfer Engine'!$C$2:$C$1199,0)))</f>
        <v>Member States must communicate the text of their main national law provisions adopted in the field covered by this Directive to the European Commission. This section also outlines reporting timelines for the Commission to assess Member States' compliance with the Directive by 2022 and 2023, including potential legislative amendments based on Member States' information.</v>
      </c>
      <c r="L238" s="7" t="str">
        <f>IF(ISNA(MATCH(229,'Transfer Engine'!$C$2:$C$1199,0)),"",INDEX('Compliance Database'!$L$2:$L$1199,MATCH(229,'Transfer Engine'!$C$2:$C$1199,0)))</f>
        <v>This section requires Member States to report national law provisions to the Commission, which impacts the transparency and accountability of data transfer mechanisms across borders.</v>
      </c>
      <c r="M238" s="7" t="str">
        <f>IF(ISNA(MATCH(229,'Transfer Engine'!$C$2:$C$1199,0)),"",INDEX('Compliance Database'!$M$2:$M$1199,MATCH(229,'Transfer Engine'!$C$2:$C$1199,0)))</f>
        <v>• [Must] Member States must communicate the text of their main national law provisions to the Commission
• [Must] Commission shall submit a report to the European Parliament and Council by 3 December 2022 assessing Member States' compliance with this Directive</v>
      </c>
      <c r="N238" s="7" t="str">
        <f>IF(ISNA(MATCH(229,'Transfer Engine'!$C$2:$C$1199,0)),"",INDEX('Compliance Database'!$N$2:$N$1199,MATCH(229,'Transfer Engine'!$C$2:$C$1199,0)))</f>
        <v>• [Must] Commission shall submit a report to the European Parliament and Council by 3 December 2023 assessing the added value of this Directive for combating money laundering and impact on fundamental rights
• [May] Commission may present a legislative proposal to amend this Directive based on the reports</v>
      </c>
      <c r="O238" s="7" t="str">
        <f>IF(ISNA(MATCH(229,'Transfer Engine'!$C$2:$C$1199,0)),"",INDEX('Compliance Database'!$O$2:$O$1199,MATCH(229,'Transfer Engine'!$C$2:$C$1199,0)))</f>
        <v>Member States shall communicate to the Commission the text of the main provisions of national law which they adopt in the field covered by this Directive.</v>
      </c>
      <c r="P238" s="6" t="str">
        <f>IF(ISNA(MATCH(229,'Transfer Engine'!$C$2:$C$1199,0)),"",HYPERLINK("#Acts!A"&amp;INDEX('Compliance Database'!$P$2:$P$1199,MATCH(229,'Transfer Engine'!$C$2:$C$1199,0)),"Go to Act"))</f>
        <v>Go to Act</v>
      </c>
    </row>
    <row r="239" spans="1:16" ht="172.95" customHeight="1" x14ac:dyDescent="0.3">
      <c r="A239" s="6" t="str">
        <f>IF(ISNA(MATCH(230,'Transfer Engine'!$C$2:$C$1199,0)),"",INDEX('Compliance Database'!$A$2:$A$1199,MATCH(230,'Transfer Engine'!$C$2:$C$1199,0)))</f>
        <v>GDPR</v>
      </c>
      <c r="B239" s="6" t="str">
        <f>IF(ISNA(MATCH(230,'Transfer Engine'!$C$2:$C$1199,0)),"",INDEX('Compliance Database'!$B$2:$B$1199,MATCH(230,'Transfer Engine'!$C$2:$C$1199,0)))</f>
        <v>CELEX_32018L1673_EN_TXT (GDPR - Row 2)</v>
      </c>
      <c r="C239" s="6" t="str">
        <f>IF(ISNA(MATCH(230,'Transfer Engine'!$C$2:$C$1199,0)),"",INDEX('Compliance Database'!$C$2:$C$1199,MATCH(230,'Transfer Engine'!$C$2:$C$1199,0)))</f>
        <v>3</v>
      </c>
      <c r="D239" s="7" t="str">
        <f>IF(ISNA(MATCH(230,'Transfer Engine'!$C$2:$C$1199,0)),"",INDEX('Compliance Database'!$D$2:$D$1199,MATCH(230,'Transfer Engine'!$C$2:$C$1199,0)))</f>
        <v>Cooperation in multi-member state jurisdiction</v>
      </c>
      <c r="E239" s="6" t="str">
        <f>IF(ISNA(MATCH(230,'Transfer Engine'!$C$2:$C$1199,0)),"",INDEX('Compliance Database'!$E$2:$E$1199,MATCH(230,'Transfer Engine'!$C$2:$C$1199,0)))</f>
        <v>7</v>
      </c>
      <c r="F239" s="6" t="str">
        <f>IF(ISNA(MATCH(230,'Transfer Engine'!$C$2:$C$1199,0)),"",INDEX('Compliance Database'!$F$2:$F$1199,MATCH(230,'Transfer Engine'!$C$2:$C$1199,0)))</f>
        <v>None</v>
      </c>
      <c r="G239" s="6" t="str">
        <f>IF(ISNA(MATCH(230,'Transfer Engine'!$C$2:$C$1199,0)),"",INDEX('Compliance Database'!$G$2:$G$1199,MATCH(230,'Transfer Engine'!$C$2:$C$1199,0)))</f>
        <v>High (explicit)</v>
      </c>
      <c r="H239" s="7">
        <f>IF(ISNA(MATCH(230,'Transfer Engine'!$C$2:$C$1199,0)),"",INDEX('Compliance Database'!$H$2:$H$1199,MATCH(230,'Transfer Engine'!$C$2:$C$1199,0)))</f>
        <v>0</v>
      </c>
      <c r="I239" s="7">
        <f>IF(ISNA(MATCH(230,'Transfer Engine'!$C$2:$C$1199,0)),"",INDEX('Compliance Database'!$I$2:$I$1199,MATCH(230,'Transfer Engine'!$C$2:$C$1199,0)))</f>
        <v>0</v>
      </c>
      <c r="J239" s="6">
        <f>IF(ISNA(MATCH(230,'Transfer Engine'!$C$2:$C$1199,0)),"",INDEX('Compliance Database'!$J$2:$J$1199,MATCH(230,'Transfer Engine'!$C$2:$C$1199,0)))</f>
        <v>0</v>
      </c>
      <c r="K239" s="7" t="str">
        <f>IF(ISNA(MATCH(230,'Transfer Engine'!$C$2:$C$1199,0)),"",INDEX('Compliance Database'!$K$2:$K$1199,MATCH(230,'Transfer Engine'!$C$2:$C$1199,0)))</f>
        <v>When multiple Member States have jurisdiction over the same offence, they must cooperate to decide which state will prosecute the offender, considering factors like offence territory, offender nationality/residency, victim country, and offender location. The matter may be referred to Eurojust for centralized proceedings.</v>
      </c>
      <c r="L239" s="7">
        <f>IF(ISNA(MATCH(230,'Transfer Engine'!$C$2:$C$1199,0)),"",INDEX('Compliance Database'!$L$2:$L$1199,MATCH(230,'Transfer Engine'!$C$2:$C$1199,0)))</f>
        <v>0</v>
      </c>
      <c r="M239" s="7" t="str">
        <f>IF(ISNA(MATCH(230,'Transfer Engine'!$C$2:$C$1199,0)),"",INDEX('Compliance Database'!$M$2:$M$1199,MATCH(230,'Transfer Engine'!$C$2:$C$1199,0)))</f>
        <v>• [Must] Member States concerned shall cooperate to decide which will prosecute the offender when multiple Member States have jurisdiction
• [Must] Account shall be taken of offence territory, offender nationality/residency, victim country, and offender location</v>
      </c>
      <c r="N239" s="7" t="str">
        <f>IF(ISNA(MATCH(230,'Transfer Engine'!$C$2:$C$1199,0)),"",INDEX('Compliance Database'!$N$2:$N$1199,MATCH(230,'Transfer Engine'!$C$2:$C$1199,0)))</f>
        <v>• [Must] The matter shall be referred to Eurojust where appropriate and in accordance with Article 12 of Framework Decision 2009/948/JHA</v>
      </c>
      <c r="O239" s="7" t="str">
        <f>IF(ISNA(MATCH(230,'Transfer Engine'!$C$2:$C$1199,0)),"",INDEX('Compliance Database'!$O$2:$O$1199,MATCH(230,'Transfer Engine'!$C$2:$C$1199,0)))</f>
        <v>Where an offence referred to in Articles 3 and 4 falls within the jurisdiction of more than one Member State and where any of the Member States concerned can validly prosecute on the basis of the same facts, the Member States concerned shall cooperate in order to decide which of them will prosecute the offender, with the aim of centralising proceedings in a single Member State.</v>
      </c>
      <c r="P239" s="6" t="str">
        <f>IF(ISNA(MATCH(230,'Transfer Engine'!$C$2:$C$1199,0)),"",HYPERLINK("#Acts!A"&amp;INDEX('Compliance Database'!$P$2:$P$1199,MATCH(230,'Transfer Engine'!$C$2:$C$1199,0)),"Go to Act"))</f>
        <v>Go to Act</v>
      </c>
    </row>
    <row r="240" spans="1:16" ht="172.95" customHeight="1" x14ac:dyDescent="0.3">
      <c r="A240" s="6" t="str">
        <f>IF(ISNA(MATCH(231,'Transfer Engine'!$C$2:$C$1199,0)),"",INDEX('Compliance Database'!$A$2:$A$1199,MATCH(231,'Transfer Engine'!$C$2:$C$1199,0)))</f>
        <v>GDPR</v>
      </c>
      <c r="B240" s="6" t="str">
        <f>IF(ISNA(MATCH(231,'Transfer Engine'!$C$2:$C$1199,0)),"",INDEX('Compliance Database'!$B$2:$B$1199,MATCH(231,'Transfer Engine'!$C$2:$C$1199,0)))</f>
        <v>CELEX_32018L1673_EN_TXT (GDPR - Row 2)</v>
      </c>
      <c r="C240" s="6" t="str">
        <f>IF(ISNA(MATCH(231,'Transfer Engine'!$C$2:$C$1199,0)),"",INDEX('Compliance Database'!$C$2:$C$1199,MATCH(231,'Transfer Engine'!$C$2:$C$1199,0)))</f>
        <v>4</v>
      </c>
      <c r="D240" s="7" t="str">
        <f>IF(ISNA(MATCH(231,'Transfer Engine'!$C$2:$C$1199,0)),"",INDEX('Compliance Database'!$D$2:$D$1199,MATCH(231,'Transfer Engine'!$C$2:$C$1199,0)))</f>
        <v>Additional aggravating circumstances for financial crimes</v>
      </c>
      <c r="E240" s="6" t="str">
        <f>IF(ISNA(MATCH(231,'Transfer Engine'!$C$2:$C$1199,0)),"",INDEX('Compliance Database'!$E$2:$E$1199,MATCH(231,'Transfer Engine'!$C$2:$C$1199,0)))</f>
        <v>7</v>
      </c>
      <c r="F240" s="6" t="str">
        <f>IF(ISNA(MATCH(231,'Transfer Engine'!$C$2:$C$1199,0)),"",INDEX('Compliance Database'!$F$2:$F$1199,MATCH(231,'Transfer Engine'!$C$2:$C$1199,0)))</f>
        <v>High</v>
      </c>
      <c r="G240" s="6" t="str">
        <f>IF(ISNA(MATCH(231,'Transfer Engine'!$C$2:$C$1199,0)),"",INDEX('Compliance Database'!$G$2:$G$1199,MATCH(231,'Transfer Engine'!$C$2:$C$1199,0)))</f>
        <v>High (explicit)</v>
      </c>
      <c r="H240" s="7">
        <f>IF(ISNA(MATCH(231,'Transfer Engine'!$C$2:$C$1199,0)),"",INDEX('Compliance Database'!$H$2:$H$1199,MATCH(231,'Transfer Engine'!$C$2:$C$1199,0)))</f>
        <v>0</v>
      </c>
      <c r="I240" s="7" t="str">
        <f>IF(ISNA(MATCH(231,'Transfer Engine'!$C$2:$C$1199,0)),"",INDEX('Compliance Database'!$I$2:$I$1199,MATCH(231,'Transfer Engine'!$C$2:$C$1199,0)))</f>
        <v>Financial Data</v>
      </c>
      <c r="J240" s="6">
        <f>IF(ISNA(MATCH(231,'Transfer Engine'!$C$2:$C$1199,0)),"",INDEX('Compliance Database'!$J$2:$J$1199,MATCH(231,'Transfer Engine'!$C$2:$C$1199,0)))</f>
        <v>0</v>
      </c>
      <c r="K240" s="7" t="str">
        <f>IF(ISNA(MATCH(231,'Transfer Engine'!$C$2:$C$1199,0)),"",INDEX('Compliance Database'!$K$2:$K$1199,MATCH(231,'Transfer Engine'!$C$2:$C$1199,0)))</f>
        <v>Member States may establish aggravating circumstances for financial crimes, including the value of laundered property or its origin from specific offences. These circumstances can lead to enhanced penalties for money laundering activities.</v>
      </c>
      <c r="L240" s="7" t="str">
        <f>IF(ISNA(MATCH(231,'Transfer Engine'!$C$2:$C$1199,0)),"",INDEX('Compliance Database'!$L$2:$L$1199,MATCH(231,'Transfer Engine'!$C$2:$C$1199,0)))</f>
        <v>This section allows Member States to define additional aggravating factors for financial crimes, which may influence DTIA assessments for cross-border money laundering risks.</v>
      </c>
      <c r="M240" s="7" t="str">
        <f>IF(ISNA(MATCH(231,'Transfer Engine'!$C$2:$C$1199,0)),"",INDEX('Compliance Database'!$M$2:$M$1199,MATCH(231,'Transfer Engine'!$C$2:$C$1199,0)))</f>
        <v>• [May] Member States may provide that the following circumstances are regarded as aggravating: (a) laundered property of considerable value; (b) laundered property derives from specific offences</v>
      </c>
      <c r="N240" s="7">
        <f>IF(ISNA(MATCH(231,'Transfer Engine'!$C$2:$C$1199,0)),"",INDEX('Compliance Database'!$N$2:$N$1199,MATCH(231,'Transfer Engine'!$C$2:$C$1199,0)))</f>
        <v>0</v>
      </c>
      <c r="O240" s="7" t="str">
        <f>IF(ISNA(MATCH(231,'Transfer Engine'!$C$2:$C$1199,0)),"",INDEX('Compliance Database'!$O$2:$O$1199,MATCH(231,'Transfer Engine'!$C$2:$C$1199,0)))</f>
        <v>Member States may provide that, in relation to the offences referred to in Article 3(1) and (5) and Article 4, the following circumstances are to be regarded as aggravating circumstances: (a) the laundered property is of considerable value; or (b) the laundered property derives from one of the offences referred to in points (a) to (e) and (h) of point (1) of Article 2.</v>
      </c>
      <c r="P240" s="6" t="str">
        <f>IF(ISNA(MATCH(231,'Transfer Engine'!$C$2:$C$1199,0)),"",HYPERLINK("#Acts!A"&amp;INDEX('Compliance Database'!$P$2:$P$1199,MATCH(231,'Transfer Engine'!$C$2:$C$1199,0)),"Go to Act"))</f>
        <v>Go to Act</v>
      </c>
    </row>
    <row r="241" spans="1:16" ht="172.95" customHeight="1" x14ac:dyDescent="0.3">
      <c r="A241" s="6" t="str">
        <f>IF(ISNA(MATCH(232,'Transfer Engine'!$C$2:$C$1199,0)),"",INDEX('Compliance Database'!$A$2:$A$1199,MATCH(232,'Transfer Engine'!$C$2:$C$1199,0)))</f>
        <v>GDPR</v>
      </c>
      <c r="B241" s="6" t="str">
        <f>IF(ISNA(MATCH(232,'Transfer Engine'!$C$2:$C$1199,0)),"",INDEX('Compliance Database'!$B$2:$B$1199,MATCH(232,'Transfer Engine'!$C$2:$C$1199,0)))</f>
        <v>CELEX_32018L1673_EN_TXT (GDPR - Row 2)</v>
      </c>
      <c r="C241" s="6" t="str">
        <f>IF(ISNA(MATCH(232,'Transfer Engine'!$C$2:$C$1199,0)),"",INDEX('Compliance Database'!$C$2:$C$1199,MATCH(232,'Transfer Engine'!$C$2:$C$1199,0)))</f>
        <v>5</v>
      </c>
      <c r="D241" s="7" t="str">
        <f>IF(ISNA(MATCH(232,'Transfer Engine'!$C$2:$C$1199,0)),"",INDEX('Compliance Database'!$D$2:$D$1199,MATCH(232,'Transfer Engine'!$C$2:$C$1199,0)))</f>
        <v>Criminal penalties for specific financial offences</v>
      </c>
      <c r="E241" s="6" t="str">
        <f>IF(ISNA(MATCH(232,'Transfer Engine'!$C$2:$C$1199,0)),"",INDEX('Compliance Database'!$E$2:$E$1199,MATCH(232,'Transfer Engine'!$C$2:$C$1199,0)))</f>
        <v>7</v>
      </c>
      <c r="F241" s="6" t="str">
        <f>IF(ISNA(MATCH(232,'Transfer Engine'!$C$2:$C$1199,0)),"",INDEX('Compliance Database'!$F$2:$F$1199,MATCH(232,'Transfer Engine'!$C$2:$C$1199,0)))</f>
        <v>High</v>
      </c>
      <c r="G241" s="6" t="str">
        <f>IF(ISNA(MATCH(232,'Transfer Engine'!$C$2:$C$1199,0)),"",INDEX('Compliance Database'!$G$2:$G$1199,MATCH(232,'Transfer Engine'!$C$2:$C$1199,0)))</f>
        <v>High (explicit)</v>
      </c>
      <c r="H241" s="7">
        <f>IF(ISNA(MATCH(232,'Transfer Engine'!$C$2:$C$1199,0)),"",INDEX('Compliance Database'!$H$2:$H$1199,MATCH(232,'Transfer Engine'!$C$2:$C$1199,0)))</f>
        <v>0</v>
      </c>
      <c r="I241" s="7" t="str">
        <f>IF(ISNA(MATCH(232,'Transfer Engine'!$C$2:$C$1199,0)),"",INDEX('Compliance Database'!$I$2:$I$1199,MATCH(232,'Transfer Engine'!$C$2:$C$1199,0)))</f>
        <v>Financial Data</v>
      </c>
      <c r="J241" s="6">
        <f>IF(ISNA(MATCH(232,'Transfer Engine'!$C$2:$C$1199,0)),"",INDEX('Compliance Database'!$J$2:$J$1199,MATCH(232,'Transfer Engine'!$C$2:$C$1199,0)))</f>
        <v>0</v>
      </c>
      <c r="K241" s="7" t="str">
        <f>IF(ISNA(MATCH(232,'Transfer Engine'!$C$2:$C$1199,0)),"",INDEX('Compliance Database'!$K$2:$K$1199,MATCH(232,'Transfer Engine'!$C$2:$C$1199,0)))</f>
        <v>Member States must establish criminal penalties that are effective, proportionate, and dissuasive for offences defined in Articles 3 and 4. These offences relate to financial crimes such as money laundering and related activities. The penalties must apply to natural persons who commit these offences.</v>
      </c>
      <c r="L241" s="7" t="str">
        <f>IF(ISNA(MATCH(232,'Transfer Engine'!$C$2:$C$1199,0)),"",INDEX('Compliance Database'!$L$2:$L$1199,MATCH(232,'Transfer Engine'!$C$2:$C$1199,0)))</f>
        <v>This section establishes minimum criminal penalties for financial crimes, which may impact DTIA requirements for risk assessment of cross-border financial crime activities.</v>
      </c>
      <c r="M241" s="7" t="str">
        <f>IF(ISNA(MATCH(232,'Transfer Engine'!$C$2:$C$1199,0)),"",INDEX('Compliance Database'!$M$2:$M$1199,MATCH(232,'Transfer Engine'!$C$2:$C$1199,0)))</f>
        <v>• [Must] Member States shall take necessary measures to ensure offences referred to in Articles 3 and 4 are punishable by effective, proportionate and dissuasive criminal penalties</v>
      </c>
      <c r="N241" s="7">
        <f>IF(ISNA(MATCH(232,'Transfer Engine'!$C$2:$C$1199,0)),"",INDEX('Compliance Database'!$N$2:$N$1199,MATCH(232,'Transfer Engine'!$C$2:$C$1199,0)))</f>
        <v>0</v>
      </c>
      <c r="O241" s="7" t="str">
        <f>IF(ISNA(MATCH(232,'Transfer Engine'!$C$2:$C$1199,0)),"",INDEX('Compliance Database'!$O$2:$O$1199,MATCH(232,'Transfer Engine'!$C$2:$C$1199,0)))</f>
        <v>Member States shall take the necessary measures to ensure that the offences referred to in Articles 3 and 4 are punishable by effective, proportionate and dissuasive criminal penalties.</v>
      </c>
      <c r="P241" s="6" t="str">
        <f>IF(ISNA(MATCH(232,'Transfer Engine'!$C$2:$C$1199,0)),"",HYPERLINK("#Acts!A"&amp;INDEX('Compliance Database'!$P$2:$P$1199,MATCH(232,'Transfer Engine'!$C$2:$C$1199,0)),"Go to Act"))</f>
        <v>Go to Act</v>
      </c>
    </row>
    <row r="242" spans="1:16" ht="172.95" customHeight="1" x14ac:dyDescent="0.3">
      <c r="A242" s="6" t="str">
        <f>IF(ISNA(MATCH(233,'Transfer Engine'!$C$2:$C$1199,0)),"",INDEX('Compliance Database'!$A$2:$A$1199,MATCH(233,'Transfer Engine'!$C$2:$C$1199,0)))</f>
        <v>GDPR</v>
      </c>
      <c r="B242" s="6" t="str">
        <f>IF(ISNA(MATCH(233,'Transfer Engine'!$C$2:$C$1199,0)),"",INDEX('Compliance Database'!$B$2:$B$1199,MATCH(233,'Transfer Engine'!$C$2:$C$1199,0)))</f>
        <v>CELEX_32022L2555_EN_TXT (GDPR - Row 17)</v>
      </c>
      <c r="C242" s="6" t="str">
        <f>IF(ISNA(MATCH(233,'Transfer Engine'!$C$2:$C$1199,0)),"",INDEX('Compliance Database'!$C$2:$C$1199,MATCH(233,'Transfer Engine'!$C$2:$C$1199,0)))</f>
        <v>2</v>
      </c>
      <c r="D242" s="7" t="str">
        <f>IF(ISNA(MATCH(233,'Transfer Engine'!$C$2:$C$1199,0)),"",INDEX('Compliance Database'!$D$2:$D$1199,MATCH(233,'Transfer Engine'!$C$2:$C$1199,0)))</f>
        <v>Waste management entities</v>
      </c>
      <c r="E242" s="6" t="str">
        <f>IF(ISNA(MATCH(233,'Transfer Engine'!$C$2:$C$1199,0)),"",INDEX('Compliance Database'!$E$2:$E$1199,MATCH(233,'Transfer Engine'!$C$2:$C$1199,0)))</f>
        <v>29</v>
      </c>
      <c r="F242" s="6" t="str">
        <f>IF(ISNA(MATCH(233,'Transfer Engine'!$C$2:$C$1199,0)),"",INDEX('Compliance Database'!$F$2:$F$1199,MATCH(233,'Transfer Engine'!$C$2:$C$1199,0)))</f>
        <v>None</v>
      </c>
      <c r="G242" s="6" t="str">
        <f>IF(ISNA(MATCH(233,'Transfer Engine'!$C$2:$C$1199,0)),"",INDEX('Compliance Database'!$G$2:$G$1199,MATCH(233,'Transfer Engine'!$C$2:$C$1199,0)))</f>
        <v>High (explicit)</v>
      </c>
      <c r="H242" s="7">
        <f>IF(ISNA(MATCH(233,'Transfer Engine'!$C$2:$C$1199,0)),"",INDEX('Compliance Database'!$H$2:$H$1199,MATCH(233,'Transfer Engine'!$C$2:$C$1199,0)))</f>
        <v>0</v>
      </c>
      <c r="I242" s="7">
        <f>IF(ISNA(MATCH(233,'Transfer Engine'!$C$2:$C$1199,0)),"",INDEX('Compliance Database'!$I$2:$I$1199,MATCH(233,'Transfer Engine'!$C$2:$C$1199,0)))</f>
        <v>0</v>
      </c>
      <c r="J242" s="6">
        <f>IF(ISNA(MATCH(233,'Transfer Engine'!$C$2:$C$1199,0)),"",INDEX('Compliance Database'!$J$2:$J$1199,MATCH(233,'Transfer Engine'!$C$2:$C$1199,0)))</f>
        <v>0</v>
      </c>
      <c r="K242" s="7" t="str">
        <f>IF(ISNA(MATCH(233,'Transfer Engine'!$C$2:$C$1199,0)),"",INDEX('Compliance Database'!$K$2:$K$1199,MATCH(233,'Transfer Engine'!$C$2:$C$1199,0)))</f>
        <v>This section identifies undertakings engaged in waste management as defined in Article 3(9) of Directive 2008/98/EC, excluding those where waste management is not their principal economic activity. These entities are subject to specific regulatory oversight under EU law.</v>
      </c>
      <c r="L242" s="7">
        <f>IF(ISNA(MATCH(233,'Transfer Engine'!$C$2:$C$1199,0)),"",INDEX('Compliance Database'!$L$2:$L$1199,MATCH(233,'Transfer Engine'!$C$2:$C$1199,0)))</f>
        <v>0</v>
      </c>
      <c r="M242" s="7" t="str">
        <f>IF(ISNA(MATCH(233,'Transfer Engine'!$C$2:$C$1199,0)),"",INDEX('Compliance Database'!$M$2:$M$1199,MATCH(233,'Transfer Engine'!$C$2:$C$1199,0)))</f>
        <v>• [Must] Undertakings carrying out waste management as defined in Article 3, point (9), of Directive 2008/98/EC</v>
      </c>
      <c r="N242" s="7" t="str">
        <f>IF(ISNA(MATCH(233,'Transfer Engine'!$C$2:$C$1199,0)),"",INDEX('Compliance Database'!$N$2:$N$1199,MATCH(233,'Transfer Engine'!$C$2:$C$1199,0)))</f>
        <v>• [Must Not] Excluding undertakings for whom waste management is not their principal economic activity</v>
      </c>
      <c r="O242" s="7" t="str">
        <f>IF(ISNA(MATCH(233,'Transfer Engine'!$C$2:$C$1199,0)),"",INDEX('Compliance Database'!$O$2:$O$1199,MATCH(233,'Transfer Engine'!$C$2:$C$1199,0)))</f>
        <v>2. Waste management Undertakings carrying out waste management as defined in Article 3, point (9), of Directive 2008/98/EC of the European Parliament and of the Council (1), excluding undertakings for whom waste management is not their principal economic activity</v>
      </c>
      <c r="P242" s="6" t="str">
        <f>IF(ISNA(MATCH(233,'Transfer Engine'!$C$2:$C$1199,0)),"",HYPERLINK("#Acts!A"&amp;INDEX('Compliance Database'!$P$2:$P$1199,MATCH(233,'Transfer Engine'!$C$2:$C$1199,0)),"Go to Act"))</f>
        <v>Go to Act</v>
      </c>
    </row>
    <row r="243" spans="1:16" ht="172.95" customHeight="1" x14ac:dyDescent="0.3">
      <c r="A243" s="6" t="str">
        <f>IF(ISNA(MATCH(234,'Transfer Engine'!$C$2:$C$1199,0)),"",INDEX('Compliance Database'!$A$2:$A$1199,MATCH(234,'Transfer Engine'!$C$2:$C$1199,0)))</f>
        <v>GDPR</v>
      </c>
      <c r="B243" s="6" t="str">
        <f>IF(ISNA(MATCH(234,'Transfer Engine'!$C$2:$C$1199,0)),"",INDEX('Compliance Database'!$B$2:$B$1199,MATCH(234,'Transfer Engine'!$C$2:$C$1199,0)))</f>
        <v>CELEX_32022L2555_EN_TXT (GDPR - Row 17)</v>
      </c>
      <c r="C243" s="6" t="str">
        <f>IF(ISNA(MATCH(234,'Transfer Engine'!$C$2:$C$1199,0)),"",INDEX('Compliance Database'!$C$2:$C$1199,MATCH(234,'Transfer Engine'!$C$2:$C$1199,0)))</f>
        <v>3</v>
      </c>
      <c r="D243" s="7" t="str">
        <f>IF(ISNA(MATCH(234,'Transfer Engine'!$C$2:$C$1199,0)),"",INDEX('Compliance Database'!$D$2:$D$1199,MATCH(234,'Transfer Engine'!$C$2:$C$1199,0)))</f>
        <v>Commission guidelines for cybersecurity directives</v>
      </c>
      <c r="E243" s="6" t="str">
        <f>IF(ISNA(MATCH(234,'Transfer Engine'!$C$2:$C$1199,0)),"",INDEX('Compliance Database'!$E$2:$E$1199,MATCH(234,'Transfer Engine'!$C$2:$C$1199,0)))</f>
        <v>31</v>
      </c>
      <c r="F243" s="6" t="str">
        <f>IF(ISNA(MATCH(234,'Transfer Engine'!$C$2:$C$1199,0)),"",INDEX('Compliance Database'!$F$2:$F$1199,MATCH(234,'Transfer Engine'!$C$2:$C$1199,0)))</f>
        <v>Medium</v>
      </c>
      <c r="G243" s="6" t="str">
        <f>IF(ISNA(MATCH(234,'Transfer Engine'!$C$2:$C$1199,0)),"",INDEX('Compliance Database'!$G$2:$G$1199,MATCH(234,'Transfer Engine'!$C$2:$C$1199,0)))</f>
        <v>Medium (merged from chunks)</v>
      </c>
      <c r="H243" s="7" t="str">
        <f>IF(ISNA(MATCH(234,'Transfer Engine'!$C$2:$C$1199,0)),"",INDEX('Compliance Database'!$H$2:$H$1199,MATCH(234,'Transfer Engine'!$C$2:$C$1199,0)))</f>
        <v>Cross-border Transfer, Data Storage, Security</v>
      </c>
      <c r="I243" s="7" t="str">
        <f>IF(ISNA(MATCH(234,'Transfer Engine'!$C$2:$C$1199,0)),"",INDEX('Compliance Database'!$I$2:$I$1199,MATCH(234,'Transfer Engine'!$C$2:$C$1199,0)))</f>
        <v>Personal Information</v>
      </c>
      <c r="J243" s="6">
        <f>IF(ISNA(MATCH(234,'Transfer Engine'!$C$2:$C$1199,0)),"",INDEX('Compliance Database'!$J$2:$J$1199,MATCH(234,'Transfer Engine'!$C$2:$C$1199,0)))</f>
        <v>0</v>
      </c>
      <c r="K243" s="7" t="str">
        <f>IF(ISNA(MATCH(234,'Transfer Engine'!$C$2:$C$1199,0)),"",INDEX('Compliance Database'!$K$2:$K$1199,MATCH(234,'Transfer Engine'!$C$2:$C$1199,0)))</f>
        <v>The Commission must issue guidelines by July 17, 2023, to clarify the application of paragraphs 1 and 2 of the directive. These guidelines must be reviewed regularly and incorporate observations from the Cooperation Group and ENISA. This section defines specific terms used in the GDPR context, including entities, managed service providers, and research organisations. These definitions clarify the scope of data subjects and processors involved in cross-border data transfers. The definitions are critical for determining which entities fall under GDPR applicability.</v>
      </c>
      <c r="L243" s="7" t="str">
        <f>IF(ISNA(MATCH(234,'Transfer Engine'!$C$2:$C$1199,0)),"",INDEX('Compliance Database'!$L$2:$L$1199,MATCH(234,'Transfer Engine'!$C$2:$C$1199,0)))</f>
        <v>These definitions help DTIAs identify which entities and services are subject to GDPR's cross-border data transfer rules, ensuring accurate assessment of data flows.</v>
      </c>
      <c r="M243" s="7" t="str">
        <f>IF(ISNA(MATCH(234,'Transfer Engine'!$C$2:$C$1199,0)),"",INDEX('Compliance Database'!$M$2:$M$1199,MATCH(234,'Transfer Engine'!$C$2:$C$1199,0)))</f>
        <v>• [Must] The Commission shall, by 17 July 2023, provide guidelines clarifying the application of paragraphs 1 and 2
• [Must] The Commission shall review those guidelines on a regular basis</v>
      </c>
      <c r="N243" s="7" t="str">
        <f>IF(ISNA(MATCH(234,'Transfer Engine'!$C$2:$C$1199,0)),"",INDEX('Compliance Database'!$N$2:$N$1199,MATCH(234,'Transfer Engine'!$C$2:$C$1199,0)))</f>
        <v>• [Must] When preparing those guidelines, the Commission shall take into account any observations of the Cooperation Group and ENISA</v>
      </c>
      <c r="O243" s="7" t="str">
        <f>IF(ISNA(MATCH(234,'Transfer Engine'!$C$2:$C$1199,0)),"",INDEX('Compliance Database'!$O$2:$O$1199,MATCH(234,'Transfer Engine'!$C$2:$C$1199,0)))</f>
        <v>The Commission shall, by 17 July 2023, provide guidelines clarifying the application of paragraphs 1 and 2. The Commission shall review those guidelines on a regular basis. When preparing those guidelines, the Commission shall take into account any observations of the Cooperation Group and ENISA.</v>
      </c>
      <c r="P243" s="6" t="str">
        <f>IF(ISNA(MATCH(234,'Transfer Engine'!$C$2:$C$1199,0)),"",HYPERLINK("#Acts!A"&amp;INDEX('Compliance Database'!$P$2:$P$1199,MATCH(234,'Transfer Engine'!$C$2:$C$1199,0)),"Go to Act"))</f>
        <v>Go to Act</v>
      </c>
    </row>
    <row r="244" spans="1:16" ht="172.95" customHeight="1" x14ac:dyDescent="0.3">
      <c r="A244" s="6" t="str">
        <f>IF(ISNA(MATCH(235,'Transfer Engine'!$C$2:$C$1199,0)),"",INDEX('Compliance Database'!$A$2:$A$1199,MATCH(235,'Transfer Engine'!$C$2:$C$1199,0)))</f>
        <v>GDPR</v>
      </c>
      <c r="B244" s="6" t="str">
        <f>IF(ISNA(MATCH(235,'Transfer Engine'!$C$2:$C$1199,0)),"",INDEX('Compliance Database'!$B$2:$B$1199,MATCH(235,'Transfer Engine'!$C$2:$C$1199,0)))</f>
        <v>CELEX_32022L2555_EN_TXT (GDPR - Row 17)</v>
      </c>
      <c r="C244" s="6" t="str">
        <f>IF(ISNA(MATCH(235,'Transfer Engine'!$C$2:$C$1199,0)),"",INDEX('Compliance Database'!$C$2:$C$1199,MATCH(235,'Transfer Engine'!$C$2:$C$1199,0)))</f>
        <v>3 (part 2)</v>
      </c>
      <c r="D244" s="7" t="str">
        <f>IF(ISNA(MATCH(235,'Transfer Engine'!$C$2:$C$1199,0)),"",INDEX('Compliance Database'!$D$2:$D$1199,MATCH(235,'Transfer Engine'!$C$2:$C$1199,0)))</f>
        <v>Commission guidelines for cybersecurity equivalence assessment</v>
      </c>
      <c r="E244" s="6" t="str">
        <f>IF(ISNA(MATCH(235,'Transfer Engine'!$C$2:$C$1199,0)),"",INDEX('Compliance Database'!$E$2:$E$1199,MATCH(235,'Transfer Engine'!$C$2:$C$1199,0)))</f>
        <v>36</v>
      </c>
      <c r="F244" s="6" t="str">
        <f>IF(ISNA(MATCH(235,'Transfer Engine'!$C$2:$C$1199,0)),"",INDEX('Compliance Database'!$F$2:$F$1199,MATCH(235,'Transfer Engine'!$C$2:$C$1199,0)))</f>
        <v>High</v>
      </c>
      <c r="G244" s="6" t="str">
        <f>IF(ISNA(MATCH(235,'Transfer Engine'!$C$2:$C$1199,0)),"",INDEX('Compliance Database'!$G$2:$G$1199,MATCH(235,'Transfer Engine'!$C$2:$C$1199,0)))</f>
        <v>High (explicit)</v>
      </c>
      <c r="H244" s="7" t="str">
        <f>IF(ISNA(MATCH(235,'Transfer Engine'!$C$2:$C$1199,0)),"",INDEX('Compliance Database'!$H$2:$H$1199,MATCH(235,'Transfer Engine'!$C$2:$C$1199,0)))</f>
        <v>Security, Incident Reporting, Cross-border Transfer</v>
      </c>
      <c r="I244" s="7" t="str">
        <f>IF(ISNA(MATCH(235,'Transfer Engine'!$C$2:$C$1199,0)),"",INDEX('Compliance Database'!$I$2:$I$1199,MATCH(235,'Transfer Engine'!$C$2:$C$1199,0)))</f>
        <v>Personal Information</v>
      </c>
      <c r="J244" s="6" t="str">
        <f>IF(ISNA(MATCH(235,'Transfer Engine'!$C$2:$C$1199,0)),"",INDEX('Compliance Database'!$J$2:$J$1199,MATCH(235,'Transfer Engine'!$C$2:$C$1199,0)))</f>
        <v>European Commission</v>
      </c>
      <c r="K244" s="7" t="str">
        <f>IF(ISNA(MATCH(235,'Transfer Engine'!$C$2:$C$1199,0)),"",INDEX('Compliance Database'!$K$2:$K$1199,MATCH(235,'Transfer Engine'!$C$2:$C$1199,0)))</f>
        <v>The European Commission must issue guidelines by July 17, 2023, to clarify how sector-specific cybersecurity requirements are assessed for equivalence with GDPR obligations, ensuring consistent application across Member States.</v>
      </c>
      <c r="L244" s="7" t="str">
        <f>IF(ISNA(MATCH(235,'Transfer Engine'!$C$2:$C$1199,0)),"",INDEX('Compliance Database'!$L$2:$L$1199,MATCH(235,'Transfer Engine'!$C$2:$C$1199,0)))</f>
        <v>Provides a timeline for clarifying equivalence standards, critical for organizations to determine if their sector-specific cybersecurity measures meet GDPR requirements for cross-border data transfers.</v>
      </c>
      <c r="M244" s="7" t="str">
        <f>IF(ISNA(MATCH(235,'Transfer Engine'!$C$2:$C$1199,0)),"",INDEX('Compliance Database'!$M$2:$M$1199,MATCH(235,'Transfer Engine'!$C$2:$C$1199,0)))</f>
        <v>• [Must] The Commission shall, by 17 July 2023, provide guidelines clarifying the application of paragraphs 1 and 2</v>
      </c>
      <c r="N244" s="7">
        <f>IF(ISNA(MATCH(235,'Transfer Engine'!$C$2:$C$1199,0)),"",INDEX('Compliance Database'!$N$2:$N$1199,MATCH(235,'Transfer Engine'!$C$2:$C$1199,0)))</f>
        <v>0</v>
      </c>
      <c r="O244" s="7" t="str">
        <f>IF(ISNA(MATCH(235,'Transfer Engine'!$C$2:$C$1199,0)),"",INDEX('Compliance Database'!$O$2:$O$1199,MATCH(235,'Transfer Engine'!$C$2:$C$1199,0)))</f>
        <v>The Commission shall, by 17 July 2023, provide guidelines clarifying the application of paragraphs 1 and 2.</v>
      </c>
      <c r="P244" s="6" t="str">
        <f>IF(ISNA(MATCH(235,'Transfer Engine'!$C$2:$C$1199,0)),"",HYPERLINK("#Acts!A"&amp;INDEX('Compliance Database'!$P$2:$P$1199,MATCH(235,'Transfer Engine'!$C$2:$C$1199,0)),"Go to Act"))</f>
        <v>Go to Act</v>
      </c>
    </row>
    <row r="245" spans="1:16" ht="172.95" customHeight="1" x14ac:dyDescent="0.3">
      <c r="A245" s="6" t="str">
        <f>IF(ISNA(MATCH(236,'Transfer Engine'!$C$2:$C$1199,0)),"",INDEX('Compliance Database'!$A$2:$A$1199,MATCH(236,'Transfer Engine'!$C$2:$C$1199,0)))</f>
        <v>GDPR</v>
      </c>
      <c r="B245" s="6" t="str">
        <f>IF(ISNA(MATCH(236,'Transfer Engine'!$C$2:$C$1199,0)),"",INDEX('Compliance Database'!$B$2:$B$1199,MATCH(236,'Transfer Engine'!$C$2:$C$1199,0)))</f>
        <v>CELEX_32022L2555_EN_TXT (GDPR - Row 17)</v>
      </c>
      <c r="C245" s="6" t="str">
        <f>IF(ISNA(MATCH(236,'Transfer Engine'!$C$2:$C$1199,0)),"",INDEX('Compliance Database'!$C$2:$C$1199,MATCH(236,'Transfer Engine'!$C$2:$C$1199,0)))</f>
        <v>4</v>
      </c>
      <c r="D245" s="7" t="str">
        <f>IF(ISNA(MATCH(236,'Transfer Engine'!$C$2:$C$1199,0)),"",INDEX('Compliance Database'!$D$2:$D$1199,MATCH(236,'Transfer Engine'!$C$2:$C$1199,0)))</f>
        <v>Food production and distribution businesses</v>
      </c>
      <c r="E245" s="6" t="str">
        <f>IF(ISNA(MATCH(236,'Transfer Engine'!$C$2:$C$1199,0)),"",INDEX('Compliance Database'!$E$2:$E$1199,MATCH(236,'Transfer Engine'!$C$2:$C$1199,0)))</f>
        <v>31–32</v>
      </c>
      <c r="F245" s="6" t="str">
        <f>IF(ISNA(MATCH(236,'Transfer Engine'!$C$2:$C$1199,0)),"",INDEX('Compliance Database'!$F$2:$F$1199,MATCH(236,'Transfer Engine'!$C$2:$C$1199,0)))</f>
        <v>None</v>
      </c>
      <c r="G245" s="6" t="str">
        <f>IF(ISNA(MATCH(236,'Transfer Engine'!$C$2:$C$1199,0)),"",INDEX('Compliance Database'!$G$2:$G$1199,MATCH(236,'Transfer Engine'!$C$2:$C$1199,0)))</f>
        <v>High (explicit)</v>
      </c>
      <c r="H245" s="7" t="str">
        <f>IF(ISNA(MATCH(236,'Transfer Engine'!$C$2:$C$1199,0)),"",INDEX('Compliance Database'!$H$2:$H$1199,MATCH(236,'Transfer Engine'!$C$2:$C$1199,0)))</f>
        <v>Cross-border Transfer, International Processing, Data Storage, Security</v>
      </c>
      <c r="I245" s="7" t="str">
        <f>IF(ISNA(MATCH(236,'Transfer Engine'!$C$2:$C$1199,0)),"",INDEX('Compliance Database'!$I$2:$I$1199,MATCH(236,'Transfer Engine'!$C$2:$C$1199,0)))</f>
        <v>Special Personal Information</v>
      </c>
      <c r="J245" s="6">
        <f>IF(ISNA(MATCH(236,'Transfer Engine'!$C$2:$C$1199,0)),"",INDEX('Compliance Database'!$J$2:$J$1199,MATCH(236,'Transfer Engine'!$C$2:$C$1199,0)))</f>
        <v>0</v>
      </c>
      <c r="K245" s="7" t="str">
        <f>IF(ISNA(MATCH(236,'Transfer Engine'!$C$2:$C$1199,0)),"",INDEX('Compliance Database'!$K$2:$K$1199,MATCH(236,'Transfer Engine'!$C$2:$C$1199,0)))</f>
        <v>This section defines food businesses engaged in wholesale distribution and industrial production and processing as per Regulation (EC) No 178/2002. These entities are subject to specific food safety and regulatory oversight mechanisms.</v>
      </c>
      <c r="L245" s="7">
        <f>IF(ISNA(MATCH(236,'Transfer Engine'!$C$2:$C$1199,0)),"",INDEX('Compliance Database'!$L$2:$L$1199,MATCH(236,'Transfer Engine'!$C$2:$C$1199,0)))</f>
        <v>0</v>
      </c>
      <c r="M245" s="7" t="str">
        <f>IF(ISNA(MATCH(236,'Transfer Engine'!$C$2:$C$1199,0)),"",INDEX('Compliance Database'!$M$2:$M$1199,MATCH(236,'Transfer Engine'!$C$2:$C$1199,0)))</f>
        <v>• [Must] Food businesses as defined in Article 3, point (2), of Regulation (EC) No 178/2002</v>
      </c>
      <c r="N245" s="7" t="str">
        <f>IF(ISNA(MATCH(236,'Transfer Engine'!$C$2:$C$1199,0)),"",INDEX('Compliance Database'!$N$2:$N$1199,MATCH(236,'Transfer Engine'!$C$2:$C$1199,0)))</f>
        <v>• [Must] Engaged in wholesale distribution and industrial production and processing</v>
      </c>
      <c r="O245" s="7" t="str">
        <f>IF(ISNA(MATCH(236,'Transfer Engine'!$C$2:$C$1199,0)),"",INDEX('Compliance Database'!$O$2:$O$1199,MATCH(236,'Transfer Engine'!$C$2:$C$1199,0)))</f>
        <v>4. Production, processing and dis­tribution of food Food businesses as defined in Article 3, point (2), of Regulation (EC) No 178/2002 of the European Parliament and of the Council (3) which are engaged in wholesale distribution and industrial production and processing</v>
      </c>
      <c r="P245" s="6" t="str">
        <f>IF(ISNA(MATCH(236,'Transfer Engine'!$C$2:$C$1199,0)),"",HYPERLINK("#Acts!A"&amp;INDEX('Compliance Database'!$P$2:$P$1199,MATCH(236,'Transfer Engine'!$C$2:$C$1199,0)),"Go to Act"))</f>
        <v>Go to Act</v>
      </c>
    </row>
    <row r="246" spans="1:16" ht="172.95" customHeight="1" x14ac:dyDescent="0.3">
      <c r="A246" s="6" t="str">
        <f>IF(ISNA(MATCH(237,'Transfer Engine'!$C$2:$C$1199,0)),"",INDEX('Compliance Database'!$A$2:$A$1199,MATCH(237,'Transfer Engine'!$C$2:$C$1199,0)))</f>
        <v>GDPR</v>
      </c>
      <c r="B246" s="6" t="str">
        <f>IF(ISNA(MATCH(237,'Transfer Engine'!$C$2:$C$1199,0)),"",INDEX('Compliance Database'!$B$2:$B$1199,MATCH(237,'Transfer Engine'!$C$2:$C$1199,0)))</f>
        <v>CELEX_32022L2555_EN_TXT (GDPR - Row 17)</v>
      </c>
      <c r="C246" s="6" t="str">
        <f>IF(ISNA(MATCH(237,'Transfer Engine'!$C$2:$C$1199,0)),"",INDEX('Compliance Database'!$C$2:$C$1199,MATCH(237,'Transfer Engine'!$C$2:$C$1199,0)))</f>
        <v>5</v>
      </c>
      <c r="D246" s="7" t="str">
        <f>IF(ISNA(MATCH(237,'Transfer Engine'!$C$2:$C$1199,0)),"",INDEX('Compliance Database'!$D$2:$D$1199,MATCH(237,'Transfer Engine'!$C$2:$C$1199,0)))</f>
        <v>Manufacturing activities for specific sectors</v>
      </c>
      <c r="E246" s="6" t="str">
        <f>IF(ISNA(MATCH(237,'Transfer Engine'!$C$2:$C$1199,0)),"",INDEX('Compliance Database'!$E$2:$E$1199,MATCH(237,'Transfer Engine'!$C$2:$C$1199,0)))</f>
        <v>30</v>
      </c>
      <c r="F246" s="6" t="str">
        <f>IF(ISNA(MATCH(237,'Transfer Engine'!$C$2:$C$1199,0)),"",INDEX('Compliance Database'!$F$2:$F$1199,MATCH(237,'Transfer Engine'!$C$2:$C$1199,0)))</f>
        <v>None</v>
      </c>
      <c r="G246" s="6" t="str">
        <f>IF(ISNA(MATCH(237,'Transfer Engine'!$C$2:$C$1199,0)),"",INDEX('Compliance Database'!$G$2:$G$1199,MATCH(237,'Transfer Engine'!$C$2:$C$1199,0)))</f>
        <v>High (explicit)</v>
      </c>
      <c r="H246" s="7" t="str">
        <f>IF(ISNA(MATCH(237,'Transfer Engine'!$C$2:$C$1199,0)),"",INDEX('Compliance Database'!$H$2:$H$1199,MATCH(237,'Transfer Engine'!$C$2:$C$1199,0)))</f>
        <v>Cross-border Transfer, International Processing, Data Storage, Security</v>
      </c>
      <c r="I246" s="7" t="str">
        <f>IF(ISNA(MATCH(237,'Transfer Engine'!$C$2:$C$1199,0)),"",INDEX('Compliance Database'!$I$2:$I$1199,MATCH(237,'Transfer Engine'!$C$2:$C$1199,0)))</f>
        <v>Special Personal Information</v>
      </c>
      <c r="J246" s="6">
        <f>IF(ISNA(MATCH(237,'Transfer Engine'!$C$2:$C$1199,0)),"",INDEX('Compliance Database'!$J$2:$J$1199,MATCH(237,'Transfer Engine'!$C$2:$C$1199,0)))</f>
        <v>0</v>
      </c>
      <c r="K246" s="7" t="str">
        <f>IF(ISNA(MATCH(237,'Transfer Engine'!$C$2:$C$1199,0)),"",INDEX('Compliance Database'!$K$2:$K$1199,MATCH(237,'Transfer Engine'!$C$2:$C$1199,0)))</f>
        <v>This section lists entities involved in manufacturing medical devices, in vitro diagnostic medical devices, computer/electronic products, electrical equipment, machinery, motor vehicles, and other transport equipment. Each category is defined by specific NACE Rev. 2 economic activities.</v>
      </c>
      <c r="L246" s="7">
        <f>IF(ISNA(MATCH(237,'Transfer Engine'!$C$2:$C$1199,0)),"",INDEX('Compliance Database'!$L$2:$L$1199,MATCH(237,'Transfer Engine'!$C$2:$C$1199,0)))</f>
        <v>0</v>
      </c>
      <c r="M246" s="7" t="str">
        <f>IF(ISNA(MATCH(237,'Transfer Engine'!$C$2:$C$1199,0)),"",INDEX('Compliance Database'!$M$2:$M$1199,MATCH(237,'Transfer Engine'!$C$2:$C$1199,0)))</f>
        <v>• [Must] Entities manufacturing medical devices as defined in Article 2, point (1), of Regulation (EU) 2017/745
• [Must] Entities manufacturing in vitro diagnostic medical devices as defined in Article 2, point (2), of Regulation (EU) 2017/746
• [Must] Undertakings carrying out economic activities in section C division 26 of NACE Rev. 2
• [Must] Undertakings carrying out economic activities in section C division 27 of NACE Rev. 2</v>
      </c>
      <c r="N246" s="7" t="str">
        <f>IF(ISNA(MATCH(237,'Transfer Engine'!$C$2:$C$1199,0)),"",INDEX('Compliance Database'!$N$2:$N$1199,MATCH(237,'Transfer Engine'!$C$2:$C$1199,0)))</f>
        <v>• [Must] Undertakings carrying out economic activities in section C division 28 of NACE Rev. 2
• [Must] Undertakings carrying out economic activities in section C division 29 of NACE Rev. 2
• [Must] Undertakings carrying out economic activities in section C division 30 of NACE Rev. 2</v>
      </c>
      <c r="O246" s="7" t="str">
        <f>IF(ISNA(MATCH(237,'Transfer Engine'!$C$2:$C$1199,0)),"",INDEX('Compliance Database'!$O$2:$O$1199,MATCH(237,'Transfer Engine'!$C$2:$C$1199,0)))</f>
        <v>5. Manufacturing (a) Manufacture of medical devices and in vitro diagnostic medical devices Entities manufacturing medical devices as defined in Article 2, point (1), of Regulation (EU) 2017/745 of the European Parliament and of the Council (4), and entities manufacturing in vitro diagnostic medical devices as defined in Article 2, point (2), of Regulation (EU) 2017/746 of the European Parliament and of the Council (5) with the exception of entities manufacturing medical devices referred to in Annex I, point 5, fifth indent, of this Directive (b) Manufacture of computer, electronic and optical products Undertakings carrying out any of the economic activities referred to in section C division 26 of NACE Rev. 2 (c) Manufacture of electrical equipment Undertakings carrying out any of the economic activities referred to in section C division 27 of NACE Rev. 2 (d) Manufacture of machinery and equipment n.e.c. Undertakings carrying out any of the economic activities referred to in section C division 28 of NACE Rev. 2 (e) Manufacture of motor vehicles, trailers and semi-trailers Undertakings carrying out any of the economic activities referred to in section C division 29 of NACE Rev. 2 (f) Manufacture of other transport equipment Undertakings carrying out any of the economic activities referred to in section C division 30 of NACE Rev. 2</v>
      </c>
      <c r="P246" s="6" t="str">
        <f>IF(ISNA(MATCH(237,'Transfer Engine'!$C$2:$C$1199,0)),"",HYPERLINK("#Acts!A"&amp;INDEX('Compliance Database'!$P$2:$P$1199,MATCH(237,'Transfer Engine'!$C$2:$C$1199,0)),"Go to Act"))</f>
        <v>Go to Act</v>
      </c>
    </row>
    <row r="247" spans="1:16" ht="172.95" customHeight="1" x14ac:dyDescent="0.3">
      <c r="A247" s="6" t="str">
        <f>IF(ISNA(MATCH(238,'Transfer Engine'!$C$2:$C$1199,0)),"",INDEX('Compliance Database'!$A$2:$A$1199,MATCH(238,'Transfer Engine'!$C$2:$C$1199,0)))</f>
        <v>GDPR</v>
      </c>
      <c r="B247" s="6" t="str">
        <f>IF(ISNA(MATCH(238,'Transfer Engine'!$C$2:$C$1199,0)),"",INDEX('Compliance Database'!$B$2:$B$1199,MATCH(238,'Transfer Engine'!$C$2:$C$1199,0)))</f>
        <v>CELEX_32022L2555_EN_TXT (GDPR - Row 17)</v>
      </c>
      <c r="C247" s="6" t="str">
        <f>IF(ISNA(MATCH(238,'Transfer Engine'!$C$2:$C$1199,0)),"",INDEX('Compliance Database'!$C$2:$C$1199,MATCH(238,'Transfer Engine'!$C$2:$C$1199,0)))</f>
        <v>7</v>
      </c>
      <c r="D247" s="7" t="str">
        <f>IF(ISNA(MATCH(238,'Transfer Engine'!$C$2:$C$1199,0)),"",INDEX('Compliance Database'!$D$2:$D$1199,MATCH(238,'Transfer Engine'!$C$2:$C$1199,0)))</f>
        <v>Research organizations and regulatory frameworks</v>
      </c>
      <c r="E247" s="6" t="str">
        <f>IF(ISNA(MATCH(238,'Transfer Engine'!$C$2:$C$1199,0)),"",INDEX('Compliance Database'!$E$2:$E$1199,MATCH(238,'Transfer Engine'!$C$2:$C$1199,0)))</f>
        <v>30</v>
      </c>
      <c r="F247" s="6" t="str">
        <f>IF(ISNA(MATCH(238,'Transfer Engine'!$C$2:$C$1199,0)),"",INDEX('Compliance Database'!$F$2:$F$1199,MATCH(238,'Transfer Engine'!$C$2:$C$1199,0)))</f>
        <v>None</v>
      </c>
      <c r="G247" s="6" t="str">
        <f>IF(ISNA(MATCH(238,'Transfer Engine'!$C$2:$C$1199,0)),"",INDEX('Compliance Database'!$G$2:$G$1199,MATCH(238,'Transfer Engine'!$C$2:$C$1199,0)))</f>
        <v>High (explicit)</v>
      </c>
      <c r="H247" s="7" t="str">
        <f>IF(ISNA(MATCH(238,'Transfer Engine'!$C$2:$C$1199,0)),"",INDEX('Compliance Database'!$H$2:$H$1199,MATCH(238,'Transfer Engine'!$C$2:$C$1199,0)))</f>
        <v>Cross-border Transfer, International Processing, Data Storage, Security</v>
      </c>
      <c r="I247" s="7" t="str">
        <f>IF(ISNA(MATCH(238,'Transfer Engine'!$C$2:$C$1199,0)),"",INDEX('Compliance Database'!$I$2:$I$1199,MATCH(238,'Transfer Engine'!$C$2:$C$1199,0)))</f>
        <v>Special Personal Information</v>
      </c>
      <c r="J247" s="6">
        <f>IF(ISNA(MATCH(238,'Transfer Engine'!$C$2:$C$1199,0)),"",INDEX('Compliance Database'!$J$2:$J$1199,MATCH(238,'Transfer Engine'!$C$2:$C$1199,0)))</f>
        <v>0</v>
      </c>
      <c r="K247" s="7" t="str">
        <f>IF(ISNA(MATCH(238,'Transfer Engine'!$C$2:$C$1199,0)),"",INDEX('Compliance Database'!$K$2:$K$1199,MATCH(238,'Transfer Engine'!$C$2:$C$1199,0)))</f>
        <v>This section references research organizations and specifies regulatory frameworks including waste management, chemical registration (REACH), food safety, medical devices, and in vitro diagnostic medical devices. These frameworks establish legal bases for research activities.</v>
      </c>
      <c r="L247" s="7">
        <f>IF(ISNA(MATCH(238,'Transfer Engine'!$C$2:$C$1199,0)),"",INDEX('Compliance Database'!$L$2:$L$1199,MATCH(238,'Transfer Engine'!$C$2:$C$1199,0)))</f>
        <v>0</v>
      </c>
      <c r="M247" s="7" t="str">
        <f>IF(ISNA(MATCH(238,'Transfer Engine'!$C$2:$C$1199,0)),"",INDEX('Compliance Database'!$M$2:$M$1199,MATCH(238,'Transfer Engine'!$C$2:$C$1199,0)))</f>
        <v>• [Must] Research organisations
• [Must] Directive 2008/98/EC on waste
• [Must] Regulation (EC) No 1907/2006 on Registration, Evaluation, Authorisation and Restriction of Chemicals (REACH)</v>
      </c>
      <c r="N247" s="7" t="str">
        <f>IF(ISNA(MATCH(238,'Transfer Engine'!$C$2:$C$1199,0)),"",INDEX('Compliance Database'!$N$2:$N$1199,MATCH(238,'Transfer Engine'!$C$2:$C$1199,0)))</f>
        <v>• [Must] Regulation (EC) No 178/2002 on food law
• [Must] Regulation (EU) 2017/745 on medical devices
• [Must] Regulation (EU) 2017/746 on in vitro diagnostic medical devices</v>
      </c>
      <c r="O247" s="7" t="str">
        <f>IF(ISNA(MATCH(238,'Transfer Engine'!$C$2:$C$1199,0)),"",INDEX('Compliance Database'!$O$2:$O$1199,MATCH(238,'Transfer Engine'!$C$2:$C$1199,0)))</f>
        <v>7. Research Research organisations (1) Directive 2008/98/EC of the European Parliament and of the Council of 19 November 2008 on waste and repealing certain Directives (OJ L 312, 22.11.2008, p. 3). (2) Regulation (EC) No 1907/2006 of the European Parliament and of the Council of 18 December 2006 concerning Registration, Evaluation, Authorisation and Restriction of Chemicals (REACH), establishing a European Chemicals Agency, amending Directive 1999/45/EC and repealing Council Regulation (EEC) No 793/93 and Commission Regulation (EC) No 1488/94 as well as Council Directive 76/769/EEC and Commission Directives 91/155/EEC, 93/67/EEC, 93/105/EC and 2000/21/EC (OJ L 396, 30.12.2006, p. 1). (3) Regulation (EC) No 178/2002 of the European Parliament and of the Council of 28 January 2002 laying down the general principles and requirements of food law, establishing the European Food Safety Authority and laying down procedures in matters of food safety (OJ L 31, 1.2.2002, p. 1). (4) Regulation (EU) 2017/745 of the European Parliament and of the Council of 5 April 2017 on medical devices, amending Directive 2001/83/EC, Regulation (EC) No 178/2002 and Regulation (EC) No 1223/2009 and repealing Council Directives 90/385/EEC and 93/42/EEC (OJ L 117, 5.5.2017, p. 1). (5) Regulation (EU) 2017/746 of the European Parliament and of the Council of 5 April 2017 on in vitro diagnostic medical devices and repealing Directive 98/79/EC and Commission Decision 2010/227/EU (OJ L 117, 5.5.2017, p. 176).</v>
      </c>
      <c r="P247" s="6" t="str">
        <f>IF(ISNA(MATCH(238,'Transfer Engine'!$C$2:$C$1199,0)),"",HYPERLINK("#Acts!A"&amp;INDEX('Compliance Database'!$P$2:$P$1199,MATCH(238,'Transfer Engine'!$C$2:$C$1199,0)),"Go to Act"))</f>
        <v>Go to Act</v>
      </c>
    </row>
    <row r="248" spans="1:16" ht="172.95" customHeight="1" x14ac:dyDescent="0.3">
      <c r="A248" s="6" t="str">
        <f>IF(ISNA(MATCH(239,'Transfer Engine'!$C$2:$C$1199,0)),"",INDEX('Compliance Database'!$A$2:$A$1199,MATCH(239,'Transfer Engine'!$C$2:$C$1199,0)))</f>
        <v>GDPR</v>
      </c>
      <c r="B248" s="6" t="str">
        <f>IF(ISNA(MATCH(239,'Transfer Engine'!$C$2:$C$1199,0)),"",INDEX('Compliance Database'!$B$2:$B$1199,MATCH(239,'Transfer Engine'!$C$2:$C$1199,0)))</f>
        <v>CELEX_32022L2555_EN_TXT (GDPR - Row 17)</v>
      </c>
      <c r="C248" s="6" t="str">
        <f>IF(ISNA(MATCH(239,'Transfer Engine'!$C$2:$C$1199,0)),"",INDEX('Compliance Database'!$C$2:$C$1199,MATCH(239,'Transfer Engine'!$C$2:$C$1199,0)))</f>
        <v>8</v>
      </c>
      <c r="D248" s="7" t="str">
        <f>IF(ISNA(MATCH(239,'Transfer Engine'!$C$2:$C$1199,0)),"",INDEX('Compliance Database'!$D$2:$D$1199,MATCH(239,'Transfer Engine'!$C$2:$C$1199,0)))</f>
        <v>Internet and digital infrastructure providers</v>
      </c>
      <c r="E248" s="6" t="str">
        <f>IF(ISNA(MATCH(239,'Transfer Engine'!$C$2:$C$1199,0)),"",INDEX('Compliance Database'!$E$2:$E$1199,MATCH(239,'Transfer Engine'!$C$2:$C$1199,0)))</f>
        <v>30</v>
      </c>
      <c r="F248" s="6" t="str">
        <f>IF(ISNA(MATCH(239,'Transfer Engine'!$C$2:$C$1199,0)),"",INDEX('Compliance Database'!$F$2:$F$1199,MATCH(239,'Transfer Engine'!$C$2:$C$1199,0)))</f>
        <v>None</v>
      </c>
      <c r="G248" s="6" t="str">
        <f>IF(ISNA(MATCH(239,'Transfer Engine'!$C$2:$C$1199,0)),"",INDEX('Compliance Database'!$G$2:$G$1199,MATCH(239,'Transfer Engine'!$C$2:$C$1199,0)))</f>
        <v>High (explicit)</v>
      </c>
      <c r="H248" s="7" t="str">
        <f>IF(ISNA(MATCH(239,'Transfer Engine'!$C$2:$C$1199,0)),"",INDEX('Compliance Database'!$H$2:$H$1199,MATCH(239,'Transfer Engine'!$C$2:$C$1199,0)))</f>
        <v>Cloud Services</v>
      </c>
      <c r="I248" s="7">
        <f>IF(ISNA(MATCH(239,'Transfer Engine'!$C$2:$C$1199,0)),"",INDEX('Compliance Database'!$I$2:$I$1199,MATCH(239,'Transfer Engine'!$C$2:$C$1199,0)))</f>
        <v>0</v>
      </c>
      <c r="J248" s="6">
        <f>IF(ISNA(MATCH(239,'Transfer Engine'!$C$2:$C$1199,0)),"",INDEX('Compliance Database'!$J$2:$J$1199,MATCH(239,'Transfer Engine'!$C$2:$C$1199,0)))</f>
        <v>0</v>
      </c>
      <c r="K248" s="7" t="str">
        <f>IF(ISNA(MATCH(239,'Transfer Engine'!$C$2:$C$1199,0)),"",INDEX('Compliance Database'!$K$2:$K$1199,MATCH(239,'Transfer Engine'!$C$2:$C$1199,0)))</f>
        <v>This section lists specific digital infrastructure providers that are subject to regulatory oversight under EU law. It includes Internet Exchange Point providers, DNS service providers (excluding root name servers), TLD name registries, cloud computing service providers, data centre service providers, content delivery network providers, trust service providers, and providers of public electronic communications networks and publicly available electronic communications services. These entities are defined by their role in the digital infrastructure ecosystem.</v>
      </c>
      <c r="L248" s="7">
        <f>IF(ISNA(MATCH(239,'Transfer Engine'!$C$2:$C$1199,0)),"",INDEX('Compliance Database'!$L$2:$L$1199,MATCH(239,'Transfer Engine'!$C$2:$C$1199,0)))</f>
        <v>0</v>
      </c>
      <c r="M248" s="7" t="str">
        <f>IF(ISNA(MATCH(239,'Transfer Engine'!$C$2:$C$1199,0)),"",INDEX('Compliance Database'!$M$2:$M$1199,MATCH(239,'Transfer Engine'!$C$2:$C$1199,0)))</f>
        <v>• [Must] Internet Exchange Point providers
• [Must] DNS service providers, excluding operators of root name servers
• [Must] TLD name registries
• [Must] Cloud computing service providers
• [Must] Data centre service providers</v>
      </c>
      <c r="N248" s="7" t="str">
        <f>IF(ISNA(MATCH(239,'Transfer Engine'!$C$2:$C$1199,0)),"",INDEX('Compliance Database'!$N$2:$N$1199,MATCH(239,'Transfer Engine'!$C$2:$C$1199,0)))</f>
        <v>• [Must] Content delivery network providers
• [Must] Trust service providers
• [Must] Providers of public electronic communications networks
• [Must] Providers of publicly available electronic communications services</v>
      </c>
      <c r="O248" s="7" t="str">
        <f>IF(ISNA(MATCH(239,'Transfer Engine'!$C$2:$C$1199,0)),"",INDEX('Compliance Database'!$O$2:$O$1199,MATCH(239,'Transfer Engine'!$C$2:$C$1199,0)))</f>
        <v>8. Digital infrastructure — Internet Exchange Point providers — DNS service providers, excluding operators of root name servers — TLD name registries — Cloud computing service providers — Data centre service providers — Content delivery network providers — Trust service providers — Providers of public electronic communications networks — Providers of publicly available electronic communications services</v>
      </c>
      <c r="P248" s="6" t="str">
        <f>IF(ISNA(MATCH(239,'Transfer Engine'!$C$2:$C$1199,0)),"",HYPERLINK("#Acts!A"&amp;INDEX('Compliance Database'!$P$2:$P$1199,MATCH(239,'Transfer Engine'!$C$2:$C$1199,0)),"Go to Act"))</f>
        <v>Go to Act</v>
      </c>
    </row>
    <row r="249" spans="1:16" ht="172.95" customHeight="1" x14ac:dyDescent="0.3">
      <c r="A249" s="6" t="str">
        <f>IF(ISNA(MATCH(240,'Transfer Engine'!$C$2:$C$1199,0)),"",INDEX('Compliance Database'!$A$2:$A$1199,MATCH(240,'Transfer Engine'!$C$2:$C$1199,0)))</f>
        <v>GDPR</v>
      </c>
      <c r="B249" s="6" t="str">
        <f>IF(ISNA(MATCH(240,'Transfer Engine'!$C$2:$C$1199,0)),"",INDEX('Compliance Database'!$B$2:$B$1199,MATCH(240,'Transfer Engine'!$C$2:$C$1199,0)))</f>
        <v>CELEX_32022L2555_EN_TXT (GDPR - Row 17)</v>
      </c>
      <c r="C249" s="6" t="str">
        <f>IF(ISNA(MATCH(240,'Transfer Engine'!$C$2:$C$1199,0)),"",INDEX('Compliance Database'!$C$2:$C$1199,MATCH(240,'Transfer Engine'!$C$2:$C$1199,0)))</f>
        <v>9</v>
      </c>
      <c r="D249" s="7" t="str">
        <f>IF(ISNA(MATCH(240,'Transfer Engine'!$C$2:$C$1199,0)),"",INDEX('Compliance Database'!$D$2:$D$1199,MATCH(240,'Transfer Engine'!$C$2:$C$1199,0)))</f>
        <v>Business-to-business ICT service management</v>
      </c>
      <c r="E249" s="6" t="str">
        <f>IF(ISNA(MATCH(240,'Transfer Engine'!$C$2:$C$1199,0)),"",INDEX('Compliance Database'!$E$2:$E$1199,MATCH(240,'Transfer Engine'!$C$2:$C$1199,0)))</f>
        <v>39</v>
      </c>
      <c r="F249" s="6" t="str">
        <f>IF(ISNA(MATCH(240,'Transfer Engine'!$C$2:$C$1199,0)),"",INDEX('Compliance Database'!$F$2:$F$1199,MATCH(240,'Transfer Engine'!$C$2:$C$1199,0)))</f>
        <v>Low</v>
      </c>
      <c r="G249" s="6" t="str">
        <f>IF(ISNA(MATCH(240,'Transfer Engine'!$C$2:$C$1199,0)),"",INDEX('Compliance Database'!$G$2:$G$1199,MATCH(240,'Transfer Engine'!$C$2:$C$1199,0)))</f>
        <v>High (explicit)</v>
      </c>
      <c r="H249" s="7">
        <f>IF(ISNA(MATCH(240,'Transfer Engine'!$C$2:$C$1199,0)),"",INDEX('Compliance Database'!$H$2:$H$1199,MATCH(240,'Transfer Engine'!$C$2:$C$1199,0)))</f>
        <v>0</v>
      </c>
      <c r="I249" s="7">
        <f>IF(ISNA(MATCH(240,'Transfer Engine'!$C$2:$C$1199,0)),"",INDEX('Compliance Database'!$I$2:$I$1199,MATCH(240,'Transfer Engine'!$C$2:$C$1199,0)))</f>
        <v>0</v>
      </c>
      <c r="J249" s="6">
        <f>IF(ISNA(MATCH(240,'Transfer Engine'!$C$2:$C$1199,0)),"",INDEX('Compliance Database'!$J$2:$J$1199,MATCH(240,'Transfer Engine'!$C$2:$C$1199,0)))</f>
        <v>0</v>
      </c>
      <c r="K249" s="7" t="str">
        <f>IF(ISNA(MATCH(240,'Transfer Engine'!$C$2:$C$1199,0)),"",INDEX('Compliance Database'!$K$2:$K$1199,MATCH(240,'Transfer Engine'!$C$2:$C$1199,0)))</f>
        <v>This section specifies entities involved in business-to-business ICT service management, including managed service providers and managed security service providers. These entities are defined by their role in providing managed services and security services to other businesses, forming part of the ICT infrastructure ecosystem.</v>
      </c>
      <c r="L249" s="7">
        <f>IF(ISNA(MATCH(240,'Transfer Engine'!$C$2:$C$1199,0)),"",INDEX('Compliance Database'!$L$2:$L$1199,MATCH(240,'Transfer Engine'!$C$2:$C$1199,0)))</f>
        <v>0</v>
      </c>
      <c r="M249" s="7" t="str">
        <f>IF(ISNA(MATCH(240,'Transfer Engine'!$C$2:$C$1199,0)),"",INDEX('Compliance Database'!$M$2:$M$1199,MATCH(240,'Transfer Engine'!$C$2:$C$1199,0)))</f>
        <v>• [Must] Managed service providers</v>
      </c>
      <c r="N249" s="7" t="str">
        <f>IF(ISNA(MATCH(240,'Transfer Engine'!$C$2:$C$1199,0)),"",INDEX('Compliance Database'!$N$2:$N$1199,MATCH(240,'Transfer Engine'!$C$2:$C$1199,0)))</f>
        <v>• [Must] Managed security service providers</v>
      </c>
      <c r="O249" s="7" t="str">
        <f>IF(ISNA(MATCH(240,'Transfer Engine'!$C$2:$C$1199,0)),"",INDEX('Compliance Database'!$O$2:$O$1199,MATCH(240,'Transfer Engine'!$C$2:$C$1199,0)))</f>
        <v>9. ICT service management (business-to-business) — Managed service providers — Managed security service providers</v>
      </c>
      <c r="P249" s="6" t="str">
        <f>IF(ISNA(MATCH(240,'Transfer Engine'!$C$2:$C$1199,0)),"",HYPERLINK("#Acts!A"&amp;INDEX('Compliance Database'!$P$2:$P$1199,MATCH(240,'Transfer Engine'!$C$2:$C$1199,0)),"Go to Act"))</f>
        <v>Go to Act</v>
      </c>
    </row>
    <row r="250" spans="1:16" ht="172.95" customHeight="1" x14ac:dyDescent="0.3">
      <c r="A250" s="6" t="str">
        <f>IF(ISNA(MATCH(241,'Transfer Engine'!$C$2:$C$1199,0)),"",INDEX('Compliance Database'!$A$2:$A$1199,MATCH(241,'Transfer Engine'!$C$2:$C$1199,0)))</f>
        <v>GDPR</v>
      </c>
      <c r="B250" s="6" t="str">
        <f>IF(ISNA(MATCH(241,'Transfer Engine'!$C$2:$C$1199,0)),"",INDEX('Compliance Database'!$B$2:$B$1199,MATCH(241,'Transfer Engine'!$C$2:$C$1199,0)))</f>
        <v>CELEX_32022L2555_EN_TXT (GDPR - Row 17)</v>
      </c>
      <c r="C250" s="6" t="str">
        <f>IF(ISNA(MATCH(241,'Transfer Engine'!$C$2:$C$1199,0)),"",INDEX('Compliance Database'!$C$2:$C$1199,MATCH(241,'Transfer Engine'!$C$2:$C$1199,0)))</f>
        <v>10</v>
      </c>
      <c r="D250" s="7" t="str">
        <f>IF(ISNA(MATCH(241,'Transfer Engine'!$C$2:$C$1199,0)),"",INDEX('Compliance Database'!$D$2:$D$1199,MATCH(241,'Transfer Engine'!$C$2:$C$1199,0)))</f>
        <v>Public administration entities</v>
      </c>
      <c r="E250" s="6" t="str">
        <f>IF(ISNA(MATCH(241,'Transfer Engine'!$C$2:$C$1199,0)),"",INDEX('Compliance Database'!$E$2:$E$1199,MATCH(241,'Transfer Engine'!$C$2:$C$1199,0)))</f>
        <v>51</v>
      </c>
      <c r="F250" s="6" t="str">
        <f>IF(ISNA(MATCH(241,'Transfer Engine'!$C$2:$C$1199,0)),"",INDEX('Compliance Database'!$F$2:$F$1199,MATCH(241,'Transfer Engine'!$C$2:$C$1199,0)))</f>
        <v>None</v>
      </c>
      <c r="G250" s="6" t="str">
        <f>IF(ISNA(MATCH(241,'Transfer Engine'!$C$2:$C$1199,0)),"",INDEX('Compliance Database'!$G$2:$G$1199,MATCH(241,'Transfer Engine'!$C$2:$C$1199,0)))</f>
        <v>High (explicit)</v>
      </c>
      <c r="H250" s="7">
        <f>IF(ISNA(MATCH(241,'Transfer Engine'!$C$2:$C$1199,0)),"",INDEX('Compliance Database'!$H$2:$H$1199,MATCH(241,'Transfer Engine'!$C$2:$C$1199,0)))</f>
        <v>0</v>
      </c>
      <c r="I250" s="7">
        <f>IF(ISNA(MATCH(241,'Transfer Engine'!$C$2:$C$1199,0)),"",INDEX('Compliance Database'!$I$2:$I$1199,MATCH(241,'Transfer Engine'!$C$2:$C$1199,0)))</f>
        <v>0</v>
      </c>
      <c r="J250" s="6">
        <f>IF(ISNA(MATCH(241,'Transfer Engine'!$C$2:$C$1199,0)),"",INDEX('Compliance Database'!$J$2:$J$1199,MATCH(241,'Transfer Engine'!$C$2:$C$1199,0)))</f>
        <v>0</v>
      </c>
      <c r="K250" s="7" t="str">
        <f>IF(ISNA(MATCH(241,'Transfer Engine'!$C$2:$C$1199,0)),"",INDEX('Compliance Database'!$K$2:$K$1199,MATCH(241,'Transfer Engine'!$C$2:$C$1199,0)))</f>
        <v>This section identifies public administration entities at both central and regional government levels as defined by national law in each Member State. These entities are subject to specific regulatory frameworks under EU law, with their definitions varying by country.</v>
      </c>
      <c r="L250" s="7">
        <f>IF(ISNA(MATCH(241,'Transfer Engine'!$C$2:$C$1199,0)),"",INDEX('Compliance Database'!$L$2:$L$1199,MATCH(241,'Transfer Engine'!$C$2:$C$1199,0)))</f>
        <v>0</v>
      </c>
      <c r="M250" s="7" t="str">
        <f>IF(ISNA(MATCH(241,'Transfer Engine'!$C$2:$C$1199,0)),"",INDEX('Compliance Database'!$M$2:$M$1199,MATCH(241,'Transfer Engine'!$C$2:$C$1199,0)))</f>
        <v>• [Must] Public administration entities of central governments as defined by a Member State in accordance with national law</v>
      </c>
      <c r="N250" s="7" t="str">
        <f>IF(ISNA(MATCH(241,'Transfer Engine'!$C$2:$C$1199,0)),"",INDEX('Compliance Database'!$N$2:$N$1199,MATCH(241,'Transfer Engine'!$C$2:$C$1199,0)))</f>
        <v>• [Must] Public administration entities at regional level as defined by a Member State in accordance with national law</v>
      </c>
      <c r="O250" s="7" t="str">
        <f>IF(ISNA(MATCH(241,'Transfer Engine'!$C$2:$C$1199,0)),"",INDEX('Compliance Database'!$O$2:$O$1199,MATCH(241,'Transfer Engine'!$C$2:$C$1199,0)))</f>
        <v>10. Public administration — Public administration entities of central governments as defined by a Member State in accordance with national law — Public administration entities at regional level as defined by a Member State in accordance with national law</v>
      </c>
      <c r="P250" s="6" t="str">
        <f>IF(ISNA(MATCH(241,'Transfer Engine'!$C$2:$C$1199,0)),"",HYPERLINK("#Acts!A"&amp;INDEX('Compliance Database'!$P$2:$P$1199,MATCH(241,'Transfer Engine'!$C$2:$C$1199,0)),"Go to Act"))</f>
        <v>Go to Act</v>
      </c>
    </row>
    <row r="251" spans="1:16" ht="172.95" customHeight="1" x14ac:dyDescent="0.3">
      <c r="A251" s="6" t="str">
        <f>IF(ISNA(MATCH(242,'Transfer Engine'!$C$2:$C$1199,0)),"",INDEX('Compliance Database'!$A$2:$A$1199,MATCH(242,'Transfer Engine'!$C$2:$C$1199,0)))</f>
        <v>GDPR</v>
      </c>
      <c r="B251" s="6" t="str">
        <f>IF(ISNA(MATCH(242,'Transfer Engine'!$C$2:$C$1199,0)),"",INDEX('Compliance Database'!$B$2:$B$1199,MATCH(242,'Transfer Engine'!$C$2:$C$1199,0)))</f>
        <v>CELEX_32022L2555_EN_TXT (GDPR - Row 17)</v>
      </c>
      <c r="C251" s="6" t="str">
        <f>IF(ISNA(MATCH(242,'Transfer Engine'!$C$2:$C$1199,0)),"",INDEX('Compliance Database'!$C$2:$C$1199,MATCH(242,'Transfer Engine'!$C$2:$C$1199,0)))</f>
        <v>11</v>
      </c>
      <c r="D251" s="7" t="str">
        <f>IF(ISNA(MATCH(242,'Transfer Engine'!$C$2:$C$1199,0)),"",INDEX('Compliance Database'!$D$2:$D$1199,MATCH(242,'Transfer Engine'!$C$2:$C$1199,0)))</f>
        <v>Space infrastructure operators</v>
      </c>
      <c r="E251" s="6" t="str">
        <f>IF(ISNA(MATCH(242,'Transfer Engine'!$C$2:$C$1199,0)),"",INDEX('Compliance Database'!$E$2:$E$1199,MATCH(242,'Transfer Engine'!$C$2:$C$1199,0)))</f>
        <v>30</v>
      </c>
      <c r="F251" s="6" t="str">
        <f>IF(ISNA(MATCH(242,'Transfer Engine'!$C$2:$C$1199,0)),"",INDEX('Compliance Database'!$F$2:$F$1199,MATCH(242,'Transfer Engine'!$C$2:$C$1199,0)))</f>
        <v>Low</v>
      </c>
      <c r="G251" s="6" t="str">
        <f>IF(ISNA(MATCH(242,'Transfer Engine'!$C$2:$C$1199,0)),"",INDEX('Compliance Database'!$G$2:$G$1199,MATCH(242,'Transfer Engine'!$C$2:$C$1199,0)))</f>
        <v>High (explicit)</v>
      </c>
      <c r="H251" s="7">
        <f>IF(ISNA(MATCH(242,'Transfer Engine'!$C$2:$C$1199,0)),"",INDEX('Compliance Database'!$H$2:$H$1199,MATCH(242,'Transfer Engine'!$C$2:$C$1199,0)))</f>
        <v>0</v>
      </c>
      <c r="I251" s="7">
        <f>IF(ISNA(MATCH(242,'Transfer Engine'!$C$2:$C$1199,0)),"",INDEX('Compliance Database'!$I$2:$I$1199,MATCH(242,'Transfer Engine'!$C$2:$C$1199,0)))</f>
        <v>0</v>
      </c>
      <c r="J251" s="6">
        <f>IF(ISNA(MATCH(242,'Transfer Engine'!$C$2:$C$1199,0)),"",INDEX('Compliance Database'!$J$2:$J$1199,MATCH(242,'Transfer Engine'!$C$2:$C$1199,0)))</f>
        <v>0</v>
      </c>
      <c r="K251" s="7" t="str">
        <f>IF(ISNA(MATCH(242,'Transfer Engine'!$C$2:$C$1199,0)),"",INDEX('Compliance Database'!$K$2:$K$1199,MATCH(242,'Transfer Engine'!$C$2:$C$1199,0)))</f>
        <v>This section defines operators of ground-based infrastructure that support space-based services, owned or managed by Member States or private parties, excluding those providing public electronic communications networks. The section references multiple EU directives and regulations related to energy, transport, and security that inform the regulatory framework for these operators.</v>
      </c>
      <c r="L251" s="7">
        <f>IF(ISNA(MATCH(242,'Transfer Engine'!$C$2:$C$1199,0)),"",INDEX('Compliance Database'!$L$2:$L$1199,MATCH(242,'Transfer Engine'!$C$2:$C$1199,0)))</f>
        <v>0</v>
      </c>
      <c r="M251" s="7" t="str">
        <f>IF(ISNA(MATCH(242,'Transfer Engine'!$C$2:$C$1199,0)),"",INDEX('Compliance Database'!$M$2:$M$1199,MATCH(242,'Transfer Engine'!$C$2:$C$1199,0)))</f>
        <v>• [Must] Operators of ground-based infrastructure, owned, managed and operated by Member States or by private parties
• [Must] That support the provision of space-based services</v>
      </c>
      <c r="N251" s="7" t="str">
        <f>IF(ISNA(MATCH(242,'Transfer Engine'!$C$2:$C$1199,0)),"",INDEX('Compliance Database'!$N$2:$N$1199,MATCH(242,'Transfer Engine'!$C$2:$C$1199,0)))</f>
        <v>• [Must Not] Excluding providers of public electronic communications networks</v>
      </c>
      <c r="O251" s="7" t="str">
        <f>IF(ISNA(MATCH(242,'Transfer Engine'!$C$2:$C$1199,0)),"",INDEX('Compliance Database'!$O$2:$O$1199,MATCH(242,'Transfer Engine'!$C$2:$C$1199,0)))</f>
        <v>11. Space Operators of ground-based infrastructure, owned, managed and operated by Member States or by private parties, that support the provision of space-based services, excluding providers of public electronic communications networks</v>
      </c>
      <c r="P251" s="6" t="str">
        <f>IF(ISNA(MATCH(242,'Transfer Engine'!$C$2:$C$1199,0)),"",HYPERLINK("#Acts!A"&amp;INDEX('Compliance Database'!$P$2:$P$1199,MATCH(242,'Transfer Engine'!$C$2:$C$1199,0)),"Go to Act"))</f>
        <v>Go to Act</v>
      </c>
    </row>
    <row r="252" spans="1:16" ht="172.95" customHeight="1" x14ac:dyDescent="0.3">
      <c r="A252" s="6" t="str">
        <f>IF(ISNA(MATCH(243,'Transfer Engine'!$C$2:$C$1199,0)),"",INDEX('Compliance Database'!$A$2:$A$1199,MATCH(243,'Transfer Engine'!$C$2:$C$1199,0)))</f>
        <v>GDPR</v>
      </c>
      <c r="B252" s="6" t="str">
        <f>IF(ISNA(MATCH(243,'Transfer Engine'!$C$2:$C$1199,0)),"",INDEX('Compliance Database'!$B$2:$B$1199,MATCH(243,'Transfer Engine'!$C$2:$C$1199,0)))</f>
        <v>CELEX_32022L2555_EN_TXT (GDPR - Row 17)</v>
      </c>
      <c r="C252" s="6" t="str">
        <f>IF(ISNA(MATCH(243,'Transfer Engine'!$C$2:$C$1199,0)),"",INDEX('Compliance Database'!$C$2:$C$1199,MATCH(243,'Transfer Engine'!$C$2:$C$1199,0)))</f>
        <v>12</v>
      </c>
      <c r="D252" s="7" t="str">
        <f>IF(ISNA(MATCH(243,'Transfer Engine'!$C$2:$C$1199,0)),"",INDEX('Compliance Database'!$D$2:$D$1199,MATCH(243,'Transfer Engine'!$C$2:$C$1199,0)))</f>
        <v>GDPR applies without prejudice to other regulations</v>
      </c>
      <c r="E252" s="6" t="str">
        <f>IF(ISNA(MATCH(243,'Transfer Engine'!$C$2:$C$1199,0)),"",INDEX('Compliance Database'!$E$2:$E$1199,MATCH(243,'Transfer Engine'!$C$2:$C$1199,0)))</f>
        <v>30</v>
      </c>
      <c r="F252" s="6" t="str">
        <f>IF(ISNA(MATCH(243,'Transfer Engine'!$C$2:$C$1199,0)),"",INDEX('Compliance Database'!$F$2:$F$1199,MATCH(243,'Transfer Engine'!$C$2:$C$1199,0)))</f>
        <v>Low</v>
      </c>
      <c r="G252" s="6" t="str">
        <f>IF(ISNA(MATCH(243,'Transfer Engine'!$C$2:$C$1199,0)),"",INDEX('Compliance Database'!$G$2:$G$1199,MATCH(243,'Transfer Engine'!$C$2:$C$1199,0)))</f>
        <v>High (explicit)</v>
      </c>
      <c r="H252" s="7">
        <f>IF(ISNA(MATCH(243,'Transfer Engine'!$C$2:$C$1199,0)),"",INDEX('Compliance Database'!$H$2:$H$1199,MATCH(243,'Transfer Engine'!$C$2:$C$1199,0)))</f>
        <v>0</v>
      </c>
      <c r="I252" s="7">
        <f>IF(ISNA(MATCH(243,'Transfer Engine'!$C$2:$C$1199,0)),"",INDEX('Compliance Database'!$I$2:$I$1199,MATCH(243,'Transfer Engine'!$C$2:$C$1199,0)))</f>
        <v>0</v>
      </c>
      <c r="J252" s="6">
        <f>IF(ISNA(MATCH(243,'Transfer Engine'!$C$2:$C$1199,0)),"",INDEX('Compliance Database'!$J$2:$J$1199,MATCH(243,'Transfer Engine'!$C$2:$C$1199,0)))</f>
        <v>0</v>
      </c>
      <c r="K252" s="7" t="str">
        <f>IF(ISNA(MATCH(243,'Transfer Engine'!$C$2:$C$1199,0)),"",INDEX('Compliance Database'!$K$2:$K$1199,MATCH(243,'Transfer Engine'!$C$2:$C$1199,0)))</f>
        <v>This section states that GDPR applies without prejudice to specific EU regulations and directives, including Regulation (EU) 2016/679 (GDPR), Directive 2002/58/EC, and other directives related to child protection and cyber security. These existing laws remain in effect alongside GDPR.</v>
      </c>
      <c r="L252" s="7" t="str">
        <f>IF(ISNA(MATCH(243,'Transfer Engine'!$C$2:$C$1199,0)),"",INDEX('Compliance Database'!$L$2:$L$1199,MATCH(243,'Transfer Engine'!$C$2:$C$1199,0)))</f>
        <v>This section clarifies that GDPR does not override existing national or EU laws, so data transfers must comply with both GDPR and other applicable regulations.</v>
      </c>
      <c r="M252" s="7" t="str">
        <f>IF(ISNA(MATCH(243,'Transfer Engine'!$C$2:$C$1199,0)),"",INDEX('Compliance Database'!$M$2:$M$1199,MATCH(243,'Transfer Engine'!$C$2:$C$1199,0)))</f>
        <v>• [Must] GDPR applies without prejudice to Regulation (EU) 2016/679, Directive 2002/58/EC, Directives 2011/93/EU and 2013/40/EU</v>
      </c>
      <c r="N252" s="7">
        <f>IF(ISNA(MATCH(243,'Transfer Engine'!$C$2:$C$1199,0)),"",INDEX('Compliance Database'!$N$2:$N$1199,MATCH(243,'Transfer Engine'!$C$2:$C$1199,0)))</f>
        <v>0</v>
      </c>
      <c r="O252" s="7" t="str">
        <f>IF(ISNA(MATCH(243,'Transfer Engine'!$C$2:$C$1199,0)),"",INDEX('Compliance Database'!$O$2:$O$1199,MATCH(243,'Transfer Engine'!$C$2:$C$1199,0)))</f>
        <v>This Directive applies without prejudice to Regulation (EU) 2016/679, Directive 2002/58/EC, Directives 2011/93/EU (27) and 2013/40/EU (28) of the European Parliament and of the Council and Directive (EU) 2022/2557.</v>
      </c>
      <c r="P252" s="6" t="str">
        <f>IF(ISNA(MATCH(243,'Transfer Engine'!$C$2:$C$1199,0)),"",HYPERLINK("#Acts!A"&amp;INDEX('Compliance Database'!$P$2:$P$1199,MATCH(243,'Transfer Engine'!$C$2:$C$1199,0)),"Go to Act"))</f>
        <v>Go to Act</v>
      </c>
    </row>
    <row r="253" spans="1:16" ht="172.95" customHeight="1" x14ac:dyDescent="0.3">
      <c r="A253" s="6" t="str">
        <f>IF(ISNA(MATCH(244,'Transfer Engine'!$C$2:$C$1199,0)),"",INDEX('Compliance Database'!$A$2:$A$1199,MATCH(244,'Transfer Engine'!$C$2:$C$1199,0)))</f>
        <v>GDPR</v>
      </c>
      <c r="B253" s="6" t="str">
        <f>IF(ISNA(MATCH(244,'Transfer Engine'!$C$2:$C$1199,0)),"",INDEX('Compliance Database'!$B$2:$B$1199,MATCH(244,'Transfer Engine'!$C$2:$C$1199,0)))</f>
        <v>CELEX_32022L2555_EN_TXT (GDPR - Row 17)</v>
      </c>
      <c r="C253" s="6" t="str">
        <f>IF(ISNA(MATCH(244,'Transfer Engine'!$C$2:$C$1199,0)),"",INDEX('Compliance Database'!$C$2:$C$1199,MATCH(244,'Transfer Engine'!$C$2:$C$1199,0)))</f>
        <v>13</v>
      </c>
      <c r="D253" s="7" t="str">
        <f>IF(ISNA(MATCH(244,'Transfer Engine'!$C$2:$C$1199,0)),"",INDEX('Compliance Database'!$D$2:$D$1199,MATCH(244,'Transfer Engine'!$C$2:$C$1199,0)))</f>
        <v>Confidential information exchange for security purposes</v>
      </c>
      <c r="E253" s="6" t="str">
        <f>IF(ISNA(MATCH(244,'Transfer Engine'!$C$2:$C$1199,0)),"",INDEX('Compliance Database'!$E$2:$E$1199,MATCH(244,'Transfer Engine'!$C$2:$C$1199,0)))</f>
        <v>30–31</v>
      </c>
      <c r="F253" s="6" t="str">
        <f>IF(ISNA(MATCH(244,'Transfer Engine'!$C$2:$C$1199,0)),"",INDEX('Compliance Database'!$F$2:$F$1199,MATCH(244,'Transfer Engine'!$C$2:$C$1199,0)))</f>
        <v>High</v>
      </c>
      <c r="G253" s="6" t="str">
        <f>IF(ISNA(MATCH(244,'Transfer Engine'!$C$2:$C$1199,0)),"",INDEX('Compliance Database'!$G$2:$G$1199,MATCH(244,'Transfer Engine'!$C$2:$C$1199,0)))</f>
        <v>High (explicit)</v>
      </c>
      <c r="H253" s="7" t="str">
        <f>IF(ISNA(MATCH(244,'Transfer Engine'!$C$2:$C$1199,0)),"",INDEX('Compliance Database'!$H$2:$H$1199,MATCH(244,'Transfer Engine'!$C$2:$C$1199,0)))</f>
        <v>Security</v>
      </c>
      <c r="I253" s="7" t="str">
        <f>IF(ISNA(MATCH(244,'Transfer Engine'!$C$2:$C$1199,0)),"",INDEX('Compliance Database'!$I$2:$I$1199,MATCH(244,'Transfer Engine'!$C$2:$C$1199,0)))</f>
        <v>Personal Information</v>
      </c>
      <c r="J253" s="6">
        <f>IF(ISNA(MATCH(244,'Transfer Engine'!$C$2:$C$1199,0)),"",INDEX('Compliance Database'!$J$2:$J$1199,MATCH(244,'Transfer Engine'!$C$2:$C$1199,0)))</f>
        <v>0</v>
      </c>
      <c r="K253" s="7" t="str">
        <f>IF(ISNA(MATCH(244,'Transfer Engine'!$C$2:$C$1199,0)),"",INDEX('Compliance Database'!$K$2:$K$1199,MATCH(244,'Transfer Engine'!$C$2:$C$1199,0)))</f>
        <v>This section allows confidential information to be exchanged with the Commission and other authorities only when necessary for applying the Directive. The exchanged information must be relevant and proportionate to the purpose, and must preserve confidentiality while protecting security and commercial interests of entities involved.</v>
      </c>
      <c r="L253" s="7" t="str">
        <f>IF(ISNA(MATCH(244,'Transfer Engine'!$C$2:$C$1199,0)),"",INDEX('Compliance Database'!$L$2:$L$1199,MATCH(244,'Transfer Engine'!$C$2:$C$1199,0)))</f>
        <v>This section governs the exchange of confidential information across borders for security purposes, requiring that data transfers be necessary, relevant, and proportionate to avoid GDPR compliance issues.</v>
      </c>
      <c r="M253" s="7" t="str">
        <f>IF(ISNA(MATCH(244,'Transfer Engine'!$C$2:$C$1199,0)),"",INDEX('Compliance Database'!$M$2:$M$1199,MATCH(244,'Transfer Engine'!$C$2:$C$1199,0)))</f>
        <v>• [Must] Confidential information must be exchanged only when necessary for applying this Directive
• [Must] Exchanged information must be relevant and proportionate to the purpose</v>
      </c>
      <c r="N253" s="7" t="str">
        <f>IF(ISNA(MATCH(244,'Transfer Engine'!$C$2:$C$1199,0)),"",INDEX('Compliance Database'!$N$2:$N$1199,MATCH(244,'Transfer Engine'!$C$2:$C$1199,0)))</f>
        <v>• [Must] Exchanged information must preserve confidentiality and protect security and commercial interests</v>
      </c>
      <c r="O253" s="7" t="str">
        <f>IF(ISNA(MATCH(244,'Transfer Engine'!$C$2:$C$1199,0)),"",INDEX('Compliance Database'!$O$2:$O$1199,MATCH(244,'Transfer Engine'!$C$2:$C$1199,0)))</f>
        <v>Without prejudice to Article 346 TFEU, information that is confidential pursuant to Union or national rules, such as rules on business confidentiality, shall be exchanged with the Commission and other relevant authorities in accordance with this Directive only where that exchange is necessary for the application of this Directive.</v>
      </c>
      <c r="P253" s="6" t="str">
        <f>IF(ISNA(MATCH(244,'Transfer Engine'!$C$2:$C$1199,0)),"",HYPERLINK("#Acts!A"&amp;INDEX('Compliance Database'!$P$2:$P$1199,MATCH(244,'Transfer Engine'!$C$2:$C$1199,0)),"Go to Act"))</f>
        <v>Go to Act</v>
      </c>
    </row>
    <row r="254" spans="1:16" ht="172.95" customHeight="1" x14ac:dyDescent="0.3">
      <c r="A254" s="6" t="str">
        <f>IF(ISNA(MATCH(245,'Transfer Engine'!$C$2:$C$1199,0)),"",INDEX('Compliance Database'!$A$2:$A$1199,MATCH(245,'Transfer Engine'!$C$2:$C$1199,0)))</f>
        <v>GDPR</v>
      </c>
      <c r="B254" s="6" t="str">
        <f>IF(ISNA(MATCH(245,'Transfer Engine'!$C$2:$C$1199,0)),"",INDEX('Compliance Database'!$B$2:$B$1199,MATCH(245,'Transfer Engine'!$C$2:$C$1199,0)))</f>
        <v>CELEX_32022L2555_EN_TXT (GDPR - Row 17)</v>
      </c>
      <c r="C254" s="6" t="str">
        <f>IF(ISNA(MATCH(245,'Transfer Engine'!$C$2:$C$1199,0)),"",INDEX('Compliance Database'!$C$2:$C$1199,MATCH(245,'Transfer Engine'!$C$2:$C$1199,0)))</f>
        <v>14</v>
      </c>
      <c r="D254" s="7" t="str">
        <f>IF(ISNA(MATCH(245,'Transfer Engine'!$C$2:$C$1199,0)),"",INDEX('Compliance Database'!$D$2:$D$1199,MATCH(245,'Transfer Engine'!$C$2:$C$1199,0)))</f>
        <v>Processing personal data for security purposes</v>
      </c>
      <c r="E254" s="6" t="str">
        <f>IF(ISNA(MATCH(245,'Transfer Engine'!$C$2:$C$1199,0)),"",INDEX('Compliance Database'!$E$2:$E$1199,MATCH(245,'Transfer Engine'!$C$2:$C$1199,0)))</f>
        <v>31</v>
      </c>
      <c r="F254" s="6" t="str">
        <f>IF(ISNA(MATCH(245,'Transfer Engine'!$C$2:$C$1199,0)),"",INDEX('Compliance Database'!$F$2:$F$1199,MATCH(245,'Transfer Engine'!$C$2:$C$1199,0)))</f>
        <v>High</v>
      </c>
      <c r="G254" s="6" t="str">
        <f>IF(ISNA(MATCH(245,'Transfer Engine'!$C$2:$C$1199,0)),"",INDEX('Compliance Database'!$G$2:$G$1199,MATCH(245,'Transfer Engine'!$C$2:$C$1199,0)))</f>
        <v>High (explicit)</v>
      </c>
      <c r="H254" s="7" t="str">
        <f>IF(ISNA(MATCH(245,'Transfer Engine'!$C$2:$C$1199,0)),"",INDEX('Compliance Database'!$H$2:$H$1199,MATCH(245,'Transfer Engine'!$C$2:$C$1199,0)))</f>
        <v>Security, Processing</v>
      </c>
      <c r="I254" s="7" t="str">
        <f>IF(ISNA(MATCH(245,'Transfer Engine'!$C$2:$C$1199,0)),"",INDEX('Compliance Database'!$I$2:$I$1199,MATCH(245,'Transfer Engine'!$C$2:$C$1199,0)))</f>
        <v>Personal Information</v>
      </c>
      <c r="J254" s="6">
        <f>IF(ISNA(MATCH(245,'Transfer Engine'!$C$2:$C$1199,0)),"",INDEX('Compliance Database'!$J$2:$J$1199,MATCH(245,'Transfer Engine'!$C$2:$C$1199,0)))</f>
        <v>0</v>
      </c>
      <c r="K254" s="7" t="str">
        <f>IF(ISNA(MATCH(245,'Transfer Engine'!$C$2:$C$1199,0)),"",INDEX('Compliance Database'!$K$2:$K$1199,MATCH(245,'Transfer Engine'!$C$2:$C$1199,0)))</f>
        <v>Entities, competent authorities, single points of contact, and CSIRTs must process personal data necessary for the Directive's purposes in compliance with GDPR, particularly Article 6. Processing by providers of public electronic communications networks or services must follow Union data protection and privacy laws, including Directive 2002/58/EC.</v>
      </c>
      <c r="L254" s="7" t="str">
        <f>IF(ISNA(MATCH(245,'Transfer Engine'!$C$2:$C$1199,0)),"",INDEX('Compliance Database'!$L$2:$L$1199,MATCH(245,'Transfer Engine'!$C$2:$C$1199,0)))</f>
        <v>This section specifies that data processing for security purposes must comply with GDPR and relevant national laws, ensuring that data transfers for critical infrastructure are handled appropriately.</v>
      </c>
      <c r="M254" s="7" t="str">
        <f>IF(ISNA(MATCH(245,'Transfer Engine'!$C$2:$C$1199,0)),"",INDEX('Compliance Database'!$M$2:$M$1199,MATCH(245,'Transfer Engine'!$C$2:$C$1199,0)))</f>
        <v>• [Must] Entities, competent authorities, single points of contact and CSIRTs must process personal data necessary for the Directive's purposes
• [Must] Processing must comply with Regulation (EU) 2016/679, particularly Article 6</v>
      </c>
      <c r="N254" s="7" t="str">
        <f>IF(ISNA(MATCH(245,'Transfer Engine'!$C$2:$C$1199,0)),"",INDEX('Compliance Database'!$N$2:$N$1199,MATCH(245,'Transfer Engine'!$C$2:$C$1199,0)))</f>
        <v>• [Must] Providers of public electronic communications networks or services must process data in accordance with Union data protection and privacy law</v>
      </c>
      <c r="O254" s="7" t="str">
        <f>IF(ISNA(MATCH(245,'Transfer Engine'!$C$2:$C$1199,0)),"",INDEX('Compliance Database'!$O$2:$O$1199,MATCH(245,'Transfer Engine'!$C$2:$C$1199,0)))</f>
        <v>Entities, the competent authorities, the single points of contact and the CSIRTs shall process personal data to the extent necessary for the purposes of this Directive and in accordance with Regulation (EU) 2016/679, in particular such processing shall rely on Article 6 thereof.</v>
      </c>
      <c r="P254" s="6" t="str">
        <f>IF(ISNA(MATCH(245,'Transfer Engine'!$C$2:$C$1199,0)),"",HYPERLINK("#Acts!A"&amp;INDEX('Compliance Database'!$P$2:$P$1199,MATCH(245,'Transfer Engine'!$C$2:$C$1199,0)),"Go to Act"))</f>
        <v>Go to Act</v>
      </c>
    </row>
    <row r="255" spans="1:16" ht="172.95" customHeight="1" x14ac:dyDescent="0.3">
      <c r="A255" s="6" t="str">
        <f>IF(ISNA(MATCH(246,'Transfer Engine'!$C$2:$C$1199,0)),"",INDEX('Compliance Database'!$A$2:$A$1199,MATCH(246,'Transfer Engine'!$C$2:$C$1199,0)))</f>
        <v>GDPR</v>
      </c>
      <c r="B255" s="6" t="str">
        <f>IF(ISNA(MATCH(246,'Transfer Engine'!$C$2:$C$1199,0)),"",INDEX('Compliance Database'!$B$2:$B$1199,MATCH(246,'Transfer Engine'!$C$2:$C$1199,0)))</f>
        <v>CELEX_32022R0868_EN_TXT (GDPR - Row 12)</v>
      </c>
      <c r="C255" s="6" t="str">
        <f>IF(ISNA(MATCH(246,'Transfer Engine'!$C$2:$C$1199,0)),"",INDEX('Compliance Database'!$C$2:$C$1199,MATCH(246,'Transfer Engine'!$C$2:$C$1199,0)))</f>
        <v>1</v>
      </c>
      <c r="D255" s="7" t="str">
        <f>IF(ISNA(MATCH(246,'Transfer Engine'!$C$2:$C$1199,0)),"",INDEX('Compliance Database'!$D$2:$D$1199,MATCH(246,'Transfer Engine'!$C$2:$C$1199,0)))</f>
        <v>Member States' penalties for data transfers</v>
      </c>
      <c r="E255" s="6" t="str">
        <f>IF(ISNA(MATCH(246,'Transfer Engine'!$C$2:$C$1199,0)),"",INDEX('Compliance Database'!$E$2:$E$1199,MATCH(246,'Transfer Engine'!$C$2:$C$1199,0)))</f>
        <v>18</v>
      </c>
      <c r="F255" s="6" t="str">
        <f>IF(ISNA(MATCH(246,'Transfer Engine'!$C$2:$C$1199,0)),"",INDEX('Compliance Database'!$F$2:$F$1199,MATCH(246,'Transfer Engine'!$C$2:$C$1199,0)))</f>
        <v>None</v>
      </c>
      <c r="G255" s="6" t="str">
        <f>IF(ISNA(MATCH(246,'Transfer Engine'!$C$2:$C$1199,0)),"",INDEX('Compliance Database'!$G$2:$G$1199,MATCH(246,'Transfer Engine'!$C$2:$C$1199,0)))</f>
        <v>High (explicit)</v>
      </c>
      <c r="H255" s="7">
        <f>IF(ISNA(MATCH(246,'Transfer Engine'!$C$2:$C$1199,0)),"",INDEX('Compliance Database'!$H$2:$H$1199,MATCH(246,'Transfer Engine'!$C$2:$C$1199,0)))</f>
        <v>0</v>
      </c>
      <c r="I255" s="7">
        <f>IF(ISNA(MATCH(246,'Transfer Engine'!$C$2:$C$1199,0)),"",INDEX('Compliance Database'!$I$2:$I$1199,MATCH(246,'Transfer Engine'!$C$2:$C$1199,0)))</f>
        <v>0</v>
      </c>
      <c r="J255" s="6">
        <f>IF(ISNA(MATCH(246,'Transfer Engine'!$C$2:$C$1199,0)),"",INDEX('Compliance Database'!$J$2:$J$1199,MATCH(246,'Transfer Engine'!$C$2:$C$1199,0)))</f>
        <v>0</v>
      </c>
      <c r="K255" s="7" t="str">
        <f>IF(ISNA(MATCH(246,'Transfer Engine'!$C$2:$C$1199,0)),"",INDEX('Compliance Database'!$K$2:$K$1199,MATCH(246,'Transfer Engine'!$C$2:$C$1199,0)))</f>
        <v>Member States must establish rules for penalties applicable to infringements of obligations regarding transfers of non-personal data to third countries. These penalties must be effective, proportionate, and dissuasive. Member States must notify the Commission by 24 September 2023 of their penalty rules and any subsequent amendments.</v>
      </c>
      <c r="L255" s="7">
        <f>IF(ISNA(MATCH(246,'Transfer Engine'!$C$2:$C$1199,0)),"",INDEX('Compliance Database'!$L$2:$L$1199,MATCH(246,'Transfer Engine'!$C$2:$C$1199,0)))</f>
        <v>0</v>
      </c>
      <c r="M255" s="7" t="str">
        <f>IF(ISNA(MATCH(246,'Transfer Engine'!$C$2:$C$1199,0)),"",INDEX('Compliance Database'!$M$2:$M$1199,MATCH(246,'Transfer Engine'!$C$2:$C$1199,0)))</f>
        <v>• [Must] Member States shall lay down the rules on penalties applicable to infringements of the obligations regarding transfers of non-personal data to third countries
• [Must] Penalties shall be effective, proportionate and dissuasive</v>
      </c>
      <c r="N255" s="7" t="str">
        <f>IF(ISNA(MATCH(246,'Transfer Engine'!$C$2:$C$1199,0)),"",INDEX('Compliance Database'!$N$2:$N$1199,MATCH(246,'Transfer Engine'!$C$2:$C$1199,0)))</f>
        <v>• [Must] Member States shall notify the Commission of penalty rules by 24 September 2023</v>
      </c>
      <c r="O255" s="7" t="str">
        <f>IF(ISNA(MATCH(246,'Transfer Engine'!$C$2:$C$1199,0)),"",INDEX('Compliance Database'!$O$2:$O$1199,MATCH(246,'Transfer Engine'!$C$2:$C$1199,0)))</f>
        <v>Member States shall lay down the rules on penalties applicable to infringements of the obligations regarding transfers of non-personal data to third countries pursuant to Article 5(14) and Article 31, the notification obligation of data intermediation services providers pursuant to Article 11, the conditions for providing data intermediation services pursuant to Article 12 and the conditions for the registration as a recognised data altruism organisation pursuant to Articles 18, 20, 21 and 22, and shall take all measures necessary to ensure that they are implemented.</v>
      </c>
      <c r="P255" s="6" t="str">
        <f>IF(ISNA(MATCH(246,'Transfer Engine'!$C$2:$C$1199,0)),"",HYPERLINK("#Acts!A"&amp;INDEX('Compliance Database'!$P$2:$P$1199,MATCH(246,'Transfer Engine'!$C$2:$C$1199,0)),"Go to Act"))</f>
        <v>Go to Act</v>
      </c>
    </row>
    <row r="256" spans="1:16" ht="172.95" customHeight="1" x14ac:dyDescent="0.3">
      <c r="A256" s="6" t="str">
        <f>IF(ISNA(MATCH(247,'Transfer Engine'!$C$2:$C$1199,0)),"",INDEX('Compliance Database'!$A$2:$A$1199,MATCH(247,'Transfer Engine'!$C$2:$C$1199,0)))</f>
        <v>GDPR</v>
      </c>
      <c r="B256" s="6" t="str">
        <f>IF(ISNA(MATCH(247,'Transfer Engine'!$C$2:$C$1199,0)),"",INDEX('Compliance Database'!$B$2:$B$1199,MATCH(247,'Transfer Engine'!$C$2:$C$1199,0)))</f>
        <v>CELEX_32022R0868_EN_TXT (GDPR - Row 12)</v>
      </c>
      <c r="C256" s="6" t="str">
        <f>IF(ISNA(MATCH(247,'Transfer Engine'!$C$2:$C$1199,0)),"",INDEX('Compliance Database'!$C$2:$C$1199,MATCH(247,'Transfer Engine'!$C$2:$C$1199,0)))</f>
        <v>2</v>
      </c>
      <c r="D256" s="7" t="str">
        <f>IF(ISNA(MATCH(247,'Transfer Engine'!$C$2:$C$1199,0)),"",INDEX('Compliance Database'!$D$2:$D$1199,MATCH(247,'Transfer Engine'!$C$2:$C$1199,0)))</f>
        <v>Penalty criteria for data intermediation services</v>
      </c>
      <c r="E256" s="6" t="str">
        <f>IF(ISNA(MATCH(247,'Transfer Engine'!$C$2:$C$1199,0)),"",INDEX('Compliance Database'!$E$2:$E$1199,MATCH(247,'Transfer Engine'!$C$2:$C$1199,0)))</f>
        <v>18</v>
      </c>
      <c r="F256" s="6" t="str">
        <f>IF(ISNA(MATCH(247,'Transfer Engine'!$C$2:$C$1199,0)),"",INDEX('Compliance Database'!$F$2:$F$1199,MATCH(247,'Transfer Engine'!$C$2:$C$1199,0)))</f>
        <v>Low</v>
      </c>
      <c r="G256" s="6" t="str">
        <f>IF(ISNA(MATCH(247,'Transfer Engine'!$C$2:$C$1199,0)),"",INDEX('Compliance Database'!$G$2:$G$1199,MATCH(247,'Transfer Engine'!$C$2:$C$1199,0)))</f>
        <v>High (explicit)</v>
      </c>
      <c r="H256" s="7">
        <f>IF(ISNA(MATCH(247,'Transfer Engine'!$C$2:$C$1199,0)),"",INDEX('Compliance Database'!$H$2:$H$1199,MATCH(247,'Transfer Engine'!$C$2:$C$1199,0)))</f>
        <v>0</v>
      </c>
      <c r="I256" s="7">
        <f>IF(ISNA(MATCH(247,'Transfer Engine'!$C$2:$C$1199,0)),"",INDEX('Compliance Database'!$I$2:$I$1199,MATCH(247,'Transfer Engine'!$C$2:$C$1199,0)))</f>
        <v>0</v>
      </c>
      <c r="J256" s="6">
        <f>IF(ISNA(MATCH(247,'Transfer Engine'!$C$2:$C$1199,0)),"",INDEX('Compliance Database'!$J$2:$J$1199,MATCH(247,'Transfer Engine'!$C$2:$C$1199,0)))</f>
        <v>0</v>
      </c>
      <c r="K256" s="7" t="str">
        <f>IF(ISNA(MATCH(247,'Transfer Engine'!$C$2:$C$1199,0)),"",INDEX('Compliance Database'!$K$2:$K$1199,MATCH(247,'Transfer Engine'!$C$2:$C$1199,0)))</f>
        <v>Member States must consider specific criteria when imposing penalties on data intermediation services providers and recognised data altruism organisations. These criteria include the nature and severity of the infringement, mitigation actions taken, previous infringements, financial impacts, and other aggravating or mitigating factors. This ensures penalties are tailored to the specific circumstances of each case.</v>
      </c>
      <c r="L256" s="7">
        <f>IF(ISNA(MATCH(247,'Transfer Engine'!$C$2:$C$1199,0)),"",INDEX('Compliance Database'!$L$2:$L$1199,MATCH(247,'Transfer Engine'!$C$2:$C$1199,0)))</f>
        <v>0</v>
      </c>
      <c r="M256" s="7" t="str">
        <f>IF(ISNA(MATCH(247,'Transfer Engine'!$C$2:$C$1199,0)),"",INDEX('Compliance Database'!$M$2:$M$1199,MATCH(247,'Transfer Engine'!$C$2:$C$1199,0)))</f>
        <v>• [Condition] The nature, gravity, scale and duration of the infringement
• [Condition] Any action taken by the data intermediation services provider or recognised data altruism organisation to mitigate or remedy the damage
• [Condition] Any previous infringements by the data intermediation services provider or recognised data altruism organisation</v>
      </c>
      <c r="N256" s="7" t="str">
        <f>IF(ISNA(MATCH(247,'Transfer Engine'!$C$2:$C$1199,0)),"",INDEX('Compliance Database'!$N$2:$N$1199,MATCH(247,'Transfer Engine'!$C$2:$C$1199,0)))</f>
        <v>• [Condition] The financial benefits gained or losses avoided by the data intermediation services provider or recognised data altruism organisation due to the infringement
• [Condition] Any other aggravating or mitigating factors applicable to the circumstances of the case</v>
      </c>
      <c r="O256" s="7" t="str">
        <f>IF(ISNA(MATCH(247,'Transfer Engine'!$C$2:$C$1199,0)),"",INDEX('Compliance Database'!$O$2:$O$1199,MATCH(247,'Transfer Engine'!$C$2:$C$1199,0)))</f>
        <v>Member States shall take into account the following non-exhaustive and indicative criteria for the imposition of penalties on data intermediation services providers and recognised data altruism organisations for infringements of this Regulation, where appropriate: (a) the nature, gravity, scale and duration of the infringement; (b) any action taken by the data intermediation services provider or recognised data altruism organisation to mitigate or remedy the damage caused by the infringement; (c) any previous infringements by the data intermediation services provider or recognised data altruism organisation; (d) the financial benefits gained or losses avoided by the data intermediation services provider or recognised data altruism organisation due to the infringement, insofar as such benefits or losses can be reliably established; (e) any other aggravating or mitigating factors applicable to the circumstances of the case.</v>
      </c>
      <c r="P256" s="6" t="str">
        <f>IF(ISNA(MATCH(247,'Transfer Engine'!$C$2:$C$1199,0)),"",HYPERLINK("#Acts!A"&amp;INDEX('Compliance Database'!$P$2:$P$1199,MATCH(247,'Transfer Engine'!$C$2:$C$1199,0)),"Go to Act"))</f>
        <v>Go to Act</v>
      </c>
    </row>
    <row r="257" spans="1:16" ht="172.95" customHeight="1" x14ac:dyDescent="0.3">
      <c r="A257" s="6" t="str">
        <f>IF(ISNA(MATCH(248,'Transfer Engine'!$C$2:$C$1199,0)),"",INDEX('Compliance Database'!$A$2:$A$1199,MATCH(248,'Transfer Engine'!$C$2:$C$1199,0)))</f>
        <v>GDPR</v>
      </c>
      <c r="B257" s="6" t="str">
        <f>IF(ISNA(MATCH(248,'Transfer Engine'!$C$2:$C$1199,0)),"",INDEX('Compliance Database'!$B$2:$B$1199,MATCH(248,'Transfer Engine'!$C$2:$C$1199,0)))</f>
        <v>CELEX_32022R0868_EN_TXT (GDPR - Row 12)</v>
      </c>
      <c r="C257" s="6" t="str">
        <f>IF(ISNA(MATCH(248,'Transfer Engine'!$C$2:$C$1199,0)),"",INDEX('Compliance Database'!$C$2:$C$1199,MATCH(248,'Transfer Engine'!$C$2:$C$1199,0)))</f>
        <v>3</v>
      </c>
      <c r="D257" s="7" t="str">
        <f>IF(ISNA(MATCH(248,'Transfer Engine'!$C$2:$C$1199,0)),"",INDEX('Compliance Database'!$D$2:$D$1199,MATCH(248,'Transfer Engine'!$C$2:$C$1199,0)))</f>
        <v>Revocation of delegated powers</v>
      </c>
      <c r="E257" s="6" t="str">
        <f>IF(ISNA(MATCH(248,'Transfer Engine'!$C$2:$C$1199,0)),"",INDEX('Compliance Database'!$E$2:$E$1199,MATCH(248,'Transfer Engine'!$C$2:$C$1199,0)))</f>
        <v>18</v>
      </c>
      <c r="F257" s="6" t="str">
        <f>IF(ISNA(MATCH(248,'Transfer Engine'!$C$2:$C$1199,0)),"",INDEX('Compliance Database'!$F$2:$F$1199,MATCH(248,'Transfer Engine'!$C$2:$C$1199,0)))</f>
        <v>None</v>
      </c>
      <c r="G257" s="6" t="str">
        <f>IF(ISNA(MATCH(248,'Transfer Engine'!$C$2:$C$1199,0)),"",INDEX('Compliance Database'!$G$2:$G$1199,MATCH(248,'Transfer Engine'!$C$2:$C$1199,0)))</f>
        <v>High (explicit)</v>
      </c>
      <c r="H257" s="7">
        <f>IF(ISNA(MATCH(248,'Transfer Engine'!$C$2:$C$1199,0)),"",INDEX('Compliance Database'!$H$2:$H$1199,MATCH(248,'Transfer Engine'!$C$2:$C$1199,0)))</f>
        <v>0</v>
      </c>
      <c r="I257" s="7">
        <f>IF(ISNA(MATCH(248,'Transfer Engine'!$C$2:$C$1199,0)),"",INDEX('Compliance Database'!$I$2:$I$1199,MATCH(248,'Transfer Engine'!$C$2:$C$1199,0)))</f>
        <v>0</v>
      </c>
      <c r="J257" s="6" t="str">
        <f>IF(ISNA(MATCH(248,'Transfer Engine'!$C$2:$C$1199,0)),"",INDEX('Compliance Database'!$J$2:$J$1199,MATCH(248,'Transfer Engine'!$C$2:$C$1199,0)))</f>
        <v>European Parliament or Council</v>
      </c>
      <c r="K257" s="7" t="str">
        <f>IF(ISNA(MATCH(248,'Transfer Engine'!$C$2:$C$1199,0)),"",INDEX('Compliance Database'!$K$2:$K$1199,MATCH(248,'Transfer Engine'!$C$2:$C$1199,0)))</f>
        <v>The European Parliament or Council may revoke delegated powers at any time, with the revocation taking effect the day after publication in the Official Journal or a later date specified. Revoked powers do not affect existing delegated acts.</v>
      </c>
      <c r="L257" s="7" t="str">
        <f>IF(ISNA(MATCH(248,'Transfer Engine'!$C$2:$C$1199,0)),"",INDEX('Compliance Database'!$L$2:$L$1199,MATCH(248,'Transfer Engine'!$C$2:$C$1199,0)))</f>
        <v>This section does not directly impact DTIAs as it concerns the revocation of delegated powers rather than data transfers or processing.</v>
      </c>
      <c r="M257" s="7" t="str">
        <f>IF(ISNA(MATCH(248,'Transfer Engine'!$C$2:$C$1199,0)),"",INDEX('Compliance Database'!$M$2:$M$1199,MATCH(248,'Transfer Engine'!$C$2:$C$1199,0)))</f>
        <v>• [May] The European Parliament or Council may revoke delegated powers at any time
• [Must] Revocation takes effect the day after publication in the Official Journal or a later date specified</v>
      </c>
      <c r="N257" s="7" t="str">
        <f>IF(ISNA(MATCH(248,'Transfer Engine'!$C$2:$C$1199,0)),"",INDEX('Compliance Database'!$N$2:$N$1199,MATCH(248,'Transfer Engine'!$C$2:$C$1199,0)))</f>
        <v>• [Must] Revoked powers do not affect the validity of existing delegated acts</v>
      </c>
      <c r="O257" s="7" t="str">
        <f>IF(ISNA(MATCH(248,'Transfer Engine'!$C$2:$C$1199,0)),"",INDEX('Compliance Database'!$O$2:$O$1199,MATCH(248,'Transfer Engine'!$C$2:$C$1199,0)))</f>
        <v>The delegation of power referred to in Article 5(13) and Article 22(1) may be revoked at any time by the European Parliament or by the Council. A decision to revoke shall put an end to the delegation of the power specified in that decision. It shall take effect the day following the publication of the decision in the Official Journal of the European Union or at a later date specified therein. It shall not affect the validity of any delegated acts already in force.</v>
      </c>
      <c r="P257" s="6" t="str">
        <f>IF(ISNA(MATCH(248,'Transfer Engine'!$C$2:$C$1199,0)),"",HYPERLINK("#Acts!A"&amp;INDEX('Compliance Database'!$P$2:$P$1199,MATCH(248,'Transfer Engine'!$C$2:$C$1199,0)),"Go to Act"))</f>
        <v>Go to Act</v>
      </c>
    </row>
    <row r="258" spans="1:16" ht="172.95" customHeight="1" x14ac:dyDescent="0.3">
      <c r="A258" s="6" t="str">
        <f>IF(ISNA(MATCH(249,'Transfer Engine'!$C$2:$C$1199,0)),"",INDEX('Compliance Database'!$A$2:$A$1199,MATCH(249,'Transfer Engine'!$C$2:$C$1199,0)))</f>
        <v>GDPR</v>
      </c>
      <c r="B258" s="6" t="str">
        <f>IF(ISNA(MATCH(249,'Transfer Engine'!$C$2:$C$1199,0)),"",INDEX('Compliance Database'!$B$2:$B$1199,MATCH(249,'Transfer Engine'!$C$2:$C$1199,0)))</f>
        <v>CELEX_32022R0868_EN_TXT (GDPR - Row 12)</v>
      </c>
      <c r="C258" s="6" t="str">
        <f>IF(ISNA(MATCH(249,'Transfer Engine'!$C$2:$C$1199,0)),"",INDEX('Compliance Database'!$C$2:$C$1199,MATCH(249,'Transfer Engine'!$C$2:$C$1199,0)))</f>
        <v>4</v>
      </c>
      <c r="D258" s="7" t="str">
        <f>IF(ISNA(MATCH(249,'Transfer Engine'!$C$2:$C$1199,0)),"",INDEX('Compliance Database'!$D$2:$D$1199,MATCH(249,'Transfer Engine'!$C$2:$C$1199,0)))</f>
        <v>Consultation of Member State experts before delegated acts</v>
      </c>
      <c r="E258" s="6" t="str">
        <f>IF(ISNA(MATCH(249,'Transfer Engine'!$C$2:$C$1199,0)),"",INDEX('Compliance Database'!$E$2:$E$1199,MATCH(249,'Transfer Engine'!$C$2:$C$1199,0)))</f>
        <v>21–22</v>
      </c>
      <c r="F258" s="6" t="str">
        <f>IF(ISNA(MATCH(249,'Transfer Engine'!$C$2:$C$1199,0)),"",INDEX('Compliance Database'!$F$2:$F$1199,MATCH(249,'Transfer Engine'!$C$2:$C$1199,0)))</f>
        <v>None</v>
      </c>
      <c r="G258" s="6" t="str">
        <f>IF(ISNA(MATCH(249,'Transfer Engine'!$C$2:$C$1199,0)),"",INDEX('Compliance Database'!$G$2:$G$1199,MATCH(249,'Transfer Engine'!$C$2:$C$1199,0)))</f>
        <v>High (explicit)</v>
      </c>
      <c r="H258" s="7">
        <f>IF(ISNA(MATCH(249,'Transfer Engine'!$C$2:$C$1199,0)),"",INDEX('Compliance Database'!$H$2:$H$1199,MATCH(249,'Transfer Engine'!$C$2:$C$1199,0)))</f>
        <v>0</v>
      </c>
      <c r="I258" s="7">
        <f>IF(ISNA(MATCH(249,'Transfer Engine'!$C$2:$C$1199,0)),"",INDEX('Compliance Database'!$I$2:$I$1199,MATCH(249,'Transfer Engine'!$C$2:$C$1199,0)))</f>
        <v>0</v>
      </c>
      <c r="J258" s="6">
        <f>IF(ISNA(MATCH(249,'Transfer Engine'!$C$2:$C$1199,0)),"",INDEX('Compliance Database'!$J$2:$J$1199,MATCH(249,'Transfer Engine'!$C$2:$C$1199,0)))</f>
        <v>0</v>
      </c>
      <c r="K258" s="7" t="str">
        <f>IF(ISNA(MATCH(249,'Transfer Engine'!$C$2:$C$1199,0)),"",INDEX('Compliance Database'!$K$2:$K$1199,MATCH(249,'Transfer Engine'!$C$2:$C$1199,0)))</f>
        <v>Before adopting delegated acts, the European Commission must consult experts designated by each Member State. This consultation must follow the principles outlined in the Interinstitutional Agreement of 13 April 2016 on Better Law-Making. The requirement ensures that Member State expertise is integrated into the legislative process prior to final adoption of delegated legislation.</v>
      </c>
      <c r="L258" s="7">
        <f>IF(ISNA(MATCH(249,'Transfer Engine'!$C$2:$C$1199,0)),"",INDEX('Compliance Database'!$L$2:$L$1199,MATCH(249,'Transfer Engine'!$C$2:$C$1199,0)))</f>
        <v>0</v>
      </c>
      <c r="M258" s="7" t="str">
        <f>IF(ISNA(MATCH(249,'Transfer Engine'!$C$2:$C$1199,0)),"",INDEX('Compliance Database'!$M$2:$M$1199,MATCH(249,'Transfer Engine'!$C$2:$C$1199,0)))</f>
        <v>• [Must] The Commission shall consult experts designated by each Member State</v>
      </c>
      <c r="N258" s="7">
        <f>IF(ISNA(MATCH(249,'Transfer Engine'!$C$2:$C$1199,0)),"",INDEX('Compliance Database'!$N$2:$N$1199,MATCH(249,'Transfer Engine'!$C$2:$C$1199,0)))</f>
        <v>0</v>
      </c>
      <c r="O258" s="7" t="str">
        <f>IF(ISNA(MATCH(249,'Transfer Engine'!$C$2:$C$1199,0)),"",INDEX('Compliance Database'!$O$2:$O$1199,MATCH(249,'Transfer Engine'!$C$2:$C$1199,0)))</f>
        <v>Before adopting a delegated act, the Commission shall consult experts designated by each Member State in accordance with the principles laid down in the Interinstitutional Agreement of 13 April 2016 on Better Law-Making.</v>
      </c>
      <c r="P258" s="6" t="str">
        <f>IF(ISNA(MATCH(249,'Transfer Engine'!$C$2:$C$1199,0)),"",HYPERLINK("#Acts!A"&amp;INDEX('Compliance Database'!$P$2:$P$1199,MATCH(249,'Transfer Engine'!$C$2:$C$1199,0)),"Go to Act"))</f>
        <v>Go to Act</v>
      </c>
    </row>
    <row r="259" spans="1:16" ht="172.95" customHeight="1" x14ac:dyDescent="0.3">
      <c r="A259" s="6" t="str">
        <f>IF(ISNA(MATCH(250,'Transfer Engine'!$C$2:$C$1199,0)),"",INDEX('Compliance Database'!$A$2:$A$1199,MATCH(250,'Transfer Engine'!$C$2:$C$1199,0)))</f>
        <v>GDPR</v>
      </c>
      <c r="B259" s="6" t="str">
        <f>IF(ISNA(MATCH(250,'Transfer Engine'!$C$2:$C$1199,0)),"",INDEX('Compliance Database'!$B$2:$B$1199,MATCH(250,'Transfer Engine'!$C$2:$C$1199,0)))</f>
        <v>CELEX_32022R0868_EN_TXT (GDPR - Row 12)</v>
      </c>
      <c r="C259" s="6" t="str">
        <f>IF(ISNA(MATCH(250,'Transfer Engine'!$C$2:$C$1199,0)),"",INDEX('Compliance Database'!$C$2:$C$1199,MATCH(250,'Transfer Engine'!$C$2:$C$1199,0)))</f>
        <v>5</v>
      </c>
      <c r="D259" s="7" t="str">
        <f>IF(ISNA(MATCH(250,'Transfer Engine'!$C$2:$C$1199,0)),"",INDEX('Compliance Database'!$D$2:$D$1199,MATCH(250,'Transfer Engine'!$C$2:$C$1199,0)))</f>
        <v>Notification of third-country data access requests</v>
      </c>
      <c r="E259" s="6" t="str">
        <f>IF(ISNA(MATCH(250,'Transfer Engine'!$C$2:$C$1199,0)),"",INDEX('Compliance Database'!$E$2:$E$1199,MATCH(250,'Transfer Engine'!$C$2:$C$1199,0)))</f>
        <v>18–21</v>
      </c>
      <c r="F259" s="6" t="str">
        <f>IF(ISNA(MATCH(250,'Transfer Engine'!$C$2:$C$1199,0)),"",INDEX('Compliance Database'!$F$2:$F$1199,MATCH(250,'Transfer Engine'!$C$2:$C$1199,0)))</f>
        <v>Low</v>
      </c>
      <c r="G259" s="6" t="str">
        <f>IF(ISNA(MATCH(250,'Transfer Engine'!$C$2:$C$1199,0)),"",INDEX('Compliance Database'!$G$2:$G$1199,MATCH(250,'Transfer Engine'!$C$2:$C$1199,0)))</f>
        <v>High (explicit)</v>
      </c>
      <c r="H259" s="7" t="str">
        <f>IF(ISNA(MATCH(250,'Transfer Engine'!$C$2:$C$1199,0)),"",INDEX('Compliance Database'!$H$2:$H$1199,MATCH(250,'Transfer Engine'!$C$2:$C$1199,0)))</f>
        <v>Data Sharing, Data Storage</v>
      </c>
      <c r="I259" s="7">
        <f>IF(ISNA(MATCH(250,'Transfer Engine'!$C$2:$C$1199,0)),"",INDEX('Compliance Database'!$I$2:$I$1199,MATCH(250,'Transfer Engine'!$C$2:$C$1199,0)))</f>
        <v>0</v>
      </c>
      <c r="J259" s="6">
        <f>IF(ISNA(MATCH(250,'Transfer Engine'!$C$2:$C$1199,0)),"",INDEX('Compliance Database'!$J$2:$J$1199,MATCH(250,'Transfer Engine'!$C$2:$C$1199,0)))</f>
        <v>0</v>
      </c>
      <c r="K259" s="7" t="str">
        <f>IF(ISNA(MATCH(250,'Transfer Engine'!$C$2:$C$1199,0)),"",INDEX('Compliance Database'!$K$2:$K$1199,MATCH(250,'Transfer Engine'!$C$2:$C$1199,0)))</f>
        <v>Entities must inform data holders about third-country administrative authority requests for data access before complying, except when the request serves law enforcement purposes and is necessary to preserve the effectiveness of law enforcement activities.</v>
      </c>
      <c r="L259" s="7" t="str">
        <f>IF(ISNA(MATCH(250,'Transfer Engine'!$C$2:$C$1199,0)),"",INDEX('Compliance Database'!$L$2:$L$1199,MATCH(250,'Transfer Engine'!$C$2:$C$1199,0)))</f>
        <v>This section requires notification of third-country data access requests to data holders, which is critical for DTIAs to ensure transparency and compliance with data subject rights.</v>
      </c>
      <c r="M259" s="7" t="str">
        <f>IF(ISNA(MATCH(250,'Transfer Engine'!$C$2:$C$1199,0)),"",INDEX('Compliance Database'!$M$2:$M$1199,MATCH(250,'Transfer Engine'!$C$2:$C$1199,0)))</f>
        <v>• [Must] Entities must inform data holders about third-country administrative authority requests for data access before complying</v>
      </c>
      <c r="N259" s="7" t="str">
        <f>IF(ISNA(MATCH(250,'Transfer Engine'!$C$2:$C$1199,0)),"",INDEX('Compliance Database'!$N$2:$N$1199,MATCH(250,'Transfer Engine'!$C$2:$C$1199,0)))</f>
        <v>• [Must Not] This exception applies only when the request serves law enforcement purposes and is necessary to preserve law enforcement effectiveness</v>
      </c>
      <c r="O259" s="7" t="str">
        <f>IF(ISNA(MATCH(250,'Transfer Engine'!$C$2:$C$1199,0)),"",INDEX('Compliance Database'!$O$2:$O$1199,MATCH(250,'Transfer Engine'!$C$2:$C$1199,0)))</f>
        <v>The public sector body, the natural or legal person to which the right to re-use data was granted under Chapter II, the data intermediation services provider and the recognised data altruism organisation shall inform the data holder about the existence of a request of a third-country administrative authority to access its data before complying with that request, except where the request serves law enforcement purposes and for as long as this is necessary to preserve the effectiveness of the law enforcement activity.</v>
      </c>
      <c r="P259" s="6" t="str">
        <f>IF(ISNA(MATCH(250,'Transfer Engine'!$C$2:$C$1199,0)),"",HYPERLINK("#Acts!A"&amp;INDEX('Compliance Database'!$P$2:$P$1199,MATCH(250,'Transfer Engine'!$C$2:$C$1199,0)),"Go to Act"))</f>
        <v>Go to Act</v>
      </c>
    </row>
    <row r="260" spans="1:16" ht="172.95" customHeight="1" x14ac:dyDescent="0.3">
      <c r="A260" s="6" t="str">
        <f>IF(ISNA(MATCH(251,'Transfer Engine'!$C$2:$C$1199,0)),"",INDEX('Compliance Database'!$A$2:$A$1199,MATCH(251,'Transfer Engine'!$C$2:$C$1199,0)))</f>
        <v>GDPR</v>
      </c>
      <c r="B260" s="6" t="str">
        <f>IF(ISNA(MATCH(251,'Transfer Engine'!$C$2:$C$1199,0)),"",INDEX('Compliance Database'!$B$2:$B$1199,MATCH(251,'Transfer Engine'!$C$2:$C$1199,0)))</f>
        <v>CELEX_32022R0868_EN_TXT (GDPR - Row 12)</v>
      </c>
      <c r="C260" s="6" t="str">
        <f>IF(ISNA(MATCH(251,'Transfer Engine'!$C$2:$C$1199,0)),"",INDEX('Compliance Database'!$C$2:$C$1199,MATCH(251,'Transfer Engine'!$C$2:$C$1199,0)))</f>
        <v>6</v>
      </c>
      <c r="D260" s="7" t="str">
        <f>IF(ISNA(MATCH(251,'Transfer Engine'!$C$2:$C$1199,0)),"",INDEX('Compliance Database'!$D$2:$D$1199,MATCH(251,'Transfer Engine'!$C$2:$C$1199,0)))</f>
        <v>Conditions for delegated acts to enter into force</v>
      </c>
      <c r="E260" s="6" t="str">
        <f>IF(ISNA(MATCH(251,'Transfer Engine'!$C$2:$C$1199,0)),"",INDEX('Compliance Database'!$E$2:$E$1199,MATCH(251,'Transfer Engine'!$C$2:$C$1199,0)))</f>
        <v>22</v>
      </c>
      <c r="F260" s="6" t="str">
        <f>IF(ISNA(MATCH(251,'Transfer Engine'!$C$2:$C$1199,0)),"",INDEX('Compliance Database'!$F$2:$F$1199,MATCH(251,'Transfer Engine'!$C$2:$C$1199,0)))</f>
        <v>None</v>
      </c>
      <c r="G260" s="6" t="str">
        <f>IF(ISNA(MATCH(251,'Transfer Engine'!$C$2:$C$1199,0)),"",INDEX('Compliance Database'!$G$2:$G$1199,MATCH(251,'Transfer Engine'!$C$2:$C$1199,0)))</f>
        <v>High (explicit)</v>
      </c>
      <c r="H260" s="7">
        <f>IF(ISNA(MATCH(251,'Transfer Engine'!$C$2:$C$1199,0)),"",INDEX('Compliance Database'!$H$2:$H$1199,MATCH(251,'Transfer Engine'!$C$2:$C$1199,0)))</f>
        <v>0</v>
      </c>
      <c r="I260" s="7">
        <f>IF(ISNA(MATCH(251,'Transfer Engine'!$C$2:$C$1199,0)),"",INDEX('Compliance Database'!$I$2:$I$1199,MATCH(251,'Transfer Engine'!$C$2:$C$1199,0)))</f>
        <v>0</v>
      </c>
      <c r="J260" s="6">
        <f>IF(ISNA(MATCH(251,'Transfer Engine'!$C$2:$C$1199,0)),"",INDEX('Compliance Database'!$J$2:$J$1199,MATCH(251,'Transfer Engine'!$C$2:$C$1199,0)))</f>
        <v>0</v>
      </c>
      <c r="K260" s="7" t="str">
        <f>IF(ISNA(MATCH(251,'Transfer Engine'!$C$2:$C$1199,0)),"",INDEX('Compliance Database'!$K$2:$K$1199,MATCH(251,'Transfer Engine'!$C$2:$C$1199,0)))</f>
        <v>Delegated acts adopted under Article 5(13) or Article 22(1) must receive no objections from the European Parliament or Council within three months of notification. If no objections are raised, the act enters into force. The three-month period may be extended by three months at the initiative of either the European Parliament or Council. This ensures legislative oversight before implementation.</v>
      </c>
      <c r="L260" s="7">
        <f>IF(ISNA(MATCH(251,'Transfer Engine'!$C$2:$C$1199,0)),"",INDEX('Compliance Database'!$L$2:$L$1199,MATCH(251,'Transfer Engine'!$C$2:$C$1199,0)))</f>
        <v>0</v>
      </c>
      <c r="M260" s="7" t="str">
        <f>IF(ISNA(MATCH(251,'Transfer Engine'!$C$2:$C$1199,0)),"",INDEX('Compliance Database'!$M$2:$M$1199,MATCH(251,'Transfer Engine'!$C$2:$C$1199,0)))</f>
        <v>• [Must] Delegated acts adopted pursuant to Article 5(13) or Article 22(1) shall enter into force only if no objection has been expressed by the European Parliament or Council within three months of notification</v>
      </c>
      <c r="N260" s="7" t="str">
        <f>IF(ISNA(MATCH(251,'Transfer Engine'!$C$2:$C$1199,0)),"",INDEX('Compliance Database'!$N$2:$N$1199,MATCH(251,'Transfer Engine'!$C$2:$C$1199,0)))</f>
        <v>• [Condition] The three-month period may be extended by three months at the initiative of the European Parliament or Council</v>
      </c>
      <c r="O260" s="7" t="str">
        <f>IF(ISNA(MATCH(251,'Transfer Engine'!$C$2:$C$1199,0)),"",INDEX('Compliance Database'!$O$2:$O$1199,MATCH(251,'Transfer Engine'!$C$2:$C$1199,0)))</f>
        <v>A delegated act adopted pursuant to Article 5(13) or Article 22(1) shall enter into force only if no objection has been expressed either by the European Parliament or by the Council within a period of three months of notification of that act to the European Parliament and to the Council or if, before the expiry of that period, the European Parliament and the Council have both informed the Commission that they will not object.</v>
      </c>
      <c r="P260" s="6" t="str">
        <f>IF(ISNA(MATCH(251,'Transfer Engine'!$C$2:$C$1199,0)),"",HYPERLINK("#Acts!A"&amp;INDEX('Compliance Database'!$P$2:$P$1199,MATCH(251,'Transfer Engine'!$C$2:$C$1199,0)),"Go to Act"))</f>
        <v>Go to Act</v>
      </c>
    </row>
    <row r="261" spans="1:16" ht="172.95" customHeight="1" x14ac:dyDescent="0.3">
      <c r="A261" s="6" t="str">
        <f>IF(ISNA(MATCH(252,'Transfer Engine'!$C$2:$C$1199,0)),"",INDEX('Compliance Database'!$A$2:$A$1199,MATCH(252,'Transfer Engine'!$C$2:$C$1199,0)))</f>
        <v>GDPR</v>
      </c>
      <c r="B261" s="6" t="str">
        <f>IF(ISNA(MATCH(252,'Transfer Engine'!$C$2:$C$1199,0)),"",INDEX('Compliance Database'!$B$2:$B$1199,MATCH(252,'Transfer Engine'!$C$2:$C$1199,0)))</f>
        <v>CELEX_32022R0868_EN_TXT (GDPR - Row 12)</v>
      </c>
      <c r="C261" s="6" t="str">
        <f>IF(ISNA(MATCH(252,'Transfer Engine'!$C$2:$C$1199,0)),"",INDEX('Compliance Database'!$C$2:$C$1199,MATCH(252,'Transfer Engine'!$C$2:$C$1199,0)))</f>
        <v>7</v>
      </c>
      <c r="D261" s="7" t="str">
        <f>IF(ISNA(MATCH(252,'Transfer Engine'!$C$2:$C$1199,0)),"",INDEX('Compliance Database'!$D$2:$D$1199,MATCH(252,'Transfer Engine'!$C$2:$C$1199,0)))</f>
        <v>Notification of changes to registration information</v>
      </c>
      <c r="E261" s="6" t="str">
        <f>IF(ISNA(MATCH(252,'Transfer Engine'!$C$2:$C$1199,0)),"",INDEX('Compliance Database'!$E$2:$E$1199,MATCH(252,'Transfer Engine'!$C$2:$C$1199,0)))</f>
        <v>23</v>
      </c>
      <c r="F261" s="6" t="str">
        <f>IF(ISNA(MATCH(252,'Transfer Engine'!$C$2:$C$1199,0)),"",INDEX('Compliance Database'!$F$2:$F$1199,MATCH(252,'Transfer Engine'!$C$2:$C$1199,0)))</f>
        <v>Low</v>
      </c>
      <c r="G261" s="6" t="str">
        <f>IF(ISNA(MATCH(252,'Transfer Engine'!$C$2:$C$1199,0)),"",INDEX('Compliance Database'!$G$2:$G$1199,MATCH(252,'Transfer Engine'!$C$2:$C$1199,0)))</f>
        <v>High (explicit)</v>
      </c>
      <c r="H261" s="7" t="str">
        <f>IF(ISNA(MATCH(252,'Transfer Engine'!$C$2:$C$1199,0)),"",INDEX('Compliance Database'!$H$2:$H$1199,MATCH(252,'Transfer Engine'!$C$2:$C$1199,0)))</f>
        <v>Cross-border Transfer</v>
      </c>
      <c r="I261" s="7" t="str">
        <f>IF(ISNA(MATCH(252,'Transfer Engine'!$C$2:$C$1199,0)),"",INDEX('Compliance Database'!$I$2:$I$1199,MATCH(252,'Transfer Engine'!$C$2:$C$1199,0)))</f>
        <v>Personal Information</v>
      </c>
      <c r="J261" s="6">
        <f>IF(ISNA(MATCH(252,'Transfer Engine'!$C$2:$C$1199,0)),"",INDEX('Compliance Database'!$J$2:$J$1199,MATCH(252,'Transfer Engine'!$C$2:$C$1199,0)))</f>
        <v>0</v>
      </c>
      <c r="K261" s="7" t="str">
        <f>IF(ISNA(MATCH(252,'Transfer Engine'!$C$2:$C$1199,0)),"",INDEX('Compliance Database'!$K$2:$K$1199,MATCH(252,'Transfer Engine'!$C$2:$C$1199,0)))</f>
        <v>A recognised data altruism organisation must notify the relevant competent authority of any changes to the information provided in paragraph 4 within 14 days. The competent authority must notify the Commission electronically, which updates the public Union register without delay. This ensures timely updates to registration details.</v>
      </c>
      <c r="L261" s="7" t="str">
        <f>IF(ISNA(MATCH(252,'Transfer Engine'!$C$2:$C$1199,0)),"",INDEX('Compliance Database'!$L$2:$L$1199,MATCH(252,'Transfer Engine'!$C$2:$C$1199,0)))</f>
        <v>This section requires timely notification of changes to registration information, which is critical for data transfer impact assessments as it ensures up-to-date registration details across borders.</v>
      </c>
      <c r="M261" s="7" t="str">
        <f>IF(ISNA(MATCH(252,'Transfer Engine'!$C$2:$C$1199,0)),"",INDEX('Compliance Database'!$M$2:$M$1199,MATCH(252,'Transfer Engine'!$C$2:$C$1199,0)))</f>
        <v>• [Must] A recognised data altruism organisation shall notify the relevant competent authority for registration of data altruism organisations of any changes to the information provided pursuant to paragraph 4 within 14 days of the date of the change
• [Must] The competent authority shall notify the Commission of each such notification by electronic means without delay</v>
      </c>
      <c r="N261" s="7" t="str">
        <f>IF(ISNA(MATCH(252,'Transfer Engine'!$C$2:$C$1199,0)),"",INDEX('Compliance Database'!$N$2:$N$1199,MATCH(252,'Transfer Engine'!$C$2:$C$1199,0)))</f>
        <v>• [Must] The Commission shall update the public Union register of recognised data altruism organisations without delay</v>
      </c>
      <c r="O261" s="7" t="str">
        <f>IF(ISNA(MATCH(252,'Transfer Engine'!$C$2:$C$1199,0)),"",INDEX('Compliance Database'!$O$2:$O$1199,MATCH(252,'Transfer Engine'!$C$2:$C$1199,0)))</f>
        <v>A recognised data altruism organisation shall notify the relevant competent authority for the registration of data altruism organisations of any changes to the information provided pursuant to paragraph 4 within 14 days of the date of the change.</v>
      </c>
      <c r="P261" s="6" t="str">
        <f>IF(ISNA(MATCH(252,'Transfer Engine'!$C$2:$C$1199,0)),"",HYPERLINK("#Acts!A"&amp;INDEX('Compliance Database'!$P$2:$P$1199,MATCH(252,'Transfer Engine'!$C$2:$C$1199,0)),"Go to Act"))</f>
        <v>Go to Act</v>
      </c>
    </row>
    <row r="262" spans="1:16" ht="172.95" customHeight="1" x14ac:dyDescent="0.3">
      <c r="A262" s="6" t="str">
        <f>IF(ISNA(MATCH(253,'Transfer Engine'!$C$2:$C$1199,0)),"",INDEX('Compliance Database'!$A$2:$A$1199,MATCH(253,'Transfer Engine'!$C$2:$C$1199,0)))</f>
        <v>GDPR</v>
      </c>
      <c r="B262" s="6" t="str">
        <f>IF(ISNA(MATCH(253,'Transfer Engine'!$C$2:$C$1199,0)),"",INDEX('Compliance Database'!$B$2:$B$1199,MATCH(253,'Transfer Engine'!$C$2:$C$1199,0)))</f>
        <v>CELEX_32022R0868_EN_TXT (GDPR - Row 12)</v>
      </c>
      <c r="C262" s="6" t="str">
        <f>IF(ISNA(MATCH(253,'Transfer Engine'!$C$2:$C$1199,0)),"",INDEX('Compliance Database'!$C$2:$C$1199,MATCH(253,'Transfer Engine'!$C$2:$C$1199,0)))</f>
        <v>8</v>
      </c>
      <c r="D262" s="7" t="str">
        <f>IF(ISNA(MATCH(253,'Transfer Engine'!$C$2:$C$1199,0)),"",INDEX('Compliance Database'!$D$2:$D$1199,MATCH(253,'Transfer Engine'!$C$2:$C$1199,0)))</f>
        <v>Standardized declaration after notification completion</v>
      </c>
      <c r="E262" s="6" t="str">
        <f>IF(ISNA(MATCH(253,'Transfer Engine'!$C$2:$C$1199,0)),"",INDEX('Compliance Database'!$E$2:$E$1199,MATCH(253,'Transfer Engine'!$C$2:$C$1199,0)))</f>
        <v>23</v>
      </c>
      <c r="F262" s="6" t="str">
        <f>IF(ISNA(MATCH(253,'Transfer Engine'!$C$2:$C$1199,0)),"",INDEX('Compliance Database'!$F$2:$F$1199,MATCH(253,'Transfer Engine'!$C$2:$C$1199,0)))</f>
        <v>Low</v>
      </c>
      <c r="G262" s="6" t="str">
        <f>IF(ISNA(MATCH(253,'Transfer Engine'!$C$2:$C$1199,0)),"",INDEX('Compliance Database'!$G$2:$G$1199,MATCH(253,'Transfer Engine'!$C$2:$C$1199,0)))</f>
        <v>High (explicit)</v>
      </c>
      <c r="H262" s="7" t="str">
        <f>IF(ISNA(MATCH(253,'Transfer Engine'!$C$2:$C$1199,0)),"",INDEX('Compliance Database'!$H$2:$H$1199,MATCH(253,'Transfer Engine'!$C$2:$C$1199,0)))</f>
        <v>Cross-border Transfer</v>
      </c>
      <c r="I262" s="7" t="str">
        <f>IF(ISNA(MATCH(253,'Transfer Engine'!$C$2:$C$1199,0)),"",INDEX('Compliance Database'!$I$2:$I$1199,MATCH(253,'Transfer Engine'!$C$2:$C$1199,0)))</f>
        <v>Personal Information</v>
      </c>
      <c r="J262" s="6">
        <f>IF(ISNA(MATCH(253,'Transfer Engine'!$C$2:$C$1199,0)),"",INDEX('Compliance Database'!$J$2:$J$1199,MATCH(253,'Transfer Engine'!$C$2:$C$1199,0)))</f>
        <v>0</v>
      </c>
      <c r="K262" s="7" t="str">
        <f>IF(ISNA(MATCH(253,'Transfer Engine'!$C$2:$C$1199,0)),"",INDEX('Compliance Database'!$K$2:$K$1199,MATCH(253,'Transfer Engine'!$C$2:$C$1199,0)))</f>
        <v>At the request of the data intermediation services provider, competent authorities must issue a standardized declaration within one week of a completed notification. This declaration confirms the notification was submitted and contains the required information, ensuring regulatory oversight.</v>
      </c>
      <c r="L262" s="7" t="str">
        <f>IF(ISNA(MATCH(253,'Transfer Engine'!$C$2:$C$1199,0)),"",INDEX('Compliance Database'!$L$2:$L$1199,MATCH(253,'Transfer Engine'!$C$2:$C$1199,0)))</f>
        <v>Provides a mechanism for confirming compliance with notification requirements, critical for verifying that data intermediation providers meet the necessary disclosure standards.</v>
      </c>
      <c r="M262" s="7" t="str">
        <f>IF(ISNA(MATCH(253,'Transfer Engine'!$C$2:$C$1199,0)),"",INDEX('Compliance Database'!$M$2:$M$1199,MATCH(253,'Transfer Engine'!$C$2:$C$1199,0)))</f>
        <v>• [Must] At the request of the data intermediation services provider, the competent authority for data intermediation services shall, within one week of a duly and fully completed notification, issue a standardised declaration, confirming that the data intermediation services provider has submitted the notification referred to in paragraph 1 and that the n…</v>
      </c>
      <c r="N262" s="7">
        <f>IF(ISNA(MATCH(253,'Transfer Engine'!$C$2:$C$1199,0)),"",INDEX('Compliance Database'!$N$2:$N$1199,MATCH(253,'Transfer Engine'!$C$2:$C$1199,0)))</f>
        <v>0</v>
      </c>
      <c r="O262" s="7" t="str">
        <f>IF(ISNA(MATCH(253,'Transfer Engine'!$C$2:$C$1199,0)),"",INDEX('Compliance Database'!$O$2:$O$1199,MATCH(253,'Transfer Engine'!$C$2:$C$1199,0)))</f>
        <v>At the request of the data intermediation services provider, the competent authority for data intermediation services shall, within one week of a duly and fully completed notification, issue a standardised declaration, confirming that the data intermediation services provider has submitted the notification referred to in paragraph 1 and that the notification contains the information referred to in paragraph 6.</v>
      </c>
      <c r="P262" s="6" t="str">
        <f>IF(ISNA(MATCH(253,'Transfer Engine'!$C$2:$C$1199,0)),"",HYPERLINK("#Acts!A"&amp;INDEX('Compliance Database'!$P$2:$P$1199,MATCH(253,'Transfer Engine'!$C$2:$C$1199,0)),"Go to Act"))</f>
        <v>Go to Act</v>
      </c>
    </row>
    <row r="263" spans="1:16" ht="172.95" customHeight="1" x14ac:dyDescent="0.3">
      <c r="A263" s="6" t="str">
        <f>IF(ISNA(MATCH(254,'Transfer Engine'!$C$2:$C$1199,0)),"",INDEX('Compliance Database'!$A$2:$A$1199,MATCH(254,'Transfer Engine'!$C$2:$C$1199,0)))</f>
        <v>GDPR</v>
      </c>
      <c r="B263" s="6" t="str">
        <f>IF(ISNA(MATCH(254,'Transfer Engine'!$C$2:$C$1199,0)),"",INDEX('Compliance Database'!$B$2:$B$1199,MATCH(254,'Transfer Engine'!$C$2:$C$1199,0)))</f>
        <v>CELEX_32022R0868_EN_TXT (GDPR - Row 12)</v>
      </c>
      <c r="C263" s="6" t="str">
        <f>IF(ISNA(MATCH(254,'Transfer Engine'!$C$2:$C$1199,0)),"",INDEX('Compliance Database'!$C$2:$C$1199,MATCH(254,'Transfer Engine'!$C$2:$C$1199,0)))</f>
        <v>9</v>
      </c>
      <c r="D263" s="7" t="str">
        <f>IF(ISNA(MATCH(254,'Transfer Engine'!$C$2:$C$1199,0)),"",INDEX('Compliance Database'!$D$2:$D$1199,MATCH(254,'Transfer Engine'!$C$2:$C$1199,0)))</f>
        <v>Data intermediation services provider recognition and logo requirements</v>
      </c>
      <c r="E263" s="6" t="str">
        <f>IF(ISNA(MATCH(254,'Transfer Engine'!$C$2:$C$1199,0)),"",INDEX('Compliance Database'!$E$2:$E$1199,MATCH(254,'Transfer Engine'!$C$2:$C$1199,0)))</f>
        <v>23</v>
      </c>
      <c r="F263" s="6" t="str">
        <f>IF(ISNA(MATCH(254,'Transfer Engine'!$C$2:$C$1199,0)),"",INDEX('Compliance Database'!$F$2:$F$1199,MATCH(254,'Transfer Engine'!$C$2:$C$1199,0)))</f>
        <v>Low</v>
      </c>
      <c r="G263" s="6" t="str">
        <f>IF(ISNA(MATCH(254,'Transfer Engine'!$C$2:$C$1199,0)),"",INDEX('Compliance Database'!$G$2:$G$1199,MATCH(254,'Transfer Engine'!$C$2:$C$1199,0)))</f>
        <v>High (explicit)</v>
      </c>
      <c r="H263" s="7">
        <f>IF(ISNA(MATCH(254,'Transfer Engine'!$C$2:$C$1199,0)),"",INDEX('Compliance Database'!$H$2:$H$1199,MATCH(254,'Transfer Engine'!$C$2:$C$1199,0)))</f>
        <v>0</v>
      </c>
      <c r="I263" s="7">
        <f>IF(ISNA(MATCH(254,'Transfer Engine'!$C$2:$C$1199,0)),"",INDEX('Compliance Database'!$I$2:$I$1199,MATCH(254,'Transfer Engine'!$C$2:$C$1199,0)))</f>
        <v>0</v>
      </c>
      <c r="J263" s="6" t="str">
        <f>IF(ISNA(MATCH(254,'Transfer Engine'!$C$2:$C$1199,0)),"",INDEX('Compliance Database'!$J$2:$J$1199,MATCH(254,'Transfer Engine'!$C$2:$C$1199,0)))</f>
        <v>Commission</v>
      </c>
      <c r="K263" s="7" t="str">
        <f>IF(ISNA(MATCH(254,'Transfer Engine'!$C$2:$C$1199,0)),"",INDEX('Compliance Database'!$K$2:$K$1199,MATCH(254,'Transfer Engine'!$C$2:$C$1199,0)))</f>
        <v>The competent authority for data intermediation services must confirm compliance with the relevant articles upon request. Recognised providers may use the label 'data intermediation services provider recognised in the Union' and a common logo in communications. The Commission must establish a standard logo design through implementing acts, which providers must display on all relevant publications.</v>
      </c>
      <c r="L263" s="7" t="str">
        <f>IF(ISNA(MATCH(254,'Transfer Engine'!$C$2:$C$1199,0)),"",INDEX('Compliance Database'!$L$2:$L$1199,MATCH(254,'Transfer Engine'!$C$2:$C$1199,0)))</f>
        <v>Provides a mechanism for identifying compliant data intermediation services providers across borders through a standard logo and recognition label, relevant for cross-border data intermediation assessments.</v>
      </c>
      <c r="M263" s="7" t="str">
        <f>IF(ISNA(MATCH(254,'Transfer Engine'!$C$2:$C$1199,0)),"",INDEX('Compliance Database'!$M$2:$M$1199,MATCH(254,'Transfer Engine'!$C$2:$C$1199,0)))</f>
        <v>• [Must] Competent authority shall confirm compliance with this Article and Article 12 upon request
• [May] Recognised data intermediation services providers may use the label 'data intermediation services provider recognised in the Union' in communications</v>
      </c>
      <c r="N263" s="7" t="str">
        <f>IF(ISNA(MATCH(254,'Transfer Engine'!$C$2:$C$1199,0)),"",INDEX('Compliance Database'!$N$2:$N$1199,MATCH(254,'Transfer Engine'!$C$2:$C$1199,0)))</f>
        <v>• [Must] Recognised providers must display the common logo clearly on all online and offline publications related to data intermediation activities
• [Must] Commission shall establish a common logo design through implementing acts</v>
      </c>
      <c r="O263" s="7" t="str">
        <f>IF(ISNA(MATCH(254,'Transfer Engine'!$C$2:$C$1199,0)),"",INDEX('Compliance Database'!$O$2:$O$1199,MATCH(254,'Transfer Engine'!$C$2:$C$1199,0)))</f>
        <v>At the request of the data intermediation services provider, the competent authority for data intermediation services shall confirm that the data intermediation services provider complies with this Article and Article 12. Upon receipt of such a confirmation, that data intermediation services provider may use the label ‘data intermediation services provider recognised in the Union' in its written and spoken communication, as well as a common logo.</v>
      </c>
      <c r="P263" s="6" t="str">
        <f>IF(ISNA(MATCH(254,'Transfer Engine'!$C$2:$C$1199,0)),"",HYPERLINK("#Acts!A"&amp;INDEX('Compliance Database'!$P$2:$P$1199,MATCH(254,'Transfer Engine'!$C$2:$C$1199,0)),"Go to Act"))</f>
        <v>Go to Act</v>
      </c>
    </row>
    <row r="264" spans="1:16" ht="172.95" customHeight="1" x14ac:dyDescent="0.3">
      <c r="A264" s="6" t="str">
        <f>IF(ISNA(MATCH(255,'Transfer Engine'!$C$2:$C$1199,0)),"",INDEX('Compliance Database'!$A$2:$A$1199,MATCH(255,'Transfer Engine'!$C$2:$C$1199,0)))</f>
        <v>GDPR</v>
      </c>
      <c r="B264" s="6" t="str">
        <f>IF(ISNA(MATCH(255,'Transfer Engine'!$C$2:$C$1199,0)),"",INDEX('Compliance Database'!$B$2:$B$1199,MATCH(255,'Transfer Engine'!$C$2:$C$1199,0)))</f>
        <v>CELEX_32022R0868_EN_TXT (GDPR - Row 12)</v>
      </c>
      <c r="C264" s="6" t="str">
        <f>IF(ISNA(MATCH(255,'Transfer Engine'!$C$2:$C$1199,0)),"",INDEX('Compliance Database'!$C$2:$C$1199,MATCH(255,'Transfer Engine'!$C$2:$C$1199,0)))</f>
        <v>10</v>
      </c>
      <c r="D264" s="7" t="str">
        <f>IF(ISNA(MATCH(255,'Transfer Engine'!$C$2:$C$1199,0)),"",INDEX('Compliance Database'!$D$2:$D$1199,MATCH(255,'Transfer Engine'!$C$2:$C$1199,0)))</f>
        <v>Competent authority must notify Commission of new notifications</v>
      </c>
      <c r="E264" s="6" t="str">
        <f>IF(ISNA(MATCH(255,'Transfer Engine'!$C$2:$C$1199,0)),"",INDEX('Compliance Database'!$E$2:$E$1199,MATCH(255,'Transfer Engine'!$C$2:$C$1199,0)))</f>
        <v>23</v>
      </c>
      <c r="F264" s="6" t="str">
        <f>IF(ISNA(MATCH(255,'Transfer Engine'!$C$2:$C$1199,0)),"",INDEX('Compliance Database'!$F$2:$F$1199,MATCH(255,'Transfer Engine'!$C$2:$C$1199,0)))</f>
        <v>Low</v>
      </c>
      <c r="G264" s="6" t="str">
        <f>IF(ISNA(MATCH(255,'Transfer Engine'!$C$2:$C$1199,0)),"",INDEX('Compliance Database'!$G$2:$G$1199,MATCH(255,'Transfer Engine'!$C$2:$C$1199,0)))</f>
        <v>High (explicit)</v>
      </c>
      <c r="H264" s="7">
        <f>IF(ISNA(MATCH(255,'Transfer Engine'!$C$2:$C$1199,0)),"",INDEX('Compliance Database'!$H$2:$H$1199,MATCH(255,'Transfer Engine'!$C$2:$C$1199,0)))</f>
        <v>0</v>
      </c>
      <c r="I264" s="7">
        <f>IF(ISNA(MATCH(255,'Transfer Engine'!$C$2:$C$1199,0)),"",INDEX('Compliance Database'!$I$2:$I$1199,MATCH(255,'Transfer Engine'!$C$2:$C$1199,0)))</f>
        <v>0</v>
      </c>
      <c r="J264" s="6" t="str">
        <f>IF(ISNA(MATCH(255,'Transfer Engine'!$C$2:$C$1199,0)),"",INDEX('Compliance Database'!$J$2:$J$1199,MATCH(255,'Transfer Engine'!$C$2:$C$1199,0)))</f>
        <v>Commission</v>
      </c>
      <c r="K264" s="7" t="str">
        <f>IF(ISNA(MATCH(255,'Transfer Engine'!$C$2:$C$1199,0)),"",INDEX('Compliance Database'!$K$2:$K$1199,MATCH(255,'Transfer Engine'!$C$2:$C$1199,0)))</f>
        <v>The competent authority for data intermediation services must notify the Commission electronically of each new notification without delay. The Commission maintains and updates a public register of all data intermediation services providers in the Union, publishing specific information from paragraph 6.</v>
      </c>
      <c r="L264" s="7" t="str">
        <f>IF(ISNA(MATCH(255,'Transfer Engine'!$C$2:$C$1199,0)),"",INDEX('Compliance Database'!$L$2:$L$1199,MATCH(255,'Transfer Engine'!$C$2:$C$1199,0)))</f>
        <v>Ensures transparency by maintaining a public register of data intermediation services providers, critical for assessing cross-border data intermediation compliance and provider recognition.</v>
      </c>
      <c r="M264" s="7" t="str">
        <f>IF(ISNA(MATCH(255,'Transfer Engine'!$C$2:$C$1199,0)),"",INDEX('Compliance Database'!$M$2:$M$1199,MATCH(255,'Transfer Engine'!$C$2:$C$1199,0)))</f>
        <v>• [Must] Competent authority shall notify Commission electronically of each new notification without delay
• [Must] Commission shall keep and regularly update a public register of all data intermediation services providers</v>
      </c>
      <c r="N264" s="7" t="str">
        <f>IF(ISNA(MATCH(255,'Transfer Engine'!$C$2:$C$1199,0)),"",INDEX('Compliance Database'!$N$2:$N$1199,MATCH(255,'Transfer Engine'!$C$2:$C$1199,0)))</f>
        <v>• [Must] Information from paragraph 6 points (a), (b), (c), (d), (f), (g) shall be published in the public register</v>
      </c>
      <c r="O264" s="7" t="str">
        <f>IF(ISNA(MATCH(255,'Transfer Engine'!$C$2:$C$1199,0)),"",INDEX('Compliance Database'!$O$2:$O$1199,MATCH(255,'Transfer Engine'!$C$2:$C$1199,0)))</f>
        <v>The competent authority for data intermediation services shall notify the Commission of each new notification by electronic means without delay. The Commission shall keep and regularly update a public register of all data intermediation services providers providing their services in the Union.</v>
      </c>
      <c r="P264" s="6" t="str">
        <f>IF(ISNA(MATCH(255,'Transfer Engine'!$C$2:$C$1199,0)),"",HYPERLINK("#Acts!A"&amp;INDEX('Compliance Database'!$P$2:$P$1199,MATCH(255,'Transfer Engine'!$C$2:$C$1199,0)),"Go to Act"))</f>
        <v>Go to Act</v>
      </c>
    </row>
    <row r="265" spans="1:16" ht="172.95" customHeight="1" x14ac:dyDescent="0.3">
      <c r="A265" s="6" t="str">
        <f>IF(ISNA(MATCH(256,'Transfer Engine'!$C$2:$C$1199,0)),"",INDEX('Compliance Database'!$A$2:$A$1199,MATCH(256,'Transfer Engine'!$C$2:$C$1199,0)))</f>
        <v>GDPR</v>
      </c>
      <c r="B265" s="6" t="str">
        <f>IF(ISNA(MATCH(256,'Transfer Engine'!$C$2:$C$1199,0)),"",INDEX('Compliance Database'!$B$2:$B$1199,MATCH(256,'Transfer Engine'!$C$2:$C$1199,0)))</f>
        <v>CELEX_32022R0868_EN_TXT (GDPR - Row 12)</v>
      </c>
      <c r="C265" s="6" t="str">
        <f>IF(ISNA(MATCH(256,'Transfer Engine'!$C$2:$C$1199,0)),"",INDEX('Compliance Database'!$C$2:$C$1199,MATCH(256,'Transfer Engine'!$C$2:$C$1199,0)))</f>
        <v>11</v>
      </c>
      <c r="D265" s="7" t="str">
        <f>IF(ISNA(MATCH(256,'Transfer Engine'!$C$2:$C$1199,0)),"",INDEX('Compliance Database'!$D$2:$D$1199,MATCH(256,'Transfer Engine'!$C$2:$C$1199,0)))</f>
        <v>Fees for data intermediation services notifications</v>
      </c>
      <c r="E265" s="6" t="str">
        <f>IF(ISNA(MATCH(256,'Transfer Engine'!$C$2:$C$1199,0)),"",INDEX('Compliance Database'!$E$2:$E$1199,MATCH(256,'Transfer Engine'!$C$2:$C$1199,0)))</f>
        <v>23</v>
      </c>
      <c r="F265" s="6" t="str">
        <f>IF(ISNA(MATCH(256,'Transfer Engine'!$C$2:$C$1199,0)),"",INDEX('Compliance Database'!$F$2:$F$1199,MATCH(256,'Transfer Engine'!$C$2:$C$1199,0)))</f>
        <v>Low</v>
      </c>
      <c r="G265" s="6" t="str">
        <f>IF(ISNA(MATCH(256,'Transfer Engine'!$C$2:$C$1199,0)),"",INDEX('Compliance Database'!$G$2:$G$1199,MATCH(256,'Transfer Engine'!$C$2:$C$1199,0)))</f>
        <v>High (explicit)</v>
      </c>
      <c r="H265" s="7">
        <f>IF(ISNA(MATCH(256,'Transfer Engine'!$C$2:$C$1199,0)),"",INDEX('Compliance Database'!$H$2:$H$1199,MATCH(256,'Transfer Engine'!$C$2:$C$1199,0)))</f>
        <v>0</v>
      </c>
      <c r="I265" s="7">
        <f>IF(ISNA(MATCH(256,'Transfer Engine'!$C$2:$C$1199,0)),"",INDEX('Compliance Database'!$I$2:$I$1199,MATCH(256,'Transfer Engine'!$C$2:$C$1199,0)))</f>
        <v>0</v>
      </c>
      <c r="J265" s="6">
        <f>IF(ISNA(MATCH(256,'Transfer Engine'!$C$2:$C$1199,0)),"",INDEX('Compliance Database'!$J$2:$J$1199,MATCH(256,'Transfer Engine'!$C$2:$C$1199,0)))</f>
        <v>0</v>
      </c>
      <c r="K265" s="7" t="str">
        <f>IF(ISNA(MATCH(256,'Transfer Engine'!$C$2:$C$1199,0)),"",INDEX('Compliance Database'!$K$2:$K$1199,MATCH(256,'Transfer Engine'!$C$2:$C$1199,0)))</f>
        <v>Competent authorities may charge fees for notifications according to national law, with fees being proportionate, objective, and based on administrative costs. SMEs and start-ups may receive discounted or waived fees.</v>
      </c>
      <c r="L265" s="7" t="str">
        <f>IF(ISNA(MATCH(256,'Transfer Engine'!$C$2:$C$1199,0)),"",INDEX('Compliance Database'!$L$2:$L$1199,MATCH(256,'Transfer Engine'!$C$2:$C$1199,0)))</f>
        <v>Regulates fee structures for data intermediation services notifications, potentially impacting costs for small providers in cross-border data intermediation assessments.</v>
      </c>
      <c r="M265" s="7" t="str">
        <f>IF(ISNA(MATCH(256,'Transfer Engine'!$C$2:$C$1199,0)),"",INDEX('Compliance Database'!$M$2:$M$1199,MATCH(256,'Transfer Engine'!$C$2:$C$1199,0)))</f>
        <v>• [May] Competent authority may charge fees for notifications in accordance with national law
• [Must] Fees must be proportionate and objective and based on administrative costs related to monitoring compliance</v>
      </c>
      <c r="N265" s="7" t="str">
        <f>IF(ISNA(MATCH(256,'Transfer Engine'!$C$2:$C$1199,0)),"",INDEX('Compliance Database'!$N$2:$N$1199,MATCH(256,'Transfer Engine'!$C$2:$C$1199,0)))</f>
        <v>• [May] SMEs and start-ups may receive discounted or waived fees</v>
      </c>
      <c r="O265" s="7" t="str">
        <f>IF(ISNA(MATCH(256,'Transfer Engine'!$C$2:$C$1199,0)),"",INDEX('Compliance Database'!$O$2:$O$1199,MATCH(256,'Transfer Engine'!$C$2:$C$1199,0)))</f>
        <v>The competent authority for data intermediation services may charge fees for the notification in accordance with national law. Such fees shall be proportionate and objective and be based on the administrative costs related to the monitoring of compliance and other market control activities of the competent authority for data intermediation services in relation to notifications of data intermediation services providers. In the case of SMEs and start-ups, the competent authority for data intermediation services may charge a discounted fee or waive the fee.</v>
      </c>
      <c r="P265" s="6" t="str">
        <f>IF(ISNA(MATCH(256,'Transfer Engine'!$C$2:$C$1199,0)),"",HYPERLINK("#Acts!A"&amp;INDEX('Compliance Database'!$P$2:$P$1199,MATCH(256,'Transfer Engine'!$C$2:$C$1199,0)),"Go to Act"))</f>
        <v>Go to Act</v>
      </c>
    </row>
    <row r="266" spans="1:16" ht="172.95" customHeight="1" x14ac:dyDescent="0.3">
      <c r="A266" s="6" t="str">
        <f>IF(ISNA(MATCH(257,'Transfer Engine'!$C$2:$C$1199,0)),"",INDEX('Compliance Database'!$A$2:$A$1199,MATCH(257,'Transfer Engine'!$C$2:$C$1199,0)))</f>
        <v>GDPR</v>
      </c>
      <c r="B266" s="6" t="str">
        <f>IF(ISNA(MATCH(257,'Transfer Engine'!$C$2:$C$1199,0)),"",INDEX('Compliance Database'!$B$2:$B$1199,MATCH(257,'Transfer Engine'!$C$2:$C$1199,0)))</f>
        <v>CELEX_32022R0868_EN_TXT (GDPR - Row 12)</v>
      </c>
      <c r="C266" s="6" t="str">
        <f>IF(ISNA(MATCH(257,'Transfer Engine'!$C$2:$C$1199,0)),"",INDEX('Compliance Database'!$C$2:$C$1199,MATCH(257,'Transfer Engine'!$C$2:$C$1199,0)))</f>
        <v>12</v>
      </c>
      <c r="D266" s="7" t="str">
        <f>IF(ISNA(MATCH(257,'Transfer Engine'!$C$2:$C$1199,0)),"",INDEX('Compliance Database'!$D$2:$D$1199,MATCH(257,'Transfer Engine'!$C$2:$C$1199,0)))</f>
        <v>Data intermediation services providers must report changes</v>
      </c>
      <c r="E266" s="6" t="str">
        <f>IF(ISNA(MATCH(257,'Transfer Engine'!$C$2:$C$1199,0)),"",INDEX('Compliance Database'!$E$2:$E$1199,MATCH(257,'Transfer Engine'!$C$2:$C$1199,0)))</f>
        <v>23–24</v>
      </c>
      <c r="F266" s="6" t="str">
        <f>IF(ISNA(MATCH(257,'Transfer Engine'!$C$2:$C$1199,0)),"",INDEX('Compliance Database'!$F$2:$F$1199,MATCH(257,'Transfer Engine'!$C$2:$C$1199,0)))</f>
        <v>Low</v>
      </c>
      <c r="G266" s="6" t="str">
        <f>IF(ISNA(MATCH(257,'Transfer Engine'!$C$2:$C$1199,0)),"",INDEX('Compliance Database'!$G$2:$G$1199,MATCH(257,'Transfer Engine'!$C$2:$C$1199,0)))</f>
        <v>High (explicit)</v>
      </c>
      <c r="H266" s="7">
        <f>IF(ISNA(MATCH(257,'Transfer Engine'!$C$2:$C$1199,0)),"",INDEX('Compliance Database'!$H$2:$H$1199,MATCH(257,'Transfer Engine'!$C$2:$C$1199,0)))</f>
        <v>0</v>
      </c>
      <c r="I266" s="7">
        <f>IF(ISNA(MATCH(257,'Transfer Engine'!$C$2:$C$1199,0)),"",INDEX('Compliance Database'!$I$2:$I$1199,MATCH(257,'Transfer Engine'!$C$2:$C$1199,0)))</f>
        <v>0</v>
      </c>
      <c r="J266" s="6">
        <f>IF(ISNA(MATCH(257,'Transfer Engine'!$C$2:$C$1199,0)),"",INDEX('Compliance Database'!$J$2:$J$1199,MATCH(257,'Transfer Engine'!$C$2:$C$1199,0)))</f>
        <v>0</v>
      </c>
      <c r="K266" s="7" t="str">
        <f>IF(ISNA(MATCH(257,'Transfer Engine'!$C$2:$C$1199,0)),"",INDEX('Compliance Database'!$K$2:$K$1199,MATCH(257,'Transfer Engine'!$C$2:$C$1199,0)))</f>
        <v>Data intermediation services providers must notify the competent authority of any changes to information provided under paragraph 6 within 14 days of the change.</v>
      </c>
      <c r="L266" s="7" t="str">
        <f>IF(ISNA(MATCH(257,'Transfer Engine'!$C$2:$C$1199,0)),"",INDEX('Compliance Database'!$L$2:$L$1199,MATCH(257,'Transfer Engine'!$C$2:$C$1199,0)))</f>
        <v>Requires timely reporting of changes to data intermediation services providers, important for maintaining accurate cross-border data intermediation records.</v>
      </c>
      <c r="M266" s="7" t="str">
        <f>IF(ISNA(MATCH(257,'Transfer Engine'!$C$2:$C$1199,0)),"",INDEX('Compliance Database'!$M$2:$M$1199,MATCH(257,'Transfer Engine'!$C$2:$C$1199,0)))</f>
        <v>• [Must] Data intermediation services providers must notify competent authority of changes to information within 14 days</v>
      </c>
      <c r="N266" s="7">
        <f>IF(ISNA(MATCH(257,'Transfer Engine'!$C$2:$C$1199,0)),"",INDEX('Compliance Database'!$N$2:$N$1199,MATCH(257,'Transfer Engine'!$C$2:$C$1199,0)))</f>
        <v>0</v>
      </c>
      <c r="O266" s="7" t="str">
        <f>IF(ISNA(MATCH(257,'Transfer Engine'!$C$2:$C$1199,0)),"",INDEX('Compliance Database'!$O$2:$O$1199,MATCH(257,'Transfer Engine'!$C$2:$C$1199,0)))</f>
        <v>Data intermediation services providers shall notify the competent authority for data intermediation services of any changes to the information provided pursuant to paragraph 6 within 14 days of the date of the change.</v>
      </c>
      <c r="P266" s="6" t="str">
        <f>IF(ISNA(MATCH(257,'Transfer Engine'!$C$2:$C$1199,0)),"",HYPERLINK("#Acts!A"&amp;INDEX('Compliance Database'!$P$2:$P$1199,MATCH(257,'Transfer Engine'!$C$2:$C$1199,0)),"Go to Act"))</f>
        <v>Go to Act</v>
      </c>
    </row>
    <row r="267" spans="1:16" ht="172.95" customHeight="1" x14ac:dyDescent="0.3">
      <c r="A267" s="6" t="str">
        <f>IF(ISNA(MATCH(258,'Transfer Engine'!$C$2:$C$1199,0)),"",INDEX('Compliance Database'!$A$2:$A$1199,MATCH(258,'Transfer Engine'!$C$2:$C$1199,0)))</f>
        <v>GDPR</v>
      </c>
      <c r="B267" s="6" t="str">
        <f>IF(ISNA(MATCH(258,'Transfer Engine'!$C$2:$C$1199,0)),"",INDEX('Compliance Database'!$B$2:$B$1199,MATCH(258,'Transfer Engine'!$C$2:$C$1199,0)))</f>
        <v>CELEX_32022R0868_EN_TXT (GDPR - Row 12)</v>
      </c>
      <c r="C267" s="6" t="str">
        <f>IF(ISNA(MATCH(258,'Transfer Engine'!$C$2:$C$1199,0)),"",INDEX('Compliance Database'!$C$2:$C$1199,MATCH(258,'Transfer Engine'!$C$2:$C$1199,0)))</f>
        <v>13</v>
      </c>
      <c r="D267" s="7" t="str">
        <f>IF(ISNA(MATCH(258,'Transfer Engine'!$C$2:$C$1199,0)),"",INDEX('Compliance Database'!$D$2:$D$1199,MATCH(258,'Transfer Engine'!$C$2:$C$1199,0)))</f>
        <v>Data intermediation services providers must report cessation of activities</v>
      </c>
      <c r="E267" s="6" t="str">
        <f>IF(ISNA(MATCH(258,'Transfer Engine'!$C$2:$C$1199,0)),"",INDEX('Compliance Database'!$E$2:$E$1199,MATCH(258,'Transfer Engine'!$C$2:$C$1199,0)))</f>
        <v>24</v>
      </c>
      <c r="F267" s="6" t="str">
        <f>IF(ISNA(MATCH(258,'Transfer Engine'!$C$2:$C$1199,0)),"",INDEX('Compliance Database'!$F$2:$F$1199,MATCH(258,'Transfer Engine'!$C$2:$C$1199,0)))</f>
        <v>Low</v>
      </c>
      <c r="G267" s="6" t="str">
        <f>IF(ISNA(MATCH(258,'Transfer Engine'!$C$2:$C$1199,0)),"",INDEX('Compliance Database'!$G$2:$G$1199,MATCH(258,'Transfer Engine'!$C$2:$C$1199,0)))</f>
        <v>High (explicit)</v>
      </c>
      <c r="H267" s="7">
        <f>IF(ISNA(MATCH(258,'Transfer Engine'!$C$2:$C$1199,0)),"",INDEX('Compliance Database'!$H$2:$H$1199,MATCH(258,'Transfer Engine'!$C$2:$C$1199,0)))</f>
        <v>0</v>
      </c>
      <c r="I267" s="7">
        <f>IF(ISNA(MATCH(258,'Transfer Engine'!$C$2:$C$1199,0)),"",INDEX('Compliance Database'!$I$2:$I$1199,MATCH(258,'Transfer Engine'!$C$2:$C$1199,0)))</f>
        <v>0</v>
      </c>
      <c r="J267" s="6">
        <f>IF(ISNA(MATCH(258,'Transfer Engine'!$C$2:$C$1199,0)),"",INDEX('Compliance Database'!$J$2:$J$1199,MATCH(258,'Transfer Engine'!$C$2:$C$1199,0)))</f>
        <v>0</v>
      </c>
      <c r="K267" s="7" t="str">
        <f>IF(ISNA(MATCH(258,'Transfer Engine'!$C$2:$C$1199,0)),"",INDEX('Compliance Database'!$K$2:$K$1199,MATCH(258,'Transfer Engine'!$C$2:$C$1199,0)))</f>
        <v>Data intermediation services providers ceasing activities must notify the relevant competent authority within 15 days.</v>
      </c>
      <c r="L267" s="7" t="str">
        <f>IF(ISNA(MATCH(258,'Transfer Engine'!$C$2:$C$1199,0)),"",INDEX('Compliance Database'!$L$2:$L$1199,MATCH(258,'Transfer Engine'!$C$2:$C$1199,0)))</f>
        <v>Ensures timely removal of inactive providers from cross-border data intermediation registers, critical for maintaining accurate data intermediation service records.</v>
      </c>
      <c r="M267" s="7" t="str">
        <f>IF(ISNA(MATCH(258,'Transfer Engine'!$C$2:$C$1199,0)),"",INDEX('Compliance Database'!$M$2:$M$1199,MATCH(258,'Transfer Engine'!$C$2:$C$1199,0)))</f>
        <v>• [Must] Data intermediation services providers ceasing activities must notify relevant competent authority within 15 days</v>
      </c>
      <c r="N267" s="7">
        <f>IF(ISNA(MATCH(258,'Transfer Engine'!$C$2:$C$1199,0)),"",INDEX('Compliance Database'!$N$2:$N$1199,MATCH(258,'Transfer Engine'!$C$2:$C$1199,0)))</f>
        <v>0</v>
      </c>
      <c r="O267" s="7" t="str">
        <f>IF(ISNA(MATCH(258,'Transfer Engine'!$C$2:$C$1199,0)),"",INDEX('Compliance Database'!$O$2:$O$1199,MATCH(258,'Transfer Engine'!$C$2:$C$1199,0)))</f>
        <v>Where a data intermediation services provider ceases its activities, it shall notify the relevant competent authority for data intermediation services determined pursuant to paragraphs 1, 2 and 3 within 15 days.</v>
      </c>
      <c r="P267" s="6" t="str">
        <f>IF(ISNA(MATCH(258,'Transfer Engine'!$C$2:$C$1199,0)),"",HYPERLINK("#Acts!A"&amp;INDEX('Compliance Database'!$P$2:$P$1199,MATCH(258,'Transfer Engine'!$C$2:$C$1199,0)),"Go to Act"))</f>
        <v>Go to Act</v>
      </c>
    </row>
    <row r="268" spans="1:16" ht="172.95" customHeight="1" x14ac:dyDescent="0.3">
      <c r="A268" s="6" t="str">
        <f>IF(ISNA(MATCH(259,'Transfer Engine'!$C$2:$C$1199,0)),"",INDEX('Compliance Database'!$A$2:$A$1199,MATCH(259,'Transfer Engine'!$C$2:$C$1199,0)))</f>
        <v>GDPR</v>
      </c>
      <c r="B268" s="6" t="str">
        <f>IF(ISNA(MATCH(259,'Transfer Engine'!$C$2:$C$1199,0)),"",INDEX('Compliance Database'!$B$2:$B$1199,MATCH(259,'Transfer Engine'!$C$2:$C$1199,0)))</f>
        <v>CELEX_32022R0868_EN_TXT (GDPR - Row 12)</v>
      </c>
      <c r="C268" s="6" t="str">
        <f>IF(ISNA(MATCH(259,'Transfer Engine'!$C$2:$C$1199,0)),"",INDEX('Compliance Database'!$C$2:$C$1199,MATCH(259,'Transfer Engine'!$C$2:$C$1199,0)))</f>
        <v>14</v>
      </c>
      <c r="D268" s="7" t="str">
        <f>IF(ISNA(MATCH(259,'Transfer Engine'!$C$2:$C$1199,0)),"",INDEX('Compliance Database'!$D$2:$D$1199,MATCH(259,'Transfer Engine'!$C$2:$C$1199,0)))</f>
        <v>Competent authority must notify Commission of notifications</v>
      </c>
      <c r="E268" s="6" t="str">
        <f>IF(ISNA(MATCH(259,'Transfer Engine'!$C$2:$C$1199,0)),"",INDEX('Compliance Database'!$E$2:$E$1199,MATCH(259,'Transfer Engine'!$C$2:$C$1199,0)))</f>
        <v>24</v>
      </c>
      <c r="F268" s="6" t="str">
        <f>IF(ISNA(MATCH(259,'Transfer Engine'!$C$2:$C$1199,0)),"",INDEX('Compliance Database'!$F$2:$F$1199,MATCH(259,'Transfer Engine'!$C$2:$C$1199,0)))</f>
        <v>Low</v>
      </c>
      <c r="G268" s="6" t="str">
        <f>IF(ISNA(MATCH(259,'Transfer Engine'!$C$2:$C$1199,0)),"",INDEX('Compliance Database'!$G$2:$G$1199,MATCH(259,'Transfer Engine'!$C$2:$C$1199,0)))</f>
        <v>High (explicit)</v>
      </c>
      <c r="H268" s="7">
        <f>IF(ISNA(MATCH(259,'Transfer Engine'!$C$2:$C$1199,0)),"",INDEX('Compliance Database'!$H$2:$H$1199,MATCH(259,'Transfer Engine'!$C$2:$C$1199,0)))</f>
        <v>0</v>
      </c>
      <c r="I268" s="7">
        <f>IF(ISNA(MATCH(259,'Transfer Engine'!$C$2:$C$1199,0)),"",INDEX('Compliance Database'!$I$2:$I$1199,MATCH(259,'Transfer Engine'!$C$2:$C$1199,0)))</f>
        <v>0</v>
      </c>
      <c r="J268" s="6" t="str">
        <f>IF(ISNA(MATCH(259,'Transfer Engine'!$C$2:$C$1199,0)),"",INDEX('Compliance Database'!$J$2:$J$1199,MATCH(259,'Transfer Engine'!$C$2:$C$1199,0)))</f>
        <v>Commission</v>
      </c>
      <c r="K268" s="7" t="str">
        <f>IF(ISNA(MATCH(259,'Transfer Engine'!$C$2:$C$1199,0)),"",INDEX('Compliance Database'!$K$2:$K$1199,MATCH(259,'Transfer Engine'!$C$2:$C$1199,0)))</f>
        <v>The competent authority must notify the Commission electronically of notifications from paragraphs 12 and 13 without delay. The Commission updates the public register accordingly.</v>
      </c>
      <c r="L268" s="7" t="str">
        <f>IF(ISNA(MATCH(259,'Transfer Engine'!$C$2:$C$1199,0)),"",INDEX('Compliance Database'!$L$2:$L$1199,MATCH(259,'Transfer Engine'!$C$2:$C$1199,0)))</f>
        <v>Ensures the Commission maintains an up-to-date public register of data intermediation services providers, critical for cross-border data intermediation assessments.</v>
      </c>
      <c r="M268" s="7" t="str">
        <f>IF(ISNA(MATCH(259,'Transfer Engine'!$C$2:$C$1199,0)),"",INDEX('Compliance Database'!$M$2:$M$1199,MATCH(259,'Transfer Engine'!$C$2:$C$1199,0)))</f>
        <v>• [Must] Competent authority shall notify Commission electronically of notifications from paragraphs 12 and 13 without delay</v>
      </c>
      <c r="N268" s="7" t="str">
        <f>IF(ISNA(MATCH(259,'Transfer Engine'!$C$2:$C$1199,0)),"",INDEX('Compliance Database'!$N$2:$N$1199,MATCH(259,'Transfer Engine'!$C$2:$C$1199,0)))</f>
        <v>• [Must] Commission shall update the public register of data intermediation services providers accordingly</v>
      </c>
      <c r="O268" s="7" t="str">
        <f>IF(ISNA(MATCH(259,'Transfer Engine'!$C$2:$C$1199,0)),"",INDEX('Compliance Database'!$O$2:$O$1199,MATCH(259,'Transfer Engine'!$C$2:$C$1199,0)))</f>
        <v>The competent authority for data intermediation services shall notify the Commission of each notification referred to in paragraphs 12 and 13 by electronic means without delay. The Commission shall update the public register of the data intermediation services providers in the Union accordingly.</v>
      </c>
      <c r="P268" s="6" t="str">
        <f>IF(ISNA(MATCH(259,'Transfer Engine'!$C$2:$C$1199,0)),"",HYPERLINK("#Acts!A"&amp;INDEX('Compliance Database'!$P$2:$P$1199,MATCH(259,'Transfer Engine'!$C$2:$C$1199,0)),"Go to Act"))</f>
        <v>Go to Act</v>
      </c>
    </row>
    <row r="269" spans="1:16" ht="172.95" customHeight="1" x14ac:dyDescent="0.3">
      <c r="A269" s="6" t="str">
        <f>IF(ISNA(MATCH(260,'Transfer Engine'!$C$2:$C$1199,0)),"",INDEX('Compliance Database'!$A$2:$A$1199,MATCH(260,'Transfer Engine'!$C$2:$C$1199,0)))</f>
        <v>GDPR</v>
      </c>
      <c r="B269" s="6" t="str">
        <f>IF(ISNA(MATCH(260,'Transfer Engine'!$C$2:$C$1199,0)),"",INDEX('Compliance Database'!$B$2:$B$1199,MATCH(260,'Transfer Engine'!$C$2:$C$1199,0)))</f>
        <v>CELEX_32022R0868_EN_TXT (GDPR - Row 12)</v>
      </c>
      <c r="C269" s="6" t="str">
        <f>IF(ISNA(MATCH(260,'Transfer Engine'!$C$2:$C$1199,0)),"",INDEX('Compliance Database'!$C$2:$C$1199,MATCH(260,'Transfer Engine'!$C$2:$C$1199,0)))</f>
        <v>2022</v>
      </c>
      <c r="D269" s="7" t="str">
        <f>IF(ISNA(MATCH(260,'Transfer Engine'!$C$2:$C$1199,0)),"",INDEX('Compliance Database'!$D$2:$D$1199,MATCH(260,'Transfer Engine'!$C$2:$C$1199,0)))</f>
        <v>European data spaces for cross-border data sharing and re-use</v>
      </c>
      <c r="E269" s="6" t="str">
        <f>IF(ISNA(MATCH(260,'Transfer Engine'!$C$2:$C$1199,0)),"",INDEX('Compliance Database'!$E$2:$E$1199,MATCH(260,'Transfer Engine'!$C$2:$C$1199,0)))</f>
        <v>1–4</v>
      </c>
      <c r="F269" s="6" t="str">
        <f>IF(ISNA(MATCH(260,'Transfer Engine'!$C$2:$C$1199,0)),"",INDEX('Compliance Database'!$F$2:$F$1199,MATCH(260,'Transfer Engine'!$C$2:$C$1199,0)))</f>
        <v>High</v>
      </c>
      <c r="G269" s="6" t="str">
        <f>IF(ISNA(MATCH(260,'Transfer Engine'!$C$2:$C$1199,0)),"",INDEX('Compliance Database'!$G$2:$G$1199,MATCH(260,'Transfer Engine'!$C$2:$C$1199,0)))</f>
        <v>High (explicit)</v>
      </c>
      <c r="H269" s="7" t="str">
        <f>IF(ISNA(MATCH(260,'Transfer Engine'!$C$2:$C$1199,0)),"",INDEX('Compliance Database'!$H$2:$H$1199,MATCH(260,'Transfer Engine'!$C$2:$C$1199,0)))</f>
        <v>Cross-border Transfer, Data Sharing, Data Storage, Security</v>
      </c>
      <c r="I269" s="7" t="str">
        <f>IF(ISNA(MATCH(260,'Transfer Engine'!$C$2:$C$1199,0)),"",INDEX('Compliance Database'!$I$2:$I$1199,MATCH(260,'Transfer Engine'!$C$2:$C$1199,0)))</f>
        <v>Financial Data</v>
      </c>
      <c r="J269" s="6" t="str">
        <f>IF(ISNA(MATCH(260,'Transfer Engine'!$C$2:$C$1199,0)),"",INDEX('Compliance Database'!$J$2:$J$1199,MATCH(260,'Transfer Engine'!$C$2:$C$1199,0)))</f>
        <v>European Commission</v>
      </c>
      <c r="K269" s="7" t="str">
        <f>IF(ISNA(MATCH(260,'Transfer Engine'!$C$2:$C$1199,0)),"",INDEX('Compliance Database'!$K$2:$K$1199,MATCH(260,'Transfer Engine'!$C$2:$C$1199,0)))</f>
        <v>This section establishes a framework for harmonized data exchanges across borders by creating common European data spaces in sectors like health, finance, and mobility. It mandates data governance principles ensuring data findability, accessibility, interoperability, and reusability (FAIR principles) while maintaining high cybersecurity standards. The framework aims to facilitate cross-border data sharing without compromising fundamental rights or public security.</v>
      </c>
      <c r="L269" s="7" t="str">
        <f>IF(ISNA(MATCH(260,'Transfer Engine'!$C$2:$C$1199,0)),"",INDEX('Compliance Database'!$L$2:$L$1199,MATCH(260,'Transfer Engine'!$C$2:$C$1199,0)))</f>
        <v>This section creates cross-border data transfer mechanisms through sector-specific data spaces that require FAIR data principles and cybersecurity safeguards, directly impacting DTIA requirements for international data transfers.</v>
      </c>
      <c r="M269" s="7" t="str">
        <f>IF(ISNA(MATCH(260,'Transfer Engine'!$C$2:$C$1199,0)),"",INDEX('Compliance Database'!$M$2:$M$1199,MATCH(260,'Transfer Engine'!$C$2:$C$1199,0)))</f>
        <v>• [Must] Establish domain-specific common European data spaces for data sharing and pooling
• [Must] Ensure data is findable, accessible, interoperable and reusable (FAIR principles)
• [Must] Maintain high level of cybersecurity</v>
      </c>
      <c r="N269" s="7" t="str">
        <f>IF(ISNA(MATCH(260,'Transfer Engine'!$C$2:$C$1199,0)),"",INDEX('Compliance Database'!$N$2:$N$1199,MATCH(260,'Transfer Engine'!$C$2:$C$1199,0)))</f>
        <v>• [Must] Create harmonized framework for data exchanges and basic data governance requirements
• [Must] Facilitate cooperation between Member States for data sharing</v>
      </c>
      <c r="O269" s="7" t="str">
        <f>IF(ISNA(MATCH(260,'Transfer Engine'!$C$2:$C$1199,0)),"",INDEX('Compliance Database'!$O$2:$O$1199,MATCH(260,'Transfer Engine'!$C$2:$C$1199,0)))</f>
        <v>The Commission proposed establishing domain-specific common European data spaces for data sharing and data pooling. As proposed in the European strategy for data, such common European data spaces could cover areas such as health, mobility, manufacturing, financial services, energy or agriculture, or a combination of such areas, for example energy and climate, as well as thematic areas such as the European Green Deal or European data spaces for public administration or skills.</v>
      </c>
      <c r="P269" s="6" t="str">
        <f>IF(ISNA(MATCH(260,'Transfer Engine'!$C$2:$C$1199,0)),"",HYPERLINK("#Acts!A"&amp;INDEX('Compliance Database'!$P$2:$P$1199,MATCH(260,'Transfer Engine'!$C$2:$C$1199,0)),"Go to Act"))</f>
        <v>Go to Act</v>
      </c>
    </row>
    <row r="270" spans="1:16" ht="172.95" customHeight="1" x14ac:dyDescent="0.3">
      <c r="A270" s="6" t="str">
        <f>IF(ISNA(MATCH(261,'Transfer Engine'!$C$2:$C$1199,0)),"",INDEX('Compliance Database'!$A$2:$A$1199,MATCH(261,'Transfer Engine'!$C$2:$C$1199,0)))</f>
        <v>GDPR</v>
      </c>
      <c r="B270" s="6" t="str">
        <f>IF(ISNA(MATCH(261,'Transfer Engine'!$C$2:$C$1199,0)),"",INDEX('Compliance Database'!$B$2:$B$1199,MATCH(261,'Transfer Engine'!$C$2:$C$1199,0)))</f>
        <v>CELEX_32022R0868_EN_TXT (GDPR - Row 12)</v>
      </c>
      <c r="C270" s="6" t="str">
        <f>IF(ISNA(MATCH(261,'Transfer Engine'!$C$2:$C$1199,0)),"",INDEX('Compliance Database'!$C$2:$C$1199,MATCH(261,'Transfer Engine'!$C$2:$C$1199,0)))</f>
        <v>2022 (part 3)</v>
      </c>
      <c r="D270" s="7" t="str">
        <f>IF(ISNA(MATCH(261,'Transfer Engine'!$C$2:$C$1199,0)),"",INDEX('Compliance Database'!$D$2:$D$1199,MATCH(261,'Transfer Engine'!$C$2:$C$1199,0)))</f>
        <v>Public sector data re-use: exclusions and conditions</v>
      </c>
      <c r="E270" s="6" t="str">
        <f>IF(ISNA(MATCH(261,'Transfer Engine'!$C$2:$C$1199,0)),"",INDEX('Compliance Database'!$E$2:$E$1199,MATCH(261,'Transfer Engine'!$C$2:$C$1199,0)))</f>
        <v>6–8</v>
      </c>
      <c r="F270" s="6" t="str">
        <f>IF(ISNA(MATCH(261,'Transfer Engine'!$C$2:$C$1199,0)),"",INDEX('Compliance Database'!$F$2:$F$1199,MATCH(261,'Transfer Engine'!$C$2:$C$1199,0)))</f>
        <v>Low</v>
      </c>
      <c r="G270" s="6" t="str">
        <f>IF(ISNA(MATCH(261,'Transfer Engine'!$C$2:$C$1199,0)),"",INDEX('Compliance Database'!$G$2:$G$1199,MATCH(261,'Transfer Engine'!$C$2:$C$1199,0)))</f>
        <v>High (explicit)</v>
      </c>
      <c r="H270" s="7" t="str">
        <f>IF(ISNA(MATCH(261,'Transfer Engine'!$C$2:$C$1199,0)),"",INDEX('Compliance Database'!$H$2:$H$1199,MATCH(261,'Transfer Engine'!$C$2:$C$1199,0)))</f>
        <v>Cross-border Transfer, Data Storage, Data Residency, Security</v>
      </c>
      <c r="I270" s="7" t="str">
        <f>IF(ISNA(MATCH(261,'Transfer Engine'!$C$2:$C$1199,0)),"",INDEX('Compliance Database'!$I$2:$I$1199,MATCH(261,'Transfer Engine'!$C$2:$C$1199,0)))</f>
        <v>Personal Information</v>
      </c>
      <c r="J270" s="6" t="str">
        <f>IF(ISNA(MATCH(261,'Transfer Engine'!$C$2:$C$1199,0)),"",INDEX('Compliance Database'!$J$2:$J$1199,MATCH(261,'Transfer Engine'!$C$2:$C$1199,0)))</f>
        <v>European Commission</v>
      </c>
      <c r="K270" s="7" t="str">
        <f>IF(ISNA(MATCH(261,'Transfer Engine'!$C$2:$C$1199,0)),"",INDEX('Compliance Database'!$K$2:$K$1199,MATCH(261,'Transfer Engine'!$C$2:$C$1199,0)))</f>
        <v>This section specifies that the re-use regime applies to public sector data involved in public tasks, excluding public undertakings, cultural establishments, educational institutions, and research organizations. It mandates transparent public task definitions, requires data to be held in accordance with public law, and excludes data from organizations that are not public sector bodies. The re-use of data for non-commercial scientific research purposes among researchers is exempt from the regulation.</v>
      </c>
      <c r="L270" s="7" t="str">
        <f>IF(ISNA(MATCH(261,'Transfer Engine'!$C$2:$C$1199,0)),"",INDEX('Compliance Database'!$L$2:$L$1199,MATCH(261,'Transfer Engine'!$C$2:$C$1199,0)))</f>
        <v>This section defines exclusions for public sector data re-use, clarifying when data transfers across borders are exempt from the re-use regime. It specifies conditions for public task data that may affect cross-border data transfers.</v>
      </c>
      <c r="M270" s="7" t="str">
        <f>IF(ISNA(MATCH(261,'Transfer Engine'!$C$2:$C$1199,0)),"",INDEX('Compliance Database'!$M$2:$M$1199,MATCH(261,'Transfer Engine'!$C$2:$C$1199,0)))</f>
        <v>• [Must] Public sector bodies should define public tasks transparently and subject to review
• [Must] Public tasks should be defined generally or on a case-by-case basis for individual public sector bodies
• [Must] Public undertakings data should not be covered by this regulation
• [Must] Cultural establishments data should not be covered by this regulation</v>
      </c>
      <c r="N270" s="7" t="str">
        <f>IF(ISNA(MATCH(261,'Transfer Engine'!$C$2:$C$1199,0)),"",INDEX('Compliance Database'!$N$2:$N$1199,MATCH(261,'Transfer Engine'!$C$2:$C$1199,0)))</f>
        <v>• [Must] Educational establishments data should not be covered by this regulation
• [Must] Research-performing organizations data should not be covered by this regulation
• [Must] Data held by public undertakings in specific public-private associations should not be covered by this regulation
• [Must Not] Public sector bodies should not re-use data for non-commercial scientific research purposes</v>
      </c>
      <c r="O270" s="7" t="str">
        <f>IF(ISNA(MATCH(261,'Transfer Engine'!$C$2:$C$1199,0)),"",INDEX('Compliance Database'!$O$2:$O$1199,MATCH(261,'Transfer Engine'!$C$2:$C$1199,0)))</f>
        <v>The re-use regime provided for in this Regulation should apply to data the supply of which forms part of the public tasks of the public sector bodies concerned under law or other binding rules in the Member States.</v>
      </c>
      <c r="P270" s="6" t="str">
        <f>IF(ISNA(MATCH(261,'Transfer Engine'!$C$2:$C$1199,0)),"",HYPERLINK("#Acts!A"&amp;INDEX('Compliance Database'!$P$2:$P$1199,MATCH(261,'Transfer Engine'!$C$2:$C$1199,0)),"Go to Act"))</f>
        <v>Go to Act</v>
      </c>
    </row>
    <row r="271" spans="1:16" ht="172.95" customHeight="1" x14ac:dyDescent="0.3">
      <c r="A271" s="6" t="str">
        <f>IF(ISNA(MATCH(262,'Transfer Engine'!$C$2:$C$1199,0)),"",INDEX('Compliance Database'!$A$2:$A$1199,MATCH(262,'Transfer Engine'!$C$2:$C$1199,0)))</f>
        <v>GDPR</v>
      </c>
      <c r="B271" s="6" t="str">
        <f>IF(ISNA(MATCH(262,'Transfer Engine'!$C$2:$C$1199,0)),"",INDEX('Compliance Database'!$B$2:$B$1199,MATCH(262,'Transfer Engine'!$C$2:$C$1199,0)))</f>
        <v>CELEX_32022R0868_EN_TXT (GDPR - Row 12)</v>
      </c>
      <c r="C271" s="6" t="str">
        <f>IF(ISNA(MATCH(262,'Transfer Engine'!$C$2:$C$1199,0)),"",INDEX('Compliance Database'!$C$2:$C$1199,MATCH(262,'Transfer Engine'!$C$2:$C$1199,0)))</f>
        <v>2022 (part 4)</v>
      </c>
      <c r="D271" s="7" t="str">
        <f>IF(ISNA(MATCH(262,'Transfer Engine'!$C$2:$C$1199,0)),"",INDEX('Compliance Database'!$D$2:$D$1199,MATCH(262,'Transfer Engine'!$C$2:$C$1199,0)))</f>
        <v>Public sector data re-use: competition and security safeguards</v>
      </c>
      <c r="E271" s="6" t="str">
        <f>IF(ISNA(MATCH(262,'Transfer Engine'!$C$2:$C$1199,0)),"",INDEX('Compliance Database'!$E$2:$E$1199,MATCH(262,'Transfer Engine'!$C$2:$C$1199,0)))</f>
        <v>8–10</v>
      </c>
      <c r="F271" s="6" t="str">
        <f>IF(ISNA(MATCH(262,'Transfer Engine'!$C$2:$C$1199,0)),"",INDEX('Compliance Database'!$F$2:$F$1199,MATCH(262,'Transfer Engine'!$C$2:$C$1199,0)))</f>
        <v>Low</v>
      </c>
      <c r="G271" s="6" t="str">
        <f>IF(ISNA(MATCH(262,'Transfer Engine'!$C$2:$C$1199,0)),"",INDEX('Compliance Database'!$G$2:$G$1199,MATCH(262,'Transfer Engine'!$C$2:$C$1199,0)))</f>
        <v>High (explicit)</v>
      </c>
      <c r="H271" s="7" t="str">
        <f>IF(ISNA(MATCH(262,'Transfer Engine'!$C$2:$C$1199,0)),"",INDEX('Compliance Database'!$H$2:$H$1199,MATCH(262,'Transfer Engine'!$C$2:$C$1199,0)))</f>
        <v>Cross-border Transfer, Data Storage, Data Residency, Security, Incident Reporting</v>
      </c>
      <c r="I271" s="7">
        <f>IF(ISNA(MATCH(262,'Transfer Engine'!$C$2:$C$1199,0)),"",INDEX('Compliance Database'!$I$2:$I$1199,MATCH(262,'Transfer Engine'!$C$2:$C$1199,0)))</f>
        <v>0</v>
      </c>
      <c r="J271" s="6" t="str">
        <f>IF(ISNA(MATCH(262,'Transfer Engine'!$C$2:$C$1199,0)),"",INDEX('Compliance Database'!$J$2:$J$1199,MATCH(262,'Transfer Engine'!$C$2:$C$1199,0)))</f>
        <v>European Commission</v>
      </c>
      <c r="K271" s="7" t="str">
        <f>IF(ISNA(MATCH(262,'Transfer Engine'!$C$2:$C$1199,0)),"",INDEX('Compliance Database'!$K$2:$K$1199,MATCH(262,'Transfer Engine'!$C$2:$C$1199,0)))</f>
        <v>This section outlines competition safeguards for public sector data re-use, prohibiting exclusive agreements that restrict data re-use unless justified by public interest. It mandates transparency, regular market reviews, and publication of exclusive agreements. It also specifies that non-personal data transfers to third countries require equivalent safeguards, including legal remedies and enforceable rights, to protect trade secrets and intellectual property.</v>
      </c>
      <c r="L271" s="7" t="str">
        <f>IF(ISNA(MATCH(262,'Transfer Engine'!$C$2:$C$1199,0)),"",INDEX('Compliance Database'!$L$2:$L$1199,MATCH(262,'Transfer Engine'!$C$2:$C$1199,0)))</f>
        <v>This section details specific safeguards for cross-border transfers of non-personal data, including requirements for equivalent protection in third countries and legal remedies to ensure data security.</v>
      </c>
      <c r="M271" s="7" t="str">
        <f>IF(ISNA(MATCH(262,'Transfer Engine'!$C$2:$C$1199,0)),"",INDEX('Compliance Database'!$M$2:$M$1199,MATCH(262,'Transfer Engine'!$C$2:$C$1199,0)))</f>
        <v>• [Must] Public sector bodies should avoid exclusive agreements that create competitive barriers
• [Must] Exclusive agreements must be justified and necessary for public interest services
• [Must] Exclusive agreements should be limited to 12 months and subject to market review
• [Must] Exclusive agreements must be published online in a form compliant with public procurement law</v>
      </c>
      <c r="N271" s="7" t="str">
        <f>IF(ISNA(MATCH(262,'Transfer Engine'!$C$2:$C$1199,0)),"",INDEX('Compliance Database'!$N$2:$N$1199,MATCH(262,'Transfer Engine'!$C$2:$C$1199,0)))</f>
        <v>• [Must] Non-personal data transfers to third countries require equivalent safeguards
• [Must] Third countries must have equivalent legal protections for non-personal data
• [Must] Re-users must accept jurisdiction of the public sector body's Member State for disputes
• [Must] Public sector bodies must ensure non-personal data is protected from unlawful access</v>
      </c>
      <c r="O271" s="7" t="str">
        <f>IF(ISNA(MATCH(262,'Transfer Engine'!$C$2:$C$1199,0)),"",INDEX('Compliance Database'!$O$2:$O$1199,MATCH(262,'Transfer Engine'!$C$2:$C$1199,0)))</f>
        <v>Public sector bodies should comply with competition law when establishing the principles for re-use of data they hold, avoiding the conclusion of agreements which might have as their objective or effect the creation of exclusive rights for the re-use of certain data.</v>
      </c>
      <c r="P271" s="6" t="str">
        <f>IF(ISNA(MATCH(262,'Transfer Engine'!$C$2:$C$1199,0)),"",HYPERLINK("#Acts!A"&amp;INDEX('Compliance Database'!$P$2:$P$1199,MATCH(262,'Transfer Engine'!$C$2:$C$1199,0)),"Go to Act"))</f>
        <v>Go to Act</v>
      </c>
    </row>
    <row r="272" spans="1:16" ht="172.95" customHeight="1" x14ac:dyDescent="0.3">
      <c r="A272" s="6" t="str">
        <f>IF(ISNA(MATCH(263,'Transfer Engine'!$C$2:$C$1199,0)),"",INDEX('Compliance Database'!$A$2:$A$1199,MATCH(263,'Transfer Engine'!$C$2:$C$1199,0)))</f>
        <v>GDPR</v>
      </c>
      <c r="B272" s="6" t="str">
        <f>IF(ISNA(MATCH(263,'Transfer Engine'!$C$2:$C$1199,0)),"",INDEX('Compliance Database'!$B$2:$B$1199,MATCH(263,'Transfer Engine'!$C$2:$C$1199,0)))</f>
        <v>CELEX_32022R0868_EN_TXT (GDPR - Row 12)</v>
      </c>
      <c r="C272" s="6" t="str">
        <f>IF(ISNA(MATCH(263,'Transfer Engine'!$C$2:$C$1199,0)),"",INDEX('Compliance Database'!$C$2:$C$1199,MATCH(263,'Transfer Engine'!$C$2:$C$1199,0)))</f>
        <v>2022 (part 5)</v>
      </c>
      <c r="D272" s="7" t="str">
        <f>IF(ISNA(MATCH(263,'Transfer Engine'!$C$2:$C$1199,0)),"",INDEX('Compliance Database'!$D$2:$D$1199,MATCH(263,'Transfer Engine'!$C$2:$C$1199,0)))</f>
        <v>Data intermediation services: definition and scope</v>
      </c>
      <c r="E272" s="6" t="str">
        <f>IF(ISNA(MATCH(263,'Transfer Engine'!$C$2:$C$1199,0)),"",INDEX('Compliance Database'!$E$2:$E$1199,MATCH(263,'Transfer Engine'!$C$2:$C$1199,0)))</f>
        <v>10–12</v>
      </c>
      <c r="F272" s="6" t="str">
        <f>IF(ISNA(MATCH(263,'Transfer Engine'!$C$2:$C$1199,0)),"",INDEX('Compliance Database'!$F$2:$F$1199,MATCH(263,'Transfer Engine'!$C$2:$C$1199,0)))</f>
        <v>Medium</v>
      </c>
      <c r="G272" s="6" t="str">
        <f>IF(ISNA(MATCH(263,'Transfer Engine'!$C$2:$C$1199,0)),"",INDEX('Compliance Database'!$G$2:$G$1199,MATCH(263,'Transfer Engine'!$C$2:$C$1199,0)))</f>
        <v>High (explicit)</v>
      </c>
      <c r="H272" s="7" t="str">
        <f>IF(ISNA(MATCH(263,'Transfer Engine'!$C$2:$C$1199,0)),"",INDEX('Compliance Database'!$H$2:$H$1199,MATCH(263,'Transfer Engine'!$C$2:$C$1199,0)))</f>
        <v>Data Sharing, Cross-border Transfer, Data Storage, Security</v>
      </c>
      <c r="I272" s="7" t="str">
        <f>IF(ISNA(MATCH(263,'Transfer Engine'!$C$2:$C$1199,0)),"",INDEX('Compliance Database'!$I$2:$I$1199,MATCH(263,'Transfer Engine'!$C$2:$C$1199,0)))</f>
        <v>Personal Information</v>
      </c>
      <c r="J272" s="6" t="str">
        <f>IF(ISNA(MATCH(263,'Transfer Engine'!$C$2:$C$1199,0)),"",INDEX('Compliance Database'!$J$2:$J$1199,MATCH(263,'Transfer Engine'!$C$2:$C$1199,0)))</f>
        <v>European Commission</v>
      </c>
      <c r="K272" s="7" t="str">
        <f>IF(ISNA(MATCH(263,'Transfer Engine'!$C$2:$C$1199,0)),"",INDEX('Compliance Database'!$K$2:$K$1199,MATCH(263,'Transfer Engine'!$C$2:$C$1199,0)))</f>
        <v>This section defines data intermediation services as platforms enabling data sharing between data holders, data subjects and data users without establishing commercial relationships. Member States must establish a single information point for reusing public sector data, which should be cross-sectoral and use automated means where possible. Competent bodies must support public sector bodies in data re-use, including technical assistance for data storage and interoperability while maintaining data privacy. These entities should not have supervisory functions but must comply with data protection regulations.</v>
      </c>
      <c r="L272" s="7" t="str">
        <f>IF(ISNA(MATCH(263,'Transfer Engine'!$C$2:$C$1199,0)),"",INDEX('Compliance Database'!$L$2:$L$1199,MATCH(263,'Transfer Engine'!$C$2:$C$1199,0)))</f>
        <v>Data intermediation services require specific safeguards for cross-border data sharing, including neutrality, interoperability, and no commercial relationships. They must not process personal data for commercial purposes without explicit consent from data subjects.</v>
      </c>
      <c r="M272" s="7" t="str">
        <f>IF(ISNA(MATCH(263,'Transfer Engine'!$C$2:$C$1199,0)),"",INDEX('Compliance Database'!$M$2:$M$1199,MATCH(263,'Transfer Engine'!$C$2:$C$1199,0)))</f>
        <v>• [Must] Member States should establish a single information point for reusing public sector data with cross-sector remit
• [Must] The single information point should use automated means for enquiries or requests for data re-use
• [Must] Competent bodies must support public sector bodies in data re-use, including technical assistance for data storage and interoperability</v>
      </c>
      <c r="N272" s="7" t="str">
        <f>IF(ISNA(MATCH(263,'Transfer Engine'!$C$2:$C$1199,0)),"",INDEX('Compliance Database'!$N$2:$N$1199,MATCH(263,'Transfer Engine'!$C$2:$C$1199,0)))</f>
        <v>• [Must Not] Competent bodies should not have supervisory functions reserved for data protection authorities
• [Must Not] Data intermediation services must not establish commercial relationships between data holders and users
• [Must Not] Data intermediation services must not process personal data for commercial purposes without explicit consent</v>
      </c>
      <c r="O272" s="7" t="str">
        <f>IF(ISNA(MATCH(263,'Transfer Engine'!$C$2:$C$1199,0)),"",INDEX('Compliance Database'!$O$2:$O$1199,MATCH(263,'Transfer Engine'!$C$2:$C$1199,0)))</f>
        <v>Member States should establish a single information point to act as an interface for re-users that seek to re-use that data. It should have a cross-sector remit, and should complement, if necessary, arrangements at the sectoral level.</v>
      </c>
      <c r="P272" s="6" t="str">
        <f>IF(ISNA(MATCH(263,'Transfer Engine'!$C$2:$C$1199,0)),"",HYPERLINK("#Acts!A"&amp;INDEX('Compliance Database'!$P$2:$P$1199,MATCH(263,'Transfer Engine'!$C$2:$C$1199,0)),"Go to Act"))</f>
        <v>Go to Act</v>
      </c>
    </row>
    <row r="273" spans="1:16" ht="172.95" customHeight="1" x14ac:dyDescent="0.3">
      <c r="A273" s="6" t="str">
        <f>IF(ISNA(MATCH(264,'Transfer Engine'!$C$2:$C$1199,0)),"",INDEX('Compliance Database'!$A$2:$A$1199,MATCH(264,'Transfer Engine'!$C$2:$C$1199,0)))</f>
        <v>GDPR</v>
      </c>
      <c r="B273" s="6" t="str">
        <f>IF(ISNA(MATCH(264,'Transfer Engine'!$C$2:$C$1199,0)),"",INDEX('Compliance Database'!$B$2:$B$1199,MATCH(264,'Transfer Engine'!$C$2:$C$1199,0)))</f>
        <v>CELEX_32022R0868_EN_TXT (GDPR - Row 12)</v>
      </c>
      <c r="C273" s="6" t="str">
        <f>IF(ISNA(MATCH(264,'Transfer Engine'!$C$2:$C$1199,0)),"",INDEX('Compliance Database'!$C$2:$C$1199,MATCH(264,'Transfer Engine'!$C$2:$C$1199,0)))</f>
        <v>2022 (part 6)</v>
      </c>
      <c r="D273" s="7" t="str">
        <f>IF(ISNA(MATCH(264,'Transfer Engine'!$C$2:$C$1199,0)),"",INDEX('Compliance Database'!$D$2:$D$1199,MATCH(264,'Transfer Engine'!$C$2:$C$1199,0)))</f>
        <v>Data intermediation services: operational requirements</v>
      </c>
      <c r="E273" s="6" t="str">
        <f>IF(ISNA(MATCH(264,'Transfer Engine'!$C$2:$C$1199,0)),"",INDEX('Compliance Database'!$E$2:$E$1199,MATCH(264,'Transfer Engine'!$C$2:$C$1199,0)))</f>
        <v>12–14</v>
      </c>
      <c r="F273" s="6" t="str">
        <f>IF(ISNA(MATCH(264,'Transfer Engine'!$C$2:$C$1199,0)),"",INDEX('Compliance Database'!$F$2:$F$1199,MATCH(264,'Transfer Engine'!$C$2:$C$1199,0)))</f>
        <v>Medium</v>
      </c>
      <c r="G273" s="6" t="str">
        <f>IF(ISNA(MATCH(264,'Transfer Engine'!$C$2:$C$1199,0)),"",INDEX('Compliance Database'!$G$2:$G$1199,MATCH(264,'Transfer Engine'!$C$2:$C$1199,0)))</f>
        <v>High (explicit)</v>
      </c>
      <c r="H273" s="7" t="str">
        <f>IF(ISNA(MATCH(264,'Transfer Engine'!$C$2:$C$1199,0)),"",INDEX('Compliance Database'!$H$2:$H$1199,MATCH(264,'Transfer Engine'!$C$2:$C$1199,0)))</f>
        <v>Data Sharing, Cross-border Transfer, Data Storage, Security</v>
      </c>
      <c r="I273" s="7" t="str">
        <f>IF(ISNA(MATCH(264,'Transfer Engine'!$C$2:$C$1199,0)),"",INDEX('Compliance Database'!$I$2:$I$1199,MATCH(264,'Transfer Engine'!$C$2:$C$1199,0)))</f>
        <v>Personal Information</v>
      </c>
      <c r="J273" s="6" t="str">
        <f>IF(ISNA(MATCH(264,'Transfer Engine'!$C$2:$C$1199,0)),"",INDEX('Compliance Database'!$J$2:$J$1199,MATCH(264,'Transfer Engine'!$C$2:$C$1199,0)))</f>
        <v>European Commission</v>
      </c>
      <c r="K273" s="7" t="str">
        <f>IF(ISNA(MATCH(264,'Transfer Engine'!$C$2:$C$1199,0)),"",INDEX('Compliance Database'!$K$2:$K$1199,MATCH(264,'Transfer Engine'!$C$2:$C$1199,0)))</f>
        <v>This section outlines operational requirements for data intermediation services, including neutrality, interoperability, and compliance with competition law. Providers must ensure no conflicts of interest, maintain data privacy, and implement procedures for fraudulent practices. They must also comply with national laws of their main establishment location and follow sector-specific standards where applicable.</v>
      </c>
      <c r="L273" s="7" t="str">
        <f>IF(ISNA(MATCH(264,'Transfer Engine'!$C$2:$C$1199,0)),"",INDEX('Compliance Database'!$L$2:$L$1199,MATCH(264,'Transfer Engine'!$C$2:$C$1199,0)))</f>
        <v>Data intermediation services must operate neutrally, ensure interoperability, and avoid conflicts of interest to facilitate secure cross-border data sharing without commercial relationships.</v>
      </c>
      <c r="M273" s="7" t="str">
        <f>IF(ISNA(MATCH(264,'Transfer Engine'!$C$2:$C$1199,0)),"",INDEX('Compliance Database'!$M$2:$M$1199,MATCH(264,'Transfer Engine'!$C$2:$C$1199,0)))</f>
        <v>• [Must] Data intermediation services providers must act only as intermediaries without using data for other purposes
• [Must] Commercial terms for data intermediation services must not depend on other services provided by the same provider
• [Must] Data intermediation services must implement procedures to impose penalties for fraudulent or abusive practices</v>
      </c>
      <c r="N273" s="7" t="str">
        <f>IF(ISNA(MATCH(264,'Transfer Engine'!$C$2:$C$1199,0)),"",INDEX('Compliance Database'!$N$2:$N$1199,MATCH(264,'Transfer Engine'!$C$2:$C$1199,0)))</f>
        <v>• [Must] Data intermediation services must comply with competition law and have procedures to ensure compliance
• [Must] Data intermediation services must take reasonable measures to ensure interoperability within sectors
• [Must] Data intermediation services must send a notification to the competent authority from the Member State where main establishment is located</v>
      </c>
      <c r="O273" s="7" t="str">
        <f>IF(ISNA(MATCH(264,'Transfer Engine'!$C$2:$C$1199,0)),"",INDEX('Compliance Database'!$O$2:$O$1199,MATCH(264,'Transfer Engine'!$C$2:$C$1199,0)))</f>
        <v>Data intermediation services providers should act only as intermediaries in the transactions, and do not use the data exchanged for any other purpose.</v>
      </c>
      <c r="P273" s="6" t="str">
        <f>IF(ISNA(MATCH(264,'Transfer Engine'!$C$2:$C$1199,0)),"",HYPERLINK("#Acts!A"&amp;INDEX('Compliance Database'!$P$2:$P$1199,MATCH(264,'Transfer Engine'!$C$2:$C$1199,0)),"Go to Act"))</f>
        <v>Go to Act</v>
      </c>
    </row>
    <row r="274" spans="1:16" ht="172.95" customHeight="1" x14ac:dyDescent="0.3">
      <c r="A274" s="6" t="str">
        <f>IF(ISNA(MATCH(265,'Transfer Engine'!$C$2:$C$1199,0)),"",INDEX('Compliance Database'!$A$2:$A$1199,MATCH(265,'Transfer Engine'!$C$2:$C$1199,0)))</f>
        <v>GDPR</v>
      </c>
      <c r="B274" s="6" t="str">
        <f>IF(ISNA(MATCH(265,'Transfer Engine'!$C$2:$C$1199,0)),"",INDEX('Compliance Database'!$B$2:$B$1199,MATCH(265,'Transfer Engine'!$C$2:$C$1199,0)))</f>
        <v>CELEX_32022R0868_EN_TXT (GDPR - Row 12)</v>
      </c>
      <c r="C274" s="6" t="str">
        <f>IF(ISNA(MATCH(265,'Transfer Engine'!$C$2:$C$1199,0)),"",INDEX('Compliance Database'!$C$2:$C$1199,MATCH(265,'Transfer Engine'!$C$2:$C$1199,0)))</f>
        <v>2022 (part 7)</v>
      </c>
      <c r="D274" s="7" t="str">
        <f>IF(ISNA(MATCH(265,'Transfer Engine'!$C$2:$C$1199,0)),"",INDEX('Compliance Database'!$D$2:$D$1199,MATCH(265,'Transfer Engine'!$C$2:$C$1199,0)))</f>
        <v>Data intermediation services provider registration and oversight</v>
      </c>
      <c r="E274" s="6" t="str">
        <f>IF(ISNA(MATCH(265,'Transfer Engine'!$C$2:$C$1199,0)),"",INDEX('Compliance Database'!$E$2:$E$1199,MATCH(265,'Transfer Engine'!$C$2:$C$1199,0)))</f>
        <v>14–16</v>
      </c>
      <c r="F274" s="6" t="str">
        <f>IF(ISNA(MATCH(265,'Transfer Engine'!$C$2:$C$1199,0)),"",INDEX('Compliance Database'!$F$2:$F$1199,MATCH(265,'Transfer Engine'!$C$2:$C$1199,0)))</f>
        <v>Medium</v>
      </c>
      <c r="G274" s="6" t="str">
        <f>IF(ISNA(MATCH(265,'Transfer Engine'!$C$2:$C$1199,0)),"",INDEX('Compliance Database'!$G$2:$G$1199,MATCH(265,'Transfer Engine'!$C$2:$C$1199,0)))</f>
        <v>High (explicit)</v>
      </c>
      <c r="H274" s="7" t="str">
        <f>IF(ISNA(MATCH(265,'Transfer Engine'!$C$2:$C$1199,0)),"",INDEX('Compliance Database'!$H$2:$H$1199,MATCH(265,'Transfer Engine'!$C$2:$C$1199,0)))</f>
        <v>Data Sharing, Cross-border Transfer, Data Storage</v>
      </c>
      <c r="I274" s="7" t="str">
        <f>IF(ISNA(MATCH(265,'Transfer Engine'!$C$2:$C$1199,0)),"",INDEX('Compliance Database'!$I$2:$I$1199,MATCH(265,'Transfer Engine'!$C$2:$C$1199,0)))</f>
        <v>Personal Information, Financial Data</v>
      </c>
      <c r="J274" s="6" t="str">
        <f>IF(ISNA(MATCH(265,'Transfer Engine'!$C$2:$C$1199,0)),"",INDEX('Compliance Database'!$J$2:$J$1199,MATCH(265,'Transfer Engine'!$C$2:$C$1199,0)))</f>
        <v>Competent authorities for data intermediation services</v>
      </c>
      <c r="K274" s="7" t="str">
        <f>IF(ISNA(MATCH(265,'Transfer Engine'!$C$2:$C$1199,0)),"",INDEX('Compliance Database'!$K$2:$K$1199,MATCH(265,'Transfer Engine'!$C$2:$C$1199,0)))</f>
        <v>Data intermediation services providers must have their main establishment in the Union. Those not established in the Union offering services within the Union must designate a legal representative who acts on their behalf for compliance purposes. The legal representative must be designated via written mandate and competent authorities may address them directly for enforcement actions. The designation is necessary due to handling of personal and commercially confidential data.</v>
      </c>
      <c r="L274" s="7" t="str">
        <f>IF(ISNA(MATCH(265,'Transfer Engine'!$C$2:$C$1199,0)),"",INDEX('Compliance Database'!$L$2:$L$1199,MATCH(265,'Transfer Engine'!$C$2:$C$1199,0)))</f>
        <v>Requires data intermediation services providers to establish a legal representative within the Union for oversight, creating a cross-border compliance mechanism for data sharing activities.</v>
      </c>
      <c r="M274" s="7" t="str">
        <f>IF(ISNA(MATCH(265,'Transfer Engine'!$C$2:$C$1199,0)),"",INDEX('Compliance Database'!$M$2:$M$1199,MATCH(265,'Transfer Engine'!$C$2:$C$1199,0)))</f>
        <v>• [Must] Data intermediation services providers must have their main establishment in the Union
• [Must] Data intermediation services providers not established in the Union offering services within the Union must designate a legal representative
• [Must] Designated legal representative must act on behalf of the data intermediation services provider</v>
      </c>
      <c r="N274" s="7" t="str">
        <f>IF(ISNA(MATCH(265,'Transfer Engine'!$C$2:$C$1199,0)),"",INDEX('Compliance Database'!$N$2:$N$1199,MATCH(265,'Transfer Engine'!$C$2:$C$1199,0)))</f>
        <v>• [Must] Legal representative must be designated by written mandate of the data intermediation services provider
• [Should] Competent authorities may address the legal representative directly for enforcement actions</v>
      </c>
      <c r="O274" s="7" t="str">
        <f>IF(ISNA(MATCH(265,'Transfer Engine'!$C$2:$C$1199,0)),"",INDEX('Compliance Database'!$O$2:$O$1199,MATCH(265,'Transfer Engine'!$C$2:$C$1199,0)))</f>
        <v>In order to ensure the compliance of data intermediation services providers with this Regulation, they should have their main establishment in the Union. Where a data intermediation services provider not established in the Union offers services within the Union, it should designate a legal representative.</v>
      </c>
      <c r="P274" s="6" t="str">
        <f>IF(ISNA(MATCH(265,'Transfer Engine'!$C$2:$C$1199,0)),"",HYPERLINK("#Acts!A"&amp;INDEX('Compliance Database'!$P$2:$P$1199,MATCH(265,'Transfer Engine'!$C$2:$C$1199,0)),"Go to Act"))</f>
        <v>Go to Act</v>
      </c>
    </row>
    <row r="275" spans="1:16" ht="172.95" customHeight="1" x14ac:dyDescent="0.3">
      <c r="A275" s="6" t="str">
        <f>IF(ISNA(MATCH(266,'Transfer Engine'!$C$2:$C$1199,0)),"",INDEX('Compliance Database'!$A$2:$A$1199,MATCH(266,'Transfer Engine'!$C$2:$C$1199,0)))</f>
        <v>GDPR</v>
      </c>
      <c r="B275" s="6" t="str">
        <f>IF(ISNA(MATCH(266,'Transfer Engine'!$C$2:$C$1199,0)),"",INDEX('Compliance Database'!$B$2:$B$1199,MATCH(266,'Transfer Engine'!$C$2:$C$1199,0)))</f>
        <v>CELEX_32022R0868_EN_TXT (GDPR - Row 12)</v>
      </c>
      <c r="C275" s="6" t="str">
        <f>IF(ISNA(MATCH(266,'Transfer Engine'!$C$2:$C$1199,0)),"",INDEX('Compliance Database'!$C$2:$C$1199,MATCH(266,'Transfer Engine'!$C$2:$C$1199,0)))</f>
        <v>2022 (part 8)</v>
      </c>
      <c r="D275" s="7" t="str">
        <f>IF(ISNA(MATCH(266,'Transfer Engine'!$C$2:$C$1199,0)),"",INDEX('Compliance Database'!$D$2:$D$1199,MATCH(266,'Transfer Engine'!$C$2:$C$1199,0)))</f>
        <v>Data altruism organizations and consent frameworks</v>
      </c>
      <c r="E275" s="6" t="str">
        <f>IF(ISNA(MATCH(266,'Transfer Engine'!$C$2:$C$1199,0)),"",INDEX('Compliance Database'!$E$2:$E$1199,MATCH(266,'Transfer Engine'!$C$2:$C$1199,0)))</f>
        <v>16–18</v>
      </c>
      <c r="F275" s="6" t="str">
        <f>IF(ISNA(MATCH(266,'Transfer Engine'!$C$2:$C$1199,0)),"",INDEX('Compliance Database'!$F$2:$F$1199,MATCH(266,'Transfer Engine'!$C$2:$C$1199,0)))</f>
        <v>Low</v>
      </c>
      <c r="G275" s="6" t="str">
        <f>IF(ISNA(MATCH(266,'Transfer Engine'!$C$2:$C$1199,0)),"",INDEX('Compliance Database'!$G$2:$G$1199,MATCH(266,'Transfer Engine'!$C$2:$C$1199,0)))</f>
        <v>High (explicit)</v>
      </c>
      <c r="H275" s="7" t="str">
        <f>IF(ISNA(MATCH(266,'Transfer Engine'!$C$2:$C$1199,0)),"",INDEX('Compliance Database'!$H$2:$H$1199,MATCH(266,'Transfer Engine'!$C$2:$C$1199,0)))</f>
        <v>Data Sharing, Data Storage, Consent</v>
      </c>
      <c r="I275" s="7">
        <f>IF(ISNA(MATCH(266,'Transfer Engine'!$C$2:$C$1199,0)),"",INDEX('Compliance Database'!$I$2:$I$1199,MATCH(266,'Transfer Engine'!$C$2:$C$1199,0)))</f>
        <v>0</v>
      </c>
      <c r="J275" s="6" t="str">
        <f>IF(ISNA(MATCH(266,'Transfer Engine'!$C$2:$C$1199,0)),"",INDEX('Compliance Database'!$J$2:$J$1199,MATCH(266,'Transfer Engine'!$C$2:$C$1199,0)))</f>
        <v>Competent authorities for registration of data altruism organizations</v>
      </c>
      <c r="K275" s="7" t="str">
        <f>IF(ISNA(MATCH(266,'Transfer Engine'!$C$2:$C$1199,0)),"",INDEX('Compliance Database'!$K$2:$K$1199,MATCH(266,'Transfer Engine'!$C$2:$C$1199,0)))</f>
        <v>Recognised data altruism organizations must have a Union establishment or legal representative, be non-profit, and follow transparency requirements. They must collect data directly or process data collected by others, with consent mechanisms compliant with GDPR. Data altruism organizations should be able to process data for purposes established at consent time or allow third-party processing for those purposes.</v>
      </c>
      <c r="L275" s="7" t="str">
        <f>IF(ISNA(MATCH(266,'Transfer Engine'!$C$2:$C$1199,0)),"",INDEX('Compliance Database'!$L$2:$L$1199,MATCH(266,'Transfer Engine'!$C$2:$C$1199,0)))</f>
        <v>Establishes requirements for data altruism organizations to ensure trust and compliance, including non-profit status, transparency, and consent mechanisms for cross-border data sharing.</v>
      </c>
      <c r="M275" s="7" t="str">
        <f>IF(ISNA(MATCH(266,'Transfer Engine'!$C$2:$C$1199,0)),"",INDEX('Compliance Database'!$M$2:$M$1199,MATCH(266,'Transfer Engine'!$C$2:$C$1199,0)))</f>
        <v>• [Must] Recognised data altruism organizations must have a Union establishment or legal representative
• [Must] Recognised data altruism organizations must be non-profit organizations
• [Must] Recognised data altruism organizations must follow transparency requirements</v>
      </c>
      <c r="N275" s="7" t="str">
        <f>IF(ISNA(MATCH(266,'Transfer Engine'!$C$2:$C$1199,0)),"",INDEX('Compliance Database'!$N$2:$N$1199,MATCH(266,'Transfer Engine'!$C$2:$C$1199,0)))</f>
        <v>• [Must] Recognised data altruism organizations must have specific safeguards to protect data subjects' rights
• [Must] Data altruism organizations must collect data directly from natural and legal persons or process data collected by others
• [Must] Data altruism organizations must comply with GDPR for data processing</v>
      </c>
      <c r="O275" s="7" t="str">
        <f>IF(ISNA(MATCH(266,'Transfer Engine'!$C$2:$C$1199,0)),"",INDEX('Compliance Database'!$O$2:$O$1199,MATCH(266,'Transfer Engine'!$C$2:$C$1199,0)))</f>
        <v>Recognised data altruism organisations should be able to collect relevant data directly from natural and legal persons or to process data collected by others.</v>
      </c>
      <c r="P275" s="6" t="str">
        <f>IF(ISNA(MATCH(266,'Transfer Engine'!$C$2:$C$1199,0)),"",HYPERLINK("#Acts!A"&amp;INDEX('Compliance Database'!$P$2:$P$1199,MATCH(266,'Transfer Engine'!$C$2:$C$1199,0)),"Go to Act"))</f>
        <v>Go to Act</v>
      </c>
    </row>
    <row r="276" spans="1:16" ht="172.95" customHeight="1" x14ac:dyDescent="0.3">
      <c r="A276" s="6" t="str">
        <f>IF(ISNA(MATCH(267,'Transfer Engine'!$C$2:$C$1199,0)),"",INDEX('Compliance Database'!$A$2:$A$1199,MATCH(267,'Transfer Engine'!$C$2:$C$1199,0)))</f>
        <v>GDPR</v>
      </c>
      <c r="B276" s="6" t="str">
        <f>IF(ISNA(MATCH(267,'Transfer Engine'!$C$2:$C$1199,0)),"",INDEX('Compliance Database'!$B$2:$B$1199,MATCH(267,'Transfer Engine'!$C$2:$C$1199,0)))</f>
        <v>CELEX_52023PC0360_EN_TXT (GDPR - Row 13)</v>
      </c>
      <c r="C276" s="6" t="str">
        <f>IF(ISNA(MATCH(267,'Transfer Engine'!$C$2:$C$1199,0)),"",INDEX('Compliance Database'!$C$2:$C$1199,MATCH(267,'Transfer Engine'!$C$2:$C$1199,0)))</f>
        <v>1</v>
      </c>
      <c r="D276" s="7" t="str">
        <f>IF(ISNA(MATCH(267,'Transfer Engine'!$C$2:$C$1199,0)),"",INDEX('Compliance Database'!$D$2:$D$1199,MATCH(267,'Transfer Engine'!$C$2:$C$1199,0)))</f>
        <v>Regulation evaluation timeline and scope</v>
      </c>
      <c r="E276" s="6" t="str">
        <f>IF(ISNA(MATCH(267,'Transfer Engine'!$C$2:$C$1199,0)),"",INDEX('Compliance Database'!$E$2:$E$1199,MATCH(267,'Transfer Engine'!$C$2:$C$1199,0)))</f>
        <v>2–4</v>
      </c>
      <c r="F276" s="6" t="str">
        <f>IF(ISNA(MATCH(267,'Transfer Engine'!$C$2:$C$1199,0)),"",INDEX('Compliance Database'!$F$2:$F$1199,MATCH(267,'Transfer Engine'!$C$2:$C$1199,0)))</f>
        <v>Low</v>
      </c>
      <c r="G276" s="6" t="str">
        <f>IF(ISNA(MATCH(267,'Transfer Engine'!$C$2:$C$1199,0)),"",INDEX('Compliance Database'!$G$2:$G$1199,MATCH(267,'Transfer Engine'!$C$2:$C$1199,0)))</f>
        <v>High (explicit)</v>
      </c>
      <c r="H276" s="7" t="str">
        <f>IF(ISNA(MATCH(267,'Transfer Engine'!$C$2:$C$1199,0)),"",INDEX('Compliance Database'!$H$2:$H$1199,MATCH(267,'Transfer Engine'!$C$2:$C$1199,0)))</f>
        <v>Governance</v>
      </c>
      <c r="I276" s="7">
        <f>IF(ISNA(MATCH(267,'Transfer Engine'!$C$2:$C$1199,0)),"",INDEX('Compliance Database'!$I$2:$I$1199,MATCH(267,'Transfer Engine'!$C$2:$C$1199,0)))</f>
        <v>0</v>
      </c>
      <c r="J276" s="6">
        <f>IF(ISNA(MATCH(267,'Transfer Engine'!$C$2:$C$1199,0)),"",INDEX('Compliance Database'!$J$2:$J$1199,MATCH(267,'Transfer Engine'!$C$2:$C$1199,0)))</f>
        <v>0</v>
      </c>
      <c r="K276" s="7" t="str">
        <f>IF(ISNA(MATCH(267,'Transfer Engine'!$C$2:$C$1199,0)),"",INDEX('Compliance Database'!$K$2:$K$1199,MATCH(267,'Transfer Engine'!$C$2:$C$1199,0)))</f>
        <v>Four years after the Regulation's entry into force, the Commission must evaluate the Regulation and submit a report to the European Parliament, Council, and European Economic and Social Committee. The evaluation assesses data accessibility categories, excluded data categories, contractual practices, financial data sharing schemes, and compensation impacts on data users.</v>
      </c>
      <c r="L276" s="7">
        <f>IF(ISNA(MATCH(267,'Transfer Engine'!$C$2:$C$1199,0)),"",INDEX('Compliance Database'!$L$2:$L$1199,MATCH(267,'Transfer Engine'!$C$2:$C$1199,0)))</f>
        <v>0</v>
      </c>
      <c r="M276" s="7" t="str">
        <f>IF(ISNA(MATCH(267,'Transfer Engine'!$C$2:$C$1199,0)),"",INDEX('Compliance Database'!$M$2:$M$1199,MATCH(267,'Transfer Engine'!$C$2:$C$1199,0)))</f>
        <v>• [Must] By [OP please insert the date = 4 years after the date of entry into application of this Regulation, the Commission shall carry out an evaluation of this Regulation
• [Must] The evaluation shall assess other categories or sets of data to be made accessible
• [Must] The evaluation shall assess the exclusion from the scope of certain categories of data and entities
• [Must] The evaluation shall assess changes in contractual practices of data holders and data users</v>
      </c>
      <c r="N276" s="7" t="str">
        <f>IF(ISNA(MATCH(267,'Transfer Engine'!$C$2:$C$1199,0)),"",INDEX('Compliance Database'!$N$2:$N$1199,MATCH(267,'Transfer Engine'!$C$2:$C$1199,0)))</f>
        <v>• [Must] The evaluation shall assess the operation of financial data sharing schemes
• [Must] The evaluation shall assess the inclusion of other types of entities to those entities granted the right of access to data
• [Must] The evaluation shall assess the impact of compensation on the ability of data users to participate in financial data sharing schemes</v>
      </c>
      <c r="O276" s="7" t="str">
        <f>IF(ISNA(MATCH(267,'Transfer Engine'!$C$2:$C$1199,0)),"",INDEX('Compliance Database'!$O$2:$O$1199,MATCH(267,'Transfer Engine'!$C$2:$C$1199,0)))</f>
        <v>By [OP please insert the date = 4 years after the date of entry into application of this Regulation, the Commission shall carry out an evaluation of this Regulation and submit a report on its main findings to the European Parliament and to the Council as well as to the European Economic and Social Committee.</v>
      </c>
      <c r="P276" s="6" t="str">
        <f>IF(ISNA(MATCH(267,'Transfer Engine'!$C$2:$C$1199,0)),"",HYPERLINK("#Acts!A"&amp;INDEX('Compliance Database'!$P$2:$P$1199,MATCH(267,'Transfer Engine'!$C$2:$C$1199,0)),"Go to Act"))</f>
        <v>Go to Act</v>
      </c>
    </row>
    <row r="277" spans="1:16" ht="172.95" customHeight="1" x14ac:dyDescent="0.3">
      <c r="A277" s="6" t="str">
        <f>IF(ISNA(MATCH(268,'Transfer Engine'!$C$2:$C$1199,0)),"",INDEX('Compliance Database'!$A$2:$A$1199,MATCH(268,'Transfer Engine'!$C$2:$C$1199,0)))</f>
        <v>GDPR</v>
      </c>
      <c r="B277" s="6" t="str">
        <f>IF(ISNA(MATCH(268,'Transfer Engine'!$C$2:$C$1199,0)),"",INDEX('Compliance Database'!$B$2:$B$1199,MATCH(268,'Transfer Engine'!$C$2:$C$1199,0)))</f>
        <v>CELEX_52023PC0360_EN_TXT (GDPR - Row 13)</v>
      </c>
      <c r="C277" s="6" t="str">
        <f>IF(ISNA(MATCH(268,'Transfer Engine'!$C$2:$C$1199,0)),"",INDEX('Compliance Database'!$C$2:$C$1199,MATCH(268,'Transfer Engine'!$C$2:$C$1199,0)))</f>
        <v>2</v>
      </c>
      <c r="D277" s="7" t="str">
        <f>IF(ISNA(MATCH(268,'Transfer Engine'!$C$2:$C$1199,0)),"",INDEX('Compliance Database'!$D$2:$D$1199,MATCH(268,'Transfer Engine'!$C$2:$C$1199,0)))</f>
        <v>Financial data access report submission timeline</v>
      </c>
      <c r="E277" s="6" t="str">
        <f>IF(ISNA(MATCH(268,'Transfer Engine'!$C$2:$C$1199,0)),"",INDEX('Compliance Database'!$E$2:$E$1199,MATCH(268,'Transfer Engine'!$C$2:$C$1199,0)))</f>
        <v>4–5</v>
      </c>
      <c r="F277" s="6" t="str">
        <f>IF(ISNA(MATCH(268,'Transfer Engine'!$C$2:$C$1199,0)),"",INDEX('Compliance Database'!$F$2:$F$1199,MATCH(268,'Transfer Engine'!$C$2:$C$1199,0)))</f>
        <v>Low</v>
      </c>
      <c r="G277" s="6" t="str">
        <f>IF(ISNA(MATCH(268,'Transfer Engine'!$C$2:$C$1199,0)),"",INDEX('Compliance Database'!$G$2:$G$1199,MATCH(268,'Transfer Engine'!$C$2:$C$1199,0)))</f>
        <v>High (explicit)</v>
      </c>
      <c r="H277" s="7" t="str">
        <f>IF(ISNA(MATCH(268,'Transfer Engine'!$C$2:$C$1199,0)),"",INDEX('Compliance Database'!$H$2:$H$1199,MATCH(268,'Transfer Engine'!$C$2:$C$1199,0)))</f>
        <v>Governance</v>
      </c>
      <c r="I277" s="7">
        <f>IF(ISNA(MATCH(268,'Transfer Engine'!$C$2:$C$1199,0)),"",INDEX('Compliance Database'!$I$2:$I$1199,MATCH(268,'Transfer Engine'!$C$2:$C$1199,0)))</f>
        <v>0</v>
      </c>
      <c r="J277" s="6">
        <f>IF(ISNA(MATCH(268,'Transfer Engine'!$C$2:$C$1199,0)),"",INDEX('Compliance Database'!$J$2:$J$1199,MATCH(268,'Transfer Engine'!$C$2:$C$1199,0)))</f>
        <v>0</v>
      </c>
      <c r="K277" s="7" t="str">
        <f>IF(ISNA(MATCH(268,'Transfer Engine'!$C$2:$C$1199,0)),"",INDEX('Compliance Database'!$K$2:$K$1199,MATCH(268,'Transfer Engine'!$C$2:$C$1199,0)))</f>
        <v>Four years after the Regulation's entry into force, the Commission must submit a report to the European Parliament and Council assessing access conditions for financial data applicable to account information service providers under this Regulation and Directive (EU) 2015/2366. The report may include a legislative proposal if deemed appropriate.</v>
      </c>
      <c r="L277" s="7">
        <f>IF(ISNA(MATCH(268,'Transfer Engine'!$C$2:$C$1199,0)),"",INDEX('Compliance Database'!$L$2:$L$1199,MATCH(268,'Transfer Engine'!$C$2:$C$1199,0)))</f>
        <v>0</v>
      </c>
      <c r="M277" s="7" t="str">
        <f>IF(ISNA(MATCH(268,'Transfer Engine'!$C$2:$C$1199,0)),"",INDEX('Compliance Database'!$M$2:$M$1199,MATCH(268,'Transfer Engine'!$C$2:$C$1199,0)))</f>
        <v>• [Must] By [OP please insert the date = 4 years after the date of entry into force of this Regulation, the Commission shall submit a report to the European Parliament and the Council
• [Must] The report assesses conditions for access to financial data applicable to account information service providers</v>
      </c>
      <c r="N277" s="7" t="str">
        <f>IF(ISNA(MATCH(268,'Transfer Engine'!$C$2:$C$1199,0)),"",INDEX('Compliance Database'!$N$2:$N$1199,MATCH(268,'Transfer Engine'!$C$2:$C$1199,0)))</f>
        <v>• [May] The report may be accompanied by a legislative proposal if deemed appropriate</v>
      </c>
      <c r="O277" s="7" t="str">
        <f>IF(ISNA(MATCH(268,'Transfer Engine'!$C$2:$C$1199,0)),"",INDEX('Compliance Database'!$O$2:$O$1199,MATCH(268,'Transfer Engine'!$C$2:$C$1199,0)))</f>
        <v>By [OP please insert the date = 4 years after the date of entry into force of this Regulation, the Commission shall submit a report to the European Parliament and the Council assessing the conditions for access to financial data applicable to account information service providers under this Regulation and under Directive (EU) 2015/2366.</v>
      </c>
      <c r="P277" s="6" t="str">
        <f>IF(ISNA(MATCH(268,'Transfer Engine'!$C$2:$C$1199,0)),"",HYPERLINK("#Acts!A"&amp;INDEX('Compliance Database'!$P$2:$P$1199,MATCH(268,'Transfer Engine'!$C$2:$C$1199,0)),"Go to Act"))</f>
        <v>Go to Act</v>
      </c>
    </row>
    <row r="278" spans="1:16" ht="172.95" customHeight="1" x14ac:dyDescent="0.3">
      <c r="A278" s="6" t="str">
        <f>IF(ISNA(MATCH(269,'Transfer Engine'!$C$2:$C$1199,0)),"",INDEX('Compliance Database'!$A$2:$A$1199,MATCH(269,'Transfer Engine'!$C$2:$C$1199,0)))</f>
        <v>GDPR</v>
      </c>
      <c r="B278" s="6" t="str">
        <f>IF(ISNA(MATCH(269,'Transfer Engine'!$C$2:$C$1199,0)),"",INDEX('Compliance Database'!$B$2:$B$1199,MATCH(269,'Transfer Engine'!$C$2:$C$1199,0)))</f>
        <v>CELEX_52023PC0360_EN_TXT (GDPR - Row 13)</v>
      </c>
      <c r="C278" s="6" t="str">
        <f>IF(ISNA(MATCH(269,'Transfer Engine'!$C$2:$C$1199,0)),"",INDEX('Compliance Database'!$C$2:$C$1199,MATCH(269,'Transfer Engine'!$C$2:$C$1199,0)))</f>
        <v>3</v>
      </c>
      <c r="D278" s="7" t="str">
        <f>IF(ISNA(MATCH(269,'Transfer Engine'!$C$2:$C$1199,0)),"",INDEX('Compliance Database'!$D$2:$D$1199,MATCH(269,'Transfer Engine'!$C$2:$C$1199,0)))</f>
        <v>Revocation of Commission delegation authority</v>
      </c>
      <c r="E278" s="6" t="str">
        <f>IF(ISNA(MATCH(269,'Transfer Engine'!$C$2:$C$1199,0)),"",INDEX('Compliance Database'!$E$2:$E$1199,MATCH(269,'Transfer Engine'!$C$2:$C$1199,0)))</f>
        <v>5–8</v>
      </c>
      <c r="F278" s="6" t="str">
        <f>IF(ISNA(MATCH(269,'Transfer Engine'!$C$2:$C$1199,0)),"",INDEX('Compliance Database'!$F$2:$F$1199,MATCH(269,'Transfer Engine'!$C$2:$C$1199,0)))</f>
        <v>High</v>
      </c>
      <c r="G278" s="6" t="str">
        <f>IF(ISNA(MATCH(269,'Transfer Engine'!$C$2:$C$1199,0)),"",INDEX('Compliance Database'!$G$2:$G$1199,MATCH(269,'Transfer Engine'!$C$2:$C$1199,0)))</f>
        <v>High (explicit)</v>
      </c>
      <c r="H278" s="7">
        <f>IF(ISNA(MATCH(269,'Transfer Engine'!$C$2:$C$1199,0)),"",INDEX('Compliance Database'!$H$2:$H$1199,MATCH(269,'Transfer Engine'!$C$2:$C$1199,0)))</f>
        <v>0</v>
      </c>
      <c r="I278" s="7">
        <f>IF(ISNA(MATCH(269,'Transfer Engine'!$C$2:$C$1199,0)),"",INDEX('Compliance Database'!$I$2:$I$1199,MATCH(269,'Transfer Engine'!$C$2:$C$1199,0)))</f>
        <v>0</v>
      </c>
      <c r="J278" s="6" t="str">
        <f>IF(ISNA(MATCH(269,'Transfer Engine'!$C$2:$C$1199,0)),"",INDEX('Compliance Database'!$J$2:$J$1199,MATCH(269,'Transfer Engine'!$C$2:$C$1199,0)))</f>
        <v>European Parliament or Council</v>
      </c>
      <c r="K278" s="7" t="str">
        <f>IF(ISNA(MATCH(269,'Transfer Engine'!$C$2:$C$1199,0)),"",INDEX('Compliance Database'!$K$2:$K$1199,MATCH(269,'Transfer Engine'!$C$2:$C$1199,0)))</f>
        <v>The European Parliament or Council may revoke the Commission's delegation of powers at any time. Revocation takes effect the day after publication in the Official Journal and does not affect the validity of previously enacted delegated acts.</v>
      </c>
      <c r="L278" s="7" t="str">
        <f>IF(ISNA(MATCH(269,'Transfer Engine'!$C$2:$C$1199,0)),"",INDEX('Compliance Database'!$L$2:$L$1199,MATCH(269,'Transfer Engine'!$C$2:$C$1199,0)))</f>
        <v>Provides a mechanism for EU institutions to terminate delegated authority over financial data transfers, ensuring accountability and oversight of cross-border financial data activities.</v>
      </c>
      <c r="M278" s="7" t="str">
        <f>IF(ISNA(MATCH(269,'Transfer Engine'!$C$2:$C$1199,0)),"",INDEX('Compliance Database'!$M$2:$M$1199,MATCH(269,'Transfer Engine'!$C$2:$C$1199,0)))</f>
        <v>• [May] European Parliament or Council may revoke Commission's delegation of powers at any time
• [Must] Revocation takes effect the day following publication in the Official Journal of the European Union</v>
      </c>
      <c r="N278" s="7" t="str">
        <f>IF(ISNA(MATCH(269,'Transfer Engine'!$C$2:$C$1199,0)),"",INDEX('Compliance Database'!$N$2:$N$1199,MATCH(269,'Transfer Engine'!$C$2:$C$1199,0)))</f>
        <v>• [Condition] Revocation does not affect validity of delegated acts already in force</v>
      </c>
      <c r="O278" s="7" t="str">
        <f>IF(ISNA(MATCH(269,'Transfer Engine'!$C$2:$C$1199,0)),"",INDEX('Compliance Database'!$O$2:$O$1199,MATCH(269,'Transfer Engine'!$C$2:$C$1199,0)))</f>
        <v>The delegation of powers referred to in Article 11, may be revoked at any time by the European Parliament or by the Council. A decision to revoke shall put an end to the delegation of the power specified in that decision. It shall take effect the day following the publication of the decision in the Official Journal of the European Union or at a later date specified therein. It shall not affect the validity of any delegated acts already in force.</v>
      </c>
      <c r="P278" s="6" t="str">
        <f>IF(ISNA(MATCH(269,'Transfer Engine'!$C$2:$C$1199,0)),"",HYPERLINK("#Acts!A"&amp;INDEX('Compliance Database'!$P$2:$P$1199,MATCH(269,'Transfer Engine'!$C$2:$C$1199,0)),"Go to Act"))</f>
        <v>Go to Act</v>
      </c>
    </row>
    <row r="279" spans="1:16" ht="172.95" customHeight="1" x14ac:dyDescent="0.3">
      <c r="A279" s="6" t="str">
        <f>IF(ISNA(MATCH(270,'Transfer Engine'!$C$2:$C$1199,0)),"",INDEX('Compliance Database'!$A$2:$A$1199,MATCH(270,'Transfer Engine'!$C$2:$C$1199,0)))</f>
        <v>GDPR</v>
      </c>
      <c r="B279" s="6" t="str">
        <f>IF(ISNA(MATCH(270,'Transfer Engine'!$C$2:$C$1199,0)),"",INDEX('Compliance Database'!$B$2:$B$1199,MATCH(270,'Transfer Engine'!$C$2:$C$1199,0)))</f>
        <v>CELEX_52023PC0360_EN_TXT (GDPR - Row 13)</v>
      </c>
      <c r="C279" s="6" t="str">
        <f>IF(ISNA(MATCH(270,'Transfer Engine'!$C$2:$C$1199,0)),"",INDEX('Compliance Database'!$C$2:$C$1199,MATCH(270,'Transfer Engine'!$C$2:$C$1199,0)))</f>
        <v>3 (part 2)</v>
      </c>
      <c r="D279" s="7" t="str">
        <f>IF(ISNA(MATCH(270,'Transfer Engine'!$C$2:$C$1199,0)),"",INDEX('Compliance Database'!$D$2:$D$1199,MATCH(270,'Transfer Engine'!$C$2:$C$1199,0)))</f>
        <v>Financial data access economic impact assessment</v>
      </c>
      <c r="E279" s="6" t="str">
        <f>IF(ISNA(MATCH(270,'Transfer Engine'!$C$2:$C$1199,0)),"",INDEX('Compliance Database'!$E$2:$E$1199,MATCH(270,'Transfer Engine'!$C$2:$C$1199,0)))</f>
        <v>8–9</v>
      </c>
      <c r="F279" s="6" t="str">
        <f>IF(ISNA(MATCH(270,'Transfer Engine'!$C$2:$C$1199,0)),"",INDEX('Compliance Database'!$F$2:$F$1199,MATCH(270,'Transfer Engine'!$C$2:$C$1199,0)))</f>
        <v>High</v>
      </c>
      <c r="G279" s="6" t="str">
        <f>IF(ISNA(MATCH(270,'Transfer Engine'!$C$2:$C$1199,0)),"",INDEX('Compliance Database'!$G$2:$G$1199,MATCH(270,'Transfer Engine'!$C$2:$C$1199,0)))</f>
        <v>High (explicit)</v>
      </c>
      <c r="H279" s="7" t="str">
        <f>IF(ISNA(MATCH(270,'Transfer Engine'!$C$2:$C$1199,0)),"",INDEX('Compliance Database'!$H$2:$H$1199,MATCH(270,'Transfer Engine'!$C$2:$C$1199,0)))</f>
        <v>Financial Data</v>
      </c>
      <c r="I279" s="7" t="str">
        <f>IF(ISNA(MATCH(270,'Transfer Engine'!$C$2:$C$1199,0)),"",INDEX('Compliance Database'!$I$2:$I$1199,MATCH(270,'Transfer Engine'!$C$2:$C$1199,0)))</f>
        <v>Financial Data</v>
      </c>
      <c r="J279" s="6">
        <f>IF(ISNA(MATCH(270,'Transfer Engine'!$C$2:$C$1199,0)),"",INDEX('Compliance Database'!$J$2:$J$1199,MATCH(270,'Transfer Engine'!$C$2:$C$1199,0)))</f>
        <v>0</v>
      </c>
      <c r="K279" s="7" t="str">
        <f>IF(ISNA(MATCH(270,'Transfer Engine'!$C$2:$C$1199,0)),"",INDEX('Compliance Database'!$K$2:$K$1199,MATCH(270,'Transfer Engine'!$C$2:$C$1199,0)))</f>
        <v>This section provides a macroeconomic assessment of the potential economic benefits and costs of enhanced financial data access in the EU. It states that the proposal could generate annual benefits between EUR 4.6 billion and EUR 12.4 billion for the EU economy, including EUR 663 million to EUR 2 billion for the financial data economy. The proposal also involves one-off costs up to EUR 2.2 billion and recurring annual costs between EUR 147 million and EUR 465 million. The assessment notes that while the proposal supports sustainable finance and inclusive economic growth, its economic impact is difficult to quantify precisely due to data limitations and policy interdependencies.</v>
      </c>
      <c r="L279" s="7" t="str">
        <f>IF(ISNA(MATCH(270,'Transfer Engine'!$C$2:$C$1199,0)),"",INDEX('Compliance Database'!$L$2:$L$1199,MATCH(270,'Transfer Engine'!$C$2:$C$1199,0)))</f>
        <v>This section describes potential economic benefits and costs of financial data access but does not specify technical safeguards or cross-border transfer conditions relevant to DTIAs. It is not directly applicable to data transfer impact assessments.</v>
      </c>
      <c r="M279" s="7" t="str">
        <f>IF(ISNA(MATCH(270,'Transfer Engine'!$C$2:$C$1199,0)),"",INDEX('Compliance Database'!$M$2:$M$1199,MATCH(270,'Transfer Engine'!$C$2:$C$1199,0)))</f>
        <v>• [Information] Total annual benefits for EU economy range between EUR 4.6 billion and EUR 12.4 billion
• [Information] Direct impact on EU financial data economy ranges between EUR 663 million and EUR 2 billion annually</v>
      </c>
      <c r="N279" s="7" t="str">
        <f>IF(ISNA(MATCH(270,'Transfer Engine'!$C$2:$C$1199,0)),"",INDEX('Compliance Database'!$N$2:$N$1199,MATCH(270,'Transfer Engine'!$C$2:$C$1199,0)))</f>
        <v>• [Information] One-off costs could be up to EUR 2.2 billion
• [Information] Recurring annual costs between EUR 147 million and EUR 465 million</v>
      </c>
      <c r="O279" s="7" t="str">
        <f>IF(ISNA(MATCH(270,'Transfer Engine'!$C$2:$C$1199,0)),"",INDEX('Compliance Database'!$O$2:$O$1199,MATCH(270,'Transfer Engine'!$C$2:$C$1199,0)))</f>
        <v>According to this macroeconomic assessment, the total annual benefits for the EU economy produced by enhanced access to and sharing of data in the EU financial sector ranges between EUR 4.6 billion and EUR 12.4 billion, including the direct impact on the EU financial data economy in the range of EUR 663 million to EUR 2 billion per year.</v>
      </c>
      <c r="P279" s="6" t="str">
        <f>IF(ISNA(MATCH(270,'Transfer Engine'!$C$2:$C$1199,0)),"",HYPERLINK("#Acts!A"&amp;INDEX('Compliance Database'!$P$2:$P$1199,MATCH(270,'Transfer Engine'!$C$2:$C$1199,0)),"Go to Act"))</f>
        <v>Go to Act</v>
      </c>
    </row>
    <row r="280" spans="1:16" ht="172.95" customHeight="1" x14ac:dyDescent="0.3">
      <c r="A280" s="6" t="str">
        <f>IF(ISNA(MATCH(271,'Transfer Engine'!$C$2:$C$1199,0)),"",INDEX('Compliance Database'!$A$2:$A$1199,MATCH(271,'Transfer Engine'!$C$2:$C$1199,0)))</f>
        <v>GDPR</v>
      </c>
      <c r="B280" s="6" t="str">
        <f>IF(ISNA(MATCH(271,'Transfer Engine'!$C$2:$C$1199,0)),"",INDEX('Compliance Database'!$B$2:$B$1199,MATCH(271,'Transfer Engine'!$C$2:$C$1199,0)))</f>
        <v>CELEX_52023PC0360_EN_TXT (GDPR - Row 13)</v>
      </c>
      <c r="C280" s="6" t="str">
        <f>IF(ISNA(MATCH(271,'Transfer Engine'!$C$2:$C$1199,0)),"",INDEX('Compliance Database'!$C$2:$C$1199,MATCH(271,'Transfer Engine'!$C$2:$C$1199,0)))</f>
        <v>4</v>
      </c>
      <c r="D280" s="7" t="str">
        <f>IF(ISNA(MATCH(271,'Transfer Engine'!$C$2:$C$1199,0)),"",INDEX('Compliance Database'!$D$2:$D$1199,MATCH(271,'Transfer Engine'!$C$2:$C$1199,0)))</f>
        <v>Consultation of experts before adopting delegated acts</v>
      </c>
      <c r="E280" s="6" t="str">
        <f>IF(ISNA(MATCH(271,'Transfer Engine'!$C$2:$C$1199,0)),"",INDEX('Compliance Database'!$E$2:$E$1199,MATCH(271,'Transfer Engine'!$C$2:$C$1199,0)))</f>
        <v>9–10</v>
      </c>
      <c r="F280" s="6" t="str">
        <f>IF(ISNA(MATCH(271,'Transfer Engine'!$C$2:$C$1199,0)),"",INDEX('Compliance Database'!$F$2:$F$1199,MATCH(271,'Transfer Engine'!$C$2:$C$1199,0)))</f>
        <v>None</v>
      </c>
      <c r="G280" s="6" t="str">
        <f>IF(ISNA(MATCH(271,'Transfer Engine'!$C$2:$C$1199,0)),"",INDEX('Compliance Database'!$G$2:$G$1199,MATCH(271,'Transfer Engine'!$C$2:$C$1199,0)))</f>
        <v>High (explicit)</v>
      </c>
      <c r="H280" s="7" t="str">
        <f>IF(ISNA(MATCH(271,'Transfer Engine'!$C$2:$C$1199,0)),"",INDEX('Compliance Database'!$H$2:$H$1199,MATCH(271,'Transfer Engine'!$C$2:$C$1199,0)))</f>
        <v>Governance</v>
      </c>
      <c r="I280" s="7">
        <f>IF(ISNA(MATCH(271,'Transfer Engine'!$C$2:$C$1199,0)),"",INDEX('Compliance Database'!$I$2:$I$1199,MATCH(271,'Transfer Engine'!$C$2:$C$1199,0)))</f>
        <v>0</v>
      </c>
      <c r="J280" s="6">
        <f>IF(ISNA(MATCH(271,'Transfer Engine'!$C$2:$C$1199,0)),"",INDEX('Compliance Database'!$J$2:$J$1199,MATCH(271,'Transfer Engine'!$C$2:$C$1199,0)))</f>
        <v>0</v>
      </c>
      <c r="K280" s="7" t="str">
        <f>IF(ISNA(MATCH(271,'Transfer Engine'!$C$2:$C$1199,0)),"",INDEX('Compliance Database'!$K$2:$K$1199,MATCH(271,'Transfer Engine'!$C$2:$C$1199,0)))</f>
        <v>Before adopting a delegated act, the European Commission must consult experts designated by each Member State in accordance with the Interinstitutional Agreement of 13 April 2016 on Better Law-Making. This requirement ensures that Member State expertise is integrated into the legislative process prior to final adoption of delegated acts.</v>
      </c>
      <c r="L280" s="7">
        <f>IF(ISNA(MATCH(271,'Transfer Engine'!$C$2:$C$1199,0)),"",INDEX('Compliance Database'!$L$2:$L$1199,MATCH(271,'Transfer Engine'!$C$2:$C$1199,0)))</f>
        <v>0</v>
      </c>
      <c r="M280" s="7" t="str">
        <f>IF(ISNA(MATCH(271,'Transfer Engine'!$C$2:$C$1199,0)),"",INDEX('Compliance Database'!$M$2:$M$1199,MATCH(271,'Transfer Engine'!$C$2:$C$1199,0)))</f>
        <v>• [Must] Before adopting a delegated act, the Commission shall consult experts designated by each Member State</v>
      </c>
      <c r="N280" s="7">
        <f>IF(ISNA(MATCH(271,'Transfer Engine'!$C$2:$C$1199,0)),"",INDEX('Compliance Database'!$N$2:$N$1199,MATCH(271,'Transfer Engine'!$C$2:$C$1199,0)))</f>
        <v>0</v>
      </c>
      <c r="O280" s="7" t="str">
        <f>IF(ISNA(MATCH(271,'Transfer Engine'!$C$2:$C$1199,0)),"",INDEX('Compliance Database'!$O$2:$O$1199,MATCH(271,'Transfer Engine'!$C$2:$C$1199,0)))</f>
        <v>Before adopting a delegated act, the Commission shall consult experts signated by each Member State in accordance with the principles laid down in the Interinstitutional Agreement of 13 April 2016 on Better Law-Making.</v>
      </c>
      <c r="P280" s="6" t="str">
        <f>IF(ISNA(MATCH(271,'Transfer Engine'!$C$2:$C$1199,0)),"",HYPERLINK("#Acts!A"&amp;INDEX('Compliance Database'!$P$2:$P$1199,MATCH(271,'Transfer Engine'!$C$2:$C$1199,0)),"Go to Act"))</f>
        <v>Go to Act</v>
      </c>
    </row>
    <row r="281" spans="1:16" ht="172.95" customHeight="1" x14ac:dyDescent="0.3">
      <c r="A281" s="6" t="str">
        <f>IF(ISNA(MATCH(272,'Transfer Engine'!$C$2:$C$1199,0)),"",INDEX('Compliance Database'!$A$2:$A$1199,MATCH(272,'Transfer Engine'!$C$2:$C$1199,0)))</f>
        <v>GDPR</v>
      </c>
      <c r="B281" s="6" t="str">
        <f>IF(ISNA(MATCH(272,'Transfer Engine'!$C$2:$C$1199,0)),"",INDEX('Compliance Database'!$B$2:$B$1199,MATCH(272,'Transfer Engine'!$C$2:$C$1199,0)))</f>
        <v>CELEX_52023PC0360_EN_TXT (GDPR - Row 13)</v>
      </c>
      <c r="C281" s="6" t="str">
        <f>IF(ISNA(MATCH(272,'Transfer Engine'!$C$2:$C$1199,0)),"",INDEX('Compliance Database'!$C$2:$C$1199,MATCH(272,'Transfer Engine'!$C$2:$C$1199,0)))</f>
        <v>5</v>
      </c>
      <c r="D281" s="7" t="str">
        <f>IF(ISNA(MATCH(272,'Transfer Engine'!$C$2:$C$1199,0)),"",INDEX('Compliance Database'!$D$2:$D$1199,MATCH(272,'Transfer Engine'!$C$2:$C$1199,0)))</f>
        <v>Cooperation with supervisory authorities for personal data processing</v>
      </c>
      <c r="E281" s="6" t="str">
        <f>IF(ISNA(MATCH(272,'Transfer Engine'!$C$2:$C$1199,0)),"",INDEX('Compliance Database'!$E$2:$E$1199,MATCH(272,'Transfer Engine'!$C$2:$C$1199,0)))</f>
        <v>10–14</v>
      </c>
      <c r="F281" s="6" t="str">
        <f>IF(ISNA(MATCH(272,'Transfer Engine'!$C$2:$C$1199,0)),"",INDEX('Compliance Database'!$F$2:$F$1199,MATCH(272,'Transfer Engine'!$C$2:$C$1199,0)))</f>
        <v>High</v>
      </c>
      <c r="G281" s="6" t="str">
        <f>IF(ISNA(MATCH(272,'Transfer Engine'!$C$2:$C$1199,0)),"",INDEX('Compliance Database'!$G$2:$G$1199,MATCH(272,'Transfer Engine'!$C$2:$C$1199,0)))</f>
        <v>High (explicit)</v>
      </c>
      <c r="H281" s="7" t="str">
        <f>IF(ISNA(MATCH(272,'Transfer Engine'!$C$2:$C$1199,0)),"",INDEX('Compliance Database'!$H$2:$H$1199,MATCH(272,'Transfer Engine'!$C$2:$C$1199,0)))</f>
        <v>Cross-border Transfer, International Processing</v>
      </c>
      <c r="I281" s="7" t="str">
        <f>IF(ISNA(MATCH(272,'Transfer Engine'!$C$2:$C$1199,0)),"",INDEX('Compliance Database'!$I$2:$I$1199,MATCH(272,'Transfer Engine'!$C$2:$C$1199,0)))</f>
        <v>Personal Information</v>
      </c>
      <c r="J281" s="6" t="str">
        <f>IF(ISNA(MATCH(272,'Transfer Engine'!$C$2:$C$1199,0)),"",INDEX('Compliance Database'!$J$2:$J$1199,MATCH(272,'Transfer Engine'!$C$2:$C$1199,0)))</f>
        <v>Competent authorities</v>
      </c>
      <c r="K281" s="7" t="str">
        <f>IF(ISNA(MATCH(272,'Transfer Engine'!$C$2:$C$1199,0)),"",INDEX('Compliance Database'!$K$2:$K$1199,MATCH(272,'Transfer Engine'!$C$2:$C$1199,0)))</f>
        <v>When this Regulation's obligations involve processing personal data, competent authorities must cooperate with supervisory authorities established under GDPR. This ensures compliance with data protection requirements when handling personal information across borders.</v>
      </c>
      <c r="L281" s="7" t="str">
        <f>IF(ISNA(MATCH(272,'Transfer Engine'!$C$2:$C$1199,0)),"",INDEX('Compliance Database'!$L$2:$L$1199,MATCH(272,'Transfer Engine'!$C$2:$C$1199,0)))</f>
        <v>This section mandates cooperation with GDPR supervisory authorities for personal data processing, which impacts DTIAs by requiring alignment with data protection standards during cross-border financial data exchanges.</v>
      </c>
      <c r="M281" s="7" t="str">
        <f>IF(ISNA(MATCH(272,'Transfer Engine'!$C$2:$C$1199,0)),"",INDEX('Compliance Database'!$M$2:$M$1199,MATCH(272,'Transfer Engine'!$C$2:$C$1199,0)))</f>
        <v>• [Must] Competent authorities must cooperate with GDPR supervisory authorities</v>
      </c>
      <c r="N281" s="7">
        <f>IF(ISNA(MATCH(272,'Transfer Engine'!$C$2:$C$1199,0)),"",INDEX('Compliance Database'!$N$2:$N$1199,MATCH(272,'Transfer Engine'!$C$2:$C$1199,0)))</f>
        <v>0</v>
      </c>
      <c r="O281" s="7" t="str">
        <f>IF(ISNA(MATCH(272,'Transfer Engine'!$C$2:$C$1199,0)),"",INDEX('Compliance Database'!$O$2:$O$1199,MATCH(272,'Transfer Engine'!$C$2:$C$1199,0)))</f>
        <v>Where obligations under this Regulation concern the processing of personal data, competent authorities shall cooperate with the supervisory authorities established pursuant to Regulation (EU) 2016/679.</v>
      </c>
      <c r="P281" s="6" t="str">
        <f>IF(ISNA(MATCH(272,'Transfer Engine'!$C$2:$C$1199,0)),"",HYPERLINK("#Acts!A"&amp;INDEX('Compliance Database'!$P$2:$P$1199,MATCH(272,'Transfer Engine'!$C$2:$C$1199,0)),"Go to Act"))</f>
        <v>Go to Act</v>
      </c>
    </row>
    <row r="282" spans="1:16" ht="172.95" customHeight="1" x14ac:dyDescent="0.3">
      <c r="A282" s="6" t="str">
        <f>IF(ISNA(MATCH(273,'Transfer Engine'!$C$2:$C$1199,0)),"",INDEX('Compliance Database'!$A$2:$A$1199,MATCH(273,'Transfer Engine'!$C$2:$C$1199,0)))</f>
        <v>GDPR</v>
      </c>
      <c r="B282" s="6" t="str">
        <f>IF(ISNA(MATCH(273,'Transfer Engine'!$C$2:$C$1199,0)),"",INDEX('Compliance Database'!$B$2:$B$1199,MATCH(273,'Transfer Engine'!$C$2:$C$1199,0)))</f>
        <v>CELEX_52023PC0360_EN_TXT (GDPR - Row 13)</v>
      </c>
      <c r="C282" s="6" t="str">
        <f>IF(ISNA(MATCH(273,'Transfer Engine'!$C$2:$C$1199,0)),"",INDEX('Compliance Database'!$C$2:$C$1199,MATCH(273,'Transfer Engine'!$C$2:$C$1199,0)))</f>
        <v>5 (part 2)</v>
      </c>
      <c r="D282" s="7" t="str">
        <f>IF(ISNA(MATCH(273,'Transfer Engine'!$C$2:$C$1199,0)),"",INDEX('Compliance Database'!$D$2:$D$1199,MATCH(273,'Transfer Engine'!$C$2:$C$1199,0)))</f>
        <v>Customer data sharing for financial innovation and trust</v>
      </c>
      <c r="E282" s="6" t="str">
        <f>IF(ISNA(MATCH(273,'Transfer Engine'!$C$2:$C$1199,0)),"",INDEX('Compliance Database'!$E$2:$E$1199,MATCH(273,'Transfer Engine'!$C$2:$C$1199,0)))</f>
        <v>14–17</v>
      </c>
      <c r="F282" s="6" t="str">
        <f>IF(ISNA(MATCH(273,'Transfer Engine'!$C$2:$C$1199,0)),"",INDEX('Compliance Database'!$F$2:$F$1199,MATCH(273,'Transfer Engine'!$C$2:$C$1199,0)))</f>
        <v>High</v>
      </c>
      <c r="G282" s="6" t="str">
        <f>IF(ISNA(MATCH(273,'Transfer Engine'!$C$2:$C$1199,0)),"",INDEX('Compliance Database'!$G$2:$G$1199,MATCH(273,'Transfer Engine'!$C$2:$C$1199,0)))</f>
        <v>High (explicit)</v>
      </c>
      <c r="H282" s="7" t="str">
        <f>IF(ISNA(MATCH(273,'Transfer Engine'!$C$2:$C$1199,0)),"",INDEX('Compliance Database'!$H$2:$H$1199,MATCH(273,'Transfer Engine'!$C$2:$C$1199,0)))</f>
        <v>Cross-border Transfer, Financial Data, Customer Information, Data Sharing</v>
      </c>
      <c r="I282" s="7" t="str">
        <f>IF(ISNA(MATCH(273,'Transfer Engine'!$C$2:$C$1199,0)),"",INDEX('Compliance Database'!$I$2:$I$1199,MATCH(273,'Transfer Engine'!$C$2:$C$1199,0)))</f>
        <v>Financial Data, Customer Data</v>
      </c>
      <c r="J282" s="6">
        <f>IF(ISNA(MATCH(273,'Transfer Engine'!$C$2:$C$1199,0)),"",INDEX('Compliance Database'!$J$2:$J$1199,MATCH(273,'Transfer Engine'!$C$2:$C$1199,0)))</f>
        <v>0</v>
      </c>
      <c r="K282" s="7" t="str">
        <f>IF(ISNA(MATCH(273,'Transfer Engine'!$C$2:$C$1199,0)),"",INDEX('Compliance Database'!$K$2:$K$1199,MATCH(273,'Transfer Engine'!$C$2:$C$1199,0)))</f>
        <v>This section outlines the need for a regulatory framework enabling financial institutions to share customer data beyond payment accounts while ensuring customer control. It emphasizes that current data sharing is limited by technical barriers and legal obligations, restricting innovation and personalized financial services. The framework must balance data sharing with customer rights and privacy protections to foster trust and innovation in the financial sector.</v>
      </c>
      <c r="L282" s="7" t="str">
        <f>IF(ISNA(MATCH(273,'Transfer Engine'!$C$2:$C$1199,0)),"",INDEX('Compliance Database'!$L$2:$L$1199,MATCH(273,'Transfer Engine'!$C$2:$C$1199,0)))</f>
        <v>This section establishes that customer data sharing beyond payment accounts requires explicit customer permission and must respect data protection principles. It sets conditions for data sharing that impact cross-border transfers by mandating lawful bases and customer consent, relevant for DTIAs involving financial data.</v>
      </c>
      <c r="M282" s="7" t="str">
        <f>IF(ISNA(MATCH(273,'Transfer Engine'!$C$2:$C$1199,0)),"",INDEX('Compliance Database'!$M$2:$M$1199,MATCH(273,'Transfer Engine'!$C$2:$C$1199,0)))</f>
        <v>• [Must] Customer data sharing beyond payment accounts must be based on customer permission
• [Must] Data users must have a valid lawful basis for processing personal data
• [Must] Data processing must respect principles of personal data protection including lawfulness, fairness, transparency, purpose limitation, and data minimisation
• [Must] Customers have the right to withdraw permission granted to data users</v>
      </c>
      <c r="N282" s="7" t="str">
        <f>IF(ISNA(MATCH(273,'Transfer Engine'!$C$2:$C$1199,0)),"",INDEX('Compliance Database'!$N$2:$N$1199,MATCH(273,'Transfer Engine'!$C$2:$C$1199,0)))</f>
        <v>• [Must Not] Data sharing should not cover data related to sickness and health insurance or life insurance products
• [Must Not] Data sharing should not cover creditworthiness assessment data
• [Must] Data sharing must respect protection of confidential business data and trade secrets</v>
      </c>
      <c r="O282" s="7" t="str">
        <f>IF(ISNA(MATCH(273,'Transfer Engine'!$C$2:$C$1199,0)),"",INDEX('Compliance Database'!$O$2:$O$1199,MATCH(273,'Transfer Engine'!$C$2:$C$1199,0)))</f>
        <v>Ensuring customer control and trust is imperative to build a well-functioning and effective data sharing framework in the financial sector. Ensuring effective customers' control over data sharing contributes to innovation as well as customer confidence and trust in data sharing.</v>
      </c>
      <c r="P282" s="6" t="str">
        <f>IF(ISNA(MATCH(273,'Transfer Engine'!$C$2:$C$1199,0)),"",HYPERLINK("#Acts!A"&amp;INDEX('Compliance Database'!$P$2:$P$1199,MATCH(273,'Transfer Engine'!$C$2:$C$1199,0)),"Go to Act"))</f>
        <v>Go to Act</v>
      </c>
    </row>
    <row r="283" spans="1:16" ht="172.95" customHeight="1" x14ac:dyDescent="0.3">
      <c r="A283" s="6" t="str">
        <f>IF(ISNA(MATCH(274,'Transfer Engine'!$C$2:$C$1199,0)),"",INDEX('Compliance Database'!$A$2:$A$1199,MATCH(274,'Transfer Engine'!$C$2:$C$1199,0)))</f>
        <v>GDPR</v>
      </c>
      <c r="B283" s="6" t="str">
        <f>IF(ISNA(MATCH(274,'Transfer Engine'!$C$2:$C$1199,0)),"",INDEX('Compliance Database'!$B$2:$B$1199,MATCH(274,'Transfer Engine'!$C$2:$C$1199,0)))</f>
        <v>CELEX_52023PC0360_EN_TXT (GDPR - Row 13)</v>
      </c>
      <c r="C283" s="6" t="str">
        <f>IF(ISNA(MATCH(274,'Transfer Engine'!$C$2:$C$1199,0)),"",INDEX('Compliance Database'!$C$2:$C$1199,MATCH(274,'Transfer Engine'!$C$2:$C$1199,0)))</f>
        <v>5 (part 3)</v>
      </c>
      <c r="D283" s="7" t="str">
        <f>IF(ISNA(MATCH(274,'Transfer Engine'!$C$2:$C$1199,0)),"",INDEX('Compliance Database'!$D$2:$D$1199,MATCH(274,'Transfer Engine'!$C$2:$C$1199,0)))</f>
        <v>Financial data sharing for customer access and consent management</v>
      </c>
      <c r="E283" s="6" t="str">
        <f>IF(ISNA(MATCH(274,'Transfer Engine'!$C$2:$C$1199,0)),"",INDEX('Compliance Database'!$E$2:$E$1199,MATCH(274,'Transfer Engine'!$C$2:$C$1199,0)))</f>
        <v>17–20</v>
      </c>
      <c r="F283" s="6" t="str">
        <f>IF(ISNA(MATCH(274,'Transfer Engine'!$C$2:$C$1199,0)),"",INDEX('Compliance Database'!$F$2:$F$1199,MATCH(274,'Transfer Engine'!$C$2:$C$1199,0)))</f>
        <v>High</v>
      </c>
      <c r="G283" s="6" t="str">
        <f>IF(ISNA(MATCH(274,'Transfer Engine'!$C$2:$C$1199,0)),"",INDEX('Compliance Database'!$G$2:$G$1199,MATCH(274,'Transfer Engine'!$C$2:$C$1199,0)))</f>
        <v>High (explicit)</v>
      </c>
      <c r="H283" s="7" t="str">
        <f>IF(ISNA(MATCH(274,'Transfer Engine'!$C$2:$C$1199,0)),"",INDEX('Compliance Database'!$H$2:$H$1199,MATCH(274,'Transfer Engine'!$C$2:$C$1199,0)))</f>
        <v>Data Sharing, Customer Information, Financial Data, Consent</v>
      </c>
      <c r="I283" s="7" t="str">
        <f>IF(ISNA(MATCH(274,'Transfer Engine'!$C$2:$C$1199,0)),"",INDEX('Compliance Database'!$I$2:$I$1199,MATCH(274,'Transfer Engine'!$C$2:$C$1199,0)))</f>
        <v>Financial Data, Customer Data</v>
      </c>
      <c r="J283" s="6" t="str">
        <f>IF(ISNA(MATCH(274,'Transfer Engine'!$C$2:$C$1199,0)),"",INDEX('Compliance Database'!$J$2:$J$1199,MATCH(274,'Transfer Engine'!$C$2:$C$1199,0)))</f>
        <v>European Banking Authority (EBA)</v>
      </c>
      <c r="K283" s="7" t="str">
        <f>IF(ISNA(MATCH(274,'Transfer Engine'!$C$2:$C$1199,0)),"",INDEX('Compliance Database'!$K$2:$K$1199,MATCH(274,'Transfer Engine'!$C$2:$C$1199,0)))</f>
        <v>This section establishes that financial institutions must provide defined categories of customer data upon request, allowing sharing based on customer consent. It requires data holders to implement permission dashboards that give customers control over data sharing, including real-time updates on permissions and withdrawal risks. The dashboards must be accessible, impartial, and comply with accessibility standards, with options to use electronic identification services or data intermediation providers.</v>
      </c>
      <c r="L283" s="7" t="str">
        <f>IF(ISNA(MATCH(274,'Transfer Engine'!$C$2:$C$1199,0)),"",INDEX('Compliance Database'!$L$2:$L$1199,MATCH(274,'Transfer Engine'!$C$2:$C$1199,0)))</f>
        <v>Requires financial institutions to implement permission dashboards for customer data access management, ensuring transparency and control over data sharing. This impacts cross-border data transfers by mandating standardized interfaces and consent mechanisms that must be consistent across jurisdictions.</v>
      </c>
      <c r="M283" s="7" t="str">
        <f>IF(ISNA(MATCH(274,'Transfer Engine'!$C$2:$C$1199,0)),"",INDEX('Compliance Database'!$M$2:$M$1199,MATCH(274,'Transfer Engine'!$C$2:$C$1199,0)))</f>
        <v>• [Must] Financial institutions must provide defined categories of customer data at request
• [Must] Data holders must implement permission dashboards for customers to manage data sharing
• [Must] Permission dashboards must display active permissions and warn of contractual risks upon withdrawal
• [Must] Data holders must inform data users in real-time of permission withdrawals</v>
      </c>
      <c r="N283" s="7" t="str">
        <f>IF(ISNA(MATCH(274,'Transfer Engine'!$C$2:$C$1199,0)),"",INDEX('Compliance Database'!$N$2:$N$1199,MATCH(274,'Transfer Engine'!$C$2:$C$1199,0)))</f>
        <v>• [Must] Permission dashboards must include records of withdrawn or expired permissions for up to two years
• [Must] Data users must inform data holders in real-time of new or re-established permissions
• [Must] Permission dashboards must be accessible, impartial, and comply with accessibility standards
• [May] Data holders may use electronic identification services or data intermediation providers to implement dashboards</v>
      </c>
      <c r="O283" s="7" t="str">
        <f>IF(ISNA(MATCH(274,'Transfer Engine'!$C$2:$C$1199,0)),"",INDEX('Compliance Database'!$O$2:$O$1199,MATCH(274,'Transfer Engine'!$C$2:$C$1199,0)))</f>
        <v>Customers must have effective control over their data and confidence in managing permissions they have granted in accordance with this Regulation.</v>
      </c>
      <c r="P283" s="6" t="str">
        <f>IF(ISNA(MATCH(274,'Transfer Engine'!$C$2:$C$1199,0)),"",HYPERLINK("#Acts!A"&amp;INDEX('Compliance Database'!$P$2:$P$1199,MATCH(274,'Transfer Engine'!$C$2:$C$1199,0)),"Go to Act"))</f>
        <v>Go to Act</v>
      </c>
    </row>
    <row r="284" spans="1:16" ht="172.95" customHeight="1" x14ac:dyDescent="0.3">
      <c r="A284" s="6" t="str">
        <f>IF(ISNA(MATCH(275,'Transfer Engine'!$C$2:$C$1199,0)),"",INDEX('Compliance Database'!$A$2:$A$1199,MATCH(275,'Transfer Engine'!$C$2:$C$1199,0)))</f>
        <v>GDPR</v>
      </c>
      <c r="B284" s="6" t="str">
        <f>IF(ISNA(MATCH(275,'Transfer Engine'!$C$2:$C$1199,0)),"",INDEX('Compliance Database'!$B$2:$B$1199,MATCH(275,'Transfer Engine'!$C$2:$C$1199,0)))</f>
        <v>CELEX_52023PC0360_EN_TXT (GDPR - Row 13)</v>
      </c>
      <c r="C284" s="6" t="str">
        <f>IF(ISNA(MATCH(275,'Transfer Engine'!$C$2:$C$1199,0)),"",INDEX('Compliance Database'!$C$2:$C$1199,MATCH(275,'Transfer Engine'!$C$2:$C$1199,0)))</f>
        <v>5 (part 4)</v>
      </c>
      <c r="D284" s="7" t="str">
        <f>IF(ISNA(MATCH(275,'Transfer Engine'!$C$2:$C$1199,0)),"",INDEX('Compliance Database'!$D$2:$D$1199,MATCH(275,'Transfer Engine'!$C$2:$C$1199,0)))</f>
        <v>Financial data sharing schemes for cross-border data access</v>
      </c>
      <c r="E284" s="6" t="str">
        <f>IF(ISNA(MATCH(275,'Transfer Engine'!$C$2:$C$1199,0)),"",INDEX('Compliance Database'!$E$2:$E$1199,MATCH(275,'Transfer Engine'!$C$2:$C$1199,0)))</f>
        <v>20–23</v>
      </c>
      <c r="F284" s="6" t="str">
        <f>IF(ISNA(MATCH(275,'Transfer Engine'!$C$2:$C$1199,0)),"",INDEX('Compliance Database'!$F$2:$F$1199,MATCH(275,'Transfer Engine'!$C$2:$C$1199,0)))</f>
        <v>High</v>
      </c>
      <c r="G284" s="6" t="str">
        <f>IF(ISNA(MATCH(275,'Transfer Engine'!$C$2:$C$1199,0)),"",INDEX('Compliance Database'!$G$2:$G$1199,MATCH(275,'Transfer Engine'!$C$2:$C$1199,0)))</f>
        <v>High (explicit)</v>
      </c>
      <c r="H284" s="7" t="str">
        <f>IF(ISNA(MATCH(275,'Transfer Engine'!$C$2:$C$1199,0)),"",INDEX('Compliance Database'!$H$2:$H$1199,MATCH(275,'Transfer Engine'!$C$2:$C$1199,0)))</f>
        <v>Data Sharing, Financial Data, Cross-border Transfer, Data Storage</v>
      </c>
      <c r="I284" s="7" t="str">
        <f>IF(ISNA(MATCH(275,'Transfer Engine'!$C$2:$C$1199,0)),"",INDEX('Compliance Database'!$I$2:$I$1199,MATCH(275,'Transfer Engine'!$C$2:$C$1199,0)))</f>
        <v>Financial Data</v>
      </c>
      <c r="J284" s="6" t="str">
        <f>IF(ISNA(MATCH(275,'Transfer Engine'!$C$2:$C$1199,0)),"",INDEX('Compliance Database'!$J$2:$J$1199,MATCH(275,'Transfer Engine'!$C$2:$C$1199,0)))</f>
        <v>European Banking Authority (EBA)</v>
      </c>
      <c r="K284" s="7" t="str">
        <f>IF(ISNA(MATCH(275,'Transfer Engine'!$C$2:$C$1199,0)),"",INDEX('Compliance Database'!$K$2:$K$1199,MATCH(275,'Transfer Engine'!$C$2:$C$1199,0)))</f>
        <v>This section mandates the creation of financial data sharing schemes that establish standardized contractual frameworks, data interfaces, and governance rules for cross-border data sharing between financial institutions. These schemes must ensure proportionality, market competition, and consumer protection while complying with Union rules on data protection and competition. They require data holders and users to follow specific liability rules for data breaches and disputes.</v>
      </c>
      <c r="L284" s="7" t="str">
        <f>IF(ISNA(MATCH(275,'Transfer Engine'!$C$2:$C$1199,0)),"",INDEX('Compliance Database'!$L$2:$L$1199,MATCH(275,'Transfer Engine'!$C$2:$C$1199,0)))</f>
        <v>Requires standardized financial data sharing schemes with contractual frameworks and governance rules to facilitate cross-border data access while ensuring proportionality and consumer protection. This directly impacts DTIAs by mandating specific technical and contractual safeguards for international data transfers.</v>
      </c>
      <c r="M284" s="7" t="str">
        <f>IF(ISNA(MATCH(275,'Transfer Engine'!$C$2:$C$1199,0)),"",INDEX('Compliance Database'!$M$2:$M$1199,MATCH(275,'Transfer Engine'!$C$2:$C$1199,0)))</f>
        <v>• [Must] Data holders and users must join financial data sharing schemes for contractual and technical interaction
• [Must] Schemes must develop data and interface standards, joint contractual frameworks, and governance rules
• [Must] Schemes must ensure inclusive governance with balanced representation of data holders, users, and customers
• [Must] Schemes must have transparency requirements and effective appeal procedures for decisions
• [Must] Schemes must comply with Union rules on consumer protection, data protection, privacy, and competition</v>
      </c>
      <c r="N284" s="7" t="str">
        <f>IF(ISNA(MATCH(275,'Transfer Engine'!$C$2:$C$1199,0)),"",INDEX('Compliance Database'!$N$2:$N$1199,MATCH(275,'Transfer Engine'!$C$2:$C$1199,0)))</f>
        <v>• [Must] Schemes must not restrict competition in a substantial part of the relevant market
• [May] Data holders may use existing market standards when developing common standards
• [May] Data holders may request reasonable compensation from data users for interface implementation
• [Must] Compensation must be limited to costs incurred for facilitating data access for SMEs
• [Must] Schemes must establish liability rules for data breaches and dispute resolution between data holders and users</v>
      </c>
      <c r="O284" s="7" t="str">
        <f>IF(ISNA(MATCH(275,'Transfer Engine'!$C$2:$C$1199,0)),"",INDEX('Compliance Database'!$O$2:$O$1199,MATCH(275,'Transfer Engine'!$C$2:$C$1199,0)))</f>
        <v>Data holders and data users should be required to be part of financial data sharing schemes.</v>
      </c>
      <c r="P284" s="6" t="str">
        <f>IF(ISNA(MATCH(275,'Transfer Engine'!$C$2:$C$1199,0)),"",HYPERLINK("#Acts!A"&amp;INDEX('Compliance Database'!$P$2:$P$1199,MATCH(275,'Transfer Engine'!$C$2:$C$1199,0)),"Go to Act"))</f>
        <v>Go to Act</v>
      </c>
    </row>
    <row r="285" spans="1:16" ht="172.95" customHeight="1" x14ac:dyDescent="0.3">
      <c r="A285" s="6" t="str">
        <f>IF(ISNA(MATCH(276,'Transfer Engine'!$C$2:$C$1199,0)),"",INDEX('Compliance Database'!$A$2:$A$1199,MATCH(276,'Transfer Engine'!$C$2:$C$1199,0)))</f>
        <v>GDPR</v>
      </c>
      <c r="B285" s="6" t="str">
        <f>IF(ISNA(MATCH(276,'Transfer Engine'!$C$2:$C$1199,0)),"",INDEX('Compliance Database'!$B$2:$B$1199,MATCH(276,'Transfer Engine'!$C$2:$C$1199,0)))</f>
        <v>CELEX_52023PC0360_EN_TXT (GDPR - Row 13)</v>
      </c>
      <c r="C285" s="6" t="str">
        <f>IF(ISNA(MATCH(276,'Transfer Engine'!$C$2:$C$1199,0)),"",INDEX('Compliance Database'!$C$2:$C$1199,MATCH(276,'Transfer Engine'!$C$2:$C$1199,0)))</f>
        <v>5 (part 5)</v>
      </c>
      <c r="D285" s="7" t="str">
        <f>IF(ISNA(MATCH(276,'Transfer Engine'!$C$2:$C$1199,0)),"",INDEX('Compliance Database'!$D$2:$D$1199,MATCH(276,'Transfer Engine'!$C$2:$C$1199,0)))</f>
        <v>Periodic penalties and expedited enforcement for financial data breaches</v>
      </c>
      <c r="E285" s="6" t="str">
        <f>IF(ISNA(MATCH(276,'Transfer Engine'!$C$2:$C$1199,0)),"",INDEX('Compliance Database'!$E$2:$E$1199,MATCH(276,'Transfer Engine'!$C$2:$C$1199,0)))</f>
        <v>23–26</v>
      </c>
      <c r="F285" s="6" t="str">
        <f>IF(ISNA(MATCH(276,'Transfer Engine'!$C$2:$C$1199,0)),"",INDEX('Compliance Database'!$F$2:$F$1199,MATCH(276,'Transfer Engine'!$C$2:$C$1199,0)))</f>
        <v>High</v>
      </c>
      <c r="G285" s="6" t="str">
        <f>IF(ISNA(MATCH(276,'Transfer Engine'!$C$2:$C$1199,0)),"",INDEX('Compliance Database'!$G$2:$G$1199,MATCH(276,'Transfer Engine'!$C$2:$C$1199,0)))</f>
        <v>High (explicit)</v>
      </c>
      <c r="H285" s="7" t="str">
        <f>IF(ISNA(MATCH(276,'Transfer Engine'!$C$2:$C$1199,0)),"",INDEX('Compliance Database'!$H$2:$H$1199,MATCH(276,'Transfer Engine'!$C$2:$C$1199,0)))</f>
        <v>Cross-border Transfer, Financial Data, Incident Reporting, Breach Notification</v>
      </c>
      <c r="I285" s="7" t="str">
        <f>IF(ISNA(MATCH(276,'Transfer Engine'!$C$2:$C$1199,0)),"",INDEX('Compliance Database'!$I$2:$I$1199,MATCH(276,'Transfer Engine'!$C$2:$C$1199,0)))</f>
        <v>Financial Data</v>
      </c>
      <c r="J285" s="6" t="str">
        <f>IF(ISNA(MATCH(276,'Transfer Engine'!$C$2:$C$1199,0)),"",INDEX('Compliance Database'!$J$2:$J$1199,MATCH(276,'Transfer Engine'!$C$2:$C$1199,0)))</f>
        <v>Member States</v>
      </c>
      <c r="K285" s="7" t="str">
        <f>IF(ISNA(MATCH(276,'Transfer Engine'!$C$2:$C$1199,0)),"",INDEX('Compliance Database'!$K$2:$K$1199,MATCH(276,'Transfer Engine'!$C$2:$C$1199,0)))</f>
        <v>Member States must establish specific rules for periodic penalty payments on financial information service providers and their management bodies. Competent authorities can impose these penalties to compel compliance with orders, such as providing information or terminating breaches. Penalties must be calculated daily unless Member States specify otherwise. Member States may encourage expedited enforcement procedures but are not required to implement them, and must notify the Commission if they do so.</v>
      </c>
      <c r="L285" s="7" t="str">
        <f>IF(ISNA(MATCH(276,'Transfer Engine'!$C$2:$C$1199,0)),"",INDEX('Compliance Database'!$L$2:$L$1199,MATCH(276,'Transfer Engine'!$C$2:$C$1199,0)))</f>
        <v>Periodic penalties and expedited enforcement mechanisms create conditions for financial data breaches that require cross-border coordination and transparency in penalty applications. These mechanisms affect how penalties are calculated and enforced across jurisdictions.</v>
      </c>
      <c r="M285" s="7" t="str">
        <f>IF(ISNA(MATCH(276,'Transfer Engine'!$C$2:$C$1199,0)),"",INDEX('Compliance Database'!$M$2:$M$1199,MATCH(276,'Transfer Engine'!$C$2:$C$1199,0)))</f>
        <v>• [Must] Member States should lay down specific rules and effective mechanisms regarding the application of periodic penalty payments
• [Must] Competent authorities should be empowered to impose periodic penalty payments on financial information service providers
• [Must Not] Periodic penalty payments should not prevent subsequent administrative sanctions for the same infringement</v>
      </c>
      <c r="N285" s="7" t="str">
        <f>IF(ISNA(MATCH(276,'Transfer Engine'!$C$2:$C$1199,0)),"",INDEX('Compliance Database'!$N$2:$N$1199,MATCH(276,'Transfer Engine'!$C$2:$C$1199,0)))</f>
        <v>• [Condition] Periodic penalty payments should be calculated on a daily basis unless otherwise provided by Member States
• [May] Member States may encourage expedited enforcement procedures but are not required to implement them
• [Must] Member States must notify the Commission if they empower competent authorities to use expedited enforcement procedures</v>
      </c>
      <c r="O285" s="7" t="str">
        <f>IF(ISNA(MATCH(276,'Transfer Engine'!$C$2:$C$1199,0)),"",INDEX('Compliance Database'!$O$2:$O$1199,MATCH(276,'Transfer Engine'!$C$2:$C$1199,0)))</f>
        <v>Member States should lay down specific rules and effective mechanisms regarding the application of periodic penalty payments. Competent authorities should be empowered to impose periodic penalty payments on financial information service providers and on those members of their management body who are identified as responsible for an ongoing infringement or who are required to comply with an order from an investigating competent authority.</v>
      </c>
      <c r="P285" s="6" t="str">
        <f>IF(ISNA(MATCH(276,'Transfer Engine'!$C$2:$C$1199,0)),"",HYPERLINK("#Acts!A"&amp;INDEX('Compliance Database'!$P$2:$P$1199,MATCH(276,'Transfer Engine'!$C$2:$C$1199,0)),"Go to Act"))</f>
        <v>Go to Act</v>
      </c>
    </row>
    <row r="286" spans="1:16" ht="172.95" customHeight="1" x14ac:dyDescent="0.3">
      <c r="A286" s="6" t="str">
        <f>IF(ISNA(MATCH(277,'Transfer Engine'!$C$2:$C$1199,0)),"",INDEX('Compliance Database'!$A$2:$A$1199,MATCH(277,'Transfer Engine'!$C$2:$C$1199,0)))</f>
        <v>GDPR</v>
      </c>
      <c r="B286" s="6" t="str">
        <f>IF(ISNA(MATCH(277,'Transfer Engine'!$C$2:$C$1199,0)),"",INDEX('Compliance Database'!$B$2:$B$1199,MATCH(277,'Transfer Engine'!$C$2:$C$1199,0)))</f>
        <v>CELEX_52023PC0360_EN_TXT (GDPR - Row 13)</v>
      </c>
      <c r="C286" s="6" t="str">
        <f>IF(ISNA(MATCH(277,'Transfer Engine'!$C$2:$C$1199,0)),"",INDEX('Compliance Database'!$C$2:$C$1199,MATCH(277,'Transfer Engine'!$C$2:$C$1199,0)))</f>
        <v>5 (part 6)</v>
      </c>
      <c r="D286" s="7" t="str">
        <f>IF(ISNA(MATCH(277,'Transfer Engine'!$C$2:$C$1199,0)),"",INDEX('Compliance Database'!$D$2:$D$1199,MATCH(277,'Transfer Engine'!$C$2:$C$1199,0)))</f>
        <v>Data sharing and access for financial information service providers</v>
      </c>
      <c r="E286" s="6" t="str">
        <f>IF(ISNA(MATCH(277,'Transfer Engine'!$C$2:$C$1199,0)),"",INDEX('Compliance Database'!$E$2:$E$1199,MATCH(277,'Transfer Engine'!$C$2:$C$1199,0)))</f>
        <v>26–27</v>
      </c>
      <c r="F286" s="6" t="str">
        <f>IF(ISNA(MATCH(277,'Transfer Engine'!$C$2:$C$1199,0)),"",INDEX('Compliance Database'!$F$2:$F$1199,MATCH(277,'Transfer Engine'!$C$2:$C$1199,0)))</f>
        <v>High</v>
      </c>
      <c r="G286" s="6" t="str">
        <f>IF(ISNA(MATCH(277,'Transfer Engine'!$C$2:$C$1199,0)),"",INDEX('Compliance Database'!$G$2:$G$1199,MATCH(277,'Transfer Engine'!$C$2:$C$1199,0)))</f>
        <v>High (explicit)</v>
      </c>
      <c r="H286" s="7" t="str">
        <f>IF(ISNA(MATCH(277,'Transfer Engine'!$C$2:$C$1199,0)),"",INDEX('Compliance Database'!$H$2:$H$1199,MATCH(277,'Transfer Engine'!$C$2:$C$1199,0)))</f>
        <v>Cross-border Transfer, Financial Data, Data Sharing</v>
      </c>
      <c r="I286" s="7" t="str">
        <f>IF(ISNA(MATCH(277,'Transfer Engine'!$C$2:$C$1199,0)),"",INDEX('Compliance Database'!$I$2:$I$1199,MATCH(277,'Transfer Engine'!$C$2:$C$1199,0)))</f>
        <v>Financial Data</v>
      </c>
      <c r="J286" s="6" t="str">
        <f>IF(ISNA(MATCH(277,'Transfer Engine'!$C$2:$C$1199,0)),"",INDEX('Compliance Database'!$J$2:$J$1199,MATCH(277,'Transfer Engine'!$C$2:$C$1199,0)))</f>
        <v>Member States</v>
      </c>
      <c r="K286" s="7" t="str">
        <f>IF(ISNA(MATCH(277,'Transfer Engine'!$C$2:$C$1199,0)),"",INDEX('Compliance Database'!$K$2:$K$1199,MATCH(277,'Transfer Engine'!$C$2:$C$1199,0)))</f>
        <v>Financial information service providers must notify their competent authority when accessing data held by data holders in other Member States. They must specify the type of data, financial data sharing scheme, and Member States where access is intended. This regulation ensures cross-border data access for financial services while maintaining regulatory oversight.</v>
      </c>
      <c r="L286" s="7" t="str">
        <f>IF(ISNA(MATCH(277,'Transfer Engine'!$C$2:$C$1199,0)),"",INDEX('Compliance Database'!$L$2:$L$1199,MATCH(277,'Transfer Engine'!$C$2:$C$1199,0)))</f>
        <v>Requires financial information service providers to notify authorities when accessing cross-border data, creating specific conditions for international data transfers that must be documented and reported.</v>
      </c>
      <c r="M286" s="7" t="str">
        <f>IF(ISNA(MATCH(277,'Transfer Engine'!$C$2:$C$1199,0)),"",INDEX('Compliance Database'!$M$2:$M$1199,MATCH(277,'Transfer Engine'!$C$2:$C$1199,0)))</f>
        <v>• [Must] Financial information service providers must notify their competent authority when accessing data held by data holders in another Member State</v>
      </c>
      <c r="N286" s="7" t="str">
        <f>IF(ISNA(MATCH(277,'Transfer Engine'!$C$2:$C$1199,0)),"",INDEX('Compliance Database'!$N$2:$N$1199,MATCH(277,'Transfer Engine'!$C$2:$C$1199,0)))</f>
        <v>• [Must] Providers must specify the type of data, financial data sharing scheme, and Member States where access is intended</v>
      </c>
      <c r="O286" s="7" t="str">
        <f>IF(ISNA(MATCH(277,'Transfer Engine'!$C$2:$C$1199,0)),"",INDEX('Compliance Database'!$O$2:$O$1199,MATCH(277,'Transfer Engine'!$C$2:$C$1199,0)))</f>
        <v>A financial information service provider wishing to have access to data held by a data holder in another Member State, should notify its intention to its competent authority, providing information on the type of data it wishes to access, the financial data sharing scheme of which it is a member and the Member States in which it intends to access the data.</v>
      </c>
      <c r="P286" s="6" t="str">
        <f>IF(ISNA(MATCH(277,'Transfer Engine'!$C$2:$C$1199,0)),"",HYPERLINK("#Acts!A"&amp;INDEX('Compliance Database'!$P$2:$P$1199,MATCH(277,'Transfer Engine'!$C$2:$C$1199,0)),"Go to Act"))</f>
        <v>Go to Act</v>
      </c>
    </row>
    <row r="287" spans="1:16" ht="172.95" customHeight="1" x14ac:dyDescent="0.3">
      <c r="A287" s="6" t="str">
        <f>IF(ISNA(MATCH(278,'Transfer Engine'!$C$2:$C$1199,0)),"",INDEX('Compliance Database'!$A$2:$A$1199,MATCH(278,'Transfer Engine'!$C$2:$C$1199,0)))</f>
        <v>GDPR</v>
      </c>
      <c r="B287" s="6" t="str">
        <f>IF(ISNA(MATCH(278,'Transfer Engine'!$C$2:$C$1199,0)),"",INDEX('Compliance Database'!$B$2:$B$1199,MATCH(278,'Transfer Engine'!$C$2:$C$1199,0)))</f>
        <v>CELEX_52023PC0360_EN_TXT (GDPR - Row 13)</v>
      </c>
      <c r="C287" s="6" t="str">
        <f>IF(ISNA(MATCH(278,'Transfer Engine'!$C$2:$C$1199,0)),"",INDEX('Compliance Database'!$C$2:$C$1199,MATCH(278,'Transfer Engine'!$C$2:$C$1199,0)))</f>
        <v>6</v>
      </c>
      <c r="D287" s="7" t="str">
        <f>IF(ISNA(MATCH(278,'Transfer Engine'!$C$2:$C$1199,0)),"",INDEX('Compliance Database'!$D$2:$D$1199,MATCH(278,'Transfer Engine'!$C$2:$C$1199,0)))</f>
        <v>Conditions for delegated acts to enter into force</v>
      </c>
      <c r="E287" s="6" t="str">
        <f>IF(ISNA(MATCH(278,'Transfer Engine'!$C$2:$C$1199,0)),"",INDEX('Compliance Database'!$E$2:$E$1199,MATCH(278,'Transfer Engine'!$C$2:$C$1199,0)))</f>
        <v>36–37</v>
      </c>
      <c r="F287" s="6" t="str">
        <f>IF(ISNA(MATCH(278,'Transfer Engine'!$C$2:$C$1199,0)),"",INDEX('Compliance Database'!$F$2:$F$1199,MATCH(278,'Transfer Engine'!$C$2:$C$1199,0)))</f>
        <v>None</v>
      </c>
      <c r="G287" s="6" t="str">
        <f>IF(ISNA(MATCH(278,'Transfer Engine'!$C$2:$C$1199,0)),"",INDEX('Compliance Database'!$G$2:$G$1199,MATCH(278,'Transfer Engine'!$C$2:$C$1199,0)))</f>
        <v>High (explicit)</v>
      </c>
      <c r="H287" s="7" t="str">
        <f>IF(ISNA(MATCH(278,'Transfer Engine'!$C$2:$C$1199,0)),"",INDEX('Compliance Database'!$H$2:$H$1199,MATCH(278,'Transfer Engine'!$C$2:$C$1199,0)))</f>
        <v>Governance</v>
      </c>
      <c r="I287" s="7">
        <f>IF(ISNA(MATCH(278,'Transfer Engine'!$C$2:$C$1199,0)),"",INDEX('Compliance Database'!$I$2:$I$1199,MATCH(278,'Transfer Engine'!$C$2:$C$1199,0)))</f>
        <v>0</v>
      </c>
      <c r="J287" s="6">
        <f>IF(ISNA(MATCH(278,'Transfer Engine'!$C$2:$C$1199,0)),"",INDEX('Compliance Database'!$J$2:$J$1199,MATCH(278,'Transfer Engine'!$C$2:$C$1199,0)))</f>
        <v>0</v>
      </c>
      <c r="K287" s="7" t="str">
        <f>IF(ISNA(MATCH(278,'Transfer Engine'!$C$2:$C$1199,0)),"",INDEX('Compliance Database'!$K$2:$K$1199,MATCH(278,'Transfer Engine'!$C$2:$C$1199,0)))</f>
        <v>A delegated act adopted under Article 11 enters into force only if no objections are raised by the European Parliament or Council within three months of notification, or if both institutions inform the Commission they will not object. The period may be extended by three months on either institution's initiative. This establishes a procedural safeguard for legislative adoption.</v>
      </c>
      <c r="L287" s="7">
        <f>IF(ISNA(MATCH(278,'Transfer Engine'!$C$2:$C$1199,0)),"",INDEX('Compliance Database'!$L$2:$L$1199,MATCH(278,'Transfer Engine'!$C$2:$C$1199,0)))</f>
        <v>0</v>
      </c>
      <c r="M287" s="7" t="str">
        <f>IF(ISNA(MATCH(278,'Transfer Engine'!$C$2:$C$1199,0)),"",INDEX('Compliance Database'!$M$2:$M$1199,MATCH(278,'Transfer Engine'!$C$2:$C$1199,0)))</f>
        <v>• [Must] A delegated act adopted pursuant to Article 11 shall enter into force only if no objection has been expressed by the European Parliament or Council within three months of notification</v>
      </c>
      <c r="N287" s="7" t="str">
        <f>IF(ISNA(MATCH(278,'Transfer Engine'!$C$2:$C$1199,0)),"",INDEX('Compliance Database'!$N$2:$N$1199,MATCH(278,'Transfer Engine'!$C$2:$C$1199,0)))</f>
        <v>• [Condition] The period for objections may be extended by three months on the initiative of the European Parliament or Council</v>
      </c>
      <c r="O287" s="7" t="str">
        <f>IF(ISNA(MATCH(278,'Transfer Engine'!$C$2:$C$1199,0)),"",INDEX('Compliance Database'!$O$2:$O$1199,MATCH(278,'Transfer Engine'!$C$2:$C$1199,0)))</f>
        <v>A delegated act adopted pursuant to Article 11, shall enter into force only if no objection has been expressed either by the European Parliament or by the Council within a period of three months of notification of that act to the European Parliament and to the Council or if, before the expiry of that period, the European Parliament and the Council have both informed the Commission that they will not object.</v>
      </c>
      <c r="P287" s="6" t="str">
        <f>IF(ISNA(MATCH(278,'Transfer Engine'!$C$2:$C$1199,0)),"",HYPERLINK("#Acts!A"&amp;INDEX('Compliance Database'!$P$2:$P$1199,MATCH(278,'Transfer Engine'!$C$2:$C$1199,0)),"Go to Act"))</f>
        <v>Go to Act</v>
      </c>
    </row>
    <row r="288" spans="1:16" ht="172.95" customHeight="1" x14ac:dyDescent="0.3">
      <c r="A288" s="6" t="str">
        <f>IF(ISNA(MATCH(279,'Transfer Engine'!$C$2:$C$1199,0)),"",INDEX('Compliance Database'!$A$2:$A$1199,MATCH(279,'Transfer Engine'!$C$2:$C$1199,0)))</f>
        <v>GDPR</v>
      </c>
      <c r="B288" s="6" t="str">
        <f>IF(ISNA(MATCH(279,'Transfer Engine'!$C$2:$C$1199,0)),"",INDEX('Compliance Database'!$B$2:$B$1199,MATCH(279,'Transfer Engine'!$C$2:$C$1199,0)))</f>
        <v>CELEX_52023PC0360_EN_TXT (GDPR - Row 13)</v>
      </c>
      <c r="C288" s="6" t="str">
        <f>IF(ISNA(MATCH(279,'Transfer Engine'!$C$2:$C$1199,0)),"",INDEX('Compliance Database'!$C$2:$C$1199,MATCH(279,'Transfer Engine'!$C$2:$C$1199,0)))</f>
        <v>7</v>
      </c>
      <c r="D288" s="7" t="str">
        <f>IF(ISNA(MATCH(279,'Transfer Engine'!$C$2:$C$1199,0)),"",INDEX('Compliance Database'!$D$2:$D$1199,MATCH(279,'Transfer Engine'!$C$2:$C$1199,0)))</f>
        <v>Conditions for withdrawing financial information service provider authorisation</v>
      </c>
      <c r="E288" s="6" t="str">
        <f>IF(ISNA(MATCH(279,'Transfer Engine'!$C$2:$C$1199,0)),"",INDEX('Compliance Database'!$E$2:$E$1199,MATCH(279,'Transfer Engine'!$C$2:$C$1199,0)))</f>
        <v>40–41</v>
      </c>
      <c r="F288" s="6" t="str">
        <f>IF(ISNA(MATCH(279,'Transfer Engine'!$C$2:$C$1199,0)),"",INDEX('Compliance Database'!$F$2:$F$1199,MATCH(279,'Transfer Engine'!$C$2:$C$1199,0)))</f>
        <v>High</v>
      </c>
      <c r="G288" s="6" t="str">
        <f>IF(ISNA(MATCH(279,'Transfer Engine'!$C$2:$C$1199,0)),"",INDEX('Compliance Database'!$G$2:$G$1199,MATCH(279,'Transfer Engine'!$C$2:$C$1199,0)))</f>
        <v>High (explicit)</v>
      </c>
      <c r="H288" s="7" t="str">
        <f>IF(ISNA(MATCH(279,'Transfer Engine'!$C$2:$C$1199,0)),"",INDEX('Compliance Database'!$H$2:$H$1199,MATCH(279,'Transfer Engine'!$C$2:$C$1199,0)))</f>
        <v>Cross-border Transfer, Financial Data, Security</v>
      </c>
      <c r="I288" s="7" t="str">
        <f>IF(ISNA(MATCH(279,'Transfer Engine'!$C$2:$C$1199,0)),"",INDEX('Compliance Database'!$I$2:$I$1199,MATCH(279,'Transfer Engine'!$C$2:$C$1199,0)))</f>
        <v>Financial Data</v>
      </c>
      <c r="J288" s="6" t="str">
        <f>IF(ISNA(MATCH(279,'Transfer Engine'!$C$2:$C$1199,0)),"",INDEX('Compliance Database'!$J$2:$J$1199,MATCH(279,'Transfer Engine'!$C$2:$C$1199,0)))</f>
        <v>Competent authority</v>
      </c>
      <c r="K288" s="7" t="str">
        <f>IF(ISNA(MATCH(279,'Transfer Engine'!$C$2:$C$1199,0)),"",INDEX('Compliance Database'!$K$2:$K$1199,MATCH(279,'Transfer Engine'!$C$2:$C$1199,0)))</f>
        <v>The competent authority may withdraw authorization from a financial information service provider if the provider fails to use the authorization within 12 months, renounces it, ceases business for over six months, obtained authorization through false statements, no longer meets authorization conditions, fails to report major developments, or poses a risk to consumer protection and data security. The authority must provide reasons and notify affected parties, and publish the withdrawal anonymously.</v>
      </c>
      <c r="L288" s="7" t="str">
        <f>IF(ISNA(MATCH(279,'Transfer Engine'!$C$2:$C$1199,0)),"",INDEX('Compliance Database'!$L$2:$L$1199,MATCH(279,'Transfer Engine'!$C$2:$C$1199,0)))</f>
        <v>This section outlines conditions under which a regulator can revoke authorization for financial data services, impacting cross-border data transfers by requiring ongoing compliance and timely reporting to ensure service providers meet security and consumer protection standards.</v>
      </c>
      <c r="M288" s="7" t="str">
        <f>IF(ISNA(MATCH(279,'Transfer Engine'!$C$2:$C$1199,0)),"",INDEX('Compliance Database'!$M$2:$M$1199,MATCH(279,'Transfer Engine'!$C$2:$C$1199,0)))</f>
        <v>• [Must Not] The provider does not use the authorization within 12 months
• [Must Not] The provider expressly renounces the authorization
• [Must Not] The provider has ceased to engage in business for more than 6 months
• [Must Not] The authorization was obtained through false statements or irregular means
• [Must Not] The provider no longer meets conditions for granting authorization</v>
      </c>
      <c r="N288" s="7" t="str">
        <f>IF(ISNA(MATCH(279,'Transfer Engine'!$C$2:$C$1199,0)),"",INDEX('Compliance Database'!$N$2:$N$1199,MATCH(279,'Transfer Engine'!$C$2:$C$1199,0)))</f>
        <v>• [Must Not] The provider fails to inform the competent authority on major developments
• [Must Not] The withdrawal constitutes a risk to consumer protection and data security
• [Notification] The competent authority gives reasons for withdrawal
• [Notification] The competent authority informs those concerned of withdrawal
• [Notification] The competent authority publishes withdrawal in anonymized version</v>
      </c>
      <c r="O288" s="7" t="str">
        <f>IF(ISNA(MATCH(279,'Transfer Engine'!$C$2:$C$1199,0)),"",INDEX('Compliance Database'!$O$2:$O$1199,MATCH(279,'Transfer Engine'!$C$2:$C$1199,0)))</f>
        <v>The competent authority may withdraw an authorisation issued to a financial information service provider only if the provider: (a) does not make use of the authorisation within 12 months, expressly renounces the authorisation or has ceased to engage in business for more than 6 months; (b) has obtained the authorisation through false statements or any other irregular means; (c) no longer meets the conditions for granting the authorisation or fails to inform the competent authority on major developments in this respect; (d) would constitute a risk to consumer protection and the security of data. The competent authority shall give reasons for any withdrawal of an authorisation and shall inform those concerned accordingly. The competent authority shall make public the withdrawal of an authorisation, in an anonymised version.</v>
      </c>
      <c r="P288" s="6" t="str">
        <f>IF(ISNA(MATCH(279,'Transfer Engine'!$C$2:$C$1199,0)),"",HYPERLINK("#Acts!A"&amp;INDEX('Compliance Database'!$P$2:$P$1199,MATCH(279,'Transfer Engine'!$C$2:$C$1199,0)),"Go to Act"))</f>
        <v>Go to Act</v>
      </c>
    </row>
    <row r="289" spans="1:16" ht="172.95" customHeight="1" x14ac:dyDescent="0.3">
      <c r="A289" s="6" t="str">
        <f>IF(ISNA(MATCH(280,'Transfer Engine'!$C$2:$C$1199,0)),"",INDEX('Compliance Database'!$A$2:$A$1199,MATCH(280,'Transfer Engine'!$C$2:$C$1199,0)))</f>
        <v>GDPR</v>
      </c>
      <c r="B289" s="6" t="str">
        <f>IF(ISNA(MATCH(280,'Transfer Engine'!$C$2:$C$1199,0)),"",INDEX('Compliance Database'!$B$2:$B$1199,MATCH(280,'Transfer Engine'!$C$2:$C$1199,0)))</f>
        <v>CELEX_52023PC0360_EN_TXT (GDPR - Row 13)</v>
      </c>
      <c r="C289" s="6" t="str">
        <f>IF(ISNA(MATCH(280,'Transfer Engine'!$C$2:$C$1199,0)),"",INDEX('Compliance Database'!$C$2:$C$1199,MATCH(280,'Transfer Engine'!$C$2:$C$1199,0)))</f>
        <v>11</v>
      </c>
      <c r="D289" s="7" t="str">
        <f>IF(ISNA(MATCH(280,'Transfer Engine'!$C$2:$C$1199,0)),"",INDEX('Compliance Database'!$D$2:$D$1199,MATCH(280,'Transfer Engine'!$C$2:$C$1199,0)))</f>
        <v>Data sharing requirements for data holders</v>
      </c>
      <c r="E289" s="6" t="str">
        <f>IF(ISNA(MATCH(280,'Transfer Engine'!$C$2:$C$1199,0)),"",INDEX('Compliance Database'!$E$2:$E$1199,MATCH(280,'Transfer Engine'!$C$2:$C$1199,0)))</f>
        <v>31–32</v>
      </c>
      <c r="F289" s="6" t="str">
        <f>IF(ISNA(MATCH(280,'Transfer Engine'!$C$2:$C$1199,0)),"",INDEX('Compliance Database'!$F$2:$F$1199,MATCH(280,'Transfer Engine'!$C$2:$C$1199,0)))</f>
        <v>High</v>
      </c>
      <c r="G289" s="6" t="str">
        <f>IF(ISNA(MATCH(280,'Transfer Engine'!$C$2:$C$1199,0)),"",INDEX('Compliance Database'!$G$2:$G$1199,MATCH(280,'Transfer Engine'!$C$2:$C$1199,0)))</f>
        <v>High (explicit)</v>
      </c>
      <c r="H289" s="7" t="str">
        <f>IF(ISNA(MATCH(280,'Transfer Engine'!$C$2:$C$1199,0)),"",INDEX('Compliance Database'!$H$2:$H$1199,MATCH(280,'Transfer Engine'!$C$2:$C$1199,0)))</f>
        <v>Data Sharing, Security, Data Storage</v>
      </c>
      <c r="I289" s="7" t="str">
        <f>IF(ISNA(MATCH(280,'Transfer Engine'!$C$2:$C$1199,0)),"",INDEX('Compliance Database'!$I$2:$I$1199,MATCH(280,'Transfer Engine'!$C$2:$C$1199,0)))</f>
        <v>Customer Data</v>
      </c>
      <c r="J289" s="6">
        <f>IF(ISNA(MATCH(280,'Transfer Engine'!$C$2:$C$1199,0)),"",INDEX('Compliance Database'!$J$2:$J$1199,MATCH(280,'Transfer Engine'!$C$2:$C$1199,0)))</f>
        <v>0</v>
      </c>
      <c r="K289" s="7" t="str">
        <f>IF(ISNA(MATCH(280,'Transfer Engine'!$C$2:$C$1199,0)),"",INDEX('Compliance Database'!$K$2:$K$1199,MATCH(280,'Transfer Engine'!$C$2:$C$1199,0)))</f>
        <v>When sharing customer data with data users, data holders must provide data in standardized formats, ensure secure communication, verify customer authorization, provide permission dashboards for monitoring, and protect trade secrets and intellectual property rights. These requirements ensure secure and compliant data sharing practices.</v>
      </c>
      <c r="L289" s="7" t="str">
        <f>IF(ISNA(MATCH(280,'Transfer Engine'!$C$2:$C$1199,0)),"",INDEX('Compliance Database'!$L$2:$L$1199,MATCH(280,'Transfer Engine'!$C$2:$C$1199,0)))</f>
        <v>This section specifies technical and procedural safeguards for data sharing, including format standards, security protocols, and customer authorization verification, critical for DTIA compliance in financial data transfers.</v>
      </c>
      <c r="M289" s="7" t="str">
        <f>IF(ISNA(MATCH(280,'Transfer Engine'!$C$2:$C$1199,0)),"",INDEX('Compliance Database'!$M$2:$M$1199,MATCH(280,'Transfer Engine'!$C$2:$C$1199,0)))</f>
        <v>• [Must] Make customer data available to the data user in a format based on generally recognised standards and at least in the same quality available to the data holder
• [Must] Communicate securely with the data user by ensuring an appropriate level of security for the processing and transmission of customer data
• [Must] Request data users to demonstrate that they have obtained the permission of the customer to access the customer data held by the data holder</v>
      </c>
      <c r="N289" s="7" t="str">
        <f>IF(ISNA(MATCH(280,'Transfer Engine'!$C$2:$C$1199,0)),"",INDEX('Compliance Database'!$N$2:$N$1199,MATCH(280,'Transfer Engine'!$C$2:$C$1199,0)))</f>
        <v>• [Must] Provide the customer with a permission dashboard to monitor and manage permissions in accordance with Article 8
• [Must] Respect the confidentiality of trade secrets and intellectual property rights when customer data is accessed in accordance with Article 5(1)</v>
      </c>
      <c r="O289" s="7" t="str">
        <f>IF(ISNA(MATCH(280,'Transfer Engine'!$C$2:$C$1199,0)),"",INDEX('Compliance Database'!$O$2:$O$1199,MATCH(280,'Transfer Engine'!$C$2:$C$1199,0)))</f>
        <v>When making data available pursuant to paragraph 1, the data holder shall: (a) make customer data available to the data user in a format based on generally recognised standards and at least in the same quality available to the data holder; (b) communicate securely with the data user by ensuring an appropriate level of security for the processing and transmission of customer data; (c) request data users to demonstrate that they have obtained the permission of the customer to access the customer data held by the data holder; (d) provide the customer with a permission dashboard to monitor and manage permissions in accordance with Article 8. (e) respect the confidentiality of trade secrets and intellectual property rights when customer data is accessed in accordance with Article 5(1).</v>
      </c>
      <c r="P289" s="6" t="str">
        <f>IF(ISNA(MATCH(280,'Transfer Engine'!$C$2:$C$1199,0)),"",HYPERLINK("#Acts!A"&amp;INDEX('Compliance Database'!$P$2:$P$1199,MATCH(280,'Transfer Engine'!$C$2:$C$1199,0)),"Go to Act"))</f>
        <v>Go to Act</v>
      </c>
    </row>
    <row r="290" spans="1:16" ht="172.95" customHeight="1" x14ac:dyDescent="0.3">
      <c r="A290" s="6" t="str">
        <f>IF(ISNA(MATCH(281,'Transfer Engine'!$C$2:$C$1199,0)),"",INDEX('Compliance Database'!$A$2:$A$1199,MATCH(281,'Transfer Engine'!$C$2:$C$1199,0)))</f>
        <v>GDPR</v>
      </c>
      <c r="B290" s="6" t="str">
        <f>IF(ISNA(MATCH(281,'Transfer Engine'!$C$2:$C$1199,0)),"",INDEX('Compliance Database'!$B$2:$B$1199,MATCH(281,'Transfer Engine'!$C$2:$C$1199,0)))</f>
        <v>Final report on amending GLs on ICT risk and security (GDPR - Row 4)</v>
      </c>
      <c r="C290" s="6" t="str">
        <f>IF(ISNA(MATCH(281,'Transfer Engine'!$C$2:$C$1199,0)),"",INDEX('Compliance Database'!$C$2:$C$1199,MATCH(281,'Transfer Engine'!$C$2:$C$1199,0)))</f>
        <v>1</v>
      </c>
      <c r="D290" s="7" t="str">
        <f>IF(ISNA(MATCH(281,'Transfer Engine'!$C$2:$C$1199,0)),"",INDEX('Compliance Database'!$D$2:$D$1199,MATCH(281,'Transfer Engine'!$C$2:$C$1199,0)))</f>
        <v>EBA publishes ICT and security risk management guidelines</v>
      </c>
      <c r="E290" s="6" t="str">
        <f>IF(ISNA(MATCH(281,'Transfer Engine'!$C$2:$C$1199,0)),"",INDEX('Compliance Database'!$E$2:$E$1199,MATCH(281,'Transfer Engine'!$C$2:$C$1199,0)))</f>
        <v>3</v>
      </c>
      <c r="F290" s="6" t="str">
        <f>IF(ISNA(MATCH(281,'Transfer Engine'!$C$2:$C$1199,0)),"",INDEX('Compliance Database'!$F$2:$F$1199,MATCH(281,'Transfer Engine'!$C$2:$C$1199,0)))</f>
        <v>High</v>
      </c>
      <c r="G290" s="6" t="str">
        <f>IF(ISNA(MATCH(281,'Transfer Engine'!$C$2:$C$1199,0)),"",INDEX('Compliance Database'!$G$2:$G$1199,MATCH(281,'Transfer Engine'!$C$2:$C$1199,0)))</f>
        <v>High (explicit)</v>
      </c>
      <c r="H290" s="7" t="str">
        <f>IF(ISNA(MATCH(281,'Transfer Engine'!$C$2:$C$1199,0)),"",INDEX('Compliance Database'!$H$2:$H$1199,MATCH(281,'Transfer Engine'!$C$2:$C$1199,0)))</f>
        <v>Security, Governance</v>
      </c>
      <c r="I290" s="7" t="str">
        <f>IF(ISNA(MATCH(281,'Transfer Engine'!$C$2:$C$1199,0)),"",INDEX('Compliance Database'!$I$2:$I$1199,MATCH(281,'Transfer Engine'!$C$2:$C$1199,0)))</f>
        <v>Financial Data</v>
      </c>
      <c r="J290" s="6" t="str">
        <f>IF(ISNA(MATCH(281,'Transfer Engine'!$C$2:$C$1199,0)),"",INDEX('Compliance Database'!$J$2:$J$1199,MATCH(281,'Transfer Engine'!$C$2:$C$1199,0)))</f>
        <v>EBA</v>
      </c>
      <c r="K290" s="7" t="str">
        <f>IF(ISNA(MATCH(281,'Transfer Engine'!$C$2:$C$1199,0)),"",INDEX('Compliance Database'!$K$2:$K$1199,MATCH(281,'Transfer Engine'!$C$2:$C$1199,0)))</f>
        <v>The EBA published ICT and security risk management guidelines on 27 November 2019, building on provisions from CRD and PSD2 directives. These guidelines establish requirements for credit institutions, investment firms, and payment service providers to mitigate ICT and security risks. The guidelines entered into force the following year and replaced previous security measures guidelines for operational and security risks.</v>
      </c>
      <c r="L290" s="7">
        <f>IF(ISNA(MATCH(281,'Transfer Engine'!$C$2:$C$1199,0)),"",INDEX('Compliance Database'!$L$2:$L$1199,MATCH(281,'Transfer Engine'!$C$2:$C$1199,0)))</f>
        <v>0</v>
      </c>
      <c r="M290" s="7" t="str">
        <f>IF(ISNA(MATCH(281,'Transfer Engine'!$C$2:$C$1199,0)),"",INDEX('Compliance Database'!$M$2:$M$1199,MATCH(281,'Transfer Engine'!$C$2:$C$1199,0)))</f>
        <v>• [Must] EBA published ICT and security risk management guidelines on 27 November 2019
• [Must] Guidelines build on provisions of Article 74 of Directive 2013/36/EU (CRD) and Article 95(3) of Directive (EU) 2015/2366 (PSD2)
• [Must] Guidelines establish requirements for credit institutions, investment firms, and payment service providers on ICT and security risk mitigation</v>
      </c>
      <c r="N290" s="7" t="str">
        <f>IF(ISNA(MATCH(281,'Transfer Engine'!$C$2:$C$1199,0)),"",INDEX('Compliance Database'!$N$2:$N$1199,MATCH(281,'Transfer Engine'!$C$2:$C$1199,0)))</f>
        <v>• [Must] Guidelines aim to ensure consistent and robust approach across Single market
• [Must] Guidelines entered into force the following year and are applicable today
• [Must] Guidelines replace previous security measures guidelines for operational and security risks (EBA GL/2017/17)</v>
      </c>
      <c r="O290" s="7" t="str">
        <f>IF(ISNA(MATCH(281,'Transfer Engine'!$C$2:$C$1199,0)),"",INDEX('Compliance Database'!$O$2:$O$1199,MATCH(281,'Transfer Engine'!$C$2:$C$1199,0)))</f>
        <v>On 27 November 2019, the EBA published the Guidelines on ICT and security risk management (EBA/GL/2019/04) which were built on the provisions of Article 74 of Directive 2013/36/EU (CRD) and Article 95(3) of Directive (EU) 2015/2366 (PSD2). These Guidelines establish requirements for credit institutions, investment firms and payment service providers on the mitigation and management of their information and communication technology (ICT) and security risks and aim to ensure a consistent and robust approach across the Single market. The Guidelines entered into force the following year and are applicable to the present day replacing those on security measures for operational and security risks (EBA GL/2017/17), which were repealed.</v>
      </c>
      <c r="P290" s="6" t="str">
        <f>IF(ISNA(MATCH(281,'Transfer Engine'!$C$2:$C$1199,0)),"",HYPERLINK("#Acts!A"&amp;INDEX('Compliance Database'!$P$2:$P$1199,MATCH(281,'Transfer Engine'!$C$2:$C$1199,0)),"Go to Act"))</f>
        <v>Go to Act</v>
      </c>
    </row>
    <row r="291" spans="1:16" ht="172.95" customHeight="1" x14ac:dyDescent="0.3">
      <c r="A291" s="6" t="str">
        <f>IF(ISNA(MATCH(282,'Transfer Engine'!$C$2:$C$1199,0)),"",INDEX('Compliance Database'!$A$2:$A$1199,MATCH(282,'Transfer Engine'!$C$2:$C$1199,0)))</f>
        <v>GDPR</v>
      </c>
      <c r="B291" s="6" t="str">
        <f>IF(ISNA(MATCH(282,'Transfer Engine'!$C$2:$C$1199,0)),"",INDEX('Compliance Database'!$B$2:$B$1199,MATCH(282,'Transfer Engine'!$C$2:$C$1199,0)))</f>
        <v>Final report on amending GLs on ICT risk and security (GDPR - Row 4)</v>
      </c>
      <c r="C291" s="6" t="str">
        <f>IF(ISNA(MATCH(282,'Transfer Engine'!$C$2:$C$1199,0)),"",INDEX('Compliance Database'!$C$2:$C$1199,MATCH(282,'Transfer Engine'!$C$2:$C$1199,0)))</f>
        <v>2</v>
      </c>
      <c r="D291" s="7" t="str">
        <f>IF(ISNA(MATCH(282,'Transfer Engine'!$C$2:$C$1199,0)),"",INDEX('Compliance Database'!$D$2:$D$1199,MATCH(282,'Transfer Engine'!$C$2:$C$1199,0)))</f>
        <v>EBA guidelines set supervisory practices for financial institutions</v>
      </c>
      <c r="E291" s="6" t="str">
        <f>IF(ISNA(MATCH(282,'Transfer Engine'!$C$2:$C$1199,0)),"",INDEX('Compliance Database'!$E$2:$E$1199,MATCH(282,'Transfer Engine'!$C$2:$C$1199,0)))</f>
        <v>3</v>
      </c>
      <c r="F291" s="6" t="str">
        <f>IF(ISNA(MATCH(282,'Transfer Engine'!$C$2:$C$1199,0)),"",INDEX('Compliance Database'!$F$2:$F$1199,MATCH(282,'Transfer Engine'!$C$2:$C$1199,0)))</f>
        <v>High</v>
      </c>
      <c r="G291" s="6" t="str">
        <f>IF(ISNA(MATCH(282,'Transfer Engine'!$C$2:$C$1199,0)),"",INDEX('Compliance Database'!$G$2:$G$1199,MATCH(282,'Transfer Engine'!$C$2:$C$1199,0)))</f>
        <v>High (explicit)</v>
      </c>
      <c r="H291" s="7" t="str">
        <f>IF(ISNA(MATCH(282,'Transfer Engine'!$C$2:$C$1199,0)),"",INDEX('Compliance Database'!$H$2:$H$1199,MATCH(282,'Transfer Engine'!$C$2:$C$1199,0)))</f>
        <v>Governance</v>
      </c>
      <c r="I291" s="7" t="str">
        <f>IF(ISNA(MATCH(282,'Transfer Engine'!$C$2:$C$1199,0)),"",INDEX('Compliance Database'!$I$2:$I$1199,MATCH(282,'Transfer Engine'!$C$2:$C$1199,0)))</f>
        <v>Financial Data</v>
      </c>
      <c r="J291" s="6">
        <f>IF(ISNA(MATCH(282,'Transfer Engine'!$C$2:$C$1199,0)),"",INDEX('Compliance Database'!$J$2:$J$1199,MATCH(282,'Transfer Engine'!$C$2:$C$1199,0)))</f>
        <v>0</v>
      </c>
      <c r="K291" s="7" t="str">
        <f>IF(ISNA(MATCH(282,'Transfer Engine'!$C$2:$C$1199,0)),"",INDEX('Compliance Database'!$K$2:$K$1199,MATCH(282,'Transfer Engine'!$C$2:$C$1199,0)))</f>
        <v>This section states that the EBA guidelines set the EBA's view of appropriate supervisory practices within the European System of Financial Supervision or how Union law should be applied in a particular area. Competent authorities must incorporate these guidelines into their practices by amending their legal frameworks or supervisory processes, especially when the guidelines are directed primarily at institutions.</v>
      </c>
      <c r="L291" s="7">
        <f>IF(ISNA(MATCH(282,'Transfer Engine'!$C$2:$C$1199,0)),"",INDEX('Compliance Database'!$L$2:$L$1199,MATCH(282,'Transfer Engine'!$C$2:$C$1199,0)))</f>
        <v>0</v>
      </c>
      <c r="M291" s="7" t="str">
        <f>IF(ISNA(MATCH(282,'Transfer Engine'!$C$2:$C$1199,0)),"",INDEX('Compliance Database'!$M$2:$M$1199,MATCH(282,'Transfer Engine'!$C$2:$C$1199,0)))</f>
        <v>• [Statement] Guidelines set the EBA view of appropriate supervisory practices within the European System of Financial Supervision or of how Union law should be applied in a particular area</v>
      </c>
      <c r="N291" s="7" t="str">
        <f>IF(ISNA(MATCH(282,'Transfer Engine'!$C$2:$C$1199,0)),"",INDEX('Compliance Database'!$N$2:$N$1199,MATCH(282,'Transfer Engine'!$C$2:$C$1199,0)))</f>
        <v>• [Requirement] Competent authorities as defined in Article 4(2) of Regulation (EU) No 1093/2010 to whom guidelines apply should comply by incorporating them into their practices as appropriate (e.g. by amending their legal framework or their supervisory processes)</v>
      </c>
      <c r="O291" s="7" t="str">
        <f>IF(ISNA(MATCH(282,'Transfer Engine'!$C$2:$C$1199,0)),"",INDEX('Compliance Database'!$O$2:$O$1199,MATCH(282,'Transfer Engine'!$C$2:$C$1199,0)))</f>
        <v>2. Guidelines set the EBA view of appropriate supervisory practices within the European System of Financial Supervision or of how Union law should be applied in a particular area. Competent authorities as defined in Article 4(2) of Regulation (EU) No 1093/2010 to whom guidelines apply should comply by incorporating them into their practices as appropriate (e.g. by amending their legal framework or their supervisory processes), including where guidelines are directed primarily at institutions.</v>
      </c>
      <c r="P291" s="6" t="str">
        <f>IF(ISNA(MATCH(282,'Transfer Engine'!$C$2:$C$1199,0)),"",HYPERLINK("#Acts!A"&amp;INDEX('Compliance Database'!$P$2:$P$1199,MATCH(282,'Transfer Engine'!$C$2:$C$1199,0)),"Go to Act"))</f>
        <v>Go to Act</v>
      </c>
    </row>
    <row r="292" spans="1:16" ht="172.95" customHeight="1" x14ac:dyDescent="0.3">
      <c r="A292" s="6" t="str">
        <f>IF(ISNA(MATCH(283,'Transfer Engine'!$C$2:$C$1199,0)),"",INDEX('Compliance Database'!$A$2:$A$1199,MATCH(283,'Transfer Engine'!$C$2:$C$1199,0)))</f>
        <v>GDPR</v>
      </c>
      <c r="B292" s="6" t="str">
        <f>IF(ISNA(MATCH(283,'Transfer Engine'!$C$2:$C$1199,0)),"",INDEX('Compliance Database'!$B$2:$B$1199,MATCH(283,'Transfer Engine'!$C$2:$C$1199,0)))</f>
        <v>Final report on amending GLs on ICT risk and security (GDPR - Row 4)</v>
      </c>
      <c r="C292" s="6" t="str">
        <f>IF(ISNA(MATCH(283,'Transfer Engine'!$C$2:$C$1199,0)),"",INDEX('Compliance Database'!$C$2:$C$1199,MATCH(283,'Transfer Engine'!$C$2:$C$1199,0)))</f>
        <v>3</v>
      </c>
      <c r="D292" s="7" t="str">
        <f>IF(ISNA(MATCH(283,'Transfer Engine'!$C$2:$C$1199,0)),"",INDEX('Compliance Database'!$D$2:$D$1199,MATCH(283,'Transfer Engine'!$C$2:$C$1199,0)))</f>
        <v>Competent authorities must notify EBA of compliance with guidelines by 2025-05-20</v>
      </c>
      <c r="E292" s="6" t="str">
        <f>IF(ISNA(MATCH(283,'Transfer Engine'!$C$2:$C$1199,0)),"",INDEX('Compliance Database'!$E$2:$E$1199,MATCH(283,'Transfer Engine'!$C$2:$C$1199,0)))</f>
        <v>3</v>
      </c>
      <c r="F292" s="6" t="str">
        <f>IF(ISNA(MATCH(283,'Transfer Engine'!$C$2:$C$1199,0)),"",INDEX('Compliance Database'!$F$2:$F$1199,MATCH(283,'Transfer Engine'!$C$2:$C$1199,0)))</f>
        <v>High</v>
      </c>
      <c r="G292" s="6" t="str">
        <f>IF(ISNA(MATCH(283,'Transfer Engine'!$C$2:$C$1199,0)),"",INDEX('Compliance Database'!$G$2:$G$1199,MATCH(283,'Transfer Engine'!$C$2:$C$1199,0)))</f>
        <v>High (explicit)</v>
      </c>
      <c r="H292" s="7">
        <f>IF(ISNA(MATCH(283,'Transfer Engine'!$C$2:$C$1199,0)),"",INDEX('Compliance Database'!$H$2:$H$1199,MATCH(283,'Transfer Engine'!$C$2:$C$1199,0)))</f>
        <v>0</v>
      </c>
      <c r="I292" s="7" t="str">
        <f>IF(ISNA(MATCH(283,'Transfer Engine'!$C$2:$C$1199,0)),"",INDEX('Compliance Database'!$I$2:$I$1199,MATCH(283,'Transfer Engine'!$C$2:$C$1199,0)))</f>
        <v>Financial Data</v>
      </c>
      <c r="J292" s="6" t="str">
        <f>IF(ISNA(MATCH(283,'Transfer Engine'!$C$2:$C$1199,0)),"",INDEX('Compliance Database'!$J$2:$J$1199,MATCH(283,'Transfer Engine'!$C$2:$C$1199,0)))</f>
        <v>EBA</v>
      </c>
      <c r="K292" s="7" t="str">
        <f>IF(ISNA(MATCH(283,'Transfer Engine'!$C$2:$C$1199,0)),"",INDEX('Compliance Database'!$K$2:$K$1199,MATCH(283,'Transfer Engine'!$C$2:$C$1199,0)))</f>
        <v>Competent authorities must notify the European Banking Authority (EBA) by May 20, 2025, whether they comply with the guidelines or intend to comply, providing reasons for non-compliance. Failure to notify by this deadline results in the EBA considering the authorities non-compliant. Notifications must be submitted using the EBA's specified form with reference 'EBA/GL/2025/02' by authorized personnel.</v>
      </c>
      <c r="L292" s="7" t="str">
        <f>IF(ISNA(MATCH(283,'Transfer Engine'!$C$2:$C$1199,0)),"",INDEX('Compliance Database'!$L$2:$L$1199,MATCH(283,'Transfer Engine'!$C$2:$C$1199,0)))</f>
        <v>Competent authorities must report compliance status with these guidelines to the EBA by a specific deadline; this affects DTIA by requiring timely notification of compliance status for cross-border financial regulatory alignment.</v>
      </c>
      <c r="M292" s="7" t="str">
        <f>IF(ISNA(MATCH(283,'Transfer Engine'!$C$2:$C$1199,0)),"",INDEX('Compliance Database'!$M$2:$M$1199,MATCH(283,'Transfer Engine'!$C$2:$C$1199,0)))</f>
        <v>• [Must] Competent authorities must notify the EBA by 20.05.2025 whether they comply or intend to comply with these guidelines
• [Must] Competent authorities must provide reasons for non-compliance if they do not comply
• [Must] Notifications must be submitted using the EBA form with reference 'EBA/GL/2025/02'</v>
      </c>
      <c r="N292" s="7" t="str">
        <f>IF(ISNA(MATCH(283,'Transfer Engine'!$C$2:$C$1199,0)),"",INDEX('Compliance Database'!$N$2:$N$1199,MATCH(283,'Transfer Engine'!$C$2:$C$1199,0)))</f>
        <v>• [Must] Notifications must be submitted by persons with appropriate authority
• [Must] Any change in compliance status must be reported to the EBA</v>
      </c>
      <c r="O292" s="7" t="str">
        <f>IF(ISNA(MATCH(283,'Transfer Engine'!$C$2:$C$1199,0)),"",INDEX('Compliance Database'!$O$2:$O$1199,MATCH(283,'Transfer Engine'!$C$2:$C$1199,0)))</f>
        <v>According to Article 16(3) of Regulation (EU) No 1093/2010, competent authorities must notify the EBA as to whether they comply or intend to comply with these guidelines, or otherwise with reasons for non-compliance, by 20.05.2025.</v>
      </c>
      <c r="P292" s="6" t="str">
        <f>IF(ISNA(MATCH(283,'Transfer Engine'!$C$2:$C$1199,0)),"",HYPERLINK("#Acts!A"&amp;INDEX('Compliance Database'!$P$2:$P$1199,MATCH(283,'Transfer Engine'!$C$2:$C$1199,0)),"Go to Act"))</f>
        <v>Go to Act</v>
      </c>
    </row>
    <row r="293" spans="1:16" ht="172.95" customHeight="1" x14ac:dyDescent="0.3">
      <c r="A293" s="6" t="str">
        <f>IF(ISNA(MATCH(284,'Transfer Engine'!$C$2:$C$1199,0)),"",INDEX('Compliance Database'!$A$2:$A$1199,MATCH(284,'Transfer Engine'!$C$2:$C$1199,0)))</f>
        <v>GDPR</v>
      </c>
      <c r="B293" s="6" t="str">
        <f>IF(ISNA(MATCH(284,'Transfer Engine'!$C$2:$C$1199,0)),"",INDEX('Compliance Database'!$B$2:$B$1199,MATCH(284,'Transfer Engine'!$C$2:$C$1199,0)))</f>
        <v>Final report on amending GLs on ICT risk and security (GDPR - Row 4)</v>
      </c>
      <c r="C293" s="6" t="str">
        <f>IF(ISNA(MATCH(284,'Transfer Engine'!$C$2:$C$1199,0)),"",INDEX('Compliance Database'!$C$2:$C$1199,MATCH(284,'Transfer Engine'!$C$2:$C$1199,0)))</f>
        <v>4</v>
      </c>
      <c r="D293" s="7" t="str">
        <f>IF(ISNA(MATCH(284,'Transfer Engine'!$C$2:$C$1199,0)),"",INDEX('Compliance Database'!$D$2:$D$1199,MATCH(284,'Transfer Engine'!$C$2:$C$1199,0)))</f>
        <v>EBA publishes compliance notifications on its website</v>
      </c>
      <c r="E293" s="6" t="str">
        <f>IF(ISNA(MATCH(284,'Transfer Engine'!$C$2:$C$1199,0)),"",INDEX('Compliance Database'!$E$2:$E$1199,MATCH(284,'Transfer Engine'!$C$2:$C$1199,0)))</f>
        <v>8–9</v>
      </c>
      <c r="F293" s="6" t="str">
        <f>IF(ISNA(MATCH(284,'Transfer Engine'!$C$2:$C$1199,0)),"",INDEX('Compliance Database'!$F$2:$F$1199,MATCH(284,'Transfer Engine'!$C$2:$C$1199,0)))</f>
        <v>High</v>
      </c>
      <c r="G293" s="6" t="str">
        <f>IF(ISNA(MATCH(284,'Transfer Engine'!$C$2:$C$1199,0)),"",INDEX('Compliance Database'!$G$2:$G$1199,MATCH(284,'Transfer Engine'!$C$2:$C$1199,0)))</f>
        <v>High (explicit)</v>
      </c>
      <c r="H293" s="7">
        <f>IF(ISNA(MATCH(284,'Transfer Engine'!$C$2:$C$1199,0)),"",INDEX('Compliance Database'!$H$2:$H$1199,MATCH(284,'Transfer Engine'!$C$2:$C$1199,0)))</f>
        <v>0</v>
      </c>
      <c r="I293" s="7" t="str">
        <f>IF(ISNA(MATCH(284,'Transfer Engine'!$C$2:$C$1199,0)),"",INDEX('Compliance Database'!$I$2:$I$1199,MATCH(284,'Transfer Engine'!$C$2:$C$1199,0)))</f>
        <v>Financial Data</v>
      </c>
      <c r="J293" s="6" t="str">
        <f>IF(ISNA(MATCH(284,'Transfer Engine'!$C$2:$C$1199,0)),"",INDEX('Compliance Database'!$J$2:$J$1199,MATCH(284,'Transfer Engine'!$C$2:$C$1199,0)))</f>
        <v>EBA</v>
      </c>
      <c r="K293" s="7" t="str">
        <f>IF(ISNA(MATCH(284,'Transfer Engine'!$C$2:$C$1199,0)),"",INDEX('Compliance Database'!$K$2:$K$1199,MATCH(284,'Transfer Engine'!$C$2:$C$1199,0)))</f>
        <v>EBA will publish notifications of compliance status from competent authorities on its official website, as required by Article 16(3) of Regulation (EU) No 1093/2010. This transparency measure ensures public accessibility of compliance information for stakeholders.</v>
      </c>
      <c r="L293" s="7" t="str">
        <f>IF(ISNA(MATCH(284,'Transfer Engine'!$C$2:$C$1199,0)),"",INDEX('Compliance Database'!$L$2:$L$1199,MATCH(284,'Transfer Engine'!$C$2:$C$1199,0)))</f>
        <v>Public disclosure of compliance notifications affects DTIA by making compliance status visible to stakeholders, which may influence cross-border regulatory trust and transparency.</v>
      </c>
      <c r="M293" s="7" t="str">
        <f>IF(ISNA(MATCH(284,'Transfer Engine'!$C$2:$C$1199,0)),"",INDEX('Compliance Database'!$M$2:$M$1199,MATCH(284,'Transfer Engine'!$C$2:$C$1199,0)))</f>
        <v>• [Must] EBA will publish compliance notifications on its website</v>
      </c>
      <c r="N293" s="7">
        <f>IF(ISNA(MATCH(284,'Transfer Engine'!$C$2:$C$1199,0)),"",INDEX('Compliance Database'!$N$2:$N$1199,MATCH(284,'Transfer Engine'!$C$2:$C$1199,0)))</f>
        <v>0</v>
      </c>
      <c r="O293" s="7" t="str">
        <f>IF(ISNA(MATCH(284,'Transfer Engine'!$C$2:$C$1199,0)),"",INDEX('Compliance Database'!$O$2:$O$1199,MATCH(284,'Transfer Engine'!$C$2:$C$1199,0)))</f>
        <v>Notifications will be published on the EBA website, in line with Article 16(3).</v>
      </c>
      <c r="P293" s="6" t="str">
        <f>IF(ISNA(MATCH(284,'Transfer Engine'!$C$2:$C$1199,0)),"",HYPERLINK("#Acts!A"&amp;INDEX('Compliance Database'!$P$2:$P$1199,MATCH(284,'Transfer Engine'!$C$2:$C$1199,0)),"Go to Act"))</f>
        <v>Go to Act</v>
      </c>
    </row>
    <row r="294" spans="1:16" ht="172.95" customHeight="1" x14ac:dyDescent="0.3">
      <c r="A294" s="6" t="str">
        <f>IF(ISNA(MATCH(285,'Transfer Engine'!$C$2:$C$1199,0)),"",INDEX('Compliance Database'!$A$2:$A$1199,MATCH(285,'Transfer Engine'!$C$2:$C$1199,0)))</f>
        <v>GDPR</v>
      </c>
      <c r="B294" s="6" t="str">
        <f>IF(ISNA(MATCH(285,'Transfer Engine'!$C$2:$C$1199,0)),"",INDEX('Compliance Database'!$B$2:$B$1199,MATCH(285,'Transfer Engine'!$C$2:$C$1199,0)))</f>
        <v>Final report on amending GLs on ICT risk and security (GDPR - Row 4)</v>
      </c>
      <c r="C294" s="6" t="str">
        <f>IF(ISNA(MATCH(285,'Transfer Engine'!$C$2:$C$1199,0)),"",INDEX('Compliance Database'!$C$2:$C$1199,MATCH(285,'Transfer Engine'!$C$2:$C$1199,0)))</f>
        <v>5</v>
      </c>
      <c r="D294" s="7" t="str">
        <f>IF(ISNA(MATCH(285,'Transfer Engine'!$C$2:$C$1199,0)),"",INDEX('Compliance Database'!$D$2:$D$1199,MATCH(285,'Transfer Engine'!$C$2:$C$1199,0)))</f>
        <v>Guidelines apply to competent authorities and payment service providers</v>
      </c>
      <c r="E294" s="6" t="str">
        <f>IF(ISNA(MATCH(285,'Transfer Engine'!$C$2:$C$1199,0)),"",INDEX('Compliance Database'!$E$2:$E$1199,MATCH(285,'Transfer Engine'!$C$2:$C$1199,0)))</f>
        <v>3–4</v>
      </c>
      <c r="F294" s="6" t="str">
        <f>IF(ISNA(MATCH(285,'Transfer Engine'!$C$2:$C$1199,0)),"",INDEX('Compliance Database'!$F$2:$F$1199,MATCH(285,'Transfer Engine'!$C$2:$C$1199,0)))</f>
        <v>High</v>
      </c>
      <c r="G294" s="6" t="str">
        <f>IF(ISNA(MATCH(285,'Transfer Engine'!$C$2:$C$1199,0)),"",INDEX('Compliance Database'!$G$2:$G$1199,MATCH(285,'Transfer Engine'!$C$2:$C$1199,0)))</f>
        <v>High (explicit)</v>
      </c>
      <c r="H294" s="7">
        <f>IF(ISNA(MATCH(285,'Transfer Engine'!$C$2:$C$1199,0)),"",INDEX('Compliance Database'!$H$2:$H$1199,MATCH(285,'Transfer Engine'!$C$2:$C$1199,0)))</f>
        <v>0</v>
      </c>
      <c r="I294" s="7" t="str">
        <f>IF(ISNA(MATCH(285,'Transfer Engine'!$C$2:$C$1199,0)),"",INDEX('Compliance Database'!$I$2:$I$1199,MATCH(285,'Transfer Engine'!$C$2:$C$1199,0)))</f>
        <v>Financial Data</v>
      </c>
      <c r="J294" s="6">
        <f>IF(ISNA(MATCH(285,'Transfer Engine'!$C$2:$C$1199,0)),"",INDEX('Compliance Database'!$J$2:$J$1199,MATCH(285,'Transfer Engine'!$C$2:$C$1199,0)))</f>
        <v>0</v>
      </c>
      <c r="K294" s="7" t="str">
        <f>IF(ISNA(MATCH(285,'Transfer Engine'!$C$2:$C$1199,0)),"",INDEX('Compliance Database'!$K$2:$K$1199,MATCH(285,'Transfer Engine'!$C$2:$C$1199,0)))</f>
        <v>These guidelines apply to competent authorities as defined in Article 4(2)(vii) of Regulation (EU) No 1093/2010 and financial institutions that are payment service providers under Article 1(1) of Directive (EU) 2015/2366. The scope includes natural or legal persons benefiting from exemptions under specific directives.</v>
      </c>
      <c r="L294" s="7" t="str">
        <f>IF(ISNA(MATCH(285,'Transfer Engine'!$C$2:$C$1199,0)),"",INDEX('Compliance Database'!$L$2:$L$1199,MATCH(285,'Transfer Engine'!$C$2:$C$1199,0)))</f>
        <v>The scope definition directly impacts DTIA by specifying which entities must comply with security measures for payment services, affecting cross-border data handling obligations.</v>
      </c>
      <c r="M294" s="7" t="str">
        <f>IF(ISNA(MATCH(285,'Transfer Engine'!$C$2:$C$1199,0)),"",INDEX('Compliance Database'!$M$2:$M$1199,MATCH(285,'Transfer Engine'!$C$2:$C$1199,0)))</f>
        <v>• [Must] Guidelines apply to competent authorities as defined in Article 4(2)(vii) of Regulation (EU) No 1093/2010</v>
      </c>
      <c r="N294" s="7" t="str">
        <f>IF(ISNA(MATCH(285,'Transfer Engine'!$C$2:$C$1199,0)),"",INDEX('Compliance Database'!$N$2:$N$1199,MATCH(285,'Transfer Engine'!$C$2:$C$1199,0)))</f>
        <v>• [Must] Guidelines apply to financial institutions that are payment service providers under Article 1(1) of Directive (EU) 2015/2366</v>
      </c>
      <c r="O294" s="7" t="str">
        <f>IF(ISNA(MATCH(285,'Transfer Engine'!$C$2:$C$1199,0)),"",INDEX('Compliance Database'!$O$2:$O$1199,MATCH(285,'Transfer Engine'!$C$2:$C$1199,0)))</f>
        <v>These guidelines are addressed to competent authorities as defined in Article 4 point (2)(vii) of Regulation (EU) No 1093/2010 and to financial institutions as defined in Article 4(1) of Regulation No 1093/2010, which are payment service providers as referred to in Article 1(1) of Directive (EU) 2015/2366.</v>
      </c>
      <c r="P294" s="6" t="str">
        <f>IF(ISNA(MATCH(285,'Transfer Engine'!$C$2:$C$1199,0)),"",HYPERLINK("#Acts!A"&amp;INDEX('Compliance Database'!$P$2:$P$1199,MATCH(285,'Transfer Engine'!$C$2:$C$1199,0)),"Go to Act"))</f>
        <v>Go to Act</v>
      </c>
    </row>
    <row r="295" spans="1:16" ht="172.95" customHeight="1" x14ac:dyDescent="0.3">
      <c r="A295" s="6" t="str">
        <f>IF(ISNA(MATCH(286,'Transfer Engine'!$C$2:$C$1199,0)),"",INDEX('Compliance Database'!$A$2:$A$1199,MATCH(286,'Transfer Engine'!$C$2:$C$1199,0)))</f>
        <v>GDPR</v>
      </c>
      <c r="B295" s="6" t="str">
        <f>IF(ISNA(MATCH(286,'Transfer Engine'!$C$2:$C$1199,0)),"",INDEX('Compliance Database'!$B$2:$B$1199,MATCH(286,'Transfer Engine'!$C$2:$C$1199,0)))</f>
        <v>Final report on amending GLs on ICT risk and security (GDPR - Row 4)</v>
      </c>
      <c r="C295" s="6" t="str">
        <f>IF(ISNA(MATCH(286,'Transfer Engine'!$C$2:$C$1199,0)),"",INDEX('Compliance Database'!$C$2:$C$1199,MATCH(286,'Transfer Engine'!$C$2:$C$1199,0)))</f>
        <v>8</v>
      </c>
      <c r="D295" s="7" t="str">
        <f>IF(ISNA(MATCH(286,'Transfer Engine'!$C$2:$C$1199,0)),"",INDEX('Compliance Database'!$D$2:$D$1199,MATCH(286,'Transfer Engine'!$C$2:$C$1199,0)))</f>
        <v>Guidelines cover payment user relationship management under DORA</v>
      </c>
      <c r="E295" s="6" t="str">
        <f>IF(ISNA(MATCH(286,'Transfer Engine'!$C$2:$C$1199,0)),"",INDEX('Compliance Database'!$E$2:$E$1199,MATCH(286,'Transfer Engine'!$C$2:$C$1199,0)))</f>
        <v>4</v>
      </c>
      <c r="F295" s="6" t="str">
        <f>IF(ISNA(MATCH(286,'Transfer Engine'!$C$2:$C$1199,0)),"",INDEX('Compliance Database'!$F$2:$F$1199,MATCH(286,'Transfer Engine'!$C$2:$C$1199,0)))</f>
        <v>High</v>
      </c>
      <c r="G295" s="6" t="str">
        <f>IF(ISNA(MATCH(286,'Transfer Engine'!$C$2:$C$1199,0)),"",INDEX('Compliance Database'!$G$2:$G$1199,MATCH(286,'Transfer Engine'!$C$2:$C$1199,0)))</f>
        <v>High (explicit)</v>
      </c>
      <c r="H295" s="7">
        <f>IF(ISNA(MATCH(286,'Transfer Engine'!$C$2:$C$1199,0)),"",INDEX('Compliance Database'!$H$2:$H$1199,MATCH(286,'Transfer Engine'!$C$2:$C$1199,0)))</f>
        <v>0</v>
      </c>
      <c r="I295" s="7" t="str">
        <f>IF(ISNA(MATCH(286,'Transfer Engine'!$C$2:$C$1199,0)),"",INDEX('Compliance Database'!$I$2:$I$1199,MATCH(286,'Transfer Engine'!$C$2:$C$1199,0)))</f>
        <v>Financial Data</v>
      </c>
      <c r="J295" s="6">
        <f>IF(ISNA(MATCH(286,'Transfer Engine'!$C$2:$C$1199,0)),"",INDEX('Compliance Database'!$J$2:$J$1199,MATCH(286,'Transfer Engine'!$C$2:$C$1199,0)))</f>
        <v>0</v>
      </c>
      <c r="K295" s="7" t="str">
        <f>IF(ISNA(MATCH(286,'Transfer Engine'!$C$2:$C$1199,0)),"",INDEX('Compliance Database'!$K$2:$K$1199,MATCH(286,'Transfer Engine'!$C$2:$C$1199,0)))</f>
        <v>These guidelines are based on the mandate to issue guidelines under Article 95(3) of Directive (EU) 2015/2366 and cover aspects of payment user relationship management. They complement risk management measures under the Digital Operational Resilience Act (DORA) and related Regulatory Technical Standards for payment service providers.</v>
      </c>
      <c r="L295" s="7" t="str">
        <f>IF(ISNA(MATCH(286,'Transfer Engine'!$C$2:$C$1199,0)),"",INDEX('Compliance Database'!$L$2:$L$1199,MATCH(286,'Transfer Engine'!$C$2:$C$1199,0)))</f>
        <v>The guidelines specify security measures for payment services under DORA, which directly impacts DTIA by requiring robust security protocols for cross-border payment data handling.</v>
      </c>
      <c r="M295" s="7" t="str">
        <f>IF(ISNA(MATCH(286,'Transfer Engine'!$C$2:$C$1199,0)),"",INDEX('Compliance Database'!$M$2:$M$1199,MATCH(286,'Transfer Engine'!$C$2:$C$1199,0)))</f>
        <v>• [Must] Guidelines cover aspects of payment user relationship management</v>
      </c>
      <c r="N295" s="7" t="str">
        <f>IF(ISNA(MATCH(286,'Transfer Engine'!$C$2:$C$1199,0)),"",INDEX('Compliance Database'!$N$2:$N$1199,MATCH(286,'Transfer Engine'!$C$2:$C$1199,0)))</f>
        <v>• [Must] Guidelines complement risk management measures under DORA</v>
      </c>
      <c r="O295" s="7" t="str">
        <f>IF(ISNA(MATCH(286,'Transfer Engine'!$C$2:$C$1199,0)),"",INDEX('Compliance Database'!$O$2:$O$1199,MATCH(286,'Transfer Engine'!$C$2:$C$1199,0)))</f>
        <v>These guidelines are based on the mandate to issue guidelines under Article 95(3) of Directive (EU) 2015/2366 and cover aspects of payment user relationship management.</v>
      </c>
      <c r="P295" s="6" t="str">
        <f>IF(ISNA(MATCH(286,'Transfer Engine'!$C$2:$C$1199,0)),"",HYPERLINK("#Acts!A"&amp;INDEX('Compliance Database'!$P$2:$P$1199,MATCH(286,'Transfer Engine'!$C$2:$C$1199,0)),"Go to Act"))</f>
        <v>Go to Act</v>
      </c>
    </row>
    <row r="296" spans="1:16" ht="172.95" customHeight="1" x14ac:dyDescent="0.3">
      <c r="A296" s="6" t="str">
        <f>IF(ISNA(MATCH(287,'Transfer Engine'!$C$2:$C$1199,0)),"",INDEX('Compliance Database'!$A$2:$A$1199,MATCH(287,'Transfer Engine'!$C$2:$C$1199,0)))</f>
        <v>GDPR</v>
      </c>
      <c r="B296" s="6" t="str">
        <f>IF(ISNA(MATCH(287,'Transfer Engine'!$C$2:$C$1199,0)),"",INDEX('Compliance Database'!$B$2:$B$1199,MATCH(287,'Transfer Engine'!$C$2:$C$1199,0)))</f>
        <v>Final report on amending GLs on ICT risk and security (GDPR - Row 4)</v>
      </c>
      <c r="C296" s="6" t="str">
        <f>IF(ISNA(MATCH(287,'Transfer Engine'!$C$2:$C$1199,0)),"",INDEX('Compliance Database'!$C$2:$C$1199,MATCH(287,'Transfer Engine'!$C$2:$C$1199,0)))</f>
        <v>9</v>
      </c>
      <c r="D296" s="7" t="str">
        <f>IF(ISNA(MATCH(287,'Transfer Engine'!$C$2:$C$1199,0)),"",INDEX('Compliance Database'!$D$2:$D$1199,MATCH(287,'Transfer Engine'!$C$2:$C$1199,0)))</f>
        <v>Scope of application for guidelines is deleted</v>
      </c>
      <c r="E296" s="6" t="str">
        <f>IF(ISNA(MATCH(287,'Transfer Engine'!$C$2:$C$1199,0)),"",INDEX('Compliance Database'!$E$2:$E$1199,MATCH(287,'Transfer Engine'!$C$2:$C$1199,0)))</f>
        <v>9–10</v>
      </c>
      <c r="F296" s="6" t="str">
        <f>IF(ISNA(MATCH(287,'Transfer Engine'!$C$2:$C$1199,0)),"",INDEX('Compliance Database'!$F$2:$F$1199,MATCH(287,'Transfer Engine'!$C$2:$C$1199,0)))</f>
        <v>High</v>
      </c>
      <c r="G296" s="6" t="str">
        <f>IF(ISNA(MATCH(287,'Transfer Engine'!$C$2:$C$1199,0)),"",INDEX('Compliance Database'!$G$2:$G$1199,MATCH(287,'Transfer Engine'!$C$2:$C$1199,0)))</f>
        <v>High (explicit)</v>
      </c>
      <c r="H296" s="7">
        <f>IF(ISNA(MATCH(287,'Transfer Engine'!$C$2:$C$1199,0)),"",INDEX('Compliance Database'!$H$2:$H$1199,MATCH(287,'Transfer Engine'!$C$2:$C$1199,0)))</f>
        <v>0</v>
      </c>
      <c r="I296" s="7" t="str">
        <f>IF(ISNA(MATCH(287,'Transfer Engine'!$C$2:$C$1199,0)),"",INDEX('Compliance Database'!$I$2:$I$1199,MATCH(287,'Transfer Engine'!$C$2:$C$1199,0)))</f>
        <v>Financial Data</v>
      </c>
      <c r="J296" s="6">
        <f>IF(ISNA(MATCH(287,'Transfer Engine'!$C$2:$C$1199,0)),"",INDEX('Compliance Database'!$J$2:$J$1199,MATCH(287,'Transfer Engine'!$C$2:$C$1199,0)))</f>
        <v>0</v>
      </c>
      <c r="K296" s="7" t="str">
        <f>IF(ISNA(MATCH(287,'Transfer Engine'!$C$2:$C$1199,0)),"",INDEX('Compliance Database'!$K$2:$K$1199,MATCH(287,'Transfer Engine'!$C$2:$C$1199,0)))</f>
        <v>The scope of application for the guidelines is deleted, meaning the guidelines now apply to the specific mandate under Article 95(3) of Directive (EU) 2015/2366 for payment service providers. This deletion streamlines the scope to focus on security measures for payment services.</v>
      </c>
      <c r="L296" s="7" t="str">
        <f>IF(ISNA(MATCH(287,'Transfer Engine'!$C$2:$C$1199,0)),"",INDEX('Compliance Database'!$L$2:$L$1199,MATCH(287,'Transfer Engine'!$C$2:$C$1199,0)))</f>
        <v>The deletion of the scope ensures the guidelines focus exclusively on payment service providers' security measures, which is critical for DTIA in payment-related data transfers.</v>
      </c>
      <c r="M296" s="7" t="str">
        <f>IF(ISNA(MATCH(287,'Transfer Engine'!$C$2:$C$1199,0)),"",INDEX('Compliance Database'!$M$2:$M$1199,MATCH(287,'Transfer Engine'!$C$2:$C$1199,0)))</f>
        <v>• [Must] Scope of application for guidelines is deleted</v>
      </c>
      <c r="N296" s="7">
        <f>IF(ISNA(MATCH(287,'Transfer Engine'!$C$2:$C$1199,0)),"",INDEX('Compliance Database'!$N$2:$N$1199,MATCH(287,'Transfer Engine'!$C$2:$C$1199,0)))</f>
        <v>0</v>
      </c>
      <c r="O296" s="7" t="str">
        <f>IF(ISNA(MATCH(287,'Transfer Engine'!$C$2:$C$1199,0)),"",INDEX('Compliance Database'!$O$2:$O$1199,MATCH(287,'Transfer Engine'!$C$2:$C$1199,0)))</f>
        <v>The scope of application as set out in paragraphs 7 and 8 is deleted.</v>
      </c>
      <c r="P296" s="6" t="str">
        <f>IF(ISNA(MATCH(287,'Transfer Engine'!$C$2:$C$1199,0)),"",HYPERLINK("#Acts!A"&amp;INDEX('Compliance Database'!$P$2:$P$1199,MATCH(287,'Transfer Engine'!$C$2:$C$1199,0)),"Go to Act"))</f>
        <v>Go to Act</v>
      </c>
    </row>
    <row r="297" spans="1:16" ht="172.95" customHeight="1" x14ac:dyDescent="0.3">
      <c r="A297" s="6" t="str">
        <f>IF(ISNA(MATCH(288,'Transfer Engine'!$C$2:$C$1199,0)),"",INDEX('Compliance Database'!$A$2:$A$1199,MATCH(288,'Transfer Engine'!$C$2:$C$1199,0)))</f>
        <v>GDPR</v>
      </c>
      <c r="B297" s="6" t="str">
        <f>IF(ISNA(MATCH(288,'Transfer Engine'!$C$2:$C$1199,0)),"",INDEX('Compliance Database'!$B$2:$B$1199,MATCH(288,'Transfer Engine'!$C$2:$C$1199,0)))</f>
        <v>Final report on amending GLs on ICT risk and security (GDPR - Row 4)</v>
      </c>
      <c r="C297" s="6" t="str">
        <f>IF(ISNA(MATCH(288,'Transfer Engine'!$C$2:$C$1199,0)),"",INDEX('Compliance Database'!$C$2:$C$1199,MATCH(288,'Transfer Engine'!$C$2:$C$1199,0)))</f>
        <v>10</v>
      </c>
      <c r="D297" s="7" t="str">
        <f>IF(ISNA(MATCH(288,'Transfer Engine'!$C$2:$C$1199,0)),"",INDEX('Compliance Database'!$D$2:$D$1199,MATCH(288,'Transfer Engine'!$C$2:$C$1199,0)))</f>
        <v>Guidelines apply to specific payment service providers</v>
      </c>
      <c r="E297" s="6" t="str">
        <f>IF(ISNA(MATCH(288,'Transfer Engine'!$C$2:$C$1199,0)),"",INDEX('Compliance Database'!$E$2:$E$1199,MATCH(288,'Transfer Engine'!$C$2:$C$1199,0)))</f>
        <v>4</v>
      </c>
      <c r="F297" s="6" t="str">
        <f>IF(ISNA(MATCH(288,'Transfer Engine'!$C$2:$C$1199,0)),"",INDEX('Compliance Database'!$F$2:$F$1199,MATCH(288,'Transfer Engine'!$C$2:$C$1199,0)))</f>
        <v>High</v>
      </c>
      <c r="G297" s="6" t="str">
        <f>IF(ISNA(MATCH(288,'Transfer Engine'!$C$2:$C$1199,0)),"",INDEX('Compliance Database'!$G$2:$G$1199,MATCH(288,'Transfer Engine'!$C$2:$C$1199,0)))</f>
        <v>High (explicit)</v>
      </c>
      <c r="H297" s="7">
        <f>IF(ISNA(MATCH(288,'Transfer Engine'!$C$2:$C$1199,0)),"",INDEX('Compliance Database'!$H$2:$H$1199,MATCH(288,'Transfer Engine'!$C$2:$C$1199,0)))</f>
        <v>0</v>
      </c>
      <c r="I297" s="7" t="str">
        <f>IF(ISNA(MATCH(288,'Transfer Engine'!$C$2:$C$1199,0)),"",INDEX('Compliance Database'!$I$2:$I$1199,MATCH(288,'Transfer Engine'!$C$2:$C$1199,0)))</f>
        <v>Financial Data</v>
      </c>
      <c r="J297" s="6">
        <f>IF(ISNA(MATCH(288,'Transfer Engine'!$C$2:$C$1199,0)),"",INDEX('Compliance Database'!$J$2:$J$1199,MATCH(288,'Transfer Engine'!$C$2:$C$1199,0)))</f>
        <v>0</v>
      </c>
      <c r="K297" s="7" t="str">
        <f>IF(ISNA(MATCH(288,'Transfer Engine'!$C$2:$C$1199,0)),"",INDEX('Compliance Database'!$K$2:$K$1199,MATCH(288,'Transfer Engine'!$C$2:$C$1199,0)))</f>
        <v>These guidelines apply to competent authorities as defined in Article 4(2)(vii) of Regulation (EU) No 1093/2010 and financial institutions that are payment service providers under Article 1(1) of Directive (EU) 2015/2366. This includes entities benefiting from exemptions under Article 32 or 33 of Directive (EU) 2015/2366 and legal persons exempted under Article 9 of Directive 2009/110/EC.</v>
      </c>
      <c r="L297" s="7" t="str">
        <f>IF(ISNA(MATCH(288,'Transfer Engine'!$C$2:$C$1199,0)),"",INDEX('Compliance Database'!$L$2:$L$1199,MATCH(288,'Transfer Engine'!$C$2:$C$1199,0)))</f>
        <v>The specific scope definition affects DTIA by clarifying which entities must implement security measures for payment services, including exempted entities.</v>
      </c>
      <c r="M297" s="7" t="str">
        <f>IF(ISNA(MATCH(288,'Transfer Engine'!$C$2:$C$1199,0)),"",INDEX('Compliance Database'!$M$2:$M$1199,MATCH(288,'Transfer Engine'!$C$2:$C$1199,0)))</f>
        <v>• [Must] Guidelines apply to competent authorities as defined in Article 4(2)(vii) of Regulation (EU) No 1093/2010
• [Must] Guidelines apply to financial institutions that are payment service providers under Article 1(1) of Directive (EU) 2015/2366</v>
      </c>
      <c r="N297" s="7" t="str">
        <f>IF(ISNA(MATCH(288,'Transfer Engine'!$C$2:$C$1199,0)),"",INDEX('Compliance Database'!$N$2:$N$1199,MATCH(288,'Transfer Engine'!$C$2:$C$1199,0)))</f>
        <v>• [Must] Includes natural or legal persons benefiting from exemptions under Article 32 or 33 of Directive (EU) 2015/2366
• [Must] Includes legal persons exempted under Article 9 of Directive 2009/110/EC</v>
      </c>
      <c r="O297" s="7" t="str">
        <f>IF(ISNA(MATCH(288,'Transfer Engine'!$C$2:$C$1199,0)),"",INDEX('Compliance Database'!$O$2:$O$1199,MATCH(288,'Transfer Engine'!$C$2:$C$1199,0)))</f>
        <v>These guidelines are addressed to competent authorities as defined in Article 4 point (2) point (vii) of Regulation (EU) No 1093/2010 and to financial institutions as defined in Article 4(1) of Regulation No 1093/2010, which are payment service providers as defined in Article 1(1) point (a), point (b) and point (d) of Directive (EU) 2015/2366, including natural or legal persons benefiting from an exemption pursuant to Article 32 or 33 of Directive (EU) 2015/2366 and legal persons exempted under Article 9 of Directive 2009/110/EC.</v>
      </c>
      <c r="P297" s="6" t="str">
        <f>IF(ISNA(MATCH(288,'Transfer Engine'!$C$2:$C$1199,0)),"",HYPERLINK("#Acts!A"&amp;INDEX('Compliance Database'!$P$2:$P$1199,MATCH(288,'Transfer Engine'!$C$2:$C$1199,0)),"Go to Act"))</f>
        <v>Go to Act</v>
      </c>
    </row>
    <row r="298" spans="1:16" ht="172.95" customHeight="1" x14ac:dyDescent="0.3">
      <c r="A298" s="6" t="str">
        <f>IF(ISNA(MATCH(289,'Transfer Engine'!$C$2:$C$1199,0)),"",INDEX('Compliance Database'!$A$2:$A$1199,MATCH(289,'Transfer Engine'!$C$2:$C$1199,0)))</f>
        <v>GDPR</v>
      </c>
      <c r="B298" s="6" t="str">
        <f>IF(ISNA(MATCH(289,'Transfer Engine'!$C$2:$C$1199,0)),"",INDEX('Compliance Database'!$B$2:$B$1199,MATCH(289,'Transfer Engine'!$C$2:$C$1199,0)))</f>
        <v>Final report on amending GLs on ICT risk and security (GDPR - Row 4)</v>
      </c>
      <c r="C298" s="6" t="str">
        <f>IF(ISNA(MATCH(289,'Transfer Engine'!$C$2:$C$1199,0)),"",INDEX('Compliance Database'!$C$2:$C$1199,MATCH(289,'Transfer Engine'!$C$2:$C$1199,0)))</f>
        <v>11</v>
      </c>
      <c r="D298" s="7" t="str">
        <f>IF(ISNA(MATCH(289,'Transfer Engine'!$C$2:$C$1199,0)),"",INDEX('Compliance Database'!$D$2:$D$1199,MATCH(289,'Transfer Engine'!$C$2:$C$1199,0)))</f>
        <v>Removal of specific definitions from scope</v>
      </c>
      <c r="E298" s="6" t="str">
        <f>IF(ISNA(MATCH(289,'Transfer Engine'!$C$2:$C$1199,0)),"",INDEX('Compliance Database'!$E$2:$E$1199,MATCH(289,'Transfer Engine'!$C$2:$C$1199,0)))</f>
        <v>4–5</v>
      </c>
      <c r="F298" s="6" t="str">
        <f>IF(ISNA(MATCH(289,'Transfer Engine'!$C$2:$C$1199,0)),"",INDEX('Compliance Database'!$F$2:$F$1199,MATCH(289,'Transfer Engine'!$C$2:$C$1199,0)))</f>
        <v>None</v>
      </c>
      <c r="G298" s="6" t="str">
        <f>IF(ISNA(MATCH(289,'Transfer Engine'!$C$2:$C$1199,0)),"",INDEX('Compliance Database'!$G$2:$G$1199,MATCH(289,'Transfer Engine'!$C$2:$C$1199,0)))</f>
        <v>High (explicit)</v>
      </c>
      <c r="H298" s="7">
        <f>IF(ISNA(MATCH(289,'Transfer Engine'!$C$2:$C$1199,0)),"",INDEX('Compliance Database'!$H$2:$H$1199,MATCH(289,'Transfer Engine'!$C$2:$C$1199,0)))</f>
        <v>0</v>
      </c>
      <c r="I298" s="7" t="str">
        <f>IF(ISNA(MATCH(289,'Transfer Engine'!$C$2:$C$1199,0)),"",INDEX('Compliance Database'!$I$2:$I$1199,MATCH(289,'Transfer Engine'!$C$2:$C$1199,0)))</f>
        <v>Personal Information</v>
      </c>
      <c r="J298" s="6">
        <f>IF(ISNA(MATCH(289,'Transfer Engine'!$C$2:$C$1199,0)),"",INDEX('Compliance Database'!$J$2:$J$1199,MATCH(289,'Transfer Engine'!$C$2:$C$1199,0)))</f>
        <v>0</v>
      </c>
      <c r="K298" s="7" t="str">
        <f>IF(ISNA(MATCH(289,'Transfer Engine'!$C$2:$C$1199,0)),"",INDEX('Compliance Database'!$K$2:$K$1199,MATCH(289,'Transfer Engine'!$C$2:$C$1199,0)))</f>
        <v>This section explicitly deletes certain definitions previously outlined in paragraph 10. The deletion applies to the definitions listed in that paragraph. The section does not introduce new definitions or obligations but removes existing ones from the scope of the regulation.</v>
      </c>
      <c r="L298" s="7">
        <f>IF(ISNA(MATCH(289,'Transfer Engine'!$C$2:$C$1199,0)),"",INDEX('Compliance Database'!$L$2:$L$1199,MATCH(289,'Transfer Engine'!$C$2:$C$1199,0)))</f>
        <v>0</v>
      </c>
      <c r="M298" s="7" t="str">
        <f>IF(ISNA(MATCH(289,'Transfer Engine'!$C$2:$C$1199,0)),"",INDEX('Compliance Database'!$M$2:$M$1199,MATCH(289,'Transfer Engine'!$C$2:$C$1199,0)))</f>
        <v>• [Restriction] The definitions as set out in paragraph 10 are deleted</v>
      </c>
      <c r="N298" s="7">
        <f>IF(ISNA(MATCH(289,'Transfer Engine'!$C$2:$C$1199,0)),"",INDEX('Compliance Database'!$N$2:$N$1199,MATCH(289,'Transfer Engine'!$C$2:$C$1199,0)))</f>
        <v>0</v>
      </c>
      <c r="O298" s="7" t="str">
        <f>IF(ISNA(MATCH(289,'Transfer Engine'!$C$2:$C$1199,0)),"",INDEX('Compliance Database'!$O$2:$O$1199,MATCH(289,'Transfer Engine'!$C$2:$C$1199,0)))</f>
        <v>The definitions as set out in paragraph 10 are deleted.</v>
      </c>
      <c r="P298" s="6" t="str">
        <f>IF(ISNA(MATCH(289,'Transfer Engine'!$C$2:$C$1199,0)),"",HYPERLINK("#Acts!A"&amp;INDEX('Compliance Database'!$P$2:$P$1199,MATCH(289,'Transfer Engine'!$C$2:$C$1199,0)),"Go to Act"))</f>
        <v>Go to Act</v>
      </c>
    </row>
    <row r="299" spans="1:16" ht="172.95" customHeight="1" x14ac:dyDescent="0.3">
      <c r="A299" s="6" t="str">
        <f>IF(ISNA(MATCH(290,'Transfer Engine'!$C$2:$C$1199,0)),"",INDEX('Compliance Database'!$A$2:$A$1199,MATCH(290,'Transfer Engine'!$C$2:$C$1199,0)))</f>
        <v>GDPR</v>
      </c>
      <c r="B299" s="6" t="str">
        <f>IF(ISNA(MATCH(290,'Transfer Engine'!$C$2:$C$1199,0)),"",INDEX('Compliance Database'!$B$2:$B$1199,MATCH(290,'Transfer Engine'!$C$2:$C$1199,0)))</f>
        <v>Final report on amending GLs on ICT risk and security (GDPR - Row 4)</v>
      </c>
      <c r="C299" s="6" t="str">
        <f>IF(ISNA(MATCH(290,'Transfer Engine'!$C$2:$C$1199,0)),"",INDEX('Compliance Database'!$C$2:$C$1199,MATCH(290,'Transfer Engine'!$C$2:$C$1199,0)))</f>
        <v>12</v>
      </c>
      <c r="D299" s="7" t="str">
        <f>IF(ISNA(MATCH(290,'Transfer Engine'!$C$2:$C$1199,0)),"",INDEX('Compliance Database'!$D$2:$D$1199,MATCH(290,'Transfer Engine'!$C$2:$C$1199,0)))</f>
        <v>Credit institutions and investment firms overlap with DORA financial entities</v>
      </c>
      <c r="E299" s="6" t="str">
        <f>IF(ISNA(MATCH(290,'Transfer Engine'!$C$2:$C$1199,0)),"",INDEX('Compliance Database'!$E$2:$E$1199,MATCH(290,'Transfer Engine'!$C$2:$C$1199,0)))</f>
        <v>5</v>
      </c>
      <c r="F299" s="6" t="str">
        <f>IF(ISNA(MATCH(290,'Transfer Engine'!$C$2:$C$1199,0)),"",INDEX('Compliance Database'!$F$2:$F$1199,MATCH(290,'Transfer Engine'!$C$2:$C$1199,0)))</f>
        <v>High</v>
      </c>
      <c r="G299" s="6" t="str">
        <f>IF(ISNA(MATCH(290,'Transfer Engine'!$C$2:$C$1199,0)),"",INDEX('Compliance Database'!$G$2:$G$1199,MATCH(290,'Transfer Engine'!$C$2:$C$1199,0)))</f>
        <v>High (explicit)</v>
      </c>
      <c r="H299" s="7" t="str">
        <f>IF(ISNA(MATCH(290,'Transfer Engine'!$C$2:$C$1199,0)),"",INDEX('Compliance Database'!$H$2:$H$1199,MATCH(290,'Transfer Engine'!$C$2:$C$1199,0)))</f>
        <v>Financial Data</v>
      </c>
      <c r="I299" s="7" t="str">
        <f>IF(ISNA(MATCH(290,'Transfer Engine'!$C$2:$C$1199,0)),"",INDEX('Compliance Database'!$I$2:$I$1199,MATCH(290,'Transfer Engine'!$C$2:$C$1199,0)))</f>
        <v>Financial Data</v>
      </c>
      <c r="J299" s="6">
        <f>IF(ISNA(MATCH(290,'Transfer Engine'!$C$2:$C$1199,0)),"",INDEX('Compliance Database'!$J$2:$J$1199,MATCH(290,'Transfer Engine'!$C$2:$C$1199,0)))</f>
        <v>0</v>
      </c>
      <c r="K299" s="7" t="str">
        <f>IF(ISNA(MATCH(290,'Transfer Engine'!$C$2:$C$1199,0)),"",INDEX('Compliance Database'!$K$2:$K$1199,MATCH(290,'Transfer Engine'!$C$2:$C$1199,0)))</f>
        <v>This section states that credit institutions and investment firms as defined in Article 4(1) point 3 of Regulation (EU) No 575/2013 overlap with financial entities subject to DORA and related RTS on RMF. The overlap indicates that these entities are covered by both the EBA Guidelines on ICT and security risk management and the DORA framework, which requires specific risk management practices.</v>
      </c>
      <c r="L299" s="7">
        <f>IF(ISNA(MATCH(290,'Transfer Engine'!$C$2:$C$1199,0)),"",INDEX('Compliance Database'!$L$2:$L$1199,MATCH(290,'Transfer Engine'!$C$2:$C$1199,0)))</f>
        <v>0</v>
      </c>
      <c r="M299" s="7" t="str">
        <f>IF(ISNA(MATCH(290,'Transfer Engine'!$C$2:$C$1199,0)),"",INDEX('Compliance Database'!$M$2:$M$1199,MATCH(290,'Transfer Engine'!$C$2:$C$1199,0)))</f>
        <v>• [Statement] Credit institutions and investment firms as defined in point 3 of Article 4(1) of Regulation (EU) No 575/2013 overlap with financial entities subject to DORA and the related RTS on RMF</v>
      </c>
      <c r="N299" s="7">
        <f>IF(ISNA(MATCH(290,'Transfer Engine'!$C$2:$C$1199,0)),"",INDEX('Compliance Database'!$N$2:$N$1199,MATCH(290,'Transfer Engine'!$C$2:$C$1199,0)))</f>
        <v>0</v>
      </c>
      <c r="O299" s="7" t="str">
        <f>IF(ISNA(MATCH(290,'Transfer Engine'!$C$2:$C$1199,0)),"",INDEX('Compliance Database'!$O$2:$O$1199,MATCH(290,'Transfer Engine'!$C$2:$C$1199,0)))</f>
        <v>12. Credit institutions and investment firms as defined in point 3 of Article 4(1) of Regulation (EU) No 575/2013, addressees of the EBA Guidelines on ICT and security risk management overlap with the financial entities subject to DORA and the related RTS on RMF.</v>
      </c>
      <c r="P299" s="6" t="str">
        <f>IF(ISNA(MATCH(290,'Transfer Engine'!$C$2:$C$1199,0)),"",HYPERLINK("#Acts!A"&amp;INDEX('Compliance Database'!$P$2:$P$1199,MATCH(290,'Transfer Engine'!$C$2:$C$1199,0)),"Go to Act"))</f>
        <v>Go to Act</v>
      </c>
    </row>
    <row r="300" spans="1:16" ht="172.95" customHeight="1" x14ac:dyDescent="0.3">
      <c r="A300" s="6" t="str">
        <f>IF(ISNA(MATCH(291,'Transfer Engine'!$C$2:$C$1199,0)),"",INDEX('Compliance Database'!$A$2:$A$1199,MATCH(291,'Transfer Engine'!$C$2:$C$1199,0)))</f>
        <v>GDPR</v>
      </c>
      <c r="B300" s="6" t="str">
        <f>IF(ISNA(MATCH(291,'Transfer Engine'!$C$2:$C$1199,0)),"",INDEX('Compliance Database'!$B$2:$B$1199,MATCH(291,'Transfer Engine'!$C$2:$C$1199,0)))</f>
        <v>Final report on amending GLs on ICT risk and security (GDPR - Row 4)</v>
      </c>
      <c r="C300" s="6" t="str">
        <f>IF(ISNA(MATCH(291,'Transfer Engine'!$C$2:$C$1199,0)),"",INDEX('Compliance Database'!$C$2:$C$1199,MATCH(291,'Transfer Engine'!$C$2:$C$1199,0)))</f>
        <v>13</v>
      </c>
      <c r="D300" s="7" t="str">
        <f>IF(ISNA(MATCH(291,'Transfer Engine'!$C$2:$C$1199,0)),"",INDEX('Compliance Database'!$D$2:$D$1199,MATCH(291,'Transfer Engine'!$C$2:$C$1199,0)))</f>
        <v>EBA gap analysis shows most security gaps covered by DORA</v>
      </c>
      <c r="E300" s="6" t="str">
        <f>IF(ISNA(MATCH(291,'Transfer Engine'!$C$2:$C$1199,0)),"",INDEX('Compliance Database'!$E$2:$E$1199,MATCH(291,'Transfer Engine'!$C$2:$C$1199,0)))</f>
        <v>5</v>
      </c>
      <c r="F300" s="6" t="str">
        <f>IF(ISNA(MATCH(291,'Transfer Engine'!$C$2:$C$1199,0)),"",INDEX('Compliance Database'!$F$2:$F$1199,MATCH(291,'Transfer Engine'!$C$2:$C$1199,0)))</f>
        <v>High</v>
      </c>
      <c r="G300" s="6" t="str">
        <f>IF(ISNA(MATCH(291,'Transfer Engine'!$C$2:$C$1199,0)),"",INDEX('Compliance Database'!$G$2:$G$1199,MATCH(291,'Transfer Engine'!$C$2:$C$1199,0)))</f>
        <v>High (explicit)</v>
      </c>
      <c r="H300" s="7" t="str">
        <f>IF(ISNA(MATCH(291,'Transfer Engine'!$C$2:$C$1199,0)),"",INDEX('Compliance Database'!$H$2:$H$1199,MATCH(291,'Transfer Engine'!$C$2:$C$1199,0)))</f>
        <v>Security</v>
      </c>
      <c r="I300" s="7" t="str">
        <f>IF(ISNA(MATCH(291,'Transfer Engine'!$C$2:$C$1199,0)),"",INDEX('Compliance Database'!$I$2:$I$1199,MATCH(291,'Transfer Engine'!$C$2:$C$1199,0)))</f>
        <v>Financial Data</v>
      </c>
      <c r="J300" s="6">
        <f>IF(ISNA(MATCH(291,'Transfer Engine'!$C$2:$C$1199,0)),"",INDEX('Compliance Database'!$J$2:$J$1199,MATCH(291,'Transfer Engine'!$C$2:$C$1199,0)))</f>
        <v>0</v>
      </c>
      <c r="K300" s="7" t="str">
        <f>IF(ISNA(MATCH(291,'Transfer Engine'!$C$2:$C$1199,0)),"",INDEX('Compliance Database'!$K$2:$K$1199,MATCH(291,'Transfer Engine'!$C$2:$C$1199,0)))</f>
        <v>This section states that the EBA's May 2024 gap analysis found that the majority of identified gaps related to authentication methods, information security policies, and ICT operations management were not material and were holistically covered by the new DORA framework. The statement indicates that the DORA framework addresses most security-related gaps previously identified.</v>
      </c>
      <c r="L300" s="7">
        <f>IF(ISNA(MATCH(291,'Transfer Engine'!$C$2:$C$1199,0)),"",INDEX('Compliance Database'!$L$2:$L$1199,MATCH(291,'Transfer Engine'!$C$2:$C$1199,0)))</f>
        <v>0</v>
      </c>
      <c r="M300" s="7" t="str">
        <f>IF(ISNA(MATCH(291,'Transfer Engine'!$C$2:$C$1199,0)),"",INDEX('Compliance Database'!$M$2:$M$1199,MATCH(291,'Transfer Engine'!$C$2:$C$1199,0)))</f>
        <v>• [Statement] The EBA carried out a gap analysis in May 2024 and arrived at the view that the majority of gaps identified which relate to authentication methods, requirements for the information security policy and ICT operations management were not material and holistically covered by the new DORA framework</v>
      </c>
      <c r="N300" s="7">
        <f>IF(ISNA(MATCH(291,'Transfer Engine'!$C$2:$C$1199,0)),"",INDEX('Compliance Database'!$N$2:$N$1199,MATCH(291,'Transfer Engine'!$C$2:$C$1199,0)))</f>
        <v>0</v>
      </c>
      <c r="O300" s="7" t="str">
        <f>IF(ISNA(MATCH(291,'Transfer Engine'!$C$2:$C$1199,0)),"",INDEX('Compliance Database'!$O$2:$O$1199,MATCH(291,'Transfer Engine'!$C$2:$C$1199,0)))</f>
        <v>13. The EBA carried out a gap analysis in May 2024 and arrived at the view that the majority of the gaps identified which relate to authentication methods, requirements for the information security policy and ICT operations management, were not material and holistically covered by the new DORA framework.</v>
      </c>
      <c r="P300" s="6" t="str">
        <f>IF(ISNA(MATCH(291,'Transfer Engine'!$C$2:$C$1199,0)),"",HYPERLINK("#Acts!A"&amp;INDEX('Compliance Database'!$P$2:$P$1199,MATCH(291,'Transfer Engine'!$C$2:$C$1199,0)),"Go to Act"))</f>
        <v>Go to Act</v>
      </c>
    </row>
    <row r="301" spans="1:16" ht="172.95" customHeight="1" x14ac:dyDescent="0.3">
      <c r="A301" s="6" t="str">
        <f>IF(ISNA(MATCH(292,'Transfer Engine'!$C$2:$C$1199,0)),"",INDEX('Compliance Database'!$A$2:$A$1199,MATCH(292,'Transfer Engine'!$C$2:$C$1199,0)))</f>
        <v>GDPR</v>
      </c>
      <c r="B301" s="6" t="str">
        <f>IF(ISNA(MATCH(292,'Transfer Engine'!$C$2:$C$1199,0)),"",INDEX('Compliance Database'!$B$2:$B$1199,MATCH(292,'Transfer Engine'!$C$2:$C$1199,0)))</f>
        <v>Final report on amending GLs on ICT risk and security (GDPR - Row 4)</v>
      </c>
      <c r="C301" s="6" t="str">
        <f>IF(ISNA(MATCH(292,'Transfer Engine'!$C$2:$C$1199,0)),"",INDEX('Compliance Database'!$C$2:$C$1199,MATCH(292,'Transfer Engine'!$C$2:$C$1199,0)))</f>
        <v>16</v>
      </c>
      <c r="D301" s="7" t="str">
        <f>IF(ISNA(MATCH(292,'Transfer Engine'!$C$2:$C$1199,0)),"",INDEX('Compliance Database'!$D$2:$D$1199,MATCH(292,'Transfer Engine'!$C$2:$C$1199,0)))</f>
        <v>EBA definitions overlap with DORA Article 3</v>
      </c>
      <c r="E301" s="6" t="str">
        <f>IF(ISNA(MATCH(292,'Transfer Engine'!$C$2:$C$1199,0)),"",INDEX('Compliance Database'!$E$2:$E$1199,MATCH(292,'Transfer Engine'!$C$2:$C$1199,0)))</f>
        <v>5</v>
      </c>
      <c r="F301" s="6" t="str">
        <f>IF(ISNA(MATCH(292,'Transfer Engine'!$C$2:$C$1199,0)),"",INDEX('Compliance Database'!$F$2:$F$1199,MATCH(292,'Transfer Engine'!$C$2:$C$1199,0)))</f>
        <v>High</v>
      </c>
      <c r="G301" s="6" t="str">
        <f>IF(ISNA(MATCH(292,'Transfer Engine'!$C$2:$C$1199,0)),"",INDEX('Compliance Database'!$G$2:$G$1199,MATCH(292,'Transfer Engine'!$C$2:$C$1199,0)))</f>
        <v>High (explicit)</v>
      </c>
      <c r="H301" s="7">
        <f>IF(ISNA(MATCH(292,'Transfer Engine'!$C$2:$C$1199,0)),"",INDEX('Compliance Database'!$H$2:$H$1199,MATCH(292,'Transfer Engine'!$C$2:$C$1199,0)))</f>
        <v>0</v>
      </c>
      <c r="I301" s="7" t="str">
        <f>IF(ISNA(MATCH(292,'Transfer Engine'!$C$2:$C$1199,0)),"",INDEX('Compliance Database'!$I$2:$I$1199,MATCH(292,'Transfer Engine'!$C$2:$C$1199,0)))</f>
        <v>Financial Data</v>
      </c>
      <c r="J301" s="6">
        <f>IF(ISNA(MATCH(292,'Transfer Engine'!$C$2:$C$1199,0)),"",INDEX('Compliance Database'!$J$2:$J$1199,MATCH(292,'Transfer Engine'!$C$2:$C$1199,0)))</f>
        <v>0</v>
      </c>
      <c r="K301" s="7" t="str">
        <f>IF(ISNA(MATCH(292,'Transfer Engine'!$C$2:$C$1199,0)),"",INDEX('Compliance Database'!$K$2:$K$1199,MATCH(292,'Transfer Engine'!$C$2:$C$1199,0)))</f>
        <v>This section states that the definitions included in the EBA Guidelines on ICT and security risk management overlap with DORA Article 3. The overlap indicates that the definitions used in the EBA Guidelines are consistent with the definitions in the DORA framework, which is relevant for ensuring alignment in regulatory practices.</v>
      </c>
      <c r="L301" s="7">
        <f>IF(ISNA(MATCH(292,'Transfer Engine'!$C$2:$C$1199,0)),"",INDEX('Compliance Database'!$L$2:$L$1199,MATCH(292,'Transfer Engine'!$C$2:$C$1199,0)))</f>
        <v>0</v>
      </c>
      <c r="M301" s="7" t="str">
        <f>IF(ISNA(MATCH(292,'Transfer Engine'!$C$2:$C$1199,0)),"",INDEX('Compliance Database'!$M$2:$M$1199,MATCH(292,'Transfer Engine'!$C$2:$C$1199,0)))</f>
        <v>• [Statement] The definitions included in EBA Guidelines on ICT and security risk management overlap with DORA Article (3)</v>
      </c>
      <c r="N301" s="7">
        <f>IF(ISNA(MATCH(292,'Transfer Engine'!$C$2:$C$1199,0)),"",INDEX('Compliance Database'!$N$2:$N$1199,MATCH(292,'Transfer Engine'!$C$2:$C$1199,0)))</f>
        <v>0</v>
      </c>
      <c r="O301" s="7" t="str">
        <f>IF(ISNA(MATCH(292,'Transfer Engine'!$C$2:$C$1199,0)),"",INDEX('Compliance Database'!$O$2:$O$1199,MATCH(292,'Transfer Engine'!$C$2:$C$1199,0)))</f>
        <v>16. The definitions included in EBA Guidelines on ICT and security risk management overlap with DORA Article (3).</v>
      </c>
      <c r="P301" s="6" t="str">
        <f>IF(ISNA(MATCH(292,'Transfer Engine'!$C$2:$C$1199,0)),"",HYPERLINK("#Acts!A"&amp;INDEX('Compliance Database'!$P$2:$P$1199,MATCH(292,'Transfer Engine'!$C$2:$C$1199,0)),"Go to Act"))</f>
        <v>Go to Act</v>
      </c>
    </row>
    <row r="302" spans="1:16" ht="172.95" customHeight="1" x14ac:dyDescent="0.3">
      <c r="A302" s="6" t="str">
        <f>IF(ISNA(MATCH(293,'Transfer Engine'!$C$2:$C$1199,0)),"",INDEX('Compliance Database'!$A$2:$A$1199,MATCH(293,'Transfer Engine'!$C$2:$C$1199,0)))</f>
        <v>GDPR</v>
      </c>
      <c r="B302" s="6" t="str">
        <f>IF(ISNA(MATCH(293,'Transfer Engine'!$C$2:$C$1199,0)),"",INDEX('Compliance Database'!$B$2:$B$1199,MATCH(293,'Transfer Engine'!$C$2:$C$1199,0)))</f>
        <v>OJ_L_202302854_EN_TXT (GDPR - Row 11)</v>
      </c>
      <c r="C302" s="6" t="str">
        <f>IF(ISNA(MATCH(293,'Transfer Engine'!$C$2:$C$1199,0)),"",INDEX('Compliance Database'!$C$2:$C$1199,MATCH(293,'Transfer Engine'!$C$2:$C$1199,0)))</f>
        <v>1</v>
      </c>
      <c r="D302" s="7" t="str">
        <f>IF(ISNA(MATCH(293,'Transfer Engine'!$C$2:$C$1199,0)),"",INDEX('Compliance Database'!$D$2:$D$1199,MATCH(293,'Transfer Engine'!$C$2:$C$1199,0)))</f>
        <v>GDPR evaluation report by Commission</v>
      </c>
      <c r="E302" s="6" t="str">
        <f>IF(ISNA(MATCH(293,'Transfer Engine'!$C$2:$C$1199,0)),"",INDEX('Compliance Database'!$E$2:$E$1199,MATCH(293,'Transfer Engine'!$C$2:$C$1199,0)))</f>
        <v>32</v>
      </c>
      <c r="F302" s="6" t="str">
        <f>IF(ISNA(MATCH(293,'Transfer Engine'!$C$2:$C$1199,0)),"",INDEX('Compliance Database'!$F$2:$F$1199,MATCH(293,'Transfer Engine'!$C$2:$C$1199,0)))</f>
        <v>High</v>
      </c>
      <c r="G302" s="6" t="str">
        <f>IF(ISNA(MATCH(293,'Transfer Engine'!$C$2:$C$1199,0)),"",INDEX('Compliance Database'!$G$2:$G$1199,MATCH(293,'Transfer Engine'!$C$2:$C$1199,0)))</f>
        <v>High (explicit)</v>
      </c>
      <c r="H302" s="7">
        <f>IF(ISNA(MATCH(293,'Transfer Engine'!$C$2:$C$1199,0)),"",INDEX('Compliance Database'!$H$2:$H$1199,MATCH(293,'Transfer Engine'!$C$2:$C$1199,0)))</f>
        <v>0</v>
      </c>
      <c r="I302" s="7">
        <f>IF(ISNA(MATCH(293,'Transfer Engine'!$C$2:$C$1199,0)),"",INDEX('Compliance Database'!$I$2:$I$1199,MATCH(293,'Transfer Engine'!$C$2:$C$1199,0)))</f>
        <v>0</v>
      </c>
      <c r="J302" s="6" t="str">
        <f>IF(ISNA(MATCH(293,'Transfer Engine'!$C$2:$C$1199,0)),"",INDEX('Compliance Database'!$J$2:$J$1199,MATCH(293,'Transfer Engine'!$C$2:$C$1199,0)))</f>
        <v>European Commission</v>
      </c>
      <c r="K302" s="7" t="str">
        <f>IF(ISNA(MATCH(293,'Transfer Engine'!$C$2:$C$1199,0)),"",INDEX('Compliance Database'!$K$2:$K$1199,MATCH(293,'Transfer Engine'!$C$2:$C$1199,0)))</f>
        <v>The Commission must evaluate GDPR by September 2028 and report findings to the European Parliament, Council, and Economic and Social Committee. The evaluation covers data access, use, economic impact, data sharing, and SME compliance, among other areas.</v>
      </c>
      <c r="L302" s="7" t="str">
        <f>IF(ISNA(MATCH(293,'Transfer Engine'!$C$2:$C$1199,0)),"",INDEX('Compliance Database'!$L$2:$L$1199,MATCH(293,'Transfer Engine'!$C$2:$C$1199,0)))</f>
        <v>Requires a comprehensive evaluation of GDPR's impact on data sharing and processing, which informs future data transfer compliance frameworks.</v>
      </c>
      <c r="M302" s="7" t="str">
        <f>IF(ISNA(MATCH(293,'Transfer Engine'!$C$2:$C$1199,0)),"",INDEX('Compliance Database'!$M$2:$M$1199,MATCH(293,'Transfer Engine'!$C$2:$C$1199,0)))</f>
        <v>• [Must] By 12 September 2028, the Commission shall carry out an evaluation of this Regulation
• [Must] The Commission shall submit a report on its main findings to the European Parliament and to the Council
• [Must] The Commission shall submit a report to the European Economic and Social Committee
• [Must] The evaluation shall assess situations of exceptional need for Article 15 and Chapter V implementation
• [Must] The evaluation shall assess the impact of this Regulation on data innovation and monetisation
• [Must] The evaluation shall assess the accessibility and use of different categories and types of data</v>
      </c>
      <c r="N302" s="7" t="str">
        <f>IF(ISNA(MATCH(293,'Transfer Engine'!$C$2:$C$1199,0)),"",INDEX('Compliance Database'!$N$2:$N$1199,MATCH(293,'Transfer Engine'!$C$2:$C$1199,0)))</f>
        <v>• [Must] The evaluation shall assess the exclusion of certain categories of enterprises as beneficiaries under Article 5
• [Must] The evaluation shall assess the impact on intellectual property rights
• [Must] The evaluation shall assess the impact on trade secrets
• [Must] The evaluation shall assess the impact of the mechanism allowing data holders to refuse user requests
• [Must] The evaluation shall assess the impact on SMEs regarding innovation and data processing services</v>
      </c>
      <c r="O302" s="7" t="str">
        <f>IF(ISNA(MATCH(293,'Transfer Engine'!$C$2:$C$1199,0)),"",INDEX('Compliance Database'!$O$2:$O$1199,MATCH(293,'Transfer Engine'!$C$2:$C$1199,0)))</f>
        <v>By 12 September 2028, the Commission shall carry out an evaluation of this Regulation and submit a report on its main findings to the European Parliament and to the Council, and to the European Economic and Social Committee.</v>
      </c>
      <c r="P302" s="6" t="str">
        <f>IF(ISNA(MATCH(293,'Transfer Engine'!$C$2:$C$1199,0)),"",HYPERLINK("#Acts!A"&amp;INDEX('Compliance Database'!$P$2:$P$1199,MATCH(293,'Transfer Engine'!$C$2:$C$1199,0)),"Go to Act"))</f>
        <v>Go to Act</v>
      </c>
    </row>
    <row r="303" spans="1:16" ht="172.95" customHeight="1" x14ac:dyDescent="0.3">
      <c r="A303" s="6" t="str">
        <f>IF(ISNA(MATCH(294,'Transfer Engine'!$C$2:$C$1199,0)),"",INDEX('Compliance Database'!$A$2:$A$1199,MATCH(294,'Transfer Engine'!$C$2:$C$1199,0)))</f>
        <v>GDPR</v>
      </c>
      <c r="B303" s="6" t="str">
        <f>IF(ISNA(MATCH(294,'Transfer Engine'!$C$2:$C$1199,0)),"",INDEX('Compliance Database'!$B$2:$B$1199,MATCH(294,'Transfer Engine'!$C$2:$C$1199,0)))</f>
        <v>OJ_L_202302854_EN_TXT (GDPR - Row 11)</v>
      </c>
      <c r="C303" s="6" t="str">
        <f>IF(ISNA(MATCH(294,'Transfer Engine'!$C$2:$C$1199,0)),"",INDEX('Compliance Database'!$C$2:$C$1199,MATCH(294,'Transfer Engine'!$C$2:$C$1199,0)))</f>
        <v>2</v>
      </c>
      <c r="D303" s="7" t="str">
        <f>IF(ISNA(MATCH(294,'Transfer Engine'!$C$2:$C$1199,0)),"",INDEX('Compliance Database'!$D$2:$D$1199,MATCH(294,'Transfer Engine'!$C$2:$C$1199,0)))</f>
        <v>GDPR evaluation report for SMEs</v>
      </c>
      <c r="E303" s="6" t="str">
        <f>IF(ISNA(MATCH(294,'Transfer Engine'!$C$2:$C$1199,0)),"",INDEX('Compliance Database'!$E$2:$E$1199,MATCH(294,'Transfer Engine'!$C$2:$C$1199,0)))</f>
        <v>32</v>
      </c>
      <c r="F303" s="6" t="str">
        <f>IF(ISNA(MATCH(294,'Transfer Engine'!$C$2:$C$1199,0)),"",INDEX('Compliance Database'!$F$2:$F$1199,MATCH(294,'Transfer Engine'!$C$2:$C$1199,0)))</f>
        <v>High</v>
      </c>
      <c r="G303" s="6" t="str">
        <f>IF(ISNA(MATCH(294,'Transfer Engine'!$C$2:$C$1199,0)),"",INDEX('Compliance Database'!$G$2:$G$1199,MATCH(294,'Transfer Engine'!$C$2:$C$1199,0)))</f>
        <v>High (explicit)</v>
      </c>
      <c r="H303" s="7">
        <f>IF(ISNA(MATCH(294,'Transfer Engine'!$C$2:$C$1199,0)),"",INDEX('Compliance Database'!$H$2:$H$1199,MATCH(294,'Transfer Engine'!$C$2:$C$1199,0)))</f>
        <v>0</v>
      </c>
      <c r="I303" s="7">
        <f>IF(ISNA(MATCH(294,'Transfer Engine'!$C$2:$C$1199,0)),"",INDEX('Compliance Database'!$I$2:$I$1199,MATCH(294,'Transfer Engine'!$C$2:$C$1199,0)))</f>
        <v>0</v>
      </c>
      <c r="J303" s="6" t="str">
        <f>IF(ISNA(MATCH(294,'Transfer Engine'!$C$2:$C$1199,0)),"",INDEX('Compliance Database'!$J$2:$J$1199,MATCH(294,'Transfer Engine'!$C$2:$C$1199,0)))</f>
        <v>European Commission</v>
      </c>
      <c r="K303" s="7" t="str">
        <f>IF(ISNA(MATCH(294,'Transfer Engine'!$C$2:$C$1199,0)),"",INDEX('Compliance Database'!$K$2:$K$1199,MATCH(294,'Transfer Engine'!$C$2:$C$1199,0)))</f>
        <v>The Commission must evaluate GDPR by September 2028 and report findings to the European Parliament, Council, and Economic and Social Committee. The evaluation focuses on pricing and data processing services for SME providers within the Union.</v>
      </c>
      <c r="L303" s="7" t="str">
        <f>IF(ISNA(MATCH(294,'Transfer Engine'!$C$2:$C$1199,0)),"",INDEX('Compliance Database'!$L$2:$L$1199,MATCH(294,'Transfer Engine'!$C$2:$C$1199,0)))</f>
        <v>Specifically assesses the impact of GDPR on SME data processing services, which affects data transfer compliance for small businesses.</v>
      </c>
      <c r="M303" s="7" t="str">
        <f>IF(ISNA(MATCH(294,'Transfer Engine'!$C$2:$C$1199,0)),"",INDEX('Compliance Database'!$M$2:$M$1199,MATCH(294,'Transfer Engine'!$C$2:$C$1199,0)))</f>
        <v>• [Must] By 12 September 2028, the Commission shall carry out an evaluation of this Regulation
• [Must] The Commission shall submit a report on its main findings to the European Parliament and to the Council
• [Must] The Commission shall submit a report to the European Economic and Social Committee</v>
      </c>
      <c r="N303" s="7" t="str">
        <f>IF(ISNA(MATCH(294,'Transfer Engine'!$C$2:$C$1199,0)),"",INDEX('Compliance Database'!$N$2:$N$1199,MATCH(294,'Transfer Engine'!$C$2:$C$1199,0)))</f>
        <v>• [Must] The evaluation shall assess pricing and diversity of data processing services offered within the Union
• [Must] The evaluation shall focus on SME providers</v>
      </c>
      <c r="O303" s="7" t="str">
        <f>IF(ISNA(MATCH(294,'Transfer Engine'!$C$2:$C$1199,0)),"",INDEX('Compliance Database'!$O$2:$O$1199,MATCH(294,'Transfer Engine'!$C$2:$C$1199,0)))</f>
        <v>By 12 September 2028, the Commission shall carry out an evaluation of this Regulation and submit a report on its main findings to the European Parliament and to the Council, and to the European Economic and Social Committee. That evaluation shall assess the impact of Articles 23 to 31 and Articles 34 and 35, in particular regarding pricing and the diversity of data processing services offered within the Union, with a special focus on SME providers.</v>
      </c>
      <c r="P303" s="6" t="str">
        <f>IF(ISNA(MATCH(294,'Transfer Engine'!$C$2:$C$1199,0)),"",HYPERLINK("#Acts!A"&amp;INDEX('Compliance Database'!$P$2:$P$1199,MATCH(294,'Transfer Engine'!$C$2:$C$1199,0)),"Go to Act"))</f>
        <v>Go to Act</v>
      </c>
    </row>
    <row r="304" spans="1:16" ht="172.95" customHeight="1" x14ac:dyDescent="0.3">
      <c r="A304" s="6" t="str">
        <f>IF(ISNA(MATCH(295,'Transfer Engine'!$C$2:$C$1199,0)),"",INDEX('Compliance Database'!$A$2:$A$1199,MATCH(295,'Transfer Engine'!$C$2:$C$1199,0)))</f>
        <v>GDPR</v>
      </c>
      <c r="B304" s="6" t="str">
        <f>IF(ISNA(MATCH(295,'Transfer Engine'!$C$2:$C$1199,0)),"",INDEX('Compliance Database'!$B$2:$B$1199,MATCH(295,'Transfer Engine'!$C$2:$C$1199,0)))</f>
        <v>OJ_L_202302854_EN_TXT (GDPR - Row 11)</v>
      </c>
      <c r="C304" s="6" t="str">
        <f>IF(ISNA(MATCH(295,'Transfer Engine'!$C$2:$C$1199,0)),"",INDEX('Compliance Database'!$C$2:$C$1199,MATCH(295,'Transfer Engine'!$C$2:$C$1199,0)))</f>
        <v>3</v>
      </c>
      <c r="D304" s="7" t="str">
        <f>IF(ISNA(MATCH(295,'Transfer Engine'!$C$2:$C$1199,0)),"",INDEX('Compliance Database'!$D$2:$D$1199,MATCH(295,'Transfer Engine'!$C$2:$C$1199,0)))</f>
        <v>Penalty criteria for GDPR violations</v>
      </c>
      <c r="E304" s="6" t="str">
        <f>IF(ISNA(MATCH(295,'Transfer Engine'!$C$2:$C$1199,0)),"",INDEX('Compliance Database'!$E$2:$E$1199,MATCH(295,'Transfer Engine'!$C$2:$C$1199,0)))</f>
        <v>32–33</v>
      </c>
      <c r="F304" s="6" t="str">
        <f>IF(ISNA(MATCH(295,'Transfer Engine'!$C$2:$C$1199,0)),"",INDEX('Compliance Database'!$F$2:$F$1199,MATCH(295,'Transfer Engine'!$C$2:$C$1199,0)))</f>
        <v>High</v>
      </c>
      <c r="G304" s="6" t="str">
        <f>IF(ISNA(MATCH(295,'Transfer Engine'!$C$2:$C$1199,0)),"",INDEX('Compliance Database'!$G$2:$G$1199,MATCH(295,'Transfer Engine'!$C$2:$C$1199,0)))</f>
        <v>High (explicit)</v>
      </c>
      <c r="H304" s="7">
        <f>IF(ISNA(MATCH(295,'Transfer Engine'!$C$2:$C$1199,0)),"",INDEX('Compliance Database'!$H$2:$H$1199,MATCH(295,'Transfer Engine'!$C$2:$C$1199,0)))</f>
        <v>0</v>
      </c>
      <c r="I304" s="7">
        <f>IF(ISNA(MATCH(295,'Transfer Engine'!$C$2:$C$1199,0)),"",INDEX('Compliance Database'!$I$2:$I$1199,MATCH(295,'Transfer Engine'!$C$2:$C$1199,0)))</f>
        <v>0</v>
      </c>
      <c r="J304" s="6" t="str">
        <f>IF(ISNA(MATCH(295,'Transfer Engine'!$C$2:$C$1199,0)),"",INDEX('Compliance Database'!$J$2:$J$1199,MATCH(295,'Transfer Engine'!$C$2:$C$1199,0)))</f>
        <v>Member States</v>
      </c>
      <c r="K304" s="7" t="str">
        <f>IF(ISNA(MATCH(295,'Transfer Engine'!$C$2:$C$1199,0)),"",INDEX('Compliance Database'!$K$2:$K$1199,MATCH(295,'Transfer Engine'!$C$2:$C$1199,0)))</f>
        <v>Member States must consider EDIB recommendations when determining penalties for GDPR breaches. Penalties are calculated based on infringement severity, mitigation efforts, prior violations, financial impact, and other contextual factors. This applies to national authorities enforcing GDPR compliance.</v>
      </c>
      <c r="L304" s="7" t="str">
        <f>IF(ISNA(MATCH(295,'Transfer Engine'!$C$2:$C$1199,0)),"",INDEX('Compliance Database'!$L$2:$L$1199,MATCH(295,'Transfer Engine'!$C$2:$C$1199,0)))</f>
        <v>Defines penalty criteria for GDPR violations, which affects how data transfers are assessed for compliance with regulatory penalties.</v>
      </c>
      <c r="M304" s="7" t="str">
        <f>IF(ISNA(MATCH(295,'Transfer Engine'!$C$2:$C$1199,0)),"",INDEX('Compliance Database'!$M$2:$M$1199,MATCH(295,'Transfer Engine'!$C$2:$C$1199,0)))</f>
        <v>• [Must] Member States shall take into account the recommendations of the EDIB
• [Must] Member States shall consider the following non-exhaustive criteria for penalty imposition: the nature, gravity, scale and duration of the infringement
• [Must] Member States shall consider the following non-exhaustive criteria for penalty imposition: any action taken by the infringing party to mitigate or remedy the damage
• [Must] Member States shall consider the following non-exhaustive criteria for penalty imposition: any previous infringements by the infringing party</v>
      </c>
      <c r="N304" s="7" t="str">
        <f>IF(ISNA(MATCH(295,'Transfer Engine'!$C$2:$C$1199,0)),"",INDEX('Compliance Database'!$N$2:$N$1199,MATCH(295,'Transfer Engine'!$C$2:$C$1199,0)))</f>
        <v>• [Must] Member States shall consider the following non-exhaustive criteria for penalty imposition: the financial benefits gained or losses avoided by the infringing party due to the infringement
• [Must] Member States shall consider the following non-exhaustive criteria for penalty imposition: any other aggravating or mitigating factor applicable to the circumstances of the case
• [Must] Member States shall consider the following non-exhaustive criteria for penalty imposition: the infringing party's annual turnover in the preceding financial year in the Union</v>
      </c>
      <c r="O304" s="7" t="str">
        <f>IF(ISNA(MATCH(295,'Transfer Engine'!$C$2:$C$1199,0)),"",INDEX('Compliance Database'!$O$2:$O$1199,MATCH(295,'Transfer Engine'!$C$2:$C$1199,0)))</f>
        <v>Member States shall take into account the recommendations of the EDIB and the following non-exhaustive criteria for the imposition of penalties for infringements of this Regulation: (a) the nature, gravity, scale and duration of the infringement; (b) any action taken by the infringing party to mitigate or remedy the damage caused by the infringement; (c) any previous infringements by the infringing party; (d) the financial benefits gained or losses avoided by the infringing party due to the infringement, insofar as such benefits or losses can be reliably established; (e) any other aggravating or mitigating factor applicable to the circumstances of the case; (f) the infringing party's annual turnover in the preceding financial year in the Union.</v>
      </c>
      <c r="P304" s="6" t="str">
        <f>IF(ISNA(MATCH(295,'Transfer Engine'!$C$2:$C$1199,0)),"",HYPERLINK("#Acts!A"&amp;INDEX('Compliance Database'!$P$2:$P$1199,MATCH(295,'Transfer Engine'!$C$2:$C$1199,0)),"Go to Act"))</f>
        <v>Go to Act</v>
      </c>
    </row>
    <row r="305" spans="1:16" ht="172.95" customHeight="1" x14ac:dyDescent="0.3">
      <c r="A305" s="6" t="str">
        <f>IF(ISNA(MATCH(296,'Transfer Engine'!$C$2:$C$1199,0)),"",INDEX('Compliance Database'!$A$2:$A$1199,MATCH(296,'Transfer Engine'!$C$2:$C$1199,0)))</f>
        <v>GDPR</v>
      </c>
      <c r="B305" s="6" t="str">
        <f>IF(ISNA(MATCH(296,'Transfer Engine'!$C$2:$C$1199,0)),"",INDEX('Compliance Database'!$B$2:$B$1199,MATCH(296,'Transfer Engine'!$C$2:$C$1199,0)))</f>
        <v>OJ_L_202302854_EN_TXT (GDPR - Row 11)</v>
      </c>
      <c r="C305" s="6" t="str">
        <f>IF(ISNA(MATCH(296,'Transfer Engine'!$C$2:$C$1199,0)),"",INDEX('Compliance Database'!$C$2:$C$1199,MATCH(296,'Transfer Engine'!$C$2:$C$1199,0)))</f>
        <v>4</v>
      </c>
      <c r="D305" s="7" t="str">
        <f>IF(ISNA(MATCH(296,'Transfer Engine'!$C$2:$C$1199,0)),"",INDEX('Compliance Database'!$D$2:$D$1199,MATCH(296,'Transfer Engine'!$C$2:$C$1199,0)))</f>
        <v>Commission may request standardisation bodies to draft harmonised standards</v>
      </c>
      <c r="E305" s="6" t="str">
        <f>IF(ISNA(MATCH(296,'Transfer Engine'!$C$2:$C$1199,0)),"",INDEX('Compliance Database'!$E$2:$E$1199,MATCH(296,'Transfer Engine'!$C$2:$C$1199,0)))</f>
        <v>40</v>
      </c>
      <c r="F305" s="6" t="str">
        <f>IF(ISNA(MATCH(296,'Transfer Engine'!$C$2:$C$1199,0)),"",INDEX('Compliance Database'!$F$2:$F$1199,MATCH(296,'Transfer Engine'!$C$2:$C$1199,0)))</f>
        <v>Low</v>
      </c>
      <c r="G305" s="6" t="str">
        <f>IF(ISNA(MATCH(296,'Transfer Engine'!$C$2:$C$1199,0)),"",INDEX('Compliance Database'!$G$2:$G$1199,MATCH(296,'Transfer Engine'!$C$2:$C$1199,0)))</f>
        <v>High (explicit)</v>
      </c>
      <c r="H305" s="7" t="str">
        <f>IF(ISNA(MATCH(296,'Transfer Engine'!$C$2:$C$1199,0)),"",INDEX('Compliance Database'!$H$2:$H$1199,MATCH(296,'Transfer Engine'!$C$2:$C$1199,0)))</f>
        <v>Cross-border Transfer, International Processing, Data Storage, Security</v>
      </c>
      <c r="I305" s="7" t="str">
        <f>IF(ISNA(MATCH(296,'Transfer Engine'!$C$2:$C$1199,0)),"",INDEX('Compliance Database'!$I$2:$I$1199,MATCH(296,'Transfer Engine'!$C$2:$C$1199,0)))</f>
        <v>Personal Information</v>
      </c>
      <c r="J305" s="6" t="str">
        <f>IF(ISNA(MATCH(296,'Transfer Engine'!$C$2:$C$1199,0)),"",INDEX('Compliance Database'!$J$2:$J$1199,MATCH(296,'Transfer Engine'!$C$2:$C$1199,0)))</f>
        <v>European Commission</v>
      </c>
      <c r="K305" s="7" t="str">
        <f>IF(ISNA(MATCH(296,'Transfer Engine'!$C$2:$C$1199,0)),"",INDEX('Compliance Database'!$K$2:$K$1199,MATCH(296,'Transfer Engine'!$C$2:$C$1199,0)))</f>
        <v>The European Commission may request one or more European standardisation organisations to draft harmonised standards that meet essential requirements under Article 10(1) of Regulation (EU) No 1025/2012. These standards must satisfy the requirements specified in paragraphs 1 and 2 of this Article. The Commission's authority is limited to this specific regulatory function.</v>
      </c>
      <c r="L305" s="7" t="str">
        <f>IF(ISNA(MATCH(296,'Transfer Engine'!$C$2:$C$1199,0)),"",INDEX('Compliance Database'!$L$2:$L$1199,MATCH(296,'Transfer Engine'!$C$2:$C$1199,0)))</f>
        <v>This section establishes a mechanism for harmonised standards that could impact cross-border data transfers by providing technical standards for data processing services, relevant for DTIA when assessing technical compatibility and compliance with international standards.</v>
      </c>
      <c r="M305" s="7" t="str">
        <f>IF(ISNA(MATCH(296,'Transfer Engine'!$C$2:$C$1199,0)),"",INDEX('Compliance Database'!$M$2:$M$1199,MATCH(296,'Transfer Engine'!$C$2:$C$1199,0)))</f>
        <v>• [Must] The Commission may request one or more European standardisation organisations to draft harmonised standards</v>
      </c>
      <c r="N305" s="7" t="str">
        <f>IF(ISNA(MATCH(296,'Transfer Engine'!$C$2:$C$1199,0)),"",INDEX('Compliance Database'!$N$2:$N$1199,MATCH(296,'Transfer Engine'!$C$2:$C$1199,0)))</f>
        <v>• [Must] Harmonised standards must satisfy essential requirements laid down in paragraphs 1 and 2 of this Article</v>
      </c>
      <c r="O305" s="7" t="str">
        <f>IF(ISNA(MATCH(296,'Transfer Engine'!$C$2:$C$1199,0)),"",INDEX('Compliance Database'!$O$2:$O$1199,MATCH(296,'Transfer Engine'!$C$2:$C$1199,0)))</f>
        <v>After taking into account relevant international and European standards and self-regulatory initiatives, the Commission may, in accordance with Article 10(1) of Regulation (EU) No 1025/2012, request one or more European standardisation organisations to draft harmonised standards that satisfy the essential requirements laid down in paragraphs 1 and 2 of this Article.</v>
      </c>
      <c r="P305" s="6" t="str">
        <f>IF(ISNA(MATCH(296,'Transfer Engine'!$C$2:$C$1199,0)),"",HYPERLINK("#Acts!A"&amp;INDEX('Compliance Database'!$P$2:$P$1199,MATCH(296,'Transfer Engine'!$C$2:$C$1199,0)),"Go to Act"))</f>
        <v>Go to Act</v>
      </c>
    </row>
    <row r="306" spans="1:16" ht="172.95" customHeight="1" x14ac:dyDescent="0.3">
      <c r="A306" s="6" t="str">
        <f>IF(ISNA(MATCH(297,'Transfer Engine'!$C$2:$C$1199,0)),"",INDEX('Compliance Database'!$A$2:$A$1199,MATCH(297,'Transfer Engine'!$C$2:$C$1199,0)))</f>
        <v>GDPR</v>
      </c>
      <c r="B306" s="6" t="str">
        <f>IF(ISNA(MATCH(297,'Transfer Engine'!$C$2:$C$1199,0)),"",INDEX('Compliance Database'!$B$2:$B$1199,MATCH(297,'Transfer Engine'!$C$2:$C$1199,0)))</f>
        <v>OJ_L_202302854_EN_TXT (GDPR - Row 11)</v>
      </c>
      <c r="C306" s="6" t="str">
        <f>IF(ISNA(MATCH(297,'Transfer Engine'!$C$2:$C$1199,0)),"",INDEX('Compliance Database'!$C$2:$C$1199,MATCH(297,'Transfer Engine'!$C$2:$C$1199,0)))</f>
        <v>5</v>
      </c>
      <c r="D306" s="7" t="str">
        <f>IF(ISNA(MATCH(297,'Transfer Engine'!$C$2:$C$1199,0)),"",INDEX('Compliance Database'!$D$2:$D$1199,MATCH(297,'Transfer Engine'!$C$2:$C$1199,0)))</f>
        <v>GDPR enforcement fines for Chapter V violations</v>
      </c>
      <c r="E306" s="6" t="str">
        <f>IF(ISNA(MATCH(297,'Transfer Engine'!$C$2:$C$1199,0)),"",INDEX('Compliance Database'!$E$2:$E$1199,MATCH(297,'Transfer Engine'!$C$2:$C$1199,0)))</f>
        <v>33</v>
      </c>
      <c r="F306" s="6" t="str">
        <f>IF(ISNA(MATCH(297,'Transfer Engine'!$C$2:$C$1199,0)),"",INDEX('Compliance Database'!$F$2:$F$1199,MATCH(297,'Transfer Engine'!$C$2:$C$1199,0)))</f>
        <v>High</v>
      </c>
      <c r="G306" s="6" t="str">
        <f>IF(ISNA(MATCH(297,'Transfer Engine'!$C$2:$C$1199,0)),"",INDEX('Compliance Database'!$G$2:$G$1199,MATCH(297,'Transfer Engine'!$C$2:$C$1199,0)))</f>
        <v>High (explicit)</v>
      </c>
      <c r="H306" s="7">
        <f>IF(ISNA(MATCH(297,'Transfer Engine'!$C$2:$C$1199,0)),"",INDEX('Compliance Database'!$H$2:$H$1199,MATCH(297,'Transfer Engine'!$C$2:$C$1199,0)))</f>
        <v>0</v>
      </c>
      <c r="I306" s="7">
        <f>IF(ISNA(MATCH(297,'Transfer Engine'!$C$2:$C$1199,0)),"",INDEX('Compliance Database'!$I$2:$I$1199,MATCH(297,'Transfer Engine'!$C$2:$C$1199,0)))</f>
        <v>0</v>
      </c>
      <c r="J306" s="6" t="str">
        <f>IF(ISNA(MATCH(297,'Transfer Engine'!$C$2:$C$1199,0)),"",INDEX('Compliance Database'!$J$2:$J$1199,MATCH(297,'Transfer Engine'!$C$2:$C$1199,0)))</f>
        <v>European Data Protection Supervisor</v>
      </c>
      <c r="K306" s="7" t="str">
        <f>IF(ISNA(MATCH(297,'Transfer Engine'!$C$2:$C$1199,0)),"",INDEX('Compliance Database'!$K$2:$K$1199,MATCH(297,'Transfer Engine'!$C$2:$C$1199,0)))</f>
        <v>The European Data Protection Supervisor may impose administrative fines for violations of Chapter V obligations up to the amount specified in Regulation (EU) 2018/1725. This applies to the European Data Protection Supervisor acting within its competence for GDPR enforcement.</v>
      </c>
      <c r="L306" s="7" t="str">
        <f>IF(ISNA(MATCH(297,'Transfer Engine'!$C$2:$C$1199,0)),"",INDEX('Compliance Database'!$L$2:$L$1199,MATCH(297,'Transfer Engine'!$C$2:$C$1199,0)))</f>
        <v>Authorises fines for GDPR violations, which impacts data transfer compliance assessments by defining potential financial penalties for non-compliance.</v>
      </c>
      <c r="M306" s="7" t="str">
        <f>IF(ISNA(MATCH(297,'Transfer Engine'!$C$2:$C$1199,0)),"",INDEX('Compliance Database'!$M$2:$M$1199,MATCH(297,'Transfer Engine'!$C$2:$C$1199,0)))</f>
        <v>• [May] For infringements of the obligations laid down in Chapter V of this Regulation, the European Data Protection Supervisor may impose administrative fines
• [Must] Administrative fines may be imposed in accordance with Article 66 of Regulation (EU) 2018/1725</v>
      </c>
      <c r="N306" s="7" t="str">
        <f>IF(ISNA(MATCH(297,'Transfer Engine'!$C$2:$C$1199,0)),"",INDEX('Compliance Database'!$N$2:$N$1199,MATCH(297,'Transfer Engine'!$C$2:$C$1199,0)))</f>
        <v>• [Must] Fines may be up to the amount referred to in Article 66(3) of Regulation (EU) 2018/1725</v>
      </c>
      <c r="O306" s="7" t="str">
        <f>IF(ISNA(MATCH(297,'Transfer Engine'!$C$2:$C$1199,0)),"",INDEX('Compliance Database'!$O$2:$O$1199,MATCH(297,'Transfer Engine'!$C$2:$C$1199,0)))</f>
        <v>For infringements of the obligations laid down in Chapter V of this Regulation, the European Data Protection Supervisor may impose within its scope of competence administrative fines in accordance with Article 66 of Regulation (EU) 2018/1725 up to the amount referred to in Article 66(3) of that Regulation.</v>
      </c>
      <c r="P306" s="6" t="str">
        <f>IF(ISNA(MATCH(297,'Transfer Engine'!$C$2:$C$1199,0)),"",HYPERLINK("#Acts!A"&amp;INDEX('Compliance Database'!$P$2:$P$1199,MATCH(297,'Transfer Engine'!$C$2:$C$1199,0)),"Go to Act"))</f>
        <v>Go to Act</v>
      </c>
    </row>
    <row r="307" spans="1:16" ht="172.95" customHeight="1" x14ac:dyDescent="0.3">
      <c r="A307" s="6" t="str">
        <f>IF(ISNA(MATCH(298,'Transfer Engine'!$C$2:$C$1199,0)),"",INDEX('Compliance Database'!$A$2:$A$1199,MATCH(298,'Transfer Engine'!$C$2:$C$1199,0)))</f>
        <v>GDPR</v>
      </c>
      <c r="B307" s="6" t="str">
        <f>IF(ISNA(MATCH(298,'Transfer Engine'!$C$2:$C$1199,0)),"",INDEX('Compliance Database'!$B$2:$B$1199,MATCH(298,'Transfer Engine'!$C$2:$C$1199,0)))</f>
        <v>OJ_L_202302854_EN_TXT (GDPR - Row 11)</v>
      </c>
      <c r="C307" s="6" t="str">
        <f>IF(ISNA(MATCH(298,'Transfer Engine'!$C$2:$C$1199,0)),"",INDEX('Compliance Database'!$C$2:$C$1199,MATCH(298,'Transfer Engine'!$C$2:$C$1199,0)))</f>
        <v>6</v>
      </c>
      <c r="D307" s="7" t="str">
        <f>IF(ISNA(MATCH(298,'Transfer Engine'!$C$2:$C$1199,0)),"",INDEX('Compliance Database'!$D$2:$D$1199,MATCH(298,'Transfer Engine'!$C$2:$C$1199,0)))</f>
        <v>Data coordinator facilitates cooperation with authorities</v>
      </c>
      <c r="E307" s="6" t="str">
        <f>IF(ISNA(MATCH(298,'Transfer Engine'!$C$2:$C$1199,0)),"",INDEX('Compliance Database'!$E$2:$E$1199,MATCH(298,'Transfer Engine'!$C$2:$C$1199,0)))</f>
        <v>33</v>
      </c>
      <c r="F307" s="6" t="str">
        <f>IF(ISNA(MATCH(298,'Transfer Engine'!$C$2:$C$1199,0)),"",INDEX('Compliance Database'!$F$2:$F$1199,MATCH(298,'Transfer Engine'!$C$2:$C$1199,0)))</f>
        <v>Low</v>
      </c>
      <c r="G307" s="6" t="str">
        <f>IF(ISNA(MATCH(298,'Transfer Engine'!$C$2:$C$1199,0)),"",INDEX('Compliance Database'!$G$2:$G$1199,MATCH(298,'Transfer Engine'!$C$2:$C$1199,0)))</f>
        <v>High (explicit)</v>
      </c>
      <c r="H307" s="7" t="str">
        <f>IF(ISNA(MATCH(298,'Transfer Engine'!$C$2:$C$1199,0)),"",INDEX('Compliance Database'!$H$2:$H$1199,MATCH(298,'Transfer Engine'!$C$2:$C$1199,0)))</f>
        <v>Data Sharing, Data Storage</v>
      </c>
      <c r="I307" s="7" t="str">
        <f>IF(ISNA(MATCH(298,'Transfer Engine'!$C$2:$C$1199,0)),"",INDEX('Compliance Database'!$I$2:$I$1199,MATCH(298,'Transfer Engine'!$C$2:$C$1199,0)))</f>
        <v>Personal Information</v>
      </c>
      <c r="J307" s="6">
        <f>IF(ISNA(MATCH(298,'Transfer Engine'!$C$2:$C$1199,0)),"",INDEX('Compliance Database'!$J$2:$J$1199,MATCH(298,'Transfer Engine'!$C$2:$C$1199,0)))</f>
        <v>0</v>
      </c>
      <c r="K307" s="7" t="str">
        <f>IF(ISNA(MATCH(298,'Transfer Engine'!$C$2:$C$1199,0)),"",INDEX('Compliance Database'!$K$2:$K$1199,MATCH(298,'Transfer Engine'!$C$2:$C$1199,0)))</f>
        <v>The data coordinator, if designated, must act as a single point of contact for GDPR-related issues, ensure online public availability of data requests for public sector bodies, and inform the Commission annually about refusals to data sharing requests.</v>
      </c>
      <c r="L307" s="7" t="str">
        <f>IF(ISNA(MATCH(298,'Transfer Engine'!$C$2:$C$1199,0)),"",INDEX('Compliance Database'!$L$2:$L$1199,MATCH(298,'Transfer Engine'!$C$2:$C$1199,0)))</f>
        <v>This section defines the role of the data coordinator, which is relevant for DTIA when assessing coordination mechanisms between public and private entities for data sharing.</v>
      </c>
      <c r="M307" s="7" t="str">
        <f>IF(ISNA(MATCH(298,'Transfer Engine'!$C$2:$C$1199,0)),"",INDEX('Compliance Database'!$M$2:$M$1199,MATCH(298,'Transfer Engine'!$C$2:$C$1199,0)))</f>
        <v>• [Must] Data coordinator shall act as single point of contact for GDPR-related issues
• [Must] Data coordinator shall ensure online public availability of data requests for public sector bodies</v>
      </c>
      <c r="N307" s="7" t="str">
        <f>IF(ISNA(MATCH(298,'Transfer Engine'!$C$2:$C$1199,0)),"",INDEX('Compliance Database'!$N$2:$N$1199,MATCH(298,'Transfer Engine'!$C$2:$C$1199,0)))</f>
        <v>• [Must] Data coordinator shall inform Commission annually about refusals to data sharing requests</v>
      </c>
      <c r="O307" s="7" t="str">
        <f>IF(ISNA(MATCH(298,'Transfer Engine'!$C$2:$C$1199,0)),"",INDEX('Compliance Database'!$O$2:$O$1199,MATCH(298,'Transfer Engine'!$C$2:$C$1199,0)))</f>
        <v>The data coordinator, where such competent authority has been designated, shall: (a) act as the single point of contact for all issues related to the application of this Regulation; (b) ensure the online public availability of requests to make data available made by public sector bodies in the case of exceptional need under Chapter V and promote voluntary data sharing agreements between public sector bodies and data holders; (c) inform the Commission, on an annual basis, of the refusals notified under Article 4(2) and (8) and Article 5(11).</v>
      </c>
      <c r="P307" s="6" t="str">
        <f>IF(ISNA(MATCH(298,'Transfer Engine'!$C$2:$C$1199,0)),"",HYPERLINK("#Acts!A"&amp;INDEX('Compliance Database'!$P$2:$P$1199,MATCH(298,'Transfer Engine'!$C$2:$C$1199,0)),"Go to Act"))</f>
        <v>Go to Act</v>
      </c>
    </row>
    <row r="308" spans="1:16" ht="172.95" customHeight="1" x14ac:dyDescent="0.3">
      <c r="A308" s="6" t="str">
        <f>IF(ISNA(MATCH(299,'Transfer Engine'!$C$2:$C$1199,0)),"",INDEX('Compliance Database'!$A$2:$A$1199,MATCH(299,'Transfer Engine'!$C$2:$C$1199,0)))</f>
        <v>GDPR</v>
      </c>
      <c r="B308" s="6" t="str">
        <f>IF(ISNA(MATCH(299,'Transfer Engine'!$C$2:$C$1199,0)),"",INDEX('Compliance Database'!$B$2:$B$1199,MATCH(299,'Transfer Engine'!$C$2:$C$1199,0)))</f>
        <v>OJ_L_202302854_EN_TXT (GDPR - Row 11)</v>
      </c>
      <c r="C308" s="6" t="str">
        <f>IF(ISNA(MATCH(299,'Transfer Engine'!$C$2:$C$1199,0)),"",INDEX('Compliance Database'!$C$2:$C$1199,MATCH(299,'Transfer Engine'!$C$2:$C$1199,0)))</f>
        <v>7</v>
      </c>
      <c r="D308" s="7" t="str">
        <f>IF(ISNA(MATCH(299,'Transfer Engine'!$C$2:$C$1199,0)),"",INDEX('Compliance Database'!$D$2:$D$1199,MATCH(299,'Transfer Engine'!$C$2:$C$1199,0)))</f>
        <v>Commission's authority to monitor switching charges</v>
      </c>
      <c r="E308" s="6" t="str">
        <f>IF(ISNA(MATCH(299,'Transfer Engine'!$C$2:$C$1199,0)),"",INDEX('Compliance Database'!$E$2:$E$1199,MATCH(299,'Transfer Engine'!$C$2:$C$1199,0)))</f>
        <v>33</v>
      </c>
      <c r="F308" s="6" t="str">
        <f>IF(ISNA(MATCH(299,'Transfer Engine'!$C$2:$C$1199,0)),"",INDEX('Compliance Database'!$F$2:$F$1199,MATCH(299,'Transfer Engine'!$C$2:$C$1199,0)))</f>
        <v>High</v>
      </c>
      <c r="G308" s="6" t="str">
        <f>IF(ISNA(MATCH(299,'Transfer Engine'!$C$2:$C$1199,0)),"",INDEX('Compliance Database'!$G$2:$G$1199,MATCH(299,'Transfer Engine'!$C$2:$C$1199,0)))</f>
        <v>High (explicit)</v>
      </c>
      <c r="H308" s="7">
        <f>IF(ISNA(MATCH(299,'Transfer Engine'!$C$2:$C$1199,0)),"",INDEX('Compliance Database'!$H$2:$H$1199,MATCH(299,'Transfer Engine'!$C$2:$C$1199,0)))</f>
        <v>0</v>
      </c>
      <c r="I308" s="7">
        <f>IF(ISNA(MATCH(299,'Transfer Engine'!$C$2:$C$1199,0)),"",INDEX('Compliance Database'!$I$2:$I$1199,MATCH(299,'Transfer Engine'!$C$2:$C$1199,0)))</f>
        <v>0</v>
      </c>
      <c r="J308" s="6" t="str">
        <f>IF(ISNA(MATCH(299,'Transfer Engine'!$C$2:$C$1199,0)),"",INDEX('Compliance Database'!$J$2:$J$1199,MATCH(299,'Transfer Engine'!$C$2:$C$1199,0)))</f>
        <v>European Commission</v>
      </c>
      <c r="K308" s="7" t="str">
        <f>IF(ISNA(MATCH(299,'Transfer Engine'!$C$2:$C$1199,0)),"",INDEX('Compliance Database'!$K$2:$K$1199,MATCH(299,'Transfer Engine'!$C$2:$C$1199,0)))</f>
        <v>The European Commission can adopt delegated acts to establish a monitoring mechanism for switching charges imposed by data processing service providers. This mechanism ensures compliance with switching deadlines and fee reductions as specified in paragraphs 1 and 2 of the regulation.</v>
      </c>
      <c r="L308" s="7" t="str">
        <f>IF(ISNA(MATCH(299,'Transfer Engine'!$C$2:$C$1199,0)),"",INDEX('Compliance Database'!$L$2:$L$1199,MATCH(299,'Transfer Engine'!$C$2:$C$1199,0)))</f>
        <v>This section grants the Commission authority to monitor switching charges, which impacts DTIA by requiring oversight of financial terms during cross-border data transfers to ensure timely compliance.</v>
      </c>
      <c r="M308" s="7" t="str">
        <f>IF(ISNA(MATCH(299,'Transfer Engine'!$C$2:$C$1199,0)),"",INDEX('Compliance Database'!$M$2:$M$1199,MATCH(299,'Transfer Engine'!$C$2:$C$1199,0)))</f>
        <v>• [May] Commission may adopt delegated acts to establish monitoring mechanism for switching charges</v>
      </c>
      <c r="N308" s="7">
        <f>IF(ISNA(MATCH(299,'Transfer Engine'!$C$2:$C$1199,0)),"",INDEX('Compliance Database'!$N$2:$N$1199,MATCH(299,'Transfer Engine'!$C$2:$C$1199,0)))</f>
        <v>0</v>
      </c>
      <c r="O308" s="7" t="str">
        <f>IF(ISNA(MATCH(299,'Transfer Engine'!$C$2:$C$1199,0)),"",INDEX('Compliance Database'!$O$2:$O$1199,MATCH(299,'Transfer Engine'!$C$2:$C$1199,0)))</f>
        <v>The Commission is empowered to adopt delegated acts in accordance with Article 45 to supplement this Regulation by establishing a monitoring mechanism for the Commission to monitor switching charges, imposed by providers of data processing services on the market to ensure that the withdrawal and reduction of switching charges, pursuant to paragraphs 1 and 2 of this Article are to be attained in accordance with the deadlines laid down in those paragraphs.</v>
      </c>
      <c r="P308" s="6" t="str">
        <f>IF(ISNA(MATCH(299,'Transfer Engine'!$C$2:$C$1199,0)),"",HYPERLINK("#Acts!A"&amp;INDEX('Compliance Database'!$P$2:$P$1199,MATCH(299,'Transfer Engine'!$C$2:$C$1199,0)),"Go to Act"))</f>
        <v>Go to Act</v>
      </c>
    </row>
    <row r="309" spans="1:16" ht="172.95" customHeight="1" x14ac:dyDescent="0.3">
      <c r="A309" s="6" t="str">
        <f>IF(ISNA(MATCH(300,'Transfer Engine'!$C$2:$C$1199,0)),"",INDEX('Compliance Database'!$A$2:$A$1199,MATCH(300,'Transfer Engine'!$C$2:$C$1199,0)))</f>
        <v>GDPR</v>
      </c>
      <c r="B309" s="6" t="str">
        <f>IF(ISNA(MATCH(300,'Transfer Engine'!$C$2:$C$1199,0)),"",INDEX('Compliance Database'!$B$2:$B$1199,MATCH(300,'Transfer Engine'!$C$2:$C$1199,0)))</f>
        <v>OJ_L_202302854_EN_TXT (GDPR - Row 11)</v>
      </c>
      <c r="C309" s="6" t="str">
        <f>IF(ISNA(MATCH(300,'Transfer Engine'!$C$2:$C$1199,0)),"",INDEX('Compliance Database'!$C$2:$C$1199,MATCH(300,'Transfer Engine'!$C$2:$C$1199,0)))</f>
        <v>8</v>
      </c>
      <c r="D309" s="7" t="str">
        <f>IF(ISNA(MATCH(300,'Transfer Engine'!$C$2:$C$1199,0)),"",INDEX('Compliance Database'!$D$2:$D$1199,MATCH(300,'Transfer Engine'!$C$2:$C$1199,0)))</f>
        <v>Commission publishes references of harmonised standards for interoperability</v>
      </c>
      <c r="E309" s="6" t="str">
        <f>IF(ISNA(MATCH(300,'Transfer Engine'!$C$2:$C$1199,0)),"",INDEX('Compliance Database'!$E$2:$E$1199,MATCH(300,'Transfer Engine'!$C$2:$C$1199,0)))</f>
        <v>39</v>
      </c>
      <c r="F309" s="6" t="str">
        <f>IF(ISNA(MATCH(300,'Transfer Engine'!$C$2:$C$1199,0)),"",INDEX('Compliance Database'!$F$2:$F$1199,MATCH(300,'Transfer Engine'!$C$2:$C$1199,0)))</f>
        <v>Low</v>
      </c>
      <c r="G309" s="6" t="str">
        <f>IF(ISNA(MATCH(300,'Transfer Engine'!$C$2:$C$1199,0)),"",INDEX('Compliance Database'!$G$2:$G$1199,MATCH(300,'Transfer Engine'!$C$2:$C$1199,0)))</f>
        <v>High (explicit)</v>
      </c>
      <c r="H309" s="7" t="str">
        <f>IF(ISNA(MATCH(300,'Transfer Engine'!$C$2:$C$1199,0)),"",INDEX('Compliance Database'!$H$2:$H$1199,MATCH(300,'Transfer Engine'!$C$2:$C$1199,0)))</f>
        <v>Cross-border Transfer, International Processing, Data Storage, Security</v>
      </c>
      <c r="I309" s="7" t="str">
        <f>IF(ISNA(MATCH(300,'Transfer Engine'!$C$2:$C$1199,0)),"",INDEX('Compliance Database'!$I$2:$I$1199,MATCH(300,'Transfer Engine'!$C$2:$C$1199,0)))</f>
        <v>Personal Information</v>
      </c>
      <c r="J309" s="6" t="str">
        <f>IF(ISNA(MATCH(300,'Transfer Engine'!$C$2:$C$1199,0)),"",INDEX('Compliance Database'!$J$2:$J$1199,MATCH(300,'Transfer Engine'!$C$2:$C$1199,0)))</f>
        <v>European Commission</v>
      </c>
      <c r="K309" s="7" t="str">
        <f>IF(ISNA(MATCH(300,'Transfer Engine'!$C$2:$C$1199,0)),"",INDEX('Compliance Database'!$K$2:$K$1199,MATCH(300,'Transfer Engine'!$C$2:$C$1199,0)))</f>
        <v>The Commission must publish references to harmonised standards and common specifications for data processing service interoperability in a central Union repository. This ensures that technical standards are accessible for cross-border data processing services and promotes interoperability across the EU.</v>
      </c>
      <c r="L309" s="7" t="str">
        <f>IF(ISNA(MATCH(300,'Transfer Engine'!$C$2:$C$1199,0)),"",INDEX('Compliance Database'!$L$2:$L$1199,MATCH(300,'Transfer Engine'!$C$2:$C$1199,0)))</f>
        <v>This section mandates the publication of interoperability standards, which is relevant for DTIA when assessing technical compatibility and data transfer mechanisms between different systems and jurisdictions.</v>
      </c>
      <c r="M309" s="7" t="str">
        <f>IF(ISNA(MATCH(300,'Transfer Engine'!$C$2:$C$1199,0)),"",INDEX('Compliance Database'!$M$2:$M$1199,MATCH(300,'Transfer Engine'!$C$2:$C$1199,0)))</f>
        <v>• [Must] The Commission shall publish references of harmonised standards and common specifications for interoperability of data processing services</v>
      </c>
      <c r="N309" s="7">
        <f>IF(ISNA(MATCH(300,'Transfer Engine'!$C$2:$C$1199,0)),"",INDEX('Compliance Database'!$N$2:$N$1199,MATCH(300,'Transfer Engine'!$C$2:$C$1199,0)))</f>
        <v>0</v>
      </c>
      <c r="O309" s="7" t="str">
        <f>IF(ISNA(MATCH(300,'Transfer Engine'!$C$2:$C$1199,0)),"",INDEX('Compliance Database'!$O$2:$O$1199,MATCH(300,'Transfer Engine'!$C$2:$C$1199,0)))</f>
        <v>For the purpose of Article 30(3), the Commission shall, by means of implementing acts, publish the references of harmonised standards and common specifications for the interoperability of data processing services in a central Union standards repository for the interoperability of data processing services.</v>
      </c>
      <c r="P309" s="6" t="str">
        <f>IF(ISNA(MATCH(300,'Transfer Engine'!$C$2:$C$1199,0)),"",HYPERLINK("#Acts!A"&amp;INDEX('Compliance Database'!$P$2:$P$1199,MATCH(300,'Transfer Engine'!$C$2:$C$1199,0)),"Go to Act"))</f>
        <v>Go to Act</v>
      </c>
    </row>
    <row r="310" spans="1:16" ht="172.95" customHeight="1" x14ac:dyDescent="0.3">
      <c r="A310" s="6" t="str">
        <f>IF(ISNA(MATCH(301,'Transfer Engine'!$C$2:$C$1199,0)),"",INDEX('Compliance Database'!$A$2:$A$1199,MATCH(301,'Transfer Engine'!$C$2:$C$1199,0)))</f>
        <v>GDPR</v>
      </c>
      <c r="B310" s="6" t="str">
        <f>IF(ISNA(MATCH(301,'Transfer Engine'!$C$2:$C$1199,0)),"",INDEX('Compliance Database'!$B$2:$B$1199,MATCH(301,'Transfer Engine'!$C$2:$C$1199,0)))</f>
        <v>OJ_L_202302854_EN_TXT (GDPR - Row 11)</v>
      </c>
      <c r="C310" s="6" t="str">
        <f>IF(ISNA(MATCH(301,'Transfer Engine'!$C$2:$C$1199,0)),"",INDEX('Compliance Database'!$C$2:$C$1199,MATCH(301,'Transfer Engine'!$C$2:$C$1199,0)))</f>
        <v>9</v>
      </c>
      <c r="D310" s="7" t="str">
        <f>IF(ISNA(MATCH(301,'Transfer Engine'!$C$2:$C$1199,0)),"",INDEX('Compliance Database'!$D$2:$D$1199,MATCH(301,'Transfer Engine'!$C$2:$C$1199,0)))</f>
        <v>Trade secrets must be protected with necessary technical and organisational measures</v>
      </c>
      <c r="E310" s="6" t="str">
        <f>IF(ISNA(MATCH(301,'Transfer Engine'!$C$2:$C$1199,0)),"",INDEX('Compliance Database'!$E$2:$E$1199,MATCH(301,'Transfer Engine'!$C$2:$C$1199,0)))</f>
        <v>39</v>
      </c>
      <c r="F310" s="6" t="str">
        <f>IF(ISNA(MATCH(301,'Transfer Engine'!$C$2:$C$1199,0)),"",INDEX('Compliance Database'!$F$2:$F$1199,MATCH(301,'Transfer Engine'!$C$2:$C$1199,0)))</f>
        <v>High</v>
      </c>
      <c r="G310" s="6" t="str">
        <f>IF(ISNA(MATCH(301,'Transfer Engine'!$C$2:$C$1199,0)),"",INDEX('Compliance Database'!$G$2:$G$1199,MATCH(301,'Transfer Engine'!$C$2:$C$1199,0)))</f>
        <v>High (explicit)</v>
      </c>
      <c r="H310" s="7" t="str">
        <f>IF(ISNA(MATCH(301,'Transfer Engine'!$C$2:$C$1199,0)),"",INDEX('Compliance Database'!$H$2:$H$1199,MATCH(301,'Transfer Engine'!$C$2:$C$1199,0)))</f>
        <v>Data Sharing, Security, Third Party Processing</v>
      </c>
      <c r="I310" s="7" t="str">
        <f>IF(ISNA(MATCH(301,'Transfer Engine'!$C$2:$C$1199,0)),"",INDEX('Compliance Database'!$I$2:$I$1199,MATCH(301,'Transfer Engine'!$C$2:$C$1199,0)))</f>
        <v>Special Personal Information</v>
      </c>
      <c r="J310" s="6">
        <f>IF(ISNA(MATCH(301,'Transfer Engine'!$C$2:$C$1199,0)),"",INDEX('Compliance Database'!$J$2:$J$1199,MATCH(301,'Transfer Engine'!$C$2:$C$1199,0)))</f>
        <v>0</v>
      </c>
      <c r="K310" s="7" t="str">
        <f>IF(ISNA(MATCH(301,'Transfer Engine'!$C$2:$C$1199,0)),"",INDEX('Compliance Database'!$K$2:$K$1199,MATCH(301,'Transfer Engine'!$C$2:$C$1199,0)))</f>
        <v>This section requires trade secrets to be preserved and disclosed only when strictly necessary for agreed purposes. The data holder must identify protected trade secrets and agree on proportionate technical and organisational measures with third parties, such as confidentiality agreements and access protocols. The obligation applies to data holders and third parties sharing trade secrets.</v>
      </c>
      <c r="L310" s="7" t="str">
        <f>IF(ISNA(MATCH(301,'Transfer Engine'!$C$2:$C$1199,0)),"",INDEX('Compliance Database'!$L$2:$L$1199,MATCH(301,'Transfer Engine'!$C$2:$C$1199,0)))</f>
        <v>Trade secrets must be protected with specific technical and organisational measures before sharing, which impacts DTIAs for cross-border transfers involving sensitive business information.</v>
      </c>
      <c r="M310" s="7" t="str">
        <f>IF(ISNA(MATCH(301,'Transfer Engine'!$C$2:$C$1199,0)),"",INDEX('Compliance Database'!$M$2:$M$1199,MATCH(301,'Transfer Engine'!$C$2:$C$1199,0)))</f>
        <v>• [Must] Trade secrets shall be preserved and shall be disclosed to third parties only to the extent that such disclosure is strictly necessary to fulfil the purpose agreed between the user and the third party
• [Must] The data holder or, where they are not the same person, the trade secret holder shall identify the data which are protected as trade secrets, including in the relevant metadata</v>
      </c>
      <c r="N310" s="7" t="str">
        <f>IF(ISNA(MATCH(301,'Transfer Engine'!$C$2:$C$1199,0)),"",INDEX('Compliance Database'!$N$2:$N$1199,MATCH(301,'Transfer Engine'!$C$2:$C$1199,0)))</f>
        <v>• [Must] The data holder shall agree with the third party all proportionate technical and organisational measures necessary to preserve the confidentiality of the shared data, such as model contractual terms, confidentiality agreements, strict access protocols, technical standards and the application of codes of conduct</v>
      </c>
      <c r="O310" s="7" t="str">
        <f>IF(ISNA(MATCH(301,'Transfer Engine'!$C$2:$C$1199,0)),"",INDEX('Compliance Database'!$O$2:$O$1199,MATCH(301,'Transfer Engine'!$C$2:$C$1199,0)))</f>
        <v>Trade secrets shall be preserved and shall be disclosed to third parties only to the extent that such disclosure is strictly necessary to fulfil the purpose agreed between the user and the third party. The data holder or, where they are not the same person, the trade secret holder shall identify the data which are protected as trade secrets, including in the relevant metadata, and shall agree with the third party all proportionate technical and organisational measures necessary to preserve the confidentiality of the shared data, such as model contractual terms, confidentiality agreements, strict access protocols, technical standards and the application of codes of conduct.</v>
      </c>
      <c r="P310" s="6" t="str">
        <f>IF(ISNA(MATCH(301,'Transfer Engine'!$C$2:$C$1199,0)),"",HYPERLINK("#Acts!A"&amp;INDEX('Compliance Database'!$P$2:$P$1199,MATCH(301,'Transfer Engine'!$C$2:$C$1199,0)),"Go to Act"))</f>
        <v>Go to Act</v>
      </c>
    </row>
    <row r="311" spans="1:16" ht="172.95" customHeight="1" x14ac:dyDescent="0.3">
      <c r="A311" s="6" t="str">
        <f>IF(ISNA(MATCH(302,'Transfer Engine'!$C$2:$C$1199,0)),"",INDEX('Compliance Database'!$A$2:$A$1199,MATCH(302,'Transfer Engine'!$C$2:$C$1199,0)))</f>
        <v>GDPR</v>
      </c>
      <c r="B311" s="6" t="str">
        <f>IF(ISNA(MATCH(302,'Transfer Engine'!$C$2:$C$1199,0)),"",INDEX('Compliance Database'!$B$2:$B$1199,MATCH(302,'Transfer Engine'!$C$2:$C$1199,0)))</f>
        <v>OJ_L_202302854_EN_TXT (GDPR - Row 11)</v>
      </c>
      <c r="C311" s="6" t="str">
        <f>IF(ISNA(MATCH(302,'Transfer Engine'!$C$2:$C$1199,0)),"",INDEX('Compliance Database'!$C$2:$C$1199,MATCH(302,'Transfer Engine'!$C$2:$C$1199,0)))</f>
        <v>10</v>
      </c>
      <c r="D311" s="7" t="str">
        <f>IF(ISNA(MATCH(302,'Transfer Engine'!$C$2:$C$1199,0)),"",INDEX('Compliance Database'!$D$2:$D$1199,MATCH(302,'Transfer Engine'!$C$2:$C$1199,0)))</f>
        <v>Data holder may withhold data if trade secret measures not agreed</v>
      </c>
      <c r="E311" s="6" t="str">
        <f>IF(ISNA(MATCH(302,'Transfer Engine'!$C$2:$C$1199,0)),"",INDEX('Compliance Database'!$E$2:$E$1199,MATCH(302,'Transfer Engine'!$C$2:$C$1199,0)))</f>
        <v>33–37</v>
      </c>
      <c r="F311" s="6" t="str">
        <f>IF(ISNA(MATCH(302,'Transfer Engine'!$C$2:$C$1199,0)),"",INDEX('Compliance Database'!$F$2:$F$1199,MATCH(302,'Transfer Engine'!$C$2:$C$1199,0)))</f>
        <v>High</v>
      </c>
      <c r="G311" s="6" t="str">
        <f>IF(ISNA(MATCH(302,'Transfer Engine'!$C$2:$C$1199,0)),"",INDEX('Compliance Database'!$G$2:$G$1199,MATCH(302,'Transfer Engine'!$C$2:$C$1199,0)))</f>
        <v>High (explicit)</v>
      </c>
      <c r="H311" s="7" t="str">
        <f>IF(ISNA(MATCH(302,'Transfer Engine'!$C$2:$C$1199,0)),"",INDEX('Compliance Database'!$H$2:$H$1199,MATCH(302,'Transfer Engine'!$C$2:$C$1199,0)))</f>
        <v>Data Sharing, Security, Third Party Processing</v>
      </c>
      <c r="I311" s="7" t="str">
        <f>IF(ISNA(MATCH(302,'Transfer Engine'!$C$2:$C$1199,0)),"",INDEX('Compliance Database'!$I$2:$I$1199,MATCH(302,'Transfer Engine'!$C$2:$C$1199,0)))</f>
        <v>Special Personal Information</v>
      </c>
      <c r="J311" s="6">
        <f>IF(ISNA(MATCH(302,'Transfer Engine'!$C$2:$C$1199,0)),"",INDEX('Compliance Database'!$J$2:$J$1199,MATCH(302,'Transfer Engine'!$C$2:$C$1199,0)))</f>
        <v>0</v>
      </c>
      <c r="K311" s="7" t="str">
        <f>IF(ISNA(MATCH(302,'Transfer Engine'!$C$2:$C$1199,0)),"",INDEX('Compliance Database'!$K$2:$K$1199,MATCH(302,'Transfer Engine'!$C$2:$C$1199,0)))</f>
        <v>If there is no agreement on technical and organisational measures from paragraph 9 or if the third party fails to implement agreed measures, the data holder may withhold or suspend sharing trade secrets. The data holder must substantiate and notify the third party in writing without undue delay and inform the competent authority of the withholding action.</v>
      </c>
      <c r="L311" s="7" t="str">
        <f>IF(ISNA(MATCH(302,'Transfer Engine'!$C$2:$C$1199,0)),"",INDEX('Compliance Database'!$L$2:$L$1199,MATCH(302,'Transfer Engine'!$C$2:$C$1199,0)))</f>
        <v>Data holders can withhold trade secrets if technical measures aren't agreed, which is a critical safeguard for DTIAs involving sensitive data transfers.</v>
      </c>
      <c r="M311" s="7" t="str">
        <f>IF(ISNA(MATCH(302,'Transfer Engine'!$C$2:$C$1199,0)),"",INDEX('Compliance Database'!$M$2:$M$1199,MATCH(302,'Transfer Engine'!$C$2:$C$1199,0)))</f>
        <v>• [May] Where there is no agreement on the necessary measures referred to in paragraph 9 of this Article or if the third party fails to implement the measures agreed pursuant to paragraph 9 of this Article or undermines the confidentiality of the trade secrets, the data holder may withhold or, as the case may be, suspend the sharing of data identified as…
• [Must] The decision of the data holder shall be duly substantiated and provided in writing to the third party without undue delay</v>
      </c>
      <c r="N311" s="7" t="str">
        <f>IF(ISNA(MATCH(302,'Transfer Engine'!$C$2:$C$1199,0)),"",INDEX('Compliance Database'!$N$2:$N$1199,MATCH(302,'Transfer Engine'!$C$2:$C$1199,0)))</f>
        <v>• [Must] The data holder shall notify the competent authority designated pursuant to Article 37 that it has withheld or suspended data sharing and identify which measures have not been agreed or implemented and, where relevant, which trade secrets have had their confidentiality undermined</v>
      </c>
      <c r="O311" s="7" t="str">
        <f>IF(ISNA(MATCH(302,'Transfer Engine'!$C$2:$C$1199,0)),"",INDEX('Compliance Database'!$O$2:$O$1199,MATCH(302,'Transfer Engine'!$C$2:$C$1199,0)))</f>
        <v>Where there is no agreement on the necessary measures referred to in paragraph 9 of this Article or if the third party fails to implement the measures agreed pursuant to paragraph 9 of this Article or undermines the confidentiality of the trade secrets, the data holder may withhold or, as the case may be, suspend the sharing of data identified as trade secrets. The decision of the data holder shall be duly substantiated and provided in writing to the third party without undue delay. In such cases, the data holder shall notify the competent authority designated pursuant to Article 37 that it has withheld or suspended data sharing and identify which measures have not been agreed or implemented and, where relevant, which trade secrets have had their confidentiality undermined.</v>
      </c>
      <c r="P311" s="6" t="str">
        <f>IF(ISNA(MATCH(302,'Transfer Engine'!$C$2:$C$1199,0)),"",HYPERLINK("#Acts!A"&amp;INDEX('Compliance Database'!$P$2:$P$1199,MATCH(302,'Transfer Engine'!$C$2:$C$1199,0)),"Go to Act"))</f>
        <v>Go to Act</v>
      </c>
    </row>
    <row r="312" spans="1:16" ht="172.95" customHeight="1" x14ac:dyDescent="0.3">
      <c r="A312" s="6" t="str">
        <f>IF(ISNA(MATCH(303,'Transfer Engine'!$C$2:$C$1199,0)),"",INDEX('Compliance Database'!$A$2:$A$1199,MATCH(303,'Transfer Engine'!$C$2:$C$1199,0)))</f>
        <v>GDPR</v>
      </c>
      <c r="B312" s="6" t="str">
        <f>IF(ISNA(MATCH(303,'Transfer Engine'!$C$2:$C$1199,0)),"",INDEX('Compliance Database'!$B$2:$B$1199,MATCH(303,'Transfer Engine'!$C$2:$C$1199,0)))</f>
        <v>OJ_L_202302854_EN_TXT (GDPR - Row 11)</v>
      </c>
      <c r="C312" s="6" t="str">
        <f>IF(ISNA(MATCH(303,'Transfer Engine'!$C$2:$C$1199,0)),"",INDEX('Compliance Database'!$C$2:$C$1199,MATCH(303,'Transfer Engine'!$C$2:$C$1199,0)))</f>
        <v>11</v>
      </c>
      <c r="D312" s="7" t="str">
        <f>IF(ISNA(MATCH(303,'Transfer Engine'!$C$2:$C$1199,0)),"",INDEX('Compliance Database'!$D$2:$D$1199,MATCH(303,'Transfer Engine'!$C$2:$C$1199,0)))</f>
        <v>Commission guidelines for data space interoperability</v>
      </c>
      <c r="E312" s="6" t="str">
        <f>IF(ISNA(MATCH(303,'Transfer Engine'!$C$2:$C$1199,0)),"",INDEX('Compliance Database'!$E$2:$E$1199,MATCH(303,'Transfer Engine'!$C$2:$C$1199,0)))</f>
        <v>41</v>
      </c>
      <c r="F312" s="6" t="str">
        <f>IF(ISNA(MATCH(303,'Transfer Engine'!$C$2:$C$1199,0)),"",INDEX('Compliance Database'!$F$2:$F$1199,MATCH(303,'Transfer Engine'!$C$2:$C$1199,0)))</f>
        <v>Low</v>
      </c>
      <c r="G312" s="6" t="str">
        <f>IF(ISNA(MATCH(303,'Transfer Engine'!$C$2:$C$1199,0)),"",INDEX('Compliance Database'!$G$2:$G$1199,MATCH(303,'Transfer Engine'!$C$2:$C$1199,0)))</f>
        <v>High (explicit)</v>
      </c>
      <c r="H312" s="7" t="str">
        <f>IF(ISNA(MATCH(303,'Transfer Engine'!$C$2:$C$1199,0)),"",INDEX('Compliance Database'!$H$2:$H$1199,MATCH(303,'Transfer Engine'!$C$2:$C$1199,0)))</f>
        <v>Cross-border Transfer, Data Sharing</v>
      </c>
      <c r="I312" s="7" t="str">
        <f>IF(ISNA(MATCH(303,'Transfer Engine'!$C$2:$C$1199,0)),"",INDEX('Compliance Database'!$I$2:$I$1199,MATCH(303,'Transfer Engine'!$C$2:$C$1199,0)))</f>
        <v>Personal Information</v>
      </c>
      <c r="J312" s="6" t="str">
        <f>IF(ISNA(MATCH(303,'Transfer Engine'!$C$2:$C$1199,0)),"",INDEX('Compliance Database'!$J$2:$J$1199,MATCH(303,'Transfer Engine'!$C$2:$C$1199,0)))</f>
        <v>European Commission</v>
      </c>
      <c r="K312" s="7" t="str">
        <f>IF(ISNA(MATCH(303,'Transfer Engine'!$C$2:$C$1199,0)),"",INDEX('Compliance Database'!$K$2:$K$1199,MATCH(303,'Transfer Engine'!$C$2:$C$1199,0)))</f>
        <v>The European Commission may adopt guidelines based on the EDIB's proposal to establish interoperable frameworks for common standards and practices in European data spaces, as specified in Article 30 of Regulation (EU) 2022/868. These guidelines aim to harmonize data processing services across the EU while ensuring compliance with existing legal requirements.</v>
      </c>
      <c r="L312" s="7" t="str">
        <f>IF(ISNA(MATCH(303,'Transfer Engine'!$C$2:$C$1199,0)),"",INDEX('Compliance Database'!$L$2:$L$1199,MATCH(303,'Transfer Engine'!$C$2:$C$1199,0)))</f>
        <v>This section allows the Commission to create guidelines that standardize data interoperability across European data spaces, which could influence how data is transferred between participants in cross-border data environments.</v>
      </c>
      <c r="M312" s="7" t="str">
        <f>IF(ISNA(MATCH(303,'Transfer Engine'!$C$2:$C$1199,0)),"",INDEX('Compliance Database'!$M$2:$M$1199,MATCH(303,'Transfer Engine'!$C$2:$C$1199,0)))</f>
        <v>• [May] The Commission may adopt guidelines taking into account the proposal of the EDIB in accordance with Article 30, point (h), of Regulation (EU) 2022/868</v>
      </c>
      <c r="N312" s="7">
        <f>IF(ISNA(MATCH(303,'Transfer Engine'!$C$2:$C$1199,0)),"",INDEX('Compliance Database'!$N$2:$N$1199,MATCH(303,'Transfer Engine'!$C$2:$C$1199,0)))</f>
        <v>0</v>
      </c>
      <c r="O312" s="7" t="str">
        <f>IF(ISNA(MATCH(303,'Transfer Engine'!$C$2:$C$1199,0)),"",INDEX('Compliance Database'!$O$2:$O$1199,MATCH(303,'Transfer Engine'!$C$2:$C$1199,0)))</f>
        <v>The Commission may adopt guidelines taking into account the proposal of the EDIB in accordance with Article 30, point (h), of Regulation (EU) 2022/868 laying down interoperable frameworks for common standards and practices for the functioning of common European data spaces.</v>
      </c>
      <c r="P312" s="6" t="str">
        <f>IF(ISNA(MATCH(303,'Transfer Engine'!$C$2:$C$1199,0)),"",HYPERLINK("#Acts!A"&amp;INDEX('Compliance Database'!$P$2:$P$1199,MATCH(303,'Transfer Engine'!$C$2:$C$1199,0)),"Go to Act"))</f>
        <v>Go to Act</v>
      </c>
    </row>
    <row r="313" spans="1:16" ht="172.95" customHeight="1" x14ac:dyDescent="0.3">
      <c r="A313" s="6" t="str">
        <f>IF(ISNA(MATCH(304,'Transfer Engine'!$C$2:$C$1199,0)),"",INDEX('Compliance Database'!$A$2:$A$1199,MATCH(304,'Transfer Engine'!$C$2:$C$1199,0)))</f>
        <v>GDPR</v>
      </c>
      <c r="B313" s="6" t="str">
        <f>IF(ISNA(MATCH(304,'Transfer Engine'!$C$2:$C$1199,0)),"",INDEX('Compliance Database'!$B$2:$B$1199,MATCH(304,'Transfer Engine'!$C$2:$C$1199,0)))</f>
        <v>OJ_L_202302854_EN_TXT (GDPR - Row 11)</v>
      </c>
      <c r="C313" s="6" t="str">
        <f>IF(ISNA(MATCH(304,'Transfer Engine'!$C$2:$C$1199,0)),"",INDEX('Compliance Database'!$C$2:$C$1199,MATCH(304,'Transfer Engine'!$C$2:$C$1199,0)))</f>
        <v>12</v>
      </c>
      <c r="D313" s="7" t="str">
        <f>IF(ISNA(MATCH(304,'Transfer Engine'!$C$2:$C$1199,0)),"",INDEX('Compliance Database'!$D$2:$D$1199,MATCH(304,'Transfer Engine'!$C$2:$C$1199,0)))</f>
        <v>Third party may challenge data holder's decisions on trade secrets</v>
      </c>
      <c r="E313" s="6" t="str">
        <f>IF(ISNA(MATCH(304,'Transfer Engine'!$C$2:$C$1199,0)),"",INDEX('Compliance Database'!$E$2:$E$1199,MATCH(304,'Transfer Engine'!$C$2:$C$1199,0)))</f>
        <v>39</v>
      </c>
      <c r="F313" s="6" t="str">
        <f>IF(ISNA(MATCH(304,'Transfer Engine'!$C$2:$C$1199,0)),"",INDEX('Compliance Database'!$F$2:$F$1199,MATCH(304,'Transfer Engine'!$C$2:$C$1199,0)))</f>
        <v>High</v>
      </c>
      <c r="G313" s="6" t="str">
        <f>IF(ISNA(MATCH(304,'Transfer Engine'!$C$2:$C$1199,0)),"",INDEX('Compliance Database'!$G$2:$G$1199,MATCH(304,'Transfer Engine'!$C$2:$C$1199,0)))</f>
        <v>High (explicit)</v>
      </c>
      <c r="H313" s="7" t="str">
        <f>IF(ISNA(MATCH(304,'Transfer Engine'!$C$2:$C$1199,0)),"",INDEX('Compliance Database'!$H$2:$H$1199,MATCH(304,'Transfer Engine'!$C$2:$C$1199,0)))</f>
        <v>Data Sharing</v>
      </c>
      <c r="I313" s="7" t="str">
        <f>IF(ISNA(MATCH(304,'Transfer Engine'!$C$2:$C$1199,0)),"",INDEX('Compliance Database'!$I$2:$I$1199,MATCH(304,'Transfer Engine'!$C$2:$C$1199,0)))</f>
        <v>Special Personal Information</v>
      </c>
      <c r="J313" s="6">
        <f>IF(ISNA(MATCH(304,'Transfer Engine'!$C$2:$C$1199,0)),"",INDEX('Compliance Database'!$J$2:$J$1199,MATCH(304,'Transfer Engine'!$C$2:$C$1199,0)))</f>
        <v>0</v>
      </c>
      <c r="K313" s="7" t="str">
        <f>IF(ISNA(MATCH(304,'Transfer Engine'!$C$2:$C$1199,0)),"",INDEX('Compliance Database'!$K$2:$K$1199,MATCH(304,'Transfer Engine'!$C$2:$C$1199,0)))</f>
        <v>Third parties can challenge data holders' decisions to withhold or suspend trade secret sharing through the competent authority or by agreeing to refer the matter to a dispute settlement body. The challenge must be lodged within the timeframe specified in Article 37(5), point (b), and the competent authority must decide quickly whether data sharing should resume.</v>
      </c>
      <c r="L313" s="7" t="str">
        <f>IF(ISNA(MATCH(304,'Transfer Engine'!$C$2:$C$1199,0)),"",INDEX('Compliance Database'!$L$2:$L$1199,MATCH(304,'Transfer Engine'!$C$2:$C$1199,0)))</f>
        <v>Third parties have recourse to challenge data withholding decisions, which is vital for DTIAs involving trade secrets where disputes may arise across borders.</v>
      </c>
      <c r="M313" s="7" t="str">
        <f>IF(ISNA(MATCH(304,'Transfer Engine'!$C$2:$C$1199,0)),"",INDEX('Compliance Database'!$M$2:$M$1199,MATCH(304,'Transfer Engine'!$C$2:$C$1199,0)))</f>
        <v>• [May] A third party wishing to challenge a data holder's decision to refuse or to withhold or suspend data sharing pursuant to paragraphs 10 and 11 may lodge, in accordance with Article 37(5), point (b), a complaint with the competent authority, which shall, without undue delay, decide whether and under which conditions the data sharing is to start or r…</v>
      </c>
      <c r="N313" s="7" t="str">
        <f>IF(ISNA(MATCH(304,'Transfer Engine'!$C$2:$C$1199,0)),"",INDEX('Compliance Database'!$N$2:$N$1199,MATCH(304,'Transfer Engine'!$C$2:$C$1199,0)))</f>
        <v>• [May] A third party wishing to challenge a data holder's decision to refuse or to withhold or suspend data sharing pursuant to paragraphs 10 and 11 may agree with the data holder to refer the matter to a dispute settlement body in accordance with Article 10(1)</v>
      </c>
      <c r="O313" s="7" t="str">
        <f>IF(ISNA(MATCH(304,'Transfer Engine'!$C$2:$C$1199,0)),"",INDEX('Compliance Database'!$O$2:$O$1199,MATCH(304,'Transfer Engine'!$C$2:$C$1199,0)))</f>
        <v>Without prejudice to the third party's right to seek redress at any stage before a court or tribunal of a Member State, a third party wishing to challenge a data holder's decision to refuse or to withhold or suspend data sharing pursuant to paragraphs 10 and 11 may: (a) lodge, in accordance with Article 37(5), point (b), a complaint with the competent authority, which shall, without undue delay, decide whether and under which conditions the data sharing is to start or resume; or (b) agree with the data holder to refer the matter to a dispute settlement body in accordance with Article 10(1).</v>
      </c>
      <c r="P313" s="6" t="str">
        <f>IF(ISNA(MATCH(304,'Transfer Engine'!$C$2:$C$1199,0)),"",HYPERLINK("#Acts!A"&amp;INDEX('Compliance Database'!$P$2:$P$1199,MATCH(304,'Transfer Engine'!$C$2:$C$1199,0)),"Go to Act"))</f>
        <v>Go to Act</v>
      </c>
    </row>
    <row r="314" spans="1:16" ht="172.95" customHeight="1" x14ac:dyDescent="0.3">
      <c r="A314" s="6" t="str">
        <f>IF(ISNA(MATCH(305,'Transfer Engine'!$C$2:$C$1199,0)),"",INDEX('Compliance Database'!$A$2:$A$1199,MATCH(305,'Transfer Engine'!$C$2:$C$1199,0)))</f>
        <v>GDPR</v>
      </c>
      <c r="B314" s="6" t="str">
        <f>IF(ISNA(MATCH(305,'Transfer Engine'!$C$2:$C$1199,0)),"",INDEX('Compliance Database'!$B$2:$B$1199,MATCH(305,'Transfer Engine'!$C$2:$C$1199,0)))</f>
        <v>OJ_L_202302854_EN_TXT (GDPR - Row 11)</v>
      </c>
      <c r="C314" s="6" t="str">
        <f>IF(ISNA(MATCH(305,'Transfer Engine'!$C$2:$C$1199,0)),"",INDEX('Compliance Database'!$C$2:$C$1199,MATCH(305,'Transfer Engine'!$C$2:$C$1199,0)))</f>
        <v>13</v>
      </c>
      <c r="D314" s="7" t="str">
        <f>IF(ISNA(MATCH(305,'Transfer Engine'!$C$2:$C$1199,0)),"",INDEX('Compliance Database'!$D$2:$D$1199,MATCH(305,'Transfer Engine'!$C$2:$C$1199,0)))</f>
        <v>Trade secret rights do not affect data subject rights</v>
      </c>
      <c r="E314" s="6" t="str">
        <f>IF(ISNA(MATCH(305,'Transfer Engine'!$C$2:$C$1199,0)),"",INDEX('Compliance Database'!$E$2:$E$1199,MATCH(305,'Transfer Engine'!$C$2:$C$1199,0)))</f>
        <v>39</v>
      </c>
      <c r="F314" s="6" t="str">
        <f>IF(ISNA(MATCH(305,'Transfer Engine'!$C$2:$C$1199,0)),"",INDEX('Compliance Database'!$F$2:$F$1199,MATCH(305,'Transfer Engine'!$C$2:$C$1199,0)))</f>
        <v>Low</v>
      </c>
      <c r="G314" s="6" t="str">
        <f>IF(ISNA(MATCH(305,'Transfer Engine'!$C$2:$C$1199,0)),"",INDEX('Compliance Database'!$G$2:$G$1199,MATCH(305,'Transfer Engine'!$C$2:$C$1199,0)))</f>
        <v>High (explicit)</v>
      </c>
      <c r="H314" s="7" t="str">
        <f>IF(ISNA(MATCH(305,'Transfer Engine'!$C$2:$C$1199,0)),"",INDEX('Compliance Database'!$H$2:$H$1199,MATCH(305,'Transfer Engine'!$C$2:$C$1199,0)))</f>
        <v>Data Sharing</v>
      </c>
      <c r="I314" s="7" t="str">
        <f>IF(ISNA(MATCH(305,'Transfer Engine'!$C$2:$C$1199,0)),"",INDEX('Compliance Database'!$I$2:$I$1199,MATCH(305,'Transfer Engine'!$C$2:$C$1199,0)))</f>
        <v>Personal Information</v>
      </c>
      <c r="J314" s="6">
        <f>IF(ISNA(MATCH(305,'Transfer Engine'!$C$2:$C$1199,0)),"",INDEX('Compliance Database'!$J$2:$J$1199,MATCH(305,'Transfer Engine'!$C$2:$C$1199,0)))</f>
        <v>0</v>
      </c>
      <c r="K314" s="7" t="str">
        <f>IF(ISNA(MATCH(305,'Transfer Engine'!$C$2:$C$1199,0)),"",INDEX('Compliance Database'!$K$2:$K$1199,MATCH(305,'Transfer Engine'!$C$2:$C$1199,0)))</f>
        <v>This section states that the right to share trade secrets does not adversely affect data subjects' rights under Union and national law on personal data protection. The obligation applies to data holders and third parties involved in trade secret sharing.</v>
      </c>
      <c r="L314" s="7" t="str">
        <f>IF(ISNA(MATCH(305,'Transfer Engine'!$C$2:$C$1199,0)),"",INDEX('Compliance Database'!$L$2:$L$1199,MATCH(305,'Transfer Engine'!$C$2:$C$1199,0)))</f>
        <v>Trade secret sharing rights do not override data subject rights, which is important for DTIAs to ensure compliance with both trade secret and GDPR requirements.</v>
      </c>
      <c r="M314" s="7" t="str">
        <f>IF(ISNA(MATCH(305,'Transfer Engine'!$C$2:$C$1199,0)),"",INDEX('Compliance Database'!$M$2:$M$1199,MATCH(305,'Transfer Engine'!$C$2:$C$1199,0)))</f>
        <v>• [Must] The right referred to in paragraph 1 shall not adversely affect the rights of data subjects pursuant to the applicable Union and national law on the protection of personal data</v>
      </c>
      <c r="N314" s="7">
        <f>IF(ISNA(MATCH(305,'Transfer Engine'!$C$2:$C$1199,0)),"",INDEX('Compliance Database'!$N$2:$N$1199,MATCH(305,'Transfer Engine'!$C$2:$C$1199,0)))</f>
        <v>0</v>
      </c>
      <c r="O314" s="7" t="str">
        <f>IF(ISNA(MATCH(305,'Transfer Engine'!$C$2:$C$1199,0)),"",INDEX('Compliance Database'!$O$2:$O$1199,MATCH(305,'Transfer Engine'!$C$2:$C$1199,0)))</f>
        <v>The right referred to in paragraph 1 shall not adversely affect the rights of data subjects pursuant to the applicable Union and national law on the protection of personal data.</v>
      </c>
      <c r="P314" s="6" t="str">
        <f>IF(ISNA(MATCH(305,'Transfer Engine'!$C$2:$C$1199,0)),"",HYPERLINK("#Acts!A"&amp;INDEX('Compliance Database'!$P$2:$P$1199,MATCH(305,'Transfer Engine'!$C$2:$C$1199,0)),"Go to Act"))</f>
        <v>Go to Act</v>
      </c>
    </row>
    <row r="315" spans="1:16" ht="172.95" customHeight="1" x14ac:dyDescent="0.3">
      <c r="A315" s="6" t="str">
        <f>IF(ISNA(MATCH(306,'Transfer Engine'!$C$2:$C$1199,0)),"",INDEX('Compliance Database'!$A$2:$A$1199,MATCH(306,'Transfer Engine'!$C$2:$C$1199,0)))</f>
        <v>GDPR</v>
      </c>
      <c r="B315" s="6" t="str">
        <f>IF(ISNA(MATCH(306,'Transfer Engine'!$C$2:$C$1199,0)),"",INDEX('Compliance Database'!$B$2:$B$1199,MATCH(306,'Transfer Engine'!$C$2:$C$1199,0)))</f>
        <v>OJ_L_202302854_EN_TXT (GDPR - Row 11)</v>
      </c>
      <c r="C315" s="6" t="str">
        <f>IF(ISNA(MATCH(306,'Transfer Engine'!$C$2:$C$1199,0)),"",INDEX('Compliance Database'!$C$2:$C$1199,MATCH(306,'Transfer Engine'!$C$2:$C$1199,0)))</f>
        <v>16</v>
      </c>
      <c r="D315" s="7" t="str">
        <f>IF(ISNA(MATCH(306,'Transfer Engine'!$C$2:$C$1199,0)),"",INDEX('Compliance Database'!$D$2:$D$1199,MATCH(306,'Transfer Engine'!$C$2:$C$1199,0)))</f>
        <v>Confidentiality and professional secrecy for personal data</v>
      </c>
      <c r="E315" s="6" t="str">
        <f>IF(ISNA(MATCH(306,'Transfer Engine'!$C$2:$C$1199,0)),"",INDEX('Compliance Database'!$E$2:$E$1199,MATCH(306,'Transfer Engine'!$C$2:$C$1199,0)))</f>
        <v>66</v>
      </c>
      <c r="F315" s="6" t="str">
        <f>IF(ISNA(MATCH(306,'Transfer Engine'!$C$2:$C$1199,0)),"",INDEX('Compliance Database'!$F$2:$F$1199,MATCH(306,'Transfer Engine'!$C$2:$C$1199,0)))</f>
        <v>Low</v>
      </c>
      <c r="G315" s="6" t="str">
        <f>IF(ISNA(MATCH(306,'Transfer Engine'!$C$2:$C$1199,0)),"",INDEX('Compliance Database'!$G$2:$G$1199,MATCH(306,'Transfer Engine'!$C$2:$C$1199,0)))</f>
        <v>High (explicit)</v>
      </c>
      <c r="H315" s="7" t="str">
        <f>IF(ISNA(MATCH(306,'Transfer Engine'!$C$2:$C$1199,0)),"",INDEX('Compliance Database'!$H$2:$H$1199,MATCH(306,'Transfer Engine'!$C$2:$C$1199,0)))</f>
        <v>Security</v>
      </c>
      <c r="I315" s="7" t="str">
        <f>IF(ISNA(MATCH(306,'Transfer Engine'!$C$2:$C$1199,0)),"",INDEX('Compliance Database'!$I$2:$I$1199,MATCH(306,'Transfer Engine'!$C$2:$C$1199,0)))</f>
        <v>Personal Information</v>
      </c>
      <c r="J315" s="6" t="str">
        <f>IF(ISNA(MATCH(306,'Transfer Engine'!$C$2:$C$1199,0)),"",INDEX('Compliance Database'!$J$2:$J$1199,MATCH(306,'Transfer Engine'!$C$2:$C$1199,0)))</f>
        <v>Competent authorities</v>
      </c>
      <c r="K315" s="7" t="str">
        <f>IF(ISNA(MATCH(306,'Transfer Engine'!$C$2:$C$1199,0)),"",INDEX('Compliance Database'!$K$2:$K$1199,MATCH(306,'Transfer Engine'!$C$2:$C$1199,0)))</f>
        <v>Competent authorities must protect personal data in line with Union or national law. Any information shared during assistance requests must be used solely for the purpose that prompted the request. This applies to authorities handling data in compliance with GDPR.</v>
      </c>
      <c r="L315" s="7" t="str">
        <f>IF(ISNA(MATCH(306,'Transfer Engine'!$C$2:$C$1199,0)),"",INDEX('Compliance Database'!$L$2:$L$1199,MATCH(306,'Transfer Engine'!$C$2:$C$1199,0)))</f>
        <v>Requires that data shared during cross-border assistance requests be used exclusively for the specific purpose of the request, impacting data transfer safeguards.</v>
      </c>
      <c r="M315" s="7" t="str">
        <f>IF(ISNA(MATCH(306,'Transfer Engine'!$C$2:$C$1199,0)),"",INDEX('Compliance Database'!$M$2:$M$1199,MATCH(306,'Transfer Engine'!$C$2:$C$1199,0)))</f>
        <v>• [Must] Competent authorities shall respect the principles of confidentiality and professional and commercial secrecy
• [Must] Competent authorities shall protect personal data in accordance with Union or national law</v>
      </c>
      <c r="N315" s="7" t="str">
        <f>IF(ISNA(MATCH(306,'Transfer Engine'!$C$2:$C$1199,0)),"",INDEX('Compliance Database'!$N$2:$N$1199,MATCH(306,'Transfer Engine'!$C$2:$C$1199,0)))</f>
        <v>• [Must] Any information exchanged in the context of a request for assistance shall be used only for the matter for which it was requested</v>
      </c>
      <c r="O315" s="7" t="str">
        <f>IF(ISNA(MATCH(306,'Transfer Engine'!$C$2:$C$1199,0)),"",INDEX('Compliance Database'!$O$2:$O$1199,MATCH(306,'Transfer Engine'!$C$2:$C$1199,0)))</f>
        <v>Competent authorities shall respect the principles of confidentiality and of professional and commercial secrecy and shall protect personal data in accordance with Union or national law. Any information exchanged in the context of a request for assistance and provided pursuant to this Article shall be used only in respect of the matter for which it was requested.</v>
      </c>
      <c r="P315" s="6" t="str">
        <f>IF(ISNA(MATCH(306,'Transfer Engine'!$C$2:$C$1199,0)),"",HYPERLINK("#Acts!A"&amp;INDEX('Compliance Database'!$P$2:$P$1199,MATCH(306,'Transfer Engine'!$C$2:$C$1199,0)),"Go to Act"))</f>
        <v>Go to Act</v>
      </c>
    </row>
    <row r="316" spans="1:16" ht="172.95" customHeight="1" x14ac:dyDescent="0.3">
      <c r="A316" s="6" t="str">
        <f>IF(ISNA(MATCH(307,'Transfer Engine'!$C$2:$C$1199,0)),"",INDEX('Compliance Database'!$A$2:$A$1199,MATCH(307,'Transfer Engine'!$C$2:$C$1199,0)))</f>
        <v>GDPR</v>
      </c>
      <c r="B316" s="6" t="str">
        <f>IF(ISNA(MATCH(307,'Transfer Engine'!$C$2:$C$1199,0)),"",INDEX('Compliance Database'!$B$2:$B$1199,MATCH(307,'Transfer Engine'!$C$2:$C$1199,0)))</f>
        <v>OJ_L_202401689_EN_TXT (GDPR - Row 9)</v>
      </c>
      <c r="C316" s="6" t="str">
        <f>IF(ISNA(MATCH(307,'Transfer Engine'!$C$2:$C$1199,0)),"",INDEX('Compliance Database'!$C$2:$C$1199,MATCH(307,'Transfer Engine'!$C$2:$C$1199,0)))</f>
        <v>1</v>
      </c>
      <c r="D316" s="7" t="str">
        <f>IF(ISNA(MATCH(307,'Transfer Engine'!$C$2:$C$1199,0)),"",INDEX('Compliance Database'!$D$2:$D$1199,MATCH(307,'Transfer Engine'!$C$2:$C$1199,0)))</f>
        <v>Fines for general-purpose AI model providers</v>
      </c>
      <c r="E316" s="6" t="str">
        <f>IF(ISNA(MATCH(307,'Transfer Engine'!$C$2:$C$1199,0)),"",INDEX('Compliance Database'!$E$2:$E$1199,MATCH(307,'Transfer Engine'!$C$2:$C$1199,0)))</f>
        <v>51–52</v>
      </c>
      <c r="F316" s="6" t="str">
        <f>IF(ISNA(MATCH(307,'Transfer Engine'!$C$2:$C$1199,0)),"",INDEX('Compliance Database'!$F$2:$F$1199,MATCH(307,'Transfer Engine'!$C$2:$C$1199,0)))</f>
        <v>High</v>
      </c>
      <c r="G316" s="6" t="str">
        <f>IF(ISNA(MATCH(307,'Transfer Engine'!$C$2:$C$1199,0)),"",INDEX('Compliance Database'!$G$2:$G$1199,MATCH(307,'Transfer Engine'!$C$2:$C$1199,0)))</f>
        <v>High (explicit)</v>
      </c>
      <c r="H316" s="7" t="str">
        <f>IF(ISNA(MATCH(307,'Transfer Engine'!$C$2:$C$1199,0)),"",INDEX('Compliance Database'!$H$2:$H$1199,MATCH(307,'Transfer Engine'!$C$2:$C$1199,0)))</f>
        <v>Financial Data, AML</v>
      </c>
      <c r="I316" s="7" t="str">
        <f>IF(ISNA(MATCH(307,'Transfer Engine'!$C$2:$C$1199,0)),"",INDEX('Compliance Database'!$I$2:$I$1199,MATCH(307,'Transfer Engine'!$C$2:$C$1199,0)))</f>
        <v>Financial Data</v>
      </c>
      <c r="J316" s="6" t="str">
        <f>IF(ISNA(MATCH(307,'Transfer Engine'!$C$2:$C$1199,0)),"",INDEX('Compliance Database'!$J$2:$J$1199,MATCH(307,'Transfer Engine'!$C$2:$C$1199,0)))</f>
        <v>European Commission</v>
      </c>
      <c r="K316" s="7" t="str">
        <f>IF(ISNA(MATCH(307,'Transfer Engine'!$C$2:$C$1199,0)),"",INDEX('Compliance Database'!$K$2:$K$1199,MATCH(307,'Transfer Engine'!$C$2:$C$1199,0)))</f>
        <v>The Commission may impose fines up to 3% of annual worldwide turnover or EUR 15 million for providers of general-purpose AI models who intentionally or negligently violate data protection rules, fail to provide requested documents, or do not comply with safety measures. Fines consider the nature, gravity, and duration of infringements and may be adjusted based on commitments made.</v>
      </c>
      <c r="L316" s="7" t="str">
        <f>IF(ISNA(MATCH(307,'Transfer Engine'!$C$2:$C$1199,0)),"",INDEX('Compliance Database'!$L$2:$L$1199,MATCH(307,'Transfer Engine'!$C$2:$C$1199,0)))</f>
        <v>This section establishes financial penalties for AI model providers, which impacts DTIA by requiring assessment of compliance risks and potential financial consequences for data transfers involving AI systems.</v>
      </c>
      <c r="M316" s="7" t="str">
        <f>IF(ISNA(MATCH(307,'Transfer Engine'!$C$2:$C$1199,0)),"",INDEX('Compliance Database'!$M$2:$M$1199,MATCH(307,'Transfer Engine'!$C$2:$C$1199,0)))</f>
        <v>• [May] Commission may impose fines not exceeding 3% of annual worldwide turnover or EUR 15 million
• [Condition] Fines apply when provider intentionally or negligently infringes relevant provisions
• [Condition] Fines apply when provider fails to comply with document requests under Article 91
• [Condition] Fines apply when provider fails to comply with measures under Article 93</v>
      </c>
      <c r="N316" s="7" t="str">
        <f>IF(ISNA(MATCH(307,'Transfer Engine'!$C$2:$C$1199,0)),"",INDEX('Compliance Database'!$N$2:$N$1199,MATCH(307,'Transfer Engine'!$C$2:$C$1199,0)))</f>
        <v>• [Condition] Fines apply when provider fails to make AI model available for evaluation
• [Must] Fine amount considers nature, gravity, and duration of infringement
• [Must] Fine amount considers principles of proportionality and appropriateness
• [Must] Commission considers commitments made under Article 93 or relevant codes of practice</v>
      </c>
      <c r="O316" s="7" t="str">
        <f>IF(ISNA(MATCH(307,'Transfer Engine'!$C$2:$C$1199,0)),"",INDEX('Compliance Database'!$O$2:$O$1199,MATCH(307,'Transfer Engine'!$C$2:$C$1199,0)))</f>
        <v>The Commission may impose on providers of general-purpose AI models fines not exceeding 3 % of their annual total worldwide turnover in the preceding financial year or EUR 15 000 000, whichever is higher., when the Commission finds that the provider intentionally or negligently: (a) infringed the relevant provisions of this Regulation; (b) failed to comply with a request for a document or for information pursuant to Article 91, or supplied incorrect, incomplete or misleading information; (c) failed to comply with a measure requested under Article 93;</v>
      </c>
      <c r="P316" s="6" t="str">
        <f>IF(ISNA(MATCH(307,'Transfer Engine'!$C$2:$C$1199,0)),"",HYPERLINK("#Acts!A"&amp;INDEX('Compliance Database'!$P$2:$P$1199,MATCH(307,'Transfer Engine'!$C$2:$C$1199,0)),"Go to Act"))</f>
        <v>Go to Act</v>
      </c>
    </row>
    <row r="317" spans="1:16" ht="172.95" customHeight="1" x14ac:dyDescent="0.3">
      <c r="A317" s="6" t="str">
        <f>IF(ISNA(MATCH(308,'Transfer Engine'!$C$2:$C$1199,0)),"",INDEX('Compliance Database'!$A$2:$A$1199,MATCH(308,'Transfer Engine'!$C$2:$C$1199,0)))</f>
        <v>GDPR</v>
      </c>
      <c r="B317" s="6" t="str">
        <f>IF(ISNA(MATCH(308,'Transfer Engine'!$C$2:$C$1199,0)),"",INDEX('Compliance Database'!$B$2:$B$1199,MATCH(308,'Transfer Engine'!$C$2:$C$1199,0)))</f>
        <v>OJ_L_202401689_EN_TXT (GDPR - Row 9)</v>
      </c>
      <c r="C317" s="6" t="str">
        <f>IF(ISNA(MATCH(308,'Transfer Engine'!$C$2:$C$1199,0)),"",INDEX('Compliance Database'!$C$2:$C$1199,MATCH(308,'Transfer Engine'!$C$2:$C$1199,0)))</f>
        <v>2</v>
      </c>
      <c r="D317" s="7" t="str">
        <f>IF(ISNA(MATCH(308,'Transfer Engine'!$C$2:$C$1199,0)),"",INDEX('Compliance Database'!$D$2:$D$1199,MATCH(308,'Transfer Engine'!$C$2:$C$1199,0)))</f>
        <v>AI model development description</v>
      </c>
      <c r="E317" s="6" t="str">
        <f>IF(ISNA(MATCH(308,'Transfer Engine'!$C$2:$C$1199,0)),"",INDEX('Compliance Database'!$E$2:$E$1199,MATCH(308,'Transfer Engine'!$C$2:$C$1199,0)))</f>
        <v>44–45</v>
      </c>
      <c r="F317" s="6" t="str">
        <f>IF(ISNA(MATCH(308,'Transfer Engine'!$C$2:$C$1199,0)),"",INDEX('Compliance Database'!$F$2:$F$1199,MATCH(308,'Transfer Engine'!$C$2:$C$1199,0)))</f>
        <v>Low</v>
      </c>
      <c r="G317" s="6" t="str">
        <f>IF(ISNA(MATCH(308,'Transfer Engine'!$C$2:$C$1199,0)),"",INDEX('Compliance Database'!$G$2:$G$1199,MATCH(308,'Transfer Engine'!$C$2:$C$1199,0)))</f>
        <v>High (explicit)</v>
      </c>
      <c r="H317" s="7">
        <f>IF(ISNA(MATCH(308,'Transfer Engine'!$C$2:$C$1199,0)),"",INDEX('Compliance Database'!$H$2:$H$1199,MATCH(308,'Transfer Engine'!$C$2:$C$1199,0)))</f>
        <v>0</v>
      </c>
      <c r="I317" s="7" t="str">
        <f>IF(ISNA(MATCH(308,'Transfer Engine'!$C$2:$C$1199,0)),"",INDEX('Compliance Database'!$I$2:$I$1199,MATCH(308,'Transfer Engine'!$C$2:$C$1199,0)))</f>
        <v>Special Personal Information</v>
      </c>
      <c r="J317" s="6">
        <f>IF(ISNA(MATCH(308,'Transfer Engine'!$C$2:$C$1199,0)),"",INDEX('Compliance Database'!$J$2:$J$1199,MATCH(308,'Transfer Engine'!$C$2:$C$1199,0)))</f>
        <v>0</v>
      </c>
      <c r="K317" s="7" t="str">
        <f>IF(ISNA(MATCH(308,'Transfer Engine'!$C$2:$C$1199,0)),"",INDEX('Compliance Database'!$K$2:$K$1199,MATCH(308,'Transfer Engine'!$C$2:$C$1199,0)))</f>
        <v>Requires providers to describe AI model elements and development processes, including technical means for integration, input/output modalities, and data used for training, testing, and validation. This information is critical for assessing model capabilities and risks.</v>
      </c>
      <c r="L317" s="7" t="str">
        <f>IF(ISNA(MATCH(308,'Transfer Engine'!$C$2:$C$1199,0)),"",INDEX('Compliance Database'!$L$2:$L$1199,MATCH(308,'Transfer Engine'!$C$2:$C$1199,0)))</f>
        <v>Mandates detailed descriptions of AI model development processes to ensure transparency and compliance with data protection and security requirements.</v>
      </c>
      <c r="M317" s="7" t="str">
        <f>IF(ISNA(MATCH(308,'Transfer Engine'!$C$2:$C$1199,0)),"",INDEX('Compliance Database'!$M$2:$M$1199,MATCH(308,'Transfer Engine'!$C$2:$C$1199,0)))</f>
        <v>• [Must] Provider must describe technical means required for general-purpose AI model integration
• [Must] Provider must describe input/output modalities and maximum size of data</v>
      </c>
      <c r="N317" s="7" t="str">
        <f>IF(ISNA(MATCH(308,'Transfer Engine'!$C$2:$C$1199,0)),"",INDEX('Compliance Database'!$N$2:$N$1199,MATCH(308,'Transfer Engine'!$C$2:$C$1199,0)))</f>
        <v>• [Must] Provider must describe data used for training, testing, and validation including type, provenance, and curation methodologies</v>
      </c>
      <c r="O317" s="7" t="str">
        <f>IF(ISNA(MATCH(308,'Transfer Engine'!$C$2:$C$1199,0)),"",INDEX('Compliance Database'!$O$2:$O$1199,MATCH(308,'Transfer Engine'!$C$2:$C$1199,0)))</f>
        <v>2. A description of the elements of the model and of the process for its development, including: (a) the technical means (e.g. instructions for use, infrastructure, tools) required for the general-purpose AI model to be integrated into AI systems; (b) the modality (e.g. text, image, etc.) and format of the inputs and outputs and their maximum size (e.g. context window length, etc.); (c) information on the data used for training, testing and validation, where applicable, including the type and provenance of data and curation methodologies.</v>
      </c>
      <c r="P317" s="6" t="str">
        <f>IF(ISNA(MATCH(308,'Transfer Engine'!$C$2:$C$1199,0)),"",HYPERLINK("#Acts!A"&amp;INDEX('Compliance Database'!$P$2:$P$1199,MATCH(308,'Transfer Engine'!$C$2:$C$1199,0)),"Go to Act"))</f>
        <v>Go to Act</v>
      </c>
    </row>
    <row r="318" spans="1:16" ht="172.95" customHeight="1" x14ac:dyDescent="0.3">
      <c r="A318" s="6" t="str">
        <f>IF(ISNA(MATCH(309,'Transfer Engine'!$C$2:$C$1199,0)),"",INDEX('Compliance Database'!$A$2:$A$1199,MATCH(309,'Transfer Engine'!$C$2:$C$1199,0)))</f>
        <v>GDPR</v>
      </c>
      <c r="B318" s="6" t="str">
        <f>IF(ISNA(MATCH(309,'Transfer Engine'!$C$2:$C$1199,0)),"",INDEX('Compliance Database'!$B$2:$B$1199,MATCH(309,'Transfer Engine'!$C$2:$C$1199,0)))</f>
        <v>OJ_L_202401689_EN_TXT (GDPR - Row 9)</v>
      </c>
      <c r="C318" s="6" t="str">
        <f>IF(ISNA(MATCH(309,'Transfer Engine'!$C$2:$C$1199,0)),"",INDEX('Compliance Database'!$C$2:$C$1199,MATCH(309,'Transfer Engine'!$C$2:$C$1199,0)))</f>
        <v>3</v>
      </c>
      <c r="D318" s="7" t="str">
        <f>IF(ISNA(MATCH(309,'Transfer Engine'!$C$2:$C$1199,0)),"",INDEX('Compliance Database'!$D$2:$D$1199,MATCH(309,'Transfer Engine'!$C$2:$C$1199,0)))</f>
        <v>System architecture description for AI providers</v>
      </c>
      <c r="E318" s="6" t="str">
        <f>IF(ISNA(MATCH(309,'Transfer Engine'!$C$2:$C$1199,0)),"",INDEX('Compliance Database'!$E$2:$E$1199,MATCH(309,'Transfer Engine'!$C$2:$C$1199,0)))</f>
        <v>52–53</v>
      </c>
      <c r="F318" s="6" t="str">
        <f>IF(ISNA(MATCH(309,'Transfer Engine'!$C$2:$C$1199,0)),"",INDEX('Compliance Database'!$F$2:$F$1199,MATCH(309,'Transfer Engine'!$C$2:$C$1199,0)))</f>
        <v>Low</v>
      </c>
      <c r="G318" s="6" t="str">
        <f>IF(ISNA(MATCH(309,'Transfer Engine'!$C$2:$C$1199,0)),"",INDEX('Compliance Database'!$G$2:$G$1199,MATCH(309,'Transfer Engine'!$C$2:$C$1199,0)))</f>
        <v>High (explicit)</v>
      </c>
      <c r="H318" s="7">
        <f>IF(ISNA(MATCH(309,'Transfer Engine'!$C$2:$C$1199,0)),"",INDEX('Compliance Database'!$H$2:$H$1199,MATCH(309,'Transfer Engine'!$C$2:$C$1199,0)))</f>
        <v>0</v>
      </c>
      <c r="I318" s="7" t="str">
        <f>IF(ISNA(MATCH(309,'Transfer Engine'!$C$2:$C$1199,0)),"",INDEX('Compliance Database'!$I$2:$I$1199,MATCH(309,'Transfer Engine'!$C$2:$C$1199,0)))</f>
        <v>Special Personal Information</v>
      </c>
      <c r="J318" s="6">
        <f>IF(ISNA(MATCH(309,'Transfer Engine'!$C$2:$C$1199,0)),"",INDEX('Compliance Database'!$J$2:$J$1199,MATCH(309,'Transfer Engine'!$C$2:$C$1199,0)))</f>
        <v>0</v>
      </c>
      <c r="K318" s="7" t="str">
        <f>IF(ISNA(MATCH(309,'Transfer Engine'!$C$2:$C$1199,0)),"",INDEX('Compliance Database'!$K$2:$K$1199,MATCH(309,'Transfer Engine'!$C$2:$C$1199,0)))</f>
        <v>Requires providers to describe system architecture where applicable, explaining how software components build or feed into each other and integrate into overall processing. This information is relevant for transparency and technical documentation purposes.</v>
      </c>
      <c r="L318" s="7" t="str">
        <f>IF(ISNA(MATCH(309,'Transfer Engine'!$C$2:$C$1199,0)),"",INDEX('Compliance Database'!$L$2:$L$1199,MATCH(309,'Transfer Engine'!$C$2:$C$1199,0)))</f>
        <v>Mandates detailed system architecture descriptions for AI providers to ensure transparency and understanding of data flows and processing mechanisms.</v>
      </c>
      <c r="M318" s="7" t="str">
        <f>IF(ISNA(MATCH(309,'Transfer Engine'!$C$2:$C$1199,0)),"",INDEX('Compliance Database'!$M$2:$M$1199,MATCH(309,'Transfer Engine'!$C$2:$C$1199,0)))</f>
        <v>• [Must] Provider must describe system architecture where applicable, explaining how software components build or feed into each other and integrate into overall processing</v>
      </c>
      <c r="N318" s="7">
        <f>IF(ISNA(MATCH(309,'Transfer Engine'!$C$2:$C$1199,0)),"",INDEX('Compliance Database'!$N$2:$N$1199,MATCH(309,'Transfer Engine'!$C$2:$C$1199,0)))</f>
        <v>0</v>
      </c>
      <c r="O318" s="7" t="str">
        <f>IF(ISNA(MATCH(309,'Transfer Engine'!$C$2:$C$1199,0)),"",INDEX('Compliance Database'!$O$2:$O$1199,MATCH(309,'Transfer Engine'!$C$2:$C$1199,0)))</f>
        <v>3. Where applicable, a detailed description of the system architecture explaining how software components build or feed into each other and integrate into the overall processing.</v>
      </c>
      <c r="P318" s="6" t="str">
        <f>IF(ISNA(MATCH(309,'Transfer Engine'!$C$2:$C$1199,0)),"",HYPERLINK("#Acts!A"&amp;INDEX('Compliance Database'!$P$2:$P$1199,MATCH(309,'Transfer Engine'!$C$2:$C$1199,0)),"Go to Act"))</f>
        <v>Go to Act</v>
      </c>
    </row>
    <row r="319" spans="1:16" ht="172.95" customHeight="1" x14ac:dyDescent="0.3">
      <c r="A319" s="6" t="str">
        <f>IF(ISNA(MATCH(310,'Transfer Engine'!$C$2:$C$1199,0)),"",INDEX('Compliance Database'!$A$2:$A$1199,MATCH(310,'Transfer Engine'!$C$2:$C$1199,0)))</f>
        <v>GDPR</v>
      </c>
      <c r="B319" s="6" t="str">
        <f>IF(ISNA(MATCH(310,'Transfer Engine'!$C$2:$C$1199,0)),"",INDEX('Compliance Database'!$B$2:$B$1199,MATCH(310,'Transfer Engine'!$C$2:$C$1199,0)))</f>
        <v>OJ_L_202401689_EN_TXT (GDPR - Row 9)</v>
      </c>
      <c r="C319" s="6" t="str">
        <f>IF(ISNA(MATCH(310,'Transfer Engine'!$C$2:$C$1199,0)),"",INDEX('Compliance Database'!$C$2:$C$1199,MATCH(310,'Transfer Engine'!$C$2:$C$1199,0)))</f>
        <v>4</v>
      </c>
      <c r="D319" s="7" t="str">
        <f>IF(ISNA(MATCH(310,'Transfer Engine'!$C$2:$C$1199,0)),"",INDEX('Compliance Database'!$D$2:$D$1199,MATCH(310,'Transfer Engine'!$C$2:$C$1199,0)))</f>
        <v>Technical documentation control for AI systems</v>
      </c>
      <c r="E319" s="6" t="str">
        <f>IF(ISNA(MATCH(310,'Transfer Engine'!$C$2:$C$1199,0)),"",INDEX('Compliance Database'!$E$2:$E$1199,MATCH(310,'Transfer Engine'!$C$2:$C$1199,0)))</f>
        <v>53</v>
      </c>
      <c r="F319" s="6" t="str">
        <f>IF(ISNA(MATCH(310,'Transfer Engine'!$C$2:$C$1199,0)),"",INDEX('Compliance Database'!$F$2:$F$1199,MATCH(310,'Transfer Engine'!$C$2:$C$1199,0)))</f>
        <v>Medium</v>
      </c>
      <c r="G319" s="6" t="str">
        <f>IF(ISNA(MATCH(310,'Transfer Engine'!$C$2:$C$1199,0)),"",INDEX('Compliance Database'!$G$2:$G$1199,MATCH(310,'Transfer Engine'!$C$2:$C$1199,0)))</f>
        <v>High (explicit)</v>
      </c>
      <c r="H319" s="7">
        <f>IF(ISNA(MATCH(310,'Transfer Engine'!$C$2:$C$1199,0)),"",INDEX('Compliance Database'!$H$2:$H$1199,MATCH(310,'Transfer Engine'!$C$2:$C$1199,0)))</f>
        <v>0</v>
      </c>
      <c r="I319" s="7" t="str">
        <f>IF(ISNA(MATCH(310,'Transfer Engine'!$C$2:$C$1199,0)),"",INDEX('Compliance Database'!$I$2:$I$1199,MATCH(310,'Transfer Engine'!$C$2:$C$1199,0)))</f>
        <v>Special Personal Information</v>
      </c>
      <c r="J319" s="6" t="str">
        <f>IF(ISNA(MATCH(310,'Transfer Engine'!$C$2:$C$1199,0)),"",INDEX('Compliance Database'!$J$2:$J$1199,MATCH(310,'Transfer Engine'!$C$2:$C$1199,0)))</f>
        <v>Notified body</v>
      </c>
      <c r="K319" s="7" t="str">
        <f>IF(ISNA(MATCH(310,'Transfer Engine'!$C$2:$C$1199,0)),"",INDEX('Compliance Database'!$K$2:$K$1199,MATCH(310,'Transfer Engine'!$C$2:$C$1199,0)))</f>
        <v>Providers must submit technical documentation to notified bodies for assessment of AI systems intended for market placement. Notified bodies may require additional evidence or tests, and have access to training data sets with security safeguards. For high-risk AI systems, notified bodies can access training models with IP and trade secret protections. Notified bodies issue certificates of conformity or refusal with detailed reasons.</v>
      </c>
      <c r="L319" s="7" t="str">
        <f>IF(ISNA(MATCH(310,'Transfer Engine'!$C$2:$C$1199,0)),"",INDEX('Compliance Database'!$L$2:$L$1199,MATCH(310,'Transfer Engine'!$C$2:$C$1199,0)))</f>
        <v>Requires detailed technical documentation for AI systems, including access to training data and models with safeguards. This impacts DTIA by mandating specific documentation and assessment processes for high-risk AI systems.</v>
      </c>
      <c r="M319" s="7" t="str">
        <f>IF(ISNA(MATCH(310,'Transfer Engine'!$C$2:$C$1199,0)),"",INDEX('Compliance Database'!$M$2:$M$1199,MATCH(310,'Transfer Engine'!$C$2:$C$1199,0)))</f>
        <v>• [Must] Provider must submit application to notified body for technical documentation assessment
• [Must] Application must include provider name and address
• [Must] Application must include written declaration that application has not been lodged with other notified bodies
• [Must] Application must include technical documentation from Annex IV
• [May] Notified body may require additional evidence or tests for proper assessment
• [May] Notified body may grant full access to training, validation, and testing data sets with security safeguards</v>
      </c>
      <c r="N319" s="7" t="str">
        <f>IF(ISNA(MATCH(310,'Transfer Engine'!$C$2:$C$1199,0)),"",INDEX('Compliance Database'!$N$2:$N$1199,MATCH(310,'Transfer Engine'!$C$2:$C$1199,0)))</f>
        <v>• [May] Notified body may require access to training and trained models for high-risk AI systems with IP and trade secret protections
• [Must] Notified body must issue Union technical documentation assessment certificate if AI system conforms
• [Must] Certificate must indicate provider name, address, assessment conclusions, conditions for validity, and AI system identification data
• [Must] Notified body must refuse certificate if AI system does not conform with requirements
• [Must] Notified body must provide detailed reasons for refusal of certificate
• [Must] Provider must retrain AI system if data used does not meet requirements</v>
      </c>
      <c r="O319" s="7" t="str">
        <f>IF(ISNA(MATCH(310,'Transfer Engine'!$C$2:$C$1199,0)),"",INDEX('Compliance Database'!$O$2:$O$1199,MATCH(310,'Transfer Engine'!$C$2:$C$1199,0)))</f>
        <v>4.1 In addition to the application referred to in point 3, an application with a notified body of their choice shall be lodged by the provider for the assessment of the technical documentation relating to the AI system which the provider intends to place on the market or put into service and which is covered by the quality management system referred to under point 3.</v>
      </c>
      <c r="P319" s="6" t="str">
        <f>IF(ISNA(MATCH(310,'Transfer Engine'!$C$2:$C$1199,0)),"",HYPERLINK("#Acts!A"&amp;INDEX('Compliance Database'!$P$2:$P$1199,MATCH(310,'Transfer Engine'!$C$2:$C$1199,0)),"Go to Act"))</f>
        <v>Go to Act</v>
      </c>
    </row>
    <row r="320" spans="1:16" ht="172.95" customHeight="1" x14ac:dyDescent="0.3">
      <c r="A320" s="6" t="str">
        <f>IF(ISNA(MATCH(311,'Transfer Engine'!$C$2:$C$1199,0)),"",INDEX('Compliance Database'!$A$2:$A$1199,MATCH(311,'Transfer Engine'!$C$2:$C$1199,0)))</f>
        <v>GDPR</v>
      </c>
      <c r="B320" s="6" t="str">
        <f>IF(ISNA(MATCH(311,'Transfer Engine'!$C$2:$C$1199,0)),"",INDEX('Compliance Database'!$B$2:$B$1199,MATCH(311,'Transfer Engine'!$C$2:$C$1199,0)))</f>
        <v>OJ_L_202401689_EN_TXT (GDPR - Row 9)</v>
      </c>
      <c r="C320" s="6" t="str">
        <f>IF(ISNA(MATCH(311,'Transfer Engine'!$C$2:$C$1199,0)),"",INDEX('Compliance Database'!$C$2:$C$1199,MATCH(311,'Transfer Engine'!$C$2:$C$1199,0)))</f>
        <v>5</v>
      </c>
      <c r="D320" s="7" t="str">
        <f>IF(ISNA(MATCH(311,'Transfer Engine'!$C$2:$C$1199,0)),"",INDEX('Compliance Database'!$D$2:$D$1199,MATCH(311,'Transfer Engine'!$C$2:$C$1199,0)))</f>
        <v>Data protection impact assessment summary for AI systems</v>
      </c>
      <c r="E320" s="6" t="str">
        <f>IF(ISNA(MATCH(311,'Transfer Engine'!$C$2:$C$1199,0)),"",INDEX('Compliance Database'!$E$2:$E$1199,MATCH(311,'Transfer Engine'!$C$2:$C$1199,0)))</f>
        <v>53</v>
      </c>
      <c r="F320" s="6" t="str">
        <f>IF(ISNA(MATCH(311,'Transfer Engine'!$C$2:$C$1199,0)),"",INDEX('Compliance Database'!$F$2:$F$1199,MATCH(311,'Transfer Engine'!$C$2:$C$1199,0)))</f>
        <v>Low</v>
      </c>
      <c r="G320" s="6" t="str">
        <f>IF(ISNA(MATCH(311,'Transfer Engine'!$C$2:$C$1199,0)),"",INDEX('Compliance Database'!$G$2:$G$1199,MATCH(311,'Transfer Engine'!$C$2:$C$1199,0)))</f>
        <v>High (explicit)</v>
      </c>
      <c r="H320" s="7">
        <f>IF(ISNA(MATCH(311,'Transfer Engine'!$C$2:$C$1199,0)),"",INDEX('Compliance Database'!$H$2:$H$1199,MATCH(311,'Transfer Engine'!$C$2:$C$1199,0)))</f>
        <v>0</v>
      </c>
      <c r="I320" s="7" t="str">
        <f>IF(ISNA(MATCH(311,'Transfer Engine'!$C$2:$C$1199,0)),"",INDEX('Compliance Database'!$I$2:$I$1199,MATCH(311,'Transfer Engine'!$C$2:$C$1199,0)))</f>
        <v>Special Personal Information</v>
      </c>
      <c r="J320" s="6">
        <f>IF(ISNA(MATCH(311,'Transfer Engine'!$C$2:$C$1199,0)),"",INDEX('Compliance Database'!$J$2:$J$1199,MATCH(311,'Transfer Engine'!$C$2:$C$1199,0)))</f>
        <v>0</v>
      </c>
      <c r="K320" s="7" t="str">
        <f>IF(ISNA(MATCH(311,'Transfer Engine'!$C$2:$C$1199,0)),"",INDEX('Compliance Database'!$K$2:$K$1199,MATCH(311,'Transfer Engine'!$C$2:$C$1199,0)))</f>
        <v>Requires providers to submit a summary of data protection impact assessments conducted in accordance with GDPR Article 35 or Directive 2016/680 Article 27. This summary must be provided for high-risk AI systems listed in Annex III to ensure compliance with data protection requirements.</v>
      </c>
      <c r="L320" s="7" t="str">
        <f>IF(ISNA(MATCH(311,'Transfer Engine'!$C$2:$C$1199,0)),"",INDEX('Compliance Database'!$L$2:$L$1199,MATCH(311,'Transfer Engine'!$C$2:$C$1199,0)))</f>
        <v>Mandates submission of data protection impact assessments for high-risk AI systems, ensuring compliance with data protection principles during development and deployment.</v>
      </c>
      <c r="M320" s="7" t="str">
        <f>IF(ISNA(MATCH(311,'Transfer Engine'!$C$2:$C$1199,0)),"",INDEX('Compliance Database'!$M$2:$M$1199,MATCH(311,'Transfer Engine'!$C$2:$C$1199,0)))</f>
        <v>• [Must] Provider must submit summary of data protection impact assessment as per GDPR Article 35 or Directive 2016/680 Article 27</v>
      </c>
      <c r="N320" s="7">
        <f>IF(ISNA(MATCH(311,'Transfer Engine'!$C$2:$C$1199,0)),"",INDEX('Compliance Database'!$N$2:$N$1199,MATCH(311,'Transfer Engine'!$C$2:$C$1199,0)))</f>
        <v>0</v>
      </c>
      <c r="O320" s="7" t="str">
        <f>IF(ISNA(MATCH(311,'Transfer Engine'!$C$2:$C$1199,0)),"",INDEX('Compliance Database'!$O$2:$O$1199,MATCH(311,'Transfer Engine'!$C$2:$C$1199,0)))</f>
        <v>5. A summary of the data protection impact assessment carried out in accordance with Article 35 of Regulation (EU) 2016/679 or Article 27 of Directive (EU) 2016/680 as specified in Article 26(8) of this Regulation, where applicable.</v>
      </c>
      <c r="P320" s="6" t="str">
        <f>IF(ISNA(MATCH(311,'Transfer Engine'!$C$2:$C$1199,0)),"",HYPERLINK("#Acts!A"&amp;INDEX('Compliance Database'!$P$2:$P$1199,MATCH(311,'Transfer Engine'!$C$2:$C$1199,0)),"Go to Act"))</f>
        <v>Go to Act</v>
      </c>
    </row>
    <row r="321" spans="1:16" ht="172.95" customHeight="1" x14ac:dyDescent="0.3">
      <c r="A321" s="6" t="str">
        <f>IF(ISNA(MATCH(312,'Transfer Engine'!$C$2:$C$1199,0)),"",INDEX('Compliance Database'!$A$2:$A$1199,MATCH(312,'Transfer Engine'!$C$2:$C$1199,0)))</f>
        <v>GDPR</v>
      </c>
      <c r="B321" s="6" t="str">
        <f>IF(ISNA(MATCH(312,'Transfer Engine'!$C$2:$C$1199,0)),"",INDEX('Compliance Database'!$B$2:$B$1199,MATCH(312,'Transfer Engine'!$C$2:$C$1199,0)))</f>
        <v>OJ_L_202401689_EN_TXT (GDPR - Row 9)</v>
      </c>
      <c r="C321" s="6" t="str">
        <f>IF(ISNA(MATCH(312,'Transfer Engine'!$C$2:$C$1199,0)),"",INDEX('Compliance Database'!$C$2:$C$1199,MATCH(312,'Transfer Engine'!$C$2:$C$1199,0)))</f>
        <v>6</v>
      </c>
      <c r="D321" s="7" t="str">
        <f>IF(ISNA(MATCH(312,'Transfer Engine'!$C$2:$C$1199,0)),"",INDEX('Compliance Database'!$D$2:$D$1199,MATCH(312,'Transfer Engine'!$C$2:$C$1199,0)))</f>
        <v>European Criminal Records Information System for third-country nationals</v>
      </c>
      <c r="E321" s="6" t="str">
        <f>IF(ISNA(MATCH(312,'Transfer Engine'!$C$2:$C$1199,0)),"",INDEX('Compliance Database'!$E$2:$E$1199,MATCH(312,'Transfer Engine'!$C$2:$C$1199,0)))</f>
        <v>53</v>
      </c>
      <c r="F321" s="6" t="str">
        <f>IF(ISNA(MATCH(312,'Transfer Engine'!$C$2:$C$1199,0)),"",INDEX('Compliance Database'!$F$2:$F$1199,MATCH(312,'Transfer Engine'!$C$2:$C$1199,0)))</f>
        <v>Low</v>
      </c>
      <c r="G321" s="6" t="str">
        <f>IF(ISNA(MATCH(312,'Transfer Engine'!$C$2:$C$1199,0)),"",INDEX('Compliance Database'!$G$2:$G$1199,MATCH(312,'Transfer Engine'!$C$2:$C$1199,0)))</f>
        <v>High (explicit)</v>
      </c>
      <c r="H321" s="7">
        <f>IF(ISNA(MATCH(312,'Transfer Engine'!$C$2:$C$1199,0)),"",INDEX('Compliance Database'!$H$2:$H$1199,MATCH(312,'Transfer Engine'!$C$2:$C$1199,0)))</f>
        <v>0</v>
      </c>
      <c r="I321" s="7" t="str">
        <f>IF(ISNA(MATCH(312,'Transfer Engine'!$C$2:$C$1199,0)),"",INDEX('Compliance Database'!$I$2:$I$1199,MATCH(312,'Transfer Engine'!$C$2:$C$1199,0)))</f>
        <v>Special Personal Information</v>
      </c>
      <c r="J321" s="6">
        <f>IF(ISNA(MATCH(312,'Transfer Engine'!$C$2:$C$1199,0)),"",INDEX('Compliance Database'!$J$2:$J$1199,MATCH(312,'Transfer Engine'!$C$2:$C$1199,0)))</f>
        <v>0</v>
      </c>
      <c r="K321" s="7" t="str">
        <f>IF(ISNA(MATCH(312,'Transfer Engine'!$C$2:$C$1199,0)),"",INDEX('Compliance Database'!$K$2:$K$1199,MATCH(312,'Transfer Engine'!$C$2:$C$1199,0)))</f>
        <v>Regulates the European Criminal Records Information System (ECRIS-TCN) for identifying Member States holding conviction information on third-country nationals and stateless persons. This system supplements the European Criminal Records Information System and amends Regulation (EU) 2018/1726.</v>
      </c>
      <c r="L321" s="7" t="str">
        <f>IF(ISNA(MATCH(312,'Transfer Engine'!$C$2:$C$1199,0)),"",INDEX('Compliance Database'!$L$2:$L$1199,MATCH(312,'Transfer Engine'!$C$2:$C$1199,0)))</f>
        <v>Relevant for DTIA as it involves cross-border sharing of criminal records for third-country nationals and stateless persons, requiring compliance with data transfer and processing rules.</v>
      </c>
      <c r="M321" s="7" t="str">
        <f>IF(ISNA(MATCH(312,'Transfer Engine'!$C$2:$C$1199,0)),"",INDEX('Compliance Database'!$M$2:$M$1199,MATCH(312,'Transfer Engine'!$C$2:$C$1199,0)))</f>
        <v>• [Must] ECRIS-TCN is established to identify Member States holding conviction information on third-country nationals and stateless persons</v>
      </c>
      <c r="N321" s="7">
        <f>IF(ISNA(MATCH(312,'Transfer Engine'!$C$2:$C$1199,0)),"",INDEX('Compliance Database'!$N$2:$N$1199,MATCH(312,'Transfer Engine'!$C$2:$C$1199,0)))</f>
        <v>0</v>
      </c>
      <c r="O321" s="7" t="str">
        <f>IF(ISNA(MATCH(312,'Transfer Engine'!$C$2:$C$1199,0)),"",INDEX('Compliance Database'!$O$2:$O$1199,MATCH(312,'Transfer Engine'!$C$2:$C$1199,0)))</f>
        <v>6. European Criminal Records Information System on third-country nationals and stateless persons Regulation (EU) 2019/816 of the European Parliament and of the Council of 17 April 2019 establishing a centralised system for the identification of Member States holding conviction information on third-country nationals and stateless persons (ECRIS-TCN) to supplement the European Criminal Records Information System and amending Regulation (EU) 2018/1726 (OJ L 135, 22.5.2019, p. 1).</v>
      </c>
      <c r="P321" s="6" t="str">
        <f>IF(ISNA(MATCH(312,'Transfer Engine'!$C$2:$C$1199,0)),"",HYPERLINK("#Acts!A"&amp;INDEX('Compliance Database'!$P$2:$P$1199,MATCH(312,'Transfer Engine'!$C$2:$C$1199,0)),"Go to Act"))</f>
        <v>Go to Act</v>
      </c>
    </row>
    <row r="322" spans="1:16" ht="172.95" customHeight="1" x14ac:dyDescent="0.3">
      <c r="A322" s="6" t="str">
        <f>IF(ISNA(MATCH(313,'Transfer Engine'!$C$2:$C$1199,0)),"",INDEX('Compliance Database'!$A$2:$A$1199,MATCH(313,'Transfer Engine'!$C$2:$C$1199,0)))</f>
        <v>GDPR</v>
      </c>
      <c r="B322" s="6" t="str">
        <f>IF(ISNA(MATCH(313,'Transfer Engine'!$C$2:$C$1199,0)),"",INDEX('Compliance Database'!$B$2:$B$1199,MATCH(313,'Transfer Engine'!$C$2:$C$1199,0)))</f>
        <v>OJ_L_202401689_EN_TXT (GDPR - Row 9)</v>
      </c>
      <c r="C322" s="6" t="str">
        <f>IF(ISNA(MATCH(313,'Transfer Engine'!$C$2:$C$1199,0)),"",INDEX('Compliance Database'!$C$2:$C$1199,MATCH(313,'Transfer Engine'!$C$2:$C$1199,0)))</f>
        <v>7</v>
      </c>
      <c r="D322" s="7" t="str">
        <f>IF(ISNA(MATCH(313,'Transfer Engine'!$C$2:$C$1199,0)),"",INDEX('Compliance Database'!$D$2:$D$1199,MATCH(313,'Transfer Engine'!$C$2:$C$1199,0)))</f>
        <v>Annual reporting of administrative fines by European Data Protection Supervisor</v>
      </c>
      <c r="E322" s="6" t="str">
        <f>IF(ISNA(MATCH(313,'Transfer Engine'!$C$2:$C$1199,0)),"",INDEX('Compliance Database'!$E$2:$E$1199,MATCH(313,'Transfer Engine'!$C$2:$C$1199,0)))</f>
        <v>46</v>
      </c>
      <c r="F322" s="6" t="str">
        <f>IF(ISNA(MATCH(313,'Transfer Engine'!$C$2:$C$1199,0)),"",INDEX('Compliance Database'!$F$2:$F$1199,MATCH(313,'Transfer Engine'!$C$2:$C$1199,0)))</f>
        <v>High</v>
      </c>
      <c r="G322" s="6" t="str">
        <f>IF(ISNA(MATCH(313,'Transfer Engine'!$C$2:$C$1199,0)),"",INDEX('Compliance Database'!$G$2:$G$1199,MATCH(313,'Transfer Engine'!$C$2:$C$1199,0)))</f>
        <v>High (explicit)</v>
      </c>
      <c r="H322" s="7" t="str">
        <f>IF(ISNA(MATCH(313,'Transfer Engine'!$C$2:$C$1199,0)),"",INDEX('Compliance Database'!$H$2:$H$1199,MATCH(313,'Transfer Engine'!$C$2:$C$1199,0)))</f>
        <v>Incident Reporting, Breach Notification</v>
      </c>
      <c r="I322" s="7">
        <f>IF(ISNA(MATCH(313,'Transfer Engine'!$C$2:$C$1199,0)),"",INDEX('Compliance Database'!$I$2:$I$1199,MATCH(313,'Transfer Engine'!$C$2:$C$1199,0)))</f>
        <v>0</v>
      </c>
      <c r="J322" s="6" t="str">
        <f>IF(ISNA(MATCH(313,'Transfer Engine'!$C$2:$C$1199,0)),"",INDEX('Compliance Database'!$J$2:$J$1199,MATCH(313,'Transfer Engine'!$C$2:$C$1199,0)))</f>
        <v>European Data Protection Supervisor</v>
      </c>
      <c r="K322" s="7" t="str">
        <f>IF(ISNA(MATCH(313,'Transfer Engine'!$C$2:$C$1199,0)),"",INDEX('Compliance Database'!$K$2:$K$1199,MATCH(313,'Transfer Engine'!$C$2:$C$1199,0)))</f>
        <v>The European Data Protection Supervisor must annually report to the Commission all administrative fines imposed and any litigation or judicial proceedings initiated under this Regulation. This reporting obligation applies to the Supervisor and covers fines related to data protection violations.</v>
      </c>
      <c r="L322" s="7" t="str">
        <f>IF(ISNA(MATCH(313,'Transfer Engine'!$C$2:$C$1199,0)),"",INDEX('Compliance Database'!$L$2:$L$1199,MATCH(313,'Transfer Engine'!$C$2:$C$1199,0)))</f>
        <v>This section mandates annual reporting of fines, which affects DTIA by requiring assessment of fine imposition mechanisms and their impact on data transfer compliance.</v>
      </c>
      <c r="M322" s="7" t="str">
        <f>IF(ISNA(MATCH(313,'Transfer Engine'!$C$2:$C$1199,0)),"",INDEX('Compliance Database'!$M$2:$M$1199,MATCH(313,'Transfer Engine'!$C$2:$C$1199,0)))</f>
        <v>• [Must] European Data Protection Supervisor shall notify Commission annually of administrative fines imposed</v>
      </c>
      <c r="N322" s="7" t="str">
        <f>IF(ISNA(MATCH(313,'Transfer Engine'!$C$2:$C$1199,0)),"",INDEX('Compliance Database'!$N$2:$N$1199,MATCH(313,'Transfer Engine'!$C$2:$C$1199,0)))</f>
        <v>• [Must] European Data Protection Supervisor shall notify Commission annually of litigation or judicial proceedings initiated</v>
      </c>
      <c r="O322" s="7" t="str">
        <f>IF(ISNA(MATCH(313,'Transfer Engine'!$C$2:$C$1199,0)),"",INDEX('Compliance Database'!$O$2:$O$1199,MATCH(313,'Transfer Engine'!$C$2:$C$1199,0)))</f>
        <v>The European Data Protection Supervisor shall, on an annual basis, notify the Commission of the administrative fines it has imposed pursuant to this Article and of any litigation or judicial proceedings it has initiated.</v>
      </c>
      <c r="P322" s="6" t="str">
        <f>IF(ISNA(MATCH(313,'Transfer Engine'!$C$2:$C$1199,0)),"",HYPERLINK("#Acts!A"&amp;INDEX('Compliance Database'!$P$2:$P$1199,MATCH(313,'Transfer Engine'!$C$2:$C$1199,0)),"Go to Act"))</f>
        <v>Go to Act</v>
      </c>
    </row>
    <row r="323" spans="1:16" ht="172.95" customHeight="1" x14ac:dyDescent="0.3">
      <c r="A323" s="6" t="str">
        <f>IF(ISNA(MATCH(314,'Transfer Engine'!$C$2:$C$1199,0)),"",INDEX('Compliance Database'!$A$2:$A$1199,MATCH(314,'Transfer Engine'!$C$2:$C$1199,0)))</f>
        <v>GDPR</v>
      </c>
      <c r="B323" s="6" t="str">
        <f>IF(ISNA(MATCH(314,'Transfer Engine'!$C$2:$C$1199,0)),"",INDEX('Compliance Database'!$B$2:$B$1199,MATCH(314,'Transfer Engine'!$C$2:$C$1199,0)))</f>
        <v>OJ_L_202401689_EN_TXT (GDPR - Row 9)</v>
      </c>
      <c r="C323" s="6" t="str">
        <f>IF(ISNA(MATCH(314,'Transfer Engine'!$C$2:$C$1199,0)),"",INDEX('Compliance Database'!$C$2:$C$1199,MATCH(314,'Transfer Engine'!$C$2:$C$1199,0)))</f>
        <v>8</v>
      </c>
      <c r="D323" s="7" t="str">
        <f>IF(ISNA(MATCH(314,'Transfer Engine'!$C$2:$C$1199,0)),"",INDEX('Compliance Database'!$D$2:$D$1199,MATCH(314,'Transfer Engine'!$C$2:$C$1199,0)))</f>
        <v>Justice and democratic processes AI systems</v>
      </c>
      <c r="E323" s="6" t="str">
        <f>IF(ISNA(MATCH(314,'Transfer Engine'!$C$2:$C$1199,0)),"",INDEX('Compliance Database'!$E$2:$E$1199,MATCH(314,'Transfer Engine'!$C$2:$C$1199,0)))</f>
        <v>74–75</v>
      </c>
      <c r="F323" s="6" t="str">
        <f>IF(ISNA(MATCH(314,'Transfer Engine'!$C$2:$C$1199,0)),"",INDEX('Compliance Database'!$F$2:$F$1199,MATCH(314,'Transfer Engine'!$C$2:$C$1199,0)))</f>
        <v>High</v>
      </c>
      <c r="G323" s="6" t="str">
        <f>IF(ISNA(MATCH(314,'Transfer Engine'!$C$2:$C$1199,0)),"",INDEX('Compliance Database'!$G$2:$G$1199,MATCH(314,'Transfer Engine'!$C$2:$C$1199,0)))</f>
        <v>High (explicit)</v>
      </c>
      <c r="H323" s="7" t="str">
        <f>IF(ISNA(MATCH(314,'Transfer Engine'!$C$2:$C$1199,0)),"",INDEX('Compliance Database'!$H$2:$H$1199,MATCH(314,'Transfer Engine'!$C$2:$C$1199,0)))</f>
        <v>Cross-border Transfer, International Processing, Data Storage, Data Residency, Security, Encryption, Access Control, Processing, Collection, Retention, Deletion, Data Sharing, Third Party Processing, Outsourcing, Cloud Services, Incident Reporting, Breach Notification, Consent, Customer Information, Employee Information, Special Personal Information, Children, Financial Data, KYC, AML, Governance, Record Keeping</v>
      </c>
      <c r="I323" s="7" t="str">
        <f>IF(ISNA(MATCH(314,'Transfer Engine'!$C$2:$C$1199,0)),"",INDEX('Compliance Database'!$I$2:$I$1199,MATCH(314,'Transfer Engine'!$C$2:$C$1199,0)))</f>
        <v>Personal Information</v>
      </c>
      <c r="J323" s="6">
        <f>IF(ISNA(MATCH(314,'Transfer Engine'!$C$2:$C$1199,0)),"",INDEX('Compliance Database'!$J$2:$J$1199,MATCH(314,'Transfer Engine'!$C$2:$C$1199,0)))</f>
        <v>0</v>
      </c>
      <c r="K323" s="7" t="str">
        <f>IF(ISNA(MATCH(314,'Transfer Engine'!$C$2:$C$1199,0)),"",INDEX('Compliance Database'!$K$2:$K$1199,MATCH(314,'Transfer Engine'!$C$2:$C$1199,0)))</f>
        <v>This section defines AI systems used in judicial processes, alternative dispute resolution, and election-related activities. These systems must not influence election outcomes or voting behavior without direct exposure to individuals, and must be designed to ensure transparency and fairness in legal proceedings.</v>
      </c>
      <c r="L323" s="7">
        <f>IF(ISNA(MATCH(314,'Transfer Engine'!$C$2:$C$1199,0)),"",INDEX('Compliance Database'!$L$2:$L$1199,MATCH(314,'Transfer Engine'!$C$2:$C$1199,0)))</f>
        <v>0</v>
      </c>
      <c r="M323" s="7" t="str">
        <f>IF(ISNA(MATCH(314,'Transfer Engine'!$C$2:$C$1199,0)),"",INDEX('Compliance Database'!$M$2:$M$1199,MATCH(314,'Transfer Engine'!$C$2:$C$1199,0)))</f>
        <v>• [Must] AI systems used by judicial authorities to research and interpret facts and law
• [Must] AI systems used by judicial authorities to apply law to concrete facts
• [Must] AI systems used in alternative dispute resolution</v>
      </c>
      <c r="N323" s="7" t="str">
        <f>IF(ISNA(MATCH(314,'Transfer Engine'!$C$2:$C$1199,0)),"",INDEX('Compliance Database'!$N$2:$N$1199,MATCH(314,'Transfer Engine'!$C$2:$C$1199,0)))</f>
        <v>• [Must] AI systems used to influence election or referendum outcomes
• [Must] AI systems used to influence voting behavior in elections or referenda
• [Must Not] AI systems not directly exposed to natural persons</v>
      </c>
      <c r="O323" s="7" t="str">
        <f>IF(ISNA(MATCH(314,'Transfer Engine'!$C$2:$C$1199,0)),"",INDEX('Compliance Database'!$O$2:$O$1199,MATCH(314,'Transfer Engine'!$C$2:$C$1199,0)))</f>
        <v>Administration of justice and democratic processes: (a) AI systems intended to be used by a judicial authority or on their behalf to assist a judicial authority in researching and interpreting facts and the law and in applying the law to a concrete set of facts, or to be used in a similar way in alternative dispute resolution; (b) AI systems intended to be used for influencing the outcome of an election or referendum or the voting behaviour of natural persons in the exercise of their vote in elections or referenda. This does not include AI systems to the output of which natural persons are not directly exposed, such as tools used to organise, optimise or structure political campaigns from an administrative or logistical point of view.</v>
      </c>
      <c r="P323" s="6" t="str">
        <f>IF(ISNA(MATCH(314,'Transfer Engine'!$C$2:$C$1199,0)),"",HYPERLINK("#Acts!A"&amp;INDEX('Compliance Database'!$P$2:$P$1199,MATCH(314,'Transfer Engine'!$C$2:$C$1199,0)),"Go to Act"))</f>
        <v>Go to Act</v>
      </c>
    </row>
    <row r="324" spans="1:16" ht="172.95" customHeight="1" x14ac:dyDescent="0.3">
      <c r="A324" s="6" t="str">
        <f>IF(ISNA(MATCH(315,'Transfer Engine'!$C$2:$C$1199,0)),"",INDEX('Compliance Database'!$A$2:$A$1199,MATCH(315,'Transfer Engine'!$C$2:$C$1199,0)))</f>
        <v>GDPR</v>
      </c>
      <c r="B324" s="6" t="str">
        <f>IF(ISNA(MATCH(315,'Transfer Engine'!$C$2:$C$1199,0)),"",INDEX('Compliance Database'!$B$2:$B$1199,MATCH(315,'Transfer Engine'!$C$2:$C$1199,0)))</f>
        <v>OJ_L_202401689_EN_TXT (GDPR - Row 9)</v>
      </c>
      <c r="C324" s="6" t="str">
        <f>IF(ISNA(MATCH(315,'Transfer Engine'!$C$2:$C$1199,0)),"",INDEX('Compliance Database'!$C$2:$C$1199,MATCH(315,'Transfer Engine'!$C$2:$C$1199,0)))</f>
        <v>9</v>
      </c>
      <c r="D324" s="7" t="str">
        <f>IF(ISNA(MATCH(315,'Transfer Engine'!$C$2:$C$1199,0)),"",INDEX('Compliance Database'!$D$2:$D$1199,MATCH(315,'Transfer Engine'!$C$2:$C$1199,0)))</f>
        <v>Reporting scope for high-risk AI systems</v>
      </c>
      <c r="E324" s="6" t="str">
        <f>IF(ISNA(MATCH(315,'Transfer Engine'!$C$2:$C$1199,0)),"",INDEX('Compliance Database'!$E$2:$E$1199,MATCH(315,'Transfer Engine'!$C$2:$C$1199,0)))</f>
        <v>68</v>
      </c>
      <c r="F324" s="6" t="str">
        <f>IF(ISNA(MATCH(315,'Transfer Engine'!$C$2:$C$1199,0)),"",INDEX('Compliance Database'!$F$2:$F$1199,MATCH(315,'Transfer Engine'!$C$2:$C$1199,0)))</f>
        <v>High</v>
      </c>
      <c r="G324" s="6" t="str">
        <f>IF(ISNA(MATCH(315,'Transfer Engine'!$C$2:$C$1199,0)),"",INDEX('Compliance Database'!$G$2:$G$1199,MATCH(315,'Transfer Engine'!$C$2:$C$1199,0)))</f>
        <v>High (explicit)</v>
      </c>
      <c r="H324" s="7" t="str">
        <f>IF(ISNA(MATCH(315,'Transfer Engine'!$C$2:$C$1199,0)),"",INDEX('Compliance Database'!$H$2:$H$1199,MATCH(315,'Transfer Engine'!$C$2:$C$1199,0)))</f>
        <v>Incident Reporting, Breach Notification</v>
      </c>
      <c r="I324" s="7" t="str">
        <f>IF(ISNA(MATCH(315,'Transfer Engine'!$C$2:$C$1199,0)),"",INDEX('Compliance Database'!$I$2:$I$1199,MATCH(315,'Transfer Engine'!$C$2:$C$1199,0)))</f>
        <v>Special Personal Information</v>
      </c>
      <c r="J324" s="6">
        <f>IF(ISNA(MATCH(315,'Transfer Engine'!$C$2:$C$1199,0)),"",INDEX('Compliance Database'!$J$2:$J$1199,MATCH(315,'Transfer Engine'!$C$2:$C$1199,0)))</f>
        <v>0</v>
      </c>
      <c r="K324" s="7" t="str">
        <f>IF(ISNA(MATCH(315,'Transfer Engine'!$C$2:$C$1199,0)),"",INDEX('Compliance Database'!$K$2:$K$1199,MATCH(315,'Transfer Engine'!$C$2:$C$1199,0)))</f>
        <v>This section limits the reporting of serious incidents to those specified in Article 3(49)(c) for high-risk AI systems placed on the market or put into service by providers subject to equivalent reporting obligations under Union legislative instruments. The obligation applies to providers of high-risk AI systems and restricts incident reporting to specific incident types.</v>
      </c>
      <c r="L324" s="7" t="str">
        <f>IF(ISNA(MATCH(315,'Transfer Engine'!$C$2:$C$1199,0)),"",INDEX('Compliance Database'!$L$2:$L$1199,MATCH(315,'Transfer Engine'!$C$2:$C$1199,0)))</f>
        <v>Restricts incident reporting to specific types for high-risk AI systems, impacting DTIA scope and requirements for cross-border data flows.</v>
      </c>
      <c r="M324" s="7" t="str">
        <f>IF(ISNA(MATCH(315,'Transfer Engine'!$C$2:$C$1199,0)),"",INDEX('Compliance Database'!$M$2:$M$1199,MATCH(315,'Transfer Engine'!$C$2:$C$1199,0)))</f>
        <v>• [Must] Reporting of serious incidents shall be limited to those referred to in Article 3, point (49)(c)</v>
      </c>
      <c r="N324" s="7">
        <f>IF(ISNA(MATCH(315,'Transfer Engine'!$C$2:$C$1199,0)),"",INDEX('Compliance Database'!$N$2:$N$1199,MATCH(315,'Transfer Engine'!$C$2:$C$1199,0)))</f>
        <v>0</v>
      </c>
      <c r="O324" s="7" t="str">
        <f>IF(ISNA(MATCH(315,'Transfer Engine'!$C$2:$C$1199,0)),"",INDEX('Compliance Database'!$O$2:$O$1199,MATCH(315,'Transfer Engine'!$C$2:$C$1199,0)))</f>
        <v>For high-risk AI systems referred to in Annex III that are placed on the market or put into service by providers that are subject to Union legislative instruments laying down reporting obligations equivalent to those set out in this Regulation, the notification of serious incidents shall be limited to those referred to in Article 3, point (49)(c).</v>
      </c>
      <c r="P324" s="6" t="str">
        <f>IF(ISNA(MATCH(315,'Transfer Engine'!$C$2:$C$1199,0)),"",HYPERLINK("#Acts!A"&amp;INDEX('Compliance Database'!$P$2:$P$1199,MATCH(315,'Transfer Engine'!$C$2:$C$1199,0)),"Go to Act"))</f>
        <v>Go to Act</v>
      </c>
    </row>
    <row r="325" spans="1:16" ht="172.95" customHeight="1" x14ac:dyDescent="0.3">
      <c r="A325" s="6" t="str">
        <f>IF(ISNA(MATCH(316,'Transfer Engine'!$C$2:$C$1199,0)),"",INDEX('Compliance Database'!$A$2:$A$1199,MATCH(316,'Transfer Engine'!$C$2:$C$1199,0)))</f>
        <v>GDPR</v>
      </c>
      <c r="B325" s="6" t="str">
        <f>IF(ISNA(MATCH(316,'Transfer Engine'!$C$2:$C$1199,0)),"",INDEX('Compliance Database'!$B$2:$B$1199,MATCH(316,'Transfer Engine'!$C$2:$C$1199,0)))</f>
        <v>OJ_L_202401689_EN_TXT (GDPR - Row 9)</v>
      </c>
      <c r="C325" s="6" t="str">
        <f>IF(ISNA(MATCH(316,'Transfer Engine'!$C$2:$C$1199,0)),"",INDEX('Compliance Database'!$C$2:$C$1199,MATCH(316,'Transfer Engine'!$C$2:$C$1199,0)))</f>
        <v>10</v>
      </c>
      <c r="D325" s="7" t="str">
        <f>IF(ISNA(MATCH(316,'Transfer Engine'!$C$2:$C$1199,0)),"",INDEX('Compliance Database'!$D$2:$D$1199,MATCH(316,'Transfer Engine'!$C$2:$C$1199,0)))</f>
        <v>Notification of serious incidents for high-risk AI systems</v>
      </c>
      <c r="E325" s="6" t="str">
        <f>IF(ISNA(MATCH(316,'Transfer Engine'!$C$2:$C$1199,0)),"",INDEX('Compliance Database'!$E$2:$E$1199,MATCH(316,'Transfer Engine'!$C$2:$C$1199,0)))</f>
        <v>57</v>
      </c>
      <c r="F325" s="6" t="str">
        <f>IF(ISNA(MATCH(316,'Transfer Engine'!$C$2:$C$1199,0)),"",INDEX('Compliance Database'!$F$2:$F$1199,MATCH(316,'Transfer Engine'!$C$2:$C$1199,0)))</f>
        <v>Low</v>
      </c>
      <c r="G325" s="6" t="str">
        <f>IF(ISNA(MATCH(316,'Transfer Engine'!$C$2:$C$1199,0)),"",INDEX('Compliance Database'!$G$2:$G$1199,MATCH(316,'Transfer Engine'!$C$2:$C$1199,0)))</f>
        <v>High (explicit)</v>
      </c>
      <c r="H325" s="7" t="str">
        <f>IF(ISNA(MATCH(316,'Transfer Engine'!$C$2:$C$1199,0)),"",INDEX('Compliance Database'!$H$2:$H$1199,MATCH(316,'Transfer Engine'!$C$2:$C$1199,0)))</f>
        <v>Incident Reporting, Breach Notification</v>
      </c>
      <c r="I325" s="7" t="str">
        <f>IF(ISNA(MATCH(316,'Transfer Engine'!$C$2:$C$1199,0)),"",INDEX('Compliance Database'!$I$2:$I$1199,MATCH(316,'Transfer Engine'!$C$2:$C$1199,0)))</f>
        <v>Special Personal Information</v>
      </c>
      <c r="J325" s="6" t="str">
        <f>IF(ISNA(MATCH(316,'Transfer Engine'!$C$2:$C$1199,0)),"",INDEX('Compliance Database'!$J$2:$J$1199,MATCH(316,'Transfer Engine'!$C$2:$C$1199,0)))</f>
        <v>National competent authorities</v>
      </c>
      <c r="K325" s="7" t="str">
        <f>IF(ISNA(MATCH(316,'Transfer Engine'!$C$2:$C$1199,0)),"",INDEX('Compliance Database'!$K$2:$K$1199,MATCH(316,'Transfer Engine'!$C$2:$C$1199,0)))</f>
        <v>For high-risk AI systems that are safety components of devices or themselves devices covered by EU regulations 2017/745 and 2017/746, serious incident notifications must be limited to those specified in Article 3(49)(c) and submitted to the national competent authority chosen by Member States where the incident occurred.</v>
      </c>
      <c r="L325" s="7" t="str">
        <f>IF(ISNA(MATCH(316,'Transfer Engine'!$C$2:$C$1199,0)),"",INDEX('Compliance Database'!$L$2:$L$1199,MATCH(316,'Transfer Engine'!$C$2:$C$1199,0)))</f>
        <v>Requires specific incident reporting for high-risk AI systems to national authorities, impacting DTIA scope for incident handling across borders.</v>
      </c>
      <c r="M325" s="7" t="str">
        <f>IF(ISNA(MATCH(316,'Transfer Engine'!$C$2:$C$1199,0)),"",INDEX('Compliance Database'!$M$2:$M$1199,MATCH(316,'Transfer Engine'!$C$2:$C$1199,0)))</f>
        <v>• [Must] For high-risk AI systems that are safety components of devices or themselves devices covered by EU regulations 2017/745 and 2017/746, serious incident notifications must be limited to those specified in Article 3(49)(c)</v>
      </c>
      <c r="N325" s="7" t="str">
        <f>IF(ISNA(MATCH(316,'Transfer Engine'!$C$2:$C$1199,0)),"",INDEX('Compliance Database'!$N$2:$N$1199,MATCH(316,'Transfer Engine'!$C$2:$C$1199,0)))</f>
        <v>• [Must] Serious incident notifications must be made to the national competent authority chosen by Member States where the incident occurred</v>
      </c>
      <c r="O325" s="7" t="str">
        <f>IF(ISNA(MATCH(316,'Transfer Engine'!$C$2:$C$1199,0)),"",INDEX('Compliance Database'!$O$2:$O$1199,MATCH(316,'Transfer Engine'!$C$2:$C$1199,0)))</f>
        <v>For high-risk AI systems which are safety components of devices, or are themselves devices, covered by Regulations (EU) 2017/745 and (EU) 2017/746, the notification of serious incidents shall be limited to those referred to in Article 3, point (49)(c) of this Regulation, and shall be made to the national competent authority chosen for that purpose by the Member States where the incident occurred.</v>
      </c>
      <c r="P325" s="6" t="str">
        <f>IF(ISNA(MATCH(316,'Transfer Engine'!$C$2:$C$1199,0)),"",HYPERLINK("#Acts!A"&amp;INDEX('Compliance Database'!$P$2:$P$1199,MATCH(316,'Transfer Engine'!$C$2:$C$1199,0)),"Go to Act"))</f>
        <v>Go to Act</v>
      </c>
    </row>
    <row r="326" spans="1:16" ht="172.95" customHeight="1" x14ac:dyDescent="0.3">
      <c r="A326" s="6" t="str">
        <f>IF(ISNA(MATCH(317,'Transfer Engine'!$C$2:$C$1199,0)),"",INDEX('Compliance Database'!$A$2:$A$1199,MATCH(317,'Transfer Engine'!$C$2:$C$1199,0)))</f>
        <v>GDPR</v>
      </c>
      <c r="B326" s="6" t="str">
        <f>IF(ISNA(MATCH(317,'Transfer Engine'!$C$2:$C$1199,0)),"",INDEX('Compliance Database'!$B$2:$B$1199,MATCH(317,'Transfer Engine'!$C$2:$C$1199,0)))</f>
        <v>OJ_L_202401689_EN_TXT (GDPR - Row 9)</v>
      </c>
      <c r="C326" s="6" t="str">
        <f>IF(ISNA(MATCH(317,'Transfer Engine'!$C$2:$C$1199,0)),"",INDEX('Compliance Database'!$C$2:$C$1199,MATCH(317,'Transfer Engine'!$C$2:$C$1199,0)))</f>
        <v>11</v>
      </c>
      <c r="D326" s="7" t="str">
        <f>IF(ISNA(MATCH(317,'Transfer Engine'!$C$2:$C$1199,0)),"",INDEX('Compliance Database'!$D$2:$D$1199,MATCH(317,'Transfer Engine'!$C$2:$C$1199,0)))</f>
        <v>National authorities notify Commission of serious incidents</v>
      </c>
      <c r="E326" s="6" t="str">
        <f>IF(ISNA(MATCH(317,'Transfer Engine'!$C$2:$C$1199,0)),"",INDEX('Compliance Database'!$E$2:$E$1199,MATCH(317,'Transfer Engine'!$C$2:$C$1199,0)))</f>
        <v>89</v>
      </c>
      <c r="F326" s="6" t="str">
        <f>IF(ISNA(MATCH(317,'Transfer Engine'!$C$2:$C$1199,0)),"",INDEX('Compliance Database'!$F$2:$F$1199,MATCH(317,'Transfer Engine'!$C$2:$C$1199,0)))</f>
        <v>Low</v>
      </c>
      <c r="G326" s="6" t="str">
        <f>IF(ISNA(MATCH(317,'Transfer Engine'!$C$2:$C$1199,0)),"",INDEX('Compliance Database'!$G$2:$G$1199,MATCH(317,'Transfer Engine'!$C$2:$C$1199,0)))</f>
        <v>High (explicit)</v>
      </c>
      <c r="H326" s="7" t="str">
        <f>IF(ISNA(MATCH(317,'Transfer Engine'!$C$2:$C$1199,0)),"",INDEX('Compliance Database'!$H$2:$H$1199,MATCH(317,'Transfer Engine'!$C$2:$C$1199,0)))</f>
        <v>Incident Reporting, Breach Notification</v>
      </c>
      <c r="I326" s="7" t="str">
        <f>IF(ISNA(MATCH(317,'Transfer Engine'!$C$2:$C$1199,0)),"",INDEX('Compliance Database'!$I$2:$I$1199,MATCH(317,'Transfer Engine'!$C$2:$C$1199,0)))</f>
        <v>Special Personal Information</v>
      </c>
      <c r="J326" s="6" t="str">
        <f>IF(ISNA(MATCH(317,'Transfer Engine'!$C$2:$C$1199,0)),"",INDEX('Compliance Database'!$J$2:$J$1199,MATCH(317,'Transfer Engine'!$C$2:$C$1199,0)))</f>
        <v>National competent authorities</v>
      </c>
      <c r="K326" s="7" t="str">
        <f>IF(ISNA(MATCH(317,'Transfer Engine'!$C$2:$C$1199,0)),"",INDEX('Compliance Database'!$K$2:$K$1199,MATCH(317,'Transfer Engine'!$C$2:$C$1199,0)))</f>
        <v>National competent authorities must immediately notify the European Commission of any serious incident, regardless of whether action has been taken, in accordance with Article 20 of Regulation (EU) 2019/1020.</v>
      </c>
      <c r="L326" s="7" t="str">
        <f>IF(ISNA(MATCH(317,'Transfer Engine'!$C$2:$C$1199,0)),"",INDEX('Compliance Database'!$L$2:$L$1199,MATCH(317,'Transfer Engine'!$C$2:$C$1199,0)))</f>
        <v>Requires cross-border incident reporting to the Commission for serious incidents, affecting DTIA scope for incident handling across EU.</v>
      </c>
      <c r="M326" s="7" t="str">
        <f>IF(ISNA(MATCH(317,'Transfer Engine'!$C$2:$C$1199,0)),"",INDEX('Compliance Database'!$M$2:$M$1199,MATCH(317,'Transfer Engine'!$C$2:$C$1199,0)))</f>
        <v>• [Must] National competent authorities must immediately notify the European Commission of any serious incident
• [Must] Notification must occur regardless of whether action has been taken on the incident</v>
      </c>
      <c r="N326" s="7" t="str">
        <f>IF(ISNA(MATCH(317,'Transfer Engine'!$C$2:$C$1199,0)),"",INDEX('Compliance Database'!$N$2:$N$1199,MATCH(317,'Transfer Engine'!$C$2:$C$1199,0)))</f>
        <v>• [Condition] Notification must comply with Article 20 of Regulation (EU) 2019/1020</v>
      </c>
      <c r="O326" s="7" t="str">
        <f>IF(ISNA(MATCH(317,'Transfer Engine'!$C$2:$C$1199,0)),"",INDEX('Compliance Database'!$O$2:$O$1199,MATCH(317,'Transfer Engine'!$C$2:$C$1199,0)))</f>
        <v>National competent authorities shall immediately notify the Commission of any serious incident, whether or not they have taken action on it, in accordance with Article 20 of Regulation (EU) 2019/1020.</v>
      </c>
      <c r="P326" s="6" t="str">
        <f>IF(ISNA(MATCH(317,'Transfer Engine'!$C$2:$C$1199,0)),"",HYPERLINK("#Acts!A"&amp;INDEX('Compliance Database'!$P$2:$P$1199,MATCH(317,'Transfer Engine'!$C$2:$C$1199,0)),"Go to Act"))</f>
        <v>Go to Act</v>
      </c>
    </row>
    <row r="327" spans="1:16" ht="172.95" customHeight="1" x14ac:dyDescent="0.3">
      <c r="A327" s="6" t="str">
        <f>IF(ISNA(MATCH(318,'Transfer Engine'!$C$2:$C$1199,0)),"",INDEX('Compliance Database'!$A$2:$A$1199,MATCH(318,'Transfer Engine'!$C$2:$C$1199,0)))</f>
        <v>GDPR</v>
      </c>
      <c r="B327" s="6" t="str">
        <f>IF(ISNA(MATCH(318,'Transfer Engine'!$C$2:$C$1199,0)),"",INDEX('Compliance Database'!$B$2:$B$1199,MATCH(318,'Transfer Engine'!$C$2:$C$1199,0)))</f>
        <v>OJ_L_202401689_EN_TXT (GDPR - Row 9)</v>
      </c>
      <c r="C327" s="6" t="str">
        <f>IF(ISNA(MATCH(318,'Transfer Engine'!$C$2:$C$1199,0)),"",INDEX('Compliance Database'!$C$2:$C$1199,MATCH(318,'Transfer Engine'!$C$2:$C$1199,0)))</f>
        <v>12</v>
      </c>
      <c r="D327" s="7" t="str">
        <f>IF(ISNA(MATCH(318,'Transfer Engine'!$C$2:$C$1199,0)),"",INDEX('Compliance Database'!$D$2:$D$1199,MATCH(318,'Transfer Engine'!$C$2:$C$1199,0)))</f>
        <v>Amendment considerations for sectoral harmonisation legislation</v>
      </c>
      <c r="E327" s="6" t="str">
        <f>IF(ISNA(MATCH(318,'Transfer Engine'!$C$2:$C$1199,0)),"",INDEX('Compliance Database'!$E$2:$E$1199,MATCH(318,'Transfer Engine'!$C$2:$C$1199,0)))</f>
        <v>46–49</v>
      </c>
      <c r="F327" s="6" t="str">
        <f>IF(ISNA(MATCH(318,'Transfer Engine'!$C$2:$C$1199,0)),"",INDEX('Compliance Database'!$F$2:$F$1199,MATCH(318,'Transfer Engine'!$C$2:$C$1199,0)))</f>
        <v>Medium</v>
      </c>
      <c r="G327" s="6" t="str">
        <f>IF(ISNA(MATCH(318,'Transfer Engine'!$C$2:$C$1199,0)),"",INDEX('Compliance Database'!$G$2:$G$1199,MATCH(318,'Transfer Engine'!$C$2:$C$1199,0)))</f>
        <v>High (explicit)</v>
      </c>
      <c r="H327" s="7" t="str">
        <f>IF(ISNA(MATCH(318,'Transfer Engine'!$C$2:$C$1199,0)),"",INDEX('Compliance Database'!$H$2:$H$1199,MATCH(318,'Transfer Engine'!$C$2:$C$1199,0)))</f>
        <v>Cross-border Transfer, International Processing, Data Storage, Data Residency, Security, Encryption, Access Control, Processing, Collection, Retention, Deletion, Data Sharing, Third Party Processing, Outsourcing, Cloud Services, Incident Reporting, Breach Notification, Consent, Customer Information, Employee Information, Special Personal Information, Children, Financial Data, KYC, AML, Governance, Record Keeping</v>
      </c>
      <c r="I327" s="7" t="str">
        <f>IF(ISNA(MATCH(318,'Transfer Engine'!$C$2:$C$1199,0)),"",INDEX('Compliance Database'!$I$2:$I$1199,MATCH(318,'Transfer Engine'!$C$2:$C$1199,0)))</f>
        <v>Personal Information</v>
      </c>
      <c r="J327" s="6">
        <f>IF(ISNA(MATCH(318,'Transfer Engine'!$C$2:$C$1199,0)),"",INDEX('Compliance Database'!$J$2:$J$1199,MATCH(318,'Transfer Engine'!$C$2:$C$1199,0)))</f>
        <v>0</v>
      </c>
      <c r="K327" s="7" t="str">
        <f>IF(ISNA(MATCH(318,'Transfer Engine'!$C$2:$C$1199,0)),"",INDEX('Compliance Database'!$K$2:$K$1199,MATCH(318,'Transfer Engine'!$C$2:$C$1199,0)))</f>
        <v>Amendments to the Regulation that affect sectoral Union harmonisation legislation must consider sector-specific regulatory nuances, existing governance structures, conformity assessment procedures, and enforcement mechanisms established within each sector. These amendments must account for the unique regulatory frameworks and authorities operating within each sector.</v>
      </c>
      <c r="L327" s="7">
        <f>IF(ISNA(MATCH(318,'Transfer Engine'!$C$2:$C$1199,0)),"",INDEX('Compliance Database'!$L$2:$L$1199,MATCH(318,'Transfer Engine'!$C$2:$C$1199,0)))</f>
        <v>0</v>
      </c>
      <c r="M327" s="7" t="str">
        <f>IF(ISNA(MATCH(318,'Transfer Engine'!$C$2:$C$1199,0)),"",INDEX('Compliance Database'!$M$2:$M$1199,MATCH(318,'Transfer Engine'!$C$2:$C$1199,0)))</f>
        <v>• [Must] Amendments to this Regulation that affect sectoral Union harmonisation legislation must consider regulatory specificities of each sector
• [Must] Amendments must take into account existing governance mechanisms in each sector
• [Must] Amendments must consider existing conformity assessment procedures in each sector</v>
      </c>
      <c r="N327" s="7" t="str">
        <f>IF(ISNA(MATCH(318,'Transfer Engine'!$C$2:$C$1199,0)),"",INDEX('Compliance Database'!$N$2:$N$1199,MATCH(318,'Transfer Engine'!$C$2:$C$1199,0)))</f>
        <v>• [Must] Amendments must account for existing enforcement mechanisms in each sector
• [Must] Amendments must consider existing authorities established in each sector</v>
      </c>
      <c r="O327" s="7" t="str">
        <f>IF(ISNA(MATCH(318,'Transfer Engine'!$C$2:$C$1199,0)),"",INDEX('Compliance Database'!$O$2:$O$1199,MATCH(318,'Transfer Engine'!$C$2:$C$1199,0)))</f>
        <v>Any amendment to this Regulation pursuant to paragraph 10, or relevant delegated or implementing acts, which concerns sectoral Union harmonisation legislation listed in Section B of Annex I shall take into account the regulatory specificities of each sector, and the existing governance, conformity assessment and enforcement mechanisms and authorities established therein.</v>
      </c>
      <c r="P327" s="6" t="str">
        <f>IF(ISNA(MATCH(318,'Transfer Engine'!$C$2:$C$1199,0)),"",HYPERLINK("#Acts!A"&amp;INDEX('Compliance Database'!$P$2:$P$1199,MATCH(318,'Transfer Engine'!$C$2:$C$1199,0)),"Go to Act"))</f>
        <v>Go to Act</v>
      </c>
    </row>
    <row r="328" spans="1:16" ht="172.95" customHeight="1" x14ac:dyDescent="0.3">
      <c r="A328" s="6" t="str">
        <f>IF(ISNA(MATCH(319,'Transfer Engine'!$C$2:$C$1199,0)),"",INDEX('Compliance Database'!$A$2:$A$1199,MATCH(319,'Transfer Engine'!$C$2:$C$1199,0)))</f>
        <v>GDPR</v>
      </c>
      <c r="B328" s="6" t="str">
        <f>IF(ISNA(MATCH(319,'Transfer Engine'!$C$2:$C$1199,0)),"",INDEX('Compliance Database'!$B$2:$B$1199,MATCH(319,'Transfer Engine'!$C$2:$C$1199,0)))</f>
        <v>OJ_L_202401689_EN_TXT (GDPR - Row 9)</v>
      </c>
      <c r="C328" s="6" t="str">
        <f>IF(ISNA(MATCH(319,'Transfer Engine'!$C$2:$C$1199,0)),"",INDEX('Compliance Database'!$C$2:$C$1199,MATCH(319,'Transfer Engine'!$C$2:$C$1199,0)))</f>
        <v>13</v>
      </c>
      <c r="D328" s="7" t="str">
        <f>IF(ISNA(MATCH(319,'Transfer Engine'!$C$2:$C$1199,0)),"",INDEX('Compliance Database'!$D$2:$D$1199,MATCH(319,'Transfer Engine'!$C$2:$C$1199,0)))</f>
        <v>Commission enforcement assessment timeline</v>
      </c>
      <c r="E328" s="6" t="str">
        <f>IF(ISNA(MATCH(319,'Transfer Engine'!$C$2:$C$1199,0)),"",INDEX('Compliance Database'!$E$2:$E$1199,MATCH(319,'Transfer Engine'!$C$2:$C$1199,0)))</f>
        <v>89</v>
      </c>
      <c r="F328" s="6" t="str">
        <f>IF(ISNA(MATCH(319,'Transfer Engine'!$C$2:$C$1199,0)),"",INDEX('Compliance Database'!$F$2:$F$1199,MATCH(319,'Transfer Engine'!$C$2:$C$1199,0)))</f>
        <v>Medium</v>
      </c>
      <c r="G328" s="6" t="str">
        <f>IF(ISNA(MATCH(319,'Transfer Engine'!$C$2:$C$1199,0)),"",INDEX('Compliance Database'!$G$2:$G$1199,MATCH(319,'Transfer Engine'!$C$2:$C$1199,0)))</f>
        <v>High (explicit)</v>
      </c>
      <c r="H328" s="7" t="str">
        <f>IF(ISNA(MATCH(319,'Transfer Engine'!$C$2:$C$1199,0)),"",INDEX('Compliance Database'!$H$2:$H$1199,MATCH(319,'Transfer Engine'!$C$2:$C$1199,0)))</f>
        <v>Cross-border Transfer, International Processing, Data Storage, Data Residency, Security, Encryption, Access Control, Processing, Collection, Retention, Deletion, Data Sharing, Third Party Processing, Outsourcing, Cloud Services, Incident Reporting, Breach Notification, Consent, Customer Information, Employee Information, Special Personal Information, Children, Financial Data, KYC, AML, Governance, Record Keeping</v>
      </c>
      <c r="I328" s="7" t="str">
        <f>IF(ISNA(MATCH(319,'Transfer Engine'!$C$2:$C$1199,0)),"",INDEX('Compliance Database'!$I$2:$I$1199,MATCH(319,'Transfer Engine'!$C$2:$C$1199,0)))</f>
        <v>Personal Information</v>
      </c>
      <c r="J328" s="6" t="str">
        <f>IF(ISNA(MATCH(319,'Transfer Engine'!$C$2:$C$1199,0)),"",INDEX('Compliance Database'!$J$2:$J$1199,MATCH(319,'Transfer Engine'!$C$2:$C$1199,0)))</f>
        <v>European Commission</v>
      </c>
      <c r="K328" s="7" t="str">
        <f>IF(ISNA(MATCH(319,'Transfer Engine'!$C$2:$C$1199,0)),"",INDEX('Compliance Database'!$K$2:$K$1199,MATCH(319,'Transfer Engine'!$C$2:$C$1199,0)))</f>
        <v>The European Commission must complete an enforcement assessment of the GDPR by 2 August 2031 and report to the European Parliament, Council, and European Economic and Social Committee. This report must consider the first years of the Regulation's application and may include proposals for regulatory amendments regarding enforcement structure and the need for a Union agency to address identified shortcomings.</v>
      </c>
      <c r="L328" s="7">
        <f>IF(ISNA(MATCH(319,'Transfer Engine'!$C$2:$C$1199,0)),"",INDEX('Compliance Database'!$L$2:$L$1199,MATCH(319,'Transfer Engine'!$C$2:$C$1199,0)))</f>
        <v>0</v>
      </c>
      <c r="M328" s="7" t="str">
        <f>IF(ISNA(MATCH(319,'Transfer Engine'!$C$2:$C$1199,0)),"",INDEX('Compliance Database'!$M$2:$M$1199,MATCH(319,'Transfer Engine'!$C$2:$C$1199,0)))</f>
        <v>• [Must] By 2 August 2031, the Commission shall carry out an assessment of the enforcement of this Regulation
• [Must] The Commission shall report on the assessment to the European Parliament, Council, and European Economic and Social Committee
• [Must] The report must take into account the first years of application of this Regulation</v>
      </c>
      <c r="N328" s="7" t="str">
        <f>IF(ISNA(MATCH(319,'Transfer Engine'!$C$2:$C$1199,0)),"",INDEX('Compliance Database'!$N$2:$N$1199,MATCH(319,'Transfer Engine'!$C$2:$C$1199,0)))</f>
        <v>• [May] The report may be accompanied by a proposal for amendment of this Regulation regarding enforcement structure
• [May] The report may include a proposal for a Union agency to resolve identified shortcomings</v>
      </c>
      <c r="O328" s="7" t="str">
        <f>IF(ISNA(MATCH(319,'Transfer Engine'!$C$2:$C$1199,0)),"",INDEX('Compliance Database'!$O$2:$O$1199,MATCH(319,'Transfer Engine'!$C$2:$C$1199,0)))</f>
        <v>By 2 August 2031, the Commission shall carry out an assessment of the enforcement of this Regulation and shall report on it to the European Parliament, the Council and the European Economic and Social Committee, taking into account the first years of application of this Regulation.</v>
      </c>
      <c r="P328" s="6" t="str">
        <f>IF(ISNA(MATCH(319,'Transfer Engine'!$C$2:$C$1199,0)),"",HYPERLINK("#Acts!A"&amp;INDEX('Compliance Database'!$P$2:$P$1199,MATCH(319,'Transfer Engine'!$C$2:$C$1199,0)),"Go to Act"))</f>
        <v>Go to Act</v>
      </c>
    </row>
    <row r="329" spans="1:16" ht="172.95" customHeight="1" x14ac:dyDescent="0.3">
      <c r="A329" s="6" t="str">
        <f>IF(ISNA(MATCH(320,'Transfer Engine'!$C$2:$C$1199,0)),"",INDEX('Compliance Database'!$A$2:$A$1199,MATCH(320,'Transfer Engine'!$C$2:$C$1199,0)))</f>
        <v>GDPR</v>
      </c>
      <c r="B329" s="6" t="str">
        <f>IF(ISNA(MATCH(320,'Transfer Engine'!$C$2:$C$1199,0)),"",INDEX('Compliance Database'!$B$2:$B$1199,MATCH(320,'Transfer Engine'!$C$2:$C$1199,0)))</f>
        <v>OJ_L_202401689_EN_TXT (GDPR - Row 9)</v>
      </c>
      <c r="C329" s="6" t="str">
        <f>IF(ISNA(MATCH(320,'Transfer Engine'!$C$2:$C$1199,0)),"",INDEX('Compliance Database'!$C$2:$C$1199,MATCH(320,'Transfer Engine'!$C$2:$C$1199,0)))</f>
        <v>14</v>
      </c>
      <c r="D329" s="7" t="str">
        <f>IF(ISNA(MATCH(320,'Transfer Engine'!$C$2:$C$1199,0)),"",INDEX('Compliance Database'!$D$2:$D$1199,MATCH(320,'Transfer Engine'!$C$2:$C$1199,0)))</f>
        <v>Confidentiality for market surveillance information</v>
      </c>
      <c r="E329" s="6" t="str">
        <f>IF(ISNA(MATCH(320,'Transfer Engine'!$C$2:$C$1199,0)),"",INDEX('Compliance Database'!$E$2:$E$1199,MATCH(320,'Transfer Engine'!$C$2:$C$1199,0)))</f>
        <v>104</v>
      </c>
      <c r="F329" s="6" t="str">
        <f>IF(ISNA(MATCH(320,'Transfer Engine'!$C$2:$C$1199,0)),"",INDEX('Compliance Database'!$F$2:$F$1199,MATCH(320,'Transfer Engine'!$C$2:$C$1199,0)))</f>
        <v>Low</v>
      </c>
      <c r="G329" s="6" t="str">
        <f>IF(ISNA(MATCH(320,'Transfer Engine'!$C$2:$C$1199,0)),"",INDEX('Compliance Database'!$G$2:$G$1199,MATCH(320,'Transfer Engine'!$C$2:$C$1199,0)))</f>
        <v>High (explicit)</v>
      </c>
      <c r="H329" s="7">
        <f>IF(ISNA(MATCH(320,'Transfer Engine'!$C$2:$C$1199,0)),"",INDEX('Compliance Database'!$H$2:$H$1199,MATCH(320,'Transfer Engine'!$C$2:$C$1199,0)))</f>
        <v>0</v>
      </c>
      <c r="I329" s="7" t="str">
        <f>IF(ISNA(MATCH(320,'Transfer Engine'!$C$2:$C$1199,0)),"",INDEX('Compliance Database'!$I$2:$I$1199,MATCH(320,'Transfer Engine'!$C$2:$C$1199,0)))</f>
        <v>Special Personal Information</v>
      </c>
      <c r="J329" s="6">
        <f>IF(ISNA(MATCH(320,'Transfer Engine'!$C$2:$C$1199,0)),"",INDEX('Compliance Database'!$J$2:$J$1199,MATCH(320,'Transfer Engine'!$C$2:$C$1199,0)))</f>
        <v>0</v>
      </c>
      <c r="K329" s="7" t="str">
        <f>IF(ISNA(MATCH(320,'Transfer Engine'!$C$2:$C$1199,0)),"",INDEX('Compliance Database'!$K$2:$K$1199,MATCH(320,'Transfer Engine'!$C$2:$C$1199,0)))</f>
        <v>Any information or documentation obtained by market surveillance authorities must be treated in accordance with the confidentiality obligations set out in Article 78 of the GDPR.</v>
      </c>
      <c r="L329" s="7" t="str">
        <f>IF(ISNA(MATCH(320,'Transfer Engine'!$C$2:$C$1199,0)),"",INDEX('Compliance Database'!$L$2:$L$1199,MATCH(320,'Transfer Engine'!$C$2:$C$1199,0)))</f>
        <v>Requires confidentiality for market surveillance information, impacting DTIA scope for data handling in AI system oversight.</v>
      </c>
      <c r="M329" s="7" t="str">
        <f>IF(ISNA(MATCH(320,'Transfer Engine'!$C$2:$C$1199,0)),"",INDEX('Compliance Database'!$M$2:$M$1199,MATCH(320,'Transfer Engine'!$C$2:$C$1199,0)))</f>
        <v>• [Must] Any information or documentation obtained by market surveillance authorities shall be treated in accordance with the confidentiality obligations set out in Article 78</v>
      </c>
      <c r="N329" s="7">
        <f>IF(ISNA(MATCH(320,'Transfer Engine'!$C$2:$C$1199,0)),"",INDEX('Compliance Database'!$N$2:$N$1199,MATCH(320,'Transfer Engine'!$C$2:$C$1199,0)))</f>
        <v>0</v>
      </c>
      <c r="O329" s="7" t="str">
        <f>IF(ISNA(MATCH(320,'Transfer Engine'!$C$2:$C$1199,0)),"",INDEX('Compliance Database'!$O$2:$O$1199,MATCH(320,'Transfer Engine'!$C$2:$C$1199,0)))</f>
        <v>Any information or documentation obtained by market surveillance authorities shall be treated in accordance with the confidentiality obligations set out in Article 78.</v>
      </c>
      <c r="P329" s="6" t="str">
        <f>IF(ISNA(MATCH(320,'Transfer Engine'!$C$2:$C$1199,0)),"",HYPERLINK("#Acts!A"&amp;INDEX('Compliance Database'!$P$2:$P$1199,MATCH(320,'Transfer Engine'!$C$2:$C$1199,0)),"Go to Act"))</f>
        <v>Go to Act</v>
      </c>
    </row>
    <row r="330" spans="1:16" ht="172.95" customHeight="1" x14ac:dyDescent="0.3">
      <c r="A330" s="6" t="str">
        <f>IF(ISNA(MATCH(321,'Transfer Engine'!$C$2:$C$1199,0)),"",INDEX('Compliance Database'!$A$2:$A$1199,MATCH(321,'Transfer Engine'!$C$2:$C$1199,0)))</f>
        <v>GDPR</v>
      </c>
      <c r="B330" s="6" t="str">
        <f>IF(ISNA(MATCH(321,'Transfer Engine'!$C$2:$C$1199,0)),"",INDEX('Compliance Database'!$B$2:$B$1199,MATCH(321,'Transfer Engine'!$C$2:$C$1199,0)))</f>
        <v>OJ_L_202401689_EN_TXT (GDPR - Row 9)</v>
      </c>
      <c r="C330" s="6" t="str">
        <f>IF(ISNA(MATCH(321,'Transfer Engine'!$C$2:$C$1199,0)),"",INDEX('Compliance Database'!$C$2:$C$1199,MATCH(321,'Transfer Engine'!$C$2:$C$1199,0)))</f>
        <v>15</v>
      </c>
      <c r="D330" s="7" t="str">
        <f>IF(ISNA(MATCH(321,'Transfer Engine'!$C$2:$C$1199,0)),"",INDEX('Compliance Database'!$D$2:$D$1199,MATCH(321,'Transfer Engine'!$C$2:$C$1199,0)))</f>
        <v>National competent authorities report sandbox establishment to AI Office and Board</v>
      </c>
      <c r="E330" s="6" t="str">
        <f>IF(ISNA(MATCH(321,'Transfer Engine'!$C$2:$C$1199,0)),"",INDEX('Compliance Database'!$E$2:$E$1199,MATCH(321,'Transfer Engine'!$C$2:$C$1199,0)))</f>
        <v>89</v>
      </c>
      <c r="F330" s="6" t="str">
        <f>IF(ISNA(MATCH(321,'Transfer Engine'!$C$2:$C$1199,0)),"",INDEX('Compliance Database'!$F$2:$F$1199,MATCH(321,'Transfer Engine'!$C$2:$C$1199,0)))</f>
        <v>Low</v>
      </c>
      <c r="G330" s="6" t="str">
        <f>IF(ISNA(MATCH(321,'Transfer Engine'!$C$2:$C$1199,0)),"",INDEX('Compliance Database'!$G$2:$G$1199,MATCH(321,'Transfer Engine'!$C$2:$C$1199,0)))</f>
        <v>High (explicit)</v>
      </c>
      <c r="H330" s="7" t="str">
        <f>IF(ISNA(MATCH(321,'Transfer Engine'!$C$2:$C$1199,0)),"",INDEX('Compliance Database'!$H$2:$H$1199,MATCH(321,'Transfer Engine'!$C$2:$C$1199,0)))</f>
        <v>Cross-border Transfer, International Processing, Data Storage, Security</v>
      </c>
      <c r="I330" s="7" t="str">
        <f>IF(ISNA(MATCH(321,'Transfer Engine'!$C$2:$C$1199,0)),"",INDEX('Compliance Database'!$I$2:$I$1199,MATCH(321,'Transfer Engine'!$C$2:$C$1199,0)))</f>
        <v>Personal Information</v>
      </c>
      <c r="J330" s="6" t="str">
        <f>IF(ISNA(MATCH(321,'Transfer Engine'!$C$2:$C$1199,0)),"",INDEX('Compliance Database'!$J$2:$J$1199,MATCH(321,'Transfer Engine'!$C$2:$C$1199,0)))</f>
        <v>AI Office</v>
      </c>
      <c r="K330" s="7" t="str">
        <f>IF(ISNA(MATCH(321,'Transfer Engine'!$C$2:$C$1199,0)),"",INDEX('Compliance Database'!$K$2:$K$1199,MATCH(321,'Transfer Engine'!$C$2:$C$1199,0)))</f>
        <v>National competent authorities must inform the AI Office and Board about establishing an AI regulatory sandbox. They may request support and guidance from these bodies. The AI Office must publish and maintain a list of active and planned sandboxes to promote cross-border cooperation and interaction among sandbox participants.</v>
      </c>
      <c r="L330" s="7" t="str">
        <f>IF(ISNA(MATCH(321,'Transfer Engine'!$C$2:$C$1199,0)),"",INDEX('Compliance Database'!$L$2:$L$1199,MATCH(321,'Transfer Engine'!$C$2:$C$1199,0)))</f>
        <v>Sandbox establishment reporting requires authorities to notify the AI Office and Board, enabling transparency and cross-border coordination for AI regulatory sandboxes.</v>
      </c>
      <c r="M330" s="7" t="str">
        <f>IF(ISNA(MATCH(321,'Transfer Engine'!$C$2:$C$1199,0)),"",INDEX('Compliance Database'!$M$2:$M$1199,MATCH(321,'Transfer Engine'!$C$2:$C$1199,0)))</f>
        <v>• [Must] National competent authorities shall inform the AI Office and Board of sandbox establishment
• [May] National competent authorities may ask AI Office and Board for support and guidance</v>
      </c>
      <c r="N330" s="7" t="str">
        <f>IF(ISNA(MATCH(321,'Transfer Engine'!$C$2:$C$1199,0)),"",INDEX('Compliance Database'!$N$2:$N$1199,MATCH(321,'Transfer Engine'!$C$2:$C$1199,0)))</f>
        <v>• [Must] AI Office shall publish and maintain list of planned and existing sandboxes</v>
      </c>
      <c r="O330" s="7" t="str">
        <f>IF(ISNA(MATCH(321,'Transfer Engine'!$C$2:$C$1199,0)),"",INDEX('Compliance Database'!$O$2:$O$1199,MATCH(321,'Transfer Engine'!$C$2:$C$1199,0)))</f>
        <v>National competent authorities shall inform the AI Office and the Board of the establishment of a sandbox, and may ask them for support and guidance. The AI Office shall make publicly available a list of planned and existing sandboxes and keep it up to date in order to encourage more interaction in the AI regulatory sandboxes and cross-border cooperation.</v>
      </c>
      <c r="P330" s="6" t="str">
        <f>IF(ISNA(MATCH(321,'Transfer Engine'!$C$2:$C$1199,0)),"",HYPERLINK("#Acts!A"&amp;INDEX('Compliance Database'!$P$2:$P$1199,MATCH(321,'Transfer Engine'!$C$2:$C$1199,0)),"Go to Act"))</f>
        <v>Go to Act</v>
      </c>
    </row>
    <row r="331" spans="1:16" ht="172.95" customHeight="1" x14ac:dyDescent="0.3">
      <c r="A331" s="6" t="str">
        <f>IF(ISNA(MATCH(322,'Transfer Engine'!$C$2:$C$1199,0)),"",INDEX('Compliance Database'!$A$2:$A$1199,MATCH(322,'Transfer Engine'!$C$2:$C$1199,0)))</f>
        <v>GDPR</v>
      </c>
      <c r="B331" s="6" t="str">
        <f>IF(ISNA(MATCH(322,'Transfer Engine'!$C$2:$C$1199,0)),"",INDEX('Compliance Database'!$B$2:$B$1199,MATCH(322,'Transfer Engine'!$C$2:$C$1199,0)))</f>
        <v>OJ_L_202401689_EN_TXT (GDPR - Row 9)</v>
      </c>
      <c r="C331" s="6" t="str">
        <f>IF(ISNA(MATCH(322,'Transfer Engine'!$C$2:$C$1199,0)),"",INDEX('Compliance Database'!$C$2:$C$1199,MATCH(322,'Transfer Engine'!$C$2:$C$1199,0)))</f>
        <v>16</v>
      </c>
      <c r="D331" s="7" t="str">
        <f>IF(ISNA(MATCH(322,'Transfer Engine'!$C$2:$C$1199,0)),"",INDEX('Compliance Database'!$D$2:$D$1199,MATCH(322,'Transfer Engine'!$C$2:$C$1199,0)))</f>
        <v>National competent authorities submit annual sandbox reports to AI Office and Board</v>
      </c>
      <c r="E331" s="6" t="str">
        <f>IF(ISNA(MATCH(322,'Transfer Engine'!$C$2:$C$1199,0)),"",INDEX('Compliance Database'!$E$2:$E$1199,MATCH(322,'Transfer Engine'!$C$2:$C$1199,0)))</f>
        <v>89</v>
      </c>
      <c r="F331" s="6" t="str">
        <f>IF(ISNA(MATCH(322,'Transfer Engine'!$C$2:$C$1199,0)),"",INDEX('Compliance Database'!$F$2:$F$1199,MATCH(322,'Transfer Engine'!$C$2:$C$1199,0)))</f>
        <v>Low</v>
      </c>
      <c r="G331" s="6" t="str">
        <f>IF(ISNA(MATCH(322,'Transfer Engine'!$C$2:$C$1199,0)),"",INDEX('Compliance Database'!$G$2:$G$1199,MATCH(322,'Transfer Engine'!$C$2:$C$1199,0)))</f>
        <v>High (explicit)</v>
      </c>
      <c r="H331" s="7" t="str">
        <f>IF(ISNA(MATCH(322,'Transfer Engine'!$C$2:$C$1199,0)),"",INDEX('Compliance Database'!$H$2:$H$1199,MATCH(322,'Transfer Engine'!$C$2:$C$1199,0)))</f>
        <v>Cross-border Transfer, International Processing, Data Storage, Security</v>
      </c>
      <c r="I331" s="7" t="str">
        <f>IF(ISNA(MATCH(322,'Transfer Engine'!$C$2:$C$1199,0)),"",INDEX('Compliance Database'!$I$2:$I$1199,MATCH(322,'Transfer Engine'!$C$2:$C$1199,0)))</f>
        <v>Personal Information</v>
      </c>
      <c r="J331" s="6" t="str">
        <f>IF(ISNA(MATCH(322,'Transfer Engine'!$C$2:$C$1199,0)),"",INDEX('Compliance Database'!$J$2:$J$1199,MATCH(322,'Transfer Engine'!$C$2:$C$1199,0)))</f>
        <v>AI Office</v>
      </c>
      <c r="K331" s="7" t="str">
        <f>IF(ISNA(MATCH(322,'Transfer Engine'!$C$2:$C$1199,0)),"",INDEX('Compliance Database'!$K$2:$K$1199,MATCH(322,'Transfer Engine'!$C$2:$C$1199,0)))</f>
        <v>National competent authorities must submit annual reports to the AI Office and Board starting one year after sandbox establishment until termination. Reports must detail sandbox implementation progress, best practices, incidents, lessons learned, and recommendations. Authorities must publish these reports online, and the Commission may consider them when fulfilling regulatory tasks.</v>
      </c>
      <c r="L331" s="7" t="str">
        <f>IF(ISNA(MATCH(322,'Transfer Engine'!$C$2:$C$1199,0)),"",INDEX('Compliance Database'!$L$2:$L$1199,MATCH(322,'Transfer Engine'!$C$2:$C$1199,0)))</f>
        <v>Annual reporting requirements ensure transparency and accountability in sandbox operations, facilitating cross-border regulatory alignment and incident management.</v>
      </c>
      <c r="M331" s="7" t="str">
        <f>IF(ISNA(MATCH(322,'Transfer Engine'!$C$2:$C$1199,0)),"",INDEX('Compliance Database'!$M$2:$M$1199,MATCH(322,'Transfer Engine'!$C$2:$C$1199,0)))</f>
        <v>• [Must] National competent authorities shall submit annual reports to AI Office and Board from one year after sandbox establishment
• [Must] Annual reports must cover progress, results, best practices, incidents, lessons learned, and recommendations</v>
      </c>
      <c r="N331" s="7" t="str">
        <f>IF(ISNA(MATCH(322,'Transfer Engine'!$C$2:$C$1199,0)),"",INDEX('Compliance Database'!$N$2:$N$1199,MATCH(322,'Transfer Engine'!$C$2:$C$1199,0)))</f>
        <v>• [Must] Reports must be made publicly available online
• [May] Commission may take annual reports into account when exercising regulatory tasks</v>
      </c>
      <c r="O331" s="7" t="str">
        <f>IF(ISNA(MATCH(322,'Transfer Engine'!$C$2:$C$1199,0)),"",INDEX('Compliance Database'!$O$2:$O$1199,MATCH(322,'Transfer Engine'!$C$2:$C$1199,0)))</f>
        <v>National competent authorities shall submit annual reports to the AI Office and to the Board, from one year after the establishment of the AI regulatory sandbox and every year thereafter until its termination, and a final report. Those reports shall provide information on the progress and results of the implementation of those sandboxes, including best practices, incidents, lessons learnt and recommendations on their setup and, where relevant, on the application and possible revision of this Regulation, including its delegated and implementing acts, and on the application of other Union law supervised by the competent authorities within the sandbox. The national competent authorities shall make those annual reports or abstracts thereof available to the public, online. The Commission shall, where appropriate, take the annual reports into account when exercising its tasks under this Regulation.</v>
      </c>
      <c r="P331" s="6" t="str">
        <f>IF(ISNA(MATCH(322,'Transfer Engine'!$C$2:$C$1199,0)),"",HYPERLINK("#Acts!A"&amp;INDEX('Compliance Database'!$P$2:$P$1199,MATCH(322,'Transfer Engine'!$C$2:$C$1199,0)),"Go to Act"))</f>
        <v>Go to Act</v>
      </c>
    </row>
    <row r="332" spans="1:16" ht="172.95" customHeight="1" x14ac:dyDescent="0.3">
      <c r="A332" s="6" t="str">
        <f>IF(ISNA(MATCH(323,'Transfer Engine'!$C$2:$C$1199,0)),"",INDEX('Compliance Database'!$A$2:$A$1199,MATCH(323,'Transfer Engine'!$C$2:$C$1199,0)))</f>
        <v>GDPR</v>
      </c>
      <c r="B332" s="6" t="str">
        <f>IF(ISNA(MATCH(323,'Transfer Engine'!$C$2:$C$1199,0)),"",INDEX('Compliance Database'!$B$2:$B$1199,MATCH(323,'Transfer Engine'!$C$2:$C$1199,0)))</f>
        <v>OJ_L_202401689_EN_TXT (GDPR - Row 9)</v>
      </c>
      <c r="C332" s="6" t="str">
        <f>IF(ISNA(MATCH(323,'Transfer Engine'!$C$2:$C$1199,0)),"",INDEX('Compliance Database'!$C$2:$C$1199,MATCH(323,'Transfer Engine'!$C$2:$C$1199,0)))</f>
        <v>2025</v>
      </c>
      <c r="D332" s="7" t="str">
        <f>IF(ISNA(MATCH(323,'Transfer Engine'!$C$2:$C$1199,0)),"",INDEX('Compliance Database'!$D$2:$D$1199,MATCH(323,'Transfer Engine'!$C$2:$C$1199,0)))</f>
        <v>AI model providers must comply with AI regulations from 2 August 2025</v>
      </c>
      <c r="E332" s="6" t="str">
        <f>IF(ISNA(MATCH(323,'Transfer Engine'!$C$2:$C$1199,0)),"",INDEX('Compliance Database'!$E$2:$E$1199,MATCH(323,'Transfer Engine'!$C$2:$C$1199,0)))</f>
        <v>44</v>
      </c>
      <c r="F332" s="6" t="str">
        <f>IF(ISNA(MATCH(323,'Transfer Engine'!$C$2:$C$1199,0)),"",INDEX('Compliance Database'!$F$2:$F$1199,MATCH(323,'Transfer Engine'!$C$2:$C$1199,0)))</f>
        <v>High</v>
      </c>
      <c r="G332" s="6" t="str">
        <f>IF(ISNA(MATCH(323,'Transfer Engine'!$C$2:$C$1199,0)),"",INDEX('Compliance Database'!$G$2:$G$1199,MATCH(323,'Transfer Engine'!$C$2:$C$1199,0)))</f>
        <v>High (explicit)</v>
      </c>
      <c r="H332" s="7" t="str">
        <f>IF(ISNA(MATCH(323,'Transfer Engine'!$C$2:$C$1199,0)),"",INDEX('Compliance Database'!$H$2:$H$1199,MATCH(323,'Transfer Engine'!$C$2:$C$1199,0)))</f>
        <v>Cross-border Transfer, International Processing, Data Storage, Security, Cloud Services, Incident Reporting, Breach Notification, Governance, Record Keeping</v>
      </c>
      <c r="I332" s="7" t="str">
        <f>IF(ISNA(MATCH(323,'Transfer Engine'!$C$2:$C$1199,0)),"",INDEX('Compliance Database'!$I$2:$I$1199,MATCH(323,'Transfer Engine'!$C$2:$C$1199,0)))</f>
        <v>Personal Information, Financial Data, Customer Data, Employee Data, Special Personal Information</v>
      </c>
      <c r="J332" s="6" t="str">
        <f>IF(ISNA(MATCH(323,'Transfer Engine'!$C$2:$C$1199,0)),"",INDEX('Compliance Database'!$J$2:$J$1199,MATCH(323,'Transfer Engine'!$C$2:$C$1199,0)))</f>
        <v>AI Office</v>
      </c>
      <c r="K332" s="7" t="str">
        <f>IF(ISNA(MATCH(323,'Transfer Engine'!$C$2:$C$1199,0)),"",INDEX('Compliance Database'!$K$2:$K$1199,MATCH(323,'Transfer Engine'!$C$2:$C$1199,0)))</f>
        <v>This section establishes that providers of general-purpose AI models must comply with the AI Regulation starting 2 August 2025. It requires codes of practice to be ready by 2 May 2025 for providers to demonstrate compliance. The AI Office must ensure classification rules are updated with technological developments, and Member States must establish and notify penalties rules by this date for effective implementation.</v>
      </c>
      <c r="L332" s="7" t="str">
        <f>IF(ISNA(MATCH(323,'Transfer Engine'!$C$2:$C$1199,0)),"",INDEX('Compliance Database'!$L$2:$L$1199,MATCH(323,'Transfer Engine'!$C$2:$C$1199,0)))</f>
        <v>AI model providers must implement compliance measures by May 2025 to meet regulatory requirements for data transfers involving AI systems. The section mandates updated classification rules and penalty frameworks that impact cross-border data flows for AI systems.</v>
      </c>
      <c r="M332" s="7" t="str">
        <f>IF(ISNA(MATCH(323,'Transfer Engine'!$C$2:$C$1199,0)),"",INDEX('Compliance Database'!$M$2:$M$1199,MATCH(323,'Transfer Engine'!$C$2:$C$1199,0)))</f>
        <v>• [Must] Providers of general-purpose AI models must comply with AI regulations from 2 August 2025
• [Must] Codes of practice must be ready by 2 May 2025 for providers to demonstrate compliance
• [Must] AI Office must ensure classification rules and procedures are updated with technological developments</v>
      </c>
      <c r="N332" s="7" t="str">
        <f>IF(ISNA(MATCH(323,'Transfer Engine'!$C$2:$C$1199,0)),"",INDEX('Compliance Database'!$N$2:$N$1199,MATCH(323,'Transfer Engine'!$C$2:$C$1199,0)))</f>
        <v>• [Must] Member States must lay down and notify to the Commission rules on penalties including administrative fines
• [Must] Member States must ensure penalties rules are properly and effectively implemented by 2 August 2025</v>
      </c>
      <c r="O332" s="7" t="str">
        <f>IF(ISNA(MATCH(323,'Transfer Engine'!$C$2:$C$1199,0)),"",INDEX('Compliance Database'!$O$2:$O$1199,MATCH(323,'Transfer Engine'!$C$2:$C$1199,0)))</f>
        <v>Given the rapid pace of technological advancements and adoption of general-purpose AI models, obligations for providers of general-purpose AI models should apply from 2 August 2025. Codes of practice should be ready by 2 May 2025 in view of enabling providers to demonstrate compliance on time.</v>
      </c>
      <c r="P332" s="6" t="str">
        <f>IF(ISNA(MATCH(323,'Transfer Engine'!$C$2:$C$1199,0)),"",HYPERLINK("#Acts!A"&amp;INDEX('Compliance Database'!$P$2:$P$1199,MATCH(323,'Transfer Engine'!$C$2:$C$1199,0)),"Go to Act"))</f>
        <v>Go to Act</v>
      </c>
    </row>
    <row r="333" spans="1:16" ht="172.95" customHeight="1" x14ac:dyDescent="0.3">
      <c r="A333" s="6" t="str">
        <f>IF(ISNA(MATCH(324,'Transfer Engine'!$C$2:$C$1199,0)),"",INDEX('Compliance Database'!$A$2:$A$1199,MATCH(324,'Transfer Engine'!$C$2:$C$1199,0)))</f>
        <v>GDPR</v>
      </c>
      <c r="B333" s="6" t="str">
        <f>IF(ISNA(MATCH(324,'Transfer Engine'!$C$2:$C$1199,0)),"",INDEX('Compliance Database'!$B$2:$B$1199,MATCH(324,'Transfer Engine'!$C$2:$C$1199,0)))</f>
        <v>esma_cloud_guidelines (GDPR - Row 8)</v>
      </c>
      <c r="C333" s="6" t="str">
        <f>IF(ISNA(MATCH(324,'Transfer Engine'!$C$2:$C$1199,0)),"",INDEX('Compliance Database'!$C$2:$C$1199,MATCH(324,'Transfer Engine'!$C$2:$C$1199,0)))</f>
        <v>1</v>
      </c>
      <c r="D333" s="7" t="str">
        <f>IF(ISNA(MATCH(324,'Transfer Engine'!$C$2:$C$1199,0)),"",INDEX('Compliance Database'!$D$2:$D$1199,MATCH(324,'Transfer Engine'!$C$2:$C$1199,0)))</f>
        <v>Applicable entities for cloud outsourcing guidelines</v>
      </c>
      <c r="E333" s="6" t="str">
        <f>IF(ISNA(MATCH(324,'Transfer Engine'!$C$2:$C$1199,0)),"",INDEX('Compliance Database'!$E$2:$E$1199,MATCH(324,'Transfer Engine'!$C$2:$C$1199,0)))</f>
        <v>3</v>
      </c>
      <c r="F333" s="6" t="str">
        <f>IF(ISNA(MATCH(324,'Transfer Engine'!$C$2:$C$1199,0)),"",INDEX('Compliance Database'!$F$2:$F$1199,MATCH(324,'Transfer Engine'!$C$2:$C$1199,0)))</f>
        <v>High</v>
      </c>
      <c r="G333" s="6" t="str">
        <f>IF(ISNA(MATCH(324,'Transfer Engine'!$C$2:$C$1199,0)),"",INDEX('Compliance Database'!$G$2:$G$1199,MATCH(324,'Transfer Engine'!$C$2:$C$1199,0)))</f>
        <v>High (explicit)</v>
      </c>
      <c r="H333" s="7" t="str">
        <f>IF(ISNA(MATCH(324,'Transfer Engine'!$C$2:$C$1199,0)),"",INDEX('Compliance Database'!$H$2:$H$1199,MATCH(324,'Transfer Engine'!$C$2:$C$1199,0)))</f>
        <v>Cloud Services</v>
      </c>
      <c r="I333" s="7" t="str">
        <f>IF(ISNA(MATCH(324,'Transfer Engine'!$C$2:$C$1199,0)),"",INDEX('Compliance Database'!$I$2:$I$1199,MATCH(324,'Transfer Engine'!$C$2:$C$1199,0)))</f>
        <v>Financial Data</v>
      </c>
      <c r="J333" s="6" t="str">
        <f>IF(ISNA(MATCH(324,'Transfer Engine'!$C$2:$C$1199,0)),"",INDEX('Compliance Database'!$J$2:$J$1199,MATCH(324,'Transfer Engine'!$C$2:$C$1199,0)))</f>
        <v>ESMA</v>
      </c>
      <c r="K333" s="7" t="str">
        <f>IF(ISNA(MATCH(324,'Transfer Engine'!$C$2:$C$1199,0)),"",INDEX('Compliance Database'!$K$2:$K$1199,MATCH(324,'Transfer Engine'!$C$2:$C$1199,0)))</f>
        <v>These guidelines apply to competent authorities and specific financial entities including alternative investment fund managers, depositaries, UCITS management companies, central counterparties, trade repositories, investment firms, credit institutions, central securities depositories, credit rating agencies, and securitisation repositories. The scope explicitly lists entities that must comply with cloud outsourcing arrangements under these guidelines.</v>
      </c>
      <c r="L333" s="7" t="str">
        <f>IF(ISNA(MATCH(324,'Transfer Engine'!$C$2:$C$1199,0)),"",INDEX('Compliance Database'!$L$2:$L$1199,MATCH(324,'Transfer Engine'!$C$2:$C$1199,0)))</f>
        <v>Defines which financial institutions must adhere to cloud outsourcing requirements for data transfers, impacting cross-border data processing when entities operate internationally.</v>
      </c>
      <c r="M333" s="7" t="str">
        <f>IF(ISNA(MATCH(324,'Transfer Engine'!$C$2:$C$1199,0)),"",INDEX('Compliance Database'!$M$2:$M$1199,MATCH(324,'Transfer Engine'!$C$2:$C$1199,0)))</f>
        <v>• [Must] These guidelines apply to competent authorities and alternative investment fund managers
• [Must] These guidelines apply to depositaries of alternative investment funds
• [Must] These guidelines apply to UCITS management companies
• [Must] These guidelines apply to depositaries of UCITS
• [Must] These guidelines apply to investment companies without designated management companies
• [Must] These guidelines apply to central counterparties including Tier 2 third-country CCPs
• [Must] These guidelines apply to trade repositories</v>
      </c>
      <c r="N333" s="7" t="str">
        <f>IF(ISNA(MATCH(324,'Transfer Engine'!$C$2:$C$1199,0)),"",INDEX('Compliance Database'!$N$2:$N$1199,MATCH(324,'Transfer Engine'!$C$2:$C$1199,0)))</f>
        <v>• [Must] These guidelines apply to investment firms and credit institutions for investment services
• [Must] These guidelines apply to data reporting services providers
• [Must] These guidelines apply to market operators of trading venues
• [Must] These guidelines apply to central securities depositories
• [Must] These guidelines apply to credit rating agencies
• [Must] These guidelines apply to securitisation repositories
• [Must] These guidelines apply to administrators of critical benchmarks</v>
      </c>
      <c r="O333" s="7" t="str">
        <f>IF(ISNA(MATCH(324,'Transfer Engine'!$C$2:$C$1199,0)),"",INDEX('Compliance Database'!$O$2:$O$1199,MATCH(324,'Transfer Engine'!$C$2:$C$1199,0)))</f>
        <v>These guidelines apply to competent authorities and to (i) alternative investment fund managers (AIFMs) and depositaries of alternative investment funds (AIFs), (ii) undertakings for collective investment in transferable securities (UCITS), management companies and depositaries of UCITS, and investment companies that have not designated a management company authorised pursuant to UCITS Directive (iii) central counterparties (CCPs), including Tier 2 third-country CCPs which comply with the relevant EMIR requirements, (iv) trade repositories (TRs), (v) investment firms and credit institutions when carrying out investment services and activities, data reporting services providers and market operators of trading venues, (vi) central securities depositories (CSDs), (vii) credit rating agencies (CRAs), (viii) securitisation repositories (SRs), and (ix) administrators of critical benchmarks.</v>
      </c>
      <c r="P333" s="6" t="str">
        <f>IF(ISNA(MATCH(324,'Transfer Engine'!$C$2:$C$1199,0)),"",HYPERLINK("#Acts!A"&amp;INDEX('Compliance Database'!$P$2:$P$1199,MATCH(324,'Transfer Engine'!$C$2:$C$1199,0)),"Go to Act"))</f>
        <v>Go to Act</v>
      </c>
    </row>
    <row r="334" spans="1:16" ht="172.95" customHeight="1" x14ac:dyDescent="0.3">
      <c r="A334" s="6" t="str">
        <f>IF(ISNA(MATCH(325,'Transfer Engine'!$C$2:$C$1199,0)),"",INDEX('Compliance Database'!$A$2:$A$1199,MATCH(325,'Transfer Engine'!$C$2:$C$1199,0)))</f>
        <v>GDPR</v>
      </c>
      <c r="B334" s="6" t="str">
        <f>IF(ISNA(MATCH(325,'Transfer Engine'!$C$2:$C$1199,0)),"",INDEX('Compliance Database'!$B$2:$B$1199,MATCH(325,'Transfer Engine'!$C$2:$C$1199,0)))</f>
        <v>esma_cloud_guidelines (GDPR - Row 8)</v>
      </c>
      <c r="C334" s="6" t="str">
        <f>IF(ISNA(MATCH(325,'Transfer Engine'!$C$2:$C$1199,0)),"",INDEX('Compliance Database'!$C$2:$C$1199,MATCH(325,'Transfer Engine'!$C$2:$C$1199,0)))</f>
        <v>2</v>
      </c>
      <c r="D334" s="7" t="str">
        <f>IF(ISNA(MATCH(325,'Transfer Engine'!$C$2:$C$1199,0)),"",INDEX('Compliance Database'!$D$2:$D$1199,MATCH(325,'Transfer Engine'!$C$2:$C$1199,0)))</f>
        <v>Tier 2 CCP compliance with EMIR requirements</v>
      </c>
      <c r="E334" s="6" t="str">
        <f>IF(ISNA(MATCH(325,'Transfer Engine'!$C$2:$C$1199,0)),"",INDEX('Compliance Database'!$E$2:$E$1199,MATCH(325,'Transfer Engine'!$C$2:$C$1199,0)))</f>
        <v>3</v>
      </c>
      <c r="F334" s="6" t="str">
        <f>IF(ISNA(MATCH(325,'Transfer Engine'!$C$2:$C$1199,0)),"",INDEX('Compliance Database'!$F$2:$F$1199,MATCH(325,'Transfer Engine'!$C$2:$C$1199,0)))</f>
        <v>High</v>
      </c>
      <c r="G334" s="6" t="str">
        <f>IF(ISNA(MATCH(325,'Transfer Engine'!$C$2:$C$1199,0)),"",INDEX('Compliance Database'!$G$2:$G$1199,MATCH(325,'Transfer Engine'!$C$2:$C$1199,0)))</f>
        <v>High (explicit)</v>
      </c>
      <c r="H334" s="7" t="str">
        <f>IF(ISNA(MATCH(325,'Transfer Engine'!$C$2:$C$1199,0)),"",INDEX('Compliance Database'!$H$2:$H$1199,MATCH(325,'Transfer Engine'!$C$2:$C$1199,0)))</f>
        <v>Cloud Services</v>
      </c>
      <c r="I334" s="7" t="str">
        <f>IF(ISNA(MATCH(325,'Transfer Engine'!$C$2:$C$1199,0)),"",INDEX('Compliance Database'!$I$2:$I$1199,MATCH(325,'Transfer Engine'!$C$2:$C$1199,0)))</f>
        <v>Financial Data</v>
      </c>
      <c r="J334" s="6" t="str">
        <f>IF(ISNA(MATCH(325,'Transfer Engine'!$C$2:$C$1199,0)),"",INDEX('Compliance Database'!$J$2:$J$1199,MATCH(325,'Transfer Engine'!$C$2:$C$1199,0)))</f>
        <v>ESMA</v>
      </c>
      <c r="K334" s="7" t="str">
        <f>IF(ISNA(MATCH(325,'Transfer Engine'!$C$2:$C$1199,0)),"",INDEX('Compliance Database'!$K$2:$K$1199,MATCH(325,'Transfer Engine'!$C$2:$C$1199,0)))</f>
        <v>ESMA will consider compliance with comparable third-country requirements when assessing whether Tier 2 third-country central counterparties satisfy EMIR requirements. This section addresses the applicability of EMIR compliance for cross-border CCPs.</v>
      </c>
      <c r="L334" s="7" t="str">
        <f>IF(ISNA(MATCH(325,'Transfer Engine'!$C$2:$C$1199,0)),"",INDEX('Compliance Database'!$L$2:$L$1199,MATCH(325,'Transfer Engine'!$C$2:$C$1199,0)))</f>
        <v>Relevant for cross-border data transfers involving central counterparties, as it specifies how third-country CCPs can meet EMIR obligations through local compliance.</v>
      </c>
      <c r="M334" s="7" t="str">
        <f>IF(ISNA(MATCH(325,'Transfer Engine'!$C$2:$C$1199,0)),"",INDEX('Compliance Database'!$M$2:$M$1199,MATCH(325,'Transfer Engine'!$C$2:$C$1199,0)))</f>
        <v>• [Must] ESMA will take into account compliance with comparable requirements in third countries for Tier 2 third-country CCPs</v>
      </c>
      <c r="N334" s="7">
        <f>IF(ISNA(MATCH(325,'Transfer Engine'!$C$2:$C$1199,0)),"",INDEX('Compliance Database'!$N$2:$N$1199,MATCH(325,'Transfer Engine'!$C$2:$C$1199,0)))</f>
        <v>0</v>
      </c>
      <c r="O334" s="7" t="str">
        <f>IF(ISNA(MATCH(325,'Transfer Engine'!$C$2:$C$1199,0)),"",INDEX('Compliance Database'!$O$2:$O$1199,MATCH(325,'Transfer Engine'!$C$2:$C$1199,0)))</f>
        <v>ESMA will also take these guidelines into account when assessing the extent to which compliance with the relevant EMIR requirements by a Tier 2 third-country CCP is satisfied by its compliance with comparable requirements in the third country pursuant to Article 25(2b)(a) of EMIR.</v>
      </c>
      <c r="P334" s="6" t="str">
        <f>IF(ISNA(MATCH(325,'Transfer Engine'!$C$2:$C$1199,0)),"",HYPERLINK("#Acts!A"&amp;INDEX('Compliance Database'!$P$2:$P$1199,MATCH(325,'Transfer Engine'!$C$2:$C$1199,0)),"Go to Act"))</f>
        <v>Go to Act</v>
      </c>
    </row>
    <row r="335" spans="1:16" ht="172.95" customHeight="1" x14ac:dyDescent="0.3">
      <c r="A335" s="6" t="str">
        <f>IF(ISNA(MATCH(326,'Transfer Engine'!$C$2:$C$1199,0)),"",INDEX('Compliance Database'!$A$2:$A$1199,MATCH(326,'Transfer Engine'!$C$2:$C$1199,0)))</f>
        <v>GDPR</v>
      </c>
      <c r="B335" s="6" t="str">
        <f>IF(ISNA(MATCH(326,'Transfer Engine'!$C$2:$C$1199,0)),"",INDEX('Compliance Database'!$B$2:$B$1199,MATCH(326,'Transfer Engine'!$C$2:$C$1199,0)))</f>
        <v>esma_cloud_guidelines (GDPR - Row 8)</v>
      </c>
      <c r="C335" s="6" t="str">
        <f>IF(ISNA(MATCH(326,'Transfer Engine'!$C$2:$C$1199,0)),"",INDEX('Compliance Database'!$C$2:$C$1199,MATCH(326,'Transfer Engine'!$C$2:$C$1199,0)))</f>
        <v>3</v>
      </c>
      <c r="D335" s="7" t="str">
        <f>IF(ISNA(MATCH(326,'Transfer Engine'!$C$2:$C$1199,0)),"",INDEX('Compliance Database'!$D$2:$D$1199,MATCH(326,'Transfer Engine'!$C$2:$C$1199,0)))</f>
        <v>Applicable regulatory provisions for cloud outsourcing</v>
      </c>
      <c r="E335" s="6" t="str">
        <f>IF(ISNA(MATCH(326,'Transfer Engine'!$C$2:$C$1199,0)),"",INDEX('Compliance Database'!$E$2:$E$1199,MATCH(326,'Transfer Engine'!$C$2:$C$1199,0)))</f>
        <v>3–4</v>
      </c>
      <c r="F335" s="6" t="str">
        <f>IF(ISNA(MATCH(326,'Transfer Engine'!$C$2:$C$1199,0)),"",INDEX('Compliance Database'!$F$2:$F$1199,MATCH(326,'Transfer Engine'!$C$2:$C$1199,0)))</f>
        <v>High</v>
      </c>
      <c r="G335" s="6" t="str">
        <f>IF(ISNA(MATCH(326,'Transfer Engine'!$C$2:$C$1199,0)),"",INDEX('Compliance Database'!$G$2:$G$1199,MATCH(326,'Transfer Engine'!$C$2:$C$1199,0)))</f>
        <v>High (explicit)</v>
      </c>
      <c r="H335" s="7" t="str">
        <f>IF(ISNA(MATCH(326,'Transfer Engine'!$C$2:$C$1199,0)),"",INDEX('Compliance Database'!$H$2:$H$1199,MATCH(326,'Transfer Engine'!$C$2:$C$1199,0)))</f>
        <v>Cloud Services</v>
      </c>
      <c r="I335" s="7" t="str">
        <f>IF(ISNA(MATCH(326,'Transfer Engine'!$C$2:$C$1199,0)),"",INDEX('Compliance Database'!$I$2:$I$1199,MATCH(326,'Transfer Engine'!$C$2:$C$1199,0)))</f>
        <v>Financial Data</v>
      </c>
      <c r="J335" s="6" t="str">
        <f>IF(ISNA(MATCH(326,'Transfer Engine'!$C$2:$C$1199,0)),"",INDEX('Compliance Database'!$J$2:$J$1199,MATCH(326,'Transfer Engine'!$C$2:$C$1199,0)))</f>
        <v>ESMA</v>
      </c>
      <c r="K335" s="7" t="str">
        <f>IF(ISNA(MATCH(326,'Transfer Engine'!$C$2:$C$1199,0)),"",INDEX('Compliance Database'!$K$2:$K$1199,MATCH(326,'Transfer Engine'!$C$2:$C$1199,0)))</f>
        <v>These guidelines apply to specific provisions from AIFMD, UCITS Directive, EMIR, SFTR, MiFID II, and other regulations. The section lists the regulatory frameworks that must be considered when implementing cloud outsourcing arrangements.</v>
      </c>
      <c r="L335" s="7" t="str">
        <f>IF(ISNA(MATCH(326,'Transfer Engine'!$C$2:$C$1199,0)),"",INDEX('Compliance Database'!$L$2:$L$1199,MATCH(326,'Transfer Engine'!$C$2:$C$1199,0)))</f>
        <v>Defines which regulatory provisions govern cloud outsourcing, impacting data transfers and processing across different financial jurisdictions.</v>
      </c>
      <c r="M335" s="7" t="str">
        <f>IF(ISNA(MATCH(326,'Transfer Engine'!$C$2:$C$1199,0)),"",INDEX('Compliance Database'!$M$2:$M$1199,MATCH(326,'Transfer Engine'!$C$2:$C$1199,0)))</f>
        <v>• [Must] These guidelines apply to Articles 15, 18, 20 and 21(8) of AIFMD
• [Must] These guidelines apply to Articles 13, 22, 38, 39, 40, 44, 45, 57(1)(d), 57(2), 57(3), 58, 75, 76, 77, 79, 81, 82 and 98 of Commission Delegated Regulation (EU) 2013/231
• [Must] These guidelines apply to Articles 12(1)(a), 13, 14(1)(c), 22, 22a, 23(2), 30 and 31 of UCITS Directive
• [Must] These guidelines apply to Articles 4(1) to 4(3), 4(5), 5(2), 7, 9, 23(4), 32, 38, 39 and 40 of Commission Directive 2010/43/EU
• [Must] These guidelines apply to Articles 2(2)(j), 3(1), 13(2), 15, 16 and 22 of Commission Delegated Regulation (EU) No 2016/449
• [Must] These guidelines apply to Articles 25(2a) and 25(2b)(a) of EMIR
• [Must] These guidelines apply to Articles 2(2) of EMIR and Article 3(1) of SFTR</v>
      </c>
      <c r="N335" s="7" t="str">
        <f>IF(ISNA(MATCH(326,'Transfer Engine'!$C$2:$C$1199,0)),"",INDEX('Compliance Database'!$N$2:$N$1199,MATCH(326,'Transfer Engine'!$C$2:$C$1199,0)))</f>
        <v>• [Must] These guidelines apply to Articles 4(1)(1) of MiFID II and Article 4(1)(27) of MiFID II
• [Must] These guidelines apply to Articles 4(1)(63) of MiFID II
• [Must] These guidelines apply to Articles 4(1)(24) of MiFID II
• [Must] These guidelines apply to Articles 2(1)(1) of CSDR
• [Must] These guidelines apply to Articles 3(1)(b) of CRA Regulation
• [Must] These guidelines apply to Articles 2(23) of SECR
• [Must] These guidelines apply to Article 3(1)(25) of Benchmarks Regulation</v>
      </c>
      <c r="O335" s="7" t="str">
        <f>IF(ISNA(MATCH(326,'Transfer Engine'!$C$2:$C$1199,0)),"",INDEX('Compliance Database'!$O$2:$O$1199,MATCH(326,'Transfer Engine'!$C$2:$C$1199,0)))</f>
        <v>These guidelines apply to the following regulatory provisions: Articles 15, 18, 20 and 21(8) of AIFMD; Articles 13, 22, 38, 39, 40, 44, 45, 57(1)(d), 57(2), 57(3), 58, 75, 76, 77, 79, 81, 82 and 98 of Commission Delegated Regulation (EU) 2013/231; Articles 12(1)(a), 13, 14(1)(c), 22, 22a, 23(2), 30 and 31 of UCITS Directive; Articles 4(1) to 4(3), 4(5), 5(2), 7, 9, 23(4), 32, 38, 39 and 40 of Commission Directive 2010/43/EU; Articles 2(2)(j), 3(1), 13(2), 15, 16 and 22 of Commission Delegated Regulation (EU) No 2016/449; Articles 25(2a) and 25(2b)(a) of EMIR; Articles 2(2) of EMIR and Article 3(1) of SFTR; Articles 4(1)(1) of MiFID II and Article 4(1)(27) of MiFID II; Articles 4(1)(63) of MiFID II; Articles 4(1)(24) of MiFID II; Articles 2(1)(1) of CSDR; Articles 3(1)(b) of CRA Regulation; Articles 2(23) of SECR; and Article 3(1)(25) of Benchmarks Regulation.</v>
      </c>
      <c r="P335" s="6" t="str">
        <f>IF(ISNA(MATCH(326,'Transfer Engine'!$C$2:$C$1199,0)),"",HYPERLINK("#Acts!A"&amp;INDEX('Compliance Database'!$P$2:$P$1199,MATCH(326,'Transfer Engine'!$C$2:$C$1199,0)),"Go to Act"))</f>
        <v>Go to Act</v>
      </c>
    </row>
    <row r="336" spans="1:16" ht="172.95" customHeight="1" x14ac:dyDescent="0.3">
      <c r="A336" s="6" t="str">
        <f>IF(ISNA(MATCH(327,'Transfer Engine'!$C$2:$C$1199,0)),"",INDEX('Compliance Database'!$A$2:$A$1199,MATCH(327,'Transfer Engine'!$C$2:$C$1199,0)))</f>
        <v>GDPR</v>
      </c>
      <c r="B336" s="6" t="str">
        <f>IF(ISNA(MATCH(327,'Transfer Engine'!$C$2:$C$1199,0)),"",INDEX('Compliance Database'!$B$2:$B$1199,MATCH(327,'Transfer Engine'!$C$2:$C$1199,0)))</f>
        <v>esma_cloud_guidelines (GDPR - Row 8)</v>
      </c>
      <c r="C336" s="6" t="str">
        <f>IF(ISNA(MATCH(327,'Transfer Engine'!$C$2:$C$1199,0)),"",INDEX('Compliance Database'!$C$2:$C$1199,MATCH(327,'Transfer Engine'!$C$2:$C$1199,0)))</f>
        <v>4</v>
      </c>
      <c r="D336" s="7" t="str">
        <f>IF(ISNA(MATCH(327,'Transfer Engine'!$C$2:$C$1199,0)),"",INDEX('Compliance Database'!$D$2:$D$1199,MATCH(327,'Transfer Engine'!$C$2:$C$1199,0)))</f>
        <v>Effective date and scope of cloud outsourcing guidelines</v>
      </c>
      <c r="E336" s="6" t="str">
        <f>IF(ISNA(MATCH(327,'Transfer Engine'!$C$2:$C$1199,0)),"",INDEX('Compliance Database'!$E$2:$E$1199,MATCH(327,'Transfer Engine'!$C$2:$C$1199,0)))</f>
        <v>4–9</v>
      </c>
      <c r="F336" s="6" t="str">
        <f>IF(ISNA(MATCH(327,'Transfer Engine'!$C$2:$C$1199,0)),"",INDEX('Compliance Database'!$F$2:$F$1199,MATCH(327,'Transfer Engine'!$C$2:$C$1199,0)))</f>
        <v>High</v>
      </c>
      <c r="G336" s="6" t="str">
        <f>IF(ISNA(MATCH(327,'Transfer Engine'!$C$2:$C$1199,0)),"",INDEX('Compliance Database'!$G$2:$G$1199,MATCH(327,'Transfer Engine'!$C$2:$C$1199,0)))</f>
        <v>High (explicit)</v>
      </c>
      <c r="H336" s="7" t="str">
        <f>IF(ISNA(MATCH(327,'Transfer Engine'!$C$2:$C$1199,0)),"",INDEX('Compliance Database'!$H$2:$H$1199,MATCH(327,'Transfer Engine'!$C$2:$C$1199,0)))</f>
        <v>Cloud Services</v>
      </c>
      <c r="I336" s="7" t="str">
        <f>IF(ISNA(MATCH(327,'Transfer Engine'!$C$2:$C$1199,0)),"",INDEX('Compliance Database'!$I$2:$I$1199,MATCH(327,'Transfer Engine'!$C$2:$C$1199,0)))</f>
        <v>Financial Data</v>
      </c>
      <c r="J336" s="6" t="str">
        <f>IF(ISNA(MATCH(327,'Transfer Engine'!$C$2:$C$1199,0)),"",INDEX('Compliance Database'!$J$2:$J$1199,MATCH(327,'Transfer Engine'!$C$2:$C$1199,0)))</f>
        <v>ESMA</v>
      </c>
      <c r="K336" s="7" t="str">
        <f>IF(ISNA(MATCH(327,'Transfer Engine'!$C$2:$C$1199,0)),"",INDEX('Compliance Database'!$K$2:$K$1199,MATCH(327,'Transfer Engine'!$C$2:$C$1199,0)))</f>
        <v>These guidelines apply from 31 July 2021 to all cloud outsourcing arrangements. The scope includes specific financial entities that must comply with cloud service provider arrangements.</v>
      </c>
      <c r="L336" s="7" t="str">
        <f>IF(ISNA(MATCH(327,'Transfer Engine'!$C$2:$C$1199,0)),"",INDEX('Compliance Database'!$L$2:$L$1199,MATCH(327,'Transfer Engine'!$C$2:$C$1199,0)))</f>
        <v>Sets the effective date and scope for cloud outsourcing, impacting data transfers and processing across financial institutions.</v>
      </c>
      <c r="M336" s="7" t="str">
        <f>IF(ISNA(MATCH(327,'Transfer Engine'!$C$2:$C$1199,0)),"",INDEX('Compliance Database'!$M$2:$M$1199,MATCH(327,'Transfer Engine'!$C$2:$C$1199,0)))</f>
        <v>• [Must] These guidelines apply from 31 July 2021 to all cloud outsourcing arrangements</v>
      </c>
      <c r="N336" s="7">
        <f>IF(ISNA(MATCH(327,'Transfer Engine'!$C$2:$C$1199,0)),"",INDEX('Compliance Database'!$N$2:$N$1199,MATCH(327,'Transfer Engine'!$C$2:$C$1199,0)))</f>
        <v>0</v>
      </c>
      <c r="O336" s="7" t="str">
        <f>IF(ISNA(MATCH(327,'Transfer Engine'!$C$2:$C$1199,0)),"",INDEX('Compliance Database'!$O$2:$O$1199,MATCH(327,'Transfer Engine'!$C$2:$C$1199,0)))</f>
        <v>These guidelines apply from 31 July 2021 to all cloud outsourcing arrangements (cont.)</v>
      </c>
      <c r="P336" s="6" t="str">
        <f>IF(ISNA(MATCH(327,'Transfer Engine'!$C$2:$C$1199,0)),"",HYPERLINK("#Acts!A"&amp;INDEX('Compliance Database'!$P$2:$P$1199,MATCH(327,'Transfer Engine'!$C$2:$C$1199,0)),"Go to Act"))</f>
        <v>Go to Act</v>
      </c>
    </row>
    <row r="337" spans="1:16" ht="172.95" customHeight="1" x14ac:dyDescent="0.3">
      <c r="A337" s="6" t="str">
        <f>IF(ISNA(MATCH(328,'Transfer Engine'!$C$2:$C$1199,0)),"",INDEX('Compliance Database'!$A$2:$A$1199,MATCH(328,'Transfer Engine'!$C$2:$C$1199,0)))</f>
        <v>GDPR</v>
      </c>
      <c r="B337" s="6" t="str">
        <f>IF(ISNA(MATCH(328,'Transfer Engine'!$C$2:$C$1199,0)),"",INDEX('Compliance Database'!$B$2:$B$1199,MATCH(328,'Transfer Engine'!$C$2:$C$1199,0)))</f>
        <v>esma_cloud_guidelines (GDPR - Row 8)</v>
      </c>
      <c r="C337" s="6" t="str">
        <f>IF(ISNA(MATCH(328,'Transfer Engine'!$C$2:$C$1199,0)),"",INDEX('Compliance Database'!$C$2:$C$1199,MATCH(328,'Transfer Engine'!$C$2:$C$1199,0)))</f>
        <v>5</v>
      </c>
      <c r="D337" s="7" t="str">
        <f>IF(ISNA(MATCH(328,'Transfer Engine'!$C$2:$C$1199,0)),"",INDEX('Compliance Database'!$D$2:$D$1199,MATCH(328,'Transfer Engine'!$C$2:$C$1199,0)))</f>
        <v>Purpose of cloud outsourcing guidelines</v>
      </c>
      <c r="E337" s="6" t="str">
        <f>IF(ISNA(MATCH(328,'Transfer Engine'!$C$2:$C$1199,0)),"",INDEX('Compliance Database'!$E$2:$E$1199,MATCH(328,'Transfer Engine'!$C$2:$C$1199,0)))</f>
        <v>10</v>
      </c>
      <c r="F337" s="6" t="str">
        <f>IF(ISNA(MATCH(328,'Transfer Engine'!$C$2:$C$1199,0)),"",INDEX('Compliance Database'!$F$2:$F$1199,MATCH(328,'Transfer Engine'!$C$2:$C$1199,0)))</f>
        <v>High</v>
      </c>
      <c r="G337" s="6" t="str">
        <f>IF(ISNA(MATCH(328,'Transfer Engine'!$C$2:$C$1199,0)),"",INDEX('Compliance Database'!$G$2:$G$1199,MATCH(328,'Transfer Engine'!$C$2:$C$1199,0)))</f>
        <v>High (explicit)</v>
      </c>
      <c r="H337" s="7" t="str">
        <f>IF(ISNA(MATCH(328,'Transfer Engine'!$C$2:$C$1199,0)),"",INDEX('Compliance Database'!$H$2:$H$1199,MATCH(328,'Transfer Engine'!$C$2:$C$1199,0)))</f>
        <v>Cloud Services</v>
      </c>
      <c r="I337" s="7" t="str">
        <f>IF(ISNA(MATCH(328,'Transfer Engine'!$C$2:$C$1199,0)),"",INDEX('Compliance Database'!$I$2:$I$1199,MATCH(328,'Transfer Engine'!$C$2:$C$1199,0)))</f>
        <v>Financial Data</v>
      </c>
      <c r="J337" s="6" t="str">
        <f>IF(ISNA(MATCH(328,'Transfer Engine'!$C$2:$C$1199,0)),"",INDEX('Compliance Database'!$J$2:$J$1199,MATCH(328,'Transfer Engine'!$C$2:$C$1199,0)))</f>
        <v>ESMA</v>
      </c>
      <c r="K337" s="7" t="str">
        <f>IF(ISNA(MATCH(328,'Transfer Engine'!$C$2:$C$1199,0)),"",INDEX('Compliance Database'!$K$2:$K$1199,MATCH(328,'Transfer Engine'!$C$2:$C$1199,0)))</f>
        <v>These guidelines aim to establish consistent supervisory practices within the European System of Financial Supervision and ensure uniform application of requirements for cloud outsourcing arrangements. The objectives include identifying, addressing, and monitoring risks associated with cloud outsourcing.</v>
      </c>
      <c r="L337" s="7" t="str">
        <f>IF(ISNA(MATCH(328,'Transfer Engine'!$C$2:$C$1199,0)),"",INDEX('Compliance Database'!$L$2:$L$1199,MATCH(328,'Transfer Engine'!$C$2:$C$1199,0)))</f>
        <v>Defines the purpose of cloud outsourcing guidelines, emphasizing risk management and consistent application of data transfer requirements across financial entities.</v>
      </c>
      <c r="M337" s="7" t="str">
        <f>IF(ISNA(MATCH(328,'Transfer Engine'!$C$2:$C$1199,0)),"",INDEX('Compliance Database'!$M$2:$M$1199,MATCH(328,'Transfer Engine'!$C$2:$C$1199,0)))</f>
        <v>• [Must] These guidelines aim to establish consistent, efficient and effective supervisory practices within the European System of Financial Supervision
• [Must] These guidelines aim to ensure common, uniform and consistent application of requirements for cloud outsourcing</v>
      </c>
      <c r="N337" s="7" t="str">
        <f>IF(ISNA(MATCH(328,'Transfer Engine'!$C$2:$C$1199,0)),"",INDEX('Compliance Database'!$N$2:$N$1199,MATCH(328,'Transfer Engine'!$C$2:$C$1199,0)))</f>
        <v>• [Must] These guidelines aim to help firms identify, address and monitor risks from cloud outsourcing arrangements</v>
      </c>
      <c r="O337" s="7" t="str">
        <f>IF(ISNA(MATCH(328,'Transfer Engine'!$C$2:$C$1199,0)),"",INDEX('Compliance Database'!$O$2:$O$1199,MATCH(328,'Transfer Engine'!$C$2:$C$1199,0)))</f>
        <v>These guidelines are based on Article 16(1) of the ESMA Regulation. The objectives of these guidelines are to establish consistent, efficient and effective supervisory practices within the European System of Financial Supervision (ESFS) and to ensure the common, uniform and consistent application of the requirements referred to in Section 1.1 under the heading 'What?' where firms outsource to CSPs. In particular, these guidelines aim to help firms and competent authorities identify, address and monitor the risks and challenges arising from cloud outsourcing arrangements, from making the decision to outsource, selecting a cloud service provider, monitoring outsourced activities to providing for exit strategies.</v>
      </c>
      <c r="P337" s="6" t="str">
        <f>IF(ISNA(MATCH(328,'Transfer Engine'!$C$2:$C$1199,0)),"",HYPERLINK("#Acts!A"&amp;INDEX('Compliance Database'!$P$2:$P$1199,MATCH(328,'Transfer Engine'!$C$2:$C$1199,0)),"Go to Act"))</f>
        <v>Go to Act</v>
      </c>
    </row>
    <row r="338" spans="1:16" ht="172.95" customHeight="1" x14ac:dyDescent="0.3">
      <c r="A338" s="6" t="str">
        <f>IF(ISNA(MATCH(329,'Transfer Engine'!$C$2:$C$1199,0)),"",INDEX('Compliance Database'!$A$2:$A$1199,MATCH(329,'Transfer Engine'!$C$2:$C$1199,0)))</f>
        <v>GDPR</v>
      </c>
      <c r="B338" s="6" t="str">
        <f>IF(ISNA(MATCH(329,'Transfer Engine'!$C$2:$C$1199,0)),"",INDEX('Compliance Database'!$B$2:$B$1199,MATCH(329,'Transfer Engine'!$C$2:$C$1199,0)))</f>
        <v>esma_cloud_guidelines (GDPR - Row 8)</v>
      </c>
      <c r="C338" s="6" t="str">
        <f>IF(ISNA(MATCH(329,'Transfer Engine'!$C$2:$C$1199,0)),"",INDEX('Compliance Database'!$C$2:$C$1199,MATCH(329,'Transfer Engine'!$C$2:$C$1199,0)))</f>
        <v>7</v>
      </c>
      <c r="D338" s="7" t="str">
        <f>IF(ISNA(MATCH(329,'Transfer Engine'!$C$2:$C$1199,0)),"",INDEX('Compliance Database'!$D$2:$D$1199,MATCH(329,'Transfer Engine'!$C$2:$C$1199,0)))</f>
        <v>Competent authorities must incorporate cloud guidelines into national frameworks</v>
      </c>
      <c r="E338" s="6" t="str">
        <f>IF(ISNA(MATCH(329,'Transfer Engine'!$C$2:$C$1199,0)),"",INDEX('Compliance Database'!$E$2:$E$1199,MATCH(329,'Transfer Engine'!$C$2:$C$1199,0)))</f>
        <v>10</v>
      </c>
      <c r="F338" s="6" t="str">
        <f>IF(ISNA(MATCH(329,'Transfer Engine'!$C$2:$C$1199,0)),"",INDEX('Compliance Database'!$F$2:$F$1199,MATCH(329,'Transfer Engine'!$C$2:$C$1199,0)))</f>
        <v>High</v>
      </c>
      <c r="G338" s="6" t="str">
        <f>IF(ISNA(MATCH(329,'Transfer Engine'!$C$2:$C$1199,0)),"",INDEX('Compliance Database'!$G$2:$G$1199,MATCH(329,'Transfer Engine'!$C$2:$C$1199,0)))</f>
        <v>High (explicit)</v>
      </c>
      <c r="H338" s="7" t="str">
        <f>IF(ISNA(MATCH(329,'Transfer Engine'!$C$2:$C$1199,0)),"",INDEX('Compliance Database'!$H$2:$H$1199,MATCH(329,'Transfer Engine'!$C$2:$C$1199,0)))</f>
        <v>Cloud Services, Governance, Record Keeping</v>
      </c>
      <c r="I338" s="7" t="str">
        <f>IF(ISNA(MATCH(329,'Transfer Engine'!$C$2:$C$1199,0)),"",INDEX('Compliance Database'!$I$2:$I$1199,MATCH(329,'Transfer Engine'!$C$2:$C$1199,0)))</f>
        <v>Customer Data</v>
      </c>
      <c r="J338" s="6" t="str">
        <f>IF(ISNA(MATCH(329,'Transfer Engine'!$C$2:$C$1199,0)),"",INDEX('Compliance Database'!$J$2:$J$1199,MATCH(329,'Transfer Engine'!$C$2:$C$1199,0)))</f>
        <v>ESMA</v>
      </c>
      <c r="K338" s="7" t="str">
        <f>IF(ISNA(MATCH(329,'Transfer Engine'!$C$2:$C$1199,0)),"",INDEX('Compliance Database'!$K$2:$K$1199,MATCH(329,'Transfer Engine'!$C$2:$C$1199,0)))</f>
        <v>Competent authorities must integrate these cloud service provider guidelines into their national legal and supervisory frameworks. They must ensure compliance through ongoing supervision, particularly for firms targeted by specific guidelines. This applies to authorities overseeing financial institutions and cloud service providers within the EU.</v>
      </c>
      <c r="L338" s="7" t="str">
        <f>IF(ISNA(MATCH(329,'Transfer Engine'!$C$2:$C$1199,0)),"",INDEX('Compliance Database'!$L$2:$L$1199,MATCH(329,'Transfer Engine'!$C$2:$C$1199,0)))</f>
        <v>Competent authorities must ensure national frameworks align with cloud guidelines to facilitate cross-border cloud service compliance. This affects data transfer assessments for cloud providers operating in multiple jurisdictions.</v>
      </c>
      <c r="M338" s="7" t="str">
        <f>IF(ISNA(MATCH(329,'Transfer Engine'!$C$2:$C$1199,0)),"",INDEX('Compliance Database'!$M$2:$M$1199,MATCH(329,'Transfer Engine'!$C$2:$C$1199,0)))</f>
        <v>• [Must] Competent authorities must incorporate these guidelines into national legal and supervisory frameworks</v>
      </c>
      <c r="N338" s="7" t="str">
        <f>IF(ISNA(MATCH(329,'Transfer Engine'!$C$2:$C$1199,0)),"",INDEX('Compliance Database'!$N$2:$N$1199,MATCH(329,'Transfer Engine'!$C$2:$C$1199,0)))</f>
        <v>• [Must] Competent authorities must ensure firms comply with guidelines through supervision</v>
      </c>
      <c r="O338" s="7" t="str">
        <f>IF(ISNA(MATCH(329,'Transfer Engine'!$C$2:$C$1199,0)),"",INDEX('Compliance Database'!$O$2:$O$1199,MATCH(329,'Transfer Engine'!$C$2:$C$1199,0)))</f>
        <v>7. Competent authorities to which these guidelines apply should comply by incorporating them into their national legal and/or supervisory frameworks as appropriate, including where particular guidelines are directed primarily at firms. In this case, competent authorities should ensure, through their supervision, that firms comply with the guidelines.</v>
      </c>
      <c r="P338" s="6" t="str">
        <f>IF(ISNA(MATCH(329,'Transfer Engine'!$C$2:$C$1199,0)),"",HYPERLINK("#Acts!A"&amp;INDEX('Compliance Database'!$P$2:$P$1199,MATCH(329,'Transfer Engine'!$C$2:$C$1199,0)),"Go to Act"))</f>
        <v>Go to Act</v>
      </c>
    </row>
    <row r="339" spans="1:16" ht="172.95" customHeight="1" x14ac:dyDescent="0.3">
      <c r="A339" s="6" t="str">
        <f>IF(ISNA(MATCH(330,'Transfer Engine'!$C$2:$C$1199,0)),"",INDEX('Compliance Database'!$A$2:$A$1199,MATCH(330,'Transfer Engine'!$C$2:$C$1199,0)))</f>
        <v>GDPR</v>
      </c>
      <c r="B339" s="6" t="str">
        <f>IF(ISNA(MATCH(330,'Transfer Engine'!$C$2:$C$1199,0)),"",INDEX('Compliance Database'!$B$2:$B$1199,MATCH(330,'Transfer Engine'!$C$2:$C$1199,0)))</f>
        <v>esma_cloud_guidelines (GDPR - Row 8)</v>
      </c>
      <c r="C339" s="6" t="str">
        <f>IF(ISNA(MATCH(330,'Transfer Engine'!$C$2:$C$1199,0)),"",INDEX('Compliance Database'!$C$2:$C$1199,MATCH(330,'Transfer Engine'!$C$2:$C$1199,0)))</f>
        <v>8</v>
      </c>
      <c r="D339" s="7" t="str">
        <f>IF(ISNA(MATCH(330,'Transfer Engine'!$C$2:$C$1199,0)),"",INDEX('Compliance Database'!$D$2:$D$1199,MATCH(330,'Transfer Engine'!$C$2:$C$1199,0)))</f>
        <v>ESMA supervises cloud providers and data reporting services</v>
      </c>
      <c r="E339" s="6" t="str">
        <f>IF(ISNA(MATCH(330,'Transfer Engine'!$C$2:$C$1199,0)),"",INDEX('Compliance Database'!$E$2:$E$1199,MATCH(330,'Transfer Engine'!$C$2:$C$1199,0)))</f>
        <v>10–11</v>
      </c>
      <c r="F339" s="6" t="str">
        <f>IF(ISNA(MATCH(330,'Transfer Engine'!$C$2:$C$1199,0)),"",INDEX('Compliance Database'!$F$2:$F$1199,MATCH(330,'Transfer Engine'!$C$2:$C$1199,0)))</f>
        <v>High</v>
      </c>
      <c r="G339" s="6" t="str">
        <f>IF(ISNA(MATCH(330,'Transfer Engine'!$C$2:$C$1199,0)),"",INDEX('Compliance Database'!$G$2:$G$1199,MATCH(330,'Transfer Engine'!$C$2:$C$1199,0)))</f>
        <v>High (explicit)</v>
      </c>
      <c r="H339" s="7" t="str">
        <f>IF(ISNA(MATCH(330,'Transfer Engine'!$C$2:$C$1199,0)),"",INDEX('Compliance Database'!$H$2:$H$1199,MATCH(330,'Transfer Engine'!$C$2:$C$1199,0)))</f>
        <v>Cloud Services, Governance, Record Keeping</v>
      </c>
      <c r="I339" s="7" t="str">
        <f>IF(ISNA(MATCH(330,'Transfer Engine'!$C$2:$C$1199,0)),"",INDEX('Compliance Database'!$I$2:$I$1199,MATCH(330,'Transfer Engine'!$C$2:$C$1199,0)))</f>
        <v>Financial Data</v>
      </c>
      <c r="J339" s="6" t="str">
        <f>IF(ISNA(MATCH(330,'Transfer Engine'!$C$2:$C$1199,0)),"",INDEX('Compliance Database'!$J$2:$J$1199,MATCH(330,'Transfer Engine'!$C$2:$C$1199,0)))</f>
        <v>ESMA</v>
      </c>
      <c r="K339" s="7" t="str">
        <f>IF(ISNA(MATCH(330,'Transfer Engine'!$C$2:$C$1199,0)),"",INDEX('Compliance Database'!$K$2:$K$1199,MATCH(330,'Transfer Engine'!$C$2:$C$1199,0)))</f>
        <v>ESMA directly supervises cloud service providers, trading repositories, trading venues, and tier 2 third-country cloud providers to assess compliance with these guidelines. From January 2022, ESMA also supervises data reporting services and administrators of EU critical benchmarks. This ensures oversight of entities handling financial data across borders.</v>
      </c>
      <c r="L339" s="7" t="str">
        <f>IF(ISNA(MATCH(330,'Transfer Engine'!$C$2:$C$1199,0)),"",INDEX('Compliance Database'!$L$2:$L$1199,MATCH(330,'Transfer Engine'!$C$2:$C$1199,0)))</f>
        <v>ESMA's direct supervision of cloud providers and data reporting services impacts cross-border data transfers by requiring adherence to specific cloud governance standards for financial data.</v>
      </c>
      <c r="M339" s="7" t="str">
        <f>IF(ISNA(MATCH(330,'Transfer Engine'!$C$2:$C$1199,0)),"",INDEX('Compliance Database'!$M$2:$M$1199,MATCH(330,'Transfer Engine'!$C$2:$C$1199,0)))</f>
        <v>• [Must] ESMA will assess the application of these guidelines by CRAs, TRs, SRs, Tier 2 third-country CCPs</v>
      </c>
      <c r="N339" s="7" t="str">
        <f>IF(ISNA(MATCH(330,'Transfer Engine'!$C$2:$C$1199,0)),"",INDEX('Compliance Database'!$N$2:$N$1199,MATCH(330,'Transfer Engine'!$C$2:$C$1199,0)))</f>
        <v>• [Must] ESMA will assess the application of these guidelines by data reporting services providers and administrators of EU critical benchmarks from 1 January 2022</v>
      </c>
      <c r="O339" s="7" t="str">
        <f>IF(ISNA(MATCH(330,'Transfer Engine'!$C$2:$C$1199,0)),"",INDEX('Compliance Database'!$O$2:$O$1199,MATCH(330,'Transfer Engine'!$C$2:$C$1199,0)))</f>
        <v>8. Through its ongoing direct supervision, ESMA will assess the application of these guidelines by CRAs, TRs, SRs, Tier 2 third-country CCPs and, from 1 January 2022, data reporting services providers and administrators of EU critical benchmarks.</v>
      </c>
      <c r="P339" s="6" t="str">
        <f>IF(ISNA(MATCH(330,'Transfer Engine'!$C$2:$C$1199,0)),"",HYPERLINK("#Acts!A"&amp;INDEX('Compliance Database'!$P$2:$P$1199,MATCH(330,'Transfer Engine'!$C$2:$C$1199,0)),"Go to Act"))</f>
        <v>Go to Act</v>
      </c>
    </row>
    <row r="340" spans="1:16" ht="172.95" customHeight="1" x14ac:dyDescent="0.3">
      <c r="A340" s="6" t="str">
        <f>IF(ISNA(MATCH(331,'Transfer Engine'!$C$2:$C$1199,0)),"",INDEX('Compliance Database'!$A$2:$A$1199,MATCH(331,'Transfer Engine'!$C$2:$C$1199,0)))</f>
        <v>GDPR</v>
      </c>
      <c r="B340" s="6" t="str">
        <f>IF(ISNA(MATCH(331,'Transfer Engine'!$C$2:$C$1199,0)),"",INDEX('Compliance Database'!$B$2:$B$1199,MATCH(331,'Transfer Engine'!$C$2:$C$1199,0)))</f>
        <v>esma_cloud_guidelines (GDPR - Row 8)</v>
      </c>
      <c r="C340" s="6" t="str">
        <f>IF(ISNA(MATCH(331,'Transfer Engine'!$C$2:$C$1199,0)),"",INDEX('Compliance Database'!$C$2:$C$1199,MATCH(331,'Transfer Engine'!$C$2:$C$1199,0)))</f>
        <v>9</v>
      </c>
      <c r="D340" s="7" t="str">
        <f>IF(ISNA(MATCH(331,'Transfer Engine'!$C$2:$C$1199,0)),"",INDEX('Compliance Database'!$D$2:$D$1199,MATCH(331,'Transfer Engine'!$C$2:$C$1199,0)))</f>
        <v>Competent authorities must notify ESMA of compliance status within two months</v>
      </c>
      <c r="E340" s="6" t="str">
        <f>IF(ISNA(MATCH(331,'Transfer Engine'!$C$2:$C$1199,0)),"",INDEX('Compliance Database'!$E$2:$E$1199,MATCH(331,'Transfer Engine'!$C$2:$C$1199,0)))</f>
        <v>11</v>
      </c>
      <c r="F340" s="6" t="str">
        <f>IF(ISNA(MATCH(331,'Transfer Engine'!$C$2:$C$1199,0)),"",INDEX('Compliance Database'!$F$2:$F$1199,MATCH(331,'Transfer Engine'!$C$2:$C$1199,0)))</f>
        <v>High</v>
      </c>
      <c r="G340" s="6" t="str">
        <f>IF(ISNA(MATCH(331,'Transfer Engine'!$C$2:$C$1199,0)),"",INDEX('Compliance Database'!$G$2:$G$1199,MATCH(331,'Transfer Engine'!$C$2:$C$1199,0)))</f>
        <v>High (explicit)</v>
      </c>
      <c r="H340" s="7" t="str">
        <f>IF(ISNA(MATCH(331,'Transfer Engine'!$C$2:$C$1199,0)),"",INDEX('Compliance Database'!$H$2:$H$1199,MATCH(331,'Transfer Engine'!$C$2:$C$1199,0)))</f>
        <v>Cloud Services, Governance, Record Keeping</v>
      </c>
      <c r="I340" s="7" t="str">
        <f>IF(ISNA(MATCH(331,'Transfer Engine'!$C$2:$C$1199,0)),"",INDEX('Compliance Database'!$I$2:$I$1199,MATCH(331,'Transfer Engine'!$C$2:$C$1199,0)))</f>
        <v>Customer Data</v>
      </c>
      <c r="J340" s="6" t="str">
        <f>IF(ISNA(MATCH(331,'Transfer Engine'!$C$2:$C$1199,0)),"",INDEX('Compliance Database'!$J$2:$J$1199,MATCH(331,'Transfer Engine'!$C$2:$C$1199,0)))</f>
        <v>ESMA</v>
      </c>
      <c r="K340" s="7" t="str">
        <f>IF(ISNA(MATCH(331,'Transfer Engine'!$C$2:$C$1199,0)),"",INDEX('Compliance Database'!$K$2:$K$1199,MATCH(331,'Transfer Engine'!$C$2:$C$1199,0)))</f>
        <v>Competent authorities must notify ESMA within two months of the guidelines' publication in EU languages whether they comply with the guidelines, intend to comply but do not yet, or do not comply and have no intention to comply. This notification is required for all authorities that apply these guidelines to ensure transparency in compliance status.</v>
      </c>
      <c r="L340" s="7" t="str">
        <f>IF(ISNA(MATCH(331,'Transfer Engine'!$C$2:$C$1199,0)),"",INDEX('Compliance Database'!$L$2:$L$1199,MATCH(331,'Transfer Engine'!$C$2:$C$1199,0)))</f>
        <v>Competent authorities must report compliance status to ESMA within two months, which affects data transfer assessments by ensuring authorities are aware of non-compliance risks for cloud providers.</v>
      </c>
      <c r="M340" s="7" t="str">
        <f>IF(ISNA(MATCH(331,'Transfer Engine'!$C$2:$C$1199,0)),"",INDEX('Compliance Database'!$M$2:$M$1199,MATCH(331,'Transfer Engine'!$C$2:$C$1199,0)))</f>
        <v>• [Must] Competent authorities must notify ESMA within two months of publication in EU languages whether they comply, intend to comply but do not yet, or do not comply and have no intention to comply</v>
      </c>
      <c r="N340" s="7">
        <f>IF(ISNA(MATCH(331,'Transfer Engine'!$C$2:$C$1199,0)),"",INDEX('Compliance Database'!$N$2:$N$1199,MATCH(331,'Transfer Engine'!$C$2:$C$1199,0)))</f>
        <v>0</v>
      </c>
      <c r="O340" s="7" t="str">
        <f>IF(ISNA(MATCH(331,'Transfer Engine'!$C$2:$C$1199,0)),"",INDEX('Compliance Database'!$O$2:$O$1199,MATCH(331,'Transfer Engine'!$C$2:$C$1199,0)))</f>
        <v>9. Within two months of the date of publication of the guidelines on ESMA's website in all EU official languages, competent authorities to which these guidelines apply must notify ESMA whether they (i) comply, (ii) do not comply but intend to comply, or (iii) do not comply and do not intend to comply with the guidelines.</v>
      </c>
      <c r="P340" s="6" t="str">
        <f>IF(ISNA(MATCH(331,'Transfer Engine'!$C$2:$C$1199,0)),"",HYPERLINK("#Acts!A"&amp;INDEX('Compliance Database'!$P$2:$P$1199,MATCH(331,'Transfer Engine'!$C$2:$C$1199,0)),"Go to Act"))</f>
        <v>Go to Act</v>
      </c>
    </row>
    <row r="341" spans="1:16" ht="172.95" customHeight="1" x14ac:dyDescent="0.3">
      <c r="A341" s="6" t="str">
        <f>IF(ISNA(MATCH(332,'Transfer Engine'!$C$2:$C$1199,0)),"",INDEX('Compliance Database'!$A$2:$A$1199,MATCH(332,'Transfer Engine'!$C$2:$C$1199,0)))</f>
        <v>GDPR</v>
      </c>
      <c r="B341" s="6" t="str">
        <f>IF(ISNA(MATCH(332,'Transfer Engine'!$C$2:$C$1199,0)),"",INDEX('Compliance Database'!$B$2:$B$1199,MATCH(332,'Transfer Engine'!$C$2:$C$1199,0)))</f>
        <v>esma_cloud_guidelines (GDPR - Row 8)</v>
      </c>
      <c r="C341" s="6" t="str">
        <f>IF(ISNA(MATCH(332,'Transfer Engine'!$C$2:$C$1199,0)),"",INDEX('Compliance Database'!$C$2:$C$1199,MATCH(332,'Transfer Engine'!$C$2:$C$1199,0)))</f>
        <v>10</v>
      </c>
      <c r="D341" s="7" t="str">
        <f>IF(ISNA(MATCH(332,'Transfer Engine'!$C$2:$C$1199,0)),"",INDEX('Compliance Database'!$D$2:$D$1199,MATCH(332,'Transfer Engine'!$C$2:$C$1199,0)))</f>
        <v>Competent authorities must explain non-compliance reasons to ESMA</v>
      </c>
      <c r="E341" s="6" t="str">
        <f>IF(ISNA(MATCH(332,'Transfer Engine'!$C$2:$C$1199,0)),"",INDEX('Compliance Database'!$E$2:$E$1199,MATCH(332,'Transfer Engine'!$C$2:$C$1199,0)))</f>
        <v>11</v>
      </c>
      <c r="F341" s="6" t="str">
        <f>IF(ISNA(MATCH(332,'Transfer Engine'!$C$2:$C$1199,0)),"",INDEX('Compliance Database'!$F$2:$F$1199,MATCH(332,'Transfer Engine'!$C$2:$C$1199,0)))</f>
        <v>High</v>
      </c>
      <c r="G341" s="6" t="str">
        <f>IF(ISNA(MATCH(332,'Transfer Engine'!$C$2:$C$1199,0)),"",INDEX('Compliance Database'!$G$2:$G$1199,MATCH(332,'Transfer Engine'!$C$2:$C$1199,0)))</f>
        <v>High (explicit)</v>
      </c>
      <c r="H341" s="7" t="str">
        <f>IF(ISNA(MATCH(332,'Transfer Engine'!$C$2:$C$1199,0)),"",INDEX('Compliance Database'!$H$2:$H$1199,MATCH(332,'Transfer Engine'!$C$2:$C$1199,0)))</f>
        <v>Cloud Services, Governance, Record Keeping</v>
      </c>
      <c r="I341" s="7" t="str">
        <f>IF(ISNA(MATCH(332,'Transfer Engine'!$C$2:$C$1199,0)),"",INDEX('Compliance Database'!$I$2:$I$1199,MATCH(332,'Transfer Engine'!$C$2:$C$1199,0)))</f>
        <v>Customer Data</v>
      </c>
      <c r="J341" s="6" t="str">
        <f>IF(ISNA(MATCH(332,'Transfer Engine'!$C$2:$C$1199,0)),"",INDEX('Compliance Database'!$J$2:$J$1199,MATCH(332,'Transfer Engine'!$C$2:$C$1199,0)))</f>
        <v>ESMA</v>
      </c>
      <c r="K341" s="7" t="str">
        <f>IF(ISNA(MATCH(332,'Transfer Engine'!$C$2:$C$1199,0)),"",INDEX('Compliance Database'!$K$2:$K$1199,MATCH(332,'Transfer Engine'!$C$2:$C$1199,0)))</f>
        <v>If competent authorities do not comply with the guidelines, they must notify ESMA within two months of publication in EU languages with reasons for non-compliance. This includes using a template provided by ESMA to document the reasons, ensuring transparency and accountability for non-compliant authorities.</v>
      </c>
      <c r="L341" s="7" t="str">
        <f>IF(ISNA(MATCH(332,'Transfer Engine'!$C$2:$C$1199,0)),"",INDEX('Compliance Database'!$L$2:$L$1199,MATCH(332,'Transfer Engine'!$C$2:$C$1199,0)))</f>
        <v>Competent authorities must provide detailed reasons for non-compliance to ESMA, which impacts data transfer assessments by identifying jurisdictional gaps in cloud service compliance.</v>
      </c>
      <c r="M341" s="7" t="str">
        <f>IF(ISNA(MATCH(332,'Transfer Engine'!$C$2:$C$1199,0)),"",INDEX('Compliance Database'!$M$2:$M$1199,MATCH(332,'Transfer Engine'!$C$2:$C$1199,0)))</f>
        <v>• [Must] Competent authorities must notify ESMA within two months of publication in EU languages of reasons for non-compliance</v>
      </c>
      <c r="N341" s="7" t="str">
        <f>IF(ISNA(MATCH(332,'Transfer Engine'!$C$2:$C$1199,0)),"",INDEX('Compliance Database'!$N$2:$N$1199,MATCH(332,'Transfer Engine'!$C$2:$C$1199,0)))</f>
        <v>• [Must] Competent authorities must use ESMA's template to document non-compliance reasons</v>
      </c>
      <c r="O341" s="7" t="str">
        <f>IF(ISNA(MATCH(332,'Transfer Engine'!$C$2:$C$1199,0)),"",INDEX('Compliance Database'!$O$2:$O$1199,MATCH(332,'Transfer Engine'!$C$2:$C$1199,0)))</f>
        <v>10. In case of non-compliance, competent authorities must also notify ESMA within two months of the date of publication of the guidelines on ESMA's website in all EU official languages of their reasons for not complying with the guidelines. A template for notifications is available on ESMA's website. Once the template has been filled in, it shall be transmitted to ESMA.</v>
      </c>
      <c r="P341" s="6" t="str">
        <f>IF(ISNA(MATCH(332,'Transfer Engine'!$C$2:$C$1199,0)),"",HYPERLINK("#Acts!A"&amp;INDEX('Compliance Database'!$P$2:$P$1199,MATCH(332,'Transfer Engine'!$C$2:$C$1199,0)),"Go to Act"))</f>
        <v>Go to Act</v>
      </c>
    </row>
    <row r="342" spans="1:16" ht="172.95" customHeight="1" x14ac:dyDescent="0.3">
      <c r="A342" s="6" t="str">
        <f>IF(ISNA(MATCH(333,'Transfer Engine'!$C$2:$C$1199,0)),"",INDEX('Compliance Database'!$A$2:$A$1199,MATCH(333,'Transfer Engine'!$C$2:$C$1199,0)))</f>
        <v>GDPR</v>
      </c>
      <c r="B342" s="6" t="str">
        <f>IF(ISNA(MATCH(333,'Transfer Engine'!$C$2:$C$1199,0)),"",INDEX('Compliance Database'!$B$2:$B$1199,MATCH(333,'Transfer Engine'!$C$2:$C$1199,0)))</f>
        <v>esma_cloud_guidelines (GDPR - Row 8)</v>
      </c>
      <c r="C342" s="6" t="str">
        <f>IF(ISNA(MATCH(333,'Transfer Engine'!$C$2:$C$1199,0)),"",INDEX('Compliance Database'!$C$2:$C$1199,MATCH(333,'Transfer Engine'!$C$2:$C$1199,0)))</f>
        <v>11</v>
      </c>
      <c r="D342" s="7" t="str">
        <f>IF(ISNA(MATCH(333,'Transfer Engine'!$C$2:$C$1199,0)),"",INDEX('Compliance Database'!$D$2:$D$1199,MATCH(333,'Transfer Engine'!$C$2:$C$1199,0)))</f>
        <v>Firms not required to report compliance with cloud guidelines</v>
      </c>
      <c r="E342" s="6" t="str">
        <f>IF(ISNA(MATCH(333,'Transfer Engine'!$C$2:$C$1199,0)),"",INDEX('Compliance Database'!$E$2:$E$1199,MATCH(333,'Transfer Engine'!$C$2:$C$1199,0)))</f>
        <v>11</v>
      </c>
      <c r="F342" s="6" t="str">
        <f>IF(ISNA(MATCH(333,'Transfer Engine'!$C$2:$C$1199,0)),"",INDEX('Compliance Database'!$F$2:$F$1199,MATCH(333,'Transfer Engine'!$C$2:$C$1199,0)))</f>
        <v>High</v>
      </c>
      <c r="G342" s="6" t="str">
        <f>IF(ISNA(MATCH(333,'Transfer Engine'!$C$2:$C$1199,0)),"",INDEX('Compliance Database'!$G$2:$G$1199,MATCH(333,'Transfer Engine'!$C$2:$C$1199,0)))</f>
        <v>High (explicit)</v>
      </c>
      <c r="H342" s="7" t="str">
        <f>IF(ISNA(MATCH(333,'Transfer Engine'!$C$2:$C$1199,0)),"",INDEX('Compliance Database'!$H$2:$H$1199,MATCH(333,'Transfer Engine'!$C$2:$C$1199,0)))</f>
        <v>Cloud Services, Governance</v>
      </c>
      <c r="I342" s="7" t="str">
        <f>IF(ISNA(MATCH(333,'Transfer Engine'!$C$2:$C$1199,0)),"",INDEX('Compliance Database'!$I$2:$I$1199,MATCH(333,'Transfer Engine'!$C$2:$C$1199,0)))</f>
        <v>Customer Data</v>
      </c>
      <c r="J342" s="6" t="str">
        <f>IF(ISNA(MATCH(333,'Transfer Engine'!$C$2:$C$1199,0)),"",INDEX('Compliance Database'!$J$2:$J$1199,MATCH(333,'Transfer Engine'!$C$2:$C$1199,0)))</f>
        <v>ESMA</v>
      </c>
      <c r="K342" s="7" t="str">
        <f>IF(ISNA(MATCH(333,'Transfer Engine'!$C$2:$C$1199,0)),"",INDEX('Compliance Database'!$K$2:$K$1199,MATCH(333,'Transfer Engine'!$C$2:$C$1199,0)))</f>
        <v>Firms are not required to report whether they comply with these cloud service provider guidelines. This means firms have no obligation to inform ESMA or competent authorities about their compliance status with the guidelines, reducing reporting burdens for financial institutions.</v>
      </c>
      <c r="L342" s="7" t="str">
        <f>IF(ISNA(MATCH(333,'Transfer Engine'!$C$2:$C$1199,0)),"",INDEX('Compliance Database'!$L$2:$L$1199,MATCH(333,'Transfer Engine'!$C$2:$C$1199,0)))</f>
        <v>Firms do not need to report compliance with cloud guidelines, which simplifies data transfer assessments by removing reporting obligations for cloud service providers.</v>
      </c>
      <c r="M342" s="7" t="str">
        <f>IF(ISNA(MATCH(333,'Transfer Engine'!$C$2:$C$1199,0)),"",INDEX('Compliance Database'!$M$2:$M$1199,MATCH(333,'Transfer Engine'!$C$2:$C$1199,0)))</f>
        <v>• [Must Not] Firms are not required to report compliance with these guidelines</v>
      </c>
      <c r="N342" s="7">
        <f>IF(ISNA(MATCH(333,'Transfer Engine'!$C$2:$C$1199,0)),"",INDEX('Compliance Database'!$N$2:$N$1199,MATCH(333,'Transfer Engine'!$C$2:$C$1199,0)))</f>
        <v>0</v>
      </c>
      <c r="O342" s="7" t="str">
        <f>IF(ISNA(MATCH(333,'Transfer Engine'!$C$2:$C$1199,0)),"",INDEX('Compliance Database'!$O$2:$O$1199,MATCH(333,'Transfer Engine'!$C$2:$C$1199,0)))</f>
        <v>11. Firms are not required to report whether they comply with these guidelines.</v>
      </c>
      <c r="P342" s="6" t="str">
        <f>IF(ISNA(MATCH(333,'Transfer Engine'!$C$2:$C$1199,0)),"",HYPERLINK("#Acts!A"&amp;INDEX('Compliance Database'!$P$2:$P$1199,MATCH(333,'Transfer Engine'!$C$2:$C$1199,0)),"Go to Act"))</f>
        <v>Go to Act</v>
      </c>
    </row>
    <row r="343" spans="1:16" ht="172.95" customHeight="1" x14ac:dyDescent="0.3">
      <c r="A343" s="6" t="str">
        <f>IF(ISNA(MATCH(334,'Transfer Engine'!$C$2:$C$1199,0)),"",INDEX('Compliance Database'!$A$2:$A$1199,MATCH(334,'Transfer Engine'!$C$2:$C$1199,0)))</f>
        <v>GDPR</v>
      </c>
      <c r="B343" s="6" t="str">
        <f>IF(ISNA(MATCH(334,'Transfer Engine'!$C$2:$C$1199,0)),"",INDEX('Compliance Database'!$B$2:$B$1199,MATCH(334,'Transfer Engine'!$C$2:$C$1199,0)))</f>
        <v>esma_cloud_guidelines (GDPR - Row 8)</v>
      </c>
      <c r="C343" s="6" t="str">
        <f>IF(ISNA(MATCH(334,'Transfer Engine'!$C$2:$C$1199,0)),"",INDEX('Compliance Database'!$C$2:$C$1199,MATCH(334,'Transfer Engine'!$C$2:$C$1199,0)))</f>
        <v>12</v>
      </c>
      <c r="D343" s="7" t="str">
        <f>IF(ISNA(MATCH(334,'Transfer Engine'!$C$2:$C$1199,0)),"",INDEX('Compliance Database'!$D$2:$D$1199,MATCH(334,'Transfer Engine'!$C$2:$C$1199,0)))</f>
        <v>Firms must have updated cloud outsourcing strategy</v>
      </c>
      <c r="E343" s="6" t="str">
        <f>IF(ISNA(MATCH(334,'Transfer Engine'!$C$2:$C$1199,0)),"",INDEX('Compliance Database'!$E$2:$E$1199,MATCH(334,'Transfer Engine'!$C$2:$C$1199,0)))</f>
        <v>11</v>
      </c>
      <c r="F343" s="6" t="str">
        <f>IF(ISNA(MATCH(334,'Transfer Engine'!$C$2:$C$1199,0)),"",INDEX('Compliance Database'!$F$2:$F$1199,MATCH(334,'Transfer Engine'!$C$2:$C$1199,0)))</f>
        <v>High</v>
      </c>
      <c r="G343" s="6" t="str">
        <f>IF(ISNA(MATCH(334,'Transfer Engine'!$C$2:$C$1199,0)),"",INDEX('Compliance Database'!$G$2:$G$1199,MATCH(334,'Transfer Engine'!$C$2:$C$1199,0)))</f>
        <v>High (explicit)</v>
      </c>
      <c r="H343" s="7" t="str">
        <f>IF(ISNA(MATCH(334,'Transfer Engine'!$C$2:$C$1199,0)),"",INDEX('Compliance Database'!$H$2:$H$1199,MATCH(334,'Transfer Engine'!$C$2:$C$1199,0)))</f>
        <v>Cloud Services, Governance, Record Keeping</v>
      </c>
      <c r="I343" s="7" t="str">
        <f>IF(ISNA(MATCH(334,'Transfer Engine'!$C$2:$C$1199,0)),"",INDEX('Compliance Database'!$I$2:$I$1199,MATCH(334,'Transfer Engine'!$C$2:$C$1199,0)))</f>
        <v>Customer Data</v>
      </c>
      <c r="J343" s="6" t="str">
        <f>IF(ISNA(MATCH(334,'Transfer Engine'!$C$2:$C$1199,0)),"",INDEX('Compliance Database'!$J$2:$J$1199,MATCH(334,'Transfer Engine'!$C$2:$C$1199,0)))</f>
        <v>ESMA</v>
      </c>
      <c r="K343" s="7" t="str">
        <f>IF(ISNA(MATCH(334,'Transfer Engine'!$C$2:$C$1199,0)),"",INDEX('Compliance Database'!$K$2:$K$1199,MATCH(334,'Transfer Engine'!$C$2:$C$1199,0)))</f>
        <v>Firms must maintain a defined and up-to-date cloud outsourcing strategy that aligns with their internal policies, information security practices, and operational risk management frameworks. This ensures cloud services meet regulatory standards and protect financial data.</v>
      </c>
      <c r="L343" s="7" t="str">
        <f>IF(ISNA(MATCH(334,'Transfer Engine'!$C$2:$C$1199,0)),"",INDEX('Compliance Database'!$L$2:$L$1199,MATCH(334,'Transfer Engine'!$C$2:$C$1199,0)))</f>
        <v>Firms must have a cloud outsourcing strategy that meets internal security and risk management standards, which is critical for data transfer impact assessments involving cloud services.</v>
      </c>
      <c r="M343" s="7" t="str">
        <f>IF(ISNA(MATCH(334,'Transfer Engine'!$C$2:$C$1199,0)),"",INDEX('Compliance Database'!$M$2:$M$1199,MATCH(334,'Transfer Engine'!$C$2:$C$1199,0)))</f>
        <v>• [Must] Firms must have a defined and up-to-date cloud outsourcing strategy
• [Must] Cloud outsourcing strategy must be consistent with firm's internal policies and processes</v>
      </c>
      <c r="N343" s="7" t="str">
        <f>IF(ISNA(MATCH(334,'Transfer Engine'!$C$2:$C$1199,0)),"",INDEX('Compliance Database'!$N$2:$N$1199,MATCH(334,'Transfer Engine'!$C$2:$C$1199,0)))</f>
        <v>• [Must] Cloud outsourcing strategy must align with information and communication technology, information security, and operational risk management</v>
      </c>
      <c r="O343" s="7" t="str">
        <f>IF(ISNA(MATCH(334,'Transfer Engine'!$C$2:$C$1199,0)),"",INDEX('Compliance Database'!$O$2:$O$1199,MATCH(334,'Transfer Engine'!$C$2:$C$1199,0)))</f>
        <v>12. A firm should have a defined and up-to-date cloud outsourcing strategy that is consistent with the firm's relevant strategies and internal policies and processes, including in relation to information and communication technology, information security, and operational risk management.</v>
      </c>
      <c r="P343" s="6" t="str">
        <f>IF(ISNA(MATCH(334,'Transfer Engine'!$C$2:$C$1199,0)),"",HYPERLINK("#Acts!A"&amp;INDEX('Compliance Database'!$P$2:$P$1199,MATCH(334,'Transfer Engine'!$C$2:$C$1199,0)),"Go to Act"))</f>
        <v>Go to Act</v>
      </c>
    </row>
    <row r="344" spans="1:16" ht="172.95" customHeight="1" x14ac:dyDescent="0.3">
      <c r="A344" s="6" t="str">
        <f>IF(ISNA(MATCH(335,'Transfer Engine'!$C$2:$C$1199,0)),"",INDEX('Compliance Database'!$A$2:$A$1199,MATCH(335,'Transfer Engine'!$C$2:$C$1199,0)))</f>
        <v>GDPR</v>
      </c>
      <c r="B344" s="6" t="str">
        <f>IF(ISNA(MATCH(335,'Transfer Engine'!$C$2:$C$1199,0)),"",INDEX('Compliance Database'!$B$2:$B$1199,MATCH(335,'Transfer Engine'!$C$2:$C$1199,0)))</f>
        <v>esma_cloud_guidelines (GDPR - Row 8)</v>
      </c>
      <c r="C344" s="6" t="str">
        <f>IF(ISNA(MATCH(335,'Transfer Engine'!$C$2:$C$1199,0)),"",INDEX('Compliance Database'!$C$2:$C$1199,MATCH(335,'Transfer Engine'!$C$2:$C$1199,0)))</f>
        <v>13</v>
      </c>
      <c r="D344" s="7" t="str">
        <f>IF(ISNA(MATCH(335,'Transfer Engine'!$C$2:$C$1199,0)),"",INDEX('Compliance Database'!$D$2:$D$1199,MATCH(335,'Transfer Engine'!$C$2:$C$1199,0)))</f>
        <v>Cloud outsourcing responsibility assignment and oversight</v>
      </c>
      <c r="E344" s="6" t="str">
        <f>IF(ISNA(MATCH(335,'Transfer Engine'!$C$2:$C$1199,0)),"",INDEX('Compliance Database'!$E$2:$E$1199,MATCH(335,'Transfer Engine'!$C$2:$C$1199,0)))</f>
        <v>11–12</v>
      </c>
      <c r="F344" s="6" t="str">
        <f>IF(ISNA(MATCH(335,'Transfer Engine'!$C$2:$C$1199,0)),"",INDEX('Compliance Database'!$F$2:$F$1199,MATCH(335,'Transfer Engine'!$C$2:$C$1199,0)))</f>
        <v>High</v>
      </c>
      <c r="G344" s="6" t="str">
        <f>IF(ISNA(MATCH(335,'Transfer Engine'!$C$2:$C$1199,0)),"",INDEX('Compliance Database'!$G$2:$G$1199,MATCH(335,'Transfer Engine'!$C$2:$C$1199,0)))</f>
        <v>High (explicit)</v>
      </c>
      <c r="H344" s="7" t="str">
        <f>IF(ISNA(MATCH(335,'Transfer Engine'!$C$2:$C$1199,0)),"",INDEX('Compliance Database'!$H$2:$H$1199,MATCH(335,'Transfer Engine'!$C$2:$C$1199,0)))</f>
        <v>Cloud Services</v>
      </c>
      <c r="I344" s="7" t="str">
        <f>IF(ISNA(MATCH(335,'Transfer Engine'!$C$2:$C$1199,0)),"",INDEX('Compliance Database'!$I$2:$I$1199,MATCH(335,'Transfer Engine'!$C$2:$C$1199,0)))</f>
        <v>Personal Information</v>
      </c>
      <c r="J344" s="6" t="str">
        <f>IF(ISNA(MATCH(335,'Transfer Engine'!$C$2:$C$1199,0)),"",INDEX('Compliance Database'!$J$2:$J$1199,MATCH(335,'Transfer Engine'!$C$2:$C$1199,0)))</f>
        <v>ESMA</v>
      </c>
      <c r="K344" s="7" t="str">
        <f>IF(ISNA(MATCH(335,'Transfer Engine'!$C$2:$C$1199,0)),"",INDEX('Compliance Database'!$K$2:$K$1199,MATCH(335,'Transfer Engine'!$C$2:$C$1199,0)))</f>
        <v>Firms must clearly assign responsibilities for cloud outsourcing documentation, management, and control within their organization. They must allocate sufficient resources to ensure compliance with guidelines and all applicable legal requirements. Firms should establish an oversight function or designate senior staff accountable to management for monitoring cloud outsourcing risks, considering business scale, complexity, and financial system risks. Small firms must ensure clear task division for oversight.</v>
      </c>
      <c r="L344" s="7" t="str">
        <f>IF(ISNA(MATCH(335,'Transfer Engine'!$C$2:$C$1199,0)),"",INDEX('Compliance Database'!$L$2:$L$1199,MATCH(335,'Transfer Engine'!$C$2:$C$1199,0)))</f>
        <v>This section mandates clear oversight of cloud outsourcing arrangements to ensure risks are managed appropriately for data transfers across borders, particularly for critical functions.</v>
      </c>
      <c r="M344" s="7" t="str">
        <f>IF(ISNA(MATCH(335,'Transfer Engine'!$C$2:$C$1199,0)),"",INDEX('Compliance Database'!$M$2:$M$1199,MATCH(335,'Transfer Engine'!$C$2:$C$1199,0)))</f>
        <v>• [Must] Clearly assign responsibilities for documentation, management and control of cloud outsourcing arrangements
• [Must] Allocate sufficient resources to ensure compliance with guidelines and legal requirements
• [Must] Establish cloud outsourcing oversight function or designate senior staff accountable to management</v>
      </c>
      <c r="N344" s="7" t="str">
        <f>IF(ISNA(MATCH(335,'Transfer Engine'!$C$2:$C$1199,0)),"",INDEX('Compliance Database'!$N$2:$N$1199,MATCH(335,'Transfer Engine'!$C$2:$C$1199,0)))</f>
        <v>• [Must] Consider business nature, scale, complexity and financial system risks when managing cloud outsourcing
• [Must] Ensure management body has technical skills to understand cloud outsourcing risks
• [Must] Small firms must ensure clear division of tasks and responsibilities for oversight</v>
      </c>
      <c r="O344" s="7" t="str">
        <f>IF(ISNA(MATCH(335,'Transfer Engine'!$C$2:$C$1199,0)),"",INDEX('Compliance Database'!$O$2:$O$1199,MATCH(335,'Transfer Engine'!$C$2:$C$1199,0)))</f>
        <v>13. A firm should: a) clearly assign the responsibilities for the documentation, management and control of cloud outsourcing arrangements within its organisation; b) allocate sufficient resources to ensure compliance with these guidelines and all of the legal requirements applicable to its cloud outsourcing arrangements; c) establish a cloud outsourcing oversight function or designate senior staff members who are directly accountable to the management body and responsible for managing and overseeing the risks of cloud outsourcing arrangements.</v>
      </c>
      <c r="P344" s="6" t="str">
        <f>IF(ISNA(MATCH(335,'Transfer Engine'!$C$2:$C$1199,0)),"",HYPERLINK("#Acts!A"&amp;INDEX('Compliance Database'!$P$2:$P$1199,MATCH(335,'Transfer Engine'!$C$2:$C$1199,0)),"Go to Act"))</f>
        <v>Go to Act</v>
      </c>
    </row>
    <row r="345" spans="1:16" ht="172.95" customHeight="1" x14ac:dyDescent="0.3">
      <c r="A345" s="6" t="str">
        <f>IF(ISNA(MATCH(336,'Transfer Engine'!$C$2:$C$1199,0)),"",INDEX('Compliance Database'!$A$2:$A$1199,MATCH(336,'Transfer Engine'!$C$2:$C$1199,0)))</f>
        <v>GDPR</v>
      </c>
      <c r="B345" s="6" t="str">
        <f>IF(ISNA(MATCH(336,'Transfer Engine'!$C$2:$C$1199,0)),"",INDEX('Compliance Database'!$B$2:$B$1199,MATCH(336,'Transfer Engine'!$C$2:$C$1199,0)))</f>
        <v>esma_cloud_guidelines (GDPR - Row 8)</v>
      </c>
      <c r="C345" s="6" t="str">
        <f>IF(ISNA(MATCH(336,'Transfer Engine'!$C$2:$C$1199,0)),"",INDEX('Compliance Database'!$C$2:$C$1199,MATCH(336,'Transfer Engine'!$C$2:$C$1199,0)))</f>
        <v>14</v>
      </c>
      <c r="D345" s="7" t="str">
        <f>IF(ISNA(MATCH(336,'Transfer Engine'!$C$2:$C$1199,0)),"",INDEX('Compliance Database'!$D$2:$D$1199,MATCH(336,'Transfer Engine'!$C$2:$C$1199,0)))</f>
        <v>Cloud outsourcing performance and security monitoring</v>
      </c>
      <c r="E345" s="6" t="str">
        <f>IF(ISNA(MATCH(336,'Transfer Engine'!$C$2:$C$1199,0)),"",INDEX('Compliance Database'!$E$2:$E$1199,MATCH(336,'Transfer Engine'!$C$2:$C$1199,0)))</f>
        <v>12</v>
      </c>
      <c r="F345" s="6" t="str">
        <f>IF(ISNA(MATCH(336,'Transfer Engine'!$C$2:$C$1199,0)),"",INDEX('Compliance Database'!$F$2:$F$1199,MATCH(336,'Transfer Engine'!$C$2:$C$1199,0)))</f>
        <v>High</v>
      </c>
      <c r="G345" s="6" t="str">
        <f>IF(ISNA(MATCH(336,'Transfer Engine'!$C$2:$C$1199,0)),"",INDEX('Compliance Database'!$G$2:$G$1199,MATCH(336,'Transfer Engine'!$C$2:$C$1199,0)))</f>
        <v>High (explicit)</v>
      </c>
      <c r="H345" s="7" t="str">
        <f>IF(ISNA(MATCH(336,'Transfer Engine'!$C$2:$C$1199,0)),"",INDEX('Compliance Database'!$H$2:$H$1199,MATCH(336,'Transfer Engine'!$C$2:$C$1199,0)))</f>
        <v>Cloud Services, Security</v>
      </c>
      <c r="I345" s="7" t="str">
        <f>IF(ISNA(MATCH(336,'Transfer Engine'!$C$2:$C$1199,0)),"",INDEX('Compliance Database'!$I$2:$I$1199,MATCH(336,'Transfer Engine'!$C$2:$C$1199,0)))</f>
        <v>Personal Information</v>
      </c>
      <c r="J345" s="6" t="str">
        <f>IF(ISNA(MATCH(336,'Transfer Engine'!$C$2:$C$1199,0)),"",INDEX('Compliance Database'!$J$2:$J$1199,MATCH(336,'Transfer Engine'!$C$2:$C$1199,0)))</f>
        <v>ESMA</v>
      </c>
      <c r="K345" s="7" t="str">
        <f>IF(ISNA(MATCH(336,'Transfer Engine'!$C$2:$C$1199,0)),"",INDEX('Compliance Database'!$K$2:$K$1199,MATCH(336,'Transfer Engine'!$C$2:$C$1199,0)))</f>
        <v>Firms must monitor CSP performance, security measures, and adherence to service levels on a risk-based approach, prioritizing critical or important outsourced functions. This monitoring ensures ongoing compliance with cloud outsourcing arrangements and helps identify potential security or operational issues.</v>
      </c>
      <c r="L345" s="7" t="str">
        <f>IF(ISNA(MATCH(336,'Transfer Engine'!$C$2:$C$1199,0)),"",INDEX('Compliance Database'!$L$2:$L$1199,MATCH(336,'Transfer Engine'!$C$2:$C$1199,0)))</f>
        <v>This section requires firms to monitor cloud service providers' performance and security to ensure data transfers remain secure and compliant across borders.</v>
      </c>
      <c r="M345" s="7" t="str">
        <f>IF(ISNA(MATCH(336,'Transfer Engine'!$C$2:$C$1199,0)),"",INDEX('Compliance Database'!$M$2:$M$1199,MATCH(336,'Transfer Engine'!$C$2:$C$1199,0)))</f>
        <v>• [Must] Monitor performance of activities, security measures and adherence to agreed service levels by CSPs</v>
      </c>
      <c r="N345" s="7">
        <f>IF(ISNA(MATCH(336,'Transfer Engine'!$C$2:$C$1199,0)),"",INDEX('Compliance Database'!$N$2:$N$1199,MATCH(336,'Transfer Engine'!$C$2:$C$1199,0)))</f>
        <v>0</v>
      </c>
      <c r="O345" s="7" t="str">
        <f>IF(ISNA(MATCH(336,'Transfer Engine'!$C$2:$C$1199,0)),"",INDEX('Compliance Database'!$O$2:$O$1199,MATCH(336,'Transfer Engine'!$C$2:$C$1199,0)))</f>
        <v>14. A firm should monitor the performance of activities, the security measures and the adherence to agreed service levels by its CSPs. This monitoring should be risk-based, with a primary focus on the critical or important functions that have been outsourced.</v>
      </c>
      <c r="P345" s="6" t="str">
        <f>IF(ISNA(MATCH(336,'Transfer Engine'!$C$2:$C$1199,0)),"",HYPERLINK("#Acts!A"&amp;INDEX('Compliance Database'!$P$2:$P$1199,MATCH(336,'Transfer Engine'!$C$2:$C$1199,0)),"Go to Act"))</f>
        <v>Go to Act</v>
      </c>
    </row>
    <row r="346" spans="1:16" ht="172.95" customHeight="1" x14ac:dyDescent="0.3">
      <c r="A346" s="6" t="str">
        <f>IF(ISNA(MATCH(337,'Transfer Engine'!$C$2:$C$1199,0)),"",INDEX('Compliance Database'!$A$2:$A$1199,MATCH(337,'Transfer Engine'!$C$2:$C$1199,0)))</f>
        <v>GDPR</v>
      </c>
      <c r="B346" s="6" t="str">
        <f>IF(ISNA(MATCH(337,'Transfer Engine'!$C$2:$C$1199,0)),"",INDEX('Compliance Database'!$B$2:$B$1199,MATCH(337,'Transfer Engine'!$C$2:$C$1199,0)))</f>
        <v>esma_cloud_guidelines (GDPR - Row 8)</v>
      </c>
      <c r="C346" s="6" t="str">
        <f>IF(ISNA(MATCH(337,'Transfer Engine'!$C$2:$C$1199,0)),"",INDEX('Compliance Database'!$C$2:$C$1199,MATCH(337,'Transfer Engine'!$C$2:$C$1199,0)))</f>
        <v>15</v>
      </c>
      <c r="D346" s="7" t="str">
        <f>IF(ISNA(MATCH(337,'Transfer Engine'!$C$2:$C$1199,0)),"",INDEX('Compliance Database'!$D$2:$D$1199,MATCH(337,'Transfer Engine'!$C$2:$C$1199,0)))</f>
        <v>Periodic reassessment of critical cloud functions</v>
      </c>
      <c r="E346" s="6" t="str">
        <f>IF(ISNA(MATCH(337,'Transfer Engine'!$C$2:$C$1199,0)),"",INDEX('Compliance Database'!$E$2:$E$1199,MATCH(337,'Transfer Engine'!$C$2:$C$1199,0)))</f>
        <v>12</v>
      </c>
      <c r="F346" s="6" t="str">
        <f>IF(ISNA(MATCH(337,'Transfer Engine'!$C$2:$C$1199,0)),"",INDEX('Compliance Database'!$F$2:$F$1199,MATCH(337,'Transfer Engine'!$C$2:$C$1199,0)))</f>
        <v>High</v>
      </c>
      <c r="G346" s="6" t="str">
        <f>IF(ISNA(MATCH(337,'Transfer Engine'!$C$2:$C$1199,0)),"",INDEX('Compliance Database'!$G$2:$G$1199,MATCH(337,'Transfer Engine'!$C$2:$C$1199,0)))</f>
        <v>High (explicit)</v>
      </c>
      <c r="H346" s="7" t="str">
        <f>IF(ISNA(MATCH(337,'Transfer Engine'!$C$2:$C$1199,0)),"",INDEX('Compliance Database'!$H$2:$H$1199,MATCH(337,'Transfer Engine'!$C$2:$C$1199,0)))</f>
        <v>Cloud Services</v>
      </c>
      <c r="I346" s="7" t="str">
        <f>IF(ISNA(MATCH(337,'Transfer Engine'!$C$2:$C$1199,0)),"",INDEX('Compliance Database'!$I$2:$I$1199,MATCH(337,'Transfer Engine'!$C$2:$C$1199,0)))</f>
        <v>Personal Information</v>
      </c>
      <c r="J346" s="6" t="str">
        <f>IF(ISNA(MATCH(337,'Transfer Engine'!$C$2:$C$1199,0)),"",INDEX('Compliance Database'!$J$2:$J$1199,MATCH(337,'Transfer Engine'!$C$2:$C$1199,0)))</f>
        <v>ESMA</v>
      </c>
      <c r="K346" s="7" t="str">
        <f>IF(ISNA(MATCH(337,'Transfer Engine'!$C$2:$C$1199,0)),"",INDEX('Compliance Database'!$K$2:$K$1199,MATCH(337,'Transfer Engine'!$C$2:$C$1199,0)))</f>
        <v>Firms must periodically reassess whether cloud outsourcing arrangements concern critical or important functions, and trigger reassessment whenever the risk, nature, or scale of an outsourced function changes materially. This ensures ongoing alignment with evolving business needs and risks.</v>
      </c>
      <c r="L346" s="7" t="str">
        <f>IF(ISNA(MATCH(337,'Transfer Engine'!$C$2:$C$1199,0)),"",INDEX('Compliance Database'!$L$2:$L$1199,MATCH(337,'Transfer Engine'!$C$2:$C$1199,0)))</f>
        <v>This section requires regular reassessment of cloud functions to ensure critical data transfers remain appropriately safeguarded across borders.</v>
      </c>
      <c r="M346" s="7" t="str">
        <f>IF(ISNA(MATCH(337,'Transfer Engine'!$C$2:$C$1199,0)),"",INDEX('Compliance Database'!$M$2:$M$1199,MATCH(337,'Transfer Engine'!$C$2:$C$1199,0)))</f>
        <v>• [Must] Periodically reassess whether cloud outsourcing arrangements concern critical or important functions</v>
      </c>
      <c r="N346" s="7" t="str">
        <f>IF(ISNA(MATCH(337,'Transfer Engine'!$C$2:$C$1199,0)),"",INDEX('Compliance Database'!$N$2:$N$1199,MATCH(337,'Transfer Engine'!$C$2:$C$1199,0)))</f>
        <v>• [Must] Reassess whenever risk, nature or scale of outsourced function has materially changed</v>
      </c>
      <c r="O346" s="7" t="str">
        <f>IF(ISNA(MATCH(337,'Transfer Engine'!$C$2:$C$1199,0)),"",INDEX('Compliance Database'!$O$2:$O$1199,MATCH(337,'Transfer Engine'!$C$2:$C$1199,0)))</f>
        <v>15. A firm should reassess whether its cloud outsourcing arrangements concern a critical or important function periodically and whenever the risk, nature or scale of an outsourced function has materially changed.</v>
      </c>
      <c r="P346" s="6" t="str">
        <f>IF(ISNA(MATCH(337,'Transfer Engine'!$C$2:$C$1199,0)),"",HYPERLINK("#Acts!A"&amp;INDEX('Compliance Database'!$P$2:$P$1199,MATCH(337,'Transfer Engine'!$C$2:$C$1199,0)),"Go to Act"))</f>
        <v>Go to Act</v>
      </c>
    </row>
    <row r="347" spans="1:16" ht="172.95" customHeight="1" x14ac:dyDescent="0.3">
      <c r="A347" s="6" t="str">
        <f>IF(ISNA(MATCH(338,'Transfer Engine'!$C$2:$C$1199,0)),"",INDEX('Compliance Database'!$A$2:$A$1199,MATCH(338,'Transfer Engine'!$C$2:$C$1199,0)))</f>
        <v>GDPR</v>
      </c>
      <c r="B347" s="6" t="str">
        <f>IF(ISNA(MATCH(338,'Transfer Engine'!$C$2:$C$1199,0)),"",INDEX('Compliance Database'!$B$2:$B$1199,MATCH(338,'Transfer Engine'!$C$2:$C$1199,0)))</f>
        <v>esma_cloud_guidelines (GDPR - Row 8)</v>
      </c>
      <c r="C347" s="6" t="str">
        <f>IF(ISNA(MATCH(338,'Transfer Engine'!$C$2:$C$1199,0)),"",INDEX('Compliance Database'!$C$2:$C$1199,MATCH(338,'Transfer Engine'!$C$2:$C$1199,0)))</f>
        <v>16</v>
      </c>
      <c r="D347" s="7" t="str">
        <f>IF(ISNA(MATCH(338,'Transfer Engine'!$C$2:$C$1199,0)),"",INDEX('Compliance Database'!$D$2:$D$1199,MATCH(338,'Transfer Engine'!$C$2:$C$1199,0)))</f>
        <v>Cloud outsourcing register maintenance</v>
      </c>
      <c r="E347" s="6" t="str">
        <f>IF(ISNA(MATCH(338,'Transfer Engine'!$C$2:$C$1199,0)),"",INDEX('Compliance Database'!$E$2:$E$1199,MATCH(338,'Transfer Engine'!$C$2:$C$1199,0)))</f>
        <v>12</v>
      </c>
      <c r="F347" s="6" t="str">
        <f>IF(ISNA(MATCH(338,'Transfer Engine'!$C$2:$C$1199,0)),"",INDEX('Compliance Database'!$F$2:$F$1199,MATCH(338,'Transfer Engine'!$C$2:$C$1199,0)))</f>
        <v>High</v>
      </c>
      <c r="G347" s="6" t="str">
        <f>IF(ISNA(MATCH(338,'Transfer Engine'!$C$2:$C$1199,0)),"",INDEX('Compliance Database'!$G$2:$G$1199,MATCH(338,'Transfer Engine'!$C$2:$C$1199,0)))</f>
        <v>High (explicit)</v>
      </c>
      <c r="H347" s="7" t="str">
        <f>IF(ISNA(MATCH(338,'Transfer Engine'!$C$2:$C$1199,0)),"",INDEX('Compliance Database'!$H$2:$H$1199,MATCH(338,'Transfer Engine'!$C$2:$C$1199,0)))</f>
        <v>Cloud Services, Record Keeping</v>
      </c>
      <c r="I347" s="7" t="str">
        <f>IF(ISNA(MATCH(338,'Transfer Engine'!$C$2:$C$1199,0)),"",INDEX('Compliance Database'!$I$2:$I$1199,MATCH(338,'Transfer Engine'!$C$2:$C$1199,0)))</f>
        <v>Personal Information</v>
      </c>
      <c r="J347" s="6" t="str">
        <f>IF(ISNA(MATCH(338,'Transfer Engine'!$C$2:$C$1199,0)),"",INDEX('Compliance Database'!$J$2:$J$1199,MATCH(338,'Transfer Engine'!$C$2:$C$1199,0)))</f>
        <v>ESMA</v>
      </c>
      <c r="K347" s="7" t="str">
        <f>IF(ISNA(MATCH(338,'Transfer Engine'!$C$2:$C$1199,0)),"",INDEX('Compliance Database'!$K$2:$K$1199,MATCH(338,'Transfer Engine'!$C$2:$C$1199,0)))</f>
        <v>Firms must maintain an updated register of all cloud outsourcing arrangements, distinguishing between critical/important and non-critical functions. The register must include reasons for classification, and maintain records of terminated arrangements for an appropriate period, considering national law.</v>
      </c>
      <c r="L347" s="7" t="str">
        <f>IF(ISNA(MATCH(338,'Transfer Engine'!$C$2:$C$1199,0)),"",INDEX('Compliance Database'!$L$2:$L$1199,MATCH(338,'Transfer Engine'!$C$2:$C$1199,0)))</f>
        <v>This section mandates detailed documentation of cloud data transfers to ensure compliance with cross-border data transfer requirements.</v>
      </c>
      <c r="M347" s="7" t="str">
        <f>IF(ISNA(MATCH(338,'Transfer Engine'!$C$2:$C$1199,0)),"",INDEX('Compliance Database'!$M$2:$M$1199,MATCH(338,'Transfer Engine'!$C$2:$C$1199,0)))</f>
        <v>• [Must] Maintain updated register of information on all cloud outsourcing arrangements
• [Must] Distinguish between critical/important and other outsourcing arrangements</v>
      </c>
      <c r="N347" s="7" t="str">
        <f>IF(ISNA(MATCH(338,'Transfer Engine'!$C$2:$C$1199,0)),"",INDEX('Compliance Database'!$N$2:$N$1199,MATCH(338,'Transfer Engine'!$C$2:$C$1199,0)))</f>
        <v>• [Must] Provide brief summary of reasons why outsourced function is critical or important
• [Must] Maintain record of terminated cloud outsourcing arrangements for appropriate time period</v>
      </c>
      <c r="O347" s="7" t="str">
        <f>IF(ISNA(MATCH(338,'Transfer Engine'!$C$2:$C$1199,0)),"",INDEX('Compliance Database'!$O$2:$O$1199,MATCH(338,'Transfer Engine'!$C$2:$C$1199,0)))</f>
        <v>16. A firm should maintain an updated register of information on all its cloud outsourcing arrangements, distinguishing between the outsourcing of critical or important functions and other outsourcing arrangements. When distinguishing between the outsourcing of critical or important functions and other outsourcing arrangements, it should provide a brief summary of the reasons why the outsourced function is or is not considered critical or important. Taking into account national law, a firm should also maintain a record of terminated cloud outsourcing arrangements for an appropriate time period.</v>
      </c>
      <c r="P347" s="6" t="str">
        <f>IF(ISNA(MATCH(338,'Transfer Engine'!$C$2:$C$1199,0)),"",HYPERLINK("#Acts!A"&amp;INDEX('Compliance Database'!$P$2:$P$1199,MATCH(338,'Transfer Engine'!$C$2:$C$1199,0)),"Go to Act"))</f>
        <v>Go to Act</v>
      </c>
    </row>
    <row r="348" spans="1:16" ht="172.95" customHeight="1" x14ac:dyDescent="0.3">
      <c r="A348" s="6" t="str">
        <f>IF(ISNA(MATCH(339,'Transfer Engine'!$C$2:$C$1199,0)),"",INDEX('Compliance Database'!$A$2:$A$1199,MATCH(339,'Transfer Engine'!$C$2:$C$1199,0)))</f>
        <v>GDPR</v>
      </c>
      <c r="B348" s="6" t="str">
        <f>IF(ISNA(MATCH(339,'Transfer Engine'!$C$2:$C$1199,0)),"",INDEX('Compliance Database'!$B$2:$B$1199,MATCH(339,'Transfer Engine'!$C$2:$C$1199,0)))</f>
        <v>esma_cloud_guidelines (GDPR - Row 8)</v>
      </c>
      <c r="C348" s="6" t="str">
        <f>IF(ISNA(MATCH(339,'Transfer Engine'!$C$2:$C$1199,0)),"",INDEX('Compliance Database'!$C$2:$C$1199,MATCH(339,'Transfer Engine'!$C$2:$C$1199,0)))</f>
        <v>17</v>
      </c>
      <c r="D348" s="7" t="str">
        <f>IF(ISNA(MATCH(339,'Transfer Engine'!$C$2:$C$1199,0)),"",INDEX('Compliance Database'!$D$2:$D$1199,MATCH(339,'Transfer Engine'!$C$2:$C$1199,0)))</f>
        <v>Critical cloud outsourcing register details</v>
      </c>
      <c r="E348" s="6" t="str">
        <f>IF(ISNA(MATCH(339,'Transfer Engine'!$C$2:$C$1199,0)),"",INDEX('Compliance Database'!$E$2:$E$1199,MATCH(339,'Transfer Engine'!$C$2:$C$1199,0)))</f>
        <v>12–13</v>
      </c>
      <c r="F348" s="6" t="str">
        <f>IF(ISNA(MATCH(339,'Transfer Engine'!$C$2:$C$1199,0)),"",INDEX('Compliance Database'!$F$2:$F$1199,MATCH(339,'Transfer Engine'!$C$2:$C$1199,0)))</f>
        <v>High</v>
      </c>
      <c r="G348" s="6" t="str">
        <f>IF(ISNA(MATCH(339,'Transfer Engine'!$C$2:$C$1199,0)),"",INDEX('Compliance Database'!$G$2:$G$1199,MATCH(339,'Transfer Engine'!$C$2:$C$1199,0)))</f>
        <v>High (explicit)</v>
      </c>
      <c r="H348" s="7" t="str">
        <f>IF(ISNA(MATCH(339,'Transfer Engine'!$C$2:$C$1199,0)),"",INDEX('Compliance Database'!$H$2:$H$1199,MATCH(339,'Transfer Engine'!$C$2:$C$1199,0)))</f>
        <v>Cloud Services, Record Keeping</v>
      </c>
      <c r="I348" s="7" t="str">
        <f>IF(ISNA(MATCH(339,'Transfer Engine'!$C$2:$C$1199,0)),"",INDEX('Compliance Database'!$I$2:$I$1199,MATCH(339,'Transfer Engine'!$C$2:$C$1199,0)))</f>
        <v>Personal Information</v>
      </c>
      <c r="J348" s="6" t="str">
        <f>IF(ISNA(MATCH(339,'Transfer Engine'!$C$2:$C$1199,0)),"",INDEX('Compliance Database'!$J$2:$J$1199,MATCH(339,'Transfer Engine'!$C$2:$C$1199,0)))</f>
        <v>ESMA</v>
      </c>
      <c r="K348" s="7" t="str">
        <f>IF(ISNA(MATCH(339,'Transfer Engine'!$C$2:$C$1199,0)),"",INDEX('Compliance Database'!$K$2:$K$1199,MATCH(339,'Transfer Engine'!$C$2:$C$1199,0)))</f>
        <v>For critical cloud outsourcing arrangements, firms must include specific details in their register: reference numbers, dates, outsourced function descriptions, data types, criticality status, CSP information, data storage locations, risk assessment dates, and approval details. This ensures comprehensive tracking of high-risk data transfers.</v>
      </c>
      <c r="L348" s="7" t="str">
        <f>IF(ISNA(MATCH(339,'Transfer Engine'!$C$2:$C$1199,0)),"",INDEX('Compliance Database'!$L$2:$L$1199,MATCH(339,'Transfer Engine'!$C$2:$C$1199,0)))</f>
        <v>This section specifies detailed requirements for registers of critical cloud data transfers to ensure robust cross-border data protection.</v>
      </c>
      <c r="M348" s="7" t="str">
        <f>IF(ISNA(MATCH(339,'Transfer Engine'!$C$2:$C$1199,0)),"",INDEX('Compliance Database'!$M$2:$M$1199,MATCH(339,'Transfer Engine'!$C$2:$C$1199,0)))</f>
        <v>• [Must] Include reference number for each cloud outsourcing arrangement
• [Must] Provide start date and renewal dates for CSP and firm
• [Must] Describe outsourced function including data types and whether personal data is involved
• [Must] Assign category reflecting nature of outsourced function
• [Must] Indicate whether outsourced function supports time-critical business operations
• [Must] Provide CSP name, brand, country, registration details, address and parent company
• [Must] Specify governing law and jurisdiction choice</v>
      </c>
      <c r="N348" s="7" t="str">
        <f>IF(ISNA(MATCH(339,'Transfer Engine'!$C$2:$C$1199,0)),"",INDEX('Compliance Database'!$N$2:$N$1199,MATCH(339,'Transfer Engine'!$C$2:$C$1199,0)))</f>
        <v>• [Must] Detail cloud services, deployment models and data storage locations
• [Must] Record date of most recent criticality assessment and next planned assessment
• [Must] Include date of most recent CSP risk assessment with summary and next planned date
• [Must] Identify individual or decision-making body that approved the arrangement
• [Must] List sub-outsourcers for critical functions including locations and data storage
• [Must] Provide estimated annual budget cost of cloud outsourcing arrangement</v>
      </c>
      <c r="O348" s="7" t="str">
        <f>IF(ISNA(MATCH(339,'Transfer Engine'!$C$2:$C$1199,0)),"",INDEX('Compliance Database'!$O$2:$O$1199,MATCH(339,'Transfer Engine'!$C$2:$C$1199,0)))</f>
        <v>17. For the cloud outsourcing arrangements concerning critical or important functions, the register should include at least the following information for each cloud outsourcing arrangement: a) a reference number; b) the start date and, as applicable, the next contract renewal date, the end date and/or notice periods for the CSP and for the firm; c) a brief description of the outsourced function, including the data that is outsourced and whether this data includes personal data (for example by providing a yes or no in a separate data field); d) a category assigned by the firm that reflects the nature of the outsourced function (for example information technology function, control function), which should facilitate the identification of the different types of cloud outsourcing arrangements; e) whether the outsourced function supports business operations that are time-critical; f) the name and the brand name (if any) of the CSP, its country of registration, its corporate registration number, its legal entity identifier (where available), its registered address, its relevant contact details and the name of its parent company (if any); g) the governing law of the cloud outsourcing arrangement and, if any, the choice of jurisdiction; h) the type of cloud services and deployment models and the specific nature of the data to be held and the locations (namely regions or countries) where such data may be stored; i) the date of the most recent assessment of the criticality or importance of the outsourced function and the date of the next planned assessment; j) the date of the most recent risk assessment/audit of the CSP together with a brief summary of the main results, and the date of the next planned risk assessment/audit; k) the individual or decision-making body in the firm that approved the cloud outsourcing arrangement; l) where applicable, the names of any sub-outsourcer to which a critical or important function (or material parts thereof) is sub-outsourced, including the countries where the sub-outsourcers are registered, where the sub-outsourced service will be performed, and the locations (namely regions or countries) where the data will be stored; m) the estimated annual budget cost of the cloud outsourcing arrangement.</v>
      </c>
      <c r="P348" s="6" t="str">
        <f>IF(ISNA(MATCH(339,'Transfer Engine'!$C$2:$C$1199,0)),"",HYPERLINK("#Acts!A"&amp;INDEX('Compliance Database'!$P$2:$P$1199,MATCH(339,'Transfer Engine'!$C$2:$C$1199,0)),"Go to Act"))</f>
        <v>Go to Act</v>
      </c>
    </row>
    <row r="349" spans="1:16" ht="172.95" customHeight="1" x14ac:dyDescent="0.3">
      <c r="A349" s="6" t="str">
        <f>IF(ISNA(MATCH(340,'Transfer Engine'!$C$2:$C$1199,0)),"",INDEX('Compliance Database'!$A$2:$A$1199,MATCH(340,'Transfer Engine'!$C$2:$C$1199,0)))</f>
        <v>GDPR</v>
      </c>
      <c r="B349" s="6" t="str">
        <f>IF(ISNA(MATCH(340,'Transfer Engine'!$C$2:$C$1199,0)),"",INDEX('Compliance Database'!$B$2:$B$1199,MATCH(340,'Transfer Engine'!$C$2:$C$1199,0)))</f>
        <v>esma_cloud_guidelines (GDPR - Row 8)</v>
      </c>
      <c r="C349" s="6" t="str">
        <f>IF(ISNA(MATCH(340,'Transfer Engine'!$C$2:$C$1199,0)),"",INDEX('Compliance Database'!$C$2:$C$1199,MATCH(340,'Transfer Engine'!$C$2:$C$1199,0)))</f>
        <v>18</v>
      </c>
      <c r="D349" s="7" t="str">
        <f>IF(ISNA(MATCH(340,'Transfer Engine'!$C$2:$C$1199,0)),"",INDEX('Compliance Database'!$D$2:$D$1199,MATCH(340,'Transfer Engine'!$C$2:$C$1199,0)))</f>
        <v>Non-critical cloud outsourcing register details</v>
      </c>
      <c r="E349" s="6" t="str">
        <f>IF(ISNA(MATCH(340,'Transfer Engine'!$C$2:$C$1199,0)),"",INDEX('Compliance Database'!$E$2:$E$1199,MATCH(340,'Transfer Engine'!$C$2:$C$1199,0)))</f>
        <v>13</v>
      </c>
      <c r="F349" s="6" t="str">
        <f>IF(ISNA(MATCH(340,'Transfer Engine'!$C$2:$C$1199,0)),"",INDEX('Compliance Database'!$F$2:$F$1199,MATCH(340,'Transfer Engine'!$C$2:$C$1199,0)))</f>
        <v>High</v>
      </c>
      <c r="G349" s="6" t="str">
        <f>IF(ISNA(MATCH(340,'Transfer Engine'!$C$2:$C$1199,0)),"",INDEX('Compliance Database'!$G$2:$G$1199,MATCH(340,'Transfer Engine'!$C$2:$C$1199,0)))</f>
        <v>High (explicit)</v>
      </c>
      <c r="H349" s="7" t="str">
        <f>IF(ISNA(MATCH(340,'Transfer Engine'!$C$2:$C$1199,0)),"",INDEX('Compliance Database'!$H$2:$H$1199,MATCH(340,'Transfer Engine'!$C$2:$C$1199,0)))</f>
        <v>Cloud Services, Record Keeping</v>
      </c>
      <c r="I349" s="7" t="str">
        <f>IF(ISNA(MATCH(340,'Transfer Engine'!$C$2:$C$1199,0)),"",INDEX('Compliance Database'!$I$2:$I$1199,MATCH(340,'Transfer Engine'!$C$2:$C$1199,0)))</f>
        <v>Personal Information</v>
      </c>
      <c r="J349" s="6" t="str">
        <f>IF(ISNA(MATCH(340,'Transfer Engine'!$C$2:$C$1199,0)),"",INDEX('Compliance Database'!$J$2:$J$1199,MATCH(340,'Transfer Engine'!$C$2:$C$1199,0)))</f>
        <v>ESMA</v>
      </c>
      <c r="K349" s="7" t="str">
        <f>IF(ISNA(MATCH(340,'Transfer Engine'!$C$2:$C$1199,0)),"",INDEX('Compliance Database'!$K$2:$K$1199,MATCH(340,'Transfer Engine'!$C$2:$C$1199,0)))</f>
        <v>For non-critical cloud outsourcing arrangements, firms must define the register details based on the nature, scale, and complexity of risks inherent to the outsourced function. This ensures appropriate level of detail for lower-risk cloud activities.</v>
      </c>
      <c r="L349" s="7" t="str">
        <f>IF(ISNA(MATCH(340,'Transfer Engine'!$C$2:$C$1199,0)),"",INDEX('Compliance Database'!$L$2:$L$1199,MATCH(340,'Transfer Engine'!$C$2:$C$1199,0)))</f>
        <v>This section specifies that non-critical cloud data transfers require less detailed documentation than critical transfers, reducing DTIA complexity for lower-risk scenarios.</v>
      </c>
      <c r="M349" s="7" t="str">
        <f>IF(ISNA(MATCH(340,'Transfer Engine'!$C$2:$C$1199,0)),"",INDEX('Compliance Database'!$M$2:$M$1199,MATCH(340,'Transfer Engine'!$C$2:$C$1199,0)))</f>
        <v>• [Must] Define information to include in register based on nature, scale and complexity of risks</v>
      </c>
      <c r="N349" s="7">
        <f>IF(ISNA(MATCH(340,'Transfer Engine'!$C$2:$C$1199,0)),"",INDEX('Compliance Database'!$N$2:$N$1199,MATCH(340,'Transfer Engine'!$C$2:$C$1199,0)))</f>
        <v>0</v>
      </c>
      <c r="O349" s="7" t="str">
        <f>IF(ISNA(MATCH(340,'Transfer Engine'!$C$2:$C$1199,0)),"",INDEX('Compliance Database'!$O$2:$O$1199,MATCH(340,'Transfer Engine'!$C$2:$C$1199,0)))</f>
        <v>18. For the cloud outsourcing arrangements concerning non-critical or non-important functions, a firm should define the information to be included in the register based on the nature, scale and complexity of the risks inherent to the outsourced function.</v>
      </c>
      <c r="P349" s="6" t="str">
        <f>IF(ISNA(MATCH(340,'Transfer Engine'!$C$2:$C$1199,0)),"",HYPERLINK("#Acts!A"&amp;INDEX('Compliance Database'!$P$2:$P$1199,MATCH(340,'Transfer Engine'!$C$2:$C$1199,0)),"Go to Act"))</f>
        <v>Go to Act</v>
      </c>
    </row>
    <row r="350" spans="1:16" ht="172.95" customHeight="1" x14ac:dyDescent="0.3">
      <c r="A350" s="6" t="str">
        <f>IF(ISNA(MATCH(341,'Transfer Engine'!$C$2:$C$1199,0)),"",INDEX('Compliance Database'!$A$2:$A$1199,MATCH(341,'Transfer Engine'!$C$2:$C$1199,0)))</f>
        <v>GDPR</v>
      </c>
      <c r="B350" s="6" t="str">
        <f>IF(ISNA(MATCH(341,'Transfer Engine'!$C$2:$C$1199,0)),"",INDEX('Compliance Database'!$B$2:$B$1199,MATCH(341,'Transfer Engine'!$C$2:$C$1199,0)))</f>
        <v>esma_cloud_guidelines (GDPR - Row 8)</v>
      </c>
      <c r="C350" s="6" t="str">
        <f>IF(ISNA(MATCH(341,'Transfer Engine'!$C$2:$C$1199,0)),"",INDEX('Compliance Database'!$C$2:$C$1199,MATCH(341,'Transfer Engine'!$C$2:$C$1199,0)))</f>
        <v>19</v>
      </c>
      <c r="D350" s="7" t="str">
        <f>IF(ISNA(MATCH(341,'Transfer Engine'!$C$2:$C$1199,0)),"",INDEX('Compliance Database'!$D$2:$D$1199,MATCH(341,'Transfer Engine'!$C$2:$C$1199,0)))</f>
        <v>Pre-cloud outsourcing risk assessment requirements</v>
      </c>
      <c r="E350" s="6" t="str">
        <f>IF(ISNA(MATCH(341,'Transfer Engine'!$C$2:$C$1199,0)),"",INDEX('Compliance Database'!$E$2:$E$1199,MATCH(341,'Transfer Engine'!$C$2:$C$1199,0)))</f>
        <v>13</v>
      </c>
      <c r="F350" s="6" t="str">
        <f>IF(ISNA(MATCH(341,'Transfer Engine'!$C$2:$C$1199,0)),"",INDEX('Compliance Database'!$F$2:$F$1199,MATCH(341,'Transfer Engine'!$C$2:$C$1199,0)))</f>
        <v>High</v>
      </c>
      <c r="G350" s="6" t="str">
        <f>IF(ISNA(MATCH(341,'Transfer Engine'!$C$2:$C$1199,0)),"",INDEX('Compliance Database'!$G$2:$G$1199,MATCH(341,'Transfer Engine'!$C$2:$C$1199,0)))</f>
        <v>High (explicit)</v>
      </c>
      <c r="H350" s="7" t="str">
        <f>IF(ISNA(MATCH(341,'Transfer Engine'!$C$2:$C$1199,0)),"",INDEX('Compliance Database'!$H$2:$H$1199,MATCH(341,'Transfer Engine'!$C$2:$C$1199,0)))</f>
        <v>Cloud Services</v>
      </c>
      <c r="I350" s="7" t="str">
        <f>IF(ISNA(MATCH(341,'Transfer Engine'!$C$2:$C$1199,0)),"",INDEX('Compliance Database'!$I$2:$I$1199,MATCH(341,'Transfer Engine'!$C$2:$C$1199,0)))</f>
        <v>Personal Information</v>
      </c>
      <c r="J350" s="6" t="str">
        <f>IF(ISNA(MATCH(341,'Transfer Engine'!$C$2:$C$1199,0)),"",INDEX('Compliance Database'!$J$2:$J$1199,MATCH(341,'Transfer Engine'!$C$2:$C$1199,0)))</f>
        <v>ESMA</v>
      </c>
      <c r="K350" s="7" t="str">
        <f>IF(ISNA(MATCH(341,'Transfer Engine'!$C$2:$C$1199,0)),"",INDEX('Compliance Database'!$K$2:$K$1199,MATCH(341,'Transfer Engine'!$C$2:$C$1199,0)))</f>
        <v>Firms must assess if cloud outsourcing affects critical functions, identify all relevant risks, conduct due diligence on prospective cloud service providers (CSPs), and evaluate potential conflicts of interest before entering any cloud outsourcing arrangement. These obligations apply to financial institutions and firms subject to the ESMA guidelines.</v>
      </c>
      <c r="L350" s="7" t="str">
        <f>IF(ISNA(MATCH(341,'Transfer Engine'!$C$2:$C$1199,0)),"",INDEX('Compliance Database'!$L$2:$L$1199,MATCH(341,'Transfer Engine'!$C$2:$C$1199,0)))</f>
        <v>Requires firms to conduct comprehensive risk assessments before cloud outsourcing, particularly for critical functions, to ensure adequate safeguards for data security and operational continuity across borders.</v>
      </c>
      <c r="M350" s="7" t="str">
        <f>IF(ISNA(MATCH(341,'Transfer Engine'!$C$2:$C$1199,0)),"",INDEX('Compliance Database'!$M$2:$M$1199,MATCH(341,'Transfer Engine'!$C$2:$C$1199,0)))</f>
        <v>• [Must] Assess if cloud outsourcing arrangement concerns critical or important function
• [Must] Identify and assess all relevant risks of cloud outsourcing arrangement</v>
      </c>
      <c r="N350" s="7" t="str">
        <f>IF(ISNA(MATCH(341,'Transfer Engine'!$C$2:$C$1199,0)),"",INDEX('Compliance Database'!$N$2:$N$1199,MATCH(341,'Transfer Engine'!$C$2:$C$1199,0)))</f>
        <v>• [Must] Undertake appropriate due diligence on prospective cloud service provider
• [Must] Identify and assess any conflict of interest arising from outsourcing</v>
      </c>
      <c r="O350" s="7" t="str">
        <f>IF(ISNA(MATCH(341,'Transfer Engine'!$C$2:$C$1199,0)),"",INDEX('Compliance Database'!$O$2:$O$1199,MATCH(341,'Transfer Engine'!$C$2:$C$1199,0)))</f>
        <v>Before entering into any cloud outsourcing arrangement, a firm should: a) assess if the cloud outsourcing arrangement concerns a critical or important function; b) identify and assess all relevant risks of the cloud outsourcing arrangement; c) undertake appropriate due diligence on the prospective CSP; d) identify and assess any conflict of interest that the outsourcing may cause.</v>
      </c>
      <c r="P350" s="6" t="str">
        <f>IF(ISNA(MATCH(341,'Transfer Engine'!$C$2:$C$1199,0)),"",HYPERLINK("#Acts!A"&amp;INDEX('Compliance Database'!$P$2:$P$1199,MATCH(341,'Transfer Engine'!$C$2:$C$1199,0)),"Go to Act"))</f>
        <v>Go to Act</v>
      </c>
    </row>
    <row r="351" spans="1:16" ht="172.95" customHeight="1" x14ac:dyDescent="0.3">
      <c r="A351" s="6" t="str">
        <f>IF(ISNA(MATCH(342,'Transfer Engine'!$C$2:$C$1199,0)),"",INDEX('Compliance Database'!$A$2:$A$1199,MATCH(342,'Transfer Engine'!$C$2:$C$1199,0)))</f>
        <v>GDPR</v>
      </c>
      <c r="B351" s="6" t="str">
        <f>IF(ISNA(MATCH(342,'Transfer Engine'!$C$2:$C$1199,0)),"",INDEX('Compliance Database'!$B$2:$B$1199,MATCH(342,'Transfer Engine'!$C$2:$C$1199,0)))</f>
        <v>esma_cloud_guidelines (GDPR - Row 8)</v>
      </c>
      <c r="C351" s="6" t="str">
        <f>IF(ISNA(MATCH(342,'Transfer Engine'!$C$2:$C$1199,0)),"",INDEX('Compliance Database'!$C$2:$C$1199,MATCH(342,'Transfer Engine'!$C$2:$C$1199,0)))</f>
        <v>20</v>
      </c>
      <c r="D351" s="7" t="str">
        <f>IF(ISNA(MATCH(342,'Transfer Engine'!$C$2:$C$1199,0)),"",INDEX('Compliance Database'!$D$2:$D$1199,MATCH(342,'Transfer Engine'!$C$2:$C$1199,0)))</f>
        <v>Proportionate pre-outsourcing due diligence requirements</v>
      </c>
      <c r="E351" s="6" t="str">
        <f>IF(ISNA(MATCH(342,'Transfer Engine'!$C$2:$C$1199,0)),"",INDEX('Compliance Database'!$E$2:$E$1199,MATCH(342,'Transfer Engine'!$C$2:$C$1199,0)))</f>
        <v>13</v>
      </c>
      <c r="F351" s="6" t="str">
        <f>IF(ISNA(MATCH(342,'Transfer Engine'!$C$2:$C$1199,0)),"",INDEX('Compliance Database'!$F$2:$F$1199,MATCH(342,'Transfer Engine'!$C$2:$C$1199,0)))</f>
        <v>High</v>
      </c>
      <c r="G351" s="6" t="str">
        <f>IF(ISNA(MATCH(342,'Transfer Engine'!$C$2:$C$1199,0)),"",INDEX('Compliance Database'!$G$2:$G$1199,MATCH(342,'Transfer Engine'!$C$2:$C$1199,0)))</f>
        <v>High (explicit)</v>
      </c>
      <c r="H351" s="7" t="str">
        <f>IF(ISNA(MATCH(342,'Transfer Engine'!$C$2:$C$1199,0)),"",INDEX('Compliance Database'!$H$2:$H$1199,MATCH(342,'Transfer Engine'!$C$2:$C$1199,0)))</f>
        <v>Cloud Services</v>
      </c>
      <c r="I351" s="7" t="str">
        <f>IF(ISNA(MATCH(342,'Transfer Engine'!$C$2:$C$1199,0)),"",INDEX('Compliance Database'!$I$2:$I$1199,MATCH(342,'Transfer Engine'!$C$2:$C$1199,0)))</f>
        <v>Personal Information</v>
      </c>
      <c r="J351" s="6" t="str">
        <f>IF(ISNA(MATCH(342,'Transfer Engine'!$C$2:$C$1199,0)),"",INDEX('Compliance Database'!$J$2:$J$1199,MATCH(342,'Transfer Engine'!$C$2:$C$1199,0)))</f>
        <v>ESMA</v>
      </c>
      <c r="K351" s="7" t="str">
        <f>IF(ISNA(MATCH(342,'Transfer Engine'!$C$2:$C$1199,0)),"",INDEX('Compliance Database'!$K$2:$K$1199,MATCH(342,'Transfer Engine'!$C$2:$C$1199,0)))</f>
        <v>Firms must ensure pre-outsourcing analysis and due diligence on cloud service providers (CSPs) are proportionate to the function's nature, scale, complexity, and inherent risks. This includes assessing impacts on operational, legal, compliance, and reputational risks to maintain adequate safeguards for critical functions.</v>
      </c>
      <c r="L351" s="7" t="str">
        <f>IF(ISNA(MATCH(342,'Transfer Engine'!$C$2:$C$1199,0)),"",INDEX('Compliance Database'!$L$2:$L$1199,MATCH(342,'Transfer Engine'!$C$2:$C$1199,0)))</f>
        <v>Mandates that due diligence must be proportionate to the function's risk profile, ensuring that cloud outsourcing arrangements do not compromise financial institution security or compliance across borders.</v>
      </c>
      <c r="M351" s="7" t="str">
        <f>IF(ISNA(MATCH(342,'Transfer Engine'!$C$2:$C$1199,0)),"",INDEX('Compliance Database'!$M$2:$M$1199,MATCH(342,'Transfer Engine'!$C$2:$C$1199,0)))</f>
        <v>• [Must] Pre-outsourcing analysis and due diligence on CSP should be proportionate to function's nature, scale, complexity and inherent risks</v>
      </c>
      <c r="N351" s="7" t="str">
        <f>IF(ISNA(MATCH(342,'Transfer Engine'!$C$2:$C$1199,0)),"",INDEX('Compliance Database'!$N$2:$N$1199,MATCH(342,'Transfer Engine'!$C$2:$C$1199,0)))</f>
        <v>• [Must] Include assessment of potential impact on operational, legal, compliance and reputational risks</v>
      </c>
      <c r="O351" s="7" t="str">
        <f>IF(ISNA(MATCH(342,'Transfer Engine'!$C$2:$C$1199,0)),"",INDEX('Compliance Database'!$O$2:$O$1199,MATCH(342,'Transfer Engine'!$C$2:$C$1199,0)))</f>
        <v>The pre-outsourcing analysis and due diligence on the prospective CSP should be proportionate to the nature, scale and complexity of the function that the firm intends to outsource and the risks inherent to this function. It should include at least an assessment of the potential impact of the cloud outsourcing arrangement on the firm's operational, legal, compliance, and reputational risks.</v>
      </c>
      <c r="P351" s="6" t="str">
        <f>IF(ISNA(MATCH(342,'Transfer Engine'!$C$2:$C$1199,0)),"",HYPERLINK("#Acts!A"&amp;INDEX('Compliance Database'!$P$2:$P$1199,MATCH(342,'Transfer Engine'!$C$2:$C$1199,0)),"Go to Act"))</f>
        <v>Go to Act</v>
      </c>
    </row>
    <row r="352" spans="1:16" ht="172.95" customHeight="1" x14ac:dyDescent="0.3">
      <c r="A352" s="6" t="str">
        <f>IF(ISNA(MATCH(343,'Transfer Engine'!$C$2:$C$1199,0)),"",INDEX('Compliance Database'!$A$2:$A$1199,MATCH(343,'Transfer Engine'!$C$2:$C$1199,0)))</f>
        <v>GDPR</v>
      </c>
      <c r="B352" s="6" t="str">
        <f>IF(ISNA(MATCH(343,'Transfer Engine'!$C$2:$C$1199,0)),"",INDEX('Compliance Database'!$B$2:$B$1199,MATCH(343,'Transfer Engine'!$C$2:$C$1199,0)))</f>
        <v>esma_cloud_guidelines (GDPR - Row 8)</v>
      </c>
      <c r="C352" s="6" t="str">
        <f>IF(ISNA(MATCH(343,'Transfer Engine'!$C$2:$C$1199,0)),"",INDEX('Compliance Database'!$C$2:$C$1199,MATCH(343,'Transfer Engine'!$C$2:$C$1199,0)))</f>
        <v>21</v>
      </c>
      <c r="D352" s="7" t="str">
        <f>IF(ISNA(MATCH(343,'Transfer Engine'!$C$2:$C$1199,0)),"",INDEX('Compliance Database'!$D$2:$D$1199,MATCH(343,'Transfer Engine'!$C$2:$C$1199,0)))</f>
        <v>Enhanced risk assessment for critical cloud functions</v>
      </c>
      <c r="E352" s="6" t="str">
        <f>IF(ISNA(MATCH(343,'Transfer Engine'!$C$2:$C$1199,0)),"",INDEX('Compliance Database'!$E$2:$E$1199,MATCH(343,'Transfer Engine'!$C$2:$C$1199,0)))</f>
        <v>13–14</v>
      </c>
      <c r="F352" s="6" t="str">
        <f>IF(ISNA(MATCH(343,'Transfer Engine'!$C$2:$C$1199,0)),"",INDEX('Compliance Database'!$F$2:$F$1199,MATCH(343,'Transfer Engine'!$C$2:$C$1199,0)))</f>
        <v>High</v>
      </c>
      <c r="G352" s="6" t="str">
        <f>IF(ISNA(MATCH(343,'Transfer Engine'!$C$2:$C$1199,0)),"",INDEX('Compliance Database'!$G$2:$G$1199,MATCH(343,'Transfer Engine'!$C$2:$C$1199,0)))</f>
        <v>High (explicit)</v>
      </c>
      <c r="H352" s="7" t="str">
        <f>IF(ISNA(MATCH(343,'Transfer Engine'!$C$2:$C$1199,0)),"",INDEX('Compliance Database'!$H$2:$H$1199,MATCH(343,'Transfer Engine'!$C$2:$C$1199,0)))</f>
        <v>Cloud Services</v>
      </c>
      <c r="I352" s="7" t="str">
        <f>IF(ISNA(MATCH(343,'Transfer Engine'!$C$2:$C$1199,0)),"",INDEX('Compliance Database'!$I$2:$I$1199,MATCH(343,'Transfer Engine'!$C$2:$C$1199,0)))</f>
        <v>Personal Information</v>
      </c>
      <c r="J352" s="6" t="str">
        <f>IF(ISNA(MATCH(343,'Transfer Engine'!$C$2:$C$1199,0)),"",INDEX('Compliance Database'!$J$2:$J$1199,MATCH(343,'Transfer Engine'!$C$2:$C$1199,0)))</f>
        <v>ESMA</v>
      </c>
      <c r="K352" s="7" t="str">
        <f>IF(ISNA(MATCH(343,'Transfer Engine'!$C$2:$C$1199,0)),"",INDEX('Compliance Database'!$K$2:$K$1199,MATCH(343,'Transfer Engine'!$C$2:$C$1199,0)))</f>
        <v>Firms must conduct detailed risk assessments for cloud outsourcing arrangements involving critical functions, covering technology, security, business continuity, legal compliance, reputational risks, operational risks, and oversight limitations. This includes evaluating impacts on data portability, political stability, and cross-border data transfers to ensure compliance with GDPR.</v>
      </c>
      <c r="L352" s="7" t="str">
        <f>IF(ISNA(MATCH(343,'Transfer Engine'!$C$2:$C$1199,0)),"",INDEX('Compliance Database'!$L$2:$L$1199,MATCH(343,'Transfer Engine'!$C$2:$C$1199,0)))</f>
        <v>Requires comprehensive risk analysis for critical functions, including cross-border data transfer implications and political stability assessments, to ensure GDPR compliance in cloud outsourcing arrangements.</v>
      </c>
      <c r="M352" s="7" t="str">
        <f>IF(ISNA(MATCH(343,'Transfer Engine'!$C$2:$C$1199,0)),"",INDEX('Compliance Database'!$M$2:$M$1199,MATCH(343,'Transfer Engine'!$C$2:$C$1199,0)))</f>
        <v>• [Must] Assess all relevant risks arising from cloud outsourcing arrangement, including information security, business continuity, legal compliance, reputational risks, operational risks and oversight limitations
• [Must] Evaluate risks related to selected cloud service, deployment models, migration processes, data sensitivity and security measures
• [Must] Assess risks from interoperability of systems and applications with CSP
• [Must] Evaluate data portability capacity to transfer data between CSPs or back to firm</v>
      </c>
      <c r="N352" s="7" t="str">
        <f>IF(ISNA(MATCH(343,'Transfer Engine'!$C$2:$C$1199,0)),"",INDEX('Compliance Database'!$N$2:$N$1199,MATCH(343,'Transfer Engine'!$C$2:$C$1199,0)))</f>
        <v>• [Must] Assess political stability, security situation, legal system, insolvency laws, data protection laws and GDPR transfer conditions of countries where data is stored
• [Must] Evaluate concentration risks from multiple firms using same CSP or sub-outsourcing chains
• [Must] Weigh expected benefits and costs of cloud outsourcing against significant risks</v>
      </c>
      <c r="O352" s="7" t="str">
        <f>IF(ISNA(MATCH(343,'Transfer Engine'!$C$2:$C$1199,0)),"",INDEX('Compliance Database'!$O$2:$O$1199,MATCH(343,'Transfer Engine'!$C$2:$C$1199,0)))</f>
        <v>In case the cloud outsourcing arrangement concerns critical or important functions, a firm should also: a) assess all relevant risks that may arise as a result of the cloud outsourcing arrangement, including risks in relation to information and communication technology, information security, business continuity, legal and compliance, reputational risks, operational risks, and possible oversight limitations for the firm, arising from: i. the selected cloud service and the proposed deployment models; ii. the migration and/or the implementation processes; iii. the sensitivity of the function and the related data which are under consideration to be outsourced and the security measures which would need to be taken; iv. the interoperability of the systems and applications of the firm and the CSP, namely their capacity to exchange information and mutually use the information that has been exchanged; v. the portability of the data of the firm, namely the capacity to easily transfer the firm's data from one CSP to another or back to the firm; vi. the political stability, the security situation and the legal system (including the law enforcement provisions in place, the insolvency law provisions that would apply in case of the CSP's bankruptcy, the laws on data protection in force and whether the conditions for transfer of personal data to a third country under the GDPR are met) of the countries (within or outside the EU) where the outsourced functions would be provided and where the outsourced data would be stored; in case of sub-outsourcing, the additional risks that may arise if the sub-outsourcer is located in a third country or a different country from the CSP and, in case of a sub-outsourcing chain, any additional risk which may arise, including in relation to the absence of a direct contract between the firm and the sub-outsourcer performing the outsourced function; vii. possible concentration within the firm (including, where applicable, at the level of its group,) caused by multiple cloud outsourcing arrangements with the same CSP as well as possible concentration within the EU financial sector, caused by multiple firms making use of the same CSP or a small group of CSPs. When assessing the concentration risk, the firm should take into account all its cloud outsourcing arrangements (and, where applicable, the cloud outsourcing arrangements at the level of its group) with that CSP; b) take into account the expected benefits and costs of the cloud outsourcing arrangement, including weighing any significant risks which may be reduced or better managed against any significant risks which may arise as a result of the cloud outsourcing arrangement.</v>
      </c>
      <c r="P352" s="6" t="str">
        <f>IF(ISNA(MATCH(343,'Transfer Engine'!$C$2:$C$1199,0)),"",HYPERLINK("#Acts!A"&amp;INDEX('Compliance Database'!$P$2:$P$1199,MATCH(343,'Transfer Engine'!$C$2:$C$1199,0)),"Go to Act"))</f>
        <v>Go to Act</v>
      </c>
    </row>
    <row r="353" spans="1:16" ht="172.95" customHeight="1" x14ac:dyDescent="0.3">
      <c r="A353" s="6" t="str">
        <f>IF(ISNA(MATCH(344,'Transfer Engine'!$C$2:$C$1199,0)),"",INDEX('Compliance Database'!$A$2:$A$1199,MATCH(344,'Transfer Engine'!$C$2:$C$1199,0)))</f>
        <v>GDPR</v>
      </c>
      <c r="B353" s="6" t="str">
        <f>IF(ISNA(MATCH(344,'Transfer Engine'!$C$2:$C$1199,0)),"",INDEX('Compliance Database'!$B$2:$B$1199,MATCH(344,'Transfer Engine'!$C$2:$C$1199,0)))</f>
        <v>esma_cloud_guidelines (GDPR - Row 8)</v>
      </c>
      <c r="C353" s="6" t="str">
        <f>IF(ISNA(MATCH(344,'Transfer Engine'!$C$2:$C$1199,0)),"",INDEX('Compliance Database'!$C$2:$C$1199,MATCH(344,'Transfer Engine'!$C$2:$C$1199,0)))</f>
        <v>22</v>
      </c>
      <c r="D353" s="7" t="str">
        <f>IF(ISNA(MATCH(344,'Transfer Engine'!$C$2:$C$1199,0)),"",INDEX('Compliance Database'!$D$2:$D$1199,MATCH(344,'Transfer Engine'!$C$2:$C$1199,0)))</f>
        <v>CSP suitability evaluation for critical functions</v>
      </c>
      <c r="E353" s="6" t="str">
        <f>IF(ISNA(MATCH(344,'Transfer Engine'!$C$2:$C$1199,0)),"",INDEX('Compliance Database'!$E$2:$E$1199,MATCH(344,'Transfer Engine'!$C$2:$C$1199,0)))</f>
        <v>14</v>
      </c>
      <c r="F353" s="6" t="str">
        <f>IF(ISNA(MATCH(344,'Transfer Engine'!$C$2:$C$1199,0)),"",INDEX('Compliance Database'!$F$2:$F$1199,MATCH(344,'Transfer Engine'!$C$2:$C$1199,0)))</f>
        <v>High</v>
      </c>
      <c r="G353" s="6" t="str">
        <f>IF(ISNA(MATCH(344,'Transfer Engine'!$C$2:$C$1199,0)),"",INDEX('Compliance Database'!$G$2:$G$1199,MATCH(344,'Transfer Engine'!$C$2:$C$1199,0)))</f>
        <v>High (explicit)</v>
      </c>
      <c r="H353" s="7" t="str">
        <f>IF(ISNA(MATCH(344,'Transfer Engine'!$C$2:$C$1199,0)),"",INDEX('Compliance Database'!$H$2:$H$1199,MATCH(344,'Transfer Engine'!$C$2:$C$1199,0)))</f>
        <v>Cloud Services</v>
      </c>
      <c r="I353" s="7" t="str">
        <f>IF(ISNA(MATCH(344,'Transfer Engine'!$C$2:$C$1199,0)),"",INDEX('Compliance Database'!$I$2:$I$1199,MATCH(344,'Transfer Engine'!$C$2:$C$1199,0)))</f>
        <v>Personal Information</v>
      </c>
      <c r="J353" s="6" t="str">
        <f>IF(ISNA(MATCH(344,'Transfer Engine'!$C$2:$C$1199,0)),"",INDEX('Compliance Database'!$J$2:$J$1199,MATCH(344,'Transfer Engine'!$C$2:$C$1199,0)))</f>
        <v>ESMA</v>
      </c>
      <c r="K353" s="7" t="str">
        <f>IF(ISNA(MATCH(344,'Transfer Engine'!$C$2:$C$1199,0)),"",INDEX('Compliance Database'!$K$2:$K$1199,MATCH(344,'Transfer Engine'!$C$2:$C$1199,0)))</f>
        <v>Firms must evaluate CSP suitability for critical functions by assessing business reputation, skills, resources, organizational structure, and relevant authorizations. This includes evaluating information security practices, service support, and business continuity/disaster recovery plans to ensure reliable and professional service delivery.</v>
      </c>
      <c r="L353" s="7" t="str">
        <f>IF(ISNA(MATCH(344,'Transfer Engine'!$C$2:$C$1199,0)),"",INDEX('Compliance Database'!$L$2:$L$1199,MATCH(344,'Transfer Engine'!$C$2:$C$1199,0)))</f>
        <v>Requires firms to verify CSP capabilities and security measures to ensure critical functions remain compliant with GDPR when outsourced to cloud services across borders.</v>
      </c>
      <c r="M353" s="7" t="str">
        <f>IF(ISNA(MATCH(344,'Transfer Engine'!$C$2:$C$1199,0)),"",INDEX('Compliance Database'!$M$2:$M$1199,MATCH(344,'Transfer Engine'!$C$2:$C$1199,0)))</f>
        <v>• [Must] Ensure CSP has business reputation, skills, resources (human, IT, financial), organizational structure and relevant authorizations to perform critical functions reliably
• [Must] Assess CSP's management of information security and protection of personal, confidential or sensitive data</v>
      </c>
      <c r="N353" s="7" t="str">
        <f>IF(ISNA(MATCH(344,'Transfer Engine'!$C$2:$C$1199,0)),"",INDEX('Compliance Database'!$N$2:$N$1199,MATCH(344,'Transfer Engine'!$C$2:$C$1199,0)))</f>
        <v>• [Must] Evaluate CSP's service support including support plans and contacts, and incident management processes
• [Must] Assess CSP's business continuity and disaster recovery plans</v>
      </c>
      <c r="O353" s="7" t="str">
        <f>IF(ISNA(MATCH(344,'Transfer Engine'!$C$2:$C$1199,0)),"",INDEX('Compliance Database'!$O$2:$O$1199,MATCH(344,'Transfer Engine'!$C$2:$C$1199,0)))</f>
        <v>In case of outsourcing of critical or important functions, the due diligence should include an evaluation of the suitability of the CSP. When assessing the suitability of the CSP, a firm should ensure that the CSP has the business reputation, the skills, the resources (including human, IT and financial), the organisational structure and, if applicable, the relevant authorisation(s) or registration(s) to perform the critical or important function in a reliable and professional manner and to meet its obligations over the duration of the cloud outsourcing arrangement. Additional factors to be considered in the due diligence on the CSP include, but are not limited to: a) the management of information security and in particular the protection of personal, confidential or otherwise sensitive data; b) the service support, including support plans and contacts, and incident management processes; c) the business continuity and disaster recovery plans;</v>
      </c>
      <c r="P353" s="6" t="str">
        <f>IF(ISNA(MATCH(344,'Transfer Engine'!$C$2:$C$1199,0)),"",HYPERLINK("#Acts!A"&amp;INDEX('Compliance Database'!$P$2:$P$1199,MATCH(344,'Transfer Engine'!$C$2:$C$1199,0)),"Go to Act"))</f>
        <v>Go to Act</v>
      </c>
    </row>
    <row r="354" spans="1:16" ht="172.95" customHeight="1" x14ac:dyDescent="0.3">
      <c r="A354" s="6" t="str">
        <f>IF(ISNA(MATCH(345,'Transfer Engine'!$C$2:$C$1199,0)),"",INDEX('Compliance Database'!$A$2:$A$1199,MATCH(345,'Transfer Engine'!$C$2:$C$1199,0)))</f>
        <v>GDPR</v>
      </c>
      <c r="B354" s="6" t="str">
        <f>IF(ISNA(MATCH(345,'Transfer Engine'!$C$2:$C$1199,0)),"",INDEX('Compliance Database'!$B$2:$B$1199,MATCH(345,'Transfer Engine'!$C$2:$C$1199,0)))</f>
        <v>esma_cloud_guidelines (GDPR - Row 8)</v>
      </c>
      <c r="C354" s="6" t="str">
        <f>IF(ISNA(MATCH(345,'Transfer Engine'!$C$2:$C$1199,0)),"",INDEX('Compliance Database'!$C$2:$C$1199,MATCH(345,'Transfer Engine'!$C$2:$C$1199,0)))</f>
        <v>23</v>
      </c>
      <c r="D354" s="7" t="str">
        <f>IF(ISNA(MATCH(345,'Transfer Engine'!$C$2:$C$1199,0)),"",INDEX('Compliance Database'!$D$2:$D$1199,MATCH(345,'Transfer Engine'!$C$2:$C$1199,0)))</f>
        <v>Certification and audit support for due diligence</v>
      </c>
      <c r="E354" s="6" t="str">
        <f>IF(ISNA(MATCH(345,'Transfer Engine'!$C$2:$C$1199,0)),"",INDEX('Compliance Database'!$E$2:$E$1199,MATCH(345,'Transfer Engine'!$C$2:$C$1199,0)))</f>
        <v>14</v>
      </c>
      <c r="F354" s="6" t="str">
        <f>IF(ISNA(MATCH(345,'Transfer Engine'!$C$2:$C$1199,0)),"",INDEX('Compliance Database'!$F$2:$F$1199,MATCH(345,'Transfer Engine'!$C$2:$C$1199,0)))</f>
        <v>High</v>
      </c>
      <c r="G354" s="6" t="str">
        <f>IF(ISNA(MATCH(345,'Transfer Engine'!$C$2:$C$1199,0)),"",INDEX('Compliance Database'!$G$2:$G$1199,MATCH(345,'Transfer Engine'!$C$2:$C$1199,0)))</f>
        <v>High (explicit)</v>
      </c>
      <c r="H354" s="7" t="str">
        <f>IF(ISNA(MATCH(345,'Transfer Engine'!$C$2:$C$1199,0)),"",INDEX('Compliance Database'!$H$2:$H$1199,MATCH(345,'Transfer Engine'!$C$2:$C$1199,0)))</f>
        <v>Cloud Services</v>
      </c>
      <c r="I354" s="7" t="str">
        <f>IF(ISNA(MATCH(345,'Transfer Engine'!$C$2:$C$1199,0)),"",INDEX('Compliance Database'!$I$2:$I$1199,MATCH(345,'Transfer Engine'!$C$2:$C$1199,0)))</f>
        <v>Personal Information</v>
      </c>
      <c r="J354" s="6" t="str">
        <f>IF(ISNA(MATCH(345,'Transfer Engine'!$C$2:$C$1199,0)),"",INDEX('Compliance Database'!$J$2:$J$1199,MATCH(345,'Transfer Engine'!$C$2:$C$1199,0)))</f>
        <v>ESMA</v>
      </c>
      <c r="K354" s="7" t="str">
        <f>IF(ISNA(MATCH(345,'Transfer Engine'!$C$2:$C$1199,0)),"",INDEX('Compliance Database'!$K$2:$K$1199,MATCH(345,'Transfer Engine'!$C$2:$C$1199,0)))</f>
        <v>Firms may use international standards certifications and external or internal audit reports to support their pre-outsourcing due diligence, provided such measures are appropriate for the specific cloud outsourcing arrangement.</v>
      </c>
      <c r="L354" s="7" t="str">
        <f>IF(ISNA(MATCH(345,'Transfer Engine'!$C$2:$C$1199,0)),"",INDEX('Compliance Database'!$L$2:$L$1199,MATCH(345,'Transfer Engine'!$C$2:$C$1199,0)))</f>
        <v>Allows firms to leverage third-party certifications and audits to validate cloud service provider compliance, enhancing the robustness of data transfer impact assessments for critical functions.</v>
      </c>
      <c r="M354" s="7" t="str">
        <f>IF(ISNA(MATCH(345,'Transfer Engine'!$C$2:$C$1199,0)),"",INDEX('Compliance Database'!$M$2:$M$1199,MATCH(345,'Transfer Engine'!$C$2:$C$1199,0)))</f>
        <v>• [May] Use certifications based on international standards and external or internal audit reports to support due diligence</v>
      </c>
      <c r="N354" s="7">
        <f>IF(ISNA(MATCH(345,'Transfer Engine'!$C$2:$C$1199,0)),"",INDEX('Compliance Database'!$N$2:$N$1199,MATCH(345,'Transfer Engine'!$C$2:$C$1199,0)))</f>
        <v>0</v>
      </c>
      <c r="O354" s="7" t="str">
        <f>IF(ISNA(MATCH(345,'Transfer Engine'!$C$2:$C$1199,0)),"",INDEX('Compliance Database'!$O$2:$O$1199,MATCH(345,'Transfer Engine'!$C$2:$C$1199,0)))</f>
        <v>Where appropriate and in order to support the due diligence performed, a firm may also use certifications based on international standards and external or internal audit reports.</v>
      </c>
      <c r="P354" s="6" t="str">
        <f>IF(ISNA(MATCH(345,'Transfer Engine'!$C$2:$C$1199,0)),"",HYPERLINK("#Acts!A"&amp;INDEX('Compliance Database'!$P$2:$P$1199,MATCH(345,'Transfer Engine'!$C$2:$C$1199,0)),"Go to Act"))</f>
        <v>Go to Act</v>
      </c>
    </row>
    <row r="355" spans="1:16" ht="172.95" customHeight="1" x14ac:dyDescent="0.3">
      <c r="A355" s="6" t="str">
        <f>IF(ISNA(MATCH(346,'Transfer Engine'!$C$2:$C$1199,0)),"",INDEX('Compliance Database'!$A$2:$A$1199,MATCH(346,'Transfer Engine'!$C$2:$C$1199,0)))</f>
        <v>GDPR</v>
      </c>
      <c r="B355" s="6" t="str">
        <f>IF(ISNA(MATCH(346,'Transfer Engine'!$C$2:$C$1199,0)),"",INDEX('Compliance Database'!$B$2:$B$1199,MATCH(346,'Transfer Engine'!$C$2:$C$1199,0)))</f>
        <v>esma_cloud_guidelines (GDPR - Row 8)</v>
      </c>
      <c r="C355" s="6" t="str">
        <f>IF(ISNA(MATCH(346,'Transfer Engine'!$C$2:$C$1199,0)),"",INDEX('Compliance Database'!$C$2:$C$1199,MATCH(346,'Transfer Engine'!$C$2:$C$1199,0)))</f>
        <v>24</v>
      </c>
      <c r="D355" s="7" t="str">
        <f>IF(ISNA(MATCH(346,'Transfer Engine'!$C$2:$C$1199,0)),"",INDEX('Compliance Database'!$D$2:$D$1199,MATCH(346,'Transfer Engine'!$C$2:$C$1199,0)))</f>
        <v>Review due diligence after significant CSP changes</v>
      </c>
      <c r="E355" s="6" t="str">
        <f>IF(ISNA(MATCH(346,'Transfer Engine'!$C$2:$C$1199,0)),"",INDEX('Compliance Database'!$E$2:$E$1199,MATCH(346,'Transfer Engine'!$C$2:$C$1199,0)))</f>
        <v>14</v>
      </c>
      <c r="F355" s="6" t="str">
        <f>IF(ISNA(MATCH(346,'Transfer Engine'!$C$2:$C$1199,0)),"",INDEX('Compliance Database'!$F$2:$F$1199,MATCH(346,'Transfer Engine'!$C$2:$C$1199,0)))</f>
        <v>High</v>
      </c>
      <c r="G355" s="6" t="str">
        <f>IF(ISNA(MATCH(346,'Transfer Engine'!$C$2:$C$1199,0)),"",INDEX('Compliance Database'!$G$2:$G$1199,MATCH(346,'Transfer Engine'!$C$2:$C$1199,0)))</f>
        <v>High (explicit)</v>
      </c>
      <c r="H355" s="7" t="str">
        <f>IF(ISNA(MATCH(346,'Transfer Engine'!$C$2:$C$1199,0)),"",INDEX('Compliance Database'!$H$2:$H$1199,MATCH(346,'Transfer Engine'!$C$2:$C$1199,0)))</f>
        <v>Cloud Services</v>
      </c>
      <c r="I355" s="7" t="str">
        <f>IF(ISNA(MATCH(346,'Transfer Engine'!$C$2:$C$1199,0)),"",INDEX('Compliance Database'!$I$2:$I$1199,MATCH(346,'Transfer Engine'!$C$2:$C$1199,0)))</f>
        <v>Personal Information</v>
      </c>
      <c r="J355" s="6" t="str">
        <f>IF(ISNA(MATCH(346,'Transfer Engine'!$C$2:$C$1199,0)),"",INDEX('Compliance Database'!$J$2:$J$1199,MATCH(346,'Transfer Engine'!$C$2:$C$1199,0)))</f>
        <v>ESMA</v>
      </c>
      <c r="K355" s="7" t="str">
        <f>IF(ISNA(MATCH(346,'Transfer Engine'!$C$2:$C$1199,0)),"",INDEX('Compliance Database'!$K$2:$K$1199,MATCH(346,'Transfer Engine'!$C$2:$C$1199,0)))</f>
        <v>Firms must promptly review or re-perform pre-outsourcing analysis and due diligence on CSPs if they become aware of significant deficiencies or changes to services provided by the CSP or the CSP's situation.</v>
      </c>
      <c r="L355" s="7" t="str">
        <f>IF(ISNA(MATCH(346,'Transfer Engine'!$C$2:$C$1199,0)),"",INDEX('Compliance Database'!$L$2:$L$1199,MATCH(346,'Transfer Engine'!$C$2:$C$1199,0)))</f>
        <v>Mandates ongoing monitoring of CSP performance and compliance, ensuring that data transfer impact assessments remain current and effective after significant changes to cloud service providers.</v>
      </c>
      <c r="M355" s="7" t="str">
        <f>IF(ISNA(MATCH(346,'Transfer Engine'!$C$2:$C$1199,0)),"",INDEX('Compliance Database'!$M$2:$M$1199,MATCH(346,'Transfer Engine'!$C$2:$C$1199,0)))</f>
        <v>• [Must] Promptly review or re-perform pre-outsourcing analysis and due diligence on CSP when significant deficiencies or changes to services or CSP situation are identified</v>
      </c>
      <c r="N355" s="7">
        <f>IF(ISNA(MATCH(346,'Transfer Engine'!$C$2:$C$1199,0)),"",INDEX('Compliance Database'!$N$2:$N$1199,MATCH(346,'Transfer Engine'!$C$2:$C$1199,0)))</f>
        <v>0</v>
      </c>
      <c r="O355" s="7" t="str">
        <f>IF(ISNA(MATCH(346,'Transfer Engine'!$C$2:$C$1199,0)),"",INDEX('Compliance Database'!$O$2:$O$1199,MATCH(346,'Transfer Engine'!$C$2:$C$1199,0)))</f>
        <v>If a firm becomes aware of significant deficiencies and/or significant changes to the services provided or to the situation of the CSP, the pre-outsourcing analysis and due diligence on the CSP should be promptly reviewed or where needed re-performed.</v>
      </c>
      <c r="P355" s="6" t="str">
        <f>IF(ISNA(MATCH(346,'Transfer Engine'!$C$2:$C$1199,0)),"",HYPERLINK("#Acts!A"&amp;INDEX('Compliance Database'!$P$2:$P$1199,MATCH(346,'Transfer Engine'!$C$2:$C$1199,0)),"Go to Act"))</f>
        <v>Go to Act</v>
      </c>
    </row>
    <row r="356" spans="1:16" ht="172.95" customHeight="1" x14ac:dyDescent="0.3">
      <c r="A356" s="6" t="str">
        <f>IF(ISNA(MATCH(347,'Transfer Engine'!$C$2:$C$1199,0)),"",INDEX('Compliance Database'!$A$2:$A$1199,MATCH(347,'Transfer Engine'!$C$2:$C$1199,0)))</f>
        <v>GDPR</v>
      </c>
      <c r="B356" s="6" t="str">
        <f>IF(ISNA(MATCH(347,'Transfer Engine'!$C$2:$C$1199,0)),"",INDEX('Compliance Database'!$B$2:$B$1199,MATCH(347,'Transfer Engine'!$C$2:$C$1199,0)))</f>
        <v>esma_cloud_guidelines (GDPR - Row 8)</v>
      </c>
      <c r="C356" s="6" t="str">
        <f>IF(ISNA(MATCH(347,'Transfer Engine'!$C$2:$C$1199,0)),"",INDEX('Compliance Database'!$C$2:$C$1199,MATCH(347,'Transfer Engine'!$C$2:$C$1199,0)))</f>
        <v>25</v>
      </c>
      <c r="D356" s="7" t="str">
        <f>IF(ISNA(MATCH(347,'Transfer Engine'!$C$2:$C$1199,0)),"",INDEX('Compliance Database'!$D$2:$D$1199,MATCH(347,'Transfer Engine'!$C$2:$C$1199,0)))</f>
        <v>Risk-based due diligence for re-assessed CSPs</v>
      </c>
      <c r="E356" s="6" t="str">
        <f>IF(ISNA(MATCH(347,'Transfer Engine'!$C$2:$C$1199,0)),"",INDEX('Compliance Database'!$E$2:$E$1199,MATCH(347,'Transfer Engine'!$C$2:$C$1199,0)))</f>
        <v>14–15</v>
      </c>
      <c r="F356" s="6" t="str">
        <f>IF(ISNA(MATCH(347,'Transfer Engine'!$C$2:$C$1199,0)),"",INDEX('Compliance Database'!$F$2:$F$1199,MATCH(347,'Transfer Engine'!$C$2:$C$1199,0)))</f>
        <v>High</v>
      </c>
      <c r="G356" s="6" t="str">
        <f>IF(ISNA(MATCH(347,'Transfer Engine'!$C$2:$C$1199,0)),"",INDEX('Compliance Database'!$G$2:$G$1199,MATCH(347,'Transfer Engine'!$C$2:$C$1199,0)))</f>
        <v>High (explicit)</v>
      </c>
      <c r="H356" s="7" t="str">
        <f>IF(ISNA(MATCH(347,'Transfer Engine'!$C$2:$C$1199,0)),"",INDEX('Compliance Database'!$H$2:$H$1199,MATCH(347,'Transfer Engine'!$C$2:$C$1199,0)))</f>
        <v>Cloud Services</v>
      </c>
      <c r="I356" s="7" t="str">
        <f>IF(ISNA(MATCH(347,'Transfer Engine'!$C$2:$C$1199,0)),"",INDEX('Compliance Database'!$I$2:$I$1199,MATCH(347,'Transfer Engine'!$C$2:$C$1199,0)))</f>
        <v>Personal Information</v>
      </c>
      <c r="J356" s="6" t="str">
        <f>IF(ISNA(MATCH(347,'Transfer Engine'!$C$2:$C$1199,0)),"",INDEX('Compliance Database'!$J$2:$J$1199,MATCH(347,'Transfer Engine'!$C$2:$C$1199,0)))</f>
        <v>ESMA</v>
      </c>
      <c r="K356" s="7" t="str">
        <f>IF(ISNA(MATCH(347,'Transfer Engine'!$C$2:$C$1199,0)),"",INDEX('Compliance Database'!$K$2:$K$1199,MATCH(347,'Transfer Engine'!$C$2:$C$1199,0)))</f>
        <v>When a firm renews an existing arrangement with a CSP that has already been assessed, it must determine on a risk-based approach whether new due diligence is required. This applies to firms outsourcing critical functions to cloud service providers. The assessment must consider the specific risks associated with the renewed arrangement to ensure ongoing compliance with data protection standards.</v>
      </c>
      <c r="L356" s="7" t="str">
        <f>IF(ISNA(MATCH(347,'Transfer Engine'!$C$2:$C$1199,0)),"",INDEX('Compliance Database'!$L$2:$L$1199,MATCH(347,'Transfer Engine'!$C$2:$C$1199,0)))</f>
        <v>Requires firms to reassess cloud provider risks before renewing agreements to ensure continued data protection compliance without unnecessary disruption.</v>
      </c>
      <c r="M356" s="7" t="str">
        <f>IF(ISNA(MATCH(347,'Transfer Engine'!$C$2:$C$1199,0)),"",INDEX('Compliance Database'!$M$2:$M$1199,MATCH(347,'Transfer Engine'!$C$2:$C$1199,0)))</f>
        <v>• [Must] Determine on a risk-based approach whether new due diligence is needed</v>
      </c>
      <c r="N356" s="7">
        <f>IF(ISNA(MATCH(347,'Transfer Engine'!$C$2:$C$1199,0)),"",INDEX('Compliance Database'!$N$2:$N$1199,MATCH(347,'Transfer Engine'!$C$2:$C$1199,0)))</f>
        <v>0</v>
      </c>
      <c r="O356" s="7" t="str">
        <f>IF(ISNA(MATCH(347,'Transfer Engine'!$C$2:$C$1199,0)),"",INDEX('Compliance Database'!$O$2:$O$1199,MATCH(347,'Transfer Engine'!$C$2:$C$1199,0)))</f>
        <v>25. In case a firm enters into a new arrangement or renews an existing arrangement with a CSP that has already been assessed, it should determine, on a risk-based approach, whether a new due diligence is needed.</v>
      </c>
      <c r="P356" s="6" t="str">
        <f>IF(ISNA(MATCH(347,'Transfer Engine'!$C$2:$C$1199,0)),"",HYPERLINK("#Acts!A"&amp;INDEX('Compliance Database'!$P$2:$P$1199,MATCH(347,'Transfer Engine'!$C$2:$C$1199,0)),"Go to Act"))</f>
        <v>Go to Act</v>
      </c>
    </row>
    <row r="357" spans="1:16" ht="172.95" customHeight="1" x14ac:dyDescent="0.3">
      <c r="A357" s="6" t="str">
        <f>IF(ISNA(MATCH(348,'Transfer Engine'!$C$2:$C$1199,0)),"",INDEX('Compliance Database'!$A$2:$A$1199,MATCH(348,'Transfer Engine'!$C$2:$C$1199,0)))</f>
        <v>GDPR</v>
      </c>
      <c r="B357" s="6" t="str">
        <f>IF(ISNA(MATCH(348,'Transfer Engine'!$C$2:$C$1199,0)),"",INDEX('Compliance Database'!$B$2:$B$1199,MATCH(348,'Transfer Engine'!$C$2:$C$1199,0)))</f>
        <v>esma_cloud_guidelines (GDPR - Row 8)</v>
      </c>
      <c r="C357" s="6" t="str">
        <f>IF(ISNA(MATCH(348,'Transfer Engine'!$C$2:$C$1199,0)),"",INDEX('Compliance Database'!$C$2:$C$1199,MATCH(348,'Transfer Engine'!$C$2:$C$1199,0)))</f>
        <v>28</v>
      </c>
      <c r="D357" s="7" t="str">
        <f>IF(ISNA(MATCH(348,'Transfer Engine'!$C$2:$C$1199,0)),"",INDEX('Compliance Database'!$D$2:$D$1199,MATCH(348,'Transfer Engine'!$C$2:$C$1199,0)))</f>
        <v>Minimum contractual terms for cloud outsourcing</v>
      </c>
      <c r="E357" s="6" t="str">
        <f>IF(ISNA(MATCH(348,'Transfer Engine'!$C$2:$C$1199,0)),"",INDEX('Compliance Database'!$E$2:$E$1199,MATCH(348,'Transfer Engine'!$C$2:$C$1199,0)))</f>
        <v>15–16</v>
      </c>
      <c r="F357" s="6" t="str">
        <f>IF(ISNA(MATCH(348,'Transfer Engine'!$C$2:$C$1199,0)),"",INDEX('Compliance Database'!$F$2:$F$1199,MATCH(348,'Transfer Engine'!$C$2:$C$1199,0)))</f>
        <v>High</v>
      </c>
      <c r="G357" s="6" t="str">
        <f>IF(ISNA(MATCH(348,'Transfer Engine'!$C$2:$C$1199,0)),"",INDEX('Compliance Database'!$G$2:$G$1199,MATCH(348,'Transfer Engine'!$C$2:$C$1199,0)))</f>
        <v>High (explicit)</v>
      </c>
      <c r="H357" s="7" t="str">
        <f>IF(ISNA(MATCH(348,'Transfer Engine'!$C$2:$C$1199,0)),"",INDEX('Compliance Database'!$H$2:$H$1199,MATCH(348,'Transfer Engine'!$C$2:$C$1199,0)))</f>
        <v>Cloud Services, Incident Reporting, Breach Notification, Security</v>
      </c>
      <c r="I357" s="7" t="str">
        <f>IF(ISNA(MATCH(348,'Transfer Engine'!$C$2:$C$1199,0)),"",INDEX('Compliance Database'!$I$2:$I$1199,MATCH(348,'Transfer Engine'!$C$2:$C$1199,0)))</f>
        <v>Personal Information</v>
      </c>
      <c r="J357" s="6" t="str">
        <f>IF(ISNA(MATCH(348,'Transfer Engine'!$C$2:$C$1199,0)),"",INDEX('Compliance Database'!$J$2:$J$1199,MATCH(348,'Transfer Engine'!$C$2:$C$1199,0)))</f>
        <v>ESMA</v>
      </c>
      <c r="K357" s="7" t="str">
        <f>IF(ISNA(MATCH(348,'Transfer Engine'!$C$2:$C$1199,0)),"",INDEX('Compliance Database'!$K$2:$K$1199,MATCH(348,'Transfer Engine'!$C$2:$C$1199,0)))</f>
        <v>When outsourcing critical or important functions, firms must include specific contractual terms in written agreements with CSPs. These terms cover function description, agreement duration, governing law, financial obligations, sub-outsourcing rules, data location, security provisions, performance monitoring rights, service levels, reporting obligations, incident management, insurance requirements, business continuity plans, and audit rights. The clauses ensure transparency and accountability in cloud service arrangements.</v>
      </c>
      <c r="L357" s="7" t="str">
        <f>IF(ISNA(MATCH(348,'Transfer Engine'!$C$2:$C$1199,0)),"",INDEX('Compliance Database'!$L$2:$L$1199,MATCH(348,'Transfer Engine'!$C$2:$C$1199,0)))</f>
        <v>Defines mandatory contractual terms for cloud providers to ensure data security, compliance, and operational continuity during outsourcing activities.</v>
      </c>
      <c r="M357" s="7" t="str">
        <f>IF(ISNA(MATCH(348,'Transfer Engine'!$C$2:$C$1199,0)),"",INDEX('Compliance Database'!$M$2:$M$1199,MATCH(348,'Transfer Engine'!$C$2:$C$1199,0)))</f>
        <v>• [Must] Include a clear description of the outsourced function
• [Must] Specify start and end dates of the agreement and notice periods
• [Must] State governing law and jurisdiction choice
• [Must] Detail financial obligations of both parties
• [Must] Define sub-outsourcing permissions and conditions
• [Must] Specify data processing and storage locations and change notification requirements
• [Must] Include information security and data protection provisions
• [Must] Grant firm rights to monitor CSP performance regularly</v>
      </c>
      <c r="N357" s="7" t="str">
        <f>IF(ISNA(MATCH(348,'Transfer Engine'!$C$2:$C$1199,0)),"",INDEX('Compliance Database'!$N$2:$N$1199,MATCH(348,'Transfer Engine'!$C$2:$C$1199,0)))</f>
        <v>• [Must] Set agreed service levels with performance targets
• [Must] Define CSP reporting obligations to the firm
• [Must] Include incident management provisions and timely reporting
• [Must] Specify mandatory insurance requirements and coverage levels
• [Must] Require business continuity and disaster recovery plans
• [Must] Grant firm access rights to inspect CSP systems and data
• [Must] Ensure data can be accessed, recovered, and returned to the firm</v>
      </c>
      <c r="O357" s="7" t="str">
        <f>IF(ISNA(MATCH(348,'Transfer Engine'!$C$2:$C$1199,0)),"",INDEX('Compliance Database'!$O$2:$O$1199,MATCH(348,'Transfer Engine'!$C$2:$C$1199,0)))</f>
        <v>28. In case of outsourcing of critical or important functions, the written agreement should include at least: a) a clear description of the outsourced function; b) the start date and end date, where applicable, of the agreement and the notice periods for the CSP and for the firm; c) the governing law of the agreement and, if any, the choice of jurisdiction; d) the firm's and the CSP's financial obligations; e) whether sub-outsourcing is permitted, and, if so, under which conditions, having regard to Guideline 7; f) the location(s) (namely regions or countries) where the outsourced function will be provided and where data will be processed and stored, and the conditions to be met, including a requirement to notify the firm if the CSP proposes to change the location(s); g) provisions regarding information security and protection of personal data, having regard to Guideline 4; h) the right for the firm to monitor the CSP's performance under the cloud outsourcing arrangement on a regular basis, having regard to Guideline 6; i) the agreed service levels, which should include, quantitative and qualitative performance targets in order to allow for timely monitoring so that appropriate corrective actions can be taken without undue delay if agreed service levels are not met; j) the reporting obligations of the CSP to the firm and, as appropriate, the obligations to submit reports relevant for the firm's security function and key functions, such as reports prepared by the internal audit function of the CSP; k) provisions regarding the management of incidents by the CSP, including the obligation for the CSP to report to the firm without undue delay incidents that have affected the operation of the firm's contracted service; l) whether the CSP should take mandatory insurance against certain risks and, if applicable, the level of insurance cover requested; m) the requirements for the CSP to implement and test business continuity and disaster recovery plans; n) the requirement for the CSP to grant the firm, its competent authorities and any other person appointed by the firm or the competent authorities the right to access ('access rights') and to inspect ('audit rights') the relevant information, premises, systems and devices of the CSP to the extent necessary to monitor the CSP's performance under the cloud outsourcing arrangement and its compliance with the applicable regulatory and contractual requirements, having regard to Guideline 6; o) provisions to ensure that the data that the CSP processes or stores on behalf of the firm can be accessed, recovered and returned to the firm as needed, having regard to Guideline 5.</v>
      </c>
      <c r="P357" s="6" t="str">
        <f>IF(ISNA(MATCH(348,'Transfer Engine'!$C$2:$C$1199,0)),"",HYPERLINK("#Acts!A"&amp;INDEX('Compliance Database'!$P$2:$P$1199,MATCH(348,'Transfer Engine'!$C$2:$C$1199,0)),"Go to Act"))</f>
        <v>Go to Act</v>
      </c>
    </row>
    <row r="358" spans="1:16" ht="172.95" customHeight="1" x14ac:dyDescent="0.3">
      <c r="A358" s="6" t="str">
        <f>IF(ISNA(MATCH(349,'Transfer Engine'!$C$2:$C$1199,0)),"",INDEX('Compliance Database'!$A$2:$A$1199,MATCH(349,'Transfer Engine'!$C$2:$C$1199,0)))</f>
        <v>GDPR</v>
      </c>
      <c r="B358" s="6" t="str">
        <f>IF(ISNA(MATCH(349,'Transfer Engine'!$C$2:$C$1199,0)),"",INDEX('Compliance Database'!$B$2:$B$1199,MATCH(349,'Transfer Engine'!$C$2:$C$1199,0)))</f>
        <v>esma_cloud_guidelines (GDPR - Row 8)</v>
      </c>
      <c r="C358" s="6" t="str">
        <f>IF(ISNA(MATCH(349,'Transfer Engine'!$C$2:$C$1199,0)),"",INDEX('Compliance Database'!$C$2:$C$1199,MATCH(349,'Transfer Engine'!$C$2:$C$1199,0)))</f>
        <v>29</v>
      </c>
      <c r="D358" s="7" t="str">
        <f>IF(ISNA(MATCH(349,'Transfer Engine'!$C$2:$C$1199,0)),"",INDEX('Compliance Database'!$D$2:$D$1199,MATCH(349,'Transfer Engine'!$C$2:$C$1199,0)))</f>
        <v>Ongoing information security monitoring</v>
      </c>
      <c r="E358" s="6" t="str">
        <f>IF(ISNA(MATCH(349,'Transfer Engine'!$C$2:$C$1199,0)),"",INDEX('Compliance Database'!$E$2:$E$1199,MATCH(349,'Transfer Engine'!$C$2:$C$1199,0)))</f>
        <v>16</v>
      </c>
      <c r="F358" s="6" t="str">
        <f>IF(ISNA(MATCH(349,'Transfer Engine'!$C$2:$C$1199,0)),"",INDEX('Compliance Database'!$F$2:$F$1199,MATCH(349,'Transfer Engine'!$C$2:$C$1199,0)))</f>
        <v>High</v>
      </c>
      <c r="G358" s="6" t="str">
        <f>IF(ISNA(MATCH(349,'Transfer Engine'!$C$2:$C$1199,0)),"",INDEX('Compliance Database'!$G$2:$G$1199,MATCH(349,'Transfer Engine'!$C$2:$C$1199,0)))</f>
        <v>High (explicit)</v>
      </c>
      <c r="H358" s="7" t="str">
        <f>IF(ISNA(MATCH(349,'Transfer Engine'!$C$2:$C$1199,0)),"",INDEX('Compliance Database'!$H$2:$H$1199,MATCH(349,'Transfer Engine'!$C$2:$C$1199,0)))</f>
        <v>Cloud Services, Security</v>
      </c>
      <c r="I358" s="7" t="str">
        <f>IF(ISNA(MATCH(349,'Transfer Engine'!$C$2:$C$1199,0)),"",INDEX('Compliance Database'!$I$2:$I$1199,MATCH(349,'Transfer Engine'!$C$2:$C$1199,0)))</f>
        <v>Personal Information</v>
      </c>
      <c r="J358" s="6" t="str">
        <f>IF(ISNA(MATCH(349,'Transfer Engine'!$C$2:$C$1199,0)),"",INDEX('Compliance Database'!$J$2:$J$1199,MATCH(349,'Transfer Engine'!$C$2:$C$1199,0)))</f>
        <v>ESMA</v>
      </c>
      <c r="K358" s="7" t="str">
        <f>IF(ISNA(MATCH(349,'Transfer Engine'!$C$2:$C$1199,0)),"",INDEX('Compliance Database'!$K$2:$K$1199,MATCH(349,'Transfer Engine'!$C$2:$C$1199,0)))</f>
        <v>Firms must establish information security requirements in internal policies and procedures, and within cloud outsourcing agreements. These requirements must be proportionate to the function's nature, scale, complexity, and associated risks. Firms must continuously monitor compliance with these security measures to protect confidential, personal, and sensitive data.</v>
      </c>
      <c r="L358" s="7" t="str">
        <f>IF(ISNA(MATCH(349,'Transfer Engine'!$C$2:$C$1199,0)),"",INDEX('Compliance Database'!$L$2:$L$1199,MATCH(349,'Transfer Engine'!$C$2:$C$1199,0)))</f>
        <v>Mandates continuous monitoring of information security to ensure data protection during cloud outsourcing, aligning with risk-based approaches.</v>
      </c>
      <c r="M358" s="7" t="str">
        <f>IF(ISNA(MATCH(349,'Transfer Engine'!$C$2:$C$1199,0)),"",INDEX('Compliance Database'!$M$2:$M$1199,MATCH(349,'Transfer Engine'!$C$2:$C$1199,0)))</f>
        <v>• [Must] Set information security requirements in internal policies and procedures
• [Must] Include information security requirements in cloud outsourcing agreements</v>
      </c>
      <c r="N358" s="7" t="str">
        <f>IF(ISNA(MATCH(349,'Transfer Engine'!$C$2:$C$1199,0)),"",INDEX('Compliance Database'!$N$2:$N$1199,MATCH(349,'Transfer Engine'!$C$2:$C$1199,0)))</f>
        <v>• [Must] Monitor compliance with security requirements on an ongoing basis
• [Must] Ensure requirements are proportionate to function nature, scale, complexity, and risks</v>
      </c>
      <c r="O358" s="7" t="str">
        <f>IF(ISNA(MATCH(349,'Transfer Engine'!$C$2:$C$1199,0)),"",INDEX('Compliance Database'!$O$2:$O$1199,MATCH(349,'Transfer Engine'!$C$2:$C$1199,0)))</f>
        <v>29. A firm should set information security requirements in its internal policies and procedures and within the cloud outsourcing written agreement and monitor compliance with these requirements on an ongoing basis, including to protect confidential, personal or otherwise sensitive data. These requirements should be proportionate to the nature, scale and complexity of the function that the firm outsources to the CSP and the risks inherent to this function.</v>
      </c>
      <c r="P358" s="6" t="str">
        <f>IF(ISNA(MATCH(349,'Transfer Engine'!$C$2:$C$1199,0)),"",HYPERLINK("#Acts!A"&amp;INDEX('Compliance Database'!$P$2:$P$1199,MATCH(349,'Transfer Engine'!$C$2:$C$1199,0)),"Go to Act"))</f>
        <v>Go to Act</v>
      </c>
    </row>
    <row r="359" spans="1:16" ht="172.95" customHeight="1" x14ac:dyDescent="0.3">
      <c r="A359" s="6" t="str">
        <f>IF(ISNA(MATCH(350,'Transfer Engine'!$C$2:$C$1199,0)),"",INDEX('Compliance Database'!$A$2:$A$1199,MATCH(350,'Transfer Engine'!$C$2:$C$1199,0)))</f>
        <v>GDPR</v>
      </c>
      <c r="B359" s="6" t="str">
        <f>IF(ISNA(MATCH(350,'Transfer Engine'!$C$2:$C$1199,0)),"",INDEX('Compliance Database'!$B$2:$B$1199,MATCH(350,'Transfer Engine'!$C$2:$C$1199,0)))</f>
        <v>esma_cloud_guidelines (GDPR - Row 8)</v>
      </c>
      <c r="C359" s="6" t="str">
        <f>IF(ISNA(MATCH(350,'Transfer Engine'!$C$2:$C$1199,0)),"",INDEX('Compliance Database'!$C$2:$C$1199,MATCH(350,'Transfer Engine'!$C$2:$C$1199,0)))</f>
        <v>30</v>
      </c>
      <c r="D359" s="7" t="str">
        <f>IF(ISNA(MATCH(350,'Transfer Engine'!$C$2:$C$1199,0)),"",INDEX('Compliance Database'!$D$2:$D$1199,MATCH(350,'Transfer Engine'!$C$2:$C$1199,0)))</f>
        <v>Information security requirements for critical functions</v>
      </c>
      <c r="E359" s="6" t="str">
        <f>IF(ISNA(MATCH(350,'Transfer Engine'!$C$2:$C$1199,0)),"",INDEX('Compliance Database'!$E$2:$E$1199,MATCH(350,'Transfer Engine'!$C$2:$C$1199,0)))</f>
        <v>16–17</v>
      </c>
      <c r="F359" s="6" t="str">
        <f>IF(ISNA(MATCH(350,'Transfer Engine'!$C$2:$C$1199,0)),"",INDEX('Compliance Database'!$F$2:$F$1199,MATCH(350,'Transfer Engine'!$C$2:$C$1199,0)))</f>
        <v>High</v>
      </c>
      <c r="G359" s="6" t="str">
        <f>IF(ISNA(MATCH(350,'Transfer Engine'!$C$2:$C$1199,0)),"",INDEX('Compliance Database'!$G$2:$G$1199,MATCH(350,'Transfer Engine'!$C$2:$C$1199,0)))</f>
        <v>High (explicit)</v>
      </c>
      <c r="H359" s="7" t="str">
        <f>IF(ISNA(MATCH(350,'Transfer Engine'!$C$2:$C$1199,0)),"",INDEX('Compliance Database'!$H$2:$H$1199,MATCH(350,'Transfer Engine'!$C$2:$C$1199,0)))</f>
        <v>Cloud Services, Security, Encryption, Access Control</v>
      </c>
      <c r="I359" s="7" t="str">
        <f>IF(ISNA(MATCH(350,'Transfer Engine'!$C$2:$C$1199,0)),"",INDEX('Compliance Database'!$I$2:$I$1199,MATCH(350,'Transfer Engine'!$C$2:$C$1199,0)))</f>
        <v>Personal Information</v>
      </c>
      <c r="J359" s="6" t="str">
        <f>IF(ISNA(MATCH(350,'Transfer Engine'!$C$2:$C$1199,0)),"",INDEX('Compliance Database'!$J$2:$J$1199,MATCH(350,'Transfer Engine'!$C$2:$C$1199,0)))</f>
        <v>ESMA</v>
      </c>
      <c r="K359" s="7" t="str">
        <f>IF(ISNA(MATCH(350,'Transfer Engine'!$C$2:$C$1199,0)),"",INDEX('Compliance Database'!$K$2:$K$1199,MATCH(350,'Transfer Engine'!$C$2:$C$1199,0)))</f>
        <v>For critical or important functions, firms must implement specific information security requirements in cloud outsourcing agreements. These include clear role allocation, strong authentication mechanisms, encryption for data in transit, memory, at rest, and backups, network segregation, secure API integrations, business continuity and disaster recovery controls, data location strategies, and compliance verification with internationally recognized standards. These measures ensure robust data protection and operational resilience.</v>
      </c>
      <c r="L359" s="7" t="str">
        <f>IF(ISNA(MATCH(350,'Transfer Engine'!$C$2:$C$1199,0)),"",INDEX('Compliance Database'!$L$2:$L$1199,MATCH(350,'Transfer Engine'!$C$2:$C$1199,0)))</f>
        <v>Specifies detailed security controls for critical cloud functions to mitigate risks and ensure data integrity during outsourcing.</v>
      </c>
      <c r="M359" s="7" t="str">
        <f>IF(ISNA(MATCH(350,'Transfer Engine'!$C$2:$C$1199,0)),"",INDEX('Compliance Database'!$M$2:$M$1199,MATCH(350,'Transfer Engine'!$C$2:$C$1199,0)))</f>
        <v>• [Must] Ensure clear allocation of information security roles and responsibilities
• [Must] Implement strong authentication mechanisms and access controls
• [Must] Use encryption technologies for data in transit, memory, at rest, and backups
• [Must] Implement appropriate key management solutions
• [Must] Ensure appropriate network availability and segregation</v>
      </c>
      <c r="N359" s="7" t="str">
        <f>IF(ISNA(MATCH(350,'Transfer Engine'!$C$2:$C$1199,0)),"",INDEX('Compliance Database'!$N$2:$N$1199,MATCH(350,'Transfer Engine'!$C$2:$C$1199,0)))</f>
        <v>• [Must] Secure application programming interfaces (APIs) with robust policies
• [Must] Ensure effective business continuity and disaster recovery controls
• [Must] Adopt a risk-based approach to data storage and processing locations
• [Must] Verify CSP compliance with internationally recognized security standards</v>
      </c>
      <c r="O359" s="7" t="str">
        <f>IF(ISNA(MATCH(350,'Transfer Engine'!$C$2:$C$1199,0)),"",INDEX('Compliance Database'!$O$2:$O$1199,MATCH(350,'Transfer Engine'!$C$2:$C$1199,0)))</f>
        <v>30. For that purpose, in case of outsourcing of critical or important functions, and without prejudice to the applicable requirements under GDPR, a firm, applying a risk-based approach, should at least: a) information security organisation: ensure that there is a clear allocation of information security roles and responsibilities between the firm and the CSP, including in relation to threat detection, incident management and patch management, and ensure that the CSP is effectively able to fulfil its roles and responsibilities; b) identity and access management: ensure that strong authentication mechanisms (for example multi-factor authentication) and access controls are in place with a view to prevent unauthorised access to the firm's data and back-end cloud resources; c) encryption and key management: ensure that relevant encryption technologies are used, where necessary, for data in transit, data in memory, data at rest and data back-ups, in combination with appropriate key management solutions to limit the risk of non-authorised access to the encryption keys; in particular, the firm should consider state-of-the-art technology and processes when selecting its key management solution; d) operations and network security: consider appropriate levels of network availability, network segregation (for example tenant isolation in the shared environment of the cloud, operational separation as regards the web, application logic, operating system, network, Data Base Management System (DBMS) and storage layers) and processing environments (for example test, User Acceptance Testing, development, production); e) application programming interfaces (API): consider mechanisms for the integration of the cloud services with the systems of the firm to ensure security of APIs (for example establishing and maintaining information security policies and procedures for APIs across multiple system interfaces, jurisdictions, and business functions to prevent unauthorised disclosure, modification or destruction of data); f) business continuity and disaster recovery: ensure that effective business continuity and disaster recovery controls are in place (for example by setting minimum capacity requirements, selecting hosting options that are geographically spread, with the capability to switch from one to the other, or requesting and reviewing documentation showing the transport route of the firm's data among the CSP's systems, as well as considering the possibility to replicate machine images to an independent storage location, which is sufficiently isolated from the network or taken offline); g) data location: adopt a risk-based approach to data storage and data processing location(s) (namely regions or countries); h) compliance &amp; monitoring: verify that the CSP complies with internationally recognised information security standards and has implemented appropriate information security controls (for example by requesting the CSP to provide evidence that it conducts relevant information security reviews and by performing regular assessments and tests on the CSP's information security arrangements).</v>
      </c>
      <c r="P359" s="6" t="str">
        <f>IF(ISNA(MATCH(350,'Transfer Engine'!$C$2:$C$1199,0)),"",HYPERLINK("#Acts!A"&amp;INDEX('Compliance Database'!$P$2:$P$1199,MATCH(350,'Transfer Engine'!$C$2:$C$1199,0)),"Go to Act"))</f>
        <v>Go to Act</v>
      </c>
    </row>
    <row r="360" spans="1:16" ht="172.95" customHeight="1" x14ac:dyDescent="0.3">
      <c r="A360" s="6" t="str">
        <f>IF(ISNA(MATCH(351,'Transfer Engine'!$C$2:$C$1199,0)),"",INDEX('Compliance Database'!$A$2:$A$1199,MATCH(351,'Transfer Engine'!$C$2:$C$1199,0)))</f>
        <v>GDPR</v>
      </c>
      <c r="B360" s="6" t="str">
        <f>IF(ISNA(MATCH(351,'Transfer Engine'!$C$2:$C$1199,0)),"",INDEX('Compliance Database'!$B$2:$B$1199,MATCH(351,'Transfer Engine'!$C$2:$C$1199,0)))</f>
        <v>esma_cloud_guidelines (GDPR - Row 8)</v>
      </c>
      <c r="C360" s="6" t="str">
        <f>IF(ISNA(MATCH(351,'Transfer Engine'!$C$2:$C$1199,0)),"",INDEX('Compliance Database'!$C$2:$C$1199,MATCH(351,'Transfer Engine'!$C$2:$C$1199,0)))</f>
        <v>31</v>
      </c>
      <c r="D360" s="7" t="str">
        <f>IF(ISNA(MATCH(351,'Transfer Engine'!$C$2:$C$1199,0)),"",INDEX('Compliance Database'!$D$2:$D$1199,MATCH(351,'Transfer Engine'!$C$2:$C$1199,0)))</f>
        <v>Exit strategy for cloud outsourcing</v>
      </c>
      <c r="E360" s="6" t="str">
        <f>IF(ISNA(MATCH(351,'Transfer Engine'!$C$2:$C$1199,0)),"",INDEX('Compliance Database'!$E$2:$E$1199,MATCH(351,'Transfer Engine'!$C$2:$C$1199,0)))</f>
        <v>17</v>
      </c>
      <c r="F360" s="6" t="str">
        <f>IF(ISNA(MATCH(351,'Transfer Engine'!$C$2:$C$1199,0)),"",INDEX('Compliance Database'!$F$2:$F$1199,MATCH(351,'Transfer Engine'!$C$2:$C$1199,0)))</f>
        <v>High</v>
      </c>
      <c r="G360" s="6" t="str">
        <f>IF(ISNA(MATCH(351,'Transfer Engine'!$C$2:$C$1199,0)),"",INDEX('Compliance Database'!$G$2:$G$1199,MATCH(351,'Transfer Engine'!$C$2:$C$1199,0)))</f>
        <v>High (explicit)</v>
      </c>
      <c r="H360" s="7" t="str">
        <f>IF(ISNA(MATCH(351,'Transfer Engine'!$C$2:$C$1199,0)),"",INDEX('Compliance Database'!$H$2:$H$1199,MATCH(351,'Transfer Engine'!$C$2:$C$1199,0)))</f>
        <v>Cloud Services</v>
      </c>
      <c r="I360" s="7" t="str">
        <f>IF(ISNA(MATCH(351,'Transfer Engine'!$C$2:$C$1199,0)),"",INDEX('Compliance Database'!$I$2:$I$1199,MATCH(351,'Transfer Engine'!$C$2:$C$1199,0)))</f>
        <v>Personal Information</v>
      </c>
      <c r="J360" s="6" t="str">
        <f>IF(ISNA(MATCH(351,'Transfer Engine'!$C$2:$C$1199,0)),"",INDEX('Compliance Database'!$J$2:$J$1199,MATCH(351,'Transfer Engine'!$C$2:$C$1199,0)))</f>
        <v>ESMA</v>
      </c>
      <c r="K360" s="7" t="str">
        <f>IF(ISNA(MATCH(351,'Transfer Engine'!$C$2:$C$1199,0)),"",INDEX('Compliance Database'!$K$2:$K$1199,MATCH(351,'Transfer Engine'!$C$2:$C$1199,0)))</f>
        <v>Firms must develop comprehensive exit plans for cloud outsourcing arrangements to ensure seamless transition without business disruption or compliance detriment. These plans must cover documented exit strategies, alternative solutions, transition protocols, and contractual obligations for data transfer. The exit strategy must maintain data confidentiality, integrity, and availability while complying with applicable legislation.</v>
      </c>
      <c r="L360" s="7" t="str">
        <f>IF(ISNA(MATCH(351,'Transfer Engine'!$C$2:$C$1199,0)),"",INDEX('Compliance Database'!$L$2:$L$1199,MATCH(351,'Transfer Engine'!$C$2:$C$1199,0)))</f>
        <v>Requires firms to prepare exit strategies for cloud providers to ensure data continuity and regulatory compliance during transitions.</v>
      </c>
      <c r="M360" s="7" t="str">
        <f>IF(ISNA(MATCH(351,'Transfer Engine'!$C$2:$C$1199,0)),"",INDEX('Compliance Database'!$M$2:$M$1199,MATCH(351,'Transfer Engine'!$C$2:$C$1199,0)))</f>
        <v>• [Must] Develop comprehensive, documented, and tested exit plans
• [Must] Identify alternative solutions and develop transition plans for data transfer</v>
      </c>
      <c r="N360" s="7" t="str">
        <f>IF(ISNA(MATCH(351,'Transfer Engine'!$C$2:$C$1199,0)),"",INDEX('Compliance Database'!$N$2:$N$1199,MATCH(351,'Transfer Engine'!$C$2:$C$1199,0)))</f>
        <v>• [Must] Ensure cloud outsourcing agreements include obligations for CSP to support orderly data transfer
• [Must] Include secure data deletion from CSP and sub-outsourcers</v>
      </c>
      <c r="O360" s="7" t="str">
        <f>IF(ISNA(MATCH(351,'Transfer Engine'!$C$2:$C$1199,0)),"",INDEX('Compliance Database'!$O$2:$O$1199,MATCH(351,'Transfer Engine'!$C$2:$C$1199,0)))</f>
        <v>31. In case of outsourcing of critical or important functions, a firm should ensure that it is able to exit the cloud outsourcing arrangement without undue disruption to its business activities and services to its clients, and without any detriment to its compliance with its obligations under the applicable legislation, as well as the confidentiality, integrity and availability of its data. For that purpose, a firm should: a) develop exit plans that are comprehensive, documented and sufficiently tested. These plans should be updated as needed, including in case of changes in the outsourced function; b) identify alternative solutions and develop transition plans to remove the outsourced function and data from the CSP and, where applicable, any sub-outsourcer, and transfer them to the alternative CSP indicated by the firm or directly back to the firm. These solutions should be defined with regard to the challenges that may arise from the location of the data, taking the necessary measures to ensure business continuity during the transition phase; c) ensure that the cloud outsourcing written agreement includes an obligation for the CSP to support the orderly transfer of the outsourced function, and the related processing of data, from the CSP and any sub-outsourcer to another CSP indicated by the firm or directly to the firm in case the firm activates the exit strategy. The obligation to support the orderly transfer of the outsourced function, and the related treatment of data, should include where relevant the secure deletion of the data from the systems of the CSP and any sub-outsourcer.</v>
      </c>
      <c r="P360" s="6" t="str">
        <f>IF(ISNA(MATCH(351,'Transfer Engine'!$C$2:$C$1199,0)),"",HYPERLINK("#Acts!A"&amp;INDEX('Compliance Database'!$P$2:$P$1199,MATCH(351,'Transfer Engine'!$C$2:$C$1199,0)),"Go to Act"))</f>
        <v>Go to Act</v>
      </c>
    </row>
    <row r="361" spans="1:16" ht="172.95" customHeight="1" x14ac:dyDescent="0.3">
      <c r="A361" s="6" t="str">
        <f>IF(ISNA(MATCH(352,'Transfer Engine'!$C$2:$C$1199,0)),"",INDEX('Compliance Database'!$A$2:$A$1199,MATCH(352,'Transfer Engine'!$C$2:$C$1199,0)))</f>
        <v>GDPR</v>
      </c>
      <c r="B361" s="6" t="str">
        <f>IF(ISNA(MATCH(352,'Transfer Engine'!$C$2:$C$1199,0)),"",INDEX('Compliance Database'!$B$2:$B$1199,MATCH(352,'Transfer Engine'!$C$2:$C$1199,0)))</f>
        <v>esma_cloud_guidelines (GDPR - Row 8)</v>
      </c>
      <c r="C361" s="6" t="str">
        <f>IF(ISNA(MATCH(352,'Transfer Engine'!$C$2:$C$1199,0)),"",INDEX('Compliance Database'!$C$2:$C$1199,MATCH(352,'Transfer Engine'!$C$2:$C$1199,0)))</f>
        <v>32</v>
      </c>
      <c r="D361" s="7" t="str">
        <f>IF(ISNA(MATCH(352,'Transfer Engine'!$C$2:$C$1199,0)),"",INDEX('Compliance Database'!$D$2:$D$1199,MATCH(352,'Transfer Engine'!$C$2:$C$1199,0)))</f>
        <v>Exit strategy development requirements</v>
      </c>
      <c r="E361" s="6" t="str">
        <f>IF(ISNA(MATCH(352,'Transfer Engine'!$C$2:$C$1199,0)),"",INDEX('Compliance Database'!$E$2:$E$1199,MATCH(352,'Transfer Engine'!$C$2:$C$1199,0)))</f>
        <v>17–18</v>
      </c>
      <c r="F361" s="6" t="str">
        <f>IF(ISNA(MATCH(352,'Transfer Engine'!$C$2:$C$1199,0)),"",INDEX('Compliance Database'!$F$2:$F$1199,MATCH(352,'Transfer Engine'!$C$2:$C$1199,0)))</f>
        <v>High</v>
      </c>
      <c r="G361" s="6" t="str">
        <f>IF(ISNA(MATCH(352,'Transfer Engine'!$C$2:$C$1199,0)),"",INDEX('Compliance Database'!$G$2:$G$1199,MATCH(352,'Transfer Engine'!$C$2:$C$1199,0)))</f>
        <v>High (explicit)</v>
      </c>
      <c r="H361" s="7" t="str">
        <f>IF(ISNA(MATCH(352,'Transfer Engine'!$C$2:$C$1199,0)),"",INDEX('Compliance Database'!$H$2:$H$1199,MATCH(352,'Transfer Engine'!$C$2:$C$1199,0)))</f>
        <v>Cloud Services</v>
      </c>
      <c r="I361" s="7" t="str">
        <f>IF(ISNA(MATCH(352,'Transfer Engine'!$C$2:$C$1199,0)),"",INDEX('Compliance Database'!$I$2:$I$1199,MATCH(352,'Transfer Engine'!$C$2:$C$1199,0)))</f>
        <v>Personal Information</v>
      </c>
      <c r="J361" s="6" t="str">
        <f>IF(ISNA(MATCH(352,'Transfer Engine'!$C$2:$C$1199,0)),"",INDEX('Compliance Database'!$J$2:$J$1199,MATCH(352,'Transfer Engine'!$C$2:$C$1199,0)))</f>
        <v>ESMA</v>
      </c>
      <c r="K361" s="7" t="str">
        <f>IF(ISNA(MATCH(352,'Transfer Engine'!$C$2:$C$1199,0)),"",INDEX('Compliance Database'!$K$2:$K$1199,MATCH(352,'Transfer Engine'!$C$2:$C$1199,0)))</f>
        <v>Firms must define specific elements for exit strategies, including objectives, trigger events, business impact analysis, role assignments, testing procedures, and success criteria. These elements ensure the exit strategy is practical, timely, and aligned with the firm's operational needs and regulatory obligations.</v>
      </c>
      <c r="L361" s="7" t="str">
        <f>IF(ISNA(MATCH(352,'Transfer Engine'!$C$2:$C$1199,0)),"",INDEX('Compliance Database'!$L$2:$L$1199,MATCH(352,'Transfer Engine'!$C$2:$C$1199,0)))</f>
        <v>Details the components necessary for effective exit strategies to minimize disruption during cloud service transitions.</v>
      </c>
      <c r="M361" s="7" t="str">
        <f>IF(ISNA(MATCH(352,'Transfer Engine'!$C$2:$C$1199,0)),"",INDEX('Compliance Database'!$M$2:$M$1199,MATCH(352,'Transfer Engine'!$C$2:$C$1199,0)))</f>
        <v>• [Must] Define objectives of the exit strategy
• Define trigger events for exit strategy activation
• [Must] Perform business impact analysis for the outsourced function</v>
      </c>
      <c r="N361" s="7" t="str">
        <f>IF(ISNA(MATCH(352,'Transfer Engine'!$C$2:$C$1199,0)),"",INDEX('Compliance Database'!$N$2:$N$1199,MATCH(352,'Transfer Engine'!$C$2:$C$1199,0)))</f>
        <v>• [Must] Assign roles and responsibilities for exit strategy management
• [Must] Test the exit strategy using a risk-based approach
• [Must] Define success criteria for the transition</v>
      </c>
      <c r="O361" s="7" t="str">
        <f>IF(ISNA(MATCH(352,'Transfer Engine'!$C$2:$C$1199,0)),"",INDEX('Compliance Database'!$O$2:$O$1199,MATCH(352,'Transfer Engine'!$C$2:$C$1199,0)))</f>
        <v>32. When developing the exit plans and solutions referred to in points (a) and (b) above ('exit strategy'), the firm should consider the following: a) define the objectives of the exit strategy; b) define the trigger events that could activate the exit strategy. These should include at least the termination of the cloud outsourcing arrangement at the initiative of the firm or the CSP and the failure or other serious discontinuation of the business activity of the CSP; c) perform a business impact analysis that is commensurate to the function outsourced to identify what human and other resources would be required to implement the exit strategy; d) assign roles and responsibilities to manage the exit strategy; e) test the appropriateness of the exit strategy, using a risk-based approach, (for example, by carrying out an analysis of the potential costs, impact, resources and timing implications of transferring an outsourced service to an alternative provider); f) define success criteria of the transition.</v>
      </c>
      <c r="P361" s="6" t="str">
        <f>IF(ISNA(MATCH(352,'Transfer Engine'!$C$2:$C$1199,0)),"",HYPERLINK("#Acts!A"&amp;INDEX('Compliance Database'!$P$2:$P$1199,MATCH(352,'Transfer Engine'!$C$2:$C$1199,0)),"Go to Act"))</f>
        <v>Go to Act</v>
      </c>
    </row>
    <row r="362" spans="1:16" ht="172.95" customHeight="1" x14ac:dyDescent="0.3">
      <c r="A362" s="6" t="str">
        <f>IF(ISNA(MATCH(353,'Transfer Engine'!$C$2:$C$1199,0)),"",INDEX('Compliance Database'!$A$2:$A$1199,MATCH(353,'Transfer Engine'!$C$2:$C$1199,0)))</f>
        <v>GDPR</v>
      </c>
      <c r="B362" s="6" t="str">
        <f>IF(ISNA(MATCH(353,'Transfer Engine'!$C$2:$C$1199,0)),"",INDEX('Compliance Database'!$B$2:$B$1199,MATCH(353,'Transfer Engine'!$C$2:$C$1199,0)))</f>
        <v>esma_cloud_guidelines (GDPR - Row 8)</v>
      </c>
      <c r="C362" s="6" t="str">
        <f>IF(ISNA(MATCH(353,'Transfer Engine'!$C$2:$C$1199,0)),"",INDEX('Compliance Database'!$C$2:$C$1199,MATCH(353,'Transfer Engine'!$C$2:$C$1199,0)))</f>
        <v>33</v>
      </c>
      <c r="D362" s="7" t="str">
        <f>IF(ISNA(MATCH(353,'Transfer Engine'!$C$2:$C$1199,0)),"",INDEX('Compliance Database'!$D$2:$D$1199,MATCH(353,'Transfer Engine'!$C$2:$C$1199,0)))</f>
        <v>Exit strategy trigger events for cloud services monitoring</v>
      </c>
      <c r="E362" s="6" t="str">
        <f>IF(ISNA(MATCH(353,'Transfer Engine'!$C$2:$C$1199,0)),"",INDEX('Compliance Database'!$E$2:$E$1199,MATCH(353,'Transfer Engine'!$C$2:$C$1199,0)))</f>
        <v>18</v>
      </c>
      <c r="F362" s="6" t="str">
        <f>IF(ISNA(MATCH(353,'Transfer Engine'!$C$2:$C$1199,0)),"",INDEX('Compliance Database'!$F$2:$F$1199,MATCH(353,'Transfer Engine'!$C$2:$C$1199,0)))</f>
        <v>Medium</v>
      </c>
      <c r="G362" s="6" t="str">
        <f>IF(ISNA(MATCH(353,'Transfer Engine'!$C$2:$C$1199,0)),"",INDEX('Compliance Database'!$G$2:$G$1199,MATCH(353,'Transfer Engine'!$C$2:$C$1199,0)))</f>
        <v>High (explicit)</v>
      </c>
      <c r="H362" s="7" t="str">
        <f>IF(ISNA(MATCH(353,'Transfer Engine'!$C$2:$C$1199,0)),"",INDEX('Compliance Database'!$H$2:$H$1199,MATCH(353,'Transfer Engine'!$C$2:$C$1199,0)))</f>
        <v>Cloud Services</v>
      </c>
      <c r="I362" s="7" t="str">
        <f>IF(ISNA(MATCH(353,'Transfer Engine'!$C$2:$C$1199,0)),"",INDEX('Compliance Database'!$I$2:$I$1199,MATCH(353,'Transfer Engine'!$C$2:$C$1199,0)))</f>
        <v>Customer Data</v>
      </c>
      <c r="J362" s="6">
        <f>IF(ISNA(MATCH(353,'Transfer Engine'!$C$2:$C$1199,0)),"",INDEX('Compliance Database'!$J$2:$J$1199,MATCH(353,'Transfer Engine'!$C$2:$C$1199,0)))</f>
        <v>0</v>
      </c>
      <c r="K362" s="7" t="str">
        <f>IF(ISNA(MATCH(353,'Transfer Engine'!$C$2:$C$1199,0)),"",INDEX('Compliance Database'!$K$2:$K$1199,MATCH(353,'Transfer Engine'!$C$2:$C$1199,0)))</f>
        <v>Firms must include indicators of trigger events for their exit strategy within ongoing monitoring of cloud service providers under outsourcing arrangements. These indicators are part of the firm's oversight mechanisms to ensure readiness for potential termination of the cloud service contract. The requirement applies to firms outsourcing cloud services to service providers.</v>
      </c>
      <c r="L362" s="7" t="str">
        <f>IF(ISNA(MATCH(353,'Transfer Engine'!$C$2:$C$1199,0)),"",INDEX('Compliance Database'!$L$2:$L$1199,MATCH(353,'Transfer Engine'!$C$2:$C$1199,0)))</f>
        <v>This section requires firms to define specific triggers for exiting cloud arrangements, which is critical for DTIAs to assess exit risks and ensure data portability in case of service termination.</v>
      </c>
      <c r="M362" s="7" t="str">
        <f>IF(ISNA(MATCH(353,'Transfer Engine'!$C$2:$C$1199,0)),"",INDEX('Compliance Database'!$M$2:$M$1199,MATCH(353,'Transfer Engine'!$C$2:$C$1199,0)))</f>
        <v>• [Must] Include indicators of trigger events for exit strategy in ongoing monitoring of cloud services</v>
      </c>
      <c r="N362" s="7">
        <f>IF(ISNA(MATCH(353,'Transfer Engine'!$C$2:$C$1199,0)),"",INDEX('Compliance Database'!$N$2:$N$1199,MATCH(353,'Transfer Engine'!$C$2:$C$1199,0)))</f>
        <v>0</v>
      </c>
      <c r="O362" s="7" t="str">
        <f>IF(ISNA(MATCH(353,'Transfer Engine'!$C$2:$C$1199,0)),"",INDEX('Compliance Database'!$O$2:$O$1199,MATCH(353,'Transfer Engine'!$C$2:$C$1199,0)))</f>
        <v>A firm should include indicators of the trigger events of the exit strategy in its ongoing monitoring and oversight of the services provided by the CSP under the cloud outsourcing arrangement.</v>
      </c>
      <c r="P362" s="6" t="str">
        <f>IF(ISNA(MATCH(353,'Transfer Engine'!$C$2:$C$1199,0)),"",HYPERLINK("#Acts!A"&amp;INDEX('Compliance Database'!$P$2:$P$1199,MATCH(353,'Transfer Engine'!$C$2:$C$1199,0)),"Go to Act"))</f>
        <v>Go to Act</v>
      </c>
    </row>
    <row r="363" spans="1:16" ht="172.95" customHeight="1" x14ac:dyDescent="0.3">
      <c r="A363" s="6" t="str">
        <f>IF(ISNA(MATCH(354,'Transfer Engine'!$C$2:$C$1199,0)),"",INDEX('Compliance Database'!$A$2:$A$1199,MATCH(354,'Transfer Engine'!$C$2:$C$1199,0)))</f>
        <v>GDPR</v>
      </c>
      <c r="B363" s="6" t="str">
        <f>IF(ISNA(MATCH(354,'Transfer Engine'!$C$2:$C$1199,0)),"",INDEX('Compliance Database'!$B$2:$B$1199,MATCH(354,'Transfer Engine'!$C$2:$C$1199,0)))</f>
        <v>esma_cloud_guidelines (GDPR - Row 8)</v>
      </c>
      <c r="C363" s="6" t="str">
        <f>IF(ISNA(MATCH(354,'Transfer Engine'!$C$2:$C$1199,0)),"",INDEX('Compliance Database'!$C$2:$C$1199,MATCH(354,'Transfer Engine'!$C$2:$C$1199,0)))</f>
        <v>34</v>
      </c>
      <c r="D363" s="7" t="str">
        <f>IF(ISNA(MATCH(354,'Transfer Engine'!$C$2:$C$1199,0)),"",INDEX('Compliance Database'!$D$2:$D$1199,MATCH(354,'Transfer Engine'!$C$2:$C$1199,0)))</f>
        <v>Cloud agreements must not restrict access and audit rights</v>
      </c>
      <c r="E363" s="6" t="str">
        <f>IF(ISNA(MATCH(354,'Transfer Engine'!$C$2:$C$1199,0)),"",INDEX('Compliance Database'!$E$2:$E$1199,MATCH(354,'Transfer Engine'!$C$2:$C$1199,0)))</f>
        <v>18</v>
      </c>
      <c r="F363" s="6" t="str">
        <f>IF(ISNA(MATCH(354,'Transfer Engine'!$C$2:$C$1199,0)),"",INDEX('Compliance Database'!$F$2:$F$1199,MATCH(354,'Transfer Engine'!$C$2:$C$1199,0)))</f>
        <v>Medium</v>
      </c>
      <c r="G363" s="6" t="str">
        <f>IF(ISNA(MATCH(354,'Transfer Engine'!$C$2:$C$1199,0)),"",INDEX('Compliance Database'!$G$2:$G$1199,MATCH(354,'Transfer Engine'!$C$2:$C$1199,0)))</f>
        <v>High (explicit)</v>
      </c>
      <c r="H363" s="7" t="str">
        <f>IF(ISNA(MATCH(354,'Transfer Engine'!$C$2:$C$1199,0)),"",INDEX('Compliance Database'!$H$2:$H$1199,MATCH(354,'Transfer Engine'!$C$2:$C$1199,0)))</f>
        <v>Cloud Services</v>
      </c>
      <c r="I363" s="7" t="str">
        <f>IF(ISNA(MATCH(354,'Transfer Engine'!$C$2:$C$1199,0)),"",INDEX('Compliance Database'!$I$2:$I$1199,MATCH(354,'Transfer Engine'!$C$2:$C$1199,0)))</f>
        <v>Customer Data</v>
      </c>
      <c r="J363" s="6">
        <f>IF(ISNA(MATCH(354,'Transfer Engine'!$C$2:$C$1199,0)),"",INDEX('Compliance Database'!$J$2:$J$1199,MATCH(354,'Transfer Engine'!$C$2:$C$1199,0)))</f>
        <v>0</v>
      </c>
      <c r="K363" s="7" t="str">
        <f>IF(ISNA(MATCH(354,'Transfer Engine'!$C$2:$C$1199,0)),"",INDEX('Compliance Database'!$K$2:$K$1199,MATCH(354,'Transfer Engine'!$C$2:$C$1199,0)))</f>
        <v>Firms must ensure that cloud outsourcing agreements do not restrict their ability to exercise access and audit rights, as well as oversight options over the cloud service provider. This requirement applies to firms and their competent authorities when conducting audits of cloud service providers.</v>
      </c>
      <c r="L363" s="7" t="str">
        <f>IF(ISNA(MATCH(354,'Transfer Engine'!$C$2:$C$1199,0)),"",INDEX('Compliance Database'!$L$2:$L$1199,MATCH(354,'Transfer Engine'!$C$2:$C$1199,0)))</f>
        <v>This section ensures that firms retain necessary access and audit rights in cloud arrangements, which is vital for DTIAs to verify compliance with data protection and security obligations across borders.</v>
      </c>
      <c r="M363" s="7" t="str">
        <f>IF(ISNA(MATCH(354,'Transfer Engine'!$C$2:$C$1199,0)),"",INDEX('Compliance Database'!$M$2:$M$1199,MATCH(354,'Transfer Engine'!$C$2:$C$1199,0)))</f>
        <v>• [Must] Cloud outsourcing written agreement must not limit firm's and competent authority's access and audit rights</v>
      </c>
      <c r="N363" s="7">
        <f>IF(ISNA(MATCH(354,'Transfer Engine'!$C$2:$C$1199,0)),"",INDEX('Compliance Database'!$N$2:$N$1199,MATCH(354,'Transfer Engine'!$C$2:$C$1199,0)))</f>
        <v>0</v>
      </c>
      <c r="O363" s="7" t="str">
        <f>IF(ISNA(MATCH(354,'Transfer Engine'!$C$2:$C$1199,0)),"",INDEX('Compliance Database'!$O$2:$O$1199,MATCH(354,'Transfer Engine'!$C$2:$C$1199,0)))</f>
        <v>A firm should ensure that the cloud outsourcing written agreement does not limit the firm's and competent authority's effective exercise of the access and audit rights and oversight options on the CSP.</v>
      </c>
      <c r="P363" s="6" t="str">
        <f>IF(ISNA(MATCH(354,'Transfer Engine'!$C$2:$C$1199,0)),"",HYPERLINK("#Acts!A"&amp;INDEX('Compliance Database'!$P$2:$P$1199,MATCH(354,'Transfer Engine'!$C$2:$C$1199,0)),"Go to Act"))</f>
        <v>Go to Act</v>
      </c>
    </row>
    <row r="364" spans="1:16" ht="172.95" customHeight="1" x14ac:dyDescent="0.3">
      <c r="A364" s="6" t="str">
        <f>IF(ISNA(MATCH(355,'Transfer Engine'!$C$2:$C$1199,0)),"",INDEX('Compliance Database'!$A$2:$A$1199,MATCH(355,'Transfer Engine'!$C$2:$C$1199,0)))</f>
        <v>GDPR</v>
      </c>
      <c r="B364" s="6" t="str">
        <f>IF(ISNA(MATCH(355,'Transfer Engine'!$C$2:$C$1199,0)),"",INDEX('Compliance Database'!$B$2:$B$1199,MATCH(355,'Transfer Engine'!$C$2:$C$1199,0)))</f>
        <v>esma_cloud_guidelines (GDPR - Row 8)</v>
      </c>
      <c r="C364" s="6" t="str">
        <f>IF(ISNA(MATCH(355,'Transfer Engine'!$C$2:$C$1199,0)),"",INDEX('Compliance Database'!$C$2:$C$1199,MATCH(355,'Transfer Engine'!$C$2:$C$1199,0)))</f>
        <v>35</v>
      </c>
      <c r="D364" s="7" t="str">
        <f>IF(ISNA(MATCH(355,'Transfer Engine'!$C$2:$C$1199,0)),"",INDEX('Compliance Database'!$D$2:$D$1199,MATCH(355,'Transfer Engine'!$C$2:$C$1199,0)))</f>
        <v>Audit scope considerations for critical cloud functions</v>
      </c>
      <c r="E364" s="6" t="str">
        <f>IF(ISNA(MATCH(355,'Transfer Engine'!$C$2:$C$1199,0)),"",INDEX('Compliance Database'!$E$2:$E$1199,MATCH(355,'Transfer Engine'!$C$2:$C$1199,0)))</f>
        <v>18</v>
      </c>
      <c r="F364" s="6" t="str">
        <f>IF(ISNA(MATCH(355,'Transfer Engine'!$C$2:$C$1199,0)),"",INDEX('Compliance Database'!$F$2:$F$1199,MATCH(355,'Transfer Engine'!$C$2:$C$1199,0)))</f>
        <v>Medium</v>
      </c>
      <c r="G364" s="6" t="str">
        <f>IF(ISNA(MATCH(355,'Transfer Engine'!$C$2:$C$1199,0)),"",INDEX('Compliance Database'!$G$2:$G$1199,MATCH(355,'Transfer Engine'!$C$2:$C$1199,0)))</f>
        <v>High (explicit)</v>
      </c>
      <c r="H364" s="7" t="str">
        <f>IF(ISNA(MATCH(355,'Transfer Engine'!$C$2:$C$1199,0)),"",INDEX('Compliance Database'!$H$2:$H$1199,MATCH(355,'Transfer Engine'!$C$2:$C$1199,0)))</f>
        <v>Cloud Services</v>
      </c>
      <c r="I364" s="7" t="str">
        <f>IF(ISNA(MATCH(355,'Transfer Engine'!$C$2:$C$1199,0)),"",INDEX('Compliance Database'!$I$2:$I$1199,MATCH(355,'Transfer Engine'!$C$2:$C$1199,0)))</f>
        <v>Customer Data</v>
      </c>
      <c r="J364" s="6">
        <f>IF(ISNA(MATCH(355,'Transfer Engine'!$C$2:$C$1199,0)),"",INDEX('Compliance Database'!$J$2:$J$1199,MATCH(355,'Transfer Engine'!$C$2:$C$1199,0)))</f>
        <v>0</v>
      </c>
      <c r="K364" s="7" t="str">
        <f>IF(ISNA(MATCH(355,'Transfer Engine'!$C$2:$C$1199,0)),"",INDEX('Compliance Database'!$K$2:$K$1199,MATCH(355,'Transfer Engine'!$C$2:$C$1199,0)))</f>
        <v>Firms must ensure that audit frequency, scope, and services audited take into account whether cloud outsourcing relates to critical or important functions, as well as the risks and impact on the firm from the cloud arrangement. This requirement applies to firms conducting audits of cloud service providers.</v>
      </c>
      <c r="L364" s="7" t="str">
        <f>IF(ISNA(MATCH(355,'Transfer Engine'!$C$2:$C$1199,0)),"",INDEX('Compliance Database'!$L$2:$L$1199,MATCH(355,'Transfer Engine'!$C$2:$C$1199,0)))</f>
        <v>This section mandates that firms tailor audit scope to critical functions, which is essential for DTIAs to assess risk levels in cloud data transfers and ensure adequate oversight for sensitive data.</v>
      </c>
      <c r="M364" s="7" t="str">
        <f>IF(ISNA(MATCH(355,'Transfer Engine'!$C$2:$C$1199,0)),"",INDEX('Compliance Database'!$M$2:$M$1199,MATCH(355,'Transfer Engine'!$C$2:$C$1199,0)))</f>
        <v>• [Must] Audit frequency and scope must consider critical/important functions and associated risks</v>
      </c>
      <c r="N364" s="7">
        <f>IF(ISNA(MATCH(355,'Transfer Engine'!$C$2:$C$1199,0)),"",INDEX('Compliance Database'!$N$2:$N$1199,MATCH(355,'Transfer Engine'!$C$2:$C$1199,0)))</f>
        <v>0</v>
      </c>
      <c r="O364" s="7" t="str">
        <f>IF(ISNA(MATCH(355,'Transfer Engine'!$C$2:$C$1199,0)),"",INDEX('Compliance Database'!$O$2:$O$1199,MATCH(355,'Transfer Engine'!$C$2:$C$1199,0)))</f>
        <v>A firm should ensure that the exercise of the access and audit rights (for example, the audit frequency and the areas and services to be audited) takes into consideration whether the outsourcing is related to a critical or important function, as well as the nature and extent of the risks and impact arising from the cloud outsourcing arrangement on the firm.</v>
      </c>
      <c r="P364" s="6" t="str">
        <f>IF(ISNA(MATCH(355,'Transfer Engine'!$C$2:$C$1199,0)),"",HYPERLINK("#Acts!A"&amp;INDEX('Compliance Database'!$P$2:$P$1199,MATCH(355,'Transfer Engine'!$C$2:$C$1199,0)),"Go to Act"))</f>
        <v>Go to Act</v>
      </c>
    </row>
    <row r="365" spans="1:16" ht="172.95" customHeight="1" x14ac:dyDescent="0.3">
      <c r="A365" s="6" t="str">
        <f>IF(ISNA(MATCH(356,'Transfer Engine'!$C$2:$C$1199,0)),"",INDEX('Compliance Database'!$A$2:$A$1199,MATCH(356,'Transfer Engine'!$C$2:$C$1199,0)))</f>
        <v>GDPR</v>
      </c>
      <c r="B365" s="6" t="str">
        <f>IF(ISNA(MATCH(356,'Transfer Engine'!$C$2:$C$1199,0)),"",INDEX('Compliance Database'!$B$2:$B$1199,MATCH(356,'Transfer Engine'!$C$2:$C$1199,0)))</f>
        <v>esma_cloud_guidelines (GDPR - Row 8)</v>
      </c>
      <c r="C365" s="6" t="str">
        <f>IF(ISNA(MATCH(356,'Transfer Engine'!$C$2:$C$1199,0)),"",INDEX('Compliance Database'!$C$2:$C$1199,MATCH(356,'Transfer Engine'!$C$2:$C$1199,0)))</f>
        <v>36</v>
      </c>
      <c r="D365" s="7" t="str">
        <f>IF(ISNA(MATCH(356,'Transfer Engine'!$C$2:$C$1199,0)),"",INDEX('Compliance Database'!$D$2:$D$1199,MATCH(356,'Transfer Engine'!$C$2:$C$1199,0)))</f>
        <v>Risk mitigation for audit activities in cloud services</v>
      </c>
      <c r="E365" s="6" t="str">
        <f>IF(ISNA(MATCH(356,'Transfer Engine'!$C$2:$C$1199,0)),"",INDEX('Compliance Database'!$E$2:$E$1199,MATCH(356,'Transfer Engine'!$C$2:$C$1199,0)))</f>
        <v>18</v>
      </c>
      <c r="F365" s="6" t="str">
        <f>IF(ISNA(MATCH(356,'Transfer Engine'!$C$2:$C$1199,0)),"",INDEX('Compliance Database'!$F$2:$F$1199,MATCH(356,'Transfer Engine'!$C$2:$C$1199,0)))</f>
        <v>Medium</v>
      </c>
      <c r="G365" s="6" t="str">
        <f>IF(ISNA(MATCH(356,'Transfer Engine'!$C$2:$C$1199,0)),"",INDEX('Compliance Database'!$G$2:$G$1199,MATCH(356,'Transfer Engine'!$C$2:$C$1199,0)))</f>
        <v>High (explicit)</v>
      </c>
      <c r="H365" s="7" t="str">
        <f>IF(ISNA(MATCH(356,'Transfer Engine'!$C$2:$C$1199,0)),"",INDEX('Compliance Database'!$H$2:$H$1199,MATCH(356,'Transfer Engine'!$C$2:$C$1199,0)))</f>
        <v>Cloud Services</v>
      </c>
      <c r="I365" s="7" t="str">
        <f>IF(ISNA(MATCH(356,'Transfer Engine'!$C$2:$C$1199,0)),"",INDEX('Compliance Database'!$I$2:$I$1199,MATCH(356,'Transfer Engine'!$C$2:$C$1199,0)))</f>
        <v>Customer Data</v>
      </c>
      <c r="J365" s="6">
        <f>IF(ISNA(MATCH(356,'Transfer Engine'!$C$2:$C$1199,0)),"",INDEX('Compliance Database'!$J$2:$J$1199,MATCH(356,'Transfer Engine'!$C$2:$C$1199,0)))</f>
        <v>0</v>
      </c>
      <c r="K365" s="7" t="str">
        <f>IF(ISNA(MATCH(356,'Transfer Engine'!$C$2:$C$1199,0)),"",INDEX('Compliance Database'!$K$2:$K$1199,MATCH(356,'Transfer Engine'!$C$2:$C$1199,0)))</f>
        <v>If audit activities create risks to the cloud service provider's environment or other clients' data, the CSP must provide a rationale for the risk and agree on alternative methods to achieve similar results without compromising data confidentiality, integrity, or availability. This requirement applies to firms and CSPs during audits.</v>
      </c>
      <c r="L365" s="7" t="str">
        <f>IF(ISNA(MATCH(356,'Transfer Engine'!$C$2:$C$1199,0)),"",INDEX('Compliance Database'!$L$2:$L$1199,MATCH(356,'Transfer Engine'!$C$2:$C$1199,0)))</f>
        <v>This section addresses risk mitigation for audits in cloud services, ensuring DTIAs account for potential disruptions to data security when conducting audits across borders.</v>
      </c>
      <c r="M365" s="7" t="str">
        <f>IF(ISNA(MATCH(356,'Transfer Engine'!$C$2:$C$1199,0)),"",INDEX('Compliance Database'!$M$2:$M$1199,MATCH(356,'Transfer Engine'!$C$2:$C$1199,0)))</f>
        <v>• [Must] CSP must provide rationale for risks created by audit activities and agree on alternative methods</v>
      </c>
      <c r="N365" s="7">
        <f>IF(ISNA(MATCH(356,'Transfer Engine'!$C$2:$C$1199,0)),"",INDEX('Compliance Database'!$N$2:$N$1199,MATCH(356,'Transfer Engine'!$C$2:$C$1199,0)))</f>
        <v>0</v>
      </c>
      <c r="O365" s="7" t="str">
        <f>IF(ISNA(MATCH(356,'Transfer Engine'!$C$2:$C$1199,0)),"",INDEX('Compliance Database'!$O$2:$O$1199,MATCH(356,'Transfer Engine'!$C$2:$C$1199,0)))</f>
        <v>In case the exercise of the access or audit rights, or the use of certain audit techniques create a risk for the environment of the CSP and/or another CSP's client (for example by impacting service levels, confidentiality, integrity and availability of data), the CSP should provide a clear rationale to the firm as to why this would create a risk and the CSP should agree with the firm on alternative ways to achieve a similar result (for example, the inclusion of specific controls to be tested in a specific report/certification produced by the CSP).</v>
      </c>
      <c r="P365" s="6" t="str">
        <f>IF(ISNA(MATCH(356,'Transfer Engine'!$C$2:$C$1199,0)),"",HYPERLINK("#Acts!A"&amp;INDEX('Compliance Database'!$P$2:$P$1199,MATCH(356,'Transfer Engine'!$C$2:$C$1199,0)),"Go to Act"))</f>
        <v>Go to Act</v>
      </c>
    </row>
    <row r="366" spans="1:16" ht="172.95" customHeight="1" x14ac:dyDescent="0.3">
      <c r="A366" s="6" t="str">
        <f>IF(ISNA(MATCH(357,'Transfer Engine'!$C$2:$C$1199,0)),"",INDEX('Compliance Database'!$A$2:$A$1199,MATCH(357,'Transfer Engine'!$C$2:$C$1199,0)))</f>
        <v>GDPR</v>
      </c>
      <c r="B366" s="6" t="str">
        <f>IF(ISNA(MATCH(357,'Transfer Engine'!$C$2:$C$1199,0)),"",INDEX('Compliance Database'!$B$2:$B$1199,MATCH(357,'Transfer Engine'!$C$2:$C$1199,0)))</f>
        <v>esma_cloud_guidelines (GDPR - Row 8)</v>
      </c>
      <c r="C366" s="6" t="str">
        <f>IF(ISNA(MATCH(357,'Transfer Engine'!$C$2:$C$1199,0)),"",INDEX('Compliance Database'!$C$2:$C$1199,MATCH(357,'Transfer Engine'!$C$2:$C$1199,0)))</f>
        <v>37</v>
      </c>
      <c r="D366" s="7" t="str">
        <f>IF(ISNA(MATCH(357,'Transfer Engine'!$C$2:$C$1199,0)),"",INDEX('Compliance Database'!$D$2:$D$1199,MATCH(357,'Transfer Engine'!$C$2:$C$1199,0)))</f>
        <v>Efficient audit sharing for cloud services</v>
      </c>
      <c r="E366" s="6" t="str">
        <f>IF(ISNA(MATCH(357,'Transfer Engine'!$C$2:$C$1199,0)),"",INDEX('Compliance Database'!$E$2:$E$1199,MATCH(357,'Transfer Engine'!$C$2:$C$1199,0)))</f>
        <v>18–19</v>
      </c>
      <c r="F366" s="6" t="str">
        <f>IF(ISNA(MATCH(357,'Transfer Engine'!$C$2:$C$1199,0)),"",INDEX('Compliance Database'!$F$2:$F$1199,MATCH(357,'Transfer Engine'!$C$2:$C$1199,0)))</f>
        <v>Medium</v>
      </c>
      <c r="G366" s="6" t="str">
        <f>IF(ISNA(MATCH(357,'Transfer Engine'!$C$2:$C$1199,0)),"",INDEX('Compliance Database'!$G$2:$G$1199,MATCH(357,'Transfer Engine'!$C$2:$C$1199,0)))</f>
        <v>High (explicit)</v>
      </c>
      <c r="H366" s="7" t="str">
        <f>IF(ISNA(MATCH(357,'Transfer Engine'!$C$2:$C$1199,0)),"",INDEX('Compliance Database'!$H$2:$H$1199,MATCH(357,'Transfer Engine'!$C$2:$C$1199,0)))</f>
        <v>Cloud Services</v>
      </c>
      <c r="I366" s="7" t="str">
        <f>IF(ISNA(MATCH(357,'Transfer Engine'!$C$2:$C$1199,0)),"",INDEX('Compliance Database'!$I$2:$I$1199,MATCH(357,'Transfer Engine'!$C$2:$C$1199,0)))</f>
        <v>Customer Data</v>
      </c>
      <c r="J366" s="6">
        <f>IF(ISNA(MATCH(357,'Transfer Engine'!$C$2:$C$1199,0)),"",INDEX('Compliance Database'!$J$2:$J$1199,MATCH(357,'Transfer Engine'!$C$2:$C$1199,0)))</f>
        <v>0</v>
      </c>
      <c r="K366" s="7" t="str">
        <f>IF(ISNA(MATCH(357,'Transfer Engine'!$C$2:$C$1199,0)),"",INDEX('Compliance Database'!$K$2:$K$1199,MATCH(357,'Transfer Engine'!$C$2:$C$1199,0)))</f>
        <v>Firms may use third-party certifications, external or internal audit reports from CSPs, or pooled audits with other clients to reduce audit burden and improve efficiency. This requirement applies to firms outsourcing cloud services to CSPs.</v>
      </c>
      <c r="L366" s="7" t="str">
        <f>IF(ISNA(MATCH(357,'Transfer Engine'!$C$2:$C$1199,0)),"",INDEX('Compliance Database'!$L$2:$L$1199,MATCH(357,'Transfer Engine'!$C$2:$C$1199,0)))</f>
        <v>This section allows firms to share audit resources across clients, which is relevant for DTIAs to assess cost-effective oversight mechanisms without compromising data security in cross-border cloud arrangements.</v>
      </c>
      <c r="M366" s="7" t="str">
        <f>IF(ISNA(MATCH(357,'Transfer Engine'!$C$2:$C$1199,0)),"",INDEX('Compliance Database'!$M$2:$M$1199,MATCH(357,'Transfer Engine'!$C$2:$C$1199,0)))</f>
        <v>• [May] Firms may use third-party certifications and external/internal audit reports from CSPs</v>
      </c>
      <c r="N366" s="7" t="str">
        <f>IF(ISNA(MATCH(357,'Transfer Engine'!$C$2:$C$1199,0)),"",INDEX('Compliance Database'!$N$2:$N$1199,MATCH(357,'Transfer Engine'!$C$2:$C$1199,0)))</f>
        <v>• [May] Firms may use pooled audits with other CSP clients or third-party auditors</v>
      </c>
      <c r="O366" s="7" t="str">
        <f>IF(ISNA(MATCH(357,'Transfer Engine'!$C$2:$C$1199,0)),"",INDEX('Compliance Database'!$O$2:$O$1199,MATCH(357,'Transfer Engine'!$C$2:$C$1199,0)))</f>
        <v>Firms may use: a) third-party certifications and external or internal audit reports made available by the CSP; b) pooled audits performed jointly with other clients of the same CSP or pooled audits performed by a third-party auditor appointed by multiple clients of the same CSP.</v>
      </c>
      <c r="P366" s="6" t="str">
        <f>IF(ISNA(MATCH(357,'Transfer Engine'!$C$2:$C$1199,0)),"",HYPERLINK("#Acts!A"&amp;INDEX('Compliance Database'!$P$2:$P$1199,MATCH(357,'Transfer Engine'!$C$2:$C$1199,0)),"Go to Act"))</f>
        <v>Go to Act</v>
      </c>
    </row>
    <row r="367" spans="1:16" ht="172.95" customHeight="1" x14ac:dyDescent="0.3">
      <c r="A367" s="6" t="str">
        <f>IF(ISNA(MATCH(358,'Transfer Engine'!$C$2:$C$1199,0)),"",INDEX('Compliance Database'!$A$2:$A$1199,MATCH(358,'Transfer Engine'!$C$2:$C$1199,0)))</f>
        <v>GDPR</v>
      </c>
      <c r="B367" s="6" t="str">
        <f>IF(ISNA(MATCH(358,'Transfer Engine'!$C$2:$C$1199,0)),"",INDEX('Compliance Database'!$B$2:$B$1199,MATCH(358,'Transfer Engine'!$C$2:$C$1199,0)))</f>
        <v>esma_cloud_guidelines (GDPR - Row 8)</v>
      </c>
      <c r="C367" s="6" t="str">
        <f>IF(ISNA(MATCH(358,'Transfer Engine'!$C$2:$C$1199,0)),"",INDEX('Compliance Database'!$C$2:$C$1199,MATCH(358,'Transfer Engine'!$C$2:$C$1199,0)))</f>
        <v>38</v>
      </c>
      <c r="D367" s="7" t="str">
        <f>IF(ISNA(MATCH(358,'Transfer Engine'!$C$2:$C$1199,0)),"",INDEX('Compliance Database'!$D$2:$D$1199,MATCH(358,'Transfer Engine'!$C$2:$C$1199,0)))</f>
        <v>Certification adequacy for critical cloud functions</v>
      </c>
      <c r="E367" s="6" t="str">
        <f>IF(ISNA(MATCH(358,'Transfer Engine'!$C$2:$C$1199,0)),"",INDEX('Compliance Database'!$E$2:$E$1199,MATCH(358,'Transfer Engine'!$C$2:$C$1199,0)))</f>
        <v>19</v>
      </c>
      <c r="F367" s="6" t="str">
        <f>IF(ISNA(MATCH(358,'Transfer Engine'!$C$2:$C$1199,0)),"",INDEX('Compliance Database'!$F$2:$F$1199,MATCH(358,'Transfer Engine'!$C$2:$C$1199,0)))</f>
        <v>Medium</v>
      </c>
      <c r="G367" s="6" t="str">
        <f>IF(ISNA(MATCH(358,'Transfer Engine'!$C$2:$C$1199,0)),"",INDEX('Compliance Database'!$G$2:$G$1199,MATCH(358,'Transfer Engine'!$C$2:$C$1199,0)))</f>
        <v>High (explicit)</v>
      </c>
      <c r="H367" s="7" t="str">
        <f>IF(ISNA(MATCH(358,'Transfer Engine'!$C$2:$C$1199,0)),"",INDEX('Compliance Database'!$H$2:$H$1199,MATCH(358,'Transfer Engine'!$C$2:$C$1199,0)))</f>
        <v>Cloud Services</v>
      </c>
      <c r="I367" s="7" t="str">
        <f>IF(ISNA(MATCH(358,'Transfer Engine'!$C$2:$C$1199,0)),"",INDEX('Compliance Database'!$I$2:$I$1199,MATCH(358,'Transfer Engine'!$C$2:$C$1199,0)))</f>
        <v>Customer Data</v>
      </c>
      <c r="J367" s="6">
        <f>IF(ISNA(MATCH(358,'Transfer Engine'!$C$2:$C$1199,0)),"",INDEX('Compliance Database'!$J$2:$J$1199,MATCH(358,'Transfer Engine'!$C$2:$C$1199,0)))</f>
        <v>0</v>
      </c>
      <c r="K367" s="7" t="str">
        <f>IF(ISNA(MATCH(358,'Transfer Engine'!$C$2:$C$1199,0)),"",INDEX('Compliance Database'!$K$2:$K$1199,MATCH(358,'Transfer Engine'!$C$2:$C$1199,0)))</f>
        <v>Firms must assess whether third-party certifications and audit reports are adequate for critical or important functions, and should not rely solely on these certifications over time. This requirement applies to firms outsourcing critical cloud services.</v>
      </c>
      <c r="L367" s="7" t="str">
        <f>IF(ISNA(MATCH(358,'Transfer Engine'!$C$2:$C$1199,0)),"",INDEX('Compliance Database'!$L$2:$L$1199,MATCH(358,'Transfer Engine'!$C$2:$C$1199,0)))</f>
        <v>This section ensures that firms validate the ongoing adequacy of certifications for critical cloud functions, which is crucial for DTIAs to maintain robust data protection in high-risk cross-border transfers.</v>
      </c>
      <c r="M367" s="7" t="str">
        <f>IF(ISNA(MATCH(358,'Transfer Engine'!$C$2:$C$1199,0)),"",INDEX('Compliance Database'!$M$2:$M$1199,MATCH(358,'Transfer Engine'!$C$2:$C$1199,0)))</f>
        <v>• [Must] Assess adequacy of third-party certifications for critical/important functions</v>
      </c>
      <c r="N367" s="7" t="str">
        <f>IF(ISNA(MATCH(358,'Transfer Engine'!$C$2:$C$1199,0)),"",INDEX('Compliance Database'!$N$2:$N$1199,MATCH(358,'Transfer Engine'!$C$2:$C$1199,0)))</f>
        <v>• [Must Not] Do not solely rely on certifications over time</v>
      </c>
      <c r="O367" s="7" t="str">
        <f>IF(ISNA(MATCH(358,'Transfer Engine'!$C$2:$C$1199,0)),"",INDEX('Compliance Database'!$O$2:$O$1199,MATCH(358,'Transfer Engine'!$C$2:$C$1199,0)))</f>
        <v>In case of outsourcing of critical or important functions, a firm should assess whether the third-party certifications and external or internal audit reports referred to in paragraph 37(a) are adequate and sufficient to comply with its obligations under the applicable legislation and should aim at not solely relying on these certifications and reports over time.</v>
      </c>
      <c r="P367" s="6" t="str">
        <f>IF(ISNA(MATCH(358,'Transfer Engine'!$C$2:$C$1199,0)),"",HYPERLINK("#Acts!A"&amp;INDEX('Compliance Database'!$P$2:$P$1199,MATCH(358,'Transfer Engine'!$C$2:$C$1199,0)),"Go to Act"))</f>
        <v>Go to Act</v>
      </c>
    </row>
    <row r="368" spans="1:16" ht="172.95" customHeight="1" x14ac:dyDescent="0.3">
      <c r="A368" s="6" t="str">
        <f>IF(ISNA(MATCH(359,'Transfer Engine'!$C$2:$C$1199,0)),"",INDEX('Compliance Database'!$A$2:$A$1199,MATCH(359,'Transfer Engine'!$C$2:$C$1199,0)))</f>
        <v>GDPR</v>
      </c>
      <c r="B368" s="6" t="str">
        <f>IF(ISNA(MATCH(359,'Transfer Engine'!$C$2:$C$1199,0)),"",INDEX('Compliance Database'!$B$2:$B$1199,MATCH(359,'Transfer Engine'!$C$2:$C$1199,0)))</f>
        <v>esma_cloud_guidelines (GDPR - Row 8)</v>
      </c>
      <c r="C368" s="6" t="str">
        <f>IF(ISNA(MATCH(359,'Transfer Engine'!$C$2:$C$1199,0)),"",INDEX('Compliance Database'!$C$2:$C$1199,MATCH(359,'Transfer Engine'!$C$2:$C$1199,0)))</f>
        <v>39</v>
      </c>
      <c r="D368" s="7" t="str">
        <f>IF(ISNA(MATCH(359,'Transfer Engine'!$C$2:$C$1199,0)),"",INDEX('Compliance Database'!$D$2:$D$1199,MATCH(359,'Transfer Engine'!$C$2:$C$1199,0)))</f>
        <v>Outsourcing critical functions: certification and audit requirements</v>
      </c>
      <c r="E368" s="6" t="str">
        <f>IF(ISNA(MATCH(359,'Transfer Engine'!$C$2:$C$1199,0)),"",INDEX('Compliance Database'!$E$2:$E$1199,MATCH(359,'Transfer Engine'!$C$2:$C$1199,0)))</f>
        <v>19</v>
      </c>
      <c r="F368" s="6" t="str">
        <f>IF(ISNA(MATCH(359,'Transfer Engine'!$C$2:$C$1199,0)),"",INDEX('Compliance Database'!$F$2:$F$1199,MATCH(359,'Transfer Engine'!$C$2:$C$1199,0)))</f>
        <v>High</v>
      </c>
      <c r="G368" s="6" t="str">
        <f>IF(ISNA(MATCH(359,'Transfer Engine'!$C$2:$C$1199,0)),"",INDEX('Compliance Database'!$G$2:$G$1199,MATCH(359,'Transfer Engine'!$C$2:$C$1199,0)))</f>
        <v>High (explicit)</v>
      </c>
      <c r="H368" s="7" t="str">
        <f>IF(ISNA(MATCH(359,'Transfer Engine'!$C$2:$C$1199,0)),"",INDEX('Compliance Database'!$H$2:$H$1199,MATCH(359,'Transfer Engine'!$C$2:$C$1199,0)))</f>
        <v>Cloud Services, Third Party Processing, Outsourcing</v>
      </c>
      <c r="I368" s="7" t="str">
        <f>IF(ISNA(MATCH(359,'Transfer Engine'!$C$2:$C$1199,0)),"",INDEX('Compliance Database'!$I$2:$I$1199,MATCH(359,'Transfer Engine'!$C$2:$C$1199,0)))</f>
        <v>Personal Information</v>
      </c>
      <c r="J368" s="6">
        <f>IF(ISNA(MATCH(359,'Transfer Engine'!$C$2:$C$1199,0)),"",INDEX('Compliance Database'!$J$2:$J$1199,MATCH(359,'Transfer Engine'!$C$2:$C$1199,0)))</f>
        <v>0</v>
      </c>
      <c r="K368" s="7" t="str">
        <f>IF(ISNA(MATCH(359,'Transfer Engine'!$C$2:$C$1199,0)),"",INDEX('Compliance Database'!$K$2:$K$1199,MATCH(359,'Transfer Engine'!$C$2:$C$1199,0)))</f>
        <v>Firms must use third-party certifications and audit reports for critical or important functions only if they verify coverage of key systems, controls, and compliance with legislation. They must regularly assess the certifications, ensure they remain current, and maintain contractual rights to expand scope or conduct on-site audits. The requirements apply to firms outsourcing critical functions to cloud service providers.</v>
      </c>
      <c r="L368" s="7" t="str">
        <f>IF(ISNA(MATCH(359,'Transfer Engine'!$C$2:$C$1199,0)),"",INDEX('Compliance Database'!$L$2:$L$1199,MATCH(359,'Transfer Engine'!$C$2:$C$1199,0)))</f>
        <v>Requires firms to validate that cloud certifications cover critical systems and controls, ensuring ongoing relevance and contractual rights to audit. This impacts DTIA by mandating thorough verification of third-party compliance before outsourcing critical functions.</v>
      </c>
      <c r="M368" s="7" t="str">
        <f>IF(ISNA(MATCH(359,'Transfer Engine'!$C$2:$C$1199,0)),"",INDEX('Compliance Database'!$M$2:$M$1199,MATCH(359,'Transfer Engine'!$C$2:$C$1199,0)))</f>
        <v>• [Must] Verify certifications or audit reports cover CSP's key systems, processes, applications, infrastructure, data centres, and key controls
• [Must] Regularly assess certifications or audit reports to ensure they are not obsolete
• [Must] Ensure CSP's key systems and controls are covered in future certification or audit report versions
• [Must] Be satisfied with the certifying or auditing party's qualifications, expertise, and rotation</v>
      </c>
      <c r="N368" s="7" t="str">
        <f>IF(ISNA(MATCH(359,'Transfer Engine'!$C$2:$C$1199,0)),"",INDEX('Compliance Database'!$N$2:$N$1199,MATCH(359,'Transfer Engine'!$C$2:$C$1199,0)))</f>
        <v>• [Must] Confirm certifications are issued and audits follow appropriate standards with effective control testing
• [Must] Maintain contractual right to request scope expansion of certifications or audit reports
• [Must] Retain contractual right to perform individual on-site audits at discretion</v>
      </c>
      <c r="O368" s="7" t="str">
        <f>IF(ISNA(MATCH(359,'Transfer Engine'!$C$2:$C$1199,0)),"",INDEX('Compliance Database'!$O$2:$O$1199,MATCH(359,'Transfer Engine'!$C$2:$C$1199,0)))</f>
        <v>39. In case of outsourcing of critical or important functions, a firm should make use of the third-party certifications and external or internal audit reports referred to in paragraph 37(a) only if it: a) is satisfied that the scope of the certifications or the audit reports covers the CSP's key systems (for example processes, applications, infrastructure, data centres), the key controls identified by the firm and the compliance with the relevant applicable legislation; b) thoroughly assesses the content of the certifications or audit reports on a regular basis and verify that the certifications or reports are not obsolete; c) ensures that the CSP's key systems and controls are covered in future versions of the certifications or audit reports; d) is satisfied with the certifying or auditing party (for example with regard to its qualifications, expertise, re-performance/verification of the evidence in the underlying audit file as well as rotation of the certifying or auditing company); e) is satisfied that the certifications are issued and that the audits are performed according to appropriate standards and include a test of the effectiveness of the key controls in place; f) has the contractual right to request the expansion of the scope of the certifications or audit reports to other relevant systems and controls of the CSP; the number and frequency of such requests for scope modification should be reasonable and legitimate from a risk management perspective; g) retains the contractual right to perform individual on-site audits at its discretion with regard to the outsourced function.</v>
      </c>
      <c r="P368" s="6" t="str">
        <f>IF(ISNA(MATCH(359,'Transfer Engine'!$C$2:$C$1199,0)),"",HYPERLINK("#Acts!A"&amp;INDEX('Compliance Database'!$P$2:$P$1199,MATCH(359,'Transfer Engine'!$C$2:$C$1199,0)),"Go to Act"))</f>
        <v>Go to Act</v>
      </c>
    </row>
    <row r="369" spans="1:16" ht="172.95" customHeight="1" x14ac:dyDescent="0.3">
      <c r="A369" s="6" t="str">
        <f>IF(ISNA(MATCH(360,'Transfer Engine'!$C$2:$C$1199,0)),"",INDEX('Compliance Database'!$A$2:$A$1199,MATCH(360,'Transfer Engine'!$C$2:$C$1199,0)))</f>
        <v>GDPR</v>
      </c>
      <c r="B369" s="6" t="str">
        <f>IF(ISNA(MATCH(360,'Transfer Engine'!$C$2:$C$1199,0)),"",INDEX('Compliance Database'!$B$2:$B$1199,MATCH(360,'Transfer Engine'!$C$2:$C$1199,0)))</f>
        <v>esma_cloud_guidelines (GDPR - Row 8)</v>
      </c>
      <c r="C369" s="6" t="str">
        <f>IF(ISNA(MATCH(360,'Transfer Engine'!$C$2:$C$1199,0)),"",INDEX('Compliance Database'!$C$2:$C$1199,MATCH(360,'Transfer Engine'!$C$2:$C$1199,0)))</f>
        <v>40</v>
      </c>
      <c r="D369" s="7" t="str">
        <f>IF(ISNA(MATCH(360,'Transfer Engine'!$C$2:$C$1199,0)),"",INDEX('Compliance Database'!$D$2:$D$1199,MATCH(360,'Transfer Engine'!$C$2:$C$1199,0)))</f>
        <v>On-site audits: prior notice requirements</v>
      </c>
      <c r="E369" s="6" t="str">
        <f>IF(ISNA(MATCH(360,'Transfer Engine'!$C$2:$C$1199,0)),"",INDEX('Compliance Database'!$E$2:$E$1199,MATCH(360,'Transfer Engine'!$C$2:$C$1199,0)))</f>
        <v>19</v>
      </c>
      <c r="F369" s="6" t="str">
        <f>IF(ISNA(MATCH(360,'Transfer Engine'!$C$2:$C$1199,0)),"",INDEX('Compliance Database'!$F$2:$F$1199,MATCH(360,'Transfer Engine'!$C$2:$C$1199,0)))</f>
        <v>High</v>
      </c>
      <c r="G369" s="6" t="str">
        <f>IF(ISNA(MATCH(360,'Transfer Engine'!$C$2:$C$1199,0)),"",INDEX('Compliance Database'!$G$2:$G$1199,MATCH(360,'Transfer Engine'!$C$2:$C$1199,0)))</f>
        <v>High (explicit)</v>
      </c>
      <c r="H369" s="7" t="str">
        <f>IF(ISNA(MATCH(360,'Transfer Engine'!$C$2:$C$1199,0)),"",INDEX('Compliance Database'!$H$2:$H$1199,MATCH(360,'Transfer Engine'!$C$2:$C$1199,0)))</f>
        <v>Cloud Services, Third Party Processing</v>
      </c>
      <c r="I369" s="7" t="str">
        <f>IF(ISNA(MATCH(360,'Transfer Engine'!$C$2:$C$1199,0)),"",INDEX('Compliance Database'!$I$2:$I$1199,MATCH(360,'Transfer Engine'!$C$2:$C$1199,0)))</f>
        <v>Personal Information</v>
      </c>
      <c r="J369" s="6">
        <f>IF(ISNA(MATCH(360,'Transfer Engine'!$C$2:$C$1199,0)),"",INDEX('Compliance Database'!$J$2:$J$1199,MATCH(360,'Transfer Engine'!$C$2:$C$1199,0)))</f>
        <v>0</v>
      </c>
      <c r="K369" s="7" t="str">
        <f>IF(ISNA(MATCH(360,'Transfer Engine'!$C$2:$C$1199,0)),"",INDEX('Compliance Database'!$K$2:$K$1199,MATCH(360,'Transfer Engine'!$C$2:$C$1199,0)))</f>
        <v>Firms must provide prior written notice to cloud service providers (CSPs) at least a reasonable time before on-site visits, including those by third-party auditors. Exceptions include emergencies or crises where notice would compromise audit effectiveness. The notice must specify location, purpose, and participating personnel.</v>
      </c>
      <c r="L369" s="7" t="str">
        <f>IF(ISNA(MATCH(360,'Transfer Engine'!$C$2:$C$1199,0)),"",INDEX('Compliance Database'!$L$2:$L$1199,MATCH(360,'Transfer Engine'!$C$2:$C$1199,0)))</f>
        <v>Requires timely notice for on-site audits, ensuring CSPs are aware of assessments before they occur. This impacts DTIA by clarifying when and how audits can be conducted without disrupting critical functions.</v>
      </c>
      <c r="M369" s="7" t="str">
        <f>IF(ISNA(MATCH(360,'Transfer Engine'!$C$2:$C$1199,0)),"",INDEX('Compliance Database'!$M$2:$M$1199,MATCH(360,'Transfer Engine'!$C$2:$C$1199,0)))</f>
        <v>• [Must] Provide CSP with prior written notice within a reasonable time period before on-site visits</v>
      </c>
      <c r="N369" s="7" t="str">
        <f>IF(ISNA(MATCH(360,'Transfer Engine'!$C$2:$C$1199,0)),"",INDEX('Compliance Database'!$N$2:$N$1199,MATCH(360,'Transfer Engine'!$C$2:$C$1199,0)))</f>
        <v>• [Must] Include location, purpose of visit, and participating personnel in notice</v>
      </c>
      <c r="O369" s="7" t="str">
        <f>IF(ISNA(MATCH(360,'Transfer Engine'!$C$2:$C$1199,0)),"",INDEX('Compliance Database'!$O$2:$O$1199,MATCH(360,'Transfer Engine'!$C$2:$C$1199,0)))</f>
        <v>40. A firm should ensure that, before an on-site visit, including by a third party appointed by the firm (for example an auditor), prior notice within a reasonable time period is provided to the CSP, unless an early prior notification is not possible due to an emergency or crisis situation or would lead to a situation where the audit would no longer be effective. Such notice should include the location, purpose of the visit and the personnel that will participate to the visit.</v>
      </c>
      <c r="P369" s="6" t="str">
        <f>IF(ISNA(MATCH(360,'Transfer Engine'!$C$2:$C$1199,0)),"",HYPERLINK("#Acts!A"&amp;INDEX('Compliance Database'!$P$2:$P$1199,MATCH(360,'Transfer Engine'!$C$2:$C$1199,0)),"Go to Act"))</f>
        <v>Go to Act</v>
      </c>
    </row>
    <row r="370" spans="1:16" ht="172.95" customHeight="1" x14ac:dyDescent="0.3">
      <c r="A370" s="6" t="str">
        <f>IF(ISNA(MATCH(361,'Transfer Engine'!$C$2:$C$1199,0)),"",INDEX('Compliance Database'!$A$2:$A$1199,MATCH(361,'Transfer Engine'!$C$2:$C$1199,0)))</f>
        <v>GDPR</v>
      </c>
      <c r="B370" s="6" t="str">
        <f>IF(ISNA(MATCH(361,'Transfer Engine'!$C$2:$C$1199,0)),"",INDEX('Compliance Database'!$B$2:$B$1199,MATCH(361,'Transfer Engine'!$C$2:$C$1199,0)))</f>
        <v>esma_cloud_guidelines (GDPR - Row 8)</v>
      </c>
      <c r="C370" s="6" t="str">
        <f>IF(ISNA(MATCH(361,'Transfer Engine'!$C$2:$C$1199,0)),"",INDEX('Compliance Database'!$C$2:$C$1199,MATCH(361,'Transfer Engine'!$C$2:$C$1199,0)))</f>
        <v>41</v>
      </c>
      <c r="D370" s="7" t="str">
        <f>IF(ISNA(MATCH(361,'Transfer Engine'!$C$2:$C$1199,0)),"",INDEX('Compliance Database'!$D$2:$D$1199,MATCH(361,'Transfer Engine'!$C$2:$C$1199,0)))</f>
        <v>Cloud audit staff competency requirements</v>
      </c>
      <c r="E370" s="6" t="str">
        <f>IF(ISNA(MATCH(361,'Transfer Engine'!$C$2:$C$1199,0)),"",INDEX('Compliance Database'!$E$2:$E$1199,MATCH(361,'Transfer Engine'!$C$2:$C$1199,0)))</f>
        <v>19–20</v>
      </c>
      <c r="F370" s="6" t="str">
        <f>IF(ISNA(MATCH(361,'Transfer Engine'!$C$2:$C$1199,0)),"",INDEX('Compliance Database'!$F$2:$F$1199,MATCH(361,'Transfer Engine'!$C$2:$C$1199,0)))</f>
        <v>High</v>
      </c>
      <c r="G370" s="6" t="str">
        <f>IF(ISNA(MATCH(361,'Transfer Engine'!$C$2:$C$1199,0)),"",INDEX('Compliance Database'!$G$2:$G$1199,MATCH(361,'Transfer Engine'!$C$2:$C$1199,0)))</f>
        <v>High (explicit)</v>
      </c>
      <c r="H370" s="7" t="str">
        <f>IF(ISNA(MATCH(361,'Transfer Engine'!$C$2:$C$1199,0)),"",INDEX('Compliance Database'!$H$2:$H$1199,MATCH(361,'Transfer Engine'!$C$2:$C$1199,0)))</f>
        <v>Cloud Services</v>
      </c>
      <c r="I370" s="7" t="str">
        <f>IF(ISNA(MATCH(361,'Transfer Engine'!$C$2:$C$1199,0)),"",INDEX('Compliance Database'!$I$2:$I$1199,MATCH(361,'Transfer Engine'!$C$2:$C$1199,0)))</f>
        <v>Personal Information</v>
      </c>
      <c r="J370" s="6">
        <f>IF(ISNA(MATCH(361,'Transfer Engine'!$C$2:$C$1199,0)),"",INDEX('Compliance Database'!$J$2:$J$1199,MATCH(361,'Transfer Engine'!$C$2:$C$1199,0)))</f>
        <v>0</v>
      </c>
      <c r="K370" s="7" t="str">
        <f>IF(ISNA(MATCH(361,'Transfer Engine'!$C$2:$C$1199,0)),"",INDEX('Compliance Database'!$K$2:$K$1199,MATCH(361,'Transfer Engine'!$C$2:$C$1199,0)))</f>
        <v>Staff performing audits of cloud services must have the right skills and knowledge to assess cloud services effectively and conduct relevant audits. This applies to both internal auditors and third-party auditors reviewing certifications or audit reports from cloud service providers.</v>
      </c>
      <c r="L370" s="7" t="str">
        <f>IF(ISNA(MATCH(361,'Transfer Engine'!$C$2:$C$1199,0)),"",INDEX('Compliance Database'!$L$2:$L$1199,MATCH(361,'Transfer Engine'!$C$2:$C$1199,0)))</f>
        <v>Ensures auditors have necessary expertise to evaluate cloud services, which is critical for DTIA as it affects the validity of compliance assessments.</v>
      </c>
      <c r="M370" s="7" t="str">
        <f>IF(ISNA(MATCH(361,'Transfer Engine'!$C$2:$C$1199,0)),"",INDEX('Compliance Database'!$M$2:$M$1199,MATCH(361,'Transfer Engine'!$C$2:$C$1199,0)))</f>
        <v>• [Must] Staff performing audits must have right skills and knowledge to assess cloud services effectively</v>
      </c>
      <c r="N370" s="7" t="str">
        <f>IF(ISNA(MATCH(361,'Transfer Engine'!$C$2:$C$1199,0)),"",INDEX('Compliance Database'!$N$2:$N$1199,MATCH(361,'Transfer Engine'!$C$2:$C$1199,0)))</f>
        <v>• [Must] Staff reviewing CSP certifications or audit reports must have right skills and knowledge</v>
      </c>
      <c r="O370" s="7" t="str">
        <f>IF(ISNA(MATCH(361,'Transfer Engine'!$C$2:$C$1199,0)),"",INDEX('Compliance Database'!$O$2:$O$1199,MATCH(361,'Transfer Engine'!$C$2:$C$1199,0)))</f>
        <v>41. Considering that cloud services present a high level of technical complexity and raise specific jurisdictional challenges, the staff performing the audit – being the internal auditors of the firm or auditors acting on its behalf – should have the right skills and knowledge to properly assess the relevant cloud services and perform effective and relevant audit. This should also apply to the firms' staff reviewing the certifications or audit reports provided by the CSP.</v>
      </c>
      <c r="P370" s="6" t="str">
        <f>IF(ISNA(MATCH(361,'Transfer Engine'!$C$2:$C$1199,0)),"",HYPERLINK("#Acts!A"&amp;INDEX('Compliance Database'!$P$2:$P$1199,MATCH(361,'Transfer Engine'!$C$2:$C$1199,0)),"Go to Act"))</f>
        <v>Go to Act</v>
      </c>
    </row>
    <row r="371" spans="1:16" ht="172.95" customHeight="1" x14ac:dyDescent="0.3">
      <c r="A371" s="6" t="str">
        <f>IF(ISNA(MATCH(362,'Transfer Engine'!$C$2:$C$1199,0)),"",INDEX('Compliance Database'!$A$2:$A$1199,MATCH(362,'Transfer Engine'!$C$2:$C$1199,0)))</f>
        <v>GDPR</v>
      </c>
      <c r="B371" s="6" t="str">
        <f>IF(ISNA(MATCH(362,'Transfer Engine'!$C$2:$C$1199,0)),"",INDEX('Compliance Database'!$B$2:$B$1199,MATCH(362,'Transfer Engine'!$C$2:$C$1199,0)))</f>
        <v>esma_cloud_guidelines (GDPR - Row 8)</v>
      </c>
      <c r="C371" s="6" t="str">
        <f>IF(ISNA(MATCH(362,'Transfer Engine'!$C$2:$C$1199,0)),"",INDEX('Compliance Database'!$C$2:$C$1199,MATCH(362,'Transfer Engine'!$C$2:$C$1199,0)))</f>
        <v>42</v>
      </c>
      <c r="D371" s="7" t="str">
        <f>IF(ISNA(MATCH(362,'Transfer Engine'!$C$2:$C$1199,0)),"",INDEX('Compliance Database'!$D$2:$D$1199,MATCH(362,'Transfer Engine'!$C$2:$C$1199,0)))</f>
        <v>Sub-outsourcing critical functions: contractual requirements</v>
      </c>
      <c r="E371" s="6" t="str">
        <f>IF(ISNA(MATCH(362,'Transfer Engine'!$C$2:$C$1199,0)),"",INDEX('Compliance Database'!$E$2:$E$1199,MATCH(362,'Transfer Engine'!$C$2:$C$1199,0)))</f>
        <v>20</v>
      </c>
      <c r="F371" s="6" t="str">
        <f>IF(ISNA(MATCH(362,'Transfer Engine'!$C$2:$C$1199,0)),"",INDEX('Compliance Database'!$F$2:$F$1199,MATCH(362,'Transfer Engine'!$C$2:$C$1199,0)))</f>
        <v>High</v>
      </c>
      <c r="G371" s="6" t="str">
        <f>IF(ISNA(MATCH(362,'Transfer Engine'!$C$2:$C$1199,0)),"",INDEX('Compliance Database'!$G$2:$G$1199,MATCH(362,'Transfer Engine'!$C$2:$C$1199,0)))</f>
        <v>High (explicit)</v>
      </c>
      <c r="H371" s="7" t="str">
        <f>IF(ISNA(MATCH(362,'Transfer Engine'!$C$2:$C$1199,0)),"",INDEX('Compliance Database'!$H$2:$H$1199,MATCH(362,'Transfer Engine'!$C$2:$C$1199,0)))</f>
        <v>Cloud Services, Third Party Processing</v>
      </c>
      <c r="I371" s="7" t="str">
        <f>IF(ISNA(MATCH(362,'Transfer Engine'!$C$2:$C$1199,0)),"",INDEX('Compliance Database'!$I$2:$I$1199,MATCH(362,'Transfer Engine'!$C$2:$C$1199,0)))</f>
        <v>Personal Information</v>
      </c>
      <c r="J371" s="6">
        <f>IF(ISNA(MATCH(362,'Transfer Engine'!$C$2:$C$1199,0)),"",INDEX('Compliance Database'!$J$2:$J$1199,MATCH(362,'Transfer Engine'!$C$2:$C$1199,0)))</f>
        <v>0</v>
      </c>
      <c r="K371" s="7" t="str">
        <f>IF(ISNA(MATCH(362,'Transfer Engine'!$C$2:$C$1199,0)),"",INDEX('Compliance Database'!$K$2:$K$1199,MATCH(362,'Transfer Engine'!$C$2:$C$1199,0)))</f>
        <v>If sub-outsourcing critical functions is permitted, cloud outsourcing agreements must specify excluded sub-outsourcing areas, sub-outsourcing conditions, CSP accountability for sub-outsourced services, notification requirements for sub-outsourcing, and the firm's right to object or approve sub-outsourcing. The agreement must allow time for risk assessment and objection.</v>
      </c>
      <c r="L371" s="7" t="str">
        <f>IF(ISNA(MATCH(362,'Transfer Engine'!$C$2:$C$1199,0)),"",INDEX('Compliance Database'!$L$2:$L$1199,MATCH(362,'Transfer Engine'!$C$2:$C$1199,0)))</f>
        <v>Requires explicit contractual terms for sub-outsourcing critical functions, including notification and objection rights, which are essential for DTIA to assess risks of third-party chain.</v>
      </c>
      <c r="M371" s="7" t="str">
        <f>IF(ISNA(MATCH(362,'Transfer Engine'!$C$2:$C$1199,0)),"",INDEX('Compliance Database'!$M$2:$M$1199,MATCH(362,'Transfer Engine'!$C$2:$C$1199,0)))</f>
        <v>• [Must] Specify parts of outsourced function excluded from sub-outsourcing
• [Must] Indicate conditions to be complied with in case of sub-outsourcing
• [Must] Ensure CSP remains accountable for sub-outsourced services
• [Must] Include obligation for CSP to notify firm of intended sub-outsourcing or material changes</v>
      </c>
      <c r="N371" s="7" t="str">
        <f>IF(ISNA(MATCH(362,'Transfer Engine'!$C$2:$C$1199,0)),"",INDEX('Compliance Database'!$N$2:$N$1199,MATCH(362,'Transfer Engine'!$C$2:$C$1199,0)))</f>
        <v>• [Must] Allow firm sufficient time to conduct risk assessment and object to or approve sub-outsourcing
• [Must] Ensure firm has right to object to or explicitly approve sub-outsourcing before it takes effect
• [Must] Ensure firm has right to terminate cloud outsourcing agreement if it objects to sub-outsourcing</v>
      </c>
      <c r="O371" s="7" t="str">
        <f>IF(ISNA(MATCH(362,'Transfer Engine'!$C$2:$C$1199,0)),"",INDEX('Compliance Database'!$O$2:$O$1199,MATCH(362,'Transfer Engine'!$C$2:$C$1199,0)))</f>
        <v>42. If sub-outsourcing of critical or important functions (or material parts thereof) is permitted, the cloud outsourcing written agreement between the firm and the CSP should: a) specify any part or aspect of the outsourced function that are excluded from potential sub-outsourcing; b) indicate the conditions to be complied with in case of sub-outsourcing; c) specify that the CSP remains accountable and is obliged to oversee those services that it has sub-outsourced to ensure that all contractual obligations between the CSP and the firm are continuously met; d) include an obligation for the CSP to notify the firm of any intended sub-outsourcing, or material changes thereof, in particular where that might affect the ability of the CSP to meet its obligations under the cloud outsourcing arrangement with the firm. The notification period set in the written agreement should allow the firm sufficient time at least to carry out a risk assessment of the proposed sub-outsourcing or material changes thereof and to object to or explicitly approve them, as indicated in point (e) below; e) ensure that the firm has the right to object to the intended sub-outsourcing, or material changes thereof, or that explicit approval is required before the proposed sub-outsourcing or material changes come into effect; f) ensure that the firm has the contractual right to terminate the cloud outsourcing arrangement with the CSP in case it objects to the proposed sub-outsourcing or material changes thereof and in case of undue sub-outsourcing (for example where the CSP proceeds with the sub-outsourcing without notifying the firm or it seriously infringes the conditions of the sub-outsourcing specified in the outsourcing agreement).</v>
      </c>
      <c r="P371" s="6" t="str">
        <f>IF(ISNA(MATCH(362,'Transfer Engine'!$C$2:$C$1199,0)),"",HYPERLINK("#Acts!A"&amp;INDEX('Compliance Database'!$P$2:$P$1199,MATCH(362,'Transfer Engine'!$C$2:$C$1199,0)),"Go to Act"))</f>
        <v>Go to Act</v>
      </c>
    </row>
    <row r="372" spans="1:16" ht="172.95" customHeight="1" x14ac:dyDescent="0.3">
      <c r="A372" s="6" t="str">
        <f>IF(ISNA(MATCH(363,'Transfer Engine'!$C$2:$C$1199,0)),"",INDEX('Compliance Database'!$A$2:$A$1199,MATCH(363,'Transfer Engine'!$C$2:$C$1199,0)))</f>
        <v>GDPR</v>
      </c>
      <c r="B372" s="6" t="str">
        <f>IF(ISNA(MATCH(363,'Transfer Engine'!$C$2:$C$1199,0)),"",INDEX('Compliance Database'!$B$2:$B$1199,MATCH(363,'Transfer Engine'!$C$2:$C$1199,0)))</f>
        <v>esma_cloud_guidelines (GDPR - Row 8)</v>
      </c>
      <c r="C372" s="6" t="str">
        <f>IF(ISNA(MATCH(363,'Transfer Engine'!$C$2:$C$1199,0)),"",INDEX('Compliance Database'!$C$2:$C$1199,MATCH(363,'Transfer Engine'!$C$2:$C$1199,0)))</f>
        <v>44</v>
      </c>
      <c r="D372" s="7" t="str">
        <f>IF(ISNA(MATCH(363,'Transfer Engine'!$C$2:$C$1199,0)),"",INDEX('Compliance Database'!$D$2:$D$1199,MATCH(363,'Transfer Engine'!$C$2:$C$1199,0)))</f>
        <v>Notification of critical cloud outsourcing arrangements</v>
      </c>
      <c r="E372" s="6" t="str">
        <f>IF(ISNA(MATCH(363,'Transfer Engine'!$C$2:$C$1199,0)),"",INDEX('Compliance Database'!$E$2:$E$1199,MATCH(363,'Transfer Engine'!$C$2:$C$1199,0)))</f>
        <v>20</v>
      </c>
      <c r="F372" s="6" t="str">
        <f>IF(ISNA(MATCH(363,'Transfer Engine'!$C$2:$C$1199,0)),"",INDEX('Compliance Database'!$F$2:$F$1199,MATCH(363,'Transfer Engine'!$C$2:$C$1199,0)))</f>
        <v>High</v>
      </c>
      <c r="G372" s="6" t="str">
        <f>IF(ISNA(MATCH(363,'Transfer Engine'!$C$2:$C$1199,0)),"",INDEX('Compliance Database'!$G$2:$G$1199,MATCH(363,'Transfer Engine'!$C$2:$C$1199,0)))</f>
        <v>High (explicit)</v>
      </c>
      <c r="H372" s="7" t="str">
        <f>IF(ISNA(MATCH(363,'Transfer Engine'!$C$2:$C$1199,0)),"",INDEX('Compliance Database'!$H$2:$H$1199,MATCH(363,'Transfer Engine'!$C$2:$C$1199,0)))</f>
        <v>Cloud Services</v>
      </c>
      <c r="I372" s="7" t="str">
        <f>IF(ISNA(MATCH(363,'Transfer Engine'!$C$2:$C$1199,0)),"",INDEX('Compliance Database'!$I$2:$I$1199,MATCH(363,'Transfer Engine'!$C$2:$C$1199,0)))</f>
        <v>Personal Information</v>
      </c>
      <c r="J372" s="6">
        <f>IF(ISNA(MATCH(363,'Transfer Engine'!$C$2:$C$1199,0)),"",INDEX('Compliance Database'!$J$2:$J$1199,MATCH(363,'Transfer Engine'!$C$2:$C$1199,0)))</f>
        <v>0</v>
      </c>
      <c r="K372" s="7" t="str">
        <f>IF(ISNA(MATCH(363,'Transfer Engine'!$C$2:$C$1199,0)),"",INDEX('Compliance Database'!$K$2:$K$1199,MATCH(363,'Transfer Engine'!$C$2:$C$1199,0)))</f>
        <v>Firms must notify their competent authority in writing of planned cloud outsourcing arrangements for critical or important functions. This also applies to functions previously classified as non-critical that become critical or important.</v>
      </c>
      <c r="L372" s="7" t="str">
        <f>IF(ISNA(MATCH(363,'Transfer Engine'!$C$2:$C$1199,0)),"",INDEX('Compliance Database'!$L$2:$L$1199,MATCH(363,'Transfer Engine'!$C$2:$C$1199,0)))</f>
        <v>Requires firms to inform regulators about critical cloud outsourcing, which is essential for DTIA to track and assess risks of critical functions being outsourced.</v>
      </c>
      <c r="M372" s="7" t="str">
        <f>IF(ISNA(MATCH(363,'Transfer Engine'!$C$2:$C$1199,0)),"",INDEX('Compliance Database'!$M$2:$M$1199,MATCH(363,'Transfer Engine'!$C$2:$C$1199,0)))</f>
        <v>• [Must] Notify competent authority in writing of planned cloud outsourcing arrangements for critical or important functions</v>
      </c>
      <c r="N372" s="7" t="str">
        <f>IF(ISNA(MATCH(363,'Transfer Engine'!$C$2:$C$1199,0)),"",INDEX('Compliance Database'!$N$2:$N$1199,MATCH(363,'Transfer Engine'!$C$2:$C$1199,0)))</f>
        <v>• [Must] Notify competent authority in writing of cloud outsourcing arrangements that become critical or important</v>
      </c>
      <c r="O372" s="7" t="str">
        <f>IF(ISNA(MATCH(363,'Transfer Engine'!$C$2:$C$1199,0)),"",INDEX('Compliance Database'!$O$2:$O$1199,MATCH(363,'Transfer Engine'!$C$2:$C$1199,0)))</f>
        <v>44. The firm should notify in writing its competent authority in a timely manner of planned cloud outsourcing arrangements that concern a critical or important function. The firm should also notify in a timely manner and in writing its competent authority of those cloud outsourcing arrangements that concern a function that was previously classified as non-critical or non-important and then became critical or important.</v>
      </c>
      <c r="P372" s="6" t="str">
        <f>IF(ISNA(MATCH(363,'Transfer Engine'!$C$2:$C$1199,0)),"",HYPERLINK("#Acts!A"&amp;INDEX('Compliance Database'!$P$2:$P$1199,MATCH(363,'Transfer Engine'!$C$2:$C$1199,0)),"Go to Act"))</f>
        <v>Go to Act</v>
      </c>
    </row>
    <row r="373" spans="1:16" ht="172.95" customHeight="1" x14ac:dyDescent="0.3">
      <c r="A373" s="6" t="str">
        <f>IF(ISNA(MATCH(364,'Transfer Engine'!$C$2:$C$1199,0)),"",INDEX('Compliance Database'!$A$2:$A$1199,MATCH(364,'Transfer Engine'!$C$2:$C$1199,0)))</f>
        <v>GDPR</v>
      </c>
      <c r="B373" s="6" t="str">
        <f>IF(ISNA(MATCH(364,'Transfer Engine'!$C$2:$C$1199,0)),"",INDEX('Compliance Database'!$B$2:$B$1199,MATCH(364,'Transfer Engine'!$C$2:$C$1199,0)))</f>
        <v>esma_cloud_guidelines (GDPR - Row 8)</v>
      </c>
      <c r="C373" s="6" t="str">
        <f>IF(ISNA(MATCH(364,'Transfer Engine'!$C$2:$C$1199,0)),"",INDEX('Compliance Database'!$C$2:$C$1199,MATCH(364,'Transfer Engine'!$C$2:$C$1199,0)))</f>
        <v>45</v>
      </c>
      <c r="D373" s="7" t="str">
        <f>IF(ISNA(MATCH(364,'Transfer Engine'!$C$2:$C$1199,0)),"",INDEX('Compliance Database'!$D$2:$D$1199,MATCH(364,'Transfer Engine'!$C$2:$C$1199,0)))</f>
        <v>Cloud outsourcing notification content requirements</v>
      </c>
      <c r="E373" s="6" t="str">
        <f>IF(ISNA(MATCH(364,'Transfer Engine'!$C$2:$C$1199,0)),"",INDEX('Compliance Database'!$E$2:$E$1199,MATCH(364,'Transfer Engine'!$C$2:$C$1199,0)))</f>
        <v>20–21</v>
      </c>
      <c r="F373" s="6" t="str">
        <f>IF(ISNA(MATCH(364,'Transfer Engine'!$C$2:$C$1199,0)),"",INDEX('Compliance Database'!$F$2:$F$1199,MATCH(364,'Transfer Engine'!$C$2:$C$1199,0)))</f>
        <v>High</v>
      </c>
      <c r="G373" s="6" t="str">
        <f>IF(ISNA(MATCH(364,'Transfer Engine'!$C$2:$C$1199,0)),"",INDEX('Compliance Database'!$G$2:$G$1199,MATCH(364,'Transfer Engine'!$C$2:$C$1199,0)))</f>
        <v>High (explicit)</v>
      </c>
      <c r="H373" s="7" t="str">
        <f>IF(ISNA(MATCH(364,'Transfer Engine'!$C$2:$C$1199,0)),"",INDEX('Compliance Database'!$H$2:$H$1199,MATCH(364,'Transfer Engine'!$C$2:$C$1199,0)))</f>
        <v>Cloud Services</v>
      </c>
      <c r="I373" s="7" t="str">
        <f>IF(ISNA(MATCH(364,'Transfer Engine'!$C$2:$C$1199,0)),"",INDEX('Compliance Database'!$I$2:$I$1199,MATCH(364,'Transfer Engine'!$C$2:$C$1199,0)))</f>
        <v>Personal Information</v>
      </c>
      <c r="J373" s="6">
        <f>IF(ISNA(MATCH(364,'Transfer Engine'!$C$2:$C$1199,0)),"",INDEX('Compliance Database'!$J$2:$J$1199,MATCH(364,'Transfer Engine'!$C$2:$C$1199,0)))</f>
        <v>0</v>
      </c>
      <c r="K373" s="7" t="str">
        <f>IF(ISNA(MATCH(364,'Transfer Engine'!$C$2:$C$1199,0)),"",INDEX('Compliance Database'!$K$2:$K$1199,MATCH(364,'Transfer Engine'!$C$2:$C$1199,0)))</f>
        <v>Firms must include specific information in written notifications to competent authorities about cloud outsourcing arrangements, including start dates, reasons for criticality, CSP details, data locations, risk assessments, and sub-outsourcers. The information must be proportionate and relevant.</v>
      </c>
      <c r="L373" s="7" t="str">
        <f>IF(ISNA(MATCH(364,'Transfer Engine'!$C$2:$C$1199,0)),"",INDEX('Compliance Database'!$L$2:$L$1199,MATCH(364,'Transfer Engine'!$C$2:$C$1199,0)))</f>
        <v>Details required in notifications help DTIA assess risks by providing transparency on data locations, CSPs, and sub-outsourcers, which is critical for cross-border data flows.</v>
      </c>
      <c r="M373" s="7" t="str">
        <f>IF(ISNA(MATCH(364,'Transfer Engine'!$C$2:$C$1199,0)),"",INDEX('Compliance Database'!$M$2:$M$1199,MATCH(364,'Transfer Engine'!$C$2:$C$1199,0)))</f>
        <v>• [Must] Include start date of cloud outsourcing agreement and next renewal date, end date, and notice periods
• [Must] Provide brief description of outsourced function
• [Must] State reasons why outsourced function is critical or important
• [Must] List CSP name, brand, country of registration, corporate registration number, legal entity identifier, registered address, contact details, and parent company
• [Must] Specify governing law and jurisdiction choice of cloud outsourcing agreement</v>
      </c>
      <c r="N373" s="7" t="str">
        <f>IF(ISNA(MATCH(364,'Transfer Engine'!$C$2:$C$1199,0)),"",INDEX('Compliance Database'!$N$2:$N$1199,MATCH(364,'Transfer Engine'!$C$2:$C$1199,0)))</f>
        <v>• [Must] Detail cloud deployment models and data storage locations
• [Must] Include date of most recent assessment of criticality or importance
• [Must] Provide date of most recent risk assessment or audit with summary of results
• [Must] Identify individual or decision-making body that approved cloud outsourcing
• [Must] List sub-outsourcers with their country, service location, and data storage locations</v>
      </c>
      <c r="O373" s="7" t="str">
        <f>IF(ISNA(MATCH(364,'Transfer Engine'!$C$2:$C$1199,0)),"",INDEX('Compliance Database'!$O$2:$O$1199,MATCH(364,'Transfer Engine'!$C$2:$C$1199,0)))</f>
        <v>45. The firm's written notification should include, taking into account the principle of proportionality, at least the following information: a) the start date of the cloud outsourcing agreement and, as applicable, the next contract renewal date, the end date and/or notice periods for the CSP and for the firm; b) a brief description of the outsourced function; c) a brief summary of the reasons why the outsourced function is considered critical or important; d) the name and the brand name (if any) of the CSP, its country of registration, its corporate registration number, its legal entity identifier (where available), its registered address, its relevant contact details, and the name of its parent company (if any); e) the governing law of the cloud outsourcing agreement and, if any, the choice of jurisdiction; f) the cloud deployment models and the specific nature of the data to be held by the CSP and the locations (namely regions or countries) where such data will be stored; g) the date of the most recent assessment of the criticality or importance of the outsourced function; h) the date of the most recent risk assessment or audit of the CSP together with a brief summary of the main results, and the date of the next planned risk assessment or audit; i) the individual or decision-making body in the firm that approved the cloud outsourcing arrangement; j) where applicable, the names of any sub-outsourcer to which material parts of a critical or important function are sub-outsourced, including the country or region where the sub-outsourcers are registered, where the sub-outsourced service will be performed, and where the data will be stored;</v>
      </c>
      <c r="P373" s="6" t="str">
        <f>IF(ISNA(MATCH(364,'Transfer Engine'!$C$2:$C$1199,0)),"",HYPERLINK("#Acts!A"&amp;INDEX('Compliance Database'!$P$2:$P$1199,MATCH(364,'Transfer Engine'!$C$2:$C$1199,0)),"Go to Act"))</f>
        <v>Go to Act</v>
      </c>
    </row>
    <row r="374" spans="1:16" ht="172.95" customHeight="1" x14ac:dyDescent="0.3">
      <c r="A374" s="6" t="str">
        <f>IF(ISNA(MATCH(365,'Transfer Engine'!$C$2:$C$1199,0)),"",INDEX('Compliance Database'!$A$2:$A$1199,MATCH(365,'Transfer Engine'!$C$2:$C$1199,0)))</f>
        <v>GDPR</v>
      </c>
      <c r="B374" s="6" t="str">
        <f>IF(ISNA(MATCH(365,'Transfer Engine'!$C$2:$C$1199,0)),"",INDEX('Compliance Database'!$B$2:$B$1199,MATCH(365,'Transfer Engine'!$C$2:$C$1199,0)))</f>
        <v>esma_cloud_guidelines (GDPR - Row 8)</v>
      </c>
      <c r="C374" s="6" t="str">
        <f>IF(ISNA(MATCH(365,'Transfer Engine'!$C$2:$C$1199,0)),"",INDEX('Compliance Database'!$C$2:$C$1199,MATCH(365,'Transfer Engine'!$C$2:$C$1199,0)))</f>
        <v>46</v>
      </c>
      <c r="D374" s="7" t="str">
        <f>IF(ISNA(MATCH(365,'Transfer Engine'!$C$2:$C$1199,0)),"",INDEX('Compliance Database'!$D$2:$D$1199,MATCH(365,'Transfer Engine'!$C$2:$C$1199,0)))</f>
        <v>Competent authorities assess cloud outsourcing risks</v>
      </c>
      <c r="E374" s="6" t="str">
        <f>IF(ISNA(MATCH(365,'Transfer Engine'!$C$2:$C$1199,0)),"",INDEX('Compliance Database'!$E$2:$E$1199,MATCH(365,'Transfer Engine'!$C$2:$C$1199,0)))</f>
        <v>21</v>
      </c>
      <c r="F374" s="6" t="str">
        <f>IF(ISNA(MATCH(365,'Transfer Engine'!$C$2:$C$1199,0)),"",INDEX('Compliance Database'!$F$2:$F$1199,MATCH(365,'Transfer Engine'!$C$2:$C$1199,0)))</f>
        <v>High</v>
      </c>
      <c r="G374" s="6" t="str">
        <f>IF(ISNA(MATCH(365,'Transfer Engine'!$C$2:$C$1199,0)),"",INDEX('Compliance Database'!$G$2:$G$1199,MATCH(365,'Transfer Engine'!$C$2:$C$1199,0)))</f>
        <v>High (explicit)</v>
      </c>
      <c r="H374" s="7" t="str">
        <f>IF(ISNA(MATCH(365,'Transfer Engine'!$C$2:$C$1199,0)),"",INDEX('Compliance Database'!$H$2:$H$1199,MATCH(365,'Transfer Engine'!$C$2:$C$1199,0)))</f>
        <v>Cloud Services</v>
      </c>
      <c r="I374" s="7" t="str">
        <f>IF(ISNA(MATCH(365,'Transfer Engine'!$C$2:$C$1199,0)),"",INDEX('Compliance Database'!$I$2:$I$1199,MATCH(365,'Transfer Engine'!$C$2:$C$1199,0)))</f>
        <v>Customer Data</v>
      </c>
      <c r="J374" s="6" t="str">
        <f>IF(ISNA(MATCH(365,'Transfer Engine'!$C$2:$C$1199,0)),"",INDEX('Compliance Database'!$J$2:$J$1199,MATCH(365,'Transfer Engine'!$C$2:$C$1199,0)))</f>
        <v>Competent authorities</v>
      </c>
      <c r="K374" s="7" t="str">
        <f>IF(ISNA(MATCH(365,'Transfer Engine'!$C$2:$C$1199,0)),"",INDEX('Compliance Database'!$K$2:$K$1199,MATCH(365,'Transfer Engine'!$C$2:$C$1199,0)))</f>
        <v>Competent authorities must evaluate risks from firms' cloud outsourcing arrangements during supervision. The assessment specifically targets critical or important functions that are outsourced. This requirement applies to financial institutions under EU regulatory oversight.</v>
      </c>
      <c r="L374" s="7" t="str">
        <f>IF(ISNA(MATCH(365,'Transfer Engine'!$C$2:$C$1199,0)),"",INDEX('Compliance Database'!$L$2:$L$1199,MATCH(365,'Transfer Engine'!$C$2:$C$1199,0)))</f>
        <v>Competent authorities require risk assessments for cloud outsourcing of critical functions, impacting DTIA by mandating specific risk evaluation for cross-border cloud data transfers.</v>
      </c>
      <c r="M374" s="7" t="str">
        <f>IF(ISNA(MATCH(365,'Transfer Engine'!$C$2:$C$1199,0)),"",INDEX('Compliance Database'!$M$2:$M$1199,MATCH(365,'Transfer Engine'!$C$2:$C$1199,0)))</f>
        <v>• [Must] Competent authorities should assess risks arising from firms' cloud outsourcing arrangements</v>
      </c>
      <c r="N374" s="7" t="str">
        <f>IF(ISNA(MATCH(365,'Transfer Engine'!$C$2:$C$1199,0)),"",INDEX('Compliance Database'!$N$2:$N$1199,MATCH(365,'Transfer Engine'!$C$2:$C$1199,0)))</f>
        <v>• [Must] Assessment should focus on arrangements related to outsourcing critical or important functions</v>
      </c>
      <c r="O374" s="7" t="str">
        <f>IF(ISNA(MATCH(365,'Transfer Engine'!$C$2:$C$1199,0)),"",INDEX('Compliance Database'!$O$2:$O$1199,MATCH(365,'Transfer Engine'!$C$2:$C$1199,0)))</f>
        <v>46. Competent authorities should assess the risks arising from firms' cloud outsourcing arrangements as part of their supervisory process. In particular, this assessment should focus on the arrangements that relate to the outsourcing of critical or important functions.</v>
      </c>
      <c r="P374" s="6" t="str">
        <f>IF(ISNA(MATCH(365,'Transfer Engine'!$C$2:$C$1199,0)),"",HYPERLINK("#Acts!A"&amp;INDEX('Compliance Database'!$P$2:$P$1199,MATCH(365,'Transfer Engine'!$C$2:$C$1199,0)),"Go to Act"))</f>
        <v>Go to Act</v>
      </c>
    </row>
    <row r="375" spans="1:16" ht="172.95" customHeight="1" x14ac:dyDescent="0.3">
      <c r="A375" s="6" t="str">
        <f>IF(ISNA(MATCH(366,'Transfer Engine'!$C$2:$C$1199,0)),"",INDEX('Compliance Database'!$A$2:$A$1199,MATCH(366,'Transfer Engine'!$C$2:$C$1199,0)))</f>
        <v>GDPR</v>
      </c>
      <c r="B375" s="6" t="str">
        <f>IF(ISNA(MATCH(366,'Transfer Engine'!$C$2:$C$1199,0)),"",INDEX('Compliance Database'!$B$2:$B$1199,MATCH(366,'Transfer Engine'!$C$2:$C$1199,0)))</f>
        <v>esma_cloud_guidelines (GDPR - Row 8)</v>
      </c>
      <c r="C375" s="6" t="str">
        <f>IF(ISNA(MATCH(366,'Transfer Engine'!$C$2:$C$1199,0)),"",INDEX('Compliance Database'!$C$2:$C$1199,MATCH(366,'Transfer Engine'!$C$2:$C$1199,0)))</f>
        <v>47</v>
      </c>
      <c r="D375" s="7" t="str">
        <f>IF(ISNA(MATCH(366,'Transfer Engine'!$C$2:$C$1199,0)),"",INDEX('Compliance Database'!$D$2:$D$1199,MATCH(366,'Transfer Engine'!$C$2:$C$1199,0)))</f>
        <v>Competent authorities ensure effective supervision of outsourced critical functions</v>
      </c>
      <c r="E375" s="6" t="str">
        <f>IF(ISNA(MATCH(366,'Transfer Engine'!$C$2:$C$1199,0)),"",INDEX('Compliance Database'!$E$2:$E$1199,MATCH(366,'Transfer Engine'!$C$2:$C$1199,0)))</f>
        <v>21</v>
      </c>
      <c r="F375" s="6" t="str">
        <f>IF(ISNA(MATCH(366,'Transfer Engine'!$C$2:$C$1199,0)),"",INDEX('Compliance Database'!$F$2:$F$1199,MATCH(366,'Transfer Engine'!$C$2:$C$1199,0)))</f>
        <v>High</v>
      </c>
      <c r="G375" s="6" t="str">
        <f>IF(ISNA(MATCH(366,'Transfer Engine'!$C$2:$C$1199,0)),"",INDEX('Compliance Database'!$G$2:$G$1199,MATCH(366,'Transfer Engine'!$C$2:$C$1199,0)))</f>
        <v>High (explicit)</v>
      </c>
      <c r="H375" s="7" t="str">
        <f>IF(ISNA(MATCH(366,'Transfer Engine'!$C$2:$C$1199,0)),"",INDEX('Compliance Database'!$H$2:$H$1199,MATCH(366,'Transfer Engine'!$C$2:$C$1199,0)))</f>
        <v>Cloud Services</v>
      </c>
      <c r="I375" s="7" t="str">
        <f>IF(ISNA(MATCH(366,'Transfer Engine'!$C$2:$C$1199,0)),"",INDEX('Compliance Database'!$I$2:$I$1199,MATCH(366,'Transfer Engine'!$C$2:$C$1199,0)))</f>
        <v>Customer Data</v>
      </c>
      <c r="J375" s="6" t="str">
        <f>IF(ISNA(MATCH(366,'Transfer Engine'!$C$2:$C$1199,0)),"",INDEX('Compliance Database'!$J$2:$J$1199,MATCH(366,'Transfer Engine'!$C$2:$C$1199,0)))</f>
        <v>Competent authorities</v>
      </c>
      <c r="K375" s="7" t="str">
        <f>IF(ISNA(MATCH(366,'Transfer Engine'!$C$2:$C$1199,0)),"",INDEX('Compliance Database'!$K$2:$K$1199,MATCH(366,'Transfer Engine'!$C$2:$C$1199,0)))</f>
        <v>Competent authorities must confirm their capacity to supervise effectively when firms outsource critical functions outside the EU. This requirement ensures regulatory oversight remains robust for financial institutions operating across borders.</v>
      </c>
      <c r="L375" s="7" t="str">
        <f>IF(ISNA(MATCH(366,'Transfer Engine'!$C$2:$C$1199,0)),"",INDEX('Compliance Database'!$L$2:$L$1199,MATCH(366,'Transfer Engine'!$C$2:$C$1199,0)))</f>
        <v>Competent authorities must verify supervision effectiveness for outsourced critical functions outside the EU, directly affecting DTIA by requiring cross-border cloud data transfer safeguards.</v>
      </c>
      <c r="M375" s="7" t="str">
        <f>IF(ISNA(MATCH(366,'Transfer Engine'!$C$2:$C$1199,0)),"",INDEX('Compliance Database'!$M$2:$M$1199,MATCH(366,'Transfer Engine'!$C$2:$C$1199,0)))</f>
        <v>• [Must] Competent authorities should be satisfied they are able to perform effective supervision</v>
      </c>
      <c r="N375" s="7" t="str">
        <f>IF(ISNA(MATCH(366,'Transfer Engine'!$C$2:$C$1199,0)),"",INDEX('Compliance Database'!$N$2:$N$1199,MATCH(366,'Transfer Engine'!$C$2:$C$1199,0)))</f>
        <v>• [Condition] This applies when firms outsource critical or important functions outside the EU</v>
      </c>
      <c r="O375" s="7" t="str">
        <f>IF(ISNA(MATCH(366,'Transfer Engine'!$C$2:$C$1199,0)),"",INDEX('Compliance Database'!$O$2:$O$1199,MATCH(366,'Transfer Engine'!$C$2:$C$1199,0)))</f>
        <v>47. Competent authorities should be satisfied that they are able to perform effective supervision, in particular when firms outsource critical or important functions that are performed outside the EU.</v>
      </c>
      <c r="P375" s="6" t="str">
        <f>IF(ISNA(MATCH(366,'Transfer Engine'!$C$2:$C$1199,0)),"",HYPERLINK("#Acts!A"&amp;INDEX('Compliance Database'!$P$2:$P$1199,MATCH(366,'Transfer Engine'!$C$2:$C$1199,0)),"Go to Act"))</f>
        <v>Go to Act</v>
      </c>
    </row>
    <row r="376" spans="1:16" ht="172.95" customHeight="1" x14ac:dyDescent="0.3">
      <c r="A376" s="6" t="str">
        <f>IF(ISNA(MATCH(367,'Transfer Engine'!$C$2:$C$1199,0)),"",INDEX('Compliance Database'!$A$2:$A$1199,MATCH(367,'Transfer Engine'!$C$2:$C$1199,0)))</f>
        <v>GDPR</v>
      </c>
      <c r="B376" s="6" t="str">
        <f>IF(ISNA(MATCH(367,'Transfer Engine'!$C$2:$C$1199,0)),"",INDEX('Compliance Database'!$B$2:$B$1199,MATCH(367,'Transfer Engine'!$C$2:$C$1199,0)))</f>
        <v>esma_cloud_guidelines (GDPR - Row 8)</v>
      </c>
      <c r="C376" s="6" t="str">
        <f>IF(ISNA(MATCH(367,'Transfer Engine'!$C$2:$C$1199,0)),"",INDEX('Compliance Database'!$C$2:$C$1199,MATCH(367,'Transfer Engine'!$C$2:$C$1199,0)))</f>
        <v>48</v>
      </c>
      <c r="D376" s="7" t="str">
        <f>IF(ISNA(MATCH(367,'Transfer Engine'!$C$2:$C$1199,0)),"",INDEX('Compliance Database'!$D$2:$D$1199,MATCH(367,'Transfer Engine'!$C$2:$C$1199,0)))</f>
        <v>Competent authorities assess cloud outsourcing governance and risk management</v>
      </c>
      <c r="E376" s="6" t="str">
        <f>IF(ISNA(MATCH(367,'Transfer Engine'!$C$2:$C$1199,0)),"",INDEX('Compliance Database'!$E$2:$E$1199,MATCH(367,'Transfer Engine'!$C$2:$C$1199,0)))</f>
        <v>21</v>
      </c>
      <c r="F376" s="6" t="str">
        <f>IF(ISNA(MATCH(367,'Transfer Engine'!$C$2:$C$1199,0)),"",INDEX('Compliance Database'!$F$2:$F$1199,MATCH(367,'Transfer Engine'!$C$2:$C$1199,0)))</f>
        <v>High</v>
      </c>
      <c r="G376" s="6" t="str">
        <f>IF(ISNA(MATCH(367,'Transfer Engine'!$C$2:$C$1199,0)),"",INDEX('Compliance Database'!$G$2:$G$1199,MATCH(367,'Transfer Engine'!$C$2:$C$1199,0)))</f>
        <v>High (explicit)</v>
      </c>
      <c r="H376" s="7" t="str">
        <f>IF(ISNA(MATCH(367,'Transfer Engine'!$C$2:$C$1199,0)),"",INDEX('Compliance Database'!$H$2:$H$1199,MATCH(367,'Transfer Engine'!$C$2:$C$1199,0)))</f>
        <v>Cloud Services</v>
      </c>
      <c r="I376" s="7" t="str">
        <f>IF(ISNA(MATCH(367,'Transfer Engine'!$C$2:$C$1199,0)),"",INDEX('Compliance Database'!$I$2:$I$1199,MATCH(367,'Transfer Engine'!$C$2:$C$1199,0)))</f>
        <v>Customer Data</v>
      </c>
      <c r="J376" s="6" t="str">
        <f>IF(ISNA(MATCH(367,'Transfer Engine'!$C$2:$C$1199,0)),"",INDEX('Compliance Database'!$J$2:$J$1199,MATCH(367,'Transfer Engine'!$C$2:$C$1199,0)))</f>
        <v>Competent authorities</v>
      </c>
      <c r="K376" s="7" t="str">
        <f>IF(ISNA(MATCH(367,'Transfer Engine'!$C$2:$C$1199,0)),"",INDEX('Compliance Database'!$K$2:$K$1199,MATCH(367,'Transfer Engine'!$C$2:$C$1199,0)))</f>
        <v>Competent authorities must evaluate firms' governance, resources, and processes for cloud outsourcing on a risk-based approach. They must also ensure firms identify and manage all relevant risks associated with cloud outsourcing activities.</v>
      </c>
      <c r="L376" s="7" t="str">
        <f>IF(ISNA(MATCH(367,'Transfer Engine'!$C$2:$C$1199,0)),"",INDEX('Compliance Database'!$L$2:$L$1199,MATCH(367,'Transfer Engine'!$C$2:$C$1199,0)))</f>
        <v>Competent authorities require firms to implement robust governance and risk management for cloud outsourcing, directly impacting DTIA by mandating specific controls for cross-border data transfers.</v>
      </c>
      <c r="M376" s="7" t="str">
        <f>IF(ISNA(MATCH(367,'Transfer Engine'!$C$2:$C$1199,0)),"",INDEX('Compliance Database'!$M$2:$M$1199,MATCH(367,'Transfer Engine'!$C$2:$C$1199,0)))</f>
        <v>• [Must] Competent authorities should assess whether firms have governance, resources and operational processes to enter, implement, and oversee cloud outsourcing arrangements</v>
      </c>
      <c r="N376" s="7" t="str">
        <f>IF(ISNA(MATCH(367,'Transfer Engine'!$C$2:$C$1199,0)),"",INDEX('Compliance Database'!$N$2:$N$1199,MATCH(367,'Transfer Engine'!$C$2:$C$1199,0)))</f>
        <v>• [Must] Competent authorities should assess whether firms identify and manage all relevant risks related to cloud outsourcing</v>
      </c>
      <c r="O376" s="7" t="str">
        <f>IF(ISNA(MATCH(367,'Transfer Engine'!$C$2:$C$1199,0)),"",INDEX('Compliance Database'!$O$2:$O$1199,MATCH(367,'Transfer Engine'!$C$2:$C$1199,0)))</f>
        <v>48. Competent authorities should assess on a risk-based approach whether firms: a) have in place the relevant governance, resources and operational processes to appropriately and effectively enter into, implement, and oversee cloud outsourcing arrangements; b) identify and manage all relevant risks related to cloud outsourcing.</v>
      </c>
      <c r="P376" s="6" t="str">
        <f>IF(ISNA(MATCH(367,'Transfer Engine'!$C$2:$C$1199,0)),"",HYPERLINK("#Acts!A"&amp;INDEX('Compliance Database'!$P$2:$P$1199,MATCH(367,'Transfer Engine'!$C$2:$C$1199,0)),"Go to Act"))</f>
        <v>Go to Act</v>
      </c>
    </row>
    <row r="377" spans="1:16" ht="172.95" customHeight="1" x14ac:dyDescent="0.3">
      <c r="A377" s="6" t="str">
        <f>IF(ISNA(MATCH(368,'Transfer Engine'!$C$2:$C$1199,0)),"",INDEX('Compliance Database'!$A$2:$A$1199,MATCH(368,'Transfer Engine'!$C$2:$C$1199,0)))</f>
        <v>GDPR</v>
      </c>
      <c r="B377" s="6" t="str">
        <f>IF(ISNA(MATCH(368,'Transfer Engine'!$C$2:$C$1199,0)),"",INDEX('Compliance Database'!$B$2:$B$1199,MATCH(368,'Transfer Engine'!$C$2:$C$1199,0)))</f>
        <v>esma_cloud_guidelines (GDPR - Row 8)</v>
      </c>
      <c r="C377" s="6" t="str">
        <f>IF(ISNA(MATCH(368,'Transfer Engine'!$C$2:$C$1199,0)),"",INDEX('Compliance Database'!$C$2:$C$1199,MATCH(368,'Transfer Engine'!$C$2:$C$1199,0)))</f>
        <v>49</v>
      </c>
      <c r="D377" s="7" t="str">
        <f>IF(ISNA(MATCH(368,'Transfer Engine'!$C$2:$C$1199,0)),"",INDEX('Compliance Database'!$D$2:$D$1199,MATCH(368,'Transfer Engine'!$C$2:$C$1199,0)))</f>
        <v>Competent authorities monitor concentration risks from cloud outsourcing</v>
      </c>
      <c r="E377" s="6" t="str">
        <f>IF(ISNA(MATCH(368,'Transfer Engine'!$C$2:$C$1199,0)),"",INDEX('Compliance Database'!$E$2:$E$1199,MATCH(368,'Transfer Engine'!$C$2:$C$1199,0)))</f>
        <v>21</v>
      </c>
      <c r="F377" s="6" t="str">
        <f>IF(ISNA(MATCH(368,'Transfer Engine'!$C$2:$C$1199,0)),"",INDEX('Compliance Database'!$F$2:$F$1199,MATCH(368,'Transfer Engine'!$C$2:$C$1199,0)))</f>
        <v>High</v>
      </c>
      <c r="G377" s="6" t="str">
        <f>IF(ISNA(MATCH(368,'Transfer Engine'!$C$2:$C$1199,0)),"",INDEX('Compliance Database'!$G$2:$G$1199,MATCH(368,'Transfer Engine'!$C$2:$C$1199,0)))</f>
        <v>High (explicit)</v>
      </c>
      <c r="H377" s="7" t="str">
        <f>IF(ISNA(MATCH(368,'Transfer Engine'!$C$2:$C$1199,0)),"",INDEX('Compliance Database'!$H$2:$H$1199,MATCH(368,'Transfer Engine'!$C$2:$C$1199,0)))</f>
        <v>Cloud Services</v>
      </c>
      <c r="I377" s="7" t="str">
        <f>IF(ISNA(MATCH(368,'Transfer Engine'!$C$2:$C$1199,0)),"",INDEX('Compliance Database'!$I$2:$I$1199,MATCH(368,'Transfer Engine'!$C$2:$C$1199,0)))</f>
        <v>Customer Data</v>
      </c>
      <c r="J377" s="6" t="str">
        <f>IF(ISNA(MATCH(368,'Transfer Engine'!$C$2:$C$1199,0)),"",INDEX('Compliance Database'!$J$2:$J$1199,MATCH(368,'Transfer Engine'!$C$2:$C$1199,0)))</f>
        <v>Competent authorities</v>
      </c>
      <c r="K377" s="7" t="str">
        <f>IF(ISNA(MATCH(368,'Transfer Engine'!$C$2:$C$1199,0)),"",INDEX('Compliance Database'!$K$2:$K$1199,MATCH(368,'Transfer Engine'!$C$2:$C$1199,0)))</f>
        <v>If concentration risks are identified, competent authorities must monitor the development of these risks and evaluate their potential impact on other firms and financial market stability. This applies to cloud outsourcing activities that could affect market concentration.</v>
      </c>
      <c r="L377" s="7" t="str">
        <f>IF(ISNA(MATCH(368,'Transfer Engine'!$C$2:$C$1199,0)),"",INDEX('Compliance Database'!$L$2:$L$1199,MATCH(368,'Transfer Engine'!$C$2:$C$1199,0)))</f>
        <v>Competent authorities must monitor concentration risks from cloud outsourcing, directly affecting DTIA by requiring assessment of cross-border data transfer impacts on market stability.</v>
      </c>
      <c r="M377" s="7" t="str">
        <f>IF(ISNA(MATCH(368,'Transfer Engine'!$C$2:$C$1199,0)),"",INDEX('Compliance Database'!$M$2:$M$1199,MATCH(368,'Transfer Engine'!$C$2:$C$1199,0)))</f>
        <v>• [Must] Competent authorities should monitor development of concentration risks</v>
      </c>
      <c r="N377" s="7" t="str">
        <f>IF(ISNA(MATCH(368,'Transfer Engine'!$C$2:$C$1199,0)),"",INDEX('Compliance Database'!$N$2:$N$1199,MATCH(368,'Transfer Engine'!$C$2:$C$1199,0)))</f>
        <v>• [Must] Competent authorities should evaluate potential impact on other firms and financial market stability</v>
      </c>
      <c r="O377" s="7" t="str">
        <f>IF(ISNA(MATCH(368,'Transfer Engine'!$C$2:$C$1199,0)),"",INDEX('Compliance Database'!$O$2:$O$1199,MATCH(368,'Transfer Engine'!$C$2:$C$1199,0)))</f>
        <v>49. Where concentration risks are identified, competent authorities should monitor the development of such risks and evaluate both their potential impact on other firms they supervise and the stability of the financial market.</v>
      </c>
      <c r="P377" s="6" t="str">
        <f>IF(ISNA(MATCH(368,'Transfer Engine'!$C$2:$C$1199,0)),"",HYPERLINK("#Acts!A"&amp;INDEX('Compliance Database'!$P$2:$P$1199,MATCH(368,'Transfer Engine'!$C$2:$C$1199,0)),"Go to Act"))</f>
        <v>Go to Act</v>
      </c>
    </row>
    <row r="378" spans="1:16" ht="172.95" customHeight="1" x14ac:dyDescent="0.3">
      <c r="A378" s="6" t="str">
        <f>IF(ISNA(MATCH(369,'Transfer Engine'!$C$2:$C$1199,0)),"",INDEX('Compliance Database'!$A$2:$A$1199,MATCH(369,'Transfer Engine'!$C$2:$C$1199,0)))</f>
        <v/>
      </c>
      <c r="B378" s="6" t="str">
        <f>IF(ISNA(MATCH(369,'Transfer Engine'!$C$2:$C$1199,0)),"",INDEX('Compliance Database'!$B$2:$B$1199,MATCH(369,'Transfer Engine'!$C$2:$C$1199,0)))</f>
        <v/>
      </c>
      <c r="C378" s="6" t="str">
        <f>IF(ISNA(MATCH(369,'Transfer Engine'!$C$2:$C$1199,0)),"",INDEX('Compliance Database'!$C$2:$C$1199,MATCH(369,'Transfer Engine'!$C$2:$C$1199,0)))</f>
        <v/>
      </c>
      <c r="D378" s="7" t="str">
        <f>IF(ISNA(MATCH(369,'Transfer Engine'!$C$2:$C$1199,0)),"",INDEX('Compliance Database'!$D$2:$D$1199,MATCH(369,'Transfer Engine'!$C$2:$C$1199,0)))</f>
        <v/>
      </c>
      <c r="E378" s="6" t="str">
        <f>IF(ISNA(MATCH(369,'Transfer Engine'!$C$2:$C$1199,0)),"",INDEX('Compliance Database'!$E$2:$E$1199,MATCH(369,'Transfer Engine'!$C$2:$C$1199,0)))</f>
        <v/>
      </c>
      <c r="F378" s="6" t="str">
        <f>IF(ISNA(MATCH(369,'Transfer Engine'!$C$2:$C$1199,0)),"",INDEX('Compliance Database'!$F$2:$F$1199,MATCH(369,'Transfer Engine'!$C$2:$C$1199,0)))</f>
        <v/>
      </c>
      <c r="G378" s="6" t="str">
        <f>IF(ISNA(MATCH(369,'Transfer Engine'!$C$2:$C$1199,0)),"",INDEX('Compliance Database'!$G$2:$G$1199,MATCH(369,'Transfer Engine'!$C$2:$C$1199,0)))</f>
        <v/>
      </c>
      <c r="H378" s="7" t="str">
        <f>IF(ISNA(MATCH(369,'Transfer Engine'!$C$2:$C$1199,0)),"",INDEX('Compliance Database'!$H$2:$H$1199,MATCH(369,'Transfer Engine'!$C$2:$C$1199,0)))</f>
        <v/>
      </c>
      <c r="I378" s="7" t="str">
        <f>IF(ISNA(MATCH(369,'Transfer Engine'!$C$2:$C$1199,0)),"",INDEX('Compliance Database'!$I$2:$I$1199,MATCH(369,'Transfer Engine'!$C$2:$C$1199,0)))</f>
        <v/>
      </c>
      <c r="J378" s="6" t="str">
        <f>IF(ISNA(MATCH(369,'Transfer Engine'!$C$2:$C$1199,0)),"",INDEX('Compliance Database'!$J$2:$J$1199,MATCH(369,'Transfer Engine'!$C$2:$C$1199,0)))</f>
        <v/>
      </c>
      <c r="K378" s="7" t="str">
        <f>IF(ISNA(MATCH(369,'Transfer Engine'!$C$2:$C$1199,0)),"",INDEX('Compliance Database'!$K$2:$K$1199,MATCH(369,'Transfer Engine'!$C$2:$C$1199,0)))</f>
        <v/>
      </c>
      <c r="L378" s="7" t="str">
        <f>IF(ISNA(MATCH(369,'Transfer Engine'!$C$2:$C$1199,0)),"",INDEX('Compliance Database'!$L$2:$L$1199,MATCH(369,'Transfer Engine'!$C$2:$C$1199,0)))</f>
        <v/>
      </c>
      <c r="M378" s="7" t="str">
        <f>IF(ISNA(MATCH(369,'Transfer Engine'!$C$2:$C$1199,0)),"",INDEX('Compliance Database'!$M$2:$M$1199,MATCH(369,'Transfer Engine'!$C$2:$C$1199,0)))</f>
        <v/>
      </c>
      <c r="N378" s="7" t="str">
        <f>IF(ISNA(MATCH(369,'Transfer Engine'!$C$2:$C$1199,0)),"",INDEX('Compliance Database'!$N$2:$N$1199,MATCH(369,'Transfer Engine'!$C$2:$C$1199,0)))</f>
        <v/>
      </c>
      <c r="O378" s="7" t="str">
        <f>IF(ISNA(MATCH(369,'Transfer Engine'!$C$2:$C$1199,0)),"",INDEX('Compliance Database'!$O$2:$O$1199,MATCH(369,'Transfer Engine'!$C$2:$C$1199,0)))</f>
        <v/>
      </c>
      <c r="P378" s="6" t="str">
        <f>IF(ISNA(MATCH(369,'Transfer Engine'!$C$2:$C$1199,0)),"",HYPERLINK("#Acts!A"&amp;INDEX('Compliance Database'!$P$2:$P$1199,MATCH(369,'Transfer Engine'!$C$2:$C$1199,0)),"Go to Act"))</f>
        <v/>
      </c>
    </row>
    <row r="379" spans="1:16" ht="172.95" customHeight="1" x14ac:dyDescent="0.3">
      <c r="A379" s="6" t="str">
        <f>IF(ISNA(MATCH(370,'Transfer Engine'!$C$2:$C$1199,0)),"",INDEX('Compliance Database'!$A$2:$A$1199,MATCH(370,'Transfer Engine'!$C$2:$C$1199,0)))</f>
        <v/>
      </c>
      <c r="B379" s="6" t="str">
        <f>IF(ISNA(MATCH(370,'Transfer Engine'!$C$2:$C$1199,0)),"",INDEX('Compliance Database'!$B$2:$B$1199,MATCH(370,'Transfer Engine'!$C$2:$C$1199,0)))</f>
        <v/>
      </c>
      <c r="C379" s="6" t="str">
        <f>IF(ISNA(MATCH(370,'Transfer Engine'!$C$2:$C$1199,0)),"",INDEX('Compliance Database'!$C$2:$C$1199,MATCH(370,'Transfer Engine'!$C$2:$C$1199,0)))</f>
        <v/>
      </c>
      <c r="D379" s="7" t="str">
        <f>IF(ISNA(MATCH(370,'Transfer Engine'!$C$2:$C$1199,0)),"",INDEX('Compliance Database'!$D$2:$D$1199,MATCH(370,'Transfer Engine'!$C$2:$C$1199,0)))</f>
        <v/>
      </c>
      <c r="E379" s="6" t="str">
        <f>IF(ISNA(MATCH(370,'Transfer Engine'!$C$2:$C$1199,0)),"",INDEX('Compliance Database'!$E$2:$E$1199,MATCH(370,'Transfer Engine'!$C$2:$C$1199,0)))</f>
        <v/>
      </c>
      <c r="F379" s="6" t="str">
        <f>IF(ISNA(MATCH(370,'Transfer Engine'!$C$2:$C$1199,0)),"",INDEX('Compliance Database'!$F$2:$F$1199,MATCH(370,'Transfer Engine'!$C$2:$C$1199,0)))</f>
        <v/>
      </c>
      <c r="G379" s="6" t="str">
        <f>IF(ISNA(MATCH(370,'Transfer Engine'!$C$2:$C$1199,0)),"",INDEX('Compliance Database'!$G$2:$G$1199,MATCH(370,'Transfer Engine'!$C$2:$C$1199,0)))</f>
        <v/>
      </c>
      <c r="H379" s="7" t="str">
        <f>IF(ISNA(MATCH(370,'Transfer Engine'!$C$2:$C$1199,0)),"",INDEX('Compliance Database'!$H$2:$H$1199,MATCH(370,'Transfer Engine'!$C$2:$C$1199,0)))</f>
        <v/>
      </c>
      <c r="I379" s="7" t="str">
        <f>IF(ISNA(MATCH(370,'Transfer Engine'!$C$2:$C$1199,0)),"",INDEX('Compliance Database'!$I$2:$I$1199,MATCH(370,'Transfer Engine'!$C$2:$C$1199,0)))</f>
        <v/>
      </c>
      <c r="J379" s="6" t="str">
        <f>IF(ISNA(MATCH(370,'Transfer Engine'!$C$2:$C$1199,0)),"",INDEX('Compliance Database'!$J$2:$J$1199,MATCH(370,'Transfer Engine'!$C$2:$C$1199,0)))</f>
        <v/>
      </c>
      <c r="K379" s="7" t="str">
        <f>IF(ISNA(MATCH(370,'Transfer Engine'!$C$2:$C$1199,0)),"",INDEX('Compliance Database'!$K$2:$K$1199,MATCH(370,'Transfer Engine'!$C$2:$C$1199,0)))</f>
        <v/>
      </c>
      <c r="L379" s="7" t="str">
        <f>IF(ISNA(MATCH(370,'Transfer Engine'!$C$2:$C$1199,0)),"",INDEX('Compliance Database'!$L$2:$L$1199,MATCH(370,'Transfer Engine'!$C$2:$C$1199,0)))</f>
        <v/>
      </c>
      <c r="M379" s="7" t="str">
        <f>IF(ISNA(MATCH(370,'Transfer Engine'!$C$2:$C$1199,0)),"",INDEX('Compliance Database'!$M$2:$M$1199,MATCH(370,'Transfer Engine'!$C$2:$C$1199,0)))</f>
        <v/>
      </c>
      <c r="N379" s="7" t="str">
        <f>IF(ISNA(MATCH(370,'Transfer Engine'!$C$2:$C$1199,0)),"",INDEX('Compliance Database'!$N$2:$N$1199,MATCH(370,'Transfer Engine'!$C$2:$C$1199,0)))</f>
        <v/>
      </c>
      <c r="O379" s="7" t="str">
        <f>IF(ISNA(MATCH(370,'Transfer Engine'!$C$2:$C$1199,0)),"",INDEX('Compliance Database'!$O$2:$O$1199,MATCH(370,'Transfer Engine'!$C$2:$C$1199,0)))</f>
        <v/>
      </c>
      <c r="P379" s="6" t="str">
        <f>IF(ISNA(MATCH(370,'Transfer Engine'!$C$2:$C$1199,0)),"",HYPERLINK("#Acts!A"&amp;INDEX('Compliance Database'!$P$2:$P$1199,MATCH(370,'Transfer Engine'!$C$2:$C$1199,0)),"Go to Act"))</f>
        <v/>
      </c>
    </row>
    <row r="380" spans="1:16" ht="172.95" customHeight="1" x14ac:dyDescent="0.3">
      <c r="A380" s="6" t="str">
        <f>IF(ISNA(MATCH(371,'Transfer Engine'!$C$2:$C$1199,0)),"",INDEX('Compliance Database'!$A$2:$A$1199,MATCH(371,'Transfer Engine'!$C$2:$C$1199,0)))</f>
        <v/>
      </c>
      <c r="B380" s="6" t="str">
        <f>IF(ISNA(MATCH(371,'Transfer Engine'!$C$2:$C$1199,0)),"",INDEX('Compliance Database'!$B$2:$B$1199,MATCH(371,'Transfer Engine'!$C$2:$C$1199,0)))</f>
        <v/>
      </c>
      <c r="C380" s="6" t="str">
        <f>IF(ISNA(MATCH(371,'Transfer Engine'!$C$2:$C$1199,0)),"",INDEX('Compliance Database'!$C$2:$C$1199,MATCH(371,'Transfer Engine'!$C$2:$C$1199,0)))</f>
        <v/>
      </c>
      <c r="D380" s="7" t="str">
        <f>IF(ISNA(MATCH(371,'Transfer Engine'!$C$2:$C$1199,0)),"",INDEX('Compliance Database'!$D$2:$D$1199,MATCH(371,'Transfer Engine'!$C$2:$C$1199,0)))</f>
        <v/>
      </c>
      <c r="E380" s="6" t="str">
        <f>IF(ISNA(MATCH(371,'Transfer Engine'!$C$2:$C$1199,0)),"",INDEX('Compliance Database'!$E$2:$E$1199,MATCH(371,'Transfer Engine'!$C$2:$C$1199,0)))</f>
        <v/>
      </c>
      <c r="F380" s="6" t="str">
        <f>IF(ISNA(MATCH(371,'Transfer Engine'!$C$2:$C$1199,0)),"",INDEX('Compliance Database'!$F$2:$F$1199,MATCH(371,'Transfer Engine'!$C$2:$C$1199,0)))</f>
        <v/>
      </c>
      <c r="G380" s="6" t="str">
        <f>IF(ISNA(MATCH(371,'Transfer Engine'!$C$2:$C$1199,0)),"",INDEX('Compliance Database'!$G$2:$G$1199,MATCH(371,'Transfer Engine'!$C$2:$C$1199,0)))</f>
        <v/>
      </c>
      <c r="H380" s="7" t="str">
        <f>IF(ISNA(MATCH(371,'Transfer Engine'!$C$2:$C$1199,0)),"",INDEX('Compliance Database'!$H$2:$H$1199,MATCH(371,'Transfer Engine'!$C$2:$C$1199,0)))</f>
        <v/>
      </c>
      <c r="I380" s="7" t="str">
        <f>IF(ISNA(MATCH(371,'Transfer Engine'!$C$2:$C$1199,0)),"",INDEX('Compliance Database'!$I$2:$I$1199,MATCH(371,'Transfer Engine'!$C$2:$C$1199,0)))</f>
        <v/>
      </c>
      <c r="J380" s="6" t="str">
        <f>IF(ISNA(MATCH(371,'Transfer Engine'!$C$2:$C$1199,0)),"",INDEX('Compliance Database'!$J$2:$J$1199,MATCH(371,'Transfer Engine'!$C$2:$C$1199,0)))</f>
        <v/>
      </c>
      <c r="K380" s="7" t="str">
        <f>IF(ISNA(MATCH(371,'Transfer Engine'!$C$2:$C$1199,0)),"",INDEX('Compliance Database'!$K$2:$K$1199,MATCH(371,'Transfer Engine'!$C$2:$C$1199,0)))</f>
        <v/>
      </c>
      <c r="L380" s="7" t="str">
        <f>IF(ISNA(MATCH(371,'Transfer Engine'!$C$2:$C$1199,0)),"",INDEX('Compliance Database'!$L$2:$L$1199,MATCH(371,'Transfer Engine'!$C$2:$C$1199,0)))</f>
        <v/>
      </c>
      <c r="M380" s="7" t="str">
        <f>IF(ISNA(MATCH(371,'Transfer Engine'!$C$2:$C$1199,0)),"",INDEX('Compliance Database'!$M$2:$M$1199,MATCH(371,'Transfer Engine'!$C$2:$C$1199,0)))</f>
        <v/>
      </c>
      <c r="N380" s="7" t="str">
        <f>IF(ISNA(MATCH(371,'Transfer Engine'!$C$2:$C$1199,0)),"",INDEX('Compliance Database'!$N$2:$N$1199,MATCH(371,'Transfer Engine'!$C$2:$C$1199,0)))</f>
        <v/>
      </c>
      <c r="O380" s="7" t="str">
        <f>IF(ISNA(MATCH(371,'Transfer Engine'!$C$2:$C$1199,0)),"",INDEX('Compliance Database'!$O$2:$O$1199,MATCH(371,'Transfer Engine'!$C$2:$C$1199,0)))</f>
        <v/>
      </c>
      <c r="P380" s="6" t="str">
        <f>IF(ISNA(MATCH(371,'Transfer Engine'!$C$2:$C$1199,0)),"",HYPERLINK("#Acts!A"&amp;INDEX('Compliance Database'!$P$2:$P$1199,MATCH(371,'Transfer Engine'!$C$2:$C$1199,0)),"Go to Act"))</f>
        <v/>
      </c>
    </row>
    <row r="381" spans="1:16" ht="172.95" customHeight="1" x14ac:dyDescent="0.3">
      <c r="A381" s="6" t="str">
        <f>IF(ISNA(MATCH(372,'Transfer Engine'!$C$2:$C$1199,0)),"",INDEX('Compliance Database'!$A$2:$A$1199,MATCH(372,'Transfer Engine'!$C$2:$C$1199,0)))</f>
        <v/>
      </c>
      <c r="B381" s="6" t="str">
        <f>IF(ISNA(MATCH(372,'Transfer Engine'!$C$2:$C$1199,0)),"",INDEX('Compliance Database'!$B$2:$B$1199,MATCH(372,'Transfer Engine'!$C$2:$C$1199,0)))</f>
        <v/>
      </c>
      <c r="C381" s="6" t="str">
        <f>IF(ISNA(MATCH(372,'Transfer Engine'!$C$2:$C$1199,0)),"",INDEX('Compliance Database'!$C$2:$C$1199,MATCH(372,'Transfer Engine'!$C$2:$C$1199,0)))</f>
        <v/>
      </c>
      <c r="D381" s="7" t="str">
        <f>IF(ISNA(MATCH(372,'Transfer Engine'!$C$2:$C$1199,0)),"",INDEX('Compliance Database'!$D$2:$D$1199,MATCH(372,'Transfer Engine'!$C$2:$C$1199,0)))</f>
        <v/>
      </c>
      <c r="E381" s="6" t="str">
        <f>IF(ISNA(MATCH(372,'Transfer Engine'!$C$2:$C$1199,0)),"",INDEX('Compliance Database'!$E$2:$E$1199,MATCH(372,'Transfer Engine'!$C$2:$C$1199,0)))</f>
        <v/>
      </c>
      <c r="F381" s="6" t="str">
        <f>IF(ISNA(MATCH(372,'Transfer Engine'!$C$2:$C$1199,0)),"",INDEX('Compliance Database'!$F$2:$F$1199,MATCH(372,'Transfer Engine'!$C$2:$C$1199,0)))</f>
        <v/>
      </c>
      <c r="G381" s="6" t="str">
        <f>IF(ISNA(MATCH(372,'Transfer Engine'!$C$2:$C$1199,0)),"",INDEX('Compliance Database'!$G$2:$G$1199,MATCH(372,'Transfer Engine'!$C$2:$C$1199,0)))</f>
        <v/>
      </c>
      <c r="H381" s="7" t="str">
        <f>IF(ISNA(MATCH(372,'Transfer Engine'!$C$2:$C$1199,0)),"",INDEX('Compliance Database'!$H$2:$H$1199,MATCH(372,'Transfer Engine'!$C$2:$C$1199,0)))</f>
        <v/>
      </c>
      <c r="I381" s="7" t="str">
        <f>IF(ISNA(MATCH(372,'Transfer Engine'!$C$2:$C$1199,0)),"",INDEX('Compliance Database'!$I$2:$I$1199,MATCH(372,'Transfer Engine'!$C$2:$C$1199,0)))</f>
        <v/>
      </c>
      <c r="J381" s="6" t="str">
        <f>IF(ISNA(MATCH(372,'Transfer Engine'!$C$2:$C$1199,0)),"",INDEX('Compliance Database'!$J$2:$J$1199,MATCH(372,'Transfer Engine'!$C$2:$C$1199,0)))</f>
        <v/>
      </c>
      <c r="K381" s="7" t="str">
        <f>IF(ISNA(MATCH(372,'Transfer Engine'!$C$2:$C$1199,0)),"",INDEX('Compliance Database'!$K$2:$K$1199,MATCH(372,'Transfer Engine'!$C$2:$C$1199,0)))</f>
        <v/>
      </c>
      <c r="L381" s="7" t="str">
        <f>IF(ISNA(MATCH(372,'Transfer Engine'!$C$2:$C$1199,0)),"",INDEX('Compliance Database'!$L$2:$L$1199,MATCH(372,'Transfer Engine'!$C$2:$C$1199,0)))</f>
        <v/>
      </c>
      <c r="M381" s="7" t="str">
        <f>IF(ISNA(MATCH(372,'Transfer Engine'!$C$2:$C$1199,0)),"",INDEX('Compliance Database'!$M$2:$M$1199,MATCH(372,'Transfer Engine'!$C$2:$C$1199,0)))</f>
        <v/>
      </c>
      <c r="N381" s="7" t="str">
        <f>IF(ISNA(MATCH(372,'Transfer Engine'!$C$2:$C$1199,0)),"",INDEX('Compliance Database'!$N$2:$N$1199,MATCH(372,'Transfer Engine'!$C$2:$C$1199,0)))</f>
        <v/>
      </c>
      <c r="O381" s="7" t="str">
        <f>IF(ISNA(MATCH(372,'Transfer Engine'!$C$2:$C$1199,0)),"",INDEX('Compliance Database'!$O$2:$O$1199,MATCH(372,'Transfer Engine'!$C$2:$C$1199,0)))</f>
        <v/>
      </c>
      <c r="P381" s="6" t="str">
        <f>IF(ISNA(MATCH(372,'Transfer Engine'!$C$2:$C$1199,0)),"",HYPERLINK("#Acts!A"&amp;INDEX('Compliance Database'!$P$2:$P$1199,MATCH(372,'Transfer Engine'!$C$2:$C$1199,0)),"Go to Act"))</f>
        <v/>
      </c>
    </row>
    <row r="382" spans="1:16" ht="172.95" customHeight="1" x14ac:dyDescent="0.3">
      <c r="A382" s="6" t="str">
        <f>IF(ISNA(MATCH(373,'Transfer Engine'!$C$2:$C$1199,0)),"",INDEX('Compliance Database'!$A$2:$A$1199,MATCH(373,'Transfer Engine'!$C$2:$C$1199,0)))</f>
        <v/>
      </c>
      <c r="B382" s="6" t="str">
        <f>IF(ISNA(MATCH(373,'Transfer Engine'!$C$2:$C$1199,0)),"",INDEX('Compliance Database'!$B$2:$B$1199,MATCH(373,'Transfer Engine'!$C$2:$C$1199,0)))</f>
        <v/>
      </c>
      <c r="C382" s="6" t="str">
        <f>IF(ISNA(MATCH(373,'Transfer Engine'!$C$2:$C$1199,0)),"",INDEX('Compliance Database'!$C$2:$C$1199,MATCH(373,'Transfer Engine'!$C$2:$C$1199,0)))</f>
        <v/>
      </c>
      <c r="D382" s="7" t="str">
        <f>IF(ISNA(MATCH(373,'Transfer Engine'!$C$2:$C$1199,0)),"",INDEX('Compliance Database'!$D$2:$D$1199,MATCH(373,'Transfer Engine'!$C$2:$C$1199,0)))</f>
        <v/>
      </c>
      <c r="E382" s="6" t="str">
        <f>IF(ISNA(MATCH(373,'Transfer Engine'!$C$2:$C$1199,0)),"",INDEX('Compliance Database'!$E$2:$E$1199,MATCH(373,'Transfer Engine'!$C$2:$C$1199,0)))</f>
        <v/>
      </c>
      <c r="F382" s="6" t="str">
        <f>IF(ISNA(MATCH(373,'Transfer Engine'!$C$2:$C$1199,0)),"",INDEX('Compliance Database'!$F$2:$F$1199,MATCH(373,'Transfer Engine'!$C$2:$C$1199,0)))</f>
        <v/>
      </c>
      <c r="G382" s="6" t="str">
        <f>IF(ISNA(MATCH(373,'Transfer Engine'!$C$2:$C$1199,0)),"",INDEX('Compliance Database'!$G$2:$G$1199,MATCH(373,'Transfer Engine'!$C$2:$C$1199,0)))</f>
        <v/>
      </c>
      <c r="H382" s="7" t="str">
        <f>IF(ISNA(MATCH(373,'Transfer Engine'!$C$2:$C$1199,0)),"",INDEX('Compliance Database'!$H$2:$H$1199,MATCH(373,'Transfer Engine'!$C$2:$C$1199,0)))</f>
        <v/>
      </c>
      <c r="I382" s="7" t="str">
        <f>IF(ISNA(MATCH(373,'Transfer Engine'!$C$2:$C$1199,0)),"",INDEX('Compliance Database'!$I$2:$I$1199,MATCH(373,'Transfer Engine'!$C$2:$C$1199,0)))</f>
        <v/>
      </c>
      <c r="J382" s="6" t="str">
        <f>IF(ISNA(MATCH(373,'Transfer Engine'!$C$2:$C$1199,0)),"",INDEX('Compliance Database'!$J$2:$J$1199,MATCH(373,'Transfer Engine'!$C$2:$C$1199,0)))</f>
        <v/>
      </c>
      <c r="K382" s="7" t="str">
        <f>IF(ISNA(MATCH(373,'Transfer Engine'!$C$2:$C$1199,0)),"",INDEX('Compliance Database'!$K$2:$K$1199,MATCH(373,'Transfer Engine'!$C$2:$C$1199,0)))</f>
        <v/>
      </c>
      <c r="L382" s="7" t="str">
        <f>IF(ISNA(MATCH(373,'Transfer Engine'!$C$2:$C$1199,0)),"",INDEX('Compliance Database'!$L$2:$L$1199,MATCH(373,'Transfer Engine'!$C$2:$C$1199,0)))</f>
        <v/>
      </c>
      <c r="M382" s="7" t="str">
        <f>IF(ISNA(MATCH(373,'Transfer Engine'!$C$2:$C$1199,0)),"",INDEX('Compliance Database'!$M$2:$M$1199,MATCH(373,'Transfer Engine'!$C$2:$C$1199,0)))</f>
        <v/>
      </c>
      <c r="N382" s="7" t="str">
        <f>IF(ISNA(MATCH(373,'Transfer Engine'!$C$2:$C$1199,0)),"",INDEX('Compliance Database'!$N$2:$N$1199,MATCH(373,'Transfer Engine'!$C$2:$C$1199,0)))</f>
        <v/>
      </c>
      <c r="O382" s="7" t="str">
        <f>IF(ISNA(MATCH(373,'Transfer Engine'!$C$2:$C$1199,0)),"",INDEX('Compliance Database'!$O$2:$O$1199,MATCH(373,'Transfer Engine'!$C$2:$C$1199,0)))</f>
        <v/>
      </c>
      <c r="P382" s="6" t="str">
        <f>IF(ISNA(MATCH(373,'Transfer Engine'!$C$2:$C$1199,0)),"",HYPERLINK("#Acts!A"&amp;INDEX('Compliance Database'!$P$2:$P$1199,MATCH(373,'Transfer Engine'!$C$2:$C$1199,0)),"Go to Act"))</f>
        <v/>
      </c>
    </row>
    <row r="383" spans="1:16" ht="172.95" customHeight="1" x14ac:dyDescent="0.3">
      <c r="A383" s="6" t="str">
        <f>IF(ISNA(MATCH(374,'Transfer Engine'!$C$2:$C$1199,0)),"",INDEX('Compliance Database'!$A$2:$A$1199,MATCH(374,'Transfer Engine'!$C$2:$C$1199,0)))</f>
        <v/>
      </c>
      <c r="B383" s="6" t="str">
        <f>IF(ISNA(MATCH(374,'Transfer Engine'!$C$2:$C$1199,0)),"",INDEX('Compliance Database'!$B$2:$B$1199,MATCH(374,'Transfer Engine'!$C$2:$C$1199,0)))</f>
        <v/>
      </c>
      <c r="C383" s="6" t="str">
        <f>IF(ISNA(MATCH(374,'Transfer Engine'!$C$2:$C$1199,0)),"",INDEX('Compliance Database'!$C$2:$C$1199,MATCH(374,'Transfer Engine'!$C$2:$C$1199,0)))</f>
        <v/>
      </c>
      <c r="D383" s="7" t="str">
        <f>IF(ISNA(MATCH(374,'Transfer Engine'!$C$2:$C$1199,0)),"",INDEX('Compliance Database'!$D$2:$D$1199,MATCH(374,'Transfer Engine'!$C$2:$C$1199,0)))</f>
        <v/>
      </c>
      <c r="E383" s="6" t="str">
        <f>IF(ISNA(MATCH(374,'Transfer Engine'!$C$2:$C$1199,0)),"",INDEX('Compliance Database'!$E$2:$E$1199,MATCH(374,'Transfer Engine'!$C$2:$C$1199,0)))</f>
        <v/>
      </c>
      <c r="F383" s="6" t="str">
        <f>IF(ISNA(MATCH(374,'Transfer Engine'!$C$2:$C$1199,0)),"",INDEX('Compliance Database'!$F$2:$F$1199,MATCH(374,'Transfer Engine'!$C$2:$C$1199,0)))</f>
        <v/>
      </c>
      <c r="G383" s="6" t="str">
        <f>IF(ISNA(MATCH(374,'Transfer Engine'!$C$2:$C$1199,0)),"",INDEX('Compliance Database'!$G$2:$G$1199,MATCH(374,'Transfer Engine'!$C$2:$C$1199,0)))</f>
        <v/>
      </c>
      <c r="H383" s="7" t="str">
        <f>IF(ISNA(MATCH(374,'Transfer Engine'!$C$2:$C$1199,0)),"",INDEX('Compliance Database'!$H$2:$H$1199,MATCH(374,'Transfer Engine'!$C$2:$C$1199,0)))</f>
        <v/>
      </c>
      <c r="I383" s="7" t="str">
        <f>IF(ISNA(MATCH(374,'Transfer Engine'!$C$2:$C$1199,0)),"",INDEX('Compliance Database'!$I$2:$I$1199,MATCH(374,'Transfer Engine'!$C$2:$C$1199,0)))</f>
        <v/>
      </c>
      <c r="J383" s="6" t="str">
        <f>IF(ISNA(MATCH(374,'Transfer Engine'!$C$2:$C$1199,0)),"",INDEX('Compliance Database'!$J$2:$J$1199,MATCH(374,'Transfer Engine'!$C$2:$C$1199,0)))</f>
        <v/>
      </c>
      <c r="K383" s="7" t="str">
        <f>IF(ISNA(MATCH(374,'Transfer Engine'!$C$2:$C$1199,0)),"",INDEX('Compliance Database'!$K$2:$K$1199,MATCH(374,'Transfer Engine'!$C$2:$C$1199,0)))</f>
        <v/>
      </c>
      <c r="L383" s="7" t="str">
        <f>IF(ISNA(MATCH(374,'Transfer Engine'!$C$2:$C$1199,0)),"",INDEX('Compliance Database'!$L$2:$L$1199,MATCH(374,'Transfer Engine'!$C$2:$C$1199,0)))</f>
        <v/>
      </c>
      <c r="M383" s="7" t="str">
        <f>IF(ISNA(MATCH(374,'Transfer Engine'!$C$2:$C$1199,0)),"",INDEX('Compliance Database'!$M$2:$M$1199,MATCH(374,'Transfer Engine'!$C$2:$C$1199,0)))</f>
        <v/>
      </c>
      <c r="N383" s="7" t="str">
        <f>IF(ISNA(MATCH(374,'Transfer Engine'!$C$2:$C$1199,0)),"",INDEX('Compliance Database'!$N$2:$N$1199,MATCH(374,'Transfer Engine'!$C$2:$C$1199,0)))</f>
        <v/>
      </c>
      <c r="O383" s="7" t="str">
        <f>IF(ISNA(MATCH(374,'Transfer Engine'!$C$2:$C$1199,0)),"",INDEX('Compliance Database'!$O$2:$O$1199,MATCH(374,'Transfer Engine'!$C$2:$C$1199,0)))</f>
        <v/>
      </c>
      <c r="P383" s="6" t="str">
        <f>IF(ISNA(MATCH(374,'Transfer Engine'!$C$2:$C$1199,0)),"",HYPERLINK("#Acts!A"&amp;INDEX('Compliance Database'!$P$2:$P$1199,MATCH(374,'Transfer Engine'!$C$2:$C$1199,0)),"Go to Act"))</f>
        <v/>
      </c>
    </row>
    <row r="384" spans="1:16" ht="172.95" customHeight="1" x14ac:dyDescent="0.3">
      <c r="A384" s="6" t="str">
        <f>IF(ISNA(MATCH(375,'Transfer Engine'!$C$2:$C$1199,0)),"",INDEX('Compliance Database'!$A$2:$A$1199,MATCH(375,'Transfer Engine'!$C$2:$C$1199,0)))</f>
        <v/>
      </c>
      <c r="B384" s="6" t="str">
        <f>IF(ISNA(MATCH(375,'Transfer Engine'!$C$2:$C$1199,0)),"",INDEX('Compliance Database'!$B$2:$B$1199,MATCH(375,'Transfer Engine'!$C$2:$C$1199,0)))</f>
        <v/>
      </c>
      <c r="C384" s="6" t="str">
        <f>IF(ISNA(MATCH(375,'Transfer Engine'!$C$2:$C$1199,0)),"",INDEX('Compliance Database'!$C$2:$C$1199,MATCH(375,'Transfer Engine'!$C$2:$C$1199,0)))</f>
        <v/>
      </c>
      <c r="D384" s="7" t="str">
        <f>IF(ISNA(MATCH(375,'Transfer Engine'!$C$2:$C$1199,0)),"",INDEX('Compliance Database'!$D$2:$D$1199,MATCH(375,'Transfer Engine'!$C$2:$C$1199,0)))</f>
        <v/>
      </c>
      <c r="E384" s="6" t="str">
        <f>IF(ISNA(MATCH(375,'Transfer Engine'!$C$2:$C$1199,0)),"",INDEX('Compliance Database'!$E$2:$E$1199,MATCH(375,'Transfer Engine'!$C$2:$C$1199,0)))</f>
        <v/>
      </c>
      <c r="F384" s="6" t="str">
        <f>IF(ISNA(MATCH(375,'Transfer Engine'!$C$2:$C$1199,0)),"",INDEX('Compliance Database'!$F$2:$F$1199,MATCH(375,'Transfer Engine'!$C$2:$C$1199,0)))</f>
        <v/>
      </c>
      <c r="G384" s="6" t="str">
        <f>IF(ISNA(MATCH(375,'Transfer Engine'!$C$2:$C$1199,0)),"",INDEX('Compliance Database'!$G$2:$G$1199,MATCH(375,'Transfer Engine'!$C$2:$C$1199,0)))</f>
        <v/>
      </c>
      <c r="H384" s="7" t="str">
        <f>IF(ISNA(MATCH(375,'Transfer Engine'!$C$2:$C$1199,0)),"",INDEX('Compliance Database'!$H$2:$H$1199,MATCH(375,'Transfer Engine'!$C$2:$C$1199,0)))</f>
        <v/>
      </c>
      <c r="I384" s="7" t="str">
        <f>IF(ISNA(MATCH(375,'Transfer Engine'!$C$2:$C$1199,0)),"",INDEX('Compliance Database'!$I$2:$I$1199,MATCH(375,'Transfer Engine'!$C$2:$C$1199,0)))</f>
        <v/>
      </c>
      <c r="J384" s="6" t="str">
        <f>IF(ISNA(MATCH(375,'Transfer Engine'!$C$2:$C$1199,0)),"",INDEX('Compliance Database'!$J$2:$J$1199,MATCH(375,'Transfer Engine'!$C$2:$C$1199,0)))</f>
        <v/>
      </c>
      <c r="K384" s="7" t="str">
        <f>IF(ISNA(MATCH(375,'Transfer Engine'!$C$2:$C$1199,0)),"",INDEX('Compliance Database'!$K$2:$K$1199,MATCH(375,'Transfer Engine'!$C$2:$C$1199,0)))</f>
        <v/>
      </c>
      <c r="L384" s="7" t="str">
        <f>IF(ISNA(MATCH(375,'Transfer Engine'!$C$2:$C$1199,0)),"",INDEX('Compliance Database'!$L$2:$L$1199,MATCH(375,'Transfer Engine'!$C$2:$C$1199,0)))</f>
        <v/>
      </c>
      <c r="M384" s="7" t="str">
        <f>IF(ISNA(MATCH(375,'Transfer Engine'!$C$2:$C$1199,0)),"",INDEX('Compliance Database'!$M$2:$M$1199,MATCH(375,'Transfer Engine'!$C$2:$C$1199,0)))</f>
        <v/>
      </c>
      <c r="N384" s="7" t="str">
        <f>IF(ISNA(MATCH(375,'Transfer Engine'!$C$2:$C$1199,0)),"",INDEX('Compliance Database'!$N$2:$N$1199,MATCH(375,'Transfer Engine'!$C$2:$C$1199,0)))</f>
        <v/>
      </c>
      <c r="O384" s="7" t="str">
        <f>IF(ISNA(MATCH(375,'Transfer Engine'!$C$2:$C$1199,0)),"",INDEX('Compliance Database'!$O$2:$O$1199,MATCH(375,'Transfer Engine'!$C$2:$C$1199,0)))</f>
        <v/>
      </c>
      <c r="P384" s="6" t="str">
        <f>IF(ISNA(MATCH(375,'Transfer Engine'!$C$2:$C$1199,0)),"",HYPERLINK("#Acts!A"&amp;INDEX('Compliance Database'!$P$2:$P$1199,MATCH(375,'Transfer Engine'!$C$2:$C$1199,0)),"Go to Act"))</f>
        <v/>
      </c>
    </row>
    <row r="385" spans="1:16" ht="172.95" customHeight="1" x14ac:dyDescent="0.3">
      <c r="A385" s="6" t="str">
        <f>IF(ISNA(MATCH(376,'Transfer Engine'!$C$2:$C$1199,0)),"",INDEX('Compliance Database'!$A$2:$A$1199,MATCH(376,'Transfer Engine'!$C$2:$C$1199,0)))</f>
        <v/>
      </c>
      <c r="B385" s="6" t="str">
        <f>IF(ISNA(MATCH(376,'Transfer Engine'!$C$2:$C$1199,0)),"",INDEX('Compliance Database'!$B$2:$B$1199,MATCH(376,'Transfer Engine'!$C$2:$C$1199,0)))</f>
        <v/>
      </c>
      <c r="C385" s="6" t="str">
        <f>IF(ISNA(MATCH(376,'Transfer Engine'!$C$2:$C$1199,0)),"",INDEX('Compliance Database'!$C$2:$C$1199,MATCH(376,'Transfer Engine'!$C$2:$C$1199,0)))</f>
        <v/>
      </c>
      <c r="D385" s="7" t="str">
        <f>IF(ISNA(MATCH(376,'Transfer Engine'!$C$2:$C$1199,0)),"",INDEX('Compliance Database'!$D$2:$D$1199,MATCH(376,'Transfer Engine'!$C$2:$C$1199,0)))</f>
        <v/>
      </c>
      <c r="E385" s="6" t="str">
        <f>IF(ISNA(MATCH(376,'Transfer Engine'!$C$2:$C$1199,0)),"",INDEX('Compliance Database'!$E$2:$E$1199,MATCH(376,'Transfer Engine'!$C$2:$C$1199,0)))</f>
        <v/>
      </c>
      <c r="F385" s="6" t="str">
        <f>IF(ISNA(MATCH(376,'Transfer Engine'!$C$2:$C$1199,0)),"",INDEX('Compliance Database'!$F$2:$F$1199,MATCH(376,'Transfer Engine'!$C$2:$C$1199,0)))</f>
        <v/>
      </c>
      <c r="G385" s="6" t="str">
        <f>IF(ISNA(MATCH(376,'Transfer Engine'!$C$2:$C$1199,0)),"",INDEX('Compliance Database'!$G$2:$G$1199,MATCH(376,'Transfer Engine'!$C$2:$C$1199,0)))</f>
        <v/>
      </c>
      <c r="H385" s="7" t="str">
        <f>IF(ISNA(MATCH(376,'Transfer Engine'!$C$2:$C$1199,0)),"",INDEX('Compliance Database'!$H$2:$H$1199,MATCH(376,'Transfer Engine'!$C$2:$C$1199,0)))</f>
        <v/>
      </c>
      <c r="I385" s="7" t="str">
        <f>IF(ISNA(MATCH(376,'Transfer Engine'!$C$2:$C$1199,0)),"",INDEX('Compliance Database'!$I$2:$I$1199,MATCH(376,'Transfer Engine'!$C$2:$C$1199,0)))</f>
        <v/>
      </c>
      <c r="J385" s="6" t="str">
        <f>IF(ISNA(MATCH(376,'Transfer Engine'!$C$2:$C$1199,0)),"",INDEX('Compliance Database'!$J$2:$J$1199,MATCH(376,'Transfer Engine'!$C$2:$C$1199,0)))</f>
        <v/>
      </c>
      <c r="K385" s="7" t="str">
        <f>IF(ISNA(MATCH(376,'Transfer Engine'!$C$2:$C$1199,0)),"",INDEX('Compliance Database'!$K$2:$K$1199,MATCH(376,'Transfer Engine'!$C$2:$C$1199,0)))</f>
        <v/>
      </c>
      <c r="L385" s="7" t="str">
        <f>IF(ISNA(MATCH(376,'Transfer Engine'!$C$2:$C$1199,0)),"",INDEX('Compliance Database'!$L$2:$L$1199,MATCH(376,'Transfer Engine'!$C$2:$C$1199,0)))</f>
        <v/>
      </c>
      <c r="M385" s="7" t="str">
        <f>IF(ISNA(MATCH(376,'Transfer Engine'!$C$2:$C$1199,0)),"",INDEX('Compliance Database'!$M$2:$M$1199,MATCH(376,'Transfer Engine'!$C$2:$C$1199,0)))</f>
        <v/>
      </c>
      <c r="N385" s="7" t="str">
        <f>IF(ISNA(MATCH(376,'Transfer Engine'!$C$2:$C$1199,0)),"",INDEX('Compliance Database'!$N$2:$N$1199,MATCH(376,'Transfer Engine'!$C$2:$C$1199,0)))</f>
        <v/>
      </c>
      <c r="O385" s="7" t="str">
        <f>IF(ISNA(MATCH(376,'Transfer Engine'!$C$2:$C$1199,0)),"",INDEX('Compliance Database'!$O$2:$O$1199,MATCH(376,'Transfer Engine'!$C$2:$C$1199,0)))</f>
        <v/>
      </c>
      <c r="P385" s="6" t="str">
        <f>IF(ISNA(MATCH(376,'Transfer Engine'!$C$2:$C$1199,0)),"",HYPERLINK("#Acts!A"&amp;INDEX('Compliance Database'!$P$2:$P$1199,MATCH(376,'Transfer Engine'!$C$2:$C$1199,0)),"Go to Act"))</f>
        <v/>
      </c>
    </row>
    <row r="386" spans="1:16" ht="172.95" customHeight="1" x14ac:dyDescent="0.3">
      <c r="A386" s="6" t="str">
        <f>IF(ISNA(MATCH(377,'Transfer Engine'!$C$2:$C$1199,0)),"",INDEX('Compliance Database'!$A$2:$A$1199,MATCH(377,'Transfer Engine'!$C$2:$C$1199,0)))</f>
        <v/>
      </c>
      <c r="B386" s="6" t="str">
        <f>IF(ISNA(MATCH(377,'Transfer Engine'!$C$2:$C$1199,0)),"",INDEX('Compliance Database'!$B$2:$B$1199,MATCH(377,'Transfer Engine'!$C$2:$C$1199,0)))</f>
        <v/>
      </c>
      <c r="C386" s="6" t="str">
        <f>IF(ISNA(MATCH(377,'Transfer Engine'!$C$2:$C$1199,0)),"",INDEX('Compliance Database'!$C$2:$C$1199,MATCH(377,'Transfer Engine'!$C$2:$C$1199,0)))</f>
        <v/>
      </c>
      <c r="D386" s="7" t="str">
        <f>IF(ISNA(MATCH(377,'Transfer Engine'!$C$2:$C$1199,0)),"",INDEX('Compliance Database'!$D$2:$D$1199,MATCH(377,'Transfer Engine'!$C$2:$C$1199,0)))</f>
        <v/>
      </c>
      <c r="E386" s="6" t="str">
        <f>IF(ISNA(MATCH(377,'Transfer Engine'!$C$2:$C$1199,0)),"",INDEX('Compliance Database'!$E$2:$E$1199,MATCH(377,'Transfer Engine'!$C$2:$C$1199,0)))</f>
        <v/>
      </c>
      <c r="F386" s="6" t="str">
        <f>IF(ISNA(MATCH(377,'Transfer Engine'!$C$2:$C$1199,0)),"",INDEX('Compliance Database'!$F$2:$F$1199,MATCH(377,'Transfer Engine'!$C$2:$C$1199,0)))</f>
        <v/>
      </c>
      <c r="G386" s="6" t="str">
        <f>IF(ISNA(MATCH(377,'Transfer Engine'!$C$2:$C$1199,0)),"",INDEX('Compliance Database'!$G$2:$G$1199,MATCH(377,'Transfer Engine'!$C$2:$C$1199,0)))</f>
        <v/>
      </c>
      <c r="H386" s="7" t="str">
        <f>IF(ISNA(MATCH(377,'Transfer Engine'!$C$2:$C$1199,0)),"",INDEX('Compliance Database'!$H$2:$H$1199,MATCH(377,'Transfer Engine'!$C$2:$C$1199,0)))</f>
        <v/>
      </c>
      <c r="I386" s="7" t="str">
        <f>IF(ISNA(MATCH(377,'Transfer Engine'!$C$2:$C$1199,0)),"",INDEX('Compliance Database'!$I$2:$I$1199,MATCH(377,'Transfer Engine'!$C$2:$C$1199,0)))</f>
        <v/>
      </c>
      <c r="J386" s="6" t="str">
        <f>IF(ISNA(MATCH(377,'Transfer Engine'!$C$2:$C$1199,0)),"",INDEX('Compliance Database'!$J$2:$J$1199,MATCH(377,'Transfer Engine'!$C$2:$C$1199,0)))</f>
        <v/>
      </c>
      <c r="K386" s="7" t="str">
        <f>IF(ISNA(MATCH(377,'Transfer Engine'!$C$2:$C$1199,0)),"",INDEX('Compliance Database'!$K$2:$K$1199,MATCH(377,'Transfer Engine'!$C$2:$C$1199,0)))</f>
        <v/>
      </c>
      <c r="L386" s="7" t="str">
        <f>IF(ISNA(MATCH(377,'Transfer Engine'!$C$2:$C$1199,0)),"",INDEX('Compliance Database'!$L$2:$L$1199,MATCH(377,'Transfer Engine'!$C$2:$C$1199,0)))</f>
        <v/>
      </c>
      <c r="M386" s="7" t="str">
        <f>IF(ISNA(MATCH(377,'Transfer Engine'!$C$2:$C$1199,0)),"",INDEX('Compliance Database'!$M$2:$M$1199,MATCH(377,'Transfer Engine'!$C$2:$C$1199,0)))</f>
        <v/>
      </c>
      <c r="N386" s="7" t="str">
        <f>IF(ISNA(MATCH(377,'Transfer Engine'!$C$2:$C$1199,0)),"",INDEX('Compliance Database'!$N$2:$N$1199,MATCH(377,'Transfer Engine'!$C$2:$C$1199,0)))</f>
        <v/>
      </c>
      <c r="O386" s="7" t="str">
        <f>IF(ISNA(MATCH(377,'Transfer Engine'!$C$2:$C$1199,0)),"",INDEX('Compliance Database'!$O$2:$O$1199,MATCH(377,'Transfer Engine'!$C$2:$C$1199,0)))</f>
        <v/>
      </c>
      <c r="P386" s="6" t="str">
        <f>IF(ISNA(MATCH(377,'Transfer Engine'!$C$2:$C$1199,0)),"",HYPERLINK("#Acts!A"&amp;INDEX('Compliance Database'!$P$2:$P$1199,MATCH(377,'Transfer Engine'!$C$2:$C$1199,0)),"Go to Act"))</f>
        <v/>
      </c>
    </row>
    <row r="387" spans="1:16" ht="172.95" customHeight="1" x14ac:dyDescent="0.3">
      <c r="A387" s="6" t="str">
        <f>IF(ISNA(MATCH(378,'Transfer Engine'!$C$2:$C$1199,0)),"",INDEX('Compliance Database'!$A$2:$A$1199,MATCH(378,'Transfer Engine'!$C$2:$C$1199,0)))</f>
        <v/>
      </c>
      <c r="B387" s="6" t="str">
        <f>IF(ISNA(MATCH(378,'Transfer Engine'!$C$2:$C$1199,0)),"",INDEX('Compliance Database'!$B$2:$B$1199,MATCH(378,'Transfer Engine'!$C$2:$C$1199,0)))</f>
        <v/>
      </c>
      <c r="C387" s="6" t="str">
        <f>IF(ISNA(MATCH(378,'Transfer Engine'!$C$2:$C$1199,0)),"",INDEX('Compliance Database'!$C$2:$C$1199,MATCH(378,'Transfer Engine'!$C$2:$C$1199,0)))</f>
        <v/>
      </c>
      <c r="D387" s="7" t="str">
        <f>IF(ISNA(MATCH(378,'Transfer Engine'!$C$2:$C$1199,0)),"",INDEX('Compliance Database'!$D$2:$D$1199,MATCH(378,'Transfer Engine'!$C$2:$C$1199,0)))</f>
        <v/>
      </c>
      <c r="E387" s="6" t="str">
        <f>IF(ISNA(MATCH(378,'Transfer Engine'!$C$2:$C$1199,0)),"",INDEX('Compliance Database'!$E$2:$E$1199,MATCH(378,'Transfer Engine'!$C$2:$C$1199,0)))</f>
        <v/>
      </c>
      <c r="F387" s="6" t="str">
        <f>IF(ISNA(MATCH(378,'Transfer Engine'!$C$2:$C$1199,0)),"",INDEX('Compliance Database'!$F$2:$F$1199,MATCH(378,'Transfer Engine'!$C$2:$C$1199,0)))</f>
        <v/>
      </c>
      <c r="G387" s="6" t="str">
        <f>IF(ISNA(MATCH(378,'Transfer Engine'!$C$2:$C$1199,0)),"",INDEX('Compliance Database'!$G$2:$G$1199,MATCH(378,'Transfer Engine'!$C$2:$C$1199,0)))</f>
        <v/>
      </c>
      <c r="H387" s="7" t="str">
        <f>IF(ISNA(MATCH(378,'Transfer Engine'!$C$2:$C$1199,0)),"",INDEX('Compliance Database'!$H$2:$H$1199,MATCH(378,'Transfer Engine'!$C$2:$C$1199,0)))</f>
        <v/>
      </c>
      <c r="I387" s="7" t="str">
        <f>IF(ISNA(MATCH(378,'Transfer Engine'!$C$2:$C$1199,0)),"",INDEX('Compliance Database'!$I$2:$I$1199,MATCH(378,'Transfer Engine'!$C$2:$C$1199,0)))</f>
        <v/>
      </c>
      <c r="J387" s="6" t="str">
        <f>IF(ISNA(MATCH(378,'Transfer Engine'!$C$2:$C$1199,0)),"",INDEX('Compliance Database'!$J$2:$J$1199,MATCH(378,'Transfer Engine'!$C$2:$C$1199,0)))</f>
        <v/>
      </c>
      <c r="K387" s="7" t="str">
        <f>IF(ISNA(MATCH(378,'Transfer Engine'!$C$2:$C$1199,0)),"",INDEX('Compliance Database'!$K$2:$K$1199,MATCH(378,'Transfer Engine'!$C$2:$C$1199,0)))</f>
        <v/>
      </c>
      <c r="L387" s="7" t="str">
        <f>IF(ISNA(MATCH(378,'Transfer Engine'!$C$2:$C$1199,0)),"",INDEX('Compliance Database'!$L$2:$L$1199,MATCH(378,'Transfer Engine'!$C$2:$C$1199,0)))</f>
        <v/>
      </c>
      <c r="M387" s="7" t="str">
        <f>IF(ISNA(MATCH(378,'Transfer Engine'!$C$2:$C$1199,0)),"",INDEX('Compliance Database'!$M$2:$M$1199,MATCH(378,'Transfer Engine'!$C$2:$C$1199,0)))</f>
        <v/>
      </c>
      <c r="N387" s="7" t="str">
        <f>IF(ISNA(MATCH(378,'Transfer Engine'!$C$2:$C$1199,0)),"",INDEX('Compliance Database'!$N$2:$N$1199,MATCH(378,'Transfer Engine'!$C$2:$C$1199,0)))</f>
        <v/>
      </c>
      <c r="O387" s="7" t="str">
        <f>IF(ISNA(MATCH(378,'Transfer Engine'!$C$2:$C$1199,0)),"",INDEX('Compliance Database'!$O$2:$O$1199,MATCH(378,'Transfer Engine'!$C$2:$C$1199,0)))</f>
        <v/>
      </c>
      <c r="P387" s="6" t="str">
        <f>IF(ISNA(MATCH(378,'Transfer Engine'!$C$2:$C$1199,0)),"",HYPERLINK("#Acts!A"&amp;INDEX('Compliance Database'!$P$2:$P$1199,MATCH(378,'Transfer Engine'!$C$2:$C$1199,0)),"Go to Act"))</f>
        <v/>
      </c>
    </row>
    <row r="388" spans="1:16" ht="172.95" customHeight="1" x14ac:dyDescent="0.3">
      <c r="A388" s="6" t="str">
        <f>IF(ISNA(MATCH(379,'Transfer Engine'!$C$2:$C$1199,0)),"",INDEX('Compliance Database'!$A$2:$A$1199,MATCH(379,'Transfer Engine'!$C$2:$C$1199,0)))</f>
        <v/>
      </c>
      <c r="B388" s="6" t="str">
        <f>IF(ISNA(MATCH(379,'Transfer Engine'!$C$2:$C$1199,0)),"",INDEX('Compliance Database'!$B$2:$B$1199,MATCH(379,'Transfer Engine'!$C$2:$C$1199,0)))</f>
        <v/>
      </c>
      <c r="C388" s="6" t="str">
        <f>IF(ISNA(MATCH(379,'Transfer Engine'!$C$2:$C$1199,0)),"",INDEX('Compliance Database'!$C$2:$C$1199,MATCH(379,'Transfer Engine'!$C$2:$C$1199,0)))</f>
        <v/>
      </c>
      <c r="D388" s="7" t="str">
        <f>IF(ISNA(MATCH(379,'Transfer Engine'!$C$2:$C$1199,0)),"",INDEX('Compliance Database'!$D$2:$D$1199,MATCH(379,'Transfer Engine'!$C$2:$C$1199,0)))</f>
        <v/>
      </c>
      <c r="E388" s="6" t="str">
        <f>IF(ISNA(MATCH(379,'Transfer Engine'!$C$2:$C$1199,0)),"",INDEX('Compliance Database'!$E$2:$E$1199,MATCH(379,'Transfer Engine'!$C$2:$C$1199,0)))</f>
        <v/>
      </c>
      <c r="F388" s="6" t="str">
        <f>IF(ISNA(MATCH(379,'Transfer Engine'!$C$2:$C$1199,0)),"",INDEX('Compliance Database'!$F$2:$F$1199,MATCH(379,'Transfer Engine'!$C$2:$C$1199,0)))</f>
        <v/>
      </c>
      <c r="G388" s="6" t="str">
        <f>IF(ISNA(MATCH(379,'Transfer Engine'!$C$2:$C$1199,0)),"",INDEX('Compliance Database'!$G$2:$G$1199,MATCH(379,'Transfer Engine'!$C$2:$C$1199,0)))</f>
        <v/>
      </c>
      <c r="H388" s="7" t="str">
        <f>IF(ISNA(MATCH(379,'Transfer Engine'!$C$2:$C$1199,0)),"",INDEX('Compliance Database'!$H$2:$H$1199,MATCH(379,'Transfer Engine'!$C$2:$C$1199,0)))</f>
        <v/>
      </c>
      <c r="I388" s="7" t="str">
        <f>IF(ISNA(MATCH(379,'Transfer Engine'!$C$2:$C$1199,0)),"",INDEX('Compliance Database'!$I$2:$I$1199,MATCH(379,'Transfer Engine'!$C$2:$C$1199,0)))</f>
        <v/>
      </c>
      <c r="J388" s="6" t="str">
        <f>IF(ISNA(MATCH(379,'Transfer Engine'!$C$2:$C$1199,0)),"",INDEX('Compliance Database'!$J$2:$J$1199,MATCH(379,'Transfer Engine'!$C$2:$C$1199,0)))</f>
        <v/>
      </c>
      <c r="K388" s="7" t="str">
        <f>IF(ISNA(MATCH(379,'Transfer Engine'!$C$2:$C$1199,0)),"",INDEX('Compliance Database'!$K$2:$K$1199,MATCH(379,'Transfer Engine'!$C$2:$C$1199,0)))</f>
        <v/>
      </c>
      <c r="L388" s="7" t="str">
        <f>IF(ISNA(MATCH(379,'Transfer Engine'!$C$2:$C$1199,0)),"",INDEX('Compliance Database'!$L$2:$L$1199,MATCH(379,'Transfer Engine'!$C$2:$C$1199,0)))</f>
        <v/>
      </c>
      <c r="M388" s="7" t="str">
        <f>IF(ISNA(MATCH(379,'Transfer Engine'!$C$2:$C$1199,0)),"",INDEX('Compliance Database'!$M$2:$M$1199,MATCH(379,'Transfer Engine'!$C$2:$C$1199,0)))</f>
        <v/>
      </c>
      <c r="N388" s="7" t="str">
        <f>IF(ISNA(MATCH(379,'Transfer Engine'!$C$2:$C$1199,0)),"",INDEX('Compliance Database'!$N$2:$N$1199,MATCH(379,'Transfer Engine'!$C$2:$C$1199,0)))</f>
        <v/>
      </c>
      <c r="O388" s="7" t="str">
        <f>IF(ISNA(MATCH(379,'Transfer Engine'!$C$2:$C$1199,0)),"",INDEX('Compliance Database'!$O$2:$O$1199,MATCH(379,'Transfer Engine'!$C$2:$C$1199,0)))</f>
        <v/>
      </c>
      <c r="P388" s="6" t="str">
        <f>IF(ISNA(MATCH(379,'Transfer Engine'!$C$2:$C$1199,0)),"",HYPERLINK("#Acts!A"&amp;INDEX('Compliance Database'!$P$2:$P$1199,MATCH(379,'Transfer Engine'!$C$2:$C$1199,0)),"Go to Act"))</f>
        <v/>
      </c>
    </row>
    <row r="389" spans="1:16" ht="172.95" customHeight="1" x14ac:dyDescent="0.3">
      <c r="A389" s="6" t="str">
        <f>IF(ISNA(MATCH(380,'Transfer Engine'!$C$2:$C$1199,0)),"",INDEX('Compliance Database'!$A$2:$A$1199,MATCH(380,'Transfer Engine'!$C$2:$C$1199,0)))</f>
        <v/>
      </c>
      <c r="B389" s="6" t="str">
        <f>IF(ISNA(MATCH(380,'Transfer Engine'!$C$2:$C$1199,0)),"",INDEX('Compliance Database'!$B$2:$B$1199,MATCH(380,'Transfer Engine'!$C$2:$C$1199,0)))</f>
        <v/>
      </c>
      <c r="C389" s="6" t="str">
        <f>IF(ISNA(MATCH(380,'Transfer Engine'!$C$2:$C$1199,0)),"",INDEX('Compliance Database'!$C$2:$C$1199,MATCH(380,'Transfer Engine'!$C$2:$C$1199,0)))</f>
        <v/>
      </c>
      <c r="D389" s="7" t="str">
        <f>IF(ISNA(MATCH(380,'Transfer Engine'!$C$2:$C$1199,0)),"",INDEX('Compliance Database'!$D$2:$D$1199,MATCH(380,'Transfer Engine'!$C$2:$C$1199,0)))</f>
        <v/>
      </c>
      <c r="E389" s="6" t="str">
        <f>IF(ISNA(MATCH(380,'Transfer Engine'!$C$2:$C$1199,0)),"",INDEX('Compliance Database'!$E$2:$E$1199,MATCH(380,'Transfer Engine'!$C$2:$C$1199,0)))</f>
        <v/>
      </c>
      <c r="F389" s="6" t="str">
        <f>IF(ISNA(MATCH(380,'Transfer Engine'!$C$2:$C$1199,0)),"",INDEX('Compliance Database'!$F$2:$F$1199,MATCH(380,'Transfer Engine'!$C$2:$C$1199,0)))</f>
        <v/>
      </c>
      <c r="G389" s="6" t="str">
        <f>IF(ISNA(MATCH(380,'Transfer Engine'!$C$2:$C$1199,0)),"",INDEX('Compliance Database'!$G$2:$G$1199,MATCH(380,'Transfer Engine'!$C$2:$C$1199,0)))</f>
        <v/>
      </c>
      <c r="H389" s="7" t="str">
        <f>IF(ISNA(MATCH(380,'Transfer Engine'!$C$2:$C$1199,0)),"",INDEX('Compliance Database'!$H$2:$H$1199,MATCH(380,'Transfer Engine'!$C$2:$C$1199,0)))</f>
        <v/>
      </c>
      <c r="I389" s="7" t="str">
        <f>IF(ISNA(MATCH(380,'Transfer Engine'!$C$2:$C$1199,0)),"",INDEX('Compliance Database'!$I$2:$I$1199,MATCH(380,'Transfer Engine'!$C$2:$C$1199,0)))</f>
        <v/>
      </c>
      <c r="J389" s="6" t="str">
        <f>IF(ISNA(MATCH(380,'Transfer Engine'!$C$2:$C$1199,0)),"",INDEX('Compliance Database'!$J$2:$J$1199,MATCH(380,'Transfer Engine'!$C$2:$C$1199,0)))</f>
        <v/>
      </c>
      <c r="K389" s="7" t="str">
        <f>IF(ISNA(MATCH(380,'Transfer Engine'!$C$2:$C$1199,0)),"",INDEX('Compliance Database'!$K$2:$K$1199,MATCH(380,'Transfer Engine'!$C$2:$C$1199,0)))</f>
        <v/>
      </c>
      <c r="L389" s="7" t="str">
        <f>IF(ISNA(MATCH(380,'Transfer Engine'!$C$2:$C$1199,0)),"",INDEX('Compliance Database'!$L$2:$L$1199,MATCH(380,'Transfer Engine'!$C$2:$C$1199,0)))</f>
        <v/>
      </c>
      <c r="M389" s="7" t="str">
        <f>IF(ISNA(MATCH(380,'Transfer Engine'!$C$2:$C$1199,0)),"",INDEX('Compliance Database'!$M$2:$M$1199,MATCH(380,'Transfer Engine'!$C$2:$C$1199,0)))</f>
        <v/>
      </c>
      <c r="N389" s="7" t="str">
        <f>IF(ISNA(MATCH(380,'Transfer Engine'!$C$2:$C$1199,0)),"",INDEX('Compliance Database'!$N$2:$N$1199,MATCH(380,'Transfer Engine'!$C$2:$C$1199,0)))</f>
        <v/>
      </c>
      <c r="O389" s="7" t="str">
        <f>IF(ISNA(MATCH(380,'Transfer Engine'!$C$2:$C$1199,0)),"",INDEX('Compliance Database'!$O$2:$O$1199,MATCH(380,'Transfer Engine'!$C$2:$C$1199,0)))</f>
        <v/>
      </c>
      <c r="P389" s="6" t="str">
        <f>IF(ISNA(MATCH(380,'Transfer Engine'!$C$2:$C$1199,0)),"",HYPERLINK("#Acts!A"&amp;INDEX('Compliance Database'!$P$2:$P$1199,MATCH(380,'Transfer Engine'!$C$2:$C$1199,0)),"Go to Act"))</f>
        <v/>
      </c>
    </row>
    <row r="390" spans="1:16" ht="172.95" customHeight="1" x14ac:dyDescent="0.3">
      <c r="A390" s="6" t="str">
        <f>IF(ISNA(MATCH(381,'Transfer Engine'!$C$2:$C$1199,0)),"",INDEX('Compliance Database'!$A$2:$A$1199,MATCH(381,'Transfer Engine'!$C$2:$C$1199,0)))</f>
        <v/>
      </c>
      <c r="B390" s="6" t="str">
        <f>IF(ISNA(MATCH(381,'Transfer Engine'!$C$2:$C$1199,0)),"",INDEX('Compliance Database'!$B$2:$B$1199,MATCH(381,'Transfer Engine'!$C$2:$C$1199,0)))</f>
        <v/>
      </c>
      <c r="C390" s="6" t="str">
        <f>IF(ISNA(MATCH(381,'Transfer Engine'!$C$2:$C$1199,0)),"",INDEX('Compliance Database'!$C$2:$C$1199,MATCH(381,'Transfer Engine'!$C$2:$C$1199,0)))</f>
        <v/>
      </c>
      <c r="D390" s="7" t="str">
        <f>IF(ISNA(MATCH(381,'Transfer Engine'!$C$2:$C$1199,0)),"",INDEX('Compliance Database'!$D$2:$D$1199,MATCH(381,'Transfer Engine'!$C$2:$C$1199,0)))</f>
        <v/>
      </c>
      <c r="E390" s="6" t="str">
        <f>IF(ISNA(MATCH(381,'Transfer Engine'!$C$2:$C$1199,0)),"",INDEX('Compliance Database'!$E$2:$E$1199,MATCH(381,'Transfer Engine'!$C$2:$C$1199,0)))</f>
        <v/>
      </c>
      <c r="F390" s="6" t="str">
        <f>IF(ISNA(MATCH(381,'Transfer Engine'!$C$2:$C$1199,0)),"",INDEX('Compliance Database'!$F$2:$F$1199,MATCH(381,'Transfer Engine'!$C$2:$C$1199,0)))</f>
        <v/>
      </c>
      <c r="G390" s="6" t="str">
        <f>IF(ISNA(MATCH(381,'Transfer Engine'!$C$2:$C$1199,0)),"",INDEX('Compliance Database'!$G$2:$G$1199,MATCH(381,'Transfer Engine'!$C$2:$C$1199,0)))</f>
        <v/>
      </c>
      <c r="H390" s="7" t="str">
        <f>IF(ISNA(MATCH(381,'Transfer Engine'!$C$2:$C$1199,0)),"",INDEX('Compliance Database'!$H$2:$H$1199,MATCH(381,'Transfer Engine'!$C$2:$C$1199,0)))</f>
        <v/>
      </c>
      <c r="I390" s="7" t="str">
        <f>IF(ISNA(MATCH(381,'Transfer Engine'!$C$2:$C$1199,0)),"",INDEX('Compliance Database'!$I$2:$I$1199,MATCH(381,'Transfer Engine'!$C$2:$C$1199,0)))</f>
        <v/>
      </c>
      <c r="J390" s="6" t="str">
        <f>IF(ISNA(MATCH(381,'Transfer Engine'!$C$2:$C$1199,0)),"",INDEX('Compliance Database'!$J$2:$J$1199,MATCH(381,'Transfer Engine'!$C$2:$C$1199,0)))</f>
        <v/>
      </c>
      <c r="K390" s="7" t="str">
        <f>IF(ISNA(MATCH(381,'Transfer Engine'!$C$2:$C$1199,0)),"",INDEX('Compliance Database'!$K$2:$K$1199,MATCH(381,'Transfer Engine'!$C$2:$C$1199,0)))</f>
        <v/>
      </c>
      <c r="L390" s="7" t="str">
        <f>IF(ISNA(MATCH(381,'Transfer Engine'!$C$2:$C$1199,0)),"",INDEX('Compliance Database'!$L$2:$L$1199,MATCH(381,'Transfer Engine'!$C$2:$C$1199,0)))</f>
        <v/>
      </c>
      <c r="M390" s="7" t="str">
        <f>IF(ISNA(MATCH(381,'Transfer Engine'!$C$2:$C$1199,0)),"",INDEX('Compliance Database'!$M$2:$M$1199,MATCH(381,'Transfer Engine'!$C$2:$C$1199,0)))</f>
        <v/>
      </c>
      <c r="N390" s="7" t="str">
        <f>IF(ISNA(MATCH(381,'Transfer Engine'!$C$2:$C$1199,0)),"",INDEX('Compliance Database'!$N$2:$N$1199,MATCH(381,'Transfer Engine'!$C$2:$C$1199,0)))</f>
        <v/>
      </c>
      <c r="O390" s="7" t="str">
        <f>IF(ISNA(MATCH(381,'Transfer Engine'!$C$2:$C$1199,0)),"",INDEX('Compliance Database'!$O$2:$O$1199,MATCH(381,'Transfer Engine'!$C$2:$C$1199,0)))</f>
        <v/>
      </c>
      <c r="P390" s="6" t="str">
        <f>IF(ISNA(MATCH(381,'Transfer Engine'!$C$2:$C$1199,0)),"",HYPERLINK("#Acts!A"&amp;INDEX('Compliance Database'!$P$2:$P$1199,MATCH(381,'Transfer Engine'!$C$2:$C$1199,0)),"Go to Act"))</f>
        <v/>
      </c>
    </row>
    <row r="391" spans="1:16" ht="172.95" customHeight="1" x14ac:dyDescent="0.3">
      <c r="A391" s="6" t="str">
        <f>IF(ISNA(MATCH(382,'Transfer Engine'!$C$2:$C$1199,0)),"",INDEX('Compliance Database'!$A$2:$A$1199,MATCH(382,'Transfer Engine'!$C$2:$C$1199,0)))</f>
        <v/>
      </c>
      <c r="B391" s="6" t="str">
        <f>IF(ISNA(MATCH(382,'Transfer Engine'!$C$2:$C$1199,0)),"",INDEX('Compliance Database'!$B$2:$B$1199,MATCH(382,'Transfer Engine'!$C$2:$C$1199,0)))</f>
        <v/>
      </c>
      <c r="C391" s="6" t="str">
        <f>IF(ISNA(MATCH(382,'Transfer Engine'!$C$2:$C$1199,0)),"",INDEX('Compliance Database'!$C$2:$C$1199,MATCH(382,'Transfer Engine'!$C$2:$C$1199,0)))</f>
        <v/>
      </c>
      <c r="D391" s="7" t="str">
        <f>IF(ISNA(MATCH(382,'Transfer Engine'!$C$2:$C$1199,0)),"",INDEX('Compliance Database'!$D$2:$D$1199,MATCH(382,'Transfer Engine'!$C$2:$C$1199,0)))</f>
        <v/>
      </c>
      <c r="E391" s="6" t="str">
        <f>IF(ISNA(MATCH(382,'Transfer Engine'!$C$2:$C$1199,0)),"",INDEX('Compliance Database'!$E$2:$E$1199,MATCH(382,'Transfer Engine'!$C$2:$C$1199,0)))</f>
        <v/>
      </c>
      <c r="F391" s="6" t="str">
        <f>IF(ISNA(MATCH(382,'Transfer Engine'!$C$2:$C$1199,0)),"",INDEX('Compliance Database'!$F$2:$F$1199,MATCH(382,'Transfer Engine'!$C$2:$C$1199,0)))</f>
        <v/>
      </c>
      <c r="G391" s="6" t="str">
        <f>IF(ISNA(MATCH(382,'Transfer Engine'!$C$2:$C$1199,0)),"",INDEX('Compliance Database'!$G$2:$G$1199,MATCH(382,'Transfer Engine'!$C$2:$C$1199,0)))</f>
        <v/>
      </c>
      <c r="H391" s="7" t="str">
        <f>IF(ISNA(MATCH(382,'Transfer Engine'!$C$2:$C$1199,0)),"",INDEX('Compliance Database'!$H$2:$H$1199,MATCH(382,'Transfer Engine'!$C$2:$C$1199,0)))</f>
        <v/>
      </c>
      <c r="I391" s="7" t="str">
        <f>IF(ISNA(MATCH(382,'Transfer Engine'!$C$2:$C$1199,0)),"",INDEX('Compliance Database'!$I$2:$I$1199,MATCH(382,'Transfer Engine'!$C$2:$C$1199,0)))</f>
        <v/>
      </c>
      <c r="J391" s="6" t="str">
        <f>IF(ISNA(MATCH(382,'Transfer Engine'!$C$2:$C$1199,0)),"",INDEX('Compliance Database'!$J$2:$J$1199,MATCH(382,'Transfer Engine'!$C$2:$C$1199,0)))</f>
        <v/>
      </c>
      <c r="K391" s="7" t="str">
        <f>IF(ISNA(MATCH(382,'Transfer Engine'!$C$2:$C$1199,0)),"",INDEX('Compliance Database'!$K$2:$K$1199,MATCH(382,'Transfer Engine'!$C$2:$C$1199,0)))</f>
        <v/>
      </c>
      <c r="L391" s="7" t="str">
        <f>IF(ISNA(MATCH(382,'Transfer Engine'!$C$2:$C$1199,0)),"",INDEX('Compliance Database'!$L$2:$L$1199,MATCH(382,'Transfer Engine'!$C$2:$C$1199,0)))</f>
        <v/>
      </c>
      <c r="M391" s="7" t="str">
        <f>IF(ISNA(MATCH(382,'Transfer Engine'!$C$2:$C$1199,0)),"",INDEX('Compliance Database'!$M$2:$M$1199,MATCH(382,'Transfer Engine'!$C$2:$C$1199,0)))</f>
        <v/>
      </c>
      <c r="N391" s="7" t="str">
        <f>IF(ISNA(MATCH(382,'Transfer Engine'!$C$2:$C$1199,0)),"",INDEX('Compliance Database'!$N$2:$N$1199,MATCH(382,'Transfer Engine'!$C$2:$C$1199,0)))</f>
        <v/>
      </c>
      <c r="O391" s="7" t="str">
        <f>IF(ISNA(MATCH(382,'Transfer Engine'!$C$2:$C$1199,0)),"",INDEX('Compliance Database'!$O$2:$O$1199,MATCH(382,'Transfer Engine'!$C$2:$C$1199,0)))</f>
        <v/>
      </c>
      <c r="P391" s="6" t="str">
        <f>IF(ISNA(MATCH(382,'Transfer Engine'!$C$2:$C$1199,0)),"",HYPERLINK("#Acts!A"&amp;INDEX('Compliance Database'!$P$2:$P$1199,MATCH(382,'Transfer Engine'!$C$2:$C$1199,0)),"Go to Act"))</f>
        <v/>
      </c>
    </row>
    <row r="392" spans="1:16" ht="172.95" customHeight="1" x14ac:dyDescent="0.3">
      <c r="A392" s="6" t="str">
        <f>IF(ISNA(MATCH(383,'Transfer Engine'!$C$2:$C$1199,0)),"",INDEX('Compliance Database'!$A$2:$A$1199,MATCH(383,'Transfer Engine'!$C$2:$C$1199,0)))</f>
        <v/>
      </c>
      <c r="B392" s="6" t="str">
        <f>IF(ISNA(MATCH(383,'Transfer Engine'!$C$2:$C$1199,0)),"",INDEX('Compliance Database'!$B$2:$B$1199,MATCH(383,'Transfer Engine'!$C$2:$C$1199,0)))</f>
        <v/>
      </c>
      <c r="C392" s="6" t="str">
        <f>IF(ISNA(MATCH(383,'Transfer Engine'!$C$2:$C$1199,0)),"",INDEX('Compliance Database'!$C$2:$C$1199,MATCH(383,'Transfer Engine'!$C$2:$C$1199,0)))</f>
        <v/>
      </c>
      <c r="D392" s="7" t="str">
        <f>IF(ISNA(MATCH(383,'Transfer Engine'!$C$2:$C$1199,0)),"",INDEX('Compliance Database'!$D$2:$D$1199,MATCH(383,'Transfer Engine'!$C$2:$C$1199,0)))</f>
        <v/>
      </c>
      <c r="E392" s="6" t="str">
        <f>IF(ISNA(MATCH(383,'Transfer Engine'!$C$2:$C$1199,0)),"",INDEX('Compliance Database'!$E$2:$E$1199,MATCH(383,'Transfer Engine'!$C$2:$C$1199,0)))</f>
        <v/>
      </c>
      <c r="F392" s="6" t="str">
        <f>IF(ISNA(MATCH(383,'Transfer Engine'!$C$2:$C$1199,0)),"",INDEX('Compliance Database'!$F$2:$F$1199,MATCH(383,'Transfer Engine'!$C$2:$C$1199,0)))</f>
        <v/>
      </c>
      <c r="G392" s="6" t="str">
        <f>IF(ISNA(MATCH(383,'Transfer Engine'!$C$2:$C$1199,0)),"",INDEX('Compliance Database'!$G$2:$G$1199,MATCH(383,'Transfer Engine'!$C$2:$C$1199,0)))</f>
        <v/>
      </c>
      <c r="H392" s="7" t="str">
        <f>IF(ISNA(MATCH(383,'Transfer Engine'!$C$2:$C$1199,0)),"",INDEX('Compliance Database'!$H$2:$H$1199,MATCH(383,'Transfer Engine'!$C$2:$C$1199,0)))</f>
        <v/>
      </c>
      <c r="I392" s="7" t="str">
        <f>IF(ISNA(MATCH(383,'Transfer Engine'!$C$2:$C$1199,0)),"",INDEX('Compliance Database'!$I$2:$I$1199,MATCH(383,'Transfer Engine'!$C$2:$C$1199,0)))</f>
        <v/>
      </c>
      <c r="J392" s="6" t="str">
        <f>IF(ISNA(MATCH(383,'Transfer Engine'!$C$2:$C$1199,0)),"",INDEX('Compliance Database'!$J$2:$J$1199,MATCH(383,'Transfer Engine'!$C$2:$C$1199,0)))</f>
        <v/>
      </c>
      <c r="K392" s="7" t="str">
        <f>IF(ISNA(MATCH(383,'Transfer Engine'!$C$2:$C$1199,0)),"",INDEX('Compliance Database'!$K$2:$K$1199,MATCH(383,'Transfer Engine'!$C$2:$C$1199,0)))</f>
        <v/>
      </c>
      <c r="L392" s="7" t="str">
        <f>IF(ISNA(MATCH(383,'Transfer Engine'!$C$2:$C$1199,0)),"",INDEX('Compliance Database'!$L$2:$L$1199,MATCH(383,'Transfer Engine'!$C$2:$C$1199,0)))</f>
        <v/>
      </c>
      <c r="M392" s="7" t="str">
        <f>IF(ISNA(MATCH(383,'Transfer Engine'!$C$2:$C$1199,0)),"",INDEX('Compliance Database'!$M$2:$M$1199,MATCH(383,'Transfer Engine'!$C$2:$C$1199,0)))</f>
        <v/>
      </c>
      <c r="N392" s="7" t="str">
        <f>IF(ISNA(MATCH(383,'Transfer Engine'!$C$2:$C$1199,0)),"",INDEX('Compliance Database'!$N$2:$N$1199,MATCH(383,'Transfer Engine'!$C$2:$C$1199,0)))</f>
        <v/>
      </c>
      <c r="O392" s="7" t="str">
        <f>IF(ISNA(MATCH(383,'Transfer Engine'!$C$2:$C$1199,0)),"",INDEX('Compliance Database'!$O$2:$O$1199,MATCH(383,'Transfer Engine'!$C$2:$C$1199,0)))</f>
        <v/>
      </c>
      <c r="P392" s="6" t="str">
        <f>IF(ISNA(MATCH(383,'Transfer Engine'!$C$2:$C$1199,0)),"",HYPERLINK("#Acts!A"&amp;INDEX('Compliance Database'!$P$2:$P$1199,MATCH(383,'Transfer Engine'!$C$2:$C$1199,0)),"Go to Act"))</f>
        <v/>
      </c>
    </row>
    <row r="393" spans="1:16" ht="172.95" customHeight="1" x14ac:dyDescent="0.3">
      <c r="A393" s="6" t="str">
        <f>IF(ISNA(MATCH(384,'Transfer Engine'!$C$2:$C$1199,0)),"",INDEX('Compliance Database'!$A$2:$A$1199,MATCH(384,'Transfer Engine'!$C$2:$C$1199,0)))</f>
        <v/>
      </c>
      <c r="B393" s="6" t="str">
        <f>IF(ISNA(MATCH(384,'Transfer Engine'!$C$2:$C$1199,0)),"",INDEX('Compliance Database'!$B$2:$B$1199,MATCH(384,'Transfer Engine'!$C$2:$C$1199,0)))</f>
        <v/>
      </c>
      <c r="C393" s="6" t="str">
        <f>IF(ISNA(MATCH(384,'Transfer Engine'!$C$2:$C$1199,0)),"",INDEX('Compliance Database'!$C$2:$C$1199,MATCH(384,'Transfer Engine'!$C$2:$C$1199,0)))</f>
        <v/>
      </c>
      <c r="D393" s="7" t="str">
        <f>IF(ISNA(MATCH(384,'Transfer Engine'!$C$2:$C$1199,0)),"",INDEX('Compliance Database'!$D$2:$D$1199,MATCH(384,'Transfer Engine'!$C$2:$C$1199,0)))</f>
        <v/>
      </c>
      <c r="E393" s="6" t="str">
        <f>IF(ISNA(MATCH(384,'Transfer Engine'!$C$2:$C$1199,0)),"",INDEX('Compliance Database'!$E$2:$E$1199,MATCH(384,'Transfer Engine'!$C$2:$C$1199,0)))</f>
        <v/>
      </c>
      <c r="F393" s="6" t="str">
        <f>IF(ISNA(MATCH(384,'Transfer Engine'!$C$2:$C$1199,0)),"",INDEX('Compliance Database'!$F$2:$F$1199,MATCH(384,'Transfer Engine'!$C$2:$C$1199,0)))</f>
        <v/>
      </c>
      <c r="G393" s="6" t="str">
        <f>IF(ISNA(MATCH(384,'Transfer Engine'!$C$2:$C$1199,0)),"",INDEX('Compliance Database'!$G$2:$G$1199,MATCH(384,'Transfer Engine'!$C$2:$C$1199,0)))</f>
        <v/>
      </c>
      <c r="H393" s="7" t="str">
        <f>IF(ISNA(MATCH(384,'Transfer Engine'!$C$2:$C$1199,0)),"",INDEX('Compliance Database'!$H$2:$H$1199,MATCH(384,'Transfer Engine'!$C$2:$C$1199,0)))</f>
        <v/>
      </c>
      <c r="I393" s="7" t="str">
        <f>IF(ISNA(MATCH(384,'Transfer Engine'!$C$2:$C$1199,0)),"",INDEX('Compliance Database'!$I$2:$I$1199,MATCH(384,'Transfer Engine'!$C$2:$C$1199,0)))</f>
        <v/>
      </c>
      <c r="J393" s="6" t="str">
        <f>IF(ISNA(MATCH(384,'Transfer Engine'!$C$2:$C$1199,0)),"",INDEX('Compliance Database'!$J$2:$J$1199,MATCH(384,'Transfer Engine'!$C$2:$C$1199,0)))</f>
        <v/>
      </c>
      <c r="K393" s="7" t="str">
        <f>IF(ISNA(MATCH(384,'Transfer Engine'!$C$2:$C$1199,0)),"",INDEX('Compliance Database'!$K$2:$K$1199,MATCH(384,'Transfer Engine'!$C$2:$C$1199,0)))</f>
        <v/>
      </c>
      <c r="L393" s="7" t="str">
        <f>IF(ISNA(MATCH(384,'Transfer Engine'!$C$2:$C$1199,0)),"",INDEX('Compliance Database'!$L$2:$L$1199,MATCH(384,'Transfer Engine'!$C$2:$C$1199,0)))</f>
        <v/>
      </c>
      <c r="M393" s="7" t="str">
        <f>IF(ISNA(MATCH(384,'Transfer Engine'!$C$2:$C$1199,0)),"",INDEX('Compliance Database'!$M$2:$M$1199,MATCH(384,'Transfer Engine'!$C$2:$C$1199,0)))</f>
        <v/>
      </c>
      <c r="N393" s="7" t="str">
        <f>IF(ISNA(MATCH(384,'Transfer Engine'!$C$2:$C$1199,0)),"",INDEX('Compliance Database'!$N$2:$N$1199,MATCH(384,'Transfer Engine'!$C$2:$C$1199,0)))</f>
        <v/>
      </c>
      <c r="O393" s="7" t="str">
        <f>IF(ISNA(MATCH(384,'Transfer Engine'!$C$2:$C$1199,0)),"",INDEX('Compliance Database'!$O$2:$O$1199,MATCH(384,'Transfer Engine'!$C$2:$C$1199,0)))</f>
        <v/>
      </c>
      <c r="P393" s="6" t="str">
        <f>IF(ISNA(MATCH(384,'Transfer Engine'!$C$2:$C$1199,0)),"",HYPERLINK("#Acts!A"&amp;INDEX('Compliance Database'!$P$2:$P$1199,MATCH(384,'Transfer Engine'!$C$2:$C$1199,0)),"Go to Act"))</f>
        <v/>
      </c>
    </row>
    <row r="394" spans="1:16" ht="172.95" customHeight="1" x14ac:dyDescent="0.3">
      <c r="A394" s="6" t="str">
        <f>IF(ISNA(MATCH(385,'Transfer Engine'!$C$2:$C$1199,0)),"",INDEX('Compliance Database'!$A$2:$A$1199,MATCH(385,'Transfer Engine'!$C$2:$C$1199,0)))</f>
        <v/>
      </c>
      <c r="B394" s="6" t="str">
        <f>IF(ISNA(MATCH(385,'Transfer Engine'!$C$2:$C$1199,0)),"",INDEX('Compliance Database'!$B$2:$B$1199,MATCH(385,'Transfer Engine'!$C$2:$C$1199,0)))</f>
        <v/>
      </c>
      <c r="C394" s="6" t="str">
        <f>IF(ISNA(MATCH(385,'Transfer Engine'!$C$2:$C$1199,0)),"",INDEX('Compliance Database'!$C$2:$C$1199,MATCH(385,'Transfer Engine'!$C$2:$C$1199,0)))</f>
        <v/>
      </c>
      <c r="D394" s="7" t="str">
        <f>IF(ISNA(MATCH(385,'Transfer Engine'!$C$2:$C$1199,0)),"",INDEX('Compliance Database'!$D$2:$D$1199,MATCH(385,'Transfer Engine'!$C$2:$C$1199,0)))</f>
        <v/>
      </c>
      <c r="E394" s="6" t="str">
        <f>IF(ISNA(MATCH(385,'Transfer Engine'!$C$2:$C$1199,0)),"",INDEX('Compliance Database'!$E$2:$E$1199,MATCH(385,'Transfer Engine'!$C$2:$C$1199,0)))</f>
        <v/>
      </c>
      <c r="F394" s="6" t="str">
        <f>IF(ISNA(MATCH(385,'Transfer Engine'!$C$2:$C$1199,0)),"",INDEX('Compliance Database'!$F$2:$F$1199,MATCH(385,'Transfer Engine'!$C$2:$C$1199,0)))</f>
        <v/>
      </c>
      <c r="G394" s="6" t="str">
        <f>IF(ISNA(MATCH(385,'Transfer Engine'!$C$2:$C$1199,0)),"",INDEX('Compliance Database'!$G$2:$G$1199,MATCH(385,'Transfer Engine'!$C$2:$C$1199,0)))</f>
        <v/>
      </c>
      <c r="H394" s="7" t="str">
        <f>IF(ISNA(MATCH(385,'Transfer Engine'!$C$2:$C$1199,0)),"",INDEX('Compliance Database'!$H$2:$H$1199,MATCH(385,'Transfer Engine'!$C$2:$C$1199,0)))</f>
        <v/>
      </c>
      <c r="I394" s="7" t="str">
        <f>IF(ISNA(MATCH(385,'Transfer Engine'!$C$2:$C$1199,0)),"",INDEX('Compliance Database'!$I$2:$I$1199,MATCH(385,'Transfer Engine'!$C$2:$C$1199,0)))</f>
        <v/>
      </c>
      <c r="J394" s="6" t="str">
        <f>IF(ISNA(MATCH(385,'Transfer Engine'!$C$2:$C$1199,0)),"",INDEX('Compliance Database'!$J$2:$J$1199,MATCH(385,'Transfer Engine'!$C$2:$C$1199,0)))</f>
        <v/>
      </c>
      <c r="K394" s="7" t="str">
        <f>IF(ISNA(MATCH(385,'Transfer Engine'!$C$2:$C$1199,0)),"",INDEX('Compliance Database'!$K$2:$K$1199,MATCH(385,'Transfer Engine'!$C$2:$C$1199,0)))</f>
        <v/>
      </c>
      <c r="L394" s="7" t="str">
        <f>IF(ISNA(MATCH(385,'Transfer Engine'!$C$2:$C$1199,0)),"",INDEX('Compliance Database'!$L$2:$L$1199,MATCH(385,'Transfer Engine'!$C$2:$C$1199,0)))</f>
        <v/>
      </c>
      <c r="M394" s="7" t="str">
        <f>IF(ISNA(MATCH(385,'Transfer Engine'!$C$2:$C$1199,0)),"",INDEX('Compliance Database'!$M$2:$M$1199,MATCH(385,'Transfer Engine'!$C$2:$C$1199,0)))</f>
        <v/>
      </c>
      <c r="N394" s="7" t="str">
        <f>IF(ISNA(MATCH(385,'Transfer Engine'!$C$2:$C$1199,0)),"",INDEX('Compliance Database'!$N$2:$N$1199,MATCH(385,'Transfer Engine'!$C$2:$C$1199,0)))</f>
        <v/>
      </c>
      <c r="O394" s="7" t="str">
        <f>IF(ISNA(MATCH(385,'Transfer Engine'!$C$2:$C$1199,0)),"",INDEX('Compliance Database'!$O$2:$O$1199,MATCH(385,'Transfer Engine'!$C$2:$C$1199,0)))</f>
        <v/>
      </c>
      <c r="P394" s="6" t="str">
        <f>IF(ISNA(MATCH(385,'Transfer Engine'!$C$2:$C$1199,0)),"",HYPERLINK("#Acts!A"&amp;INDEX('Compliance Database'!$P$2:$P$1199,MATCH(385,'Transfer Engine'!$C$2:$C$1199,0)),"Go to Act"))</f>
        <v/>
      </c>
    </row>
    <row r="395" spans="1:16" ht="172.95" customHeight="1" x14ac:dyDescent="0.3">
      <c r="A395" s="6" t="str">
        <f>IF(ISNA(MATCH(386,'Transfer Engine'!$C$2:$C$1199,0)),"",INDEX('Compliance Database'!$A$2:$A$1199,MATCH(386,'Transfer Engine'!$C$2:$C$1199,0)))</f>
        <v/>
      </c>
      <c r="B395" s="6" t="str">
        <f>IF(ISNA(MATCH(386,'Transfer Engine'!$C$2:$C$1199,0)),"",INDEX('Compliance Database'!$B$2:$B$1199,MATCH(386,'Transfer Engine'!$C$2:$C$1199,0)))</f>
        <v/>
      </c>
      <c r="C395" s="6" t="str">
        <f>IF(ISNA(MATCH(386,'Transfer Engine'!$C$2:$C$1199,0)),"",INDEX('Compliance Database'!$C$2:$C$1199,MATCH(386,'Transfer Engine'!$C$2:$C$1199,0)))</f>
        <v/>
      </c>
      <c r="D395" s="7" t="str">
        <f>IF(ISNA(MATCH(386,'Transfer Engine'!$C$2:$C$1199,0)),"",INDEX('Compliance Database'!$D$2:$D$1199,MATCH(386,'Transfer Engine'!$C$2:$C$1199,0)))</f>
        <v/>
      </c>
      <c r="E395" s="6" t="str">
        <f>IF(ISNA(MATCH(386,'Transfer Engine'!$C$2:$C$1199,0)),"",INDEX('Compliance Database'!$E$2:$E$1199,MATCH(386,'Transfer Engine'!$C$2:$C$1199,0)))</f>
        <v/>
      </c>
      <c r="F395" s="6" t="str">
        <f>IF(ISNA(MATCH(386,'Transfer Engine'!$C$2:$C$1199,0)),"",INDEX('Compliance Database'!$F$2:$F$1199,MATCH(386,'Transfer Engine'!$C$2:$C$1199,0)))</f>
        <v/>
      </c>
      <c r="G395" s="6" t="str">
        <f>IF(ISNA(MATCH(386,'Transfer Engine'!$C$2:$C$1199,0)),"",INDEX('Compliance Database'!$G$2:$G$1199,MATCH(386,'Transfer Engine'!$C$2:$C$1199,0)))</f>
        <v/>
      </c>
      <c r="H395" s="7" t="str">
        <f>IF(ISNA(MATCH(386,'Transfer Engine'!$C$2:$C$1199,0)),"",INDEX('Compliance Database'!$H$2:$H$1199,MATCH(386,'Transfer Engine'!$C$2:$C$1199,0)))</f>
        <v/>
      </c>
      <c r="I395" s="7" t="str">
        <f>IF(ISNA(MATCH(386,'Transfer Engine'!$C$2:$C$1199,0)),"",INDEX('Compliance Database'!$I$2:$I$1199,MATCH(386,'Transfer Engine'!$C$2:$C$1199,0)))</f>
        <v/>
      </c>
      <c r="J395" s="6" t="str">
        <f>IF(ISNA(MATCH(386,'Transfer Engine'!$C$2:$C$1199,0)),"",INDEX('Compliance Database'!$J$2:$J$1199,MATCH(386,'Transfer Engine'!$C$2:$C$1199,0)))</f>
        <v/>
      </c>
      <c r="K395" s="7" t="str">
        <f>IF(ISNA(MATCH(386,'Transfer Engine'!$C$2:$C$1199,0)),"",INDEX('Compliance Database'!$K$2:$K$1199,MATCH(386,'Transfer Engine'!$C$2:$C$1199,0)))</f>
        <v/>
      </c>
      <c r="L395" s="7" t="str">
        <f>IF(ISNA(MATCH(386,'Transfer Engine'!$C$2:$C$1199,0)),"",INDEX('Compliance Database'!$L$2:$L$1199,MATCH(386,'Transfer Engine'!$C$2:$C$1199,0)))</f>
        <v/>
      </c>
      <c r="M395" s="7" t="str">
        <f>IF(ISNA(MATCH(386,'Transfer Engine'!$C$2:$C$1199,0)),"",INDEX('Compliance Database'!$M$2:$M$1199,MATCH(386,'Transfer Engine'!$C$2:$C$1199,0)))</f>
        <v/>
      </c>
      <c r="N395" s="7" t="str">
        <f>IF(ISNA(MATCH(386,'Transfer Engine'!$C$2:$C$1199,0)),"",INDEX('Compliance Database'!$N$2:$N$1199,MATCH(386,'Transfer Engine'!$C$2:$C$1199,0)))</f>
        <v/>
      </c>
      <c r="O395" s="7" t="str">
        <f>IF(ISNA(MATCH(386,'Transfer Engine'!$C$2:$C$1199,0)),"",INDEX('Compliance Database'!$O$2:$O$1199,MATCH(386,'Transfer Engine'!$C$2:$C$1199,0)))</f>
        <v/>
      </c>
      <c r="P395" s="6" t="str">
        <f>IF(ISNA(MATCH(386,'Transfer Engine'!$C$2:$C$1199,0)),"",HYPERLINK("#Acts!A"&amp;INDEX('Compliance Database'!$P$2:$P$1199,MATCH(386,'Transfer Engine'!$C$2:$C$1199,0)),"Go to Act"))</f>
        <v/>
      </c>
    </row>
    <row r="396" spans="1:16" ht="172.95" customHeight="1" x14ac:dyDescent="0.3">
      <c r="A396" s="6" t="str">
        <f>IF(ISNA(MATCH(387,'Transfer Engine'!$C$2:$C$1199,0)),"",INDEX('Compliance Database'!$A$2:$A$1199,MATCH(387,'Transfer Engine'!$C$2:$C$1199,0)))</f>
        <v/>
      </c>
      <c r="B396" s="6" t="str">
        <f>IF(ISNA(MATCH(387,'Transfer Engine'!$C$2:$C$1199,0)),"",INDEX('Compliance Database'!$B$2:$B$1199,MATCH(387,'Transfer Engine'!$C$2:$C$1199,0)))</f>
        <v/>
      </c>
      <c r="C396" s="6" t="str">
        <f>IF(ISNA(MATCH(387,'Transfer Engine'!$C$2:$C$1199,0)),"",INDEX('Compliance Database'!$C$2:$C$1199,MATCH(387,'Transfer Engine'!$C$2:$C$1199,0)))</f>
        <v/>
      </c>
      <c r="D396" s="7" t="str">
        <f>IF(ISNA(MATCH(387,'Transfer Engine'!$C$2:$C$1199,0)),"",INDEX('Compliance Database'!$D$2:$D$1199,MATCH(387,'Transfer Engine'!$C$2:$C$1199,0)))</f>
        <v/>
      </c>
      <c r="E396" s="6" t="str">
        <f>IF(ISNA(MATCH(387,'Transfer Engine'!$C$2:$C$1199,0)),"",INDEX('Compliance Database'!$E$2:$E$1199,MATCH(387,'Transfer Engine'!$C$2:$C$1199,0)))</f>
        <v/>
      </c>
      <c r="F396" s="6" t="str">
        <f>IF(ISNA(MATCH(387,'Transfer Engine'!$C$2:$C$1199,0)),"",INDEX('Compliance Database'!$F$2:$F$1199,MATCH(387,'Transfer Engine'!$C$2:$C$1199,0)))</f>
        <v/>
      </c>
      <c r="G396" s="6" t="str">
        <f>IF(ISNA(MATCH(387,'Transfer Engine'!$C$2:$C$1199,0)),"",INDEX('Compliance Database'!$G$2:$G$1199,MATCH(387,'Transfer Engine'!$C$2:$C$1199,0)))</f>
        <v/>
      </c>
      <c r="H396" s="7" t="str">
        <f>IF(ISNA(MATCH(387,'Transfer Engine'!$C$2:$C$1199,0)),"",INDEX('Compliance Database'!$H$2:$H$1199,MATCH(387,'Transfer Engine'!$C$2:$C$1199,0)))</f>
        <v/>
      </c>
      <c r="I396" s="7" t="str">
        <f>IF(ISNA(MATCH(387,'Transfer Engine'!$C$2:$C$1199,0)),"",INDEX('Compliance Database'!$I$2:$I$1199,MATCH(387,'Transfer Engine'!$C$2:$C$1199,0)))</f>
        <v/>
      </c>
      <c r="J396" s="6" t="str">
        <f>IF(ISNA(MATCH(387,'Transfer Engine'!$C$2:$C$1199,0)),"",INDEX('Compliance Database'!$J$2:$J$1199,MATCH(387,'Transfer Engine'!$C$2:$C$1199,0)))</f>
        <v/>
      </c>
      <c r="K396" s="7" t="str">
        <f>IF(ISNA(MATCH(387,'Transfer Engine'!$C$2:$C$1199,0)),"",INDEX('Compliance Database'!$K$2:$K$1199,MATCH(387,'Transfer Engine'!$C$2:$C$1199,0)))</f>
        <v/>
      </c>
      <c r="L396" s="7" t="str">
        <f>IF(ISNA(MATCH(387,'Transfer Engine'!$C$2:$C$1199,0)),"",INDEX('Compliance Database'!$L$2:$L$1199,MATCH(387,'Transfer Engine'!$C$2:$C$1199,0)))</f>
        <v/>
      </c>
      <c r="M396" s="7" t="str">
        <f>IF(ISNA(MATCH(387,'Transfer Engine'!$C$2:$C$1199,0)),"",INDEX('Compliance Database'!$M$2:$M$1199,MATCH(387,'Transfer Engine'!$C$2:$C$1199,0)))</f>
        <v/>
      </c>
      <c r="N396" s="7" t="str">
        <f>IF(ISNA(MATCH(387,'Transfer Engine'!$C$2:$C$1199,0)),"",INDEX('Compliance Database'!$N$2:$N$1199,MATCH(387,'Transfer Engine'!$C$2:$C$1199,0)))</f>
        <v/>
      </c>
      <c r="O396" s="7" t="str">
        <f>IF(ISNA(MATCH(387,'Transfer Engine'!$C$2:$C$1199,0)),"",INDEX('Compliance Database'!$O$2:$O$1199,MATCH(387,'Transfer Engine'!$C$2:$C$1199,0)))</f>
        <v/>
      </c>
      <c r="P396" s="6" t="str">
        <f>IF(ISNA(MATCH(387,'Transfer Engine'!$C$2:$C$1199,0)),"",HYPERLINK("#Acts!A"&amp;INDEX('Compliance Database'!$P$2:$P$1199,MATCH(387,'Transfer Engine'!$C$2:$C$1199,0)),"Go to Act"))</f>
        <v/>
      </c>
    </row>
    <row r="397" spans="1:16" ht="172.95" customHeight="1" x14ac:dyDescent="0.3">
      <c r="A397" s="6" t="str">
        <f>IF(ISNA(MATCH(388,'Transfer Engine'!$C$2:$C$1199,0)),"",INDEX('Compliance Database'!$A$2:$A$1199,MATCH(388,'Transfer Engine'!$C$2:$C$1199,0)))</f>
        <v/>
      </c>
      <c r="B397" s="6" t="str">
        <f>IF(ISNA(MATCH(388,'Transfer Engine'!$C$2:$C$1199,0)),"",INDEX('Compliance Database'!$B$2:$B$1199,MATCH(388,'Transfer Engine'!$C$2:$C$1199,0)))</f>
        <v/>
      </c>
      <c r="C397" s="6" t="str">
        <f>IF(ISNA(MATCH(388,'Transfer Engine'!$C$2:$C$1199,0)),"",INDEX('Compliance Database'!$C$2:$C$1199,MATCH(388,'Transfer Engine'!$C$2:$C$1199,0)))</f>
        <v/>
      </c>
      <c r="D397" s="7" t="str">
        <f>IF(ISNA(MATCH(388,'Transfer Engine'!$C$2:$C$1199,0)),"",INDEX('Compliance Database'!$D$2:$D$1199,MATCH(388,'Transfer Engine'!$C$2:$C$1199,0)))</f>
        <v/>
      </c>
      <c r="E397" s="6" t="str">
        <f>IF(ISNA(MATCH(388,'Transfer Engine'!$C$2:$C$1199,0)),"",INDEX('Compliance Database'!$E$2:$E$1199,MATCH(388,'Transfer Engine'!$C$2:$C$1199,0)))</f>
        <v/>
      </c>
      <c r="F397" s="6" t="str">
        <f>IF(ISNA(MATCH(388,'Transfer Engine'!$C$2:$C$1199,0)),"",INDEX('Compliance Database'!$F$2:$F$1199,MATCH(388,'Transfer Engine'!$C$2:$C$1199,0)))</f>
        <v/>
      </c>
      <c r="G397" s="6" t="str">
        <f>IF(ISNA(MATCH(388,'Transfer Engine'!$C$2:$C$1199,0)),"",INDEX('Compliance Database'!$G$2:$G$1199,MATCH(388,'Transfer Engine'!$C$2:$C$1199,0)))</f>
        <v/>
      </c>
      <c r="H397" s="7" t="str">
        <f>IF(ISNA(MATCH(388,'Transfer Engine'!$C$2:$C$1199,0)),"",INDEX('Compliance Database'!$H$2:$H$1199,MATCH(388,'Transfer Engine'!$C$2:$C$1199,0)))</f>
        <v/>
      </c>
      <c r="I397" s="7" t="str">
        <f>IF(ISNA(MATCH(388,'Transfer Engine'!$C$2:$C$1199,0)),"",INDEX('Compliance Database'!$I$2:$I$1199,MATCH(388,'Transfer Engine'!$C$2:$C$1199,0)))</f>
        <v/>
      </c>
      <c r="J397" s="6" t="str">
        <f>IF(ISNA(MATCH(388,'Transfer Engine'!$C$2:$C$1199,0)),"",INDEX('Compliance Database'!$J$2:$J$1199,MATCH(388,'Transfer Engine'!$C$2:$C$1199,0)))</f>
        <v/>
      </c>
      <c r="K397" s="7" t="str">
        <f>IF(ISNA(MATCH(388,'Transfer Engine'!$C$2:$C$1199,0)),"",INDEX('Compliance Database'!$K$2:$K$1199,MATCH(388,'Transfer Engine'!$C$2:$C$1199,0)))</f>
        <v/>
      </c>
      <c r="L397" s="7" t="str">
        <f>IF(ISNA(MATCH(388,'Transfer Engine'!$C$2:$C$1199,0)),"",INDEX('Compliance Database'!$L$2:$L$1199,MATCH(388,'Transfer Engine'!$C$2:$C$1199,0)))</f>
        <v/>
      </c>
      <c r="M397" s="7" t="str">
        <f>IF(ISNA(MATCH(388,'Transfer Engine'!$C$2:$C$1199,0)),"",INDEX('Compliance Database'!$M$2:$M$1199,MATCH(388,'Transfer Engine'!$C$2:$C$1199,0)))</f>
        <v/>
      </c>
      <c r="N397" s="7" t="str">
        <f>IF(ISNA(MATCH(388,'Transfer Engine'!$C$2:$C$1199,0)),"",INDEX('Compliance Database'!$N$2:$N$1199,MATCH(388,'Transfer Engine'!$C$2:$C$1199,0)))</f>
        <v/>
      </c>
      <c r="O397" s="7" t="str">
        <f>IF(ISNA(MATCH(388,'Transfer Engine'!$C$2:$C$1199,0)),"",INDEX('Compliance Database'!$O$2:$O$1199,MATCH(388,'Transfer Engine'!$C$2:$C$1199,0)))</f>
        <v/>
      </c>
      <c r="P397" s="6" t="str">
        <f>IF(ISNA(MATCH(388,'Transfer Engine'!$C$2:$C$1199,0)),"",HYPERLINK("#Acts!A"&amp;INDEX('Compliance Database'!$P$2:$P$1199,MATCH(388,'Transfer Engine'!$C$2:$C$1199,0)),"Go to Act"))</f>
        <v/>
      </c>
    </row>
    <row r="398" spans="1:16" ht="172.95" customHeight="1" x14ac:dyDescent="0.3">
      <c r="A398" s="6" t="str">
        <f>IF(ISNA(MATCH(389,'Transfer Engine'!$C$2:$C$1199,0)),"",INDEX('Compliance Database'!$A$2:$A$1199,MATCH(389,'Transfer Engine'!$C$2:$C$1199,0)))</f>
        <v/>
      </c>
      <c r="B398" s="6" t="str">
        <f>IF(ISNA(MATCH(389,'Transfer Engine'!$C$2:$C$1199,0)),"",INDEX('Compliance Database'!$B$2:$B$1199,MATCH(389,'Transfer Engine'!$C$2:$C$1199,0)))</f>
        <v/>
      </c>
      <c r="C398" s="6" t="str">
        <f>IF(ISNA(MATCH(389,'Transfer Engine'!$C$2:$C$1199,0)),"",INDEX('Compliance Database'!$C$2:$C$1199,MATCH(389,'Transfer Engine'!$C$2:$C$1199,0)))</f>
        <v/>
      </c>
      <c r="D398" s="7" t="str">
        <f>IF(ISNA(MATCH(389,'Transfer Engine'!$C$2:$C$1199,0)),"",INDEX('Compliance Database'!$D$2:$D$1199,MATCH(389,'Transfer Engine'!$C$2:$C$1199,0)))</f>
        <v/>
      </c>
      <c r="E398" s="6" t="str">
        <f>IF(ISNA(MATCH(389,'Transfer Engine'!$C$2:$C$1199,0)),"",INDEX('Compliance Database'!$E$2:$E$1199,MATCH(389,'Transfer Engine'!$C$2:$C$1199,0)))</f>
        <v/>
      </c>
      <c r="F398" s="6" t="str">
        <f>IF(ISNA(MATCH(389,'Transfer Engine'!$C$2:$C$1199,0)),"",INDEX('Compliance Database'!$F$2:$F$1199,MATCH(389,'Transfer Engine'!$C$2:$C$1199,0)))</f>
        <v/>
      </c>
      <c r="G398" s="6" t="str">
        <f>IF(ISNA(MATCH(389,'Transfer Engine'!$C$2:$C$1199,0)),"",INDEX('Compliance Database'!$G$2:$G$1199,MATCH(389,'Transfer Engine'!$C$2:$C$1199,0)))</f>
        <v/>
      </c>
      <c r="H398" s="7" t="str">
        <f>IF(ISNA(MATCH(389,'Transfer Engine'!$C$2:$C$1199,0)),"",INDEX('Compliance Database'!$H$2:$H$1199,MATCH(389,'Transfer Engine'!$C$2:$C$1199,0)))</f>
        <v/>
      </c>
      <c r="I398" s="7" t="str">
        <f>IF(ISNA(MATCH(389,'Transfer Engine'!$C$2:$C$1199,0)),"",INDEX('Compliance Database'!$I$2:$I$1199,MATCH(389,'Transfer Engine'!$C$2:$C$1199,0)))</f>
        <v/>
      </c>
      <c r="J398" s="6" t="str">
        <f>IF(ISNA(MATCH(389,'Transfer Engine'!$C$2:$C$1199,0)),"",INDEX('Compliance Database'!$J$2:$J$1199,MATCH(389,'Transfer Engine'!$C$2:$C$1199,0)))</f>
        <v/>
      </c>
      <c r="K398" s="7" t="str">
        <f>IF(ISNA(MATCH(389,'Transfer Engine'!$C$2:$C$1199,0)),"",INDEX('Compliance Database'!$K$2:$K$1199,MATCH(389,'Transfer Engine'!$C$2:$C$1199,0)))</f>
        <v/>
      </c>
      <c r="L398" s="7" t="str">
        <f>IF(ISNA(MATCH(389,'Transfer Engine'!$C$2:$C$1199,0)),"",INDEX('Compliance Database'!$L$2:$L$1199,MATCH(389,'Transfer Engine'!$C$2:$C$1199,0)))</f>
        <v/>
      </c>
      <c r="M398" s="7" t="str">
        <f>IF(ISNA(MATCH(389,'Transfer Engine'!$C$2:$C$1199,0)),"",INDEX('Compliance Database'!$M$2:$M$1199,MATCH(389,'Transfer Engine'!$C$2:$C$1199,0)))</f>
        <v/>
      </c>
      <c r="N398" s="7" t="str">
        <f>IF(ISNA(MATCH(389,'Transfer Engine'!$C$2:$C$1199,0)),"",INDEX('Compliance Database'!$N$2:$N$1199,MATCH(389,'Transfer Engine'!$C$2:$C$1199,0)))</f>
        <v/>
      </c>
      <c r="O398" s="7" t="str">
        <f>IF(ISNA(MATCH(389,'Transfer Engine'!$C$2:$C$1199,0)),"",INDEX('Compliance Database'!$O$2:$O$1199,MATCH(389,'Transfer Engine'!$C$2:$C$1199,0)))</f>
        <v/>
      </c>
      <c r="P398" s="6" t="str">
        <f>IF(ISNA(MATCH(389,'Transfer Engine'!$C$2:$C$1199,0)),"",HYPERLINK("#Acts!A"&amp;INDEX('Compliance Database'!$P$2:$P$1199,MATCH(389,'Transfer Engine'!$C$2:$C$1199,0)),"Go to Act"))</f>
        <v/>
      </c>
    </row>
    <row r="399" spans="1:16" ht="172.95" customHeight="1" x14ac:dyDescent="0.3">
      <c r="A399" s="6" t="str">
        <f>IF(ISNA(MATCH(390,'Transfer Engine'!$C$2:$C$1199,0)),"",INDEX('Compliance Database'!$A$2:$A$1199,MATCH(390,'Transfer Engine'!$C$2:$C$1199,0)))</f>
        <v/>
      </c>
      <c r="B399" s="6" t="str">
        <f>IF(ISNA(MATCH(390,'Transfer Engine'!$C$2:$C$1199,0)),"",INDEX('Compliance Database'!$B$2:$B$1199,MATCH(390,'Transfer Engine'!$C$2:$C$1199,0)))</f>
        <v/>
      </c>
      <c r="C399" s="6" t="str">
        <f>IF(ISNA(MATCH(390,'Transfer Engine'!$C$2:$C$1199,0)),"",INDEX('Compliance Database'!$C$2:$C$1199,MATCH(390,'Transfer Engine'!$C$2:$C$1199,0)))</f>
        <v/>
      </c>
      <c r="D399" s="7" t="str">
        <f>IF(ISNA(MATCH(390,'Transfer Engine'!$C$2:$C$1199,0)),"",INDEX('Compliance Database'!$D$2:$D$1199,MATCH(390,'Transfer Engine'!$C$2:$C$1199,0)))</f>
        <v/>
      </c>
      <c r="E399" s="6" t="str">
        <f>IF(ISNA(MATCH(390,'Transfer Engine'!$C$2:$C$1199,0)),"",INDEX('Compliance Database'!$E$2:$E$1199,MATCH(390,'Transfer Engine'!$C$2:$C$1199,0)))</f>
        <v/>
      </c>
      <c r="F399" s="6" t="str">
        <f>IF(ISNA(MATCH(390,'Transfer Engine'!$C$2:$C$1199,0)),"",INDEX('Compliance Database'!$F$2:$F$1199,MATCH(390,'Transfer Engine'!$C$2:$C$1199,0)))</f>
        <v/>
      </c>
      <c r="G399" s="6" t="str">
        <f>IF(ISNA(MATCH(390,'Transfer Engine'!$C$2:$C$1199,0)),"",INDEX('Compliance Database'!$G$2:$G$1199,MATCH(390,'Transfer Engine'!$C$2:$C$1199,0)))</f>
        <v/>
      </c>
      <c r="H399" s="7" t="str">
        <f>IF(ISNA(MATCH(390,'Transfer Engine'!$C$2:$C$1199,0)),"",INDEX('Compliance Database'!$H$2:$H$1199,MATCH(390,'Transfer Engine'!$C$2:$C$1199,0)))</f>
        <v/>
      </c>
      <c r="I399" s="7" t="str">
        <f>IF(ISNA(MATCH(390,'Transfer Engine'!$C$2:$C$1199,0)),"",INDEX('Compliance Database'!$I$2:$I$1199,MATCH(390,'Transfer Engine'!$C$2:$C$1199,0)))</f>
        <v/>
      </c>
      <c r="J399" s="6" t="str">
        <f>IF(ISNA(MATCH(390,'Transfer Engine'!$C$2:$C$1199,0)),"",INDEX('Compliance Database'!$J$2:$J$1199,MATCH(390,'Transfer Engine'!$C$2:$C$1199,0)))</f>
        <v/>
      </c>
      <c r="K399" s="7" t="str">
        <f>IF(ISNA(MATCH(390,'Transfer Engine'!$C$2:$C$1199,0)),"",INDEX('Compliance Database'!$K$2:$K$1199,MATCH(390,'Transfer Engine'!$C$2:$C$1199,0)))</f>
        <v/>
      </c>
      <c r="L399" s="7" t="str">
        <f>IF(ISNA(MATCH(390,'Transfer Engine'!$C$2:$C$1199,0)),"",INDEX('Compliance Database'!$L$2:$L$1199,MATCH(390,'Transfer Engine'!$C$2:$C$1199,0)))</f>
        <v/>
      </c>
      <c r="M399" s="7" t="str">
        <f>IF(ISNA(MATCH(390,'Transfer Engine'!$C$2:$C$1199,0)),"",INDEX('Compliance Database'!$M$2:$M$1199,MATCH(390,'Transfer Engine'!$C$2:$C$1199,0)))</f>
        <v/>
      </c>
      <c r="N399" s="7" t="str">
        <f>IF(ISNA(MATCH(390,'Transfer Engine'!$C$2:$C$1199,0)),"",INDEX('Compliance Database'!$N$2:$N$1199,MATCH(390,'Transfer Engine'!$C$2:$C$1199,0)))</f>
        <v/>
      </c>
      <c r="O399" s="7" t="str">
        <f>IF(ISNA(MATCH(390,'Transfer Engine'!$C$2:$C$1199,0)),"",INDEX('Compliance Database'!$O$2:$O$1199,MATCH(390,'Transfer Engine'!$C$2:$C$1199,0)))</f>
        <v/>
      </c>
      <c r="P399" s="6" t="str">
        <f>IF(ISNA(MATCH(390,'Transfer Engine'!$C$2:$C$1199,0)),"",HYPERLINK("#Acts!A"&amp;INDEX('Compliance Database'!$P$2:$P$1199,MATCH(390,'Transfer Engine'!$C$2:$C$1199,0)),"Go to Act"))</f>
        <v/>
      </c>
    </row>
    <row r="400" spans="1:16" ht="172.95" customHeight="1" x14ac:dyDescent="0.3">
      <c r="A400" s="6" t="str">
        <f>IF(ISNA(MATCH(391,'Transfer Engine'!$C$2:$C$1199,0)),"",INDEX('Compliance Database'!$A$2:$A$1199,MATCH(391,'Transfer Engine'!$C$2:$C$1199,0)))</f>
        <v/>
      </c>
      <c r="B400" s="6" t="str">
        <f>IF(ISNA(MATCH(391,'Transfer Engine'!$C$2:$C$1199,0)),"",INDEX('Compliance Database'!$B$2:$B$1199,MATCH(391,'Transfer Engine'!$C$2:$C$1199,0)))</f>
        <v/>
      </c>
      <c r="C400" s="6" t="str">
        <f>IF(ISNA(MATCH(391,'Transfer Engine'!$C$2:$C$1199,0)),"",INDEX('Compliance Database'!$C$2:$C$1199,MATCH(391,'Transfer Engine'!$C$2:$C$1199,0)))</f>
        <v/>
      </c>
      <c r="D400" s="7" t="str">
        <f>IF(ISNA(MATCH(391,'Transfer Engine'!$C$2:$C$1199,0)),"",INDEX('Compliance Database'!$D$2:$D$1199,MATCH(391,'Transfer Engine'!$C$2:$C$1199,0)))</f>
        <v/>
      </c>
      <c r="E400" s="6" t="str">
        <f>IF(ISNA(MATCH(391,'Transfer Engine'!$C$2:$C$1199,0)),"",INDEX('Compliance Database'!$E$2:$E$1199,MATCH(391,'Transfer Engine'!$C$2:$C$1199,0)))</f>
        <v/>
      </c>
      <c r="F400" s="6" t="str">
        <f>IF(ISNA(MATCH(391,'Transfer Engine'!$C$2:$C$1199,0)),"",INDEX('Compliance Database'!$F$2:$F$1199,MATCH(391,'Transfer Engine'!$C$2:$C$1199,0)))</f>
        <v/>
      </c>
      <c r="G400" s="6" t="str">
        <f>IF(ISNA(MATCH(391,'Transfer Engine'!$C$2:$C$1199,0)),"",INDEX('Compliance Database'!$G$2:$G$1199,MATCH(391,'Transfer Engine'!$C$2:$C$1199,0)))</f>
        <v/>
      </c>
      <c r="H400" s="7" t="str">
        <f>IF(ISNA(MATCH(391,'Transfer Engine'!$C$2:$C$1199,0)),"",INDEX('Compliance Database'!$H$2:$H$1199,MATCH(391,'Transfer Engine'!$C$2:$C$1199,0)))</f>
        <v/>
      </c>
      <c r="I400" s="7" t="str">
        <f>IF(ISNA(MATCH(391,'Transfer Engine'!$C$2:$C$1199,0)),"",INDEX('Compliance Database'!$I$2:$I$1199,MATCH(391,'Transfer Engine'!$C$2:$C$1199,0)))</f>
        <v/>
      </c>
      <c r="J400" s="6" t="str">
        <f>IF(ISNA(MATCH(391,'Transfer Engine'!$C$2:$C$1199,0)),"",INDEX('Compliance Database'!$J$2:$J$1199,MATCH(391,'Transfer Engine'!$C$2:$C$1199,0)))</f>
        <v/>
      </c>
      <c r="K400" s="7" t="str">
        <f>IF(ISNA(MATCH(391,'Transfer Engine'!$C$2:$C$1199,0)),"",INDEX('Compliance Database'!$K$2:$K$1199,MATCH(391,'Transfer Engine'!$C$2:$C$1199,0)))</f>
        <v/>
      </c>
      <c r="L400" s="7" t="str">
        <f>IF(ISNA(MATCH(391,'Transfer Engine'!$C$2:$C$1199,0)),"",INDEX('Compliance Database'!$L$2:$L$1199,MATCH(391,'Transfer Engine'!$C$2:$C$1199,0)))</f>
        <v/>
      </c>
      <c r="M400" s="7" t="str">
        <f>IF(ISNA(MATCH(391,'Transfer Engine'!$C$2:$C$1199,0)),"",INDEX('Compliance Database'!$M$2:$M$1199,MATCH(391,'Transfer Engine'!$C$2:$C$1199,0)))</f>
        <v/>
      </c>
      <c r="N400" s="7" t="str">
        <f>IF(ISNA(MATCH(391,'Transfer Engine'!$C$2:$C$1199,0)),"",INDEX('Compliance Database'!$N$2:$N$1199,MATCH(391,'Transfer Engine'!$C$2:$C$1199,0)))</f>
        <v/>
      </c>
      <c r="O400" s="7" t="str">
        <f>IF(ISNA(MATCH(391,'Transfer Engine'!$C$2:$C$1199,0)),"",INDEX('Compliance Database'!$O$2:$O$1199,MATCH(391,'Transfer Engine'!$C$2:$C$1199,0)))</f>
        <v/>
      </c>
      <c r="P400" s="6" t="str">
        <f>IF(ISNA(MATCH(391,'Transfer Engine'!$C$2:$C$1199,0)),"",HYPERLINK("#Acts!A"&amp;INDEX('Compliance Database'!$P$2:$P$1199,MATCH(391,'Transfer Engine'!$C$2:$C$1199,0)),"Go to Act"))</f>
        <v/>
      </c>
    </row>
    <row r="401" spans="1:16" ht="172.95" customHeight="1" x14ac:dyDescent="0.3">
      <c r="A401" s="6" t="str">
        <f>IF(ISNA(MATCH(392,'Transfer Engine'!$C$2:$C$1199,0)),"",INDEX('Compliance Database'!$A$2:$A$1199,MATCH(392,'Transfer Engine'!$C$2:$C$1199,0)))</f>
        <v/>
      </c>
      <c r="B401" s="6" t="str">
        <f>IF(ISNA(MATCH(392,'Transfer Engine'!$C$2:$C$1199,0)),"",INDEX('Compliance Database'!$B$2:$B$1199,MATCH(392,'Transfer Engine'!$C$2:$C$1199,0)))</f>
        <v/>
      </c>
      <c r="C401" s="6" t="str">
        <f>IF(ISNA(MATCH(392,'Transfer Engine'!$C$2:$C$1199,0)),"",INDEX('Compliance Database'!$C$2:$C$1199,MATCH(392,'Transfer Engine'!$C$2:$C$1199,0)))</f>
        <v/>
      </c>
      <c r="D401" s="7" t="str">
        <f>IF(ISNA(MATCH(392,'Transfer Engine'!$C$2:$C$1199,0)),"",INDEX('Compliance Database'!$D$2:$D$1199,MATCH(392,'Transfer Engine'!$C$2:$C$1199,0)))</f>
        <v/>
      </c>
      <c r="E401" s="6" t="str">
        <f>IF(ISNA(MATCH(392,'Transfer Engine'!$C$2:$C$1199,0)),"",INDEX('Compliance Database'!$E$2:$E$1199,MATCH(392,'Transfer Engine'!$C$2:$C$1199,0)))</f>
        <v/>
      </c>
      <c r="F401" s="6" t="str">
        <f>IF(ISNA(MATCH(392,'Transfer Engine'!$C$2:$C$1199,0)),"",INDEX('Compliance Database'!$F$2:$F$1199,MATCH(392,'Transfer Engine'!$C$2:$C$1199,0)))</f>
        <v/>
      </c>
      <c r="G401" s="6" t="str">
        <f>IF(ISNA(MATCH(392,'Transfer Engine'!$C$2:$C$1199,0)),"",INDEX('Compliance Database'!$G$2:$G$1199,MATCH(392,'Transfer Engine'!$C$2:$C$1199,0)))</f>
        <v/>
      </c>
      <c r="H401" s="7" t="str">
        <f>IF(ISNA(MATCH(392,'Transfer Engine'!$C$2:$C$1199,0)),"",INDEX('Compliance Database'!$H$2:$H$1199,MATCH(392,'Transfer Engine'!$C$2:$C$1199,0)))</f>
        <v/>
      </c>
      <c r="I401" s="7" t="str">
        <f>IF(ISNA(MATCH(392,'Transfer Engine'!$C$2:$C$1199,0)),"",INDEX('Compliance Database'!$I$2:$I$1199,MATCH(392,'Transfer Engine'!$C$2:$C$1199,0)))</f>
        <v/>
      </c>
      <c r="J401" s="6" t="str">
        <f>IF(ISNA(MATCH(392,'Transfer Engine'!$C$2:$C$1199,0)),"",INDEX('Compliance Database'!$J$2:$J$1199,MATCH(392,'Transfer Engine'!$C$2:$C$1199,0)))</f>
        <v/>
      </c>
      <c r="K401" s="7" t="str">
        <f>IF(ISNA(MATCH(392,'Transfer Engine'!$C$2:$C$1199,0)),"",INDEX('Compliance Database'!$K$2:$K$1199,MATCH(392,'Transfer Engine'!$C$2:$C$1199,0)))</f>
        <v/>
      </c>
      <c r="L401" s="7" t="str">
        <f>IF(ISNA(MATCH(392,'Transfer Engine'!$C$2:$C$1199,0)),"",INDEX('Compliance Database'!$L$2:$L$1199,MATCH(392,'Transfer Engine'!$C$2:$C$1199,0)))</f>
        <v/>
      </c>
      <c r="M401" s="7" t="str">
        <f>IF(ISNA(MATCH(392,'Transfer Engine'!$C$2:$C$1199,0)),"",INDEX('Compliance Database'!$M$2:$M$1199,MATCH(392,'Transfer Engine'!$C$2:$C$1199,0)))</f>
        <v/>
      </c>
      <c r="N401" s="7" t="str">
        <f>IF(ISNA(MATCH(392,'Transfer Engine'!$C$2:$C$1199,0)),"",INDEX('Compliance Database'!$N$2:$N$1199,MATCH(392,'Transfer Engine'!$C$2:$C$1199,0)))</f>
        <v/>
      </c>
      <c r="O401" s="7" t="str">
        <f>IF(ISNA(MATCH(392,'Transfer Engine'!$C$2:$C$1199,0)),"",INDEX('Compliance Database'!$O$2:$O$1199,MATCH(392,'Transfer Engine'!$C$2:$C$1199,0)))</f>
        <v/>
      </c>
      <c r="P401" s="6" t="str">
        <f>IF(ISNA(MATCH(392,'Transfer Engine'!$C$2:$C$1199,0)),"",HYPERLINK("#Acts!A"&amp;INDEX('Compliance Database'!$P$2:$P$1199,MATCH(392,'Transfer Engine'!$C$2:$C$1199,0)),"Go to Act"))</f>
        <v/>
      </c>
    </row>
    <row r="402" spans="1:16" ht="172.95" customHeight="1" x14ac:dyDescent="0.3">
      <c r="A402" s="6" t="str">
        <f>IF(ISNA(MATCH(393,'Transfer Engine'!$C$2:$C$1199,0)),"",INDEX('Compliance Database'!$A$2:$A$1199,MATCH(393,'Transfer Engine'!$C$2:$C$1199,0)))</f>
        <v/>
      </c>
      <c r="B402" s="6" t="str">
        <f>IF(ISNA(MATCH(393,'Transfer Engine'!$C$2:$C$1199,0)),"",INDEX('Compliance Database'!$B$2:$B$1199,MATCH(393,'Transfer Engine'!$C$2:$C$1199,0)))</f>
        <v/>
      </c>
      <c r="C402" s="6" t="str">
        <f>IF(ISNA(MATCH(393,'Transfer Engine'!$C$2:$C$1199,0)),"",INDEX('Compliance Database'!$C$2:$C$1199,MATCH(393,'Transfer Engine'!$C$2:$C$1199,0)))</f>
        <v/>
      </c>
      <c r="D402" s="7" t="str">
        <f>IF(ISNA(MATCH(393,'Transfer Engine'!$C$2:$C$1199,0)),"",INDEX('Compliance Database'!$D$2:$D$1199,MATCH(393,'Transfer Engine'!$C$2:$C$1199,0)))</f>
        <v/>
      </c>
      <c r="E402" s="6" t="str">
        <f>IF(ISNA(MATCH(393,'Transfer Engine'!$C$2:$C$1199,0)),"",INDEX('Compliance Database'!$E$2:$E$1199,MATCH(393,'Transfer Engine'!$C$2:$C$1199,0)))</f>
        <v/>
      </c>
      <c r="F402" s="6" t="str">
        <f>IF(ISNA(MATCH(393,'Transfer Engine'!$C$2:$C$1199,0)),"",INDEX('Compliance Database'!$F$2:$F$1199,MATCH(393,'Transfer Engine'!$C$2:$C$1199,0)))</f>
        <v/>
      </c>
      <c r="G402" s="6" t="str">
        <f>IF(ISNA(MATCH(393,'Transfer Engine'!$C$2:$C$1199,0)),"",INDEX('Compliance Database'!$G$2:$G$1199,MATCH(393,'Transfer Engine'!$C$2:$C$1199,0)))</f>
        <v/>
      </c>
      <c r="H402" s="7" t="str">
        <f>IF(ISNA(MATCH(393,'Transfer Engine'!$C$2:$C$1199,0)),"",INDEX('Compliance Database'!$H$2:$H$1199,MATCH(393,'Transfer Engine'!$C$2:$C$1199,0)))</f>
        <v/>
      </c>
      <c r="I402" s="7" t="str">
        <f>IF(ISNA(MATCH(393,'Transfer Engine'!$C$2:$C$1199,0)),"",INDEX('Compliance Database'!$I$2:$I$1199,MATCH(393,'Transfer Engine'!$C$2:$C$1199,0)))</f>
        <v/>
      </c>
      <c r="J402" s="6" t="str">
        <f>IF(ISNA(MATCH(393,'Transfer Engine'!$C$2:$C$1199,0)),"",INDEX('Compliance Database'!$J$2:$J$1199,MATCH(393,'Transfer Engine'!$C$2:$C$1199,0)))</f>
        <v/>
      </c>
      <c r="K402" s="7" t="str">
        <f>IF(ISNA(MATCH(393,'Transfer Engine'!$C$2:$C$1199,0)),"",INDEX('Compliance Database'!$K$2:$K$1199,MATCH(393,'Transfer Engine'!$C$2:$C$1199,0)))</f>
        <v/>
      </c>
      <c r="L402" s="7" t="str">
        <f>IF(ISNA(MATCH(393,'Transfer Engine'!$C$2:$C$1199,0)),"",INDEX('Compliance Database'!$L$2:$L$1199,MATCH(393,'Transfer Engine'!$C$2:$C$1199,0)))</f>
        <v/>
      </c>
      <c r="M402" s="7" t="str">
        <f>IF(ISNA(MATCH(393,'Transfer Engine'!$C$2:$C$1199,0)),"",INDEX('Compliance Database'!$M$2:$M$1199,MATCH(393,'Transfer Engine'!$C$2:$C$1199,0)))</f>
        <v/>
      </c>
      <c r="N402" s="7" t="str">
        <f>IF(ISNA(MATCH(393,'Transfer Engine'!$C$2:$C$1199,0)),"",INDEX('Compliance Database'!$N$2:$N$1199,MATCH(393,'Transfer Engine'!$C$2:$C$1199,0)))</f>
        <v/>
      </c>
      <c r="O402" s="7" t="str">
        <f>IF(ISNA(MATCH(393,'Transfer Engine'!$C$2:$C$1199,0)),"",INDEX('Compliance Database'!$O$2:$O$1199,MATCH(393,'Transfer Engine'!$C$2:$C$1199,0)))</f>
        <v/>
      </c>
      <c r="P402" s="6" t="str">
        <f>IF(ISNA(MATCH(393,'Transfer Engine'!$C$2:$C$1199,0)),"",HYPERLINK("#Acts!A"&amp;INDEX('Compliance Database'!$P$2:$P$1199,MATCH(393,'Transfer Engine'!$C$2:$C$1199,0)),"Go to Act"))</f>
        <v/>
      </c>
    </row>
    <row r="403" spans="1:16" ht="172.95" customHeight="1" x14ac:dyDescent="0.3">
      <c r="A403" s="6" t="str">
        <f>IF(ISNA(MATCH(394,'Transfer Engine'!$C$2:$C$1199,0)),"",INDEX('Compliance Database'!$A$2:$A$1199,MATCH(394,'Transfer Engine'!$C$2:$C$1199,0)))</f>
        <v/>
      </c>
      <c r="B403" s="6" t="str">
        <f>IF(ISNA(MATCH(394,'Transfer Engine'!$C$2:$C$1199,0)),"",INDEX('Compliance Database'!$B$2:$B$1199,MATCH(394,'Transfer Engine'!$C$2:$C$1199,0)))</f>
        <v/>
      </c>
      <c r="C403" s="6" t="str">
        <f>IF(ISNA(MATCH(394,'Transfer Engine'!$C$2:$C$1199,0)),"",INDEX('Compliance Database'!$C$2:$C$1199,MATCH(394,'Transfer Engine'!$C$2:$C$1199,0)))</f>
        <v/>
      </c>
      <c r="D403" s="7" t="str">
        <f>IF(ISNA(MATCH(394,'Transfer Engine'!$C$2:$C$1199,0)),"",INDEX('Compliance Database'!$D$2:$D$1199,MATCH(394,'Transfer Engine'!$C$2:$C$1199,0)))</f>
        <v/>
      </c>
      <c r="E403" s="6" t="str">
        <f>IF(ISNA(MATCH(394,'Transfer Engine'!$C$2:$C$1199,0)),"",INDEX('Compliance Database'!$E$2:$E$1199,MATCH(394,'Transfer Engine'!$C$2:$C$1199,0)))</f>
        <v/>
      </c>
      <c r="F403" s="6" t="str">
        <f>IF(ISNA(MATCH(394,'Transfer Engine'!$C$2:$C$1199,0)),"",INDEX('Compliance Database'!$F$2:$F$1199,MATCH(394,'Transfer Engine'!$C$2:$C$1199,0)))</f>
        <v/>
      </c>
      <c r="G403" s="6" t="str">
        <f>IF(ISNA(MATCH(394,'Transfer Engine'!$C$2:$C$1199,0)),"",INDEX('Compliance Database'!$G$2:$G$1199,MATCH(394,'Transfer Engine'!$C$2:$C$1199,0)))</f>
        <v/>
      </c>
      <c r="H403" s="7" t="str">
        <f>IF(ISNA(MATCH(394,'Transfer Engine'!$C$2:$C$1199,0)),"",INDEX('Compliance Database'!$H$2:$H$1199,MATCH(394,'Transfer Engine'!$C$2:$C$1199,0)))</f>
        <v/>
      </c>
      <c r="I403" s="7" t="str">
        <f>IF(ISNA(MATCH(394,'Transfer Engine'!$C$2:$C$1199,0)),"",INDEX('Compliance Database'!$I$2:$I$1199,MATCH(394,'Transfer Engine'!$C$2:$C$1199,0)))</f>
        <v/>
      </c>
      <c r="J403" s="6" t="str">
        <f>IF(ISNA(MATCH(394,'Transfer Engine'!$C$2:$C$1199,0)),"",INDEX('Compliance Database'!$J$2:$J$1199,MATCH(394,'Transfer Engine'!$C$2:$C$1199,0)))</f>
        <v/>
      </c>
      <c r="K403" s="7" t="str">
        <f>IF(ISNA(MATCH(394,'Transfer Engine'!$C$2:$C$1199,0)),"",INDEX('Compliance Database'!$K$2:$K$1199,MATCH(394,'Transfer Engine'!$C$2:$C$1199,0)))</f>
        <v/>
      </c>
      <c r="L403" s="7" t="str">
        <f>IF(ISNA(MATCH(394,'Transfer Engine'!$C$2:$C$1199,0)),"",INDEX('Compliance Database'!$L$2:$L$1199,MATCH(394,'Transfer Engine'!$C$2:$C$1199,0)))</f>
        <v/>
      </c>
      <c r="M403" s="7" t="str">
        <f>IF(ISNA(MATCH(394,'Transfer Engine'!$C$2:$C$1199,0)),"",INDEX('Compliance Database'!$M$2:$M$1199,MATCH(394,'Transfer Engine'!$C$2:$C$1199,0)))</f>
        <v/>
      </c>
      <c r="N403" s="7" t="str">
        <f>IF(ISNA(MATCH(394,'Transfer Engine'!$C$2:$C$1199,0)),"",INDEX('Compliance Database'!$N$2:$N$1199,MATCH(394,'Transfer Engine'!$C$2:$C$1199,0)))</f>
        <v/>
      </c>
      <c r="O403" s="7" t="str">
        <f>IF(ISNA(MATCH(394,'Transfer Engine'!$C$2:$C$1199,0)),"",INDEX('Compliance Database'!$O$2:$O$1199,MATCH(394,'Transfer Engine'!$C$2:$C$1199,0)))</f>
        <v/>
      </c>
      <c r="P403" s="6" t="str">
        <f>IF(ISNA(MATCH(394,'Transfer Engine'!$C$2:$C$1199,0)),"",HYPERLINK("#Acts!A"&amp;INDEX('Compliance Database'!$P$2:$P$1199,MATCH(394,'Transfer Engine'!$C$2:$C$1199,0)),"Go to Act"))</f>
        <v/>
      </c>
    </row>
    <row r="404" spans="1:16" ht="172.95" customHeight="1" x14ac:dyDescent="0.3">
      <c r="A404" s="6" t="str">
        <f>IF(ISNA(MATCH(395,'Transfer Engine'!$C$2:$C$1199,0)),"",INDEX('Compliance Database'!$A$2:$A$1199,MATCH(395,'Transfer Engine'!$C$2:$C$1199,0)))</f>
        <v/>
      </c>
      <c r="B404" s="6" t="str">
        <f>IF(ISNA(MATCH(395,'Transfer Engine'!$C$2:$C$1199,0)),"",INDEX('Compliance Database'!$B$2:$B$1199,MATCH(395,'Transfer Engine'!$C$2:$C$1199,0)))</f>
        <v/>
      </c>
      <c r="C404" s="6" t="str">
        <f>IF(ISNA(MATCH(395,'Transfer Engine'!$C$2:$C$1199,0)),"",INDEX('Compliance Database'!$C$2:$C$1199,MATCH(395,'Transfer Engine'!$C$2:$C$1199,0)))</f>
        <v/>
      </c>
      <c r="D404" s="7" t="str">
        <f>IF(ISNA(MATCH(395,'Transfer Engine'!$C$2:$C$1199,0)),"",INDEX('Compliance Database'!$D$2:$D$1199,MATCH(395,'Transfer Engine'!$C$2:$C$1199,0)))</f>
        <v/>
      </c>
      <c r="E404" s="6" t="str">
        <f>IF(ISNA(MATCH(395,'Transfer Engine'!$C$2:$C$1199,0)),"",INDEX('Compliance Database'!$E$2:$E$1199,MATCH(395,'Transfer Engine'!$C$2:$C$1199,0)))</f>
        <v/>
      </c>
      <c r="F404" s="6" t="str">
        <f>IF(ISNA(MATCH(395,'Transfer Engine'!$C$2:$C$1199,0)),"",INDEX('Compliance Database'!$F$2:$F$1199,MATCH(395,'Transfer Engine'!$C$2:$C$1199,0)))</f>
        <v/>
      </c>
      <c r="G404" s="6" t="str">
        <f>IF(ISNA(MATCH(395,'Transfer Engine'!$C$2:$C$1199,0)),"",INDEX('Compliance Database'!$G$2:$G$1199,MATCH(395,'Transfer Engine'!$C$2:$C$1199,0)))</f>
        <v/>
      </c>
      <c r="H404" s="7" t="str">
        <f>IF(ISNA(MATCH(395,'Transfer Engine'!$C$2:$C$1199,0)),"",INDEX('Compliance Database'!$H$2:$H$1199,MATCH(395,'Transfer Engine'!$C$2:$C$1199,0)))</f>
        <v/>
      </c>
      <c r="I404" s="7" t="str">
        <f>IF(ISNA(MATCH(395,'Transfer Engine'!$C$2:$C$1199,0)),"",INDEX('Compliance Database'!$I$2:$I$1199,MATCH(395,'Transfer Engine'!$C$2:$C$1199,0)))</f>
        <v/>
      </c>
      <c r="J404" s="6" t="str">
        <f>IF(ISNA(MATCH(395,'Transfer Engine'!$C$2:$C$1199,0)),"",INDEX('Compliance Database'!$J$2:$J$1199,MATCH(395,'Transfer Engine'!$C$2:$C$1199,0)))</f>
        <v/>
      </c>
      <c r="K404" s="7" t="str">
        <f>IF(ISNA(MATCH(395,'Transfer Engine'!$C$2:$C$1199,0)),"",INDEX('Compliance Database'!$K$2:$K$1199,MATCH(395,'Transfer Engine'!$C$2:$C$1199,0)))</f>
        <v/>
      </c>
      <c r="L404" s="7" t="str">
        <f>IF(ISNA(MATCH(395,'Transfer Engine'!$C$2:$C$1199,0)),"",INDEX('Compliance Database'!$L$2:$L$1199,MATCH(395,'Transfer Engine'!$C$2:$C$1199,0)))</f>
        <v/>
      </c>
      <c r="M404" s="7" t="str">
        <f>IF(ISNA(MATCH(395,'Transfer Engine'!$C$2:$C$1199,0)),"",INDEX('Compliance Database'!$M$2:$M$1199,MATCH(395,'Transfer Engine'!$C$2:$C$1199,0)))</f>
        <v/>
      </c>
      <c r="N404" s="7" t="str">
        <f>IF(ISNA(MATCH(395,'Transfer Engine'!$C$2:$C$1199,0)),"",INDEX('Compliance Database'!$N$2:$N$1199,MATCH(395,'Transfer Engine'!$C$2:$C$1199,0)))</f>
        <v/>
      </c>
      <c r="O404" s="7" t="str">
        <f>IF(ISNA(MATCH(395,'Transfer Engine'!$C$2:$C$1199,0)),"",INDEX('Compliance Database'!$O$2:$O$1199,MATCH(395,'Transfer Engine'!$C$2:$C$1199,0)))</f>
        <v/>
      </c>
      <c r="P404" s="6" t="str">
        <f>IF(ISNA(MATCH(395,'Transfer Engine'!$C$2:$C$1199,0)),"",HYPERLINK("#Acts!A"&amp;INDEX('Compliance Database'!$P$2:$P$1199,MATCH(395,'Transfer Engine'!$C$2:$C$1199,0)),"Go to Act"))</f>
        <v/>
      </c>
    </row>
    <row r="405" spans="1:16" ht="172.95" customHeight="1" x14ac:dyDescent="0.3">
      <c r="A405" s="6" t="str">
        <f>IF(ISNA(MATCH(396,'Transfer Engine'!$C$2:$C$1199,0)),"",INDEX('Compliance Database'!$A$2:$A$1199,MATCH(396,'Transfer Engine'!$C$2:$C$1199,0)))</f>
        <v/>
      </c>
      <c r="B405" s="6" t="str">
        <f>IF(ISNA(MATCH(396,'Transfer Engine'!$C$2:$C$1199,0)),"",INDEX('Compliance Database'!$B$2:$B$1199,MATCH(396,'Transfer Engine'!$C$2:$C$1199,0)))</f>
        <v/>
      </c>
      <c r="C405" s="6" t="str">
        <f>IF(ISNA(MATCH(396,'Transfer Engine'!$C$2:$C$1199,0)),"",INDEX('Compliance Database'!$C$2:$C$1199,MATCH(396,'Transfer Engine'!$C$2:$C$1199,0)))</f>
        <v/>
      </c>
      <c r="D405" s="7" t="str">
        <f>IF(ISNA(MATCH(396,'Transfer Engine'!$C$2:$C$1199,0)),"",INDEX('Compliance Database'!$D$2:$D$1199,MATCH(396,'Transfer Engine'!$C$2:$C$1199,0)))</f>
        <v/>
      </c>
      <c r="E405" s="6" t="str">
        <f>IF(ISNA(MATCH(396,'Transfer Engine'!$C$2:$C$1199,0)),"",INDEX('Compliance Database'!$E$2:$E$1199,MATCH(396,'Transfer Engine'!$C$2:$C$1199,0)))</f>
        <v/>
      </c>
      <c r="F405" s="6" t="str">
        <f>IF(ISNA(MATCH(396,'Transfer Engine'!$C$2:$C$1199,0)),"",INDEX('Compliance Database'!$F$2:$F$1199,MATCH(396,'Transfer Engine'!$C$2:$C$1199,0)))</f>
        <v/>
      </c>
      <c r="G405" s="6" t="str">
        <f>IF(ISNA(MATCH(396,'Transfer Engine'!$C$2:$C$1199,0)),"",INDEX('Compliance Database'!$G$2:$G$1199,MATCH(396,'Transfer Engine'!$C$2:$C$1199,0)))</f>
        <v/>
      </c>
      <c r="H405" s="7" t="str">
        <f>IF(ISNA(MATCH(396,'Transfer Engine'!$C$2:$C$1199,0)),"",INDEX('Compliance Database'!$H$2:$H$1199,MATCH(396,'Transfer Engine'!$C$2:$C$1199,0)))</f>
        <v/>
      </c>
      <c r="I405" s="7" t="str">
        <f>IF(ISNA(MATCH(396,'Transfer Engine'!$C$2:$C$1199,0)),"",INDEX('Compliance Database'!$I$2:$I$1199,MATCH(396,'Transfer Engine'!$C$2:$C$1199,0)))</f>
        <v/>
      </c>
      <c r="J405" s="6" t="str">
        <f>IF(ISNA(MATCH(396,'Transfer Engine'!$C$2:$C$1199,0)),"",INDEX('Compliance Database'!$J$2:$J$1199,MATCH(396,'Transfer Engine'!$C$2:$C$1199,0)))</f>
        <v/>
      </c>
      <c r="K405" s="7" t="str">
        <f>IF(ISNA(MATCH(396,'Transfer Engine'!$C$2:$C$1199,0)),"",INDEX('Compliance Database'!$K$2:$K$1199,MATCH(396,'Transfer Engine'!$C$2:$C$1199,0)))</f>
        <v/>
      </c>
      <c r="L405" s="7" t="str">
        <f>IF(ISNA(MATCH(396,'Transfer Engine'!$C$2:$C$1199,0)),"",INDEX('Compliance Database'!$L$2:$L$1199,MATCH(396,'Transfer Engine'!$C$2:$C$1199,0)))</f>
        <v/>
      </c>
      <c r="M405" s="7" t="str">
        <f>IF(ISNA(MATCH(396,'Transfer Engine'!$C$2:$C$1199,0)),"",INDEX('Compliance Database'!$M$2:$M$1199,MATCH(396,'Transfer Engine'!$C$2:$C$1199,0)))</f>
        <v/>
      </c>
      <c r="N405" s="7" t="str">
        <f>IF(ISNA(MATCH(396,'Transfer Engine'!$C$2:$C$1199,0)),"",INDEX('Compliance Database'!$N$2:$N$1199,MATCH(396,'Transfer Engine'!$C$2:$C$1199,0)))</f>
        <v/>
      </c>
      <c r="O405" s="7" t="str">
        <f>IF(ISNA(MATCH(396,'Transfer Engine'!$C$2:$C$1199,0)),"",INDEX('Compliance Database'!$O$2:$O$1199,MATCH(396,'Transfer Engine'!$C$2:$C$1199,0)))</f>
        <v/>
      </c>
      <c r="P405" s="6" t="str">
        <f>IF(ISNA(MATCH(396,'Transfer Engine'!$C$2:$C$1199,0)),"",HYPERLINK("#Acts!A"&amp;INDEX('Compliance Database'!$P$2:$P$1199,MATCH(396,'Transfer Engine'!$C$2:$C$1199,0)),"Go to Act"))</f>
        <v/>
      </c>
    </row>
    <row r="406" spans="1:16" ht="172.95" customHeight="1" x14ac:dyDescent="0.3">
      <c r="A406" s="6" t="str">
        <f>IF(ISNA(MATCH(397,'Transfer Engine'!$C$2:$C$1199,0)),"",INDEX('Compliance Database'!$A$2:$A$1199,MATCH(397,'Transfer Engine'!$C$2:$C$1199,0)))</f>
        <v/>
      </c>
      <c r="B406" s="6" t="str">
        <f>IF(ISNA(MATCH(397,'Transfer Engine'!$C$2:$C$1199,0)),"",INDEX('Compliance Database'!$B$2:$B$1199,MATCH(397,'Transfer Engine'!$C$2:$C$1199,0)))</f>
        <v/>
      </c>
      <c r="C406" s="6" t="str">
        <f>IF(ISNA(MATCH(397,'Transfer Engine'!$C$2:$C$1199,0)),"",INDEX('Compliance Database'!$C$2:$C$1199,MATCH(397,'Transfer Engine'!$C$2:$C$1199,0)))</f>
        <v/>
      </c>
      <c r="D406" s="7" t="str">
        <f>IF(ISNA(MATCH(397,'Transfer Engine'!$C$2:$C$1199,0)),"",INDEX('Compliance Database'!$D$2:$D$1199,MATCH(397,'Transfer Engine'!$C$2:$C$1199,0)))</f>
        <v/>
      </c>
      <c r="E406" s="6" t="str">
        <f>IF(ISNA(MATCH(397,'Transfer Engine'!$C$2:$C$1199,0)),"",INDEX('Compliance Database'!$E$2:$E$1199,MATCH(397,'Transfer Engine'!$C$2:$C$1199,0)))</f>
        <v/>
      </c>
      <c r="F406" s="6" t="str">
        <f>IF(ISNA(MATCH(397,'Transfer Engine'!$C$2:$C$1199,0)),"",INDEX('Compliance Database'!$F$2:$F$1199,MATCH(397,'Transfer Engine'!$C$2:$C$1199,0)))</f>
        <v/>
      </c>
      <c r="G406" s="6" t="str">
        <f>IF(ISNA(MATCH(397,'Transfer Engine'!$C$2:$C$1199,0)),"",INDEX('Compliance Database'!$G$2:$G$1199,MATCH(397,'Transfer Engine'!$C$2:$C$1199,0)))</f>
        <v/>
      </c>
      <c r="H406" s="7" t="str">
        <f>IF(ISNA(MATCH(397,'Transfer Engine'!$C$2:$C$1199,0)),"",INDEX('Compliance Database'!$H$2:$H$1199,MATCH(397,'Transfer Engine'!$C$2:$C$1199,0)))</f>
        <v/>
      </c>
      <c r="I406" s="7" t="str">
        <f>IF(ISNA(MATCH(397,'Transfer Engine'!$C$2:$C$1199,0)),"",INDEX('Compliance Database'!$I$2:$I$1199,MATCH(397,'Transfer Engine'!$C$2:$C$1199,0)))</f>
        <v/>
      </c>
      <c r="J406" s="6" t="str">
        <f>IF(ISNA(MATCH(397,'Transfer Engine'!$C$2:$C$1199,0)),"",INDEX('Compliance Database'!$J$2:$J$1199,MATCH(397,'Transfer Engine'!$C$2:$C$1199,0)))</f>
        <v/>
      </c>
      <c r="K406" s="7" t="str">
        <f>IF(ISNA(MATCH(397,'Transfer Engine'!$C$2:$C$1199,0)),"",INDEX('Compliance Database'!$K$2:$K$1199,MATCH(397,'Transfer Engine'!$C$2:$C$1199,0)))</f>
        <v/>
      </c>
      <c r="L406" s="7" t="str">
        <f>IF(ISNA(MATCH(397,'Transfer Engine'!$C$2:$C$1199,0)),"",INDEX('Compliance Database'!$L$2:$L$1199,MATCH(397,'Transfer Engine'!$C$2:$C$1199,0)))</f>
        <v/>
      </c>
      <c r="M406" s="7" t="str">
        <f>IF(ISNA(MATCH(397,'Transfer Engine'!$C$2:$C$1199,0)),"",INDEX('Compliance Database'!$M$2:$M$1199,MATCH(397,'Transfer Engine'!$C$2:$C$1199,0)))</f>
        <v/>
      </c>
      <c r="N406" s="7" t="str">
        <f>IF(ISNA(MATCH(397,'Transfer Engine'!$C$2:$C$1199,0)),"",INDEX('Compliance Database'!$N$2:$N$1199,MATCH(397,'Transfer Engine'!$C$2:$C$1199,0)))</f>
        <v/>
      </c>
      <c r="O406" s="7" t="str">
        <f>IF(ISNA(MATCH(397,'Transfer Engine'!$C$2:$C$1199,0)),"",INDEX('Compliance Database'!$O$2:$O$1199,MATCH(397,'Transfer Engine'!$C$2:$C$1199,0)))</f>
        <v/>
      </c>
      <c r="P406" s="6" t="str">
        <f>IF(ISNA(MATCH(397,'Transfer Engine'!$C$2:$C$1199,0)),"",HYPERLINK("#Acts!A"&amp;INDEX('Compliance Database'!$P$2:$P$1199,MATCH(397,'Transfer Engine'!$C$2:$C$1199,0)),"Go to Act"))</f>
        <v/>
      </c>
    </row>
    <row r="407" spans="1:16" ht="172.95" customHeight="1" x14ac:dyDescent="0.3">
      <c r="A407" s="6" t="str">
        <f>IF(ISNA(MATCH(398,'Transfer Engine'!$C$2:$C$1199,0)),"",INDEX('Compliance Database'!$A$2:$A$1199,MATCH(398,'Transfer Engine'!$C$2:$C$1199,0)))</f>
        <v/>
      </c>
      <c r="B407" s="6" t="str">
        <f>IF(ISNA(MATCH(398,'Transfer Engine'!$C$2:$C$1199,0)),"",INDEX('Compliance Database'!$B$2:$B$1199,MATCH(398,'Transfer Engine'!$C$2:$C$1199,0)))</f>
        <v/>
      </c>
      <c r="C407" s="6" t="str">
        <f>IF(ISNA(MATCH(398,'Transfer Engine'!$C$2:$C$1199,0)),"",INDEX('Compliance Database'!$C$2:$C$1199,MATCH(398,'Transfer Engine'!$C$2:$C$1199,0)))</f>
        <v/>
      </c>
      <c r="D407" s="7" t="str">
        <f>IF(ISNA(MATCH(398,'Transfer Engine'!$C$2:$C$1199,0)),"",INDEX('Compliance Database'!$D$2:$D$1199,MATCH(398,'Transfer Engine'!$C$2:$C$1199,0)))</f>
        <v/>
      </c>
      <c r="E407" s="6" t="str">
        <f>IF(ISNA(MATCH(398,'Transfer Engine'!$C$2:$C$1199,0)),"",INDEX('Compliance Database'!$E$2:$E$1199,MATCH(398,'Transfer Engine'!$C$2:$C$1199,0)))</f>
        <v/>
      </c>
      <c r="F407" s="6" t="str">
        <f>IF(ISNA(MATCH(398,'Transfer Engine'!$C$2:$C$1199,0)),"",INDEX('Compliance Database'!$F$2:$F$1199,MATCH(398,'Transfer Engine'!$C$2:$C$1199,0)))</f>
        <v/>
      </c>
      <c r="G407" s="6" t="str">
        <f>IF(ISNA(MATCH(398,'Transfer Engine'!$C$2:$C$1199,0)),"",INDEX('Compliance Database'!$G$2:$G$1199,MATCH(398,'Transfer Engine'!$C$2:$C$1199,0)))</f>
        <v/>
      </c>
      <c r="H407" s="7" t="str">
        <f>IF(ISNA(MATCH(398,'Transfer Engine'!$C$2:$C$1199,0)),"",INDEX('Compliance Database'!$H$2:$H$1199,MATCH(398,'Transfer Engine'!$C$2:$C$1199,0)))</f>
        <v/>
      </c>
      <c r="I407" s="7" t="str">
        <f>IF(ISNA(MATCH(398,'Transfer Engine'!$C$2:$C$1199,0)),"",INDEX('Compliance Database'!$I$2:$I$1199,MATCH(398,'Transfer Engine'!$C$2:$C$1199,0)))</f>
        <v/>
      </c>
      <c r="J407" s="6" t="str">
        <f>IF(ISNA(MATCH(398,'Transfer Engine'!$C$2:$C$1199,0)),"",INDEX('Compliance Database'!$J$2:$J$1199,MATCH(398,'Transfer Engine'!$C$2:$C$1199,0)))</f>
        <v/>
      </c>
      <c r="K407" s="7" t="str">
        <f>IF(ISNA(MATCH(398,'Transfer Engine'!$C$2:$C$1199,0)),"",INDEX('Compliance Database'!$K$2:$K$1199,MATCH(398,'Transfer Engine'!$C$2:$C$1199,0)))</f>
        <v/>
      </c>
      <c r="L407" s="7" t="str">
        <f>IF(ISNA(MATCH(398,'Transfer Engine'!$C$2:$C$1199,0)),"",INDEX('Compliance Database'!$L$2:$L$1199,MATCH(398,'Transfer Engine'!$C$2:$C$1199,0)))</f>
        <v/>
      </c>
      <c r="M407" s="7" t="str">
        <f>IF(ISNA(MATCH(398,'Transfer Engine'!$C$2:$C$1199,0)),"",INDEX('Compliance Database'!$M$2:$M$1199,MATCH(398,'Transfer Engine'!$C$2:$C$1199,0)))</f>
        <v/>
      </c>
      <c r="N407" s="7" t="str">
        <f>IF(ISNA(MATCH(398,'Transfer Engine'!$C$2:$C$1199,0)),"",INDEX('Compliance Database'!$N$2:$N$1199,MATCH(398,'Transfer Engine'!$C$2:$C$1199,0)))</f>
        <v/>
      </c>
      <c r="O407" s="7" t="str">
        <f>IF(ISNA(MATCH(398,'Transfer Engine'!$C$2:$C$1199,0)),"",INDEX('Compliance Database'!$O$2:$O$1199,MATCH(398,'Transfer Engine'!$C$2:$C$1199,0)))</f>
        <v/>
      </c>
      <c r="P407" s="6" t="str">
        <f>IF(ISNA(MATCH(398,'Transfer Engine'!$C$2:$C$1199,0)),"",HYPERLINK("#Acts!A"&amp;INDEX('Compliance Database'!$P$2:$P$1199,MATCH(398,'Transfer Engine'!$C$2:$C$1199,0)),"Go to Act"))</f>
        <v/>
      </c>
    </row>
    <row r="408" spans="1:16" ht="172.95" customHeight="1" x14ac:dyDescent="0.3">
      <c r="A408" s="6" t="str">
        <f>IF(ISNA(MATCH(399,'Transfer Engine'!$C$2:$C$1199,0)),"",INDEX('Compliance Database'!$A$2:$A$1199,MATCH(399,'Transfer Engine'!$C$2:$C$1199,0)))</f>
        <v/>
      </c>
      <c r="B408" s="6" t="str">
        <f>IF(ISNA(MATCH(399,'Transfer Engine'!$C$2:$C$1199,0)),"",INDEX('Compliance Database'!$B$2:$B$1199,MATCH(399,'Transfer Engine'!$C$2:$C$1199,0)))</f>
        <v/>
      </c>
      <c r="C408" s="6" t="str">
        <f>IF(ISNA(MATCH(399,'Transfer Engine'!$C$2:$C$1199,0)),"",INDEX('Compliance Database'!$C$2:$C$1199,MATCH(399,'Transfer Engine'!$C$2:$C$1199,0)))</f>
        <v/>
      </c>
      <c r="D408" s="7" t="str">
        <f>IF(ISNA(MATCH(399,'Transfer Engine'!$C$2:$C$1199,0)),"",INDEX('Compliance Database'!$D$2:$D$1199,MATCH(399,'Transfer Engine'!$C$2:$C$1199,0)))</f>
        <v/>
      </c>
      <c r="E408" s="6" t="str">
        <f>IF(ISNA(MATCH(399,'Transfer Engine'!$C$2:$C$1199,0)),"",INDEX('Compliance Database'!$E$2:$E$1199,MATCH(399,'Transfer Engine'!$C$2:$C$1199,0)))</f>
        <v/>
      </c>
      <c r="F408" s="6" t="str">
        <f>IF(ISNA(MATCH(399,'Transfer Engine'!$C$2:$C$1199,0)),"",INDEX('Compliance Database'!$F$2:$F$1199,MATCH(399,'Transfer Engine'!$C$2:$C$1199,0)))</f>
        <v/>
      </c>
      <c r="G408" s="6" t="str">
        <f>IF(ISNA(MATCH(399,'Transfer Engine'!$C$2:$C$1199,0)),"",INDEX('Compliance Database'!$G$2:$G$1199,MATCH(399,'Transfer Engine'!$C$2:$C$1199,0)))</f>
        <v/>
      </c>
      <c r="H408" s="7" t="str">
        <f>IF(ISNA(MATCH(399,'Transfer Engine'!$C$2:$C$1199,0)),"",INDEX('Compliance Database'!$H$2:$H$1199,MATCH(399,'Transfer Engine'!$C$2:$C$1199,0)))</f>
        <v/>
      </c>
      <c r="I408" s="7" t="str">
        <f>IF(ISNA(MATCH(399,'Transfer Engine'!$C$2:$C$1199,0)),"",INDEX('Compliance Database'!$I$2:$I$1199,MATCH(399,'Transfer Engine'!$C$2:$C$1199,0)))</f>
        <v/>
      </c>
      <c r="J408" s="6" t="str">
        <f>IF(ISNA(MATCH(399,'Transfer Engine'!$C$2:$C$1199,0)),"",INDEX('Compliance Database'!$J$2:$J$1199,MATCH(399,'Transfer Engine'!$C$2:$C$1199,0)))</f>
        <v/>
      </c>
      <c r="K408" s="7" t="str">
        <f>IF(ISNA(MATCH(399,'Transfer Engine'!$C$2:$C$1199,0)),"",INDEX('Compliance Database'!$K$2:$K$1199,MATCH(399,'Transfer Engine'!$C$2:$C$1199,0)))</f>
        <v/>
      </c>
      <c r="L408" s="7" t="str">
        <f>IF(ISNA(MATCH(399,'Transfer Engine'!$C$2:$C$1199,0)),"",INDEX('Compliance Database'!$L$2:$L$1199,MATCH(399,'Transfer Engine'!$C$2:$C$1199,0)))</f>
        <v/>
      </c>
      <c r="M408" s="7" t="str">
        <f>IF(ISNA(MATCH(399,'Transfer Engine'!$C$2:$C$1199,0)),"",INDEX('Compliance Database'!$M$2:$M$1199,MATCH(399,'Transfer Engine'!$C$2:$C$1199,0)))</f>
        <v/>
      </c>
      <c r="N408" s="7" t="str">
        <f>IF(ISNA(MATCH(399,'Transfer Engine'!$C$2:$C$1199,0)),"",INDEX('Compliance Database'!$N$2:$N$1199,MATCH(399,'Transfer Engine'!$C$2:$C$1199,0)))</f>
        <v/>
      </c>
      <c r="O408" s="7" t="str">
        <f>IF(ISNA(MATCH(399,'Transfer Engine'!$C$2:$C$1199,0)),"",INDEX('Compliance Database'!$O$2:$O$1199,MATCH(399,'Transfer Engine'!$C$2:$C$1199,0)))</f>
        <v/>
      </c>
      <c r="P408" s="6" t="str">
        <f>IF(ISNA(MATCH(399,'Transfer Engine'!$C$2:$C$1199,0)),"",HYPERLINK("#Acts!A"&amp;INDEX('Compliance Database'!$P$2:$P$1199,MATCH(399,'Transfer Engine'!$C$2:$C$1199,0)),"Go to Act"))</f>
        <v/>
      </c>
    </row>
    <row r="409" spans="1:16" ht="172.95" customHeight="1" x14ac:dyDescent="0.3">
      <c r="A409" s="6" t="str">
        <f>IF(ISNA(MATCH(400,'Transfer Engine'!$C$2:$C$1199,0)),"",INDEX('Compliance Database'!$A$2:$A$1199,MATCH(400,'Transfer Engine'!$C$2:$C$1199,0)))</f>
        <v/>
      </c>
      <c r="B409" s="6" t="str">
        <f>IF(ISNA(MATCH(400,'Transfer Engine'!$C$2:$C$1199,0)),"",INDEX('Compliance Database'!$B$2:$B$1199,MATCH(400,'Transfer Engine'!$C$2:$C$1199,0)))</f>
        <v/>
      </c>
      <c r="C409" s="6" t="str">
        <f>IF(ISNA(MATCH(400,'Transfer Engine'!$C$2:$C$1199,0)),"",INDEX('Compliance Database'!$C$2:$C$1199,MATCH(400,'Transfer Engine'!$C$2:$C$1199,0)))</f>
        <v/>
      </c>
      <c r="D409" s="7" t="str">
        <f>IF(ISNA(MATCH(400,'Transfer Engine'!$C$2:$C$1199,0)),"",INDEX('Compliance Database'!$D$2:$D$1199,MATCH(400,'Transfer Engine'!$C$2:$C$1199,0)))</f>
        <v/>
      </c>
      <c r="E409" s="6" t="str">
        <f>IF(ISNA(MATCH(400,'Transfer Engine'!$C$2:$C$1199,0)),"",INDEX('Compliance Database'!$E$2:$E$1199,MATCH(400,'Transfer Engine'!$C$2:$C$1199,0)))</f>
        <v/>
      </c>
      <c r="F409" s="6" t="str">
        <f>IF(ISNA(MATCH(400,'Transfer Engine'!$C$2:$C$1199,0)),"",INDEX('Compliance Database'!$F$2:$F$1199,MATCH(400,'Transfer Engine'!$C$2:$C$1199,0)))</f>
        <v/>
      </c>
      <c r="G409" s="6" t="str">
        <f>IF(ISNA(MATCH(400,'Transfer Engine'!$C$2:$C$1199,0)),"",INDEX('Compliance Database'!$G$2:$G$1199,MATCH(400,'Transfer Engine'!$C$2:$C$1199,0)))</f>
        <v/>
      </c>
      <c r="H409" s="7" t="str">
        <f>IF(ISNA(MATCH(400,'Transfer Engine'!$C$2:$C$1199,0)),"",INDEX('Compliance Database'!$H$2:$H$1199,MATCH(400,'Transfer Engine'!$C$2:$C$1199,0)))</f>
        <v/>
      </c>
      <c r="I409" s="7" t="str">
        <f>IF(ISNA(MATCH(400,'Transfer Engine'!$C$2:$C$1199,0)),"",INDEX('Compliance Database'!$I$2:$I$1199,MATCH(400,'Transfer Engine'!$C$2:$C$1199,0)))</f>
        <v/>
      </c>
      <c r="J409" s="6" t="str">
        <f>IF(ISNA(MATCH(400,'Transfer Engine'!$C$2:$C$1199,0)),"",INDEX('Compliance Database'!$J$2:$J$1199,MATCH(400,'Transfer Engine'!$C$2:$C$1199,0)))</f>
        <v/>
      </c>
      <c r="K409" s="7" t="str">
        <f>IF(ISNA(MATCH(400,'Transfer Engine'!$C$2:$C$1199,0)),"",INDEX('Compliance Database'!$K$2:$K$1199,MATCH(400,'Transfer Engine'!$C$2:$C$1199,0)))</f>
        <v/>
      </c>
      <c r="L409" s="7" t="str">
        <f>IF(ISNA(MATCH(400,'Transfer Engine'!$C$2:$C$1199,0)),"",INDEX('Compliance Database'!$L$2:$L$1199,MATCH(400,'Transfer Engine'!$C$2:$C$1199,0)))</f>
        <v/>
      </c>
      <c r="M409" s="7" t="str">
        <f>IF(ISNA(MATCH(400,'Transfer Engine'!$C$2:$C$1199,0)),"",INDEX('Compliance Database'!$M$2:$M$1199,MATCH(400,'Transfer Engine'!$C$2:$C$1199,0)))</f>
        <v/>
      </c>
      <c r="N409" s="7" t="str">
        <f>IF(ISNA(MATCH(400,'Transfer Engine'!$C$2:$C$1199,0)),"",INDEX('Compliance Database'!$N$2:$N$1199,MATCH(400,'Transfer Engine'!$C$2:$C$1199,0)))</f>
        <v/>
      </c>
      <c r="O409" s="7" t="str">
        <f>IF(ISNA(MATCH(400,'Transfer Engine'!$C$2:$C$1199,0)),"",INDEX('Compliance Database'!$O$2:$O$1199,MATCH(400,'Transfer Engine'!$C$2:$C$1199,0)))</f>
        <v/>
      </c>
      <c r="P409" s="6" t="str">
        <f>IF(ISNA(MATCH(400,'Transfer Engine'!$C$2:$C$1199,0)),"",HYPERLINK("#Acts!A"&amp;INDEX('Compliance Database'!$P$2:$P$1199,MATCH(400,'Transfer Engine'!$C$2:$C$1199,0)),"Go to Act"))</f>
        <v/>
      </c>
    </row>
    <row r="410" spans="1:16" ht="172.95" customHeight="1" x14ac:dyDescent="0.3">
      <c r="A410" s="6" t="str">
        <f>IF(ISNA(MATCH(401,'Transfer Engine'!$C$2:$C$1199,0)),"",INDEX('Compliance Database'!$A$2:$A$1199,MATCH(401,'Transfer Engine'!$C$2:$C$1199,0)))</f>
        <v/>
      </c>
      <c r="B410" s="6" t="str">
        <f>IF(ISNA(MATCH(401,'Transfer Engine'!$C$2:$C$1199,0)),"",INDEX('Compliance Database'!$B$2:$B$1199,MATCH(401,'Transfer Engine'!$C$2:$C$1199,0)))</f>
        <v/>
      </c>
      <c r="C410" s="6" t="str">
        <f>IF(ISNA(MATCH(401,'Transfer Engine'!$C$2:$C$1199,0)),"",INDEX('Compliance Database'!$C$2:$C$1199,MATCH(401,'Transfer Engine'!$C$2:$C$1199,0)))</f>
        <v/>
      </c>
      <c r="D410" s="7" t="str">
        <f>IF(ISNA(MATCH(401,'Transfer Engine'!$C$2:$C$1199,0)),"",INDEX('Compliance Database'!$D$2:$D$1199,MATCH(401,'Transfer Engine'!$C$2:$C$1199,0)))</f>
        <v/>
      </c>
      <c r="E410" s="6" t="str">
        <f>IF(ISNA(MATCH(401,'Transfer Engine'!$C$2:$C$1199,0)),"",INDEX('Compliance Database'!$E$2:$E$1199,MATCH(401,'Transfer Engine'!$C$2:$C$1199,0)))</f>
        <v/>
      </c>
      <c r="F410" s="6" t="str">
        <f>IF(ISNA(MATCH(401,'Transfer Engine'!$C$2:$C$1199,0)),"",INDEX('Compliance Database'!$F$2:$F$1199,MATCH(401,'Transfer Engine'!$C$2:$C$1199,0)))</f>
        <v/>
      </c>
      <c r="G410" s="6" t="str">
        <f>IF(ISNA(MATCH(401,'Transfer Engine'!$C$2:$C$1199,0)),"",INDEX('Compliance Database'!$G$2:$G$1199,MATCH(401,'Transfer Engine'!$C$2:$C$1199,0)))</f>
        <v/>
      </c>
      <c r="H410" s="7" t="str">
        <f>IF(ISNA(MATCH(401,'Transfer Engine'!$C$2:$C$1199,0)),"",INDEX('Compliance Database'!$H$2:$H$1199,MATCH(401,'Transfer Engine'!$C$2:$C$1199,0)))</f>
        <v/>
      </c>
      <c r="I410" s="7" t="str">
        <f>IF(ISNA(MATCH(401,'Transfer Engine'!$C$2:$C$1199,0)),"",INDEX('Compliance Database'!$I$2:$I$1199,MATCH(401,'Transfer Engine'!$C$2:$C$1199,0)))</f>
        <v/>
      </c>
      <c r="J410" s="6" t="str">
        <f>IF(ISNA(MATCH(401,'Transfer Engine'!$C$2:$C$1199,0)),"",INDEX('Compliance Database'!$J$2:$J$1199,MATCH(401,'Transfer Engine'!$C$2:$C$1199,0)))</f>
        <v/>
      </c>
      <c r="K410" s="7" t="str">
        <f>IF(ISNA(MATCH(401,'Transfer Engine'!$C$2:$C$1199,0)),"",INDEX('Compliance Database'!$K$2:$K$1199,MATCH(401,'Transfer Engine'!$C$2:$C$1199,0)))</f>
        <v/>
      </c>
      <c r="L410" s="7" t="str">
        <f>IF(ISNA(MATCH(401,'Transfer Engine'!$C$2:$C$1199,0)),"",INDEX('Compliance Database'!$L$2:$L$1199,MATCH(401,'Transfer Engine'!$C$2:$C$1199,0)))</f>
        <v/>
      </c>
      <c r="M410" s="7" t="str">
        <f>IF(ISNA(MATCH(401,'Transfer Engine'!$C$2:$C$1199,0)),"",INDEX('Compliance Database'!$M$2:$M$1199,MATCH(401,'Transfer Engine'!$C$2:$C$1199,0)))</f>
        <v/>
      </c>
      <c r="N410" s="7" t="str">
        <f>IF(ISNA(MATCH(401,'Transfer Engine'!$C$2:$C$1199,0)),"",INDEX('Compliance Database'!$N$2:$N$1199,MATCH(401,'Transfer Engine'!$C$2:$C$1199,0)))</f>
        <v/>
      </c>
      <c r="O410" s="7" t="str">
        <f>IF(ISNA(MATCH(401,'Transfer Engine'!$C$2:$C$1199,0)),"",INDEX('Compliance Database'!$O$2:$O$1199,MATCH(401,'Transfer Engine'!$C$2:$C$1199,0)))</f>
        <v/>
      </c>
      <c r="P410" s="6" t="str">
        <f>IF(ISNA(MATCH(401,'Transfer Engine'!$C$2:$C$1199,0)),"",HYPERLINK("#Acts!A"&amp;INDEX('Compliance Database'!$P$2:$P$1199,MATCH(401,'Transfer Engine'!$C$2:$C$1199,0)),"Go to Act"))</f>
        <v/>
      </c>
    </row>
    <row r="411" spans="1:16" ht="172.95" customHeight="1" x14ac:dyDescent="0.3">
      <c r="A411" s="6" t="str">
        <f>IF(ISNA(MATCH(402,'Transfer Engine'!$C$2:$C$1199,0)),"",INDEX('Compliance Database'!$A$2:$A$1199,MATCH(402,'Transfer Engine'!$C$2:$C$1199,0)))</f>
        <v/>
      </c>
      <c r="B411" s="6" t="str">
        <f>IF(ISNA(MATCH(402,'Transfer Engine'!$C$2:$C$1199,0)),"",INDEX('Compliance Database'!$B$2:$B$1199,MATCH(402,'Transfer Engine'!$C$2:$C$1199,0)))</f>
        <v/>
      </c>
      <c r="C411" s="6" t="str">
        <f>IF(ISNA(MATCH(402,'Transfer Engine'!$C$2:$C$1199,0)),"",INDEX('Compliance Database'!$C$2:$C$1199,MATCH(402,'Transfer Engine'!$C$2:$C$1199,0)))</f>
        <v/>
      </c>
      <c r="D411" s="7" t="str">
        <f>IF(ISNA(MATCH(402,'Transfer Engine'!$C$2:$C$1199,0)),"",INDEX('Compliance Database'!$D$2:$D$1199,MATCH(402,'Transfer Engine'!$C$2:$C$1199,0)))</f>
        <v/>
      </c>
      <c r="E411" s="6" t="str">
        <f>IF(ISNA(MATCH(402,'Transfer Engine'!$C$2:$C$1199,0)),"",INDEX('Compliance Database'!$E$2:$E$1199,MATCH(402,'Transfer Engine'!$C$2:$C$1199,0)))</f>
        <v/>
      </c>
      <c r="F411" s="6" t="str">
        <f>IF(ISNA(MATCH(402,'Transfer Engine'!$C$2:$C$1199,0)),"",INDEX('Compliance Database'!$F$2:$F$1199,MATCH(402,'Transfer Engine'!$C$2:$C$1199,0)))</f>
        <v/>
      </c>
      <c r="G411" s="6" t="str">
        <f>IF(ISNA(MATCH(402,'Transfer Engine'!$C$2:$C$1199,0)),"",INDEX('Compliance Database'!$G$2:$G$1199,MATCH(402,'Transfer Engine'!$C$2:$C$1199,0)))</f>
        <v/>
      </c>
      <c r="H411" s="7" t="str">
        <f>IF(ISNA(MATCH(402,'Transfer Engine'!$C$2:$C$1199,0)),"",INDEX('Compliance Database'!$H$2:$H$1199,MATCH(402,'Transfer Engine'!$C$2:$C$1199,0)))</f>
        <v/>
      </c>
      <c r="I411" s="7" t="str">
        <f>IF(ISNA(MATCH(402,'Transfer Engine'!$C$2:$C$1199,0)),"",INDEX('Compliance Database'!$I$2:$I$1199,MATCH(402,'Transfer Engine'!$C$2:$C$1199,0)))</f>
        <v/>
      </c>
      <c r="J411" s="6" t="str">
        <f>IF(ISNA(MATCH(402,'Transfer Engine'!$C$2:$C$1199,0)),"",INDEX('Compliance Database'!$J$2:$J$1199,MATCH(402,'Transfer Engine'!$C$2:$C$1199,0)))</f>
        <v/>
      </c>
      <c r="K411" s="7" t="str">
        <f>IF(ISNA(MATCH(402,'Transfer Engine'!$C$2:$C$1199,0)),"",INDEX('Compliance Database'!$K$2:$K$1199,MATCH(402,'Transfer Engine'!$C$2:$C$1199,0)))</f>
        <v/>
      </c>
      <c r="L411" s="7" t="str">
        <f>IF(ISNA(MATCH(402,'Transfer Engine'!$C$2:$C$1199,0)),"",INDEX('Compliance Database'!$L$2:$L$1199,MATCH(402,'Transfer Engine'!$C$2:$C$1199,0)))</f>
        <v/>
      </c>
      <c r="M411" s="7" t="str">
        <f>IF(ISNA(MATCH(402,'Transfer Engine'!$C$2:$C$1199,0)),"",INDEX('Compliance Database'!$M$2:$M$1199,MATCH(402,'Transfer Engine'!$C$2:$C$1199,0)))</f>
        <v/>
      </c>
      <c r="N411" s="7" t="str">
        <f>IF(ISNA(MATCH(402,'Transfer Engine'!$C$2:$C$1199,0)),"",INDEX('Compliance Database'!$N$2:$N$1199,MATCH(402,'Transfer Engine'!$C$2:$C$1199,0)))</f>
        <v/>
      </c>
      <c r="O411" s="7" t="str">
        <f>IF(ISNA(MATCH(402,'Transfer Engine'!$C$2:$C$1199,0)),"",INDEX('Compliance Database'!$O$2:$O$1199,MATCH(402,'Transfer Engine'!$C$2:$C$1199,0)))</f>
        <v/>
      </c>
      <c r="P411" s="6" t="str">
        <f>IF(ISNA(MATCH(402,'Transfer Engine'!$C$2:$C$1199,0)),"",HYPERLINK("#Acts!A"&amp;INDEX('Compliance Database'!$P$2:$P$1199,MATCH(402,'Transfer Engine'!$C$2:$C$1199,0)),"Go to Act"))</f>
        <v/>
      </c>
    </row>
    <row r="412" spans="1:16" ht="172.95" customHeight="1" x14ac:dyDescent="0.3">
      <c r="A412" s="6" t="str">
        <f>IF(ISNA(MATCH(403,'Transfer Engine'!$C$2:$C$1199,0)),"",INDEX('Compliance Database'!$A$2:$A$1199,MATCH(403,'Transfer Engine'!$C$2:$C$1199,0)))</f>
        <v/>
      </c>
      <c r="B412" s="6" t="str">
        <f>IF(ISNA(MATCH(403,'Transfer Engine'!$C$2:$C$1199,0)),"",INDEX('Compliance Database'!$B$2:$B$1199,MATCH(403,'Transfer Engine'!$C$2:$C$1199,0)))</f>
        <v/>
      </c>
      <c r="C412" s="6" t="str">
        <f>IF(ISNA(MATCH(403,'Transfer Engine'!$C$2:$C$1199,0)),"",INDEX('Compliance Database'!$C$2:$C$1199,MATCH(403,'Transfer Engine'!$C$2:$C$1199,0)))</f>
        <v/>
      </c>
      <c r="D412" s="7" t="str">
        <f>IF(ISNA(MATCH(403,'Transfer Engine'!$C$2:$C$1199,0)),"",INDEX('Compliance Database'!$D$2:$D$1199,MATCH(403,'Transfer Engine'!$C$2:$C$1199,0)))</f>
        <v/>
      </c>
      <c r="E412" s="6" t="str">
        <f>IF(ISNA(MATCH(403,'Transfer Engine'!$C$2:$C$1199,0)),"",INDEX('Compliance Database'!$E$2:$E$1199,MATCH(403,'Transfer Engine'!$C$2:$C$1199,0)))</f>
        <v/>
      </c>
      <c r="F412" s="6" t="str">
        <f>IF(ISNA(MATCH(403,'Transfer Engine'!$C$2:$C$1199,0)),"",INDEX('Compliance Database'!$F$2:$F$1199,MATCH(403,'Transfer Engine'!$C$2:$C$1199,0)))</f>
        <v/>
      </c>
      <c r="G412" s="6" t="str">
        <f>IF(ISNA(MATCH(403,'Transfer Engine'!$C$2:$C$1199,0)),"",INDEX('Compliance Database'!$G$2:$G$1199,MATCH(403,'Transfer Engine'!$C$2:$C$1199,0)))</f>
        <v/>
      </c>
      <c r="H412" s="7" t="str">
        <f>IF(ISNA(MATCH(403,'Transfer Engine'!$C$2:$C$1199,0)),"",INDEX('Compliance Database'!$H$2:$H$1199,MATCH(403,'Transfer Engine'!$C$2:$C$1199,0)))</f>
        <v/>
      </c>
      <c r="I412" s="7" t="str">
        <f>IF(ISNA(MATCH(403,'Transfer Engine'!$C$2:$C$1199,0)),"",INDEX('Compliance Database'!$I$2:$I$1199,MATCH(403,'Transfer Engine'!$C$2:$C$1199,0)))</f>
        <v/>
      </c>
      <c r="J412" s="6" t="str">
        <f>IF(ISNA(MATCH(403,'Transfer Engine'!$C$2:$C$1199,0)),"",INDEX('Compliance Database'!$J$2:$J$1199,MATCH(403,'Transfer Engine'!$C$2:$C$1199,0)))</f>
        <v/>
      </c>
      <c r="K412" s="7" t="str">
        <f>IF(ISNA(MATCH(403,'Transfer Engine'!$C$2:$C$1199,0)),"",INDEX('Compliance Database'!$K$2:$K$1199,MATCH(403,'Transfer Engine'!$C$2:$C$1199,0)))</f>
        <v/>
      </c>
      <c r="L412" s="7" t="str">
        <f>IF(ISNA(MATCH(403,'Transfer Engine'!$C$2:$C$1199,0)),"",INDEX('Compliance Database'!$L$2:$L$1199,MATCH(403,'Transfer Engine'!$C$2:$C$1199,0)))</f>
        <v/>
      </c>
      <c r="M412" s="7" t="str">
        <f>IF(ISNA(MATCH(403,'Transfer Engine'!$C$2:$C$1199,0)),"",INDEX('Compliance Database'!$M$2:$M$1199,MATCH(403,'Transfer Engine'!$C$2:$C$1199,0)))</f>
        <v/>
      </c>
      <c r="N412" s="7" t="str">
        <f>IF(ISNA(MATCH(403,'Transfer Engine'!$C$2:$C$1199,0)),"",INDEX('Compliance Database'!$N$2:$N$1199,MATCH(403,'Transfer Engine'!$C$2:$C$1199,0)))</f>
        <v/>
      </c>
      <c r="O412" s="7" t="str">
        <f>IF(ISNA(MATCH(403,'Transfer Engine'!$C$2:$C$1199,0)),"",INDEX('Compliance Database'!$O$2:$O$1199,MATCH(403,'Transfer Engine'!$C$2:$C$1199,0)))</f>
        <v/>
      </c>
      <c r="P412" s="6" t="str">
        <f>IF(ISNA(MATCH(403,'Transfer Engine'!$C$2:$C$1199,0)),"",HYPERLINK("#Acts!A"&amp;INDEX('Compliance Database'!$P$2:$P$1199,MATCH(403,'Transfer Engine'!$C$2:$C$1199,0)),"Go to Act"))</f>
        <v/>
      </c>
    </row>
    <row r="413" spans="1:16" ht="172.95" customHeight="1" x14ac:dyDescent="0.3">
      <c r="A413" s="6" t="str">
        <f>IF(ISNA(MATCH(404,'Transfer Engine'!$C$2:$C$1199,0)),"",INDEX('Compliance Database'!$A$2:$A$1199,MATCH(404,'Transfer Engine'!$C$2:$C$1199,0)))</f>
        <v/>
      </c>
      <c r="B413" s="6" t="str">
        <f>IF(ISNA(MATCH(404,'Transfer Engine'!$C$2:$C$1199,0)),"",INDEX('Compliance Database'!$B$2:$B$1199,MATCH(404,'Transfer Engine'!$C$2:$C$1199,0)))</f>
        <v/>
      </c>
      <c r="C413" s="6" t="str">
        <f>IF(ISNA(MATCH(404,'Transfer Engine'!$C$2:$C$1199,0)),"",INDEX('Compliance Database'!$C$2:$C$1199,MATCH(404,'Transfer Engine'!$C$2:$C$1199,0)))</f>
        <v/>
      </c>
      <c r="D413" s="7" t="str">
        <f>IF(ISNA(MATCH(404,'Transfer Engine'!$C$2:$C$1199,0)),"",INDEX('Compliance Database'!$D$2:$D$1199,MATCH(404,'Transfer Engine'!$C$2:$C$1199,0)))</f>
        <v/>
      </c>
      <c r="E413" s="6" t="str">
        <f>IF(ISNA(MATCH(404,'Transfer Engine'!$C$2:$C$1199,0)),"",INDEX('Compliance Database'!$E$2:$E$1199,MATCH(404,'Transfer Engine'!$C$2:$C$1199,0)))</f>
        <v/>
      </c>
      <c r="F413" s="6" t="str">
        <f>IF(ISNA(MATCH(404,'Transfer Engine'!$C$2:$C$1199,0)),"",INDEX('Compliance Database'!$F$2:$F$1199,MATCH(404,'Transfer Engine'!$C$2:$C$1199,0)))</f>
        <v/>
      </c>
      <c r="G413" s="6" t="str">
        <f>IF(ISNA(MATCH(404,'Transfer Engine'!$C$2:$C$1199,0)),"",INDEX('Compliance Database'!$G$2:$G$1199,MATCH(404,'Transfer Engine'!$C$2:$C$1199,0)))</f>
        <v/>
      </c>
      <c r="H413" s="7" t="str">
        <f>IF(ISNA(MATCH(404,'Transfer Engine'!$C$2:$C$1199,0)),"",INDEX('Compliance Database'!$H$2:$H$1199,MATCH(404,'Transfer Engine'!$C$2:$C$1199,0)))</f>
        <v/>
      </c>
      <c r="I413" s="7" t="str">
        <f>IF(ISNA(MATCH(404,'Transfer Engine'!$C$2:$C$1199,0)),"",INDEX('Compliance Database'!$I$2:$I$1199,MATCH(404,'Transfer Engine'!$C$2:$C$1199,0)))</f>
        <v/>
      </c>
      <c r="J413" s="6" t="str">
        <f>IF(ISNA(MATCH(404,'Transfer Engine'!$C$2:$C$1199,0)),"",INDEX('Compliance Database'!$J$2:$J$1199,MATCH(404,'Transfer Engine'!$C$2:$C$1199,0)))</f>
        <v/>
      </c>
      <c r="K413" s="7" t="str">
        <f>IF(ISNA(MATCH(404,'Transfer Engine'!$C$2:$C$1199,0)),"",INDEX('Compliance Database'!$K$2:$K$1199,MATCH(404,'Transfer Engine'!$C$2:$C$1199,0)))</f>
        <v/>
      </c>
      <c r="L413" s="7" t="str">
        <f>IF(ISNA(MATCH(404,'Transfer Engine'!$C$2:$C$1199,0)),"",INDEX('Compliance Database'!$L$2:$L$1199,MATCH(404,'Transfer Engine'!$C$2:$C$1199,0)))</f>
        <v/>
      </c>
      <c r="M413" s="7" t="str">
        <f>IF(ISNA(MATCH(404,'Transfer Engine'!$C$2:$C$1199,0)),"",INDEX('Compliance Database'!$M$2:$M$1199,MATCH(404,'Transfer Engine'!$C$2:$C$1199,0)))</f>
        <v/>
      </c>
      <c r="N413" s="7" t="str">
        <f>IF(ISNA(MATCH(404,'Transfer Engine'!$C$2:$C$1199,0)),"",INDEX('Compliance Database'!$N$2:$N$1199,MATCH(404,'Transfer Engine'!$C$2:$C$1199,0)))</f>
        <v/>
      </c>
      <c r="O413" s="7" t="str">
        <f>IF(ISNA(MATCH(404,'Transfer Engine'!$C$2:$C$1199,0)),"",INDEX('Compliance Database'!$O$2:$O$1199,MATCH(404,'Transfer Engine'!$C$2:$C$1199,0)))</f>
        <v/>
      </c>
      <c r="P413" s="6" t="str">
        <f>IF(ISNA(MATCH(404,'Transfer Engine'!$C$2:$C$1199,0)),"",HYPERLINK("#Acts!A"&amp;INDEX('Compliance Database'!$P$2:$P$1199,MATCH(404,'Transfer Engine'!$C$2:$C$1199,0)),"Go to Act"))</f>
        <v/>
      </c>
    </row>
    <row r="414" spans="1:16" ht="172.95" customHeight="1" x14ac:dyDescent="0.3">
      <c r="A414" s="6" t="str">
        <f>IF(ISNA(MATCH(405,'Transfer Engine'!$C$2:$C$1199,0)),"",INDEX('Compliance Database'!$A$2:$A$1199,MATCH(405,'Transfer Engine'!$C$2:$C$1199,0)))</f>
        <v/>
      </c>
      <c r="B414" s="6" t="str">
        <f>IF(ISNA(MATCH(405,'Transfer Engine'!$C$2:$C$1199,0)),"",INDEX('Compliance Database'!$B$2:$B$1199,MATCH(405,'Transfer Engine'!$C$2:$C$1199,0)))</f>
        <v/>
      </c>
      <c r="C414" s="6" t="str">
        <f>IF(ISNA(MATCH(405,'Transfer Engine'!$C$2:$C$1199,0)),"",INDEX('Compliance Database'!$C$2:$C$1199,MATCH(405,'Transfer Engine'!$C$2:$C$1199,0)))</f>
        <v/>
      </c>
      <c r="D414" s="7" t="str">
        <f>IF(ISNA(MATCH(405,'Transfer Engine'!$C$2:$C$1199,0)),"",INDEX('Compliance Database'!$D$2:$D$1199,MATCH(405,'Transfer Engine'!$C$2:$C$1199,0)))</f>
        <v/>
      </c>
      <c r="E414" s="6" t="str">
        <f>IF(ISNA(MATCH(405,'Transfer Engine'!$C$2:$C$1199,0)),"",INDEX('Compliance Database'!$E$2:$E$1199,MATCH(405,'Transfer Engine'!$C$2:$C$1199,0)))</f>
        <v/>
      </c>
      <c r="F414" s="6" t="str">
        <f>IF(ISNA(MATCH(405,'Transfer Engine'!$C$2:$C$1199,0)),"",INDEX('Compliance Database'!$F$2:$F$1199,MATCH(405,'Transfer Engine'!$C$2:$C$1199,0)))</f>
        <v/>
      </c>
      <c r="G414" s="6" t="str">
        <f>IF(ISNA(MATCH(405,'Transfer Engine'!$C$2:$C$1199,0)),"",INDEX('Compliance Database'!$G$2:$G$1199,MATCH(405,'Transfer Engine'!$C$2:$C$1199,0)))</f>
        <v/>
      </c>
      <c r="H414" s="7" t="str">
        <f>IF(ISNA(MATCH(405,'Transfer Engine'!$C$2:$C$1199,0)),"",INDEX('Compliance Database'!$H$2:$H$1199,MATCH(405,'Transfer Engine'!$C$2:$C$1199,0)))</f>
        <v/>
      </c>
      <c r="I414" s="7" t="str">
        <f>IF(ISNA(MATCH(405,'Transfer Engine'!$C$2:$C$1199,0)),"",INDEX('Compliance Database'!$I$2:$I$1199,MATCH(405,'Transfer Engine'!$C$2:$C$1199,0)))</f>
        <v/>
      </c>
      <c r="J414" s="6" t="str">
        <f>IF(ISNA(MATCH(405,'Transfer Engine'!$C$2:$C$1199,0)),"",INDEX('Compliance Database'!$J$2:$J$1199,MATCH(405,'Transfer Engine'!$C$2:$C$1199,0)))</f>
        <v/>
      </c>
      <c r="K414" s="7" t="str">
        <f>IF(ISNA(MATCH(405,'Transfer Engine'!$C$2:$C$1199,0)),"",INDEX('Compliance Database'!$K$2:$K$1199,MATCH(405,'Transfer Engine'!$C$2:$C$1199,0)))</f>
        <v/>
      </c>
      <c r="L414" s="7" t="str">
        <f>IF(ISNA(MATCH(405,'Transfer Engine'!$C$2:$C$1199,0)),"",INDEX('Compliance Database'!$L$2:$L$1199,MATCH(405,'Transfer Engine'!$C$2:$C$1199,0)))</f>
        <v/>
      </c>
      <c r="M414" s="7" t="str">
        <f>IF(ISNA(MATCH(405,'Transfer Engine'!$C$2:$C$1199,0)),"",INDEX('Compliance Database'!$M$2:$M$1199,MATCH(405,'Transfer Engine'!$C$2:$C$1199,0)))</f>
        <v/>
      </c>
      <c r="N414" s="7" t="str">
        <f>IF(ISNA(MATCH(405,'Transfer Engine'!$C$2:$C$1199,0)),"",INDEX('Compliance Database'!$N$2:$N$1199,MATCH(405,'Transfer Engine'!$C$2:$C$1199,0)))</f>
        <v/>
      </c>
      <c r="O414" s="7" t="str">
        <f>IF(ISNA(MATCH(405,'Transfer Engine'!$C$2:$C$1199,0)),"",INDEX('Compliance Database'!$O$2:$O$1199,MATCH(405,'Transfer Engine'!$C$2:$C$1199,0)))</f>
        <v/>
      </c>
      <c r="P414" s="6" t="str">
        <f>IF(ISNA(MATCH(405,'Transfer Engine'!$C$2:$C$1199,0)),"",HYPERLINK("#Acts!A"&amp;INDEX('Compliance Database'!$P$2:$P$1199,MATCH(405,'Transfer Engine'!$C$2:$C$1199,0)),"Go to Act"))</f>
        <v/>
      </c>
    </row>
    <row r="415" spans="1:16" ht="172.95" customHeight="1" x14ac:dyDescent="0.3">
      <c r="A415" s="6" t="str">
        <f>IF(ISNA(MATCH(406,'Transfer Engine'!$C$2:$C$1199,0)),"",INDEX('Compliance Database'!$A$2:$A$1199,MATCH(406,'Transfer Engine'!$C$2:$C$1199,0)))</f>
        <v/>
      </c>
      <c r="B415" s="6" t="str">
        <f>IF(ISNA(MATCH(406,'Transfer Engine'!$C$2:$C$1199,0)),"",INDEX('Compliance Database'!$B$2:$B$1199,MATCH(406,'Transfer Engine'!$C$2:$C$1199,0)))</f>
        <v/>
      </c>
      <c r="C415" s="6" t="str">
        <f>IF(ISNA(MATCH(406,'Transfer Engine'!$C$2:$C$1199,0)),"",INDEX('Compliance Database'!$C$2:$C$1199,MATCH(406,'Transfer Engine'!$C$2:$C$1199,0)))</f>
        <v/>
      </c>
      <c r="D415" s="7" t="str">
        <f>IF(ISNA(MATCH(406,'Transfer Engine'!$C$2:$C$1199,0)),"",INDEX('Compliance Database'!$D$2:$D$1199,MATCH(406,'Transfer Engine'!$C$2:$C$1199,0)))</f>
        <v/>
      </c>
      <c r="E415" s="6" t="str">
        <f>IF(ISNA(MATCH(406,'Transfer Engine'!$C$2:$C$1199,0)),"",INDEX('Compliance Database'!$E$2:$E$1199,MATCH(406,'Transfer Engine'!$C$2:$C$1199,0)))</f>
        <v/>
      </c>
      <c r="F415" s="6" t="str">
        <f>IF(ISNA(MATCH(406,'Transfer Engine'!$C$2:$C$1199,0)),"",INDEX('Compliance Database'!$F$2:$F$1199,MATCH(406,'Transfer Engine'!$C$2:$C$1199,0)))</f>
        <v/>
      </c>
      <c r="G415" s="6" t="str">
        <f>IF(ISNA(MATCH(406,'Transfer Engine'!$C$2:$C$1199,0)),"",INDEX('Compliance Database'!$G$2:$G$1199,MATCH(406,'Transfer Engine'!$C$2:$C$1199,0)))</f>
        <v/>
      </c>
      <c r="H415" s="7" t="str">
        <f>IF(ISNA(MATCH(406,'Transfer Engine'!$C$2:$C$1199,0)),"",INDEX('Compliance Database'!$H$2:$H$1199,MATCH(406,'Transfer Engine'!$C$2:$C$1199,0)))</f>
        <v/>
      </c>
      <c r="I415" s="7" t="str">
        <f>IF(ISNA(MATCH(406,'Transfer Engine'!$C$2:$C$1199,0)),"",INDEX('Compliance Database'!$I$2:$I$1199,MATCH(406,'Transfer Engine'!$C$2:$C$1199,0)))</f>
        <v/>
      </c>
      <c r="J415" s="6" t="str">
        <f>IF(ISNA(MATCH(406,'Transfer Engine'!$C$2:$C$1199,0)),"",INDEX('Compliance Database'!$J$2:$J$1199,MATCH(406,'Transfer Engine'!$C$2:$C$1199,0)))</f>
        <v/>
      </c>
      <c r="K415" s="7" t="str">
        <f>IF(ISNA(MATCH(406,'Transfer Engine'!$C$2:$C$1199,0)),"",INDEX('Compliance Database'!$K$2:$K$1199,MATCH(406,'Transfer Engine'!$C$2:$C$1199,0)))</f>
        <v/>
      </c>
      <c r="L415" s="7" t="str">
        <f>IF(ISNA(MATCH(406,'Transfer Engine'!$C$2:$C$1199,0)),"",INDEX('Compliance Database'!$L$2:$L$1199,MATCH(406,'Transfer Engine'!$C$2:$C$1199,0)))</f>
        <v/>
      </c>
      <c r="M415" s="7" t="str">
        <f>IF(ISNA(MATCH(406,'Transfer Engine'!$C$2:$C$1199,0)),"",INDEX('Compliance Database'!$M$2:$M$1199,MATCH(406,'Transfer Engine'!$C$2:$C$1199,0)))</f>
        <v/>
      </c>
      <c r="N415" s="7" t="str">
        <f>IF(ISNA(MATCH(406,'Transfer Engine'!$C$2:$C$1199,0)),"",INDEX('Compliance Database'!$N$2:$N$1199,MATCH(406,'Transfer Engine'!$C$2:$C$1199,0)))</f>
        <v/>
      </c>
      <c r="O415" s="7" t="str">
        <f>IF(ISNA(MATCH(406,'Transfer Engine'!$C$2:$C$1199,0)),"",INDEX('Compliance Database'!$O$2:$O$1199,MATCH(406,'Transfer Engine'!$C$2:$C$1199,0)))</f>
        <v/>
      </c>
      <c r="P415" s="6" t="str">
        <f>IF(ISNA(MATCH(406,'Transfer Engine'!$C$2:$C$1199,0)),"",HYPERLINK("#Acts!A"&amp;INDEX('Compliance Database'!$P$2:$P$1199,MATCH(406,'Transfer Engine'!$C$2:$C$1199,0)),"Go to Act"))</f>
        <v/>
      </c>
    </row>
    <row r="416" spans="1:16" ht="172.95" customHeight="1" x14ac:dyDescent="0.3">
      <c r="A416" s="6" t="str">
        <f>IF(ISNA(MATCH(407,'Transfer Engine'!$C$2:$C$1199,0)),"",INDEX('Compliance Database'!$A$2:$A$1199,MATCH(407,'Transfer Engine'!$C$2:$C$1199,0)))</f>
        <v/>
      </c>
      <c r="B416" s="6" t="str">
        <f>IF(ISNA(MATCH(407,'Transfer Engine'!$C$2:$C$1199,0)),"",INDEX('Compliance Database'!$B$2:$B$1199,MATCH(407,'Transfer Engine'!$C$2:$C$1199,0)))</f>
        <v/>
      </c>
      <c r="C416" s="6" t="str">
        <f>IF(ISNA(MATCH(407,'Transfer Engine'!$C$2:$C$1199,0)),"",INDEX('Compliance Database'!$C$2:$C$1199,MATCH(407,'Transfer Engine'!$C$2:$C$1199,0)))</f>
        <v/>
      </c>
      <c r="D416" s="7" t="str">
        <f>IF(ISNA(MATCH(407,'Transfer Engine'!$C$2:$C$1199,0)),"",INDEX('Compliance Database'!$D$2:$D$1199,MATCH(407,'Transfer Engine'!$C$2:$C$1199,0)))</f>
        <v/>
      </c>
      <c r="E416" s="6" t="str">
        <f>IF(ISNA(MATCH(407,'Transfer Engine'!$C$2:$C$1199,0)),"",INDEX('Compliance Database'!$E$2:$E$1199,MATCH(407,'Transfer Engine'!$C$2:$C$1199,0)))</f>
        <v/>
      </c>
      <c r="F416" s="6" t="str">
        <f>IF(ISNA(MATCH(407,'Transfer Engine'!$C$2:$C$1199,0)),"",INDEX('Compliance Database'!$F$2:$F$1199,MATCH(407,'Transfer Engine'!$C$2:$C$1199,0)))</f>
        <v/>
      </c>
      <c r="G416" s="6" t="str">
        <f>IF(ISNA(MATCH(407,'Transfer Engine'!$C$2:$C$1199,0)),"",INDEX('Compliance Database'!$G$2:$G$1199,MATCH(407,'Transfer Engine'!$C$2:$C$1199,0)))</f>
        <v/>
      </c>
      <c r="H416" s="7" t="str">
        <f>IF(ISNA(MATCH(407,'Transfer Engine'!$C$2:$C$1199,0)),"",INDEX('Compliance Database'!$H$2:$H$1199,MATCH(407,'Transfer Engine'!$C$2:$C$1199,0)))</f>
        <v/>
      </c>
      <c r="I416" s="7" t="str">
        <f>IF(ISNA(MATCH(407,'Transfer Engine'!$C$2:$C$1199,0)),"",INDEX('Compliance Database'!$I$2:$I$1199,MATCH(407,'Transfer Engine'!$C$2:$C$1199,0)))</f>
        <v/>
      </c>
      <c r="J416" s="6" t="str">
        <f>IF(ISNA(MATCH(407,'Transfer Engine'!$C$2:$C$1199,0)),"",INDEX('Compliance Database'!$J$2:$J$1199,MATCH(407,'Transfer Engine'!$C$2:$C$1199,0)))</f>
        <v/>
      </c>
      <c r="K416" s="7" t="str">
        <f>IF(ISNA(MATCH(407,'Transfer Engine'!$C$2:$C$1199,0)),"",INDEX('Compliance Database'!$K$2:$K$1199,MATCH(407,'Transfer Engine'!$C$2:$C$1199,0)))</f>
        <v/>
      </c>
      <c r="L416" s="7" t="str">
        <f>IF(ISNA(MATCH(407,'Transfer Engine'!$C$2:$C$1199,0)),"",INDEX('Compliance Database'!$L$2:$L$1199,MATCH(407,'Transfer Engine'!$C$2:$C$1199,0)))</f>
        <v/>
      </c>
      <c r="M416" s="7" t="str">
        <f>IF(ISNA(MATCH(407,'Transfer Engine'!$C$2:$C$1199,0)),"",INDEX('Compliance Database'!$M$2:$M$1199,MATCH(407,'Transfer Engine'!$C$2:$C$1199,0)))</f>
        <v/>
      </c>
      <c r="N416" s="7" t="str">
        <f>IF(ISNA(MATCH(407,'Transfer Engine'!$C$2:$C$1199,0)),"",INDEX('Compliance Database'!$N$2:$N$1199,MATCH(407,'Transfer Engine'!$C$2:$C$1199,0)))</f>
        <v/>
      </c>
      <c r="O416" s="7" t="str">
        <f>IF(ISNA(MATCH(407,'Transfer Engine'!$C$2:$C$1199,0)),"",INDEX('Compliance Database'!$O$2:$O$1199,MATCH(407,'Transfer Engine'!$C$2:$C$1199,0)))</f>
        <v/>
      </c>
      <c r="P416" s="6" t="str">
        <f>IF(ISNA(MATCH(407,'Transfer Engine'!$C$2:$C$1199,0)),"",HYPERLINK("#Acts!A"&amp;INDEX('Compliance Database'!$P$2:$P$1199,MATCH(407,'Transfer Engine'!$C$2:$C$1199,0)),"Go to Act"))</f>
        <v/>
      </c>
    </row>
    <row r="417" spans="1:16" ht="172.95" customHeight="1" x14ac:dyDescent="0.3">
      <c r="A417" s="6" t="str">
        <f>IF(ISNA(MATCH(408,'Transfer Engine'!$C$2:$C$1199,0)),"",INDEX('Compliance Database'!$A$2:$A$1199,MATCH(408,'Transfer Engine'!$C$2:$C$1199,0)))</f>
        <v/>
      </c>
      <c r="B417" s="6" t="str">
        <f>IF(ISNA(MATCH(408,'Transfer Engine'!$C$2:$C$1199,0)),"",INDEX('Compliance Database'!$B$2:$B$1199,MATCH(408,'Transfer Engine'!$C$2:$C$1199,0)))</f>
        <v/>
      </c>
      <c r="C417" s="6" t="str">
        <f>IF(ISNA(MATCH(408,'Transfer Engine'!$C$2:$C$1199,0)),"",INDEX('Compliance Database'!$C$2:$C$1199,MATCH(408,'Transfer Engine'!$C$2:$C$1199,0)))</f>
        <v/>
      </c>
      <c r="D417" s="7" t="str">
        <f>IF(ISNA(MATCH(408,'Transfer Engine'!$C$2:$C$1199,0)),"",INDEX('Compliance Database'!$D$2:$D$1199,MATCH(408,'Transfer Engine'!$C$2:$C$1199,0)))</f>
        <v/>
      </c>
      <c r="E417" s="6" t="str">
        <f>IF(ISNA(MATCH(408,'Transfer Engine'!$C$2:$C$1199,0)),"",INDEX('Compliance Database'!$E$2:$E$1199,MATCH(408,'Transfer Engine'!$C$2:$C$1199,0)))</f>
        <v/>
      </c>
      <c r="F417" s="6" t="str">
        <f>IF(ISNA(MATCH(408,'Transfer Engine'!$C$2:$C$1199,0)),"",INDEX('Compliance Database'!$F$2:$F$1199,MATCH(408,'Transfer Engine'!$C$2:$C$1199,0)))</f>
        <v/>
      </c>
      <c r="G417" s="6" t="str">
        <f>IF(ISNA(MATCH(408,'Transfer Engine'!$C$2:$C$1199,0)),"",INDEX('Compliance Database'!$G$2:$G$1199,MATCH(408,'Transfer Engine'!$C$2:$C$1199,0)))</f>
        <v/>
      </c>
      <c r="H417" s="7" t="str">
        <f>IF(ISNA(MATCH(408,'Transfer Engine'!$C$2:$C$1199,0)),"",INDEX('Compliance Database'!$H$2:$H$1199,MATCH(408,'Transfer Engine'!$C$2:$C$1199,0)))</f>
        <v/>
      </c>
      <c r="I417" s="7" t="str">
        <f>IF(ISNA(MATCH(408,'Transfer Engine'!$C$2:$C$1199,0)),"",INDEX('Compliance Database'!$I$2:$I$1199,MATCH(408,'Transfer Engine'!$C$2:$C$1199,0)))</f>
        <v/>
      </c>
      <c r="J417" s="6" t="str">
        <f>IF(ISNA(MATCH(408,'Transfer Engine'!$C$2:$C$1199,0)),"",INDEX('Compliance Database'!$J$2:$J$1199,MATCH(408,'Transfer Engine'!$C$2:$C$1199,0)))</f>
        <v/>
      </c>
      <c r="K417" s="7" t="str">
        <f>IF(ISNA(MATCH(408,'Transfer Engine'!$C$2:$C$1199,0)),"",INDEX('Compliance Database'!$K$2:$K$1199,MATCH(408,'Transfer Engine'!$C$2:$C$1199,0)))</f>
        <v/>
      </c>
      <c r="L417" s="7" t="str">
        <f>IF(ISNA(MATCH(408,'Transfer Engine'!$C$2:$C$1199,0)),"",INDEX('Compliance Database'!$L$2:$L$1199,MATCH(408,'Transfer Engine'!$C$2:$C$1199,0)))</f>
        <v/>
      </c>
      <c r="M417" s="7" t="str">
        <f>IF(ISNA(MATCH(408,'Transfer Engine'!$C$2:$C$1199,0)),"",INDEX('Compliance Database'!$M$2:$M$1199,MATCH(408,'Transfer Engine'!$C$2:$C$1199,0)))</f>
        <v/>
      </c>
      <c r="N417" s="7" t="str">
        <f>IF(ISNA(MATCH(408,'Transfer Engine'!$C$2:$C$1199,0)),"",INDEX('Compliance Database'!$N$2:$N$1199,MATCH(408,'Transfer Engine'!$C$2:$C$1199,0)))</f>
        <v/>
      </c>
      <c r="O417" s="7" t="str">
        <f>IF(ISNA(MATCH(408,'Transfer Engine'!$C$2:$C$1199,0)),"",INDEX('Compliance Database'!$O$2:$O$1199,MATCH(408,'Transfer Engine'!$C$2:$C$1199,0)))</f>
        <v/>
      </c>
      <c r="P417" s="6" t="str">
        <f>IF(ISNA(MATCH(408,'Transfer Engine'!$C$2:$C$1199,0)),"",HYPERLINK("#Acts!A"&amp;INDEX('Compliance Database'!$P$2:$P$1199,MATCH(408,'Transfer Engine'!$C$2:$C$1199,0)),"Go to Act"))</f>
        <v/>
      </c>
    </row>
    <row r="418" spans="1:16" ht="172.95" customHeight="1" x14ac:dyDescent="0.3">
      <c r="A418" s="6" t="str">
        <f>IF(ISNA(MATCH(409,'Transfer Engine'!$C$2:$C$1199,0)),"",INDEX('Compliance Database'!$A$2:$A$1199,MATCH(409,'Transfer Engine'!$C$2:$C$1199,0)))</f>
        <v/>
      </c>
      <c r="B418" s="6" t="str">
        <f>IF(ISNA(MATCH(409,'Transfer Engine'!$C$2:$C$1199,0)),"",INDEX('Compliance Database'!$B$2:$B$1199,MATCH(409,'Transfer Engine'!$C$2:$C$1199,0)))</f>
        <v/>
      </c>
      <c r="C418" s="6" t="str">
        <f>IF(ISNA(MATCH(409,'Transfer Engine'!$C$2:$C$1199,0)),"",INDEX('Compliance Database'!$C$2:$C$1199,MATCH(409,'Transfer Engine'!$C$2:$C$1199,0)))</f>
        <v/>
      </c>
      <c r="D418" s="7" t="str">
        <f>IF(ISNA(MATCH(409,'Transfer Engine'!$C$2:$C$1199,0)),"",INDEX('Compliance Database'!$D$2:$D$1199,MATCH(409,'Transfer Engine'!$C$2:$C$1199,0)))</f>
        <v/>
      </c>
      <c r="E418" s="6" t="str">
        <f>IF(ISNA(MATCH(409,'Transfer Engine'!$C$2:$C$1199,0)),"",INDEX('Compliance Database'!$E$2:$E$1199,MATCH(409,'Transfer Engine'!$C$2:$C$1199,0)))</f>
        <v/>
      </c>
      <c r="F418" s="6" t="str">
        <f>IF(ISNA(MATCH(409,'Transfer Engine'!$C$2:$C$1199,0)),"",INDEX('Compliance Database'!$F$2:$F$1199,MATCH(409,'Transfer Engine'!$C$2:$C$1199,0)))</f>
        <v/>
      </c>
      <c r="G418" s="6" t="str">
        <f>IF(ISNA(MATCH(409,'Transfer Engine'!$C$2:$C$1199,0)),"",INDEX('Compliance Database'!$G$2:$G$1199,MATCH(409,'Transfer Engine'!$C$2:$C$1199,0)))</f>
        <v/>
      </c>
      <c r="H418" s="7" t="str">
        <f>IF(ISNA(MATCH(409,'Transfer Engine'!$C$2:$C$1199,0)),"",INDEX('Compliance Database'!$H$2:$H$1199,MATCH(409,'Transfer Engine'!$C$2:$C$1199,0)))</f>
        <v/>
      </c>
      <c r="I418" s="7" t="str">
        <f>IF(ISNA(MATCH(409,'Transfer Engine'!$C$2:$C$1199,0)),"",INDEX('Compliance Database'!$I$2:$I$1199,MATCH(409,'Transfer Engine'!$C$2:$C$1199,0)))</f>
        <v/>
      </c>
      <c r="J418" s="6" t="str">
        <f>IF(ISNA(MATCH(409,'Transfer Engine'!$C$2:$C$1199,0)),"",INDEX('Compliance Database'!$J$2:$J$1199,MATCH(409,'Transfer Engine'!$C$2:$C$1199,0)))</f>
        <v/>
      </c>
      <c r="K418" s="7" t="str">
        <f>IF(ISNA(MATCH(409,'Transfer Engine'!$C$2:$C$1199,0)),"",INDEX('Compliance Database'!$K$2:$K$1199,MATCH(409,'Transfer Engine'!$C$2:$C$1199,0)))</f>
        <v/>
      </c>
      <c r="L418" s="7" t="str">
        <f>IF(ISNA(MATCH(409,'Transfer Engine'!$C$2:$C$1199,0)),"",INDEX('Compliance Database'!$L$2:$L$1199,MATCH(409,'Transfer Engine'!$C$2:$C$1199,0)))</f>
        <v/>
      </c>
      <c r="M418" s="7" t="str">
        <f>IF(ISNA(MATCH(409,'Transfer Engine'!$C$2:$C$1199,0)),"",INDEX('Compliance Database'!$M$2:$M$1199,MATCH(409,'Transfer Engine'!$C$2:$C$1199,0)))</f>
        <v/>
      </c>
      <c r="N418" s="7" t="str">
        <f>IF(ISNA(MATCH(409,'Transfer Engine'!$C$2:$C$1199,0)),"",INDEX('Compliance Database'!$N$2:$N$1199,MATCH(409,'Transfer Engine'!$C$2:$C$1199,0)))</f>
        <v/>
      </c>
      <c r="O418" s="7" t="str">
        <f>IF(ISNA(MATCH(409,'Transfer Engine'!$C$2:$C$1199,0)),"",INDEX('Compliance Database'!$O$2:$O$1199,MATCH(409,'Transfer Engine'!$C$2:$C$1199,0)))</f>
        <v/>
      </c>
      <c r="P418" s="6" t="str">
        <f>IF(ISNA(MATCH(409,'Transfer Engine'!$C$2:$C$1199,0)),"",HYPERLINK("#Acts!A"&amp;INDEX('Compliance Database'!$P$2:$P$1199,MATCH(409,'Transfer Engine'!$C$2:$C$1199,0)),"Go to Act"))</f>
        <v/>
      </c>
    </row>
    <row r="419" spans="1:16" ht="172.95" customHeight="1" x14ac:dyDescent="0.3">
      <c r="A419" s="6" t="str">
        <f>IF(ISNA(MATCH(410,'Transfer Engine'!$C$2:$C$1199,0)),"",INDEX('Compliance Database'!$A$2:$A$1199,MATCH(410,'Transfer Engine'!$C$2:$C$1199,0)))</f>
        <v/>
      </c>
      <c r="B419" s="6" t="str">
        <f>IF(ISNA(MATCH(410,'Transfer Engine'!$C$2:$C$1199,0)),"",INDEX('Compliance Database'!$B$2:$B$1199,MATCH(410,'Transfer Engine'!$C$2:$C$1199,0)))</f>
        <v/>
      </c>
      <c r="C419" s="6" t="str">
        <f>IF(ISNA(MATCH(410,'Transfer Engine'!$C$2:$C$1199,0)),"",INDEX('Compliance Database'!$C$2:$C$1199,MATCH(410,'Transfer Engine'!$C$2:$C$1199,0)))</f>
        <v/>
      </c>
      <c r="D419" s="7" t="str">
        <f>IF(ISNA(MATCH(410,'Transfer Engine'!$C$2:$C$1199,0)),"",INDEX('Compliance Database'!$D$2:$D$1199,MATCH(410,'Transfer Engine'!$C$2:$C$1199,0)))</f>
        <v/>
      </c>
      <c r="E419" s="6" t="str">
        <f>IF(ISNA(MATCH(410,'Transfer Engine'!$C$2:$C$1199,0)),"",INDEX('Compliance Database'!$E$2:$E$1199,MATCH(410,'Transfer Engine'!$C$2:$C$1199,0)))</f>
        <v/>
      </c>
      <c r="F419" s="6" t="str">
        <f>IF(ISNA(MATCH(410,'Transfer Engine'!$C$2:$C$1199,0)),"",INDEX('Compliance Database'!$F$2:$F$1199,MATCH(410,'Transfer Engine'!$C$2:$C$1199,0)))</f>
        <v/>
      </c>
      <c r="G419" s="6" t="str">
        <f>IF(ISNA(MATCH(410,'Transfer Engine'!$C$2:$C$1199,0)),"",INDEX('Compliance Database'!$G$2:$G$1199,MATCH(410,'Transfer Engine'!$C$2:$C$1199,0)))</f>
        <v/>
      </c>
      <c r="H419" s="7" t="str">
        <f>IF(ISNA(MATCH(410,'Transfer Engine'!$C$2:$C$1199,0)),"",INDEX('Compliance Database'!$H$2:$H$1199,MATCH(410,'Transfer Engine'!$C$2:$C$1199,0)))</f>
        <v/>
      </c>
      <c r="I419" s="7" t="str">
        <f>IF(ISNA(MATCH(410,'Transfer Engine'!$C$2:$C$1199,0)),"",INDEX('Compliance Database'!$I$2:$I$1199,MATCH(410,'Transfer Engine'!$C$2:$C$1199,0)))</f>
        <v/>
      </c>
      <c r="J419" s="6" t="str">
        <f>IF(ISNA(MATCH(410,'Transfer Engine'!$C$2:$C$1199,0)),"",INDEX('Compliance Database'!$J$2:$J$1199,MATCH(410,'Transfer Engine'!$C$2:$C$1199,0)))</f>
        <v/>
      </c>
      <c r="K419" s="7" t="str">
        <f>IF(ISNA(MATCH(410,'Transfer Engine'!$C$2:$C$1199,0)),"",INDEX('Compliance Database'!$K$2:$K$1199,MATCH(410,'Transfer Engine'!$C$2:$C$1199,0)))</f>
        <v/>
      </c>
      <c r="L419" s="7" t="str">
        <f>IF(ISNA(MATCH(410,'Transfer Engine'!$C$2:$C$1199,0)),"",INDEX('Compliance Database'!$L$2:$L$1199,MATCH(410,'Transfer Engine'!$C$2:$C$1199,0)))</f>
        <v/>
      </c>
      <c r="M419" s="7" t="str">
        <f>IF(ISNA(MATCH(410,'Transfer Engine'!$C$2:$C$1199,0)),"",INDEX('Compliance Database'!$M$2:$M$1199,MATCH(410,'Transfer Engine'!$C$2:$C$1199,0)))</f>
        <v/>
      </c>
      <c r="N419" s="7" t="str">
        <f>IF(ISNA(MATCH(410,'Transfer Engine'!$C$2:$C$1199,0)),"",INDEX('Compliance Database'!$N$2:$N$1199,MATCH(410,'Transfer Engine'!$C$2:$C$1199,0)))</f>
        <v/>
      </c>
      <c r="O419" s="7" t="str">
        <f>IF(ISNA(MATCH(410,'Transfer Engine'!$C$2:$C$1199,0)),"",INDEX('Compliance Database'!$O$2:$O$1199,MATCH(410,'Transfer Engine'!$C$2:$C$1199,0)))</f>
        <v/>
      </c>
      <c r="P419" s="6" t="str">
        <f>IF(ISNA(MATCH(410,'Transfer Engine'!$C$2:$C$1199,0)),"",HYPERLINK("#Acts!A"&amp;INDEX('Compliance Database'!$P$2:$P$1199,MATCH(410,'Transfer Engine'!$C$2:$C$1199,0)),"Go to Act"))</f>
        <v/>
      </c>
    </row>
    <row r="420" spans="1:16" ht="172.95" customHeight="1" x14ac:dyDescent="0.3">
      <c r="A420" s="6" t="str">
        <f>IF(ISNA(MATCH(411,'Transfer Engine'!$C$2:$C$1199,0)),"",INDEX('Compliance Database'!$A$2:$A$1199,MATCH(411,'Transfer Engine'!$C$2:$C$1199,0)))</f>
        <v/>
      </c>
      <c r="B420" s="6" t="str">
        <f>IF(ISNA(MATCH(411,'Transfer Engine'!$C$2:$C$1199,0)),"",INDEX('Compliance Database'!$B$2:$B$1199,MATCH(411,'Transfer Engine'!$C$2:$C$1199,0)))</f>
        <v/>
      </c>
      <c r="C420" s="6" t="str">
        <f>IF(ISNA(MATCH(411,'Transfer Engine'!$C$2:$C$1199,0)),"",INDEX('Compliance Database'!$C$2:$C$1199,MATCH(411,'Transfer Engine'!$C$2:$C$1199,0)))</f>
        <v/>
      </c>
      <c r="D420" s="7" t="str">
        <f>IF(ISNA(MATCH(411,'Transfer Engine'!$C$2:$C$1199,0)),"",INDEX('Compliance Database'!$D$2:$D$1199,MATCH(411,'Transfer Engine'!$C$2:$C$1199,0)))</f>
        <v/>
      </c>
      <c r="E420" s="6" t="str">
        <f>IF(ISNA(MATCH(411,'Transfer Engine'!$C$2:$C$1199,0)),"",INDEX('Compliance Database'!$E$2:$E$1199,MATCH(411,'Transfer Engine'!$C$2:$C$1199,0)))</f>
        <v/>
      </c>
      <c r="F420" s="6" t="str">
        <f>IF(ISNA(MATCH(411,'Transfer Engine'!$C$2:$C$1199,0)),"",INDEX('Compliance Database'!$F$2:$F$1199,MATCH(411,'Transfer Engine'!$C$2:$C$1199,0)))</f>
        <v/>
      </c>
      <c r="G420" s="6" t="str">
        <f>IF(ISNA(MATCH(411,'Transfer Engine'!$C$2:$C$1199,0)),"",INDEX('Compliance Database'!$G$2:$G$1199,MATCH(411,'Transfer Engine'!$C$2:$C$1199,0)))</f>
        <v/>
      </c>
      <c r="H420" s="7" t="str">
        <f>IF(ISNA(MATCH(411,'Transfer Engine'!$C$2:$C$1199,0)),"",INDEX('Compliance Database'!$H$2:$H$1199,MATCH(411,'Transfer Engine'!$C$2:$C$1199,0)))</f>
        <v/>
      </c>
      <c r="I420" s="7" t="str">
        <f>IF(ISNA(MATCH(411,'Transfer Engine'!$C$2:$C$1199,0)),"",INDEX('Compliance Database'!$I$2:$I$1199,MATCH(411,'Transfer Engine'!$C$2:$C$1199,0)))</f>
        <v/>
      </c>
      <c r="J420" s="6" t="str">
        <f>IF(ISNA(MATCH(411,'Transfer Engine'!$C$2:$C$1199,0)),"",INDEX('Compliance Database'!$J$2:$J$1199,MATCH(411,'Transfer Engine'!$C$2:$C$1199,0)))</f>
        <v/>
      </c>
      <c r="K420" s="7" t="str">
        <f>IF(ISNA(MATCH(411,'Transfer Engine'!$C$2:$C$1199,0)),"",INDEX('Compliance Database'!$K$2:$K$1199,MATCH(411,'Transfer Engine'!$C$2:$C$1199,0)))</f>
        <v/>
      </c>
      <c r="L420" s="7" t="str">
        <f>IF(ISNA(MATCH(411,'Transfer Engine'!$C$2:$C$1199,0)),"",INDEX('Compliance Database'!$L$2:$L$1199,MATCH(411,'Transfer Engine'!$C$2:$C$1199,0)))</f>
        <v/>
      </c>
      <c r="M420" s="7" t="str">
        <f>IF(ISNA(MATCH(411,'Transfer Engine'!$C$2:$C$1199,0)),"",INDEX('Compliance Database'!$M$2:$M$1199,MATCH(411,'Transfer Engine'!$C$2:$C$1199,0)))</f>
        <v/>
      </c>
      <c r="N420" s="7" t="str">
        <f>IF(ISNA(MATCH(411,'Transfer Engine'!$C$2:$C$1199,0)),"",INDEX('Compliance Database'!$N$2:$N$1199,MATCH(411,'Transfer Engine'!$C$2:$C$1199,0)))</f>
        <v/>
      </c>
      <c r="O420" s="7" t="str">
        <f>IF(ISNA(MATCH(411,'Transfer Engine'!$C$2:$C$1199,0)),"",INDEX('Compliance Database'!$O$2:$O$1199,MATCH(411,'Transfer Engine'!$C$2:$C$1199,0)))</f>
        <v/>
      </c>
      <c r="P420" s="6" t="str">
        <f>IF(ISNA(MATCH(411,'Transfer Engine'!$C$2:$C$1199,0)),"",HYPERLINK("#Acts!A"&amp;INDEX('Compliance Database'!$P$2:$P$1199,MATCH(411,'Transfer Engine'!$C$2:$C$1199,0)),"Go to Act"))</f>
        <v/>
      </c>
    </row>
    <row r="421" spans="1:16" ht="172.95" customHeight="1" x14ac:dyDescent="0.3">
      <c r="A421" s="6" t="str">
        <f>IF(ISNA(MATCH(412,'Transfer Engine'!$C$2:$C$1199,0)),"",INDEX('Compliance Database'!$A$2:$A$1199,MATCH(412,'Transfer Engine'!$C$2:$C$1199,0)))</f>
        <v/>
      </c>
      <c r="B421" s="6" t="str">
        <f>IF(ISNA(MATCH(412,'Transfer Engine'!$C$2:$C$1199,0)),"",INDEX('Compliance Database'!$B$2:$B$1199,MATCH(412,'Transfer Engine'!$C$2:$C$1199,0)))</f>
        <v/>
      </c>
      <c r="C421" s="6" t="str">
        <f>IF(ISNA(MATCH(412,'Transfer Engine'!$C$2:$C$1199,0)),"",INDEX('Compliance Database'!$C$2:$C$1199,MATCH(412,'Transfer Engine'!$C$2:$C$1199,0)))</f>
        <v/>
      </c>
      <c r="D421" s="7" t="str">
        <f>IF(ISNA(MATCH(412,'Transfer Engine'!$C$2:$C$1199,0)),"",INDEX('Compliance Database'!$D$2:$D$1199,MATCH(412,'Transfer Engine'!$C$2:$C$1199,0)))</f>
        <v/>
      </c>
      <c r="E421" s="6" t="str">
        <f>IF(ISNA(MATCH(412,'Transfer Engine'!$C$2:$C$1199,0)),"",INDEX('Compliance Database'!$E$2:$E$1199,MATCH(412,'Transfer Engine'!$C$2:$C$1199,0)))</f>
        <v/>
      </c>
      <c r="F421" s="6" t="str">
        <f>IF(ISNA(MATCH(412,'Transfer Engine'!$C$2:$C$1199,0)),"",INDEX('Compliance Database'!$F$2:$F$1199,MATCH(412,'Transfer Engine'!$C$2:$C$1199,0)))</f>
        <v/>
      </c>
      <c r="G421" s="6" t="str">
        <f>IF(ISNA(MATCH(412,'Transfer Engine'!$C$2:$C$1199,0)),"",INDEX('Compliance Database'!$G$2:$G$1199,MATCH(412,'Transfer Engine'!$C$2:$C$1199,0)))</f>
        <v/>
      </c>
      <c r="H421" s="7" t="str">
        <f>IF(ISNA(MATCH(412,'Transfer Engine'!$C$2:$C$1199,0)),"",INDEX('Compliance Database'!$H$2:$H$1199,MATCH(412,'Transfer Engine'!$C$2:$C$1199,0)))</f>
        <v/>
      </c>
      <c r="I421" s="7" t="str">
        <f>IF(ISNA(MATCH(412,'Transfer Engine'!$C$2:$C$1199,0)),"",INDEX('Compliance Database'!$I$2:$I$1199,MATCH(412,'Transfer Engine'!$C$2:$C$1199,0)))</f>
        <v/>
      </c>
      <c r="J421" s="6" t="str">
        <f>IF(ISNA(MATCH(412,'Transfer Engine'!$C$2:$C$1199,0)),"",INDEX('Compliance Database'!$J$2:$J$1199,MATCH(412,'Transfer Engine'!$C$2:$C$1199,0)))</f>
        <v/>
      </c>
      <c r="K421" s="7" t="str">
        <f>IF(ISNA(MATCH(412,'Transfer Engine'!$C$2:$C$1199,0)),"",INDEX('Compliance Database'!$K$2:$K$1199,MATCH(412,'Transfer Engine'!$C$2:$C$1199,0)))</f>
        <v/>
      </c>
      <c r="L421" s="7" t="str">
        <f>IF(ISNA(MATCH(412,'Transfer Engine'!$C$2:$C$1199,0)),"",INDEX('Compliance Database'!$L$2:$L$1199,MATCH(412,'Transfer Engine'!$C$2:$C$1199,0)))</f>
        <v/>
      </c>
      <c r="M421" s="7" t="str">
        <f>IF(ISNA(MATCH(412,'Transfer Engine'!$C$2:$C$1199,0)),"",INDEX('Compliance Database'!$M$2:$M$1199,MATCH(412,'Transfer Engine'!$C$2:$C$1199,0)))</f>
        <v/>
      </c>
      <c r="N421" s="7" t="str">
        <f>IF(ISNA(MATCH(412,'Transfer Engine'!$C$2:$C$1199,0)),"",INDEX('Compliance Database'!$N$2:$N$1199,MATCH(412,'Transfer Engine'!$C$2:$C$1199,0)))</f>
        <v/>
      </c>
      <c r="O421" s="7" t="str">
        <f>IF(ISNA(MATCH(412,'Transfer Engine'!$C$2:$C$1199,0)),"",INDEX('Compliance Database'!$O$2:$O$1199,MATCH(412,'Transfer Engine'!$C$2:$C$1199,0)))</f>
        <v/>
      </c>
      <c r="P421" s="6" t="str">
        <f>IF(ISNA(MATCH(412,'Transfer Engine'!$C$2:$C$1199,0)),"",HYPERLINK("#Acts!A"&amp;INDEX('Compliance Database'!$P$2:$P$1199,MATCH(412,'Transfer Engine'!$C$2:$C$1199,0)),"Go to Act"))</f>
        <v/>
      </c>
    </row>
    <row r="422" spans="1:16" ht="172.95" customHeight="1" x14ac:dyDescent="0.3">
      <c r="A422" s="6" t="str">
        <f>IF(ISNA(MATCH(413,'Transfer Engine'!$C$2:$C$1199,0)),"",INDEX('Compliance Database'!$A$2:$A$1199,MATCH(413,'Transfer Engine'!$C$2:$C$1199,0)))</f>
        <v/>
      </c>
      <c r="B422" s="6" t="str">
        <f>IF(ISNA(MATCH(413,'Transfer Engine'!$C$2:$C$1199,0)),"",INDEX('Compliance Database'!$B$2:$B$1199,MATCH(413,'Transfer Engine'!$C$2:$C$1199,0)))</f>
        <v/>
      </c>
      <c r="C422" s="6" t="str">
        <f>IF(ISNA(MATCH(413,'Transfer Engine'!$C$2:$C$1199,0)),"",INDEX('Compliance Database'!$C$2:$C$1199,MATCH(413,'Transfer Engine'!$C$2:$C$1199,0)))</f>
        <v/>
      </c>
      <c r="D422" s="7" t="str">
        <f>IF(ISNA(MATCH(413,'Transfer Engine'!$C$2:$C$1199,0)),"",INDEX('Compliance Database'!$D$2:$D$1199,MATCH(413,'Transfer Engine'!$C$2:$C$1199,0)))</f>
        <v/>
      </c>
      <c r="E422" s="6" t="str">
        <f>IF(ISNA(MATCH(413,'Transfer Engine'!$C$2:$C$1199,0)),"",INDEX('Compliance Database'!$E$2:$E$1199,MATCH(413,'Transfer Engine'!$C$2:$C$1199,0)))</f>
        <v/>
      </c>
      <c r="F422" s="6" t="str">
        <f>IF(ISNA(MATCH(413,'Transfer Engine'!$C$2:$C$1199,0)),"",INDEX('Compliance Database'!$F$2:$F$1199,MATCH(413,'Transfer Engine'!$C$2:$C$1199,0)))</f>
        <v/>
      </c>
      <c r="G422" s="6" t="str">
        <f>IF(ISNA(MATCH(413,'Transfer Engine'!$C$2:$C$1199,0)),"",INDEX('Compliance Database'!$G$2:$G$1199,MATCH(413,'Transfer Engine'!$C$2:$C$1199,0)))</f>
        <v/>
      </c>
      <c r="H422" s="7" t="str">
        <f>IF(ISNA(MATCH(413,'Transfer Engine'!$C$2:$C$1199,0)),"",INDEX('Compliance Database'!$H$2:$H$1199,MATCH(413,'Transfer Engine'!$C$2:$C$1199,0)))</f>
        <v/>
      </c>
      <c r="I422" s="7" t="str">
        <f>IF(ISNA(MATCH(413,'Transfer Engine'!$C$2:$C$1199,0)),"",INDEX('Compliance Database'!$I$2:$I$1199,MATCH(413,'Transfer Engine'!$C$2:$C$1199,0)))</f>
        <v/>
      </c>
      <c r="J422" s="6" t="str">
        <f>IF(ISNA(MATCH(413,'Transfer Engine'!$C$2:$C$1199,0)),"",INDEX('Compliance Database'!$J$2:$J$1199,MATCH(413,'Transfer Engine'!$C$2:$C$1199,0)))</f>
        <v/>
      </c>
      <c r="K422" s="7" t="str">
        <f>IF(ISNA(MATCH(413,'Transfer Engine'!$C$2:$C$1199,0)),"",INDEX('Compliance Database'!$K$2:$K$1199,MATCH(413,'Transfer Engine'!$C$2:$C$1199,0)))</f>
        <v/>
      </c>
      <c r="L422" s="7" t="str">
        <f>IF(ISNA(MATCH(413,'Transfer Engine'!$C$2:$C$1199,0)),"",INDEX('Compliance Database'!$L$2:$L$1199,MATCH(413,'Transfer Engine'!$C$2:$C$1199,0)))</f>
        <v/>
      </c>
      <c r="M422" s="7" t="str">
        <f>IF(ISNA(MATCH(413,'Transfer Engine'!$C$2:$C$1199,0)),"",INDEX('Compliance Database'!$M$2:$M$1199,MATCH(413,'Transfer Engine'!$C$2:$C$1199,0)))</f>
        <v/>
      </c>
      <c r="N422" s="7" t="str">
        <f>IF(ISNA(MATCH(413,'Transfer Engine'!$C$2:$C$1199,0)),"",INDEX('Compliance Database'!$N$2:$N$1199,MATCH(413,'Transfer Engine'!$C$2:$C$1199,0)))</f>
        <v/>
      </c>
      <c r="O422" s="7" t="str">
        <f>IF(ISNA(MATCH(413,'Transfer Engine'!$C$2:$C$1199,0)),"",INDEX('Compliance Database'!$O$2:$O$1199,MATCH(413,'Transfer Engine'!$C$2:$C$1199,0)))</f>
        <v/>
      </c>
      <c r="P422" s="6" t="str">
        <f>IF(ISNA(MATCH(413,'Transfer Engine'!$C$2:$C$1199,0)),"",HYPERLINK("#Acts!A"&amp;INDEX('Compliance Database'!$P$2:$P$1199,MATCH(413,'Transfer Engine'!$C$2:$C$1199,0)),"Go to Act"))</f>
        <v/>
      </c>
    </row>
    <row r="423" spans="1:16" ht="172.95" customHeight="1" x14ac:dyDescent="0.3">
      <c r="A423" s="6" t="str">
        <f>IF(ISNA(MATCH(414,'Transfer Engine'!$C$2:$C$1199,0)),"",INDEX('Compliance Database'!$A$2:$A$1199,MATCH(414,'Transfer Engine'!$C$2:$C$1199,0)))</f>
        <v/>
      </c>
      <c r="B423" s="6" t="str">
        <f>IF(ISNA(MATCH(414,'Transfer Engine'!$C$2:$C$1199,0)),"",INDEX('Compliance Database'!$B$2:$B$1199,MATCH(414,'Transfer Engine'!$C$2:$C$1199,0)))</f>
        <v/>
      </c>
      <c r="C423" s="6" t="str">
        <f>IF(ISNA(MATCH(414,'Transfer Engine'!$C$2:$C$1199,0)),"",INDEX('Compliance Database'!$C$2:$C$1199,MATCH(414,'Transfer Engine'!$C$2:$C$1199,0)))</f>
        <v/>
      </c>
      <c r="D423" s="7" t="str">
        <f>IF(ISNA(MATCH(414,'Transfer Engine'!$C$2:$C$1199,0)),"",INDEX('Compliance Database'!$D$2:$D$1199,MATCH(414,'Transfer Engine'!$C$2:$C$1199,0)))</f>
        <v/>
      </c>
      <c r="E423" s="6" t="str">
        <f>IF(ISNA(MATCH(414,'Transfer Engine'!$C$2:$C$1199,0)),"",INDEX('Compliance Database'!$E$2:$E$1199,MATCH(414,'Transfer Engine'!$C$2:$C$1199,0)))</f>
        <v/>
      </c>
      <c r="F423" s="6" t="str">
        <f>IF(ISNA(MATCH(414,'Transfer Engine'!$C$2:$C$1199,0)),"",INDEX('Compliance Database'!$F$2:$F$1199,MATCH(414,'Transfer Engine'!$C$2:$C$1199,0)))</f>
        <v/>
      </c>
      <c r="G423" s="6" t="str">
        <f>IF(ISNA(MATCH(414,'Transfer Engine'!$C$2:$C$1199,0)),"",INDEX('Compliance Database'!$G$2:$G$1199,MATCH(414,'Transfer Engine'!$C$2:$C$1199,0)))</f>
        <v/>
      </c>
      <c r="H423" s="7" t="str">
        <f>IF(ISNA(MATCH(414,'Transfer Engine'!$C$2:$C$1199,0)),"",INDEX('Compliance Database'!$H$2:$H$1199,MATCH(414,'Transfer Engine'!$C$2:$C$1199,0)))</f>
        <v/>
      </c>
      <c r="I423" s="7" t="str">
        <f>IF(ISNA(MATCH(414,'Transfer Engine'!$C$2:$C$1199,0)),"",INDEX('Compliance Database'!$I$2:$I$1199,MATCH(414,'Transfer Engine'!$C$2:$C$1199,0)))</f>
        <v/>
      </c>
      <c r="J423" s="6" t="str">
        <f>IF(ISNA(MATCH(414,'Transfer Engine'!$C$2:$C$1199,0)),"",INDEX('Compliance Database'!$J$2:$J$1199,MATCH(414,'Transfer Engine'!$C$2:$C$1199,0)))</f>
        <v/>
      </c>
      <c r="K423" s="7" t="str">
        <f>IF(ISNA(MATCH(414,'Transfer Engine'!$C$2:$C$1199,0)),"",INDEX('Compliance Database'!$K$2:$K$1199,MATCH(414,'Transfer Engine'!$C$2:$C$1199,0)))</f>
        <v/>
      </c>
      <c r="L423" s="7" t="str">
        <f>IF(ISNA(MATCH(414,'Transfer Engine'!$C$2:$C$1199,0)),"",INDEX('Compliance Database'!$L$2:$L$1199,MATCH(414,'Transfer Engine'!$C$2:$C$1199,0)))</f>
        <v/>
      </c>
      <c r="M423" s="7" t="str">
        <f>IF(ISNA(MATCH(414,'Transfer Engine'!$C$2:$C$1199,0)),"",INDEX('Compliance Database'!$M$2:$M$1199,MATCH(414,'Transfer Engine'!$C$2:$C$1199,0)))</f>
        <v/>
      </c>
      <c r="N423" s="7" t="str">
        <f>IF(ISNA(MATCH(414,'Transfer Engine'!$C$2:$C$1199,0)),"",INDEX('Compliance Database'!$N$2:$N$1199,MATCH(414,'Transfer Engine'!$C$2:$C$1199,0)))</f>
        <v/>
      </c>
      <c r="O423" s="7" t="str">
        <f>IF(ISNA(MATCH(414,'Transfer Engine'!$C$2:$C$1199,0)),"",INDEX('Compliance Database'!$O$2:$O$1199,MATCH(414,'Transfer Engine'!$C$2:$C$1199,0)))</f>
        <v/>
      </c>
      <c r="P423" s="6" t="str">
        <f>IF(ISNA(MATCH(414,'Transfer Engine'!$C$2:$C$1199,0)),"",HYPERLINK("#Acts!A"&amp;INDEX('Compliance Database'!$P$2:$P$1199,MATCH(414,'Transfer Engine'!$C$2:$C$1199,0)),"Go to Act"))</f>
        <v/>
      </c>
    </row>
    <row r="424" spans="1:16" ht="172.95" customHeight="1" x14ac:dyDescent="0.3">
      <c r="A424" s="6" t="str">
        <f>IF(ISNA(MATCH(415,'Transfer Engine'!$C$2:$C$1199,0)),"",INDEX('Compliance Database'!$A$2:$A$1199,MATCH(415,'Transfer Engine'!$C$2:$C$1199,0)))</f>
        <v/>
      </c>
      <c r="B424" s="6" t="str">
        <f>IF(ISNA(MATCH(415,'Transfer Engine'!$C$2:$C$1199,0)),"",INDEX('Compliance Database'!$B$2:$B$1199,MATCH(415,'Transfer Engine'!$C$2:$C$1199,0)))</f>
        <v/>
      </c>
      <c r="C424" s="6" t="str">
        <f>IF(ISNA(MATCH(415,'Transfer Engine'!$C$2:$C$1199,0)),"",INDEX('Compliance Database'!$C$2:$C$1199,MATCH(415,'Transfer Engine'!$C$2:$C$1199,0)))</f>
        <v/>
      </c>
      <c r="D424" s="7" t="str">
        <f>IF(ISNA(MATCH(415,'Transfer Engine'!$C$2:$C$1199,0)),"",INDEX('Compliance Database'!$D$2:$D$1199,MATCH(415,'Transfer Engine'!$C$2:$C$1199,0)))</f>
        <v/>
      </c>
      <c r="E424" s="6" t="str">
        <f>IF(ISNA(MATCH(415,'Transfer Engine'!$C$2:$C$1199,0)),"",INDEX('Compliance Database'!$E$2:$E$1199,MATCH(415,'Transfer Engine'!$C$2:$C$1199,0)))</f>
        <v/>
      </c>
      <c r="F424" s="6" t="str">
        <f>IF(ISNA(MATCH(415,'Transfer Engine'!$C$2:$C$1199,0)),"",INDEX('Compliance Database'!$F$2:$F$1199,MATCH(415,'Transfer Engine'!$C$2:$C$1199,0)))</f>
        <v/>
      </c>
      <c r="G424" s="6" t="str">
        <f>IF(ISNA(MATCH(415,'Transfer Engine'!$C$2:$C$1199,0)),"",INDEX('Compliance Database'!$G$2:$G$1199,MATCH(415,'Transfer Engine'!$C$2:$C$1199,0)))</f>
        <v/>
      </c>
      <c r="H424" s="7" t="str">
        <f>IF(ISNA(MATCH(415,'Transfer Engine'!$C$2:$C$1199,0)),"",INDEX('Compliance Database'!$H$2:$H$1199,MATCH(415,'Transfer Engine'!$C$2:$C$1199,0)))</f>
        <v/>
      </c>
      <c r="I424" s="7" t="str">
        <f>IF(ISNA(MATCH(415,'Transfer Engine'!$C$2:$C$1199,0)),"",INDEX('Compliance Database'!$I$2:$I$1199,MATCH(415,'Transfer Engine'!$C$2:$C$1199,0)))</f>
        <v/>
      </c>
      <c r="J424" s="6" t="str">
        <f>IF(ISNA(MATCH(415,'Transfer Engine'!$C$2:$C$1199,0)),"",INDEX('Compliance Database'!$J$2:$J$1199,MATCH(415,'Transfer Engine'!$C$2:$C$1199,0)))</f>
        <v/>
      </c>
      <c r="K424" s="7" t="str">
        <f>IF(ISNA(MATCH(415,'Transfer Engine'!$C$2:$C$1199,0)),"",INDEX('Compliance Database'!$K$2:$K$1199,MATCH(415,'Transfer Engine'!$C$2:$C$1199,0)))</f>
        <v/>
      </c>
      <c r="L424" s="7" t="str">
        <f>IF(ISNA(MATCH(415,'Transfer Engine'!$C$2:$C$1199,0)),"",INDEX('Compliance Database'!$L$2:$L$1199,MATCH(415,'Transfer Engine'!$C$2:$C$1199,0)))</f>
        <v/>
      </c>
      <c r="M424" s="7" t="str">
        <f>IF(ISNA(MATCH(415,'Transfer Engine'!$C$2:$C$1199,0)),"",INDEX('Compliance Database'!$M$2:$M$1199,MATCH(415,'Transfer Engine'!$C$2:$C$1199,0)))</f>
        <v/>
      </c>
      <c r="N424" s="7" t="str">
        <f>IF(ISNA(MATCH(415,'Transfer Engine'!$C$2:$C$1199,0)),"",INDEX('Compliance Database'!$N$2:$N$1199,MATCH(415,'Transfer Engine'!$C$2:$C$1199,0)))</f>
        <v/>
      </c>
      <c r="O424" s="7" t="str">
        <f>IF(ISNA(MATCH(415,'Transfer Engine'!$C$2:$C$1199,0)),"",INDEX('Compliance Database'!$O$2:$O$1199,MATCH(415,'Transfer Engine'!$C$2:$C$1199,0)))</f>
        <v/>
      </c>
      <c r="P424" s="6" t="str">
        <f>IF(ISNA(MATCH(415,'Transfer Engine'!$C$2:$C$1199,0)),"",HYPERLINK("#Acts!A"&amp;INDEX('Compliance Database'!$P$2:$P$1199,MATCH(415,'Transfer Engine'!$C$2:$C$1199,0)),"Go to Act"))</f>
        <v/>
      </c>
    </row>
    <row r="425" spans="1:16" ht="172.95" customHeight="1" x14ac:dyDescent="0.3">
      <c r="A425" s="6" t="str">
        <f>IF(ISNA(MATCH(416,'Transfer Engine'!$C$2:$C$1199,0)),"",INDEX('Compliance Database'!$A$2:$A$1199,MATCH(416,'Transfer Engine'!$C$2:$C$1199,0)))</f>
        <v/>
      </c>
      <c r="B425" s="6" t="str">
        <f>IF(ISNA(MATCH(416,'Transfer Engine'!$C$2:$C$1199,0)),"",INDEX('Compliance Database'!$B$2:$B$1199,MATCH(416,'Transfer Engine'!$C$2:$C$1199,0)))</f>
        <v/>
      </c>
      <c r="C425" s="6" t="str">
        <f>IF(ISNA(MATCH(416,'Transfer Engine'!$C$2:$C$1199,0)),"",INDEX('Compliance Database'!$C$2:$C$1199,MATCH(416,'Transfer Engine'!$C$2:$C$1199,0)))</f>
        <v/>
      </c>
      <c r="D425" s="7" t="str">
        <f>IF(ISNA(MATCH(416,'Transfer Engine'!$C$2:$C$1199,0)),"",INDEX('Compliance Database'!$D$2:$D$1199,MATCH(416,'Transfer Engine'!$C$2:$C$1199,0)))</f>
        <v/>
      </c>
      <c r="E425" s="6" t="str">
        <f>IF(ISNA(MATCH(416,'Transfer Engine'!$C$2:$C$1199,0)),"",INDEX('Compliance Database'!$E$2:$E$1199,MATCH(416,'Transfer Engine'!$C$2:$C$1199,0)))</f>
        <v/>
      </c>
      <c r="F425" s="6" t="str">
        <f>IF(ISNA(MATCH(416,'Transfer Engine'!$C$2:$C$1199,0)),"",INDEX('Compliance Database'!$F$2:$F$1199,MATCH(416,'Transfer Engine'!$C$2:$C$1199,0)))</f>
        <v/>
      </c>
      <c r="G425" s="6" t="str">
        <f>IF(ISNA(MATCH(416,'Transfer Engine'!$C$2:$C$1199,0)),"",INDEX('Compliance Database'!$G$2:$G$1199,MATCH(416,'Transfer Engine'!$C$2:$C$1199,0)))</f>
        <v/>
      </c>
      <c r="H425" s="7" t="str">
        <f>IF(ISNA(MATCH(416,'Transfer Engine'!$C$2:$C$1199,0)),"",INDEX('Compliance Database'!$H$2:$H$1199,MATCH(416,'Transfer Engine'!$C$2:$C$1199,0)))</f>
        <v/>
      </c>
      <c r="I425" s="7" t="str">
        <f>IF(ISNA(MATCH(416,'Transfer Engine'!$C$2:$C$1199,0)),"",INDEX('Compliance Database'!$I$2:$I$1199,MATCH(416,'Transfer Engine'!$C$2:$C$1199,0)))</f>
        <v/>
      </c>
      <c r="J425" s="6" t="str">
        <f>IF(ISNA(MATCH(416,'Transfer Engine'!$C$2:$C$1199,0)),"",INDEX('Compliance Database'!$J$2:$J$1199,MATCH(416,'Transfer Engine'!$C$2:$C$1199,0)))</f>
        <v/>
      </c>
      <c r="K425" s="7" t="str">
        <f>IF(ISNA(MATCH(416,'Transfer Engine'!$C$2:$C$1199,0)),"",INDEX('Compliance Database'!$K$2:$K$1199,MATCH(416,'Transfer Engine'!$C$2:$C$1199,0)))</f>
        <v/>
      </c>
      <c r="L425" s="7" t="str">
        <f>IF(ISNA(MATCH(416,'Transfer Engine'!$C$2:$C$1199,0)),"",INDEX('Compliance Database'!$L$2:$L$1199,MATCH(416,'Transfer Engine'!$C$2:$C$1199,0)))</f>
        <v/>
      </c>
      <c r="M425" s="7" t="str">
        <f>IF(ISNA(MATCH(416,'Transfer Engine'!$C$2:$C$1199,0)),"",INDEX('Compliance Database'!$M$2:$M$1199,MATCH(416,'Transfer Engine'!$C$2:$C$1199,0)))</f>
        <v/>
      </c>
      <c r="N425" s="7" t="str">
        <f>IF(ISNA(MATCH(416,'Transfer Engine'!$C$2:$C$1199,0)),"",INDEX('Compliance Database'!$N$2:$N$1199,MATCH(416,'Transfer Engine'!$C$2:$C$1199,0)))</f>
        <v/>
      </c>
      <c r="O425" s="7" t="str">
        <f>IF(ISNA(MATCH(416,'Transfer Engine'!$C$2:$C$1199,0)),"",INDEX('Compliance Database'!$O$2:$O$1199,MATCH(416,'Transfer Engine'!$C$2:$C$1199,0)))</f>
        <v/>
      </c>
      <c r="P425" s="6" t="str">
        <f>IF(ISNA(MATCH(416,'Transfer Engine'!$C$2:$C$1199,0)),"",HYPERLINK("#Acts!A"&amp;INDEX('Compliance Database'!$P$2:$P$1199,MATCH(416,'Transfer Engine'!$C$2:$C$1199,0)),"Go to Act"))</f>
        <v/>
      </c>
    </row>
    <row r="426" spans="1:16" ht="172.95" customHeight="1" x14ac:dyDescent="0.3">
      <c r="A426" s="6" t="str">
        <f>IF(ISNA(MATCH(417,'Transfer Engine'!$C$2:$C$1199,0)),"",INDEX('Compliance Database'!$A$2:$A$1199,MATCH(417,'Transfer Engine'!$C$2:$C$1199,0)))</f>
        <v/>
      </c>
      <c r="B426" s="6" t="str">
        <f>IF(ISNA(MATCH(417,'Transfer Engine'!$C$2:$C$1199,0)),"",INDEX('Compliance Database'!$B$2:$B$1199,MATCH(417,'Transfer Engine'!$C$2:$C$1199,0)))</f>
        <v/>
      </c>
      <c r="C426" s="6" t="str">
        <f>IF(ISNA(MATCH(417,'Transfer Engine'!$C$2:$C$1199,0)),"",INDEX('Compliance Database'!$C$2:$C$1199,MATCH(417,'Transfer Engine'!$C$2:$C$1199,0)))</f>
        <v/>
      </c>
      <c r="D426" s="7" t="str">
        <f>IF(ISNA(MATCH(417,'Transfer Engine'!$C$2:$C$1199,0)),"",INDEX('Compliance Database'!$D$2:$D$1199,MATCH(417,'Transfer Engine'!$C$2:$C$1199,0)))</f>
        <v/>
      </c>
      <c r="E426" s="6" t="str">
        <f>IF(ISNA(MATCH(417,'Transfer Engine'!$C$2:$C$1199,0)),"",INDEX('Compliance Database'!$E$2:$E$1199,MATCH(417,'Transfer Engine'!$C$2:$C$1199,0)))</f>
        <v/>
      </c>
      <c r="F426" s="6" t="str">
        <f>IF(ISNA(MATCH(417,'Transfer Engine'!$C$2:$C$1199,0)),"",INDEX('Compliance Database'!$F$2:$F$1199,MATCH(417,'Transfer Engine'!$C$2:$C$1199,0)))</f>
        <v/>
      </c>
      <c r="G426" s="6" t="str">
        <f>IF(ISNA(MATCH(417,'Transfer Engine'!$C$2:$C$1199,0)),"",INDEX('Compliance Database'!$G$2:$G$1199,MATCH(417,'Transfer Engine'!$C$2:$C$1199,0)))</f>
        <v/>
      </c>
      <c r="H426" s="7" t="str">
        <f>IF(ISNA(MATCH(417,'Transfer Engine'!$C$2:$C$1199,0)),"",INDEX('Compliance Database'!$H$2:$H$1199,MATCH(417,'Transfer Engine'!$C$2:$C$1199,0)))</f>
        <v/>
      </c>
      <c r="I426" s="7" t="str">
        <f>IF(ISNA(MATCH(417,'Transfer Engine'!$C$2:$C$1199,0)),"",INDEX('Compliance Database'!$I$2:$I$1199,MATCH(417,'Transfer Engine'!$C$2:$C$1199,0)))</f>
        <v/>
      </c>
      <c r="J426" s="6" t="str">
        <f>IF(ISNA(MATCH(417,'Transfer Engine'!$C$2:$C$1199,0)),"",INDEX('Compliance Database'!$J$2:$J$1199,MATCH(417,'Transfer Engine'!$C$2:$C$1199,0)))</f>
        <v/>
      </c>
      <c r="K426" s="7" t="str">
        <f>IF(ISNA(MATCH(417,'Transfer Engine'!$C$2:$C$1199,0)),"",INDEX('Compliance Database'!$K$2:$K$1199,MATCH(417,'Transfer Engine'!$C$2:$C$1199,0)))</f>
        <v/>
      </c>
      <c r="L426" s="7" t="str">
        <f>IF(ISNA(MATCH(417,'Transfer Engine'!$C$2:$C$1199,0)),"",INDEX('Compliance Database'!$L$2:$L$1199,MATCH(417,'Transfer Engine'!$C$2:$C$1199,0)))</f>
        <v/>
      </c>
      <c r="M426" s="7" t="str">
        <f>IF(ISNA(MATCH(417,'Transfer Engine'!$C$2:$C$1199,0)),"",INDEX('Compliance Database'!$M$2:$M$1199,MATCH(417,'Transfer Engine'!$C$2:$C$1199,0)))</f>
        <v/>
      </c>
      <c r="N426" s="7" t="str">
        <f>IF(ISNA(MATCH(417,'Transfer Engine'!$C$2:$C$1199,0)),"",INDEX('Compliance Database'!$N$2:$N$1199,MATCH(417,'Transfer Engine'!$C$2:$C$1199,0)))</f>
        <v/>
      </c>
      <c r="O426" s="7" t="str">
        <f>IF(ISNA(MATCH(417,'Transfer Engine'!$C$2:$C$1199,0)),"",INDEX('Compliance Database'!$O$2:$O$1199,MATCH(417,'Transfer Engine'!$C$2:$C$1199,0)))</f>
        <v/>
      </c>
      <c r="P426" s="6" t="str">
        <f>IF(ISNA(MATCH(417,'Transfer Engine'!$C$2:$C$1199,0)),"",HYPERLINK("#Acts!A"&amp;INDEX('Compliance Database'!$P$2:$P$1199,MATCH(417,'Transfer Engine'!$C$2:$C$1199,0)),"Go to Act"))</f>
        <v/>
      </c>
    </row>
    <row r="427" spans="1:16" ht="172.95" customHeight="1" x14ac:dyDescent="0.3">
      <c r="A427" s="6" t="str">
        <f>IF(ISNA(MATCH(418,'Transfer Engine'!$C$2:$C$1199,0)),"",INDEX('Compliance Database'!$A$2:$A$1199,MATCH(418,'Transfer Engine'!$C$2:$C$1199,0)))</f>
        <v/>
      </c>
      <c r="B427" s="6" t="str">
        <f>IF(ISNA(MATCH(418,'Transfer Engine'!$C$2:$C$1199,0)),"",INDEX('Compliance Database'!$B$2:$B$1199,MATCH(418,'Transfer Engine'!$C$2:$C$1199,0)))</f>
        <v/>
      </c>
      <c r="C427" s="6" t="str">
        <f>IF(ISNA(MATCH(418,'Transfer Engine'!$C$2:$C$1199,0)),"",INDEX('Compliance Database'!$C$2:$C$1199,MATCH(418,'Transfer Engine'!$C$2:$C$1199,0)))</f>
        <v/>
      </c>
      <c r="D427" s="7" t="str">
        <f>IF(ISNA(MATCH(418,'Transfer Engine'!$C$2:$C$1199,0)),"",INDEX('Compliance Database'!$D$2:$D$1199,MATCH(418,'Transfer Engine'!$C$2:$C$1199,0)))</f>
        <v/>
      </c>
      <c r="E427" s="6" t="str">
        <f>IF(ISNA(MATCH(418,'Transfer Engine'!$C$2:$C$1199,0)),"",INDEX('Compliance Database'!$E$2:$E$1199,MATCH(418,'Transfer Engine'!$C$2:$C$1199,0)))</f>
        <v/>
      </c>
      <c r="F427" s="6" t="str">
        <f>IF(ISNA(MATCH(418,'Transfer Engine'!$C$2:$C$1199,0)),"",INDEX('Compliance Database'!$F$2:$F$1199,MATCH(418,'Transfer Engine'!$C$2:$C$1199,0)))</f>
        <v/>
      </c>
      <c r="G427" s="6" t="str">
        <f>IF(ISNA(MATCH(418,'Transfer Engine'!$C$2:$C$1199,0)),"",INDEX('Compliance Database'!$G$2:$G$1199,MATCH(418,'Transfer Engine'!$C$2:$C$1199,0)))</f>
        <v/>
      </c>
      <c r="H427" s="7" t="str">
        <f>IF(ISNA(MATCH(418,'Transfer Engine'!$C$2:$C$1199,0)),"",INDEX('Compliance Database'!$H$2:$H$1199,MATCH(418,'Transfer Engine'!$C$2:$C$1199,0)))</f>
        <v/>
      </c>
      <c r="I427" s="7" t="str">
        <f>IF(ISNA(MATCH(418,'Transfer Engine'!$C$2:$C$1199,0)),"",INDEX('Compliance Database'!$I$2:$I$1199,MATCH(418,'Transfer Engine'!$C$2:$C$1199,0)))</f>
        <v/>
      </c>
      <c r="J427" s="6" t="str">
        <f>IF(ISNA(MATCH(418,'Transfer Engine'!$C$2:$C$1199,0)),"",INDEX('Compliance Database'!$J$2:$J$1199,MATCH(418,'Transfer Engine'!$C$2:$C$1199,0)))</f>
        <v/>
      </c>
      <c r="K427" s="7" t="str">
        <f>IF(ISNA(MATCH(418,'Transfer Engine'!$C$2:$C$1199,0)),"",INDEX('Compliance Database'!$K$2:$K$1199,MATCH(418,'Transfer Engine'!$C$2:$C$1199,0)))</f>
        <v/>
      </c>
      <c r="L427" s="7" t="str">
        <f>IF(ISNA(MATCH(418,'Transfer Engine'!$C$2:$C$1199,0)),"",INDEX('Compliance Database'!$L$2:$L$1199,MATCH(418,'Transfer Engine'!$C$2:$C$1199,0)))</f>
        <v/>
      </c>
      <c r="M427" s="7" t="str">
        <f>IF(ISNA(MATCH(418,'Transfer Engine'!$C$2:$C$1199,0)),"",INDEX('Compliance Database'!$M$2:$M$1199,MATCH(418,'Transfer Engine'!$C$2:$C$1199,0)))</f>
        <v/>
      </c>
      <c r="N427" s="7" t="str">
        <f>IF(ISNA(MATCH(418,'Transfer Engine'!$C$2:$C$1199,0)),"",INDEX('Compliance Database'!$N$2:$N$1199,MATCH(418,'Transfer Engine'!$C$2:$C$1199,0)))</f>
        <v/>
      </c>
      <c r="O427" s="7" t="str">
        <f>IF(ISNA(MATCH(418,'Transfer Engine'!$C$2:$C$1199,0)),"",INDEX('Compliance Database'!$O$2:$O$1199,MATCH(418,'Transfer Engine'!$C$2:$C$1199,0)))</f>
        <v/>
      </c>
      <c r="P427" s="6" t="str">
        <f>IF(ISNA(MATCH(418,'Transfer Engine'!$C$2:$C$1199,0)),"",HYPERLINK("#Acts!A"&amp;INDEX('Compliance Database'!$P$2:$P$1199,MATCH(418,'Transfer Engine'!$C$2:$C$1199,0)),"Go to Act"))</f>
        <v/>
      </c>
    </row>
    <row r="428" spans="1:16" ht="172.95" customHeight="1" x14ac:dyDescent="0.3">
      <c r="A428" s="6" t="str">
        <f>IF(ISNA(MATCH(419,'Transfer Engine'!$C$2:$C$1199,0)),"",INDEX('Compliance Database'!$A$2:$A$1199,MATCH(419,'Transfer Engine'!$C$2:$C$1199,0)))</f>
        <v/>
      </c>
      <c r="B428" s="6" t="str">
        <f>IF(ISNA(MATCH(419,'Transfer Engine'!$C$2:$C$1199,0)),"",INDEX('Compliance Database'!$B$2:$B$1199,MATCH(419,'Transfer Engine'!$C$2:$C$1199,0)))</f>
        <v/>
      </c>
      <c r="C428" s="6" t="str">
        <f>IF(ISNA(MATCH(419,'Transfer Engine'!$C$2:$C$1199,0)),"",INDEX('Compliance Database'!$C$2:$C$1199,MATCH(419,'Transfer Engine'!$C$2:$C$1199,0)))</f>
        <v/>
      </c>
      <c r="D428" s="7" t="str">
        <f>IF(ISNA(MATCH(419,'Transfer Engine'!$C$2:$C$1199,0)),"",INDEX('Compliance Database'!$D$2:$D$1199,MATCH(419,'Transfer Engine'!$C$2:$C$1199,0)))</f>
        <v/>
      </c>
      <c r="E428" s="6" t="str">
        <f>IF(ISNA(MATCH(419,'Transfer Engine'!$C$2:$C$1199,0)),"",INDEX('Compliance Database'!$E$2:$E$1199,MATCH(419,'Transfer Engine'!$C$2:$C$1199,0)))</f>
        <v/>
      </c>
      <c r="F428" s="6" t="str">
        <f>IF(ISNA(MATCH(419,'Transfer Engine'!$C$2:$C$1199,0)),"",INDEX('Compliance Database'!$F$2:$F$1199,MATCH(419,'Transfer Engine'!$C$2:$C$1199,0)))</f>
        <v/>
      </c>
      <c r="G428" s="6" t="str">
        <f>IF(ISNA(MATCH(419,'Transfer Engine'!$C$2:$C$1199,0)),"",INDEX('Compliance Database'!$G$2:$G$1199,MATCH(419,'Transfer Engine'!$C$2:$C$1199,0)))</f>
        <v/>
      </c>
      <c r="H428" s="7" t="str">
        <f>IF(ISNA(MATCH(419,'Transfer Engine'!$C$2:$C$1199,0)),"",INDEX('Compliance Database'!$H$2:$H$1199,MATCH(419,'Transfer Engine'!$C$2:$C$1199,0)))</f>
        <v/>
      </c>
      <c r="I428" s="7" t="str">
        <f>IF(ISNA(MATCH(419,'Transfer Engine'!$C$2:$C$1199,0)),"",INDEX('Compliance Database'!$I$2:$I$1199,MATCH(419,'Transfer Engine'!$C$2:$C$1199,0)))</f>
        <v/>
      </c>
      <c r="J428" s="6" t="str">
        <f>IF(ISNA(MATCH(419,'Transfer Engine'!$C$2:$C$1199,0)),"",INDEX('Compliance Database'!$J$2:$J$1199,MATCH(419,'Transfer Engine'!$C$2:$C$1199,0)))</f>
        <v/>
      </c>
      <c r="K428" s="7" t="str">
        <f>IF(ISNA(MATCH(419,'Transfer Engine'!$C$2:$C$1199,0)),"",INDEX('Compliance Database'!$K$2:$K$1199,MATCH(419,'Transfer Engine'!$C$2:$C$1199,0)))</f>
        <v/>
      </c>
      <c r="L428" s="7" t="str">
        <f>IF(ISNA(MATCH(419,'Transfer Engine'!$C$2:$C$1199,0)),"",INDEX('Compliance Database'!$L$2:$L$1199,MATCH(419,'Transfer Engine'!$C$2:$C$1199,0)))</f>
        <v/>
      </c>
      <c r="M428" s="7" t="str">
        <f>IF(ISNA(MATCH(419,'Transfer Engine'!$C$2:$C$1199,0)),"",INDEX('Compliance Database'!$M$2:$M$1199,MATCH(419,'Transfer Engine'!$C$2:$C$1199,0)))</f>
        <v/>
      </c>
      <c r="N428" s="7" t="str">
        <f>IF(ISNA(MATCH(419,'Transfer Engine'!$C$2:$C$1199,0)),"",INDEX('Compliance Database'!$N$2:$N$1199,MATCH(419,'Transfer Engine'!$C$2:$C$1199,0)))</f>
        <v/>
      </c>
      <c r="O428" s="7" t="str">
        <f>IF(ISNA(MATCH(419,'Transfer Engine'!$C$2:$C$1199,0)),"",INDEX('Compliance Database'!$O$2:$O$1199,MATCH(419,'Transfer Engine'!$C$2:$C$1199,0)))</f>
        <v/>
      </c>
      <c r="P428" s="6" t="str">
        <f>IF(ISNA(MATCH(419,'Transfer Engine'!$C$2:$C$1199,0)),"",HYPERLINK("#Acts!A"&amp;INDEX('Compliance Database'!$P$2:$P$1199,MATCH(419,'Transfer Engine'!$C$2:$C$1199,0)),"Go to Act"))</f>
        <v/>
      </c>
    </row>
    <row r="429" spans="1:16" ht="172.95" customHeight="1" x14ac:dyDescent="0.3">
      <c r="A429" s="6" t="str">
        <f>IF(ISNA(MATCH(420,'Transfer Engine'!$C$2:$C$1199,0)),"",INDEX('Compliance Database'!$A$2:$A$1199,MATCH(420,'Transfer Engine'!$C$2:$C$1199,0)))</f>
        <v/>
      </c>
      <c r="B429" s="6" t="str">
        <f>IF(ISNA(MATCH(420,'Transfer Engine'!$C$2:$C$1199,0)),"",INDEX('Compliance Database'!$B$2:$B$1199,MATCH(420,'Transfer Engine'!$C$2:$C$1199,0)))</f>
        <v/>
      </c>
      <c r="C429" s="6" t="str">
        <f>IF(ISNA(MATCH(420,'Transfer Engine'!$C$2:$C$1199,0)),"",INDEX('Compliance Database'!$C$2:$C$1199,MATCH(420,'Transfer Engine'!$C$2:$C$1199,0)))</f>
        <v/>
      </c>
      <c r="D429" s="7" t="str">
        <f>IF(ISNA(MATCH(420,'Transfer Engine'!$C$2:$C$1199,0)),"",INDEX('Compliance Database'!$D$2:$D$1199,MATCH(420,'Transfer Engine'!$C$2:$C$1199,0)))</f>
        <v/>
      </c>
      <c r="E429" s="6" t="str">
        <f>IF(ISNA(MATCH(420,'Transfer Engine'!$C$2:$C$1199,0)),"",INDEX('Compliance Database'!$E$2:$E$1199,MATCH(420,'Transfer Engine'!$C$2:$C$1199,0)))</f>
        <v/>
      </c>
      <c r="F429" s="6" t="str">
        <f>IF(ISNA(MATCH(420,'Transfer Engine'!$C$2:$C$1199,0)),"",INDEX('Compliance Database'!$F$2:$F$1199,MATCH(420,'Transfer Engine'!$C$2:$C$1199,0)))</f>
        <v/>
      </c>
      <c r="G429" s="6" t="str">
        <f>IF(ISNA(MATCH(420,'Transfer Engine'!$C$2:$C$1199,0)),"",INDEX('Compliance Database'!$G$2:$G$1199,MATCH(420,'Transfer Engine'!$C$2:$C$1199,0)))</f>
        <v/>
      </c>
      <c r="H429" s="7" t="str">
        <f>IF(ISNA(MATCH(420,'Transfer Engine'!$C$2:$C$1199,0)),"",INDEX('Compliance Database'!$H$2:$H$1199,MATCH(420,'Transfer Engine'!$C$2:$C$1199,0)))</f>
        <v/>
      </c>
      <c r="I429" s="7" t="str">
        <f>IF(ISNA(MATCH(420,'Transfer Engine'!$C$2:$C$1199,0)),"",INDEX('Compliance Database'!$I$2:$I$1199,MATCH(420,'Transfer Engine'!$C$2:$C$1199,0)))</f>
        <v/>
      </c>
      <c r="J429" s="6" t="str">
        <f>IF(ISNA(MATCH(420,'Transfer Engine'!$C$2:$C$1199,0)),"",INDEX('Compliance Database'!$J$2:$J$1199,MATCH(420,'Transfer Engine'!$C$2:$C$1199,0)))</f>
        <v/>
      </c>
      <c r="K429" s="7" t="str">
        <f>IF(ISNA(MATCH(420,'Transfer Engine'!$C$2:$C$1199,0)),"",INDEX('Compliance Database'!$K$2:$K$1199,MATCH(420,'Transfer Engine'!$C$2:$C$1199,0)))</f>
        <v/>
      </c>
      <c r="L429" s="7" t="str">
        <f>IF(ISNA(MATCH(420,'Transfer Engine'!$C$2:$C$1199,0)),"",INDEX('Compliance Database'!$L$2:$L$1199,MATCH(420,'Transfer Engine'!$C$2:$C$1199,0)))</f>
        <v/>
      </c>
      <c r="M429" s="7" t="str">
        <f>IF(ISNA(MATCH(420,'Transfer Engine'!$C$2:$C$1199,0)),"",INDEX('Compliance Database'!$M$2:$M$1199,MATCH(420,'Transfer Engine'!$C$2:$C$1199,0)))</f>
        <v/>
      </c>
      <c r="N429" s="7" t="str">
        <f>IF(ISNA(MATCH(420,'Transfer Engine'!$C$2:$C$1199,0)),"",INDEX('Compliance Database'!$N$2:$N$1199,MATCH(420,'Transfer Engine'!$C$2:$C$1199,0)))</f>
        <v/>
      </c>
      <c r="O429" s="7" t="str">
        <f>IF(ISNA(MATCH(420,'Transfer Engine'!$C$2:$C$1199,0)),"",INDEX('Compliance Database'!$O$2:$O$1199,MATCH(420,'Transfer Engine'!$C$2:$C$1199,0)))</f>
        <v/>
      </c>
      <c r="P429" s="6" t="str">
        <f>IF(ISNA(MATCH(420,'Transfer Engine'!$C$2:$C$1199,0)),"",HYPERLINK("#Acts!A"&amp;INDEX('Compliance Database'!$P$2:$P$1199,MATCH(420,'Transfer Engine'!$C$2:$C$1199,0)),"Go to Act"))</f>
        <v/>
      </c>
    </row>
    <row r="430" spans="1:16" ht="172.95" customHeight="1" x14ac:dyDescent="0.3">
      <c r="A430" s="6" t="str">
        <f>IF(ISNA(MATCH(421,'Transfer Engine'!$C$2:$C$1199,0)),"",INDEX('Compliance Database'!$A$2:$A$1199,MATCH(421,'Transfer Engine'!$C$2:$C$1199,0)))</f>
        <v/>
      </c>
      <c r="B430" s="6" t="str">
        <f>IF(ISNA(MATCH(421,'Transfer Engine'!$C$2:$C$1199,0)),"",INDEX('Compliance Database'!$B$2:$B$1199,MATCH(421,'Transfer Engine'!$C$2:$C$1199,0)))</f>
        <v/>
      </c>
      <c r="C430" s="6" t="str">
        <f>IF(ISNA(MATCH(421,'Transfer Engine'!$C$2:$C$1199,0)),"",INDEX('Compliance Database'!$C$2:$C$1199,MATCH(421,'Transfer Engine'!$C$2:$C$1199,0)))</f>
        <v/>
      </c>
      <c r="D430" s="7" t="str">
        <f>IF(ISNA(MATCH(421,'Transfer Engine'!$C$2:$C$1199,0)),"",INDEX('Compliance Database'!$D$2:$D$1199,MATCH(421,'Transfer Engine'!$C$2:$C$1199,0)))</f>
        <v/>
      </c>
      <c r="E430" s="6" t="str">
        <f>IF(ISNA(MATCH(421,'Transfer Engine'!$C$2:$C$1199,0)),"",INDEX('Compliance Database'!$E$2:$E$1199,MATCH(421,'Transfer Engine'!$C$2:$C$1199,0)))</f>
        <v/>
      </c>
      <c r="F430" s="6" t="str">
        <f>IF(ISNA(MATCH(421,'Transfer Engine'!$C$2:$C$1199,0)),"",INDEX('Compliance Database'!$F$2:$F$1199,MATCH(421,'Transfer Engine'!$C$2:$C$1199,0)))</f>
        <v/>
      </c>
      <c r="G430" s="6" t="str">
        <f>IF(ISNA(MATCH(421,'Transfer Engine'!$C$2:$C$1199,0)),"",INDEX('Compliance Database'!$G$2:$G$1199,MATCH(421,'Transfer Engine'!$C$2:$C$1199,0)))</f>
        <v/>
      </c>
      <c r="H430" s="7" t="str">
        <f>IF(ISNA(MATCH(421,'Transfer Engine'!$C$2:$C$1199,0)),"",INDEX('Compliance Database'!$H$2:$H$1199,MATCH(421,'Transfer Engine'!$C$2:$C$1199,0)))</f>
        <v/>
      </c>
      <c r="I430" s="7" t="str">
        <f>IF(ISNA(MATCH(421,'Transfer Engine'!$C$2:$C$1199,0)),"",INDEX('Compliance Database'!$I$2:$I$1199,MATCH(421,'Transfer Engine'!$C$2:$C$1199,0)))</f>
        <v/>
      </c>
      <c r="J430" s="6" t="str">
        <f>IF(ISNA(MATCH(421,'Transfer Engine'!$C$2:$C$1199,0)),"",INDEX('Compliance Database'!$J$2:$J$1199,MATCH(421,'Transfer Engine'!$C$2:$C$1199,0)))</f>
        <v/>
      </c>
      <c r="K430" s="7" t="str">
        <f>IF(ISNA(MATCH(421,'Transfer Engine'!$C$2:$C$1199,0)),"",INDEX('Compliance Database'!$K$2:$K$1199,MATCH(421,'Transfer Engine'!$C$2:$C$1199,0)))</f>
        <v/>
      </c>
      <c r="L430" s="7" t="str">
        <f>IF(ISNA(MATCH(421,'Transfer Engine'!$C$2:$C$1199,0)),"",INDEX('Compliance Database'!$L$2:$L$1199,MATCH(421,'Transfer Engine'!$C$2:$C$1199,0)))</f>
        <v/>
      </c>
      <c r="M430" s="7" t="str">
        <f>IF(ISNA(MATCH(421,'Transfer Engine'!$C$2:$C$1199,0)),"",INDEX('Compliance Database'!$M$2:$M$1199,MATCH(421,'Transfer Engine'!$C$2:$C$1199,0)))</f>
        <v/>
      </c>
      <c r="N430" s="7" t="str">
        <f>IF(ISNA(MATCH(421,'Transfer Engine'!$C$2:$C$1199,0)),"",INDEX('Compliance Database'!$N$2:$N$1199,MATCH(421,'Transfer Engine'!$C$2:$C$1199,0)))</f>
        <v/>
      </c>
      <c r="O430" s="7" t="str">
        <f>IF(ISNA(MATCH(421,'Transfer Engine'!$C$2:$C$1199,0)),"",INDEX('Compliance Database'!$O$2:$O$1199,MATCH(421,'Transfer Engine'!$C$2:$C$1199,0)))</f>
        <v/>
      </c>
      <c r="P430" s="6" t="str">
        <f>IF(ISNA(MATCH(421,'Transfer Engine'!$C$2:$C$1199,0)),"",HYPERLINK("#Acts!A"&amp;INDEX('Compliance Database'!$P$2:$P$1199,MATCH(421,'Transfer Engine'!$C$2:$C$1199,0)),"Go to Act"))</f>
        <v/>
      </c>
    </row>
    <row r="431" spans="1:16" ht="172.95" customHeight="1" x14ac:dyDescent="0.3">
      <c r="A431" s="6" t="str">
        <f>IF(ISNA(MATCH(422,'Transfer Engine'!$C$2:$C$1199,0)),"",INDEX('Compliance Database'!$A$2:$A$1199,MATCH(422,'Transfer Engine'!$C$2:$C$1199,0)))</f>
        <v/>
      </c>
      <c r="B431" s="6" t="str">
        <f>IF(ISNA(MATCH(422,'Transfer Engine'!$C$2:$C$1199,0)),"",INDEX('Compliance Database'!$B$2:$B$1199,MATCH(422,'Transfer Engine'!$C$2:$C$1199,0)))</f>
        <v/>
      </c>
      <c r="C431" s="6" t="str">
        <f>IF(ISNA(MATCH(422,'Transfer Engine'!$C$2:$C$1199,0)),"",INDEX('Compliance Database'!$C$2:$C$1199,MATCH(422,'Transfer Engine'!$C$2:$C$1199,0)))</f>
        <v/>
      </c>
      <c r="D431" s="7" t="str">
        <f>IF(ISNA(MATCH(422,'Transfer Engine'!$C$2:$C$1199,0)),"",INDEX('Compliance Database'!$D$2:$D$1199,MATCH(422,'Transfer Engine'!$C$2:$C$1199,0)))</f>
        <v/>
      </c>
      <c r="E431" s="6" t="str">
        <f>IF(ISNA(MATCH(422,'Transfer Engine'!$C$2:$C$1199,0)),"",INDEX('Compliance Database'!$E$2:$E$1199,MATCH(422,'Transfer Engine'!$C$2:$C$1199,0)))</f>
        <v/>
      </c>
      <c r="F431" s="6" t="str">
        <f>IF(ISNA(MATCH(422,'Transfer Engine'!$C$2:$C$1199,0)),"",INDEX('Compliance Database'!$F$2:$F$1199,MATCH(422,'Transfer Engine'!$C$2:$C$1199,0)))</f>
        <v/>
      </c>
      <c r="G431" s="6" t="str">
        <f>IF(ISNA(MATCH(422,'Transfer Engine'!$C$2:$C$1199,0)),"",INDEX('Compliance Database'!$G$2:$G$1199,MATCH(422,'Transfer Engine'!$C$2:$C$1199,0)))</f>
        <v/>
      </c>
      <c r="H431" s="7" t="str">
        <f>IF(ISNA(MATCH(422,'Transfer Engine'!$C$2:$C$1199,0)),"",INDEX('Compliance Database'!$H$2:$H$1199,MATCH(422,'Transfer Engine'!$C$2:$C$1199,0)))</f>
        <v/>
      </c>
      <c r="I431" s="7" t="str">
        <f>IF(ISNA(MATCH(422,'Transfer Engine'!$C$2:$C$1199,0)),"",INDEX('Compliance Database'!$I$2:$I$1199,MATCH(422,'Transfer Engine'!$C$2:$C$1199,0)))</f>
        <v/>
      </c>
      <c r="J431" s="6" t="str">
        <f>IF(ISNA(MATCH(422,'Transfer Engine'!$C$2:$C$1199,0)),"",INDEX('Compliance Database'!$J$2:$J$1199,MATCH(422,'Transfer Engine'!$C$2:$C$1199,0)))</f>
        <v/>
      </c>
      <c r="K431" s="7" t="str">
        <f>IF(ISNA(MATCH(422,'Transfer Engine'!$C$2:$C$1199,0)),"",INDEX('Compliance Database'!$K$2:$K$1199,MATCH(422,'Transfer Engine'!$C$2:$C$1199,0)))</f>
        <v/>
      </c>
      <c r="L431" s="7" t="str">
        <f>IF(ISNA(MATCH(422,'Transfer Engine'!$C$2:$C$1199,0)),"",INDEX('Compliance Database'!$L$2:$L$1199,MATCH(422,'Transfer Engine'!$C$2:$C$1199,0)))</f>
        <v/>
      </c>
      <c r="M431" s="7" t="str">
        <f>IF(ISNA(MATCH(422,'Transfer Engine'!$C$2:$C$1199,0)),"",INDEX('Compliance Database'!$M$2:$M$1199,MATCH(422,'Transfer Engine'!$C$2:$C$1199,0)))</f>
        <v/>
      </c>
      <c r="N431" s="7" t="str">
        <f>IF(ISNA(MATCH(422,'Transfer Engine'!$C$2:$C$1199,0)),"",INDEX('Compliance Database'!$N$2:$N$1199,MATCH(422,'Transfer Engine'!$C$2:$C$1199,0)))</f>
        <v/>
      </c>
      <c r="O431" s="7" t="str">
        <f>IF(ISNA(MATCH(422,'Transfer Engine'!$C$2:$C$1199,0)),"",INDEX('Compliance Database'!$O$2:$O$1199,MATCH(422,'Transfer Engine'!$C$2:$C$1199,0)))</f>
        <v/>
      </c>
      <c r="P431" s="6" t="str">
        <f>IF(ISNA(MATCH(422,'Transfer Engine'!$C$2:$C$1199,0)),"",HYPERLINK("#Acts!A"&amp;INDEX('Compliance Database'!$P$2:$P$1199,MATCH(422,'Transfer Engine'!$C$2:$C$1199,0)),"Go to Act"))</f>
        <v/>
      </c>
    </row>
    <row r="432" spans="1:16" ht="172.95" customHeight="1" x14ac:dyDescent="0.3">
      <c r="A432" s="6" t="str">
        <f>IF(ISNA(MATCH(423,'Transfer Engine'!$C$2:$C$1199,0)),"",INDEX('Compliance Database'!$A$2:$A$1199,MATCH(423,'Transfer Engine'!$C$2:$C$1199,0)))</f>
        <v/>
      </c>
      <c r="B432" s="6" t="str">
        <f>IF(ISNA(MATCH(423,'Transfer Engine'!$C$2:$C$1199,0)),"",INDEX('Compliance Database'!$B$2:$B$1199,MATCH(423,'Transfer Engine'!$C$2:$C$1199,0)))</f>
        <v/>
      </c>
      <c r="C432" s="6" t="str">
        <f>IF(ISNA(MATCH(423,'Transfer Engine'!$C$2:$C$1199,0)),"",INDEX('Compliance Database'!$C$2:$C$1199,MATCH(423,'Transfer Engine'!$C$2:$C$1199,0)))</f>
        <v/>
      </c>
      <c r="D432" s="7" t="str">
        <f>IF(ISNA(MATCH(423,'Transfer Engine'!$C$2:$C$1199,0)),"",INDEX('Compliance Database'!$D$2:$D$1199,MATCH(423,'Transfer Engine'!$C$2:$C$1199,0)))</f>
        <v/>
      </c>
      <c r="E432" s="6" t="str">
        <f>IF(ISNA(MATCH(423,'Transfer Engine'!$C$2:$C$1199,0)),"",INDEX('Compliance Database'!$E$2:$E$1199,MATCH(423,'Transfer Engine'!$C$2:$C$1199,0)))</f>
        <v/>
      </c>
      <c r="F432" s="6" t="str">
        <f>IF(ISNA(MATCH(423,'Transfer Engine'!$C$2:$C$1199,0)),"",INDEX('Compliance Database'!$F$2:$F$1199,MATCH(423,'Transfer Engine'!$C$2:$C$1199,0)))</f>
        <v/>
      </c>
      <c r="G432" s="6" t="str">
        <f>IF(ISNA(MATCH(423,'Transfer Engine'!$C$2:$C$1199,0)),"",INDEX('Compliance Database'!$G$2:$G$1199,MATCH(423,'Transfer Engine'!$C$2:$C$1199,0)))</f>
        <v/>
      </c>
      <c r="H432" s="7" t="str">
        <f>IF(ISNA(MATCH(423,'Transfer Engine'!$C$2:$C$1199,0)),"",INDEX('Compliance Database'!$H$2:$H$1199,MATCH(423,'Transfer Engine'!$C$2:$C$1199,0)))</f>
        <v/>
      </c>
      <c r="I432" s="7" t="str">
        <f>IF(ISNA(MATCH(423,'Transfer Engine'!$C$2:$C$1199,0)),"",INDEX('Compliance Database'!$I$2:$I$1199,MATCH(423,'Transfer Engine'!$C$2:$C$1199,0)))</f>
        <v/>
      </c>
      <c r="J432" s="6" t="str">
        <f>IF(ISNA(MATCH(423,'Transfer Engine'!$C$2:$C$1199,0)),"",INDEX('Compliance Database'!$J$2:$J$1199,MATCH(423,'Transfer Engine'!$C$2:$C$1199,0)))</f>
        <v/>
      </c>
      <c r="K432" s="7" t="str">
        <f>IF(ISNA(MATCH(423,'Transfer Engine'!$C$2:$C$1199,0)),"",INDEX('Compliance Database'!$K$2:$K$1199,MATCH(423,'Transfer Engine'!$C$2:$C$1199,0)))</f>
        <v/>
      </c>
      <c r="L432" s="7" t="str">
        <f>IF(ISNA(MATCH(423,'Transfer Engine'!$C$2:$C$1199,0)),"",INDEX('Compliance Database'!$L$2:$L$1199,MATCH(423,'Transfer Engine'!$C$2:$C$1199,0)))</f>
        <v/>
      </c>
      <c r="M432" s="7" t="str">
        <f>IF(ISNA(MATCH(423,'Transfer Engine'!$C$2:$C$1199,0)),"",INDEX('Compliance Database'!$M$2:$M$1199,MATCH(423,'Transfer Engine'!$C$2:$C$1199,0)))</f>
        <v/>
      </c>
      <c r="N432" s="7" t="str">
        <f>IF(ISNA(MATCH(423,'Transfer Engine'!$C$2:$C$1199,0)),"",INDEX('Compliance Database'!$N$2:$N$1199,MATCH(423,'Transfer Engine'!$C$2:$C$1199,0)))</f>
        <v/>
      </c>
      <c r="O432" s="7" t="str">
        <f>IF(ISNA(MATCH(423,'Transfer Engine'!$C$2:$C$1199,0)),"",INDEX('Compliance Database'!$O$2:$O$1199,MATCH(423,'Transfer Engine'!$C$2:$C$1199,0)))</f>
        <v/>
      </c>
      <c r="P432" s="6" t="str">
        <f>IF(ISNA(MATCH(423,'Transfer Engine'!$C$2:$C$1199,0)),"",HYPERLINK("#Acts!A"&amp;INDEX('Compliance Database'!$P$2:$P$1199,MATCH(423,'Transfer Engine'!$C$2:$C$1199,0)),"Go to Act"))</f>
        <v/>
      </c>
    </row>
    <row r="433" spans="1:16" ht="172.95" customHeight="1" x14ac:dyDescent="0.3">
      <c r="A433" s="6" t="str">
        <f>IF(ISNA(MATCH(424,'Transfer Engine'!$C$2:$C$1199,0)),"",INDEX('Compliance Database'!$A$2:$A$1199,MATCH(424,'Transfer Engine'!$C$2:$C$1199,0)))</f>
        <v/>
      </c>
      <c r="B433" s="6" t="str">
        <f>IF(ISNA(MATCH(424,'Transfer Engine'!$C$2:$C$1199,0)),"",INDEX('Compliance Database'!$B$2:$B$1199,MATCH(424,'Transfer Engine'!$C$2:$C$1199,0)))</f>
        <v/>
      </c>
      <c r="C433" s="6" t="str">
        <f>IF(ISNA(MATCH(424,'Transfer Engine'!$C$2:$C$1199,0)),"",INDEX('Compliance Database'!$C$2:$C$1199,MATCH(424,'Transfer Engine'!$C$2:$C$1199,0)))</f>
        <v/>
      </c>
      <c r="D433" s="7" t="str">
        <f>IF(ISNA(MATCH(424,'Transfer Engine'!$C$2:$C$1199,0)),"",INDEX('Compliance Database'!$D$2:$D$1199,MATCH(424,'Transfer Engine'!$C$2:$C$1199,0)))</f>
        <v/>
      </c>
      <c r="E433" s="6" t="str">
        <f>IF(ISNA(MATCH(424,'Transfer Engine'!$C$2:$C$1199,0)),"",INDEX('Compliance Database'!$E$2:$E$1199,MATCH(424,'Transfer Engine'!$C$2:$C$1199,0)))</f>
        <v/>
      </c>
      <c r="F433" s="6" t="str">
        <f>IF(ISNA(MATCH(424,'Transfer Engine'!$C$2:$C$1199,0)),"",INDEX('Compliance Database'!$F$2:$F$1199,MATCH(424,'Transfer Engine'!$C$2:$C$1199,0)))</f>
        <v/>
      </c>
      <c r="G433" s="6" t="str">
        <f>IF(ISNA(MATCH(424,'Transfer Engine'!$C$2:$C$1199,0)),"",INDEX('Compliance Database'!$G$2:$G$1199,MATCH(424,'Transfer Engine'!$C$2:$C$1199,0)))</f>
        <v/>
      </c>
      <c r="H433" s="7" t="str">
        <f>IF(ISNA(MATCH(424,'Transfer Engine'!$C$2:$C$1199,0)),"",INDEX('Compliance Database'!$H$2:$H$1199,MATCH(424,'Transfer Engine'!$C$2:$C$1199,0)))</f>
        <v/>
      </c>
      <c r="I433" s="7" t="str">
        <f>IF(ISNA(MATCH(424,'Transfer Engine'!$C$2:$C$1199,0)),"",INDEX('Compliance Database'!$I$2:$I$1199,MATCH(424,'Transfer Engine'!$C$2:$C$1199,0)))</f>
        <v/>
      </c>
      <c r="J433" s="6" t="str">
        <f>IF(ISNA(MATCH(424,'Transfer Engine'!$C$2:$C$1199,0)),"",INDEX('Compliance Database'!$J$2:$J$1199,MATCH(424,'Transfer Engine'!$C$2:$C$1199,0)))</f>
        <v/>
      </c>
      <c r="K433" s="7" t="str">
        <f>IF(ISNA(MATCH(424,'Transfer Engine'!$C$2:$C$1199,0)),"",INDEX('Compliance Database'!$K$2:$K$1199,MATCH(424,'Transfer Engine'!$C$2:$C$1199,0)))</f>
        <v/>
      </c>
      <c r="L433" s="7" t="str">
        <f>IF(ISNA(MATCH(424,'Transfer Engine'!$C$2:$C$1199,0)),"",INDEX('Compliance Database'!$L$2:$L$1199,MATCH(424,'Transfer Engine'!$C$2:$C$1199,0)))</f>
        <v/>
      </c>
      <c r="M433" s="7" t="str">
        <f>IF(ISNA(MATCH(424,'Transfer Engine'!$C$2:$C$1199,0)),"",INDEX('Compliance Database'!$M$2:$M$1199,MATCH(424,'Transfer Engine'!$C$2:$C$1199,0)))</f>
        <v/>
      </c>
      <c r="N433" s="7" t="str">
        <f>IF(ISNA(MATCH(424,'Transfer Engine'!$C$2:$C$1199,0)),"",INDEX('Compliance Database'!$N$2:$N$1199,MATCH(424,'Transfer Engine'!$C$2:$C$1199,0)))</f>
        <v/>
      </c>
      <c r="O433" s="7" t="str">
        <f>IF(ISNA(MATCH(424,'Transfer Engine'!$C$2:$C$1199,0)),"",INDEX('Compliance Database'!$O$2:$O$1199,MATCH(424,'Transfer Engine'!$C$2:$C$1199,0)))</f>
        <v/>
      </c>
      <c r="P433" s="6" t="str">
        <f>IF(ISNA(MATCH(424,'Transfer Engine'!$C$2:$C$1199,0)),"",HYPERLINK("#Acts!A"&amp;INDEX('Compliance Database'!$P$2:$P$1199,MATCH(424,'Transfer Engine'!$C$2:$C$1199,0)),"Go to Act"))</f>
        <v/>
      </c>
    </row>
    <row r="434" spans="1:16" ht="172.95" customHeight="1" x14ac:dyDescent="0.3">
      <c r="A434" s="6" t="str">
        <f>IF(ISNA(MATCH(425,'Transfer Engine'!$C$2:$C$1199,0)),"",INDEX('Compliance Database'!$A$2:$A$1199,MATCH(425,'Transfer Engine'!$C$2:$C$1199,0)))</f>
        <v/>
      </c>
      <c r="B434" s="6" t="str">
        <f>IF(ISNA(MATCH(425,'Transfer Engine'!$C$2:$C$1199,0)),"",INDEX('Compliance Database'!$B$2:$B$1199,MATCH(425,'Transfer Engine'!$C$2:$C$1199,0)))</f>
        <v/>
      </c>
      <c r="C434" s="6" t="str">
        <f>IF(ISNA(MATCH(425,'Transfer Engine'!$C$2:$C$1199,0)),"",INDEX('Compliance Database'!$C$2:$C$1199,MATCH(425,'Transfer Engine'!$C$2:$C$1199,0)))</f>
        <v/>
      </c>
      <c r="D434" s="7" t="str">
        <f>IF(ISNA(MATCH(425,'Transfer Engine'!$C$2:$C$1199,0)),"",INDEX('Compliance Database'!$D$2:$D$1199,MATCH(425,'Transfer Engine'!$C$2:$C$1199,0)))</f>
        <v/>
      </c>
      <c r="E434" s="6" t="str">
        <f>IF(ISNA(MATCH(425,'Transfer Engine'!$C$2:$C$1199,0)),"",INDEX('Compliance Database'!$E$2:$E$1199,MATCH(425,'Transfer Engine'!$C$2:$C$1199,0)))</f>
        <v/>
      </c>
      <c r="F434" s="6" t="str">
        <f>IF(ISNA(MATCH(425,'Transfer Engine'!$C$2:$C$1199,0)),"",INDEX('Compliance Database'!$F$2:$F$1199,MATCH(425,'Transfer Engine'!$C$2:$C$1199,0)))</f>
        <v/>
      </c>
      <c r="G434" s="6" t="str">
        <f>IF(ISNA(MATCH(425,'Transfer Engine'!$C$2:$C$1199,0)),"",INDEX('Compliance Database'!$G$2:$G$1199,MATCH(425,'Transfer Engine'!$C$2:$C$1199,0)))</f>
        <v/>
      </c>
      <c r="H434" s="7" t="str">
        <f>IF(ISNA(MATCH(425,'Transfer Engine'!$C$2:$C$1199,0)),"",INDEX('Compliance Database'!$H$2:$H$1199,MATCH(425,'Transfer Engine'!$C$2:$C$1199,0)))</f>
        <v/>
      </c>
      <c r="I434" s="7" t="str">
        <f>IF(ISNA(MATCH(425,'Transfer Engine'!$C$2:$C$1199,0)),"",INDEX('Compliance Database'!$I$2:$I$1199,MATCH(425,'Transfer Engine'!$C$2:$C$1199,0)))</f>
        <v/>
      </c>
      <c r="J434" s="6" t="str">
        <f>IF(ISNA(MATCH(425,'Transfer Engine'!$C$2:$C$1199,0)),"",INDEX('Compliance Database'!$J$2:$J$1199,MATCH(425,'Transfer Engine'!$C$2:$C$1199,0)))</f>
        <v/>
      </c>
      <c r="K434" s="7" t="str">
        <f>IF(ISNA(MATCH(425,'Transfer Engine'!$C$2:$C$1199,0)),"",INDEX('Compliance Database'!$K$2:$K$1199,MATCH(425,'Transfer Engine'!$C$2:$C$1199,0)))</f>
        <v/>
      </c>
      <c r="L434" s="7" t="str">
        <f>IF(ISNA(MATCH(425,'Transfer Engine'!$C$2:$C$1199,0)),"",INDEX('Compliance Database'!$L$2:$L$1199,MATCH(425,'Transfer Engine'!$C$2:$C$1199,0)))</f>
        <v/>
      </c>
      <c r="M434" s="7" t="str">
        <f>IF(ISNA(MATCH(425,'Transfer Engine'!$C$2:$C$1199,0)),"",INDEX('Compliance Database'!$M$2:$M$1199,MATCH(425,'Transfer Engine'!$C$2:$C$1199,0)))</f>
        <v/>
      </c>
      <c r="N434" s="7" t="str">
        <f>IF(ISNA(MATCH(425,'Transfer Engine'!$C$2:$C$1199,0)),"",INDEX('Compliance Database'!$N$2:$N$1199,MATCH(425,'Transfer Engine'!$C$2:$C$1199,0)))</f>
        <v/>
      </c>
      <c r="O434" s="7" t="str">
        <f>IF(ISNA(MATCH(425,'Transfer Engine'!$C$2:$C$1199,0)),"",INDEX('Compliance Database'!$O$2:$O$1199,MATCH(425,'Transfer Engine'!$C$2:$C$1199,0)))</f>
        <v/>
      </c>
      <c r="P434" s="6" t="str">
        <f>IF(ISNA(MATCH(425,'Transfer Engine'!$C$2:$C$1199,0)),"",HYPERLINK("#Acts!A"&amp;INDEX('Compliance Database'!$P$2:$P$1199,MATCH(425,'Transfer Engine'!$C$2:$C$1199,0)),"Go to Act"))</f>
        <v/>
      </c>
    </row>
    <row r="435" spans="1:16" ht="172.95" customHeight="1" x14ac:dyDescent="0.3">
      <c r="A435" s="6" t="str">
        <f>IF(ISNA(MATCH(426,'Transfer Engine'!$C$2:$C$1199,0)),"",INDEX('Compliance Database'!$A$2:$A$1199,MATCH(426,'Transfer Engine'!$C$2:$C$1199,0)))</f>
        <v/>
      </c>
      <c r="B435" s="6" t="str">
        <f>IF(ISNA(MATCH(426,'Transfer Engine'!$C$2:$C$1199,0)),"",INDEX('Compliance Database'!$B$2:$B$1199,MATCH(426,'Transfer Engine'!$C$2:$C$1199,0)))</f>
        <v/>
      </c>
      <c r="C435" s="6" t="str">
        <f>IF(ISNA(MATCH(426,'Transfer Engine'!$C$2:$C$1199,0)),"",INDEX('Compliance Database'!$C$2:$C$1199,MATCH(426,'Transfer Engine'!$C$2:$C$1199,0)))</f>
        <v/>
      </c>
      <c r="D435" s="7" t="str">
        <f>IF(ISNA(MATCH(426,'Transfer Engine'!$C$2:$C$1199,0)),"",INDEX('Compliance Database'!$D$2:$D$1199,MATCH(426,'Transfer Engine'!$C$2:$C$1199,0)))</f>
        <v/>
      </c>
      <c r="E435" s="6" t="str">
        <f>IF(ISNA(MATCH(426,'Transfer Engine'!$C$2:$C$1199,0)),"",INDEX('Compliance Database'!$E$2:$E$1199,MATCH(426,'Transfer Engine'!$C$2:$C$1199,0)))</f>
        <v/>
      </c>
      <c r="F435" s="6" t="str">
        <f>IF(ISNA(MATCH(426,'Transfer Engine'!$C$2:$C$1199,0)),"",INDEX('Compliance Database'!$F$2:$F$1199,MATCH(426,'Transfer Engine'!$C$2:$C$1199,0)))</f>
        <v/>
      </c>
      <c r="G435" s="6" t="str">
        <f>IF(ISNA(MATCH(426,'Transfer Engine'!$C$2:$C$1199,0)),"",INDEX('Compliance Database'!$G$2:$G$1199,MATCH(426,'Transfer Engine'!$C$2:$C$1199,0)))</f>
        <v/>
      </c>
      <c r="H435" s="7" t="str">
        <f>IF(ISNA(MATCH(426,'Transfer Engine'!$C$2:$C$1199,0)),"",INDEX('Compliance Database'!$H$2:$H$1199,MATCH(426,'Transfer Engine'!$C$2:$C$1199,0)))</f>
        <v/>
      </c>
      <c r="I435" s="7" t="str">
        <f>IF(ISNA(MATCH(426,'Transfer Engine'!$C$2:$C$1199,0)),"",INDEX('Compliance Database'!$I$2:$I$1199,MATCH(426,'Transfer Engine'!$C$2:$C$1199,0)))</f>
        <v/>
      </c>
      <c r="J435" s="6" t="str">
        <f>IF(ISNA(MATCH(426,'Transfer Engine'!$C$2:$C$1199,0)),"",INDEX('Compliance Database'!$J$2:$J$1199,MATCH(426,'Transfer Engine'!$C$2:$C$1199,0)))</f>
        <v/>
      </c>
      <c r="K435" s="7" t="str">
        <f>IF(ISNA(MATCH(426,'Transfer Engine'!$C$2:$C$1199,0)),"",INDEX('Compliance Database'!$K$2:$K$1199,MATCH(426,'Transfer Engine'!$C$2:$C$1199,0)))</f>
        <v/>
      </c>
      <c r="L435" s="7" t="str">
        <f>IF(ISNA(MATCH(426,'Transfer Engine'!$C$2:$C$1199,0)),"",INDEX('Compliance Database'!$L$2:$L$1199,MATCH(426,'Transfer Engine'!$C$2:$C$1199,0)))</f>
        <v/>
      </c>
      <c r="M435" s="7" t="str">
        <f>IF(ISNA(MATCH(426,'Transfer Engine'!$C$2:$C$1199,0)),"",INDEX('Compliance Database'!$M$2:$M$1199,MATCH(426,'Transfer Engine'!$C$2:$C$1199,0)))</f>
        <v/>
      </c>
      <c r="N435" s="7" t="str">
        <f>IF(ISNA(MATCH(426,'Transfer Engine'!$C$2:$C$1199,0)),"",INDEX('Compliance Database'!$N$2:$N$1199,MATCH(426,'Transfer Engine'!$C$2:$C$1199,0)))</f>
        <v/>
      </c>
      <c r="O435" s="7" t="str">
        <f>IF(ISNA(MATCH(426,'Transfer Engine'!$C$2:$C$1199,0)),"",INDEX('Compliance Database'!$O$2:$O$1199,MATCH(426,'Transfer Engine'!$C$2:$C$1199,0)))</f>
        <v/>
      </c>
      <c r="P435" s="6" t="str">
        <f>IF(ISNA(MATCH(426,'Transfer Engine'!$C$2:$C$1199,0)),"",HYPERLINK("#Acts!A"&amp;INDEX('Compliance Database'!$P$2:$P$1199,MATCH(426,'Transfer Engine'!$C$2:$C$1199,0)),"Go to Act"))</f>
        <v/>
      </c>
    </row>
    <row r="436" spans="1:16" ht="172.95" customHeight="1" x14ac:dyDescent="0.3">
      <c r="A436" s="6" t="str">
        <f>IF(ISNA(MATCH(427,'Transfer Engine'!$C$2:$C$1199,0)),"",INDEX('Compliance Database'!$A$2:$A$1199,MATCH(427,'Transfer Engine'!$C$2:$C$1199,0)))</f>
        <v/>
      </c>
      <c r="B436" s="6" t="str">
        <f>IF(ISNA(MATCH(427,'Transfer Engine'!$C$2:$C$1199,0)),"",INDEX('Compliance Database'!$B$2:$B$1199,MATCH(427,'Transfer Engine'!$C$2:$C$1199,0)))</f>
        <v/>
      </c>
      <c r="C436" s="6" t="str">
        <f>IF(ISNA(MATCH(427,'Transfer Engine'!$C$2:$C$1199,0)),"",INDEX('Compliance Database'!$C$2:$C$1199,MATCH(427,'Transfer Engine'!$C$2:$C$1199,0)))</f>
        <v/>
      </c>
      <c r="D436" s="7" t="str">
        <f>IF(ISNA(MATCH(427,'Transfer Engine'!$C$2:$C$1199,0)),"",INDEX('Compliance Database'!$D$2:$D$1199,MATCH(427,'Transfer Engine'!$C$2:$C$1199,0)))</f>
        <v/>
      </c>
      <c r="E436" s="6" t="str">
        <f>IF(ISNA(MATCH(427,'Transfer Engine'!$C$2:$C$1199,0)),"",INDEX('Compliance Database'!$E$2:$E$1199,MATCH(427,'Transfer Engine'!$C$2:$C$1199,0)))</f>
        <v/>
      </c>
      <c r="F436" s="6" t="str">
        <f>IF(ISNA(MATCH(427,'Transfer Engine'!$C$2:$C$1199,0)),"",INDEX('Compliance Database'!$F$2:$F$1199,MATCH(427,'Transfer Engine'!$C$2:$C$1199,0)))</f>
        <v/>
      </c>
      <c r="G436" s="6" t="str">
        <f>IF(ISNA(MATCH(427,'Transfer Engine'!$C$2:$C$1199,0)),"",INDEX('Compliance Database'!$G$2:$G$1199,MATCH(427,'Transfer Engine'!$C$2:$C$1199,0)))</f>
        <v/>
      </c>
      <c r="H436" s="7" t="str">
        <f>IF(ISNA(MATCH(427,'Transfer Engine'!$C$2:$C$1199,0)),"",INDEX('Compliance Database'!$H$2:$H$1199,MATCH(427,'Transfer Engine'!$C$2:$C$1199,0)))</f>
        <v/>
      </c>
      <c r="I436" s="7" t="str">
        <f>IF(ISNA(MATCH(427,'Transfer Engine'!$C$2:$C$1199,0)),"",INDEX('Compliance Database'!$I$2:$I$1199,MATCH(427,'Transfer Engine'!$C$2:$C$1199,0)))</f>
        <v/>
      </c>
      <c r="J436" s="6" t="str">
        <f>IF(ISNA(MATCH(427,'Transfer Engine'!$C$2:$C$1199,0)),"",INDEX('Compliance Database'!$J$2:$J$1199,MATCH(427,'Transfer Engine'!$C$2:$C$1199,0)))</f>
        <v/>
      </c>
      <c r="K436" s="7" t="str">
        <f>IF(ISNA(MATCH(427,'Transfer Engine'!$C$2:$C$1199,0)),"",INDEX('Compliance Database'!$K$2:$K$1199,MATCH(427,'Transfer Engine'!$C$2:$C$1199,0)))</f>
        <v/>
      </c>
      <c r="L436" s="7" t="str">
        <f>IF(ISNA(MATCH(427,'Transfer Engine'!$C$2:$C$1199,0)),"",INDEX('Compliance Database'!$L$2:$L$1199,MATCH(427,'Transfer Engine'!$C$2:$C$1199,0)))</f>
        <v/>
      </c>
      <c r="M436" s="7" t="str">
        <f>IF(ISNA(MATCH(427,'Transfer Engine'!$C$2:$C$1199,0)),"",INDEX('Compliance Database'!$M$2:$M$1199,MATCH(427,'Transfer Engine'!$C$2:$C$1199,0)))</f>
        <v/>
      </c>
      <c r="N436" s="7" t="str">
        <f>IF(ISNA(MATCH(427,'Transfer Engine'!$C$2:$C$1199,0)),"",INDEX('Compliance Database'!$N$2:$N$1199,MATCH(427,'Transfer Engine'!$C$2:$C$1199,0)))</f>
        <v/>
      </c>
      <c r="O436" s="7" t="str">
        <f>IF(ISNA(MATCH(427,'Transfer Engine'!$C$2:$C$1199,0)),"",INDEX('Compliance Database'!$O$2:$O$1199,MATCH(427,'Transfer Engine'!$C$2:$C$1199,0)))</f>
        <v/>
      </c>
      <c r="P436" s="6" t="str">
        <f>IF(ISNA(MATCH(427,'Transfer Engine'!$C$2:$C$1199,0)),"",HYPERLINK("#Acts!A"&amp;INDEX('Compliance Database'!$P$2:$P$1199,MATCH(427,'Transfer Engine'!$C$2:$C$1199,0)),"Go to Act"))</f>
        <v/>
      </c>
    </row>
    <row r="437" spans="1:16" ht="172.95" customHeight="1" x14ac:dyDescent="0.3">
      <c r="A437" s="6" t="str">
        <f>IF(ISNA(MATCH(428,'Transfer Engine'!$C$2:$C$1199,0)),"",INDEX('Compliance Database'!$A$2:$A$1199,MATCH(428,'Transfer Engine'!$C$2:$C$1199,0)))</f>
        <v/>
      </c>
      <c r="B437" s="6" t="str">
        <f>IF(ISNA(MATCH(428,'Transfer Engine'!$C$2:$C$1199,0)),"",INDEX('Compliance Database'!$B$2:$B$1199,MATCH(428,'Transfer Engine'!$C$2:$C$1199,0)))</f>
        <v/>
      </c>
      <c r="C437" s="6" t="str">
        <f>IF(ISNA(MATCH(428,'Transfer Engine'!$C$2:$C$1199,0)),"",INDEX('Compliance Database'!$C$2:$C$1199,MATCH(428,'Transfer Engine'!$C$2:$C$1199,0)))</f>
        <v/>
      </c>
      <c r="D437" s="7" t="str">
        <f>IF(ISNA(MATCH(428,'Transfer Engine'!$C$2:$C$1199,0)),"",INDEX('Compliance Database'!$D$2:$D$1199,MATCH(428,'Transfer Engine'!$C$2:$C$1199,0)))</f>
        <v/>
      </c>
      <c r="E437" s="6" t="str">
        <f>IF(ISNA(MATCH(428,'Transfer Engine'!$C$2:$C$1199,0)),"",INDEX('Compliance Database'!$E$2:$E$1199,MATCH(428,'Transfer Engine'!$C$2:$C$1199,0)))</f>
        <v/>
      </c>
      <c r="F437" s="6" t="str">
        <f>IF(ISNA(MATCH(428,'Transfer Engine'!$C$2:$C$1199,0)),"",INDEX('Compliance Database'!$F$2:$F$1199,MATCH(428,'Transfer Engine'!$C$2:$C$1199,0)))</f>
        <v/>
      </c>
      <c r="G437" s="6" t="str">
        <f>IF(ISNA(MATCH(428,'Transfer Engine'!$C$2:$C$1199,0)),"",INDEX('Compliance Database'!$G$2:$G$1199,MATCH(428,'Transfer Engine'!$C$2:$C$1199,0)))</f>
        <v/>
      </c>
      <c r="H437" s="7" t="str">
        <f>IF(ISNA(MATCH(428,'Transfer Engine'!$C$2:$C$1199,0)),"",INDEX('Compliance Database'!$H$2:$H$1199,MATCH(428,'Transfer Engine'!$C$2:$C$1199,0)))</f>
        <v/>
      </c>
      <c r="I437" s="7" t="str">
        <f>IF(ISNA(MATCH(428,'Transfer Engine'!$C$2:$C$1199,0)),"",INDEX('Compliance Database'!$I$2:$I$1199,MATCH(428,'Transfer Engine'!$C$2:$C$1199,0)))</f>
        <v/>
      </c>
      <c r="J437" s="6" t="str">
        <f>IF(ISNA(MATCH(428,'Transfer Engine'!$C$2:$C$1199,0)),"",INDEX('Compliance Database'!$J$2:$J$1199,MATCH(428,'Transfer Engine'!$C$2:$C$1199,0)))</f>
        <v/>
      </c>
      <c r="K437" s="7" t="str">
        <f>IF(ISNA(MATCH(428,'Transfer Engine'!$C$2:$C$1199,0)),"",INDEX('Compliance Database'!$K$2:$K$1199,MATCH(428,'Transfer Engine'!$C$2:$C$1199,0)))</f>
        <v/>
      </c>
      <c r="L437" s="7" t="str">
        <f>IF(ISNA(MATCH(428,'Transfer Engine'!$C$2:$C$1199,0)),"",INDEX('Compliance Database'!$L$2:$L$1199,MATCH(428,'Transfer Engine'!$C$2:$C$1199,0)))</f>
        <v/>
      </c>
      <c r="M437" s="7" t="str">
        <f>IF(ISNA(MATCH(428,'Transfer Engine'!$C$2:$C$1199,0)),"",INDEX('Compliance Database'!$M$2:$M$1199,MATCH(428,'Transfer Engine'!$C$2:$C$1199,0)))</f>
        <v/>
      </c>
      <c r="N437" s="7" t="str">
        <f>IF(ISNA(MATCH(428,'Transfer Engine'!$C$2:$C$1199,0)),"",INDEX('Compliance Database'!$N$2:$N$1199,MATCH(428,'Transfer Engine'!$C$2:$C$1199,0)))</f>
        <v/>
      </c>
      <c r="O437" s="7" t="str">
        <f>IF(ISNA(MATCH(428,'Transfer Engine'!$C$2:$C$1199,0)),"",INDEX('Compliance Database'!$O$2:$O$1199,MATCH(428,'Transfer Engine'!$C$2:$C$1199,0)))</f>
        <v/>
      </c>
      <c r="P437" s="6" t="str">
        <f>IF(ISNA(MATCH(428,'Transfer Engine'!$C$2:$C$1199,0)),"",HYPERLINK("#Acts!A"&amp;INDEX('Compliance Database'!$P$2:$P$1199,MATCH(428,'Transfer Engine'!$C$2:$C$1199,0)),"Go to Act"))</f>
        <v/>
      </c>
    </row>
    <row r="438" spans="1:16" ht="172.95" customHeight="1" x14ac:dyDescent="0.3">
      <c r="A438" s="6" t="str">
        <f>IF(ISNA(MATCH(429,'Transfer Engine'!$C$2:$C$1199,0)),"",INDEX('Compliance Database'!$A$2:$A$1199,MATCH(429,'Transfer Engine'!$C$2:$C$1199,0)))</f>
        <v/>
      </c>
      <c r="B438" s="6" t="str">
        <f>IF(ISNA(MATCH(429,'Transfer Engine'!$C$2:$C$1199,0)),"",INDEX('Compliance Database'!$B$2:$B$1199,MATCH(429,'Transfer Engine'!$C$2:$C$1199,0)))</f>
        <v/>
      </c>
      <c r="C438" s="6" t="str">
        <f>IF(ISNA(MATCH(429,'Transfer Engine'!$C$2:$C$1199,0)),"",INDEX('Compliance Database'!$C$2:$C$1199,MATCH(429,'Transfer Engine'!$C$2:$C$1199,0)))</f>
        <v/>
      </c>
      <c r="D438" s="7" t="str">
        <f>IF(ISNA(MATCH(429,'Transfer Engine'!$C$2:$C$1199,0)),"",INDEX('Compliance Database'!$D$2:$D$1199,MATCH(429,'Transfer Engine'!$C$2:$C$1199,0)))</f>
        <v/>
      </c>
      <c r="E438" s="6" t="str">
        <f>IF(ISNA(MATCH(429,'Transfer Engine'!$C$2:$C$1199,0)),"",INDEX('Compliance Database'!$E$2:$E$1199,MATCH(429,'Transfer Engine'!$C$2:$C$1199,0)))</f>
        <v/>
      </c>
      <c r="F438" s="6" t="str">
        <f>IF(ISNA(MATCH(429,'Transfer Engine'!$C$2:$C$1199,0)),"",INDEX('Compliance Database'!$F$2:$F$1199,MATCH(429,'Transfer Engine'!$C$2:$C$1199,0)))</f>
        <v/>
      </c>
      <c r="G438" s="6" t="str">
        <f>IF(ISNA(MATCH(429,'Transfer Engine'!$C$2:$C$1199,0)),"",INDEX('Compliance Database'!$G$2:$G$1199,MATCH(429,'Transfer Engine'!$C$2:$C$1199,0)))</f>
        <v/>
      </c>
      <c r="H438" s="7" t="str">
        <f>IF(ISNA(MATCH(429,'Transfer Engine'!$C$2:$C$1199,0)),"",INDEX('Compliance Database'!$H$2:$H$1199,MATCH(429,'Transfer Engine'!$C$2:$C$1199,0)))</f>
        <v/>
      </c>
      <c r="I438" s="7" t="str">
        <f>IF(ISNA(MATCH(429,'Transfer Engine'!$C$2:$C$1199,0)),"",INDEX('Compliance Database'!$I$2:$I$1199,MATCH(429,'Transfer Engine'!$C$2:$C$1199,0)))</f>
        <v/>
      </c>
      <c r="J438" s="6" t="str">
        <f>IF(ISNA(MATCH(429,'Transfer Engine'!$C$2:$C$1199,0)),"",INDEX('Compliance Database'!$J$2:$J$1199,MATCH(429,'Transfer Engine'!$C$2:$C$1199,0)))</f>
        <v/>
      </c>
      <c r="K438" s="7" t="str">
        <f>IF(ISNA(MATCH(429,'Transfer Engine'!$C$2:$C$1199,0)),"",INDEX('Compliance Database'!$K$2:$K$1199,MATCH(429,'Transfer Engine'!$C$2:$C$1199,0)))</f>
        <v/>
      </c>
      <c r="L438" s="7" t="str">
        <f>IF(ISNA(MATCH(429,'Transfer Engine'!$C$2:$C$1199,0)),"",INDEX('Compliance Database'!$L$2:$L$1199,MATCH(429,'Transfer Engine'!$C$2:$C$1199,0)))</f>
        <v/>
      </c>
      <c r="M438" s="7" t="str">
        <f>IF(ISNA(MATCH(429,'Transfer Engine'!$C$2:$C$1199,0)),"",INDEX('Compliance Database'!$M$2:$M$1199,MATCH(429,'Transfer Engine'!$C$2:$C$1199,0)))</f>
        <v/>
      </c>
      <c r="N438" s="7" t="str">
        <f>IF(ISNA(MATCH(429,'Transfer Engine'!$C$2:$C$1199,0)),"",INDEX('Compliance Database'!$N$2:$N$1199,MATCH(429,'Transfer Engine'!$C$2:$C$1199,0)))</f>
        <v/>
      </c>
      <c r="O438" s="7" t="str">
        <f>IF(ISNA(MATCH(429,'Transfer Engine'!$C$2:$C$1199,0)),"",INDEX('Compliance Database'!$O$2:$O$1199,MATCH(429,'Transfer Engine'!$C$2:$C$1199,0)))</f>
        <v/>
      </c>
      <c r="P438" s="6" t="str">
        <f>IF(ISNA(MATCH(429,'Transfer Engine'!$C$2:$C$1199,0)),"",HYPERLINK("#Acts!A"&amp;INDEX('Compliance Database'!$P$2:$P$1199,MATCH(429,'Transfer Engine'!$C$2:$C$1199,0)),"Go to Act"))</f>
        <v/>
      </c>
    </row>
    <row r="439" spans="1:16" ht="172.95" customHeight="1" x14ac:dyDescent="0.3">
      <c r="A439" s="6" t="str">
        <f>IF(ISNA(MATCH(430,'Transfer Engine'!$C$2:$C$1199,0)),"",INDEX('Compliance Database'!$A$2:$A$1199,MATCH(430,'Transfer Engine'!$C$2:$C$1199,0)))</f>
        <v/>
      </c>
      <c r="B439" s="6" t="str">
        <f>IF(ISNA(MATCH(430,'Transfer Engine'!$C$2:$C$1199,0)),"",INDEX('Compliance Database'!$B$2:$B$1199,MATCH(430,'Transfer Engine'!$C$2:$C$1199,0)))</f>
        <v/>
      </c>
      <c r="C439" s="6" t="str">
        <f>IF(ISNA(MATCH(430,'Transfer Engine'!$C$2:$C$1199,0)),"",INDEX('Compliance Database'!$C$2:$C$1199,MATCH(430,'Transfer Engine'!$C$2:$C$1199,0)))</f>
        <v/>
      </c>
      <c r="D439" s="7" t="str">
        <f>IF(ISNA(MATCH(430,'Transfer Engine'!$C$2:$C$1199,0)),"",INDEX('Compliance Database'!$D$2:$D$1199,MATCH(430,'Transfer Engine'!$C$2:$C$1199,0)))</f>
        <v/>
      </c>
      <c r="E439" s="6" t="str">
        <f>IF(ISNA(MATCH(430,'Transfer Engine'!$C$2:$C$1199,0)),"",INDEX('Compliance Database'!$E$2:$E$1199,MATCH(430,'Transfer Engine'!$C$2:$C$1199,0)))</f>
        <v/>
      </c>
      <c r="F439" s="6" t="str">
        <f>IF(ISNA(MATCH(430,'Transfer Engine'!$C$2:$C$1199,0)),"",INDEX('Compliance Database'!$F$2:$F$1199,MATCH(430,'Transfer Engine'!$C$2:$C$1199,0)))</f>
        <v/>
      </c>
      <c r="G439" s="6" t="str">
        <f>IF(ISNA(MATCH(430,'Transfer Engine'!$C$2:$C$1199,0)),"",INDEX('Compliance Database'!$G$2:$G$1199,MATCH(430,'Transfer Engine'!$C$2:$C$1199,0)))</f>
        <v/>
      </c>
      <c r="H439" s="7" t="str">
        <f>IF(ISNA(MATCH(430,'Transfer Engine'!$C$2:$C$1199,0)),"",INDEX('Compliance Database'!$H$2:$H$1199,MATCH(430,'Transfer Engine'!$C$2:$C$1199,0)))</f>
        <v/>
      </c>
      <c r="I439" s="7" t="str">
        <f>IF(ISNA(MATCH(430,'Transfer Engine'!$C$2:$C$1199,0)),"",INDEX('Compliance Database'!$I$2:$I$1199,MATCH(430,'Transfer Engine'!$C$2:$C$1199,0)))</f>
        <v/>
      </c>
      <c r="J439" s="6" t="str">
        <f>IF(ISNA(MATCH(430,'Transfer Engine'!$C$2:$C$1199,0)),"",INDEX('Compliance Database'!$J$2:$J$1199,MATCH(430,'Transfer Engine'!$C$2:$C$1199,0)))</f>
        <v/>
      </c>
      <c r="K439" s="7" t="str">
        <f>IF(ISNA(MATCH(430,'Transfer Engine'!$C$2:$C$1199,0)),"",INDEX('Compliance Database'!$K$2:$K$1199,MATCH(430,'Transfer Engine'!$C$2:$C$1199,0)))</f>
        <v/>
      </c>
      <c r="L439" s="7" t="str">
        <f>IF(ISNA(MATCH(430,'Transfer Engine'!$C$2:$C$1199,0)),"",INDEX('Compliance Database'!$L$2:$L$1199,MATCH(430,'Transfer Engine'!$C$2:$C$1199,0)))</f>
        <v/>
      </c>
      <c r="M439" s="7" t="str">
        <f>IF(ISNA(MATCH(430,'Transfer Engine'!$C$2:$C$1199,0)),"",INDEX('Compliance Database'!$M$2:$M$1199,MATCH(430,'Transfer Engine'!$C$2:$C$1199,0)))</f>
        <v/>
      </c>
      <c r="N439" s="7" t="str">
        <f>IF(ISNA(MATCH(430,'Transfer Engine'!$C$2:$C$1199,0)),"",INDEX('Compliance Database'!$N$2:$N$1199,MATCH(430,'Transfer Engine'!$C$2:$C$1199,0)))</f>
        <v/>
      </c>
      <c r="O439" s="7" t="str">
        <f>IF(ISNA(MATCH(430,'Transfer Engine'!$C$2:$C$1199,0)),"",INDEX('Compliance Database'!$O$2:$O$1199,MATCH(430,'Transfer Engine'!$C$2:$C$1199,0)))</f>
        <v/>
      </c>
      <c r="P439" s="6" t="str">
        <f>IF(ISNA(MATCH(430,'Transfer Engine'!$C$2:$C$1199,0)),"",HYPERLINK("#Acts!A"&amp;INDEX('Compliance Database'!$P$2:$P$1199,MATCH(430,'Transfer Engine'!$C$2:$C$1199,0)),"Go to Act"))</f>
        <v/>
      </c>
    </row>
    <row r="440" spans="1:16" ht="172.95" customHeight="1" x14ac:dyDescent="0.3">
      <c r="A440" s="6" t="str">
        <f>IF(ISNA(MATCH(431,'Transfer Engine'!$C$2:$C$1199,0)),"",INDEX('Compliance Database'!$A$2:$A$1199,MATCH(431,'Transfer Engine'!$C$2:$C$1199,0)))</f>
        <v/>
      </c>
      <c r="B440" s="6" t="str">
        <f>IF(ISNA(MATCH(431,'Transfer Engine'!$C$2:$C$1199,0)),"",INDEX('Compliance Database'!$B$2:$B$1199,MATCH(431,'Transfer Engine'!$C$2:$C$1199,0)))</f>
        <v/>
      </c>
      <c r="C440" s="6" t="str">
        <f>IF(ISNA(MATCH(431,'Transfer Engine'!$C$2:$C$1199,0)),"",INDEX('Compliance Database'!$C$2:$C$1199,MATCH(431,'Transfer Engine'!$C$2:$C$1199,0)))</f>
        <v/>
      </c>
      <c r="D440" s="7" t="str">
        <f>IF(ISNA(MATCH(431,'Transfer Engine'!$C$2:$C$1199,0)),"",INDEX('Compliance Database'!$D$2:$D$1199,MATCH(431,'Transfer Engine'!$C$2:$C$1199,0)))</f>
        <v/>
      </c>
      <c r="E440" s="6" t="str">
        <f>IF(ISNA(MATCH(431,'Transfer Engine'!$C$2:$C$1199,0)),"",INDEX('Compliance Database'!$E$2:$E$1199,MATCH(431,'Transfer Engine'!$C$2:$C$1199,0)))</f>
        <v/>
      </c>
      <c r="F440" s="6" t="str">
        <f>IF(ISNA(MATCH(431,'Transfer Engine'!$C$2:$C$1199,0)),"",INDEX('Compliance Database'!$F$2:$F$1199,MATCH(431,'Transfer Engine'!$C$2:$C$1199,0)))</f>
        <v/>
      </c>
      <c r="G440" s="6" t="str">
        <f>IF(ISNA(MATCH(431,'Transfer Engine'!$C$2:$C$1199,0)),"",INDEX('Compliance Database'!$G$2:$G$1199,MATCH(431,'Transfer Engine'!$C$2:$C$1199,0)))</f>
        <v/>
      </c>
      <c r="H440" s="7" t="str">
        <f>IF(ISNA(MATCH(431,'Transfer Engine'!$C$2:$C$1199,0)),"",INDEX('Compliance Database'!$H$2:$H$1199,MATCH(431,'Transfer Engine'!$C$2:$C$1199,0)))</f>
        <v/>
      </c>
      <c r="I440" s="7" t="str">
        <f>IF(ISNA(MATCH(431,'Transfer Engine'!$C$2:$C$1199,0)),"",INDEX('Compliance Database'!$I$2:$I$1199,MATCH(431,'Transfer Engine'!$C$2:$C$1199,0)))</f>
        <v/>
      </c>
      <c r="J440" s="6" t="str">
        <f>IF(ISNA(MATCH(431,'Transfer Engine'!$C$2:$C$1199,0)),"",INDEX('Compliance Database'!$J$2:$J$1199,MATCH(431,'Transfer Engine'!$C$2:$C$1199,0)))</f>
        <v/>
      </c>
      <c r="K440" s="7" t="str">
        <f>IF(ISNA(MATCH(431,'Transfer Engine'!$C$2:$C$1199,0)),"",INDEX('Compliance Database'!$K$2:$K$1199,MATCH(431,'Transfer Engine'!$C$2:$C$1199,0)))</f>
        <v/>
      </c>
      <c r="L440" s="7" t="str">
        <f>IF(ISNA(MATCH(431,'Transfer Engine'!$C$2:$C$1199,0)),"",INDEX('Compliance Database'!$L$2:$L$1199,MATCH(431,'Transfer Engine'!$C$2:$C$1199,0)))</f>
        <v/>
      </c>
      <c r="M440" s="7" t="str">
        <f>IF(ISNA(MATCH(431,'Transfer Engine'!$C$2:$C$1199,0)),"",INDEX('Compliance Database'!$M$2:$M$1199,MATCH(431,'Transfer Engine'!$C$2:$C$1199,0)))</f>
        <v/>
      </c>
      <c r="N440" s="7" t="str">
        <f>IF(ISNA(MATCH(431,'Transfer Engine'!$C$2:$C$1199,0)),"",INDEX('Compliance Database'!$N$2:$N$1199,MATCH(431,'Transfer Engine'!$C$2:$C$1199,0)))</f>
        <v/>
      </c>
      <c r="O440" s="7" t="str">
        <f>IF(ISNA(MATCH(431,'Transfer Engine'!$C$2:$C$1199,0)),"",INDEX('Compliance Database'!$O$2:$O$1199,MATCH(431,'Transfer Engine'!$C$2:$C$1199,0)))</f>
        <v/>
      </c>
      <c r="P440" s="6" t="str">
        <f>IF(ISNA(MATCH(431,'Transfer Engine'!$C$2:$C$1199,0)),"",HYPERLINK("#Acts!A"&amp;INDEX('Compliance Database'!$P$2:$P$1199,MATCH(431,'Transfer Engine'!$C$2:$C$1199,0)),"Go to Act"))</f>
        <v/>
      </c>
    </row>
    <row r="441" spans="1:16" ht="172.95" customHeight="1" x14ac:dyDescent="0.3">
      <c r="A441" s="6" t="str">
        <f>IF(ISNA(MATCH(432,'Transfer Engine'!$C$2:$C$1199,0)),"",INDEX('Compliance Database'!$A$2:$A$1199,MATCH(432,'Transfer Engine'!$C$2:$C$1199,0)))</f>
        <v/>
      </c>
      <c r="B441" s="6" t="str">
        <f>IF(ISNA(MATCH(432,'Transfer Engine'!$C$2:$C$1199,0)),"",INDEX('Compliance Database'!$B$2:$B$1199,MATCH(432,'Transfer Engine'!$C$2:$C$1199,0)))</f>
        <v/>
      </c>
      <c r="C441" s="6" t="str">
        <f>IF(ISNA(MATCH(432,'Transfer Engine'!$C$2:$C$1199,0)),"",INDEX('Compliance Database'!$C$2:$C$1199,MATCH(432,'Transfer Engine'!$C$2:$C$1199,0)))</f>
        <v/>
      </c>
      <c r="D441" s="7" t="str">
        <f>IF(ISNA(MATCH(432,'Transfer Engine'!$C$2:$C$1199,0)),"",INDEX('Compliance Database'!$D$2:$D$1199,MATCH(432,'Transfer Engine'!$C$2:$C$1199,0)))</f>
        <v/>
      </c>
      <c r="E441" s="6" t="str">
        <f>IF(ISNA(MATCH(432,'Transfer Engine'!$C$2:$C$1199,0)),"",INDEX('Compliance Database'!$E$2:$E$1199,MATCH(432,'Transfer Engine'!$C$2:$C$1199,0)))</f>
        <v/>
      </c>
      <c r="F441" s="6" t="str">
        <f>IF(ISNA(MATCH(432,'Transfer Engine'!$C$2:$C$1199,0)),"",INDEX('Compliance Database'!$F$2:$F$1199,MATCH(432,'Transfer Engine'!$C$2:$C$1199,0)))</f>
        <v/>
      </c>
      <c r="G441" s="6" t="str">
        <f>IF(ISNA(MATCH(432,'Transfer Engine'!$C$2:$C$1199,0)),"",INDEX('Compliance Database'!$G$2:$G$1199,MATCH(432,'Transfer Engine'!$C$2:$C$1199,0)))</f>
        <v/>
      </c>
      <c r="H441" s="7" t="str">
        <f>IF(ISNA(MATCH(432,'Transfer Engine'!$C$2:$C$1199,0)),"",INDEX('Compliance Database'!$H$2:$H$1199,MATCH(432,'Transfer Engine'!$C$2:$C$1199,0)))</f>
        <v/>
      </c>
      <c r="I441" s="7" t="str">
        <f>IF(ISNA(MATCH(432,'Transfer Engine'!$C$2:$C$1199,0)),"",INDEX('Compliance Database'!$I$2:$I$1199,MATCH(432,'Transfer Engine'!$C$2:$C$1199,0)))</f>
        <v/>
      </c>
      <c r="J441" s="6" t="str">
        <f>IF(ISNA(MATCH(432,'Transfer Engine'!$C$2:$C$1199,0)),"",INDEX('Compliance Database'!$J$2:$J$1199,MATCH(432,'Transfer Engine'!$C$2:$C$1199,0)))</f>
        <v/>
      </c>
      <c r="K441" s="7" t="str">
        <f>IF(ISNA(MATCH(432,'Transfer Engine'!$C$2:$C$1199,0)),"",INDEX('Compliance Database'!$K$2:$K$1199,MATCH(432,'Transfer Engine'!$C$2:$C$1199,0)))</f>
        <v/>
      </c>
      <c r="L441" s="7" t="str">
        <f>IF(ISNA(MATCH(432,'Transfer Engine'!$C$2:$C$1199,0)),"",INDEX('Compliance Database'!$L$2:$L$1199,MATCH(432,'Transfer Engine'!$C$2:$C$1199,0)))</f>
        <v/>
      </c>
      <c r="M441" s="7" t="str">
        <f>IF(ISNA(MATCH(432,'Transfer Engine'!$C$2:$C$1199,0)),"",INDEX('Compliance Database'!$M$2:$M$1199,MATCH(432,'Transfer Engine'!$C$2:$C$1199,0)))</f>
        <v/>
      </c>
      <c r="N441" s="7" t="str">
        <f>IF(ISNA(MATCH(432,'Transfer Engine'!$C$2:$C$1199,0)),"",INDEX('Compliance Database'!$N$2:$N$1199,MATCH(432,'Transfer Engine'!$C$2:$C$1199,0)))</f>
        <v/>
      </c>
      <c r="O441" s="7" t="str">
        <f>IF(ISNA(MATCH(432,'Transfer Engine'!$C$2:$C$1199,0)),"",INDEX('Compliance Database'!$O$2:$O$1199,MATCH(432,'Transfer Engine'!$C$2:$C$1199,0)))</f>
        <v/>
      </c>
      <c r="P441" s="6" t="str">
        <f>IF(ISNA(MATCH(432,'Transfer Engine'!$C$2:$C$1199,0)),"",HYPERLINK("#Acts!A"&amp;INDEX('Compliance Database'!$P$2:$P$1199,MATCH(432,'Transfer Engine'!$C$2:$C$1199,0)),"Go to Act"))</f>
        <v/>
      </c>
    </row>
    <row r="442" spans="1:16" ht="172.95" customHeight="1" x14ac:dyDescent="0.3">
      <c r="A442" s="6" t="str">
        <f>IF(ISNA(MATCH(433,'Transfer Engine'!$C$2:$C$1199,0)),"",INDEX('Compliance Database'!$A$2:$A$1199,MATCH(433,'Transfer Engine'!$C$2:$C$1199,0)))</f>
        <v/>
      </c>
      <c r="B442" s="6" t="str">
        <f>IF(ISNA(MATCH(433,'Transfer Engine'!$C$2:$C$1199,0)),"",INDEX('Compliance Database'!$B$2:$B$1199,MATCH(433,'Transfer Engine'!$C$2:$C$1199,0)))</f>
        <v/>
      </c>
      <c r="C442" s="6" t="str">
        <f>IF(ISNA(MATCH(433,'Transfer Engine'!$C$2:$C$1199,0)),"",INDEX('Compliance Database'!$C$2:$C$1199,MATCH(433,'Transfer Engine'!$C$2:$C$1199,0)))</f>
        <v/>
      </c>
      <c r="D442" s="7" t="str">
        <f>IF(ISNA(MATCH(433,'Transfer Engine'!$C$2:$C$1199,0)),"",INDEX('Compliance Database'!$D$2:$D$1199,MATCH(433,'Transfer Engine'!$C$2:$C$1199,0)))</f>
        <v/>
      </c>
      <c r="E442" s="6" t="str">
        <f>IF(ISNA(MATCH(433,'Transfer Engine'!$C$2:$C$1199,0)),"",INDEX('Compliance Database'!$E$2:$E$1199,MATCH(433,'Transfer Engine'!$C$2:$C$1199,0)))</f>
        <v/>
      </c>
      <c r="F442" s="6" t="str">
        <f>IF(ISNA(MATCH(433,'Transfer Engine'!$C$2:$C$1199,0)),"",INDEX('Compliance Database'!$F$2:$F$1199,MATCH(433,'Transfer Engine'!$C$2:$C$1199,0)))</f>
        <v/>
      </c>
      <c r="G442" s="6" t="str">
        <f>IF(ISNA(MATCH(433,'Transfer Engine'!$C$2:$C$1199,0)),"",INDEX('Compliance Database'!$G$2:$G$1199,MATCH(433,'Transfer Engine'!$C$2:$C$1199,0)))</f>
        <v/>
      </c>
      <c r="H442" s="7" t="str">
        <f>IF(ISNA(MATCH(433,'Transfer Engine'!$C$2:$C$1199,0)),"",INDEX('Compliance Database'!$H$2:$H$1199,MATCH(433,'Transfer Engine'!$C$2:$C$1199,0)))</f>
        <v/>
      </c>
      <c r="I442" s="7" t="str">
        <f>IF(ISNA(MATCH(433,'Transfer Engine'!$C$2:$C$1199,0)),"",INDEX('Compliance Database'!$I$2:$I$1199,MATCH(433,'Transfer Engine'!$C$2:$C$1199,0)))</f>
        <v/>
      </c>
      <c r="J442" s="6" t="str">
        <f>IF(ISNA(MATCH(433,'Transfer Engine'!$C$2:$C$1199,0)),"",INDEX('Compliance Database'!$J$2:$J$1199,MATCH(433,'Transfer Engine'!$C$2:$C$1199,0)))</f>
        <v/>
      </c>
      <c r="K442" s="7" t="str">
        <f>IF(ISNA(MATCH(433,'Transfer Engine'!$C$2:$C$1199,0)),"",INDEX('Compliance Database'!$K$2:$K$1199,MATCH(433,'Transfer Engine'!$C$2:$C$1199,0)))</f>
        <v/>
      </c>
      <c r="L442" s="7" t="str">
        <f>IF(ISNA(MATCH(433,'Transfer Engine'!$C$2:$C$1199,0)),"",INDEX('Compliance Database'!$L$2:$L$1199,MATCH(433,'Transfer Engine'!$C$2:$C$1199,0)))</f>
        <v/>
      </c>
      <c r="M442" s="7" t="str">
        <f>IF(ISNA(MATCH(433,'Transfer Engine'!$C$2:$C$1199,0)),"",INDEX('Compliance Database'!$M$2:$M$1199,MATCH(433,'Transfer Engine'!$C$2:$C$1199,0)))</f>
        <v/>
      </c>
      <c r="N442" s="7" t="str">
        <f>IF(ISNA(MATCH(433,'Transfer Engine'!$C$2:$C$1199,0)),"",INDEX('Compliance Database'!$N$2:$N$1199,MATCH(433,'Transfer Engine'!$C$2:$C$1199,0)))</f>
        <v/>
      </c>
      <c r="O442" s="7" t="str">
        <f>IF(ISNA(MATCH(433,'Transfer Engine'!$C$2:$C$1199,0)),"",INDEX('Compliance Database'!$O$2:$O$1199,MATCH(433,'Transfer Engine'!$C$2:$C$1199,0)))</f>
        <v/>
      </c>
      <c r="P442" s="6" t="str">
        <f>IF(ISNA(MATCH(433,'Transfer Engine'!$C$2:$C$1199,0)),"",HYPERLINK("#Acts!A"&amp;INDEX('Compliance Database'!$P$2:$P$1199,MATCH(433,'Transfer Engine'!$C$2:$C$1199,0)),"Go to Act"))</f>
        <v/>
      </c>
    </row>
    <row r="443" spans="1:16" ht="172.95" customHeight="1" x14ac:dyDescent="0.3">
      <c r="A443" s="6" t="str">
        <f>IF(ISNA(MATCH(434,'Transfer Engine'!$C$2:$C$1199,0)),"",INDEX('Compliance Database'!$A$2:$A$1199,MATCH(434,'Transfer Engine'!$C$2:$C$1199,0)))</f>
        <v/>
      </c>
      <c r="B443" s="6" t="str">
        <f>IF(ISNA(MATCH(434,'Transfer Engine'!$C$2:$C$1199,0)),"",INDEX('Compliance Database'!$B$2:$B$1199,MATCH(434,'Transfer Engine'!$C$2:$C$1199,0)))</f>
        <v/>
      </c>
      <c r="C443" s="6" t="str">
        <f>IF(ISNA(MATCH(434,'Transfer Engine'!$C$2:$C$1199,0)),"",INDEX('Compliance Database'!$C$2:$C$1199,MATCH(434,'Transfer Engine'!$C$2:$C$1199,0)))</f>
        <v/>
      </c>
      <c r="D443" s="7" t="str">
        <f>IF(ISNA(MATCH(434,'Transfer Engine'!$C$2:$C$1199,0)),"",INDEX('Compliance Database'!$D$2:$D$1199,MATCH(434,'Transfer Engine'!$C$2:$C$1199,0)))</f>
        <v/>
      </c>
      <c r="E443" s="6" t="str">
        <f>IF(ISNA(MATCH(434,'Transfer Engine'!$C$2:$C$1199,0)),"",INDEX('Compliance Database'!$E$2:$E$1199,MATCH(434,'Transfer Engine'!$C$2:$C$1199,0)))</f>
        <v/>
      </c>
      <c r="F443" s="6" t="str">
        <f>IF(ISNA(MATCH(434,'Transfer Engine'!$C$2:$C$1199,0)),"",INDEX('Compliance Database'!$F$2:$F$1199,MATCH(434,'Transfer Engine'!$C$2:$C$1199,0)))</f>
        <v/>
      </c>
      <c r="G443" s="6" t="str">
        <f>IF(ISNA(MATCH(434,'Transfer Engine'!$C$2:$C$1199,0)),"",INDEX('Compliance Database'!$G$2:$G$1199,MATCH(434,'Transfer Engine'!$C$2:$C$1199,0)))</f>
        <v/>
      </c>
      <c r="H443" s="7" t="str">
        <f>IF(ISNA(MATCH(434,'Transfer Engine'!$C$2:$C$1199,0)),"",INDEX('Compliance Database'!$H$2:$H$1199,MATCH(434,'Transfer Engine'!$C$2:$C$1199,0)))</f>
        <v/>
      </c>
      <c r="I443" s="7" t="str">
        <f>IF(ISNA(MATCH(434,'Transfer Engine'!$C$2:$C$1199,0)),"",INDEX('Compliance Database'!$I$2:$I$1199,MATCH(434,'Transfer Engine'!$C$2:$C$1199,0)))</f>
        <v/>
      </c>
      <c r="J443" s="6" t="str">
        <f>IF(ISNA(MATCH(434,'Transfer Engine'!$C$2:$C$1199,0)),"",INDEX('Compliance Database'!$J$2:$J$1199,MATCH(434,'Transfer Engine'!$C$2:$C$1199,0)))</f>
        <v/>
      </c>
      <c r="K443" s="7" t="str">
        <f>IF(ISNA(MATCH(434,'Transfer Engine'!$C$2:$C$1199,0)),"",INDEX('Compliance Database'!$K$2:$K$1199,MATCH(434,'Transfer Engine'!$C$2:$C$1199,0)))</f>
        <v/>
      </c>
      <c r="L443" s="7" t="str">
        <f>IF(ISNA(MATCH(434,'Transfer Engine'!$C$2:$C$1199,0)),"",INDEX('Compliance Database'!$L$2:$L$1199,MATCH(434,'Transfer Engine'!$C$2:$C$1199,0)))</f>
        <v/>
      </c>
      <c r="M443" s="7" t="str">
        <f>IF(ISNA(MATCH(434,'Transfer Engine'!$C$2:$C$1199,0)),"",INDEX('Compliance Database'!$M$2:$M$1199,MATCH(434,'Transfer Engine'!$C$2:$C$1199,0)))</f>
        <v/>
      </c>
      <c r="N443" s="7" t="str">
        <f>IF(ISNA(MATCH(434,'Transfer Engine'!$C$2:$C$1199,0)),"",INDEX('Compliance Database'!$N$2:$N$1199,MATCH(434,'Transfer Engine'!$C$2:$C$1199,0)))</f>
        <v/>
      </c>
      <c r="O443" s="7" t="str">
        <f>IF(ISNA(MATCH(434,'Transfer Engine'!$C$2:$C$1199,0)),"",INDEX('Compliance Database'!$O$2:$O$1199,MATCH(434,'Transfer Engine'!$C$2:$C$1199,0)))</f>
        <v/>
      </c>
      <c r="P443" s="6" t="str">
        <f>IF(ISNA(MATCH(434,'Transfer Engine'!$C$2:$C$1199,0)),"",HYPERLINK("#Acts!A"&amp;INDEX('Compliance Database'!$P$2:$P$1199,MATCH(434,'Transfer Engine'!$C$2:$C$1199,0)),"Go to Act"))</f>
        <v/>
      </c>
    </row>
    <row r="444" spans="1:16" ht="172.95" customHeight="1" x14ac:dyDescent="0.3">
      <c r="A444" s="6" t="str">
        <f>IF(ISNA(MATCH(435,'Transfer Engine'!$C$2:$C$1199,0)),"",INDEX('Compliance Database'!$A$2:$A$1199,MATCH(435,'Transfer Engine'!$C$2:$C$1199,0)))</f>
        <v/>
      </c>
      <c r="B444" s="6" t="str">
        <f>IF(ISNA(MATCH(435,'Transfer Engine'!$C$2:$C$1199,0)),"",INDEX('Compliance Database'!$B$2:$B$1199,MATCH(435,'Transfer Engine'!$C$2:$C$1199,0)))</f>
        <v/>
      </c>
      <c r="C444" s="6" t="str">
        <f>IF(ISNA(MATCH(435,'Transfer Engine'!$C$2:$C$1199,0)),"",INDEX('Compliance Database'!$C$2:$C$1199,MATCH(435,'Transfer Engine'!$C$2:$C$1199,0)))</f>
        <v/>
      </c>
      <c r="D444" s="7" t="str">
        <f>IF(ISNA(MATCH(435,'Transfer Engine'!$C$2:$C$1199,0)),"",INDEX('Compliance Database'!$D$2:$D$1199,MATCH(435,'Transfer Engine'!$C$2:$C$1199,0)))</f>
        <v/>
      </c>
      <c r="E444" s="6" t="str">
        <f>IF(ISNA(MATCH(435,'Transfer Engine'!$C$2:$C$1199,0)),"",INDEX('Compliance Database'!$E$2:$E$1199,MATCH(435,'Transfer Engine'!$C$2:$C$1199,0)))</f>
        <v/>
      </c>
      <c r="F444" s="6" t="str">
        <f>IF(ISNA(MATCH(435,'Transfer Engine'!$C$2:$C$1199,0)),"",INDEX('Compliance Database'!$F$2:$F$1199,MATCH(435,'Transfer Engine'!$C$2:$C$1199,0)))</f>
        <v/>
      </c>
      <c r="G444" s="6" t="str">
        <f>IF(ISNA(MATCH(435,'Transfer Engine'!$C$2:$C$1199,0)),"",INDEX('Compliance Database'!$G$2:$G$1199,MATCH(435,'Transfer Engine'!$C$2:$C$1199,0)))</f>
        <v/>
      </c>
      <c r="H444" s="7" t="str">
        <f>IF(ISNA(MATCH(435,'Transfer Engine'!$C$2:$C$1199,0)),"",INDEX('Compliance Database'!$H$2:$H$1199,MATCH(435,'Transfer Engine'!$C$2:$C$1199,0)))</f>
        <v/>
      </c>
      <c r="I444" s="7" t="str">
        <f>IF(ISNA(MATCH(435,'Transfer Engine'!$C$2:$C$1199,0)),"",INDEX('Compliance Database'!$I$2:$I$1199,MATCH(435,'Transfer Engine'!$C$2:$C$1199,0)))</f>
        <v/>
      </c>
      <c r="J444" s="6" t="str">
        <f>IF(ISNA(MATCH(435,'Transfer Engine'!$C$2:$C$1199,0)),"",INDEX('Compliance Database'!$J$2:$J$1199,MATCH(435,'Transfer Engine'!$C$2:$C$1199,0)))</f>
        <v/>
      </c>
      <c r="K444" s="7" t="str">
        <f>IF(ISNA(MATCH(435,'Transfer Engine'!$C$2:$C$1199,0)),"",INDEX('Compliance Database'!$K$2:$K$1199,MATCH(435,'Transfer Engine'!$C$2:$C$1199,0)))</f>
        <v/>
      </c>
      <c r="L444" s="7" t="str">
        <f>IF(ISNA(MATCH(435,'Transfer Engine'!$C$2:$C$1199,0)),"",INDEX('Compliance Database'!$L$2:$L$1199,MATCH(435,'Transfer Engine'!$C$2:$C$1199,0)))</f>
        <v/>
      </c>
      <c r="M444" s="7" t="str">
        <f>IF(ISNA(MATCH(435,'Transfer Engine'!$C$2:$C$1199,0)),"",INDEX('Compliance Database'!$M$2:$M$1199,MATCH(435,'Transfer Engine'!$C$2:$C$1199,0)))</f>
        <v/>
      </c>
      <c r="N444" s="7" t="str">
        <f>IF(ISNA(MATCH(435,'Transfer Engine'!$C$2:$C$1199,0)),"",INDEX('Compliance Database'!$N$2:$N$1199,MATCH(435,'Transfer Engine'!$C$2:$C$1199,0)))</f>
        <v/>
      </c>
      <c r="O444" s="7" t="str">
        <f>IF(ISNA(MATCH(435,'Transfer Engine'!$C$2:$C$1199,0)),"",INDEX('Compliance Database'!$O$2:$O$1199,MATCH(435,'Transfer Engine'!$C$2:$C$1199,0)))</f>
        <v/>
      </c>
      <c r="P444" s="6" t="str">
        <f>IF(ISNA(MATCH(435,'Transfer Engine'!$C$2:$C$1199,0)),"",HYPERLINK("#Acts!A"&amp;INDEX('Compliance Database'!$P$2:$P$1199,MATCH(435,'Transfer Engine'!$C$2:$C$1199,0)),"Go to Act"))</f>
        <v/>
      </c>
    </row>
    <row r="445" spans="1:16" ht="172.95" customHeight="1" x14ac:dyDescent="0.3">
      <c r="A445" s="6" t="str">
        <f>IF(ISNA(MATCH(436,'Transfer Engine'!$C$2:$C$1199,0)),"",INDEX('Compliance Database'!$A$2:$A$1199,MATCH(436,'Transfer Engine'!$C$2:$C$1199,0)))</f>
        <v/>
      </c>
      <c r="B445" s="6" t="str">
        <f>IF(ISNA(MATCH(436,'Transfer Engine'!$C$2:$C$1199,0)),"",INDEX('Compliance Database'!$B$2:$B$1199,MATCH(436,'Transfer Engine'!$C$2:$C$1199,0)))</f>
        <v/>
      </c>
      <c r="C445" s="6" t="str">
        <f>IF(ISNA(MATCH(436,'Transfer Engine'!$C$2:$C$1199,0)),"",INDEX('Compliance Database'!$C$2:$C$1199,MATCH(436,'Transfer Engine'!$C$2:$C$1199,0)))</f>
        <v/>
      </c>
      <c r="D445" s="7" t="str">
        <f>IF(ISNA(MATCH(436,'Transfer Engine'!$C$2:$C$1199,0)),"",INDEX('Compliance Database'!$D$2:$D$1199,MATCH(436,'Transfer Engine'!$C$2:$C$1199,0)))</f>
        <v/>
      </c>
      <c r="E445" s="6" t="str">
        <f>IF(ISNA(MATCH(436,'Transfer Engine'!$C$2:$C$1199,0)),"",INDEX('Compliance Database'!$E$2:$E$1199,MATCH(436,'Transfer Engine'!$C$2:$C$1199,0)))</f>
        <v/>
      </c>
      <c r="F445" s="6" t="str">
        <f>IF(ISNA(MATCH(436,'Transfer Engine'!$C$2:$C$1199,0)),"",INDEX('Compliance Database'!$F$2:$F$1199,MATCH(436,'Transfer Engine'!$C$2:$C$1199,0)))</f>
        <v/>
      </c>
      <c r="G445" s="6" t="str">
        <f>IF(ISNA(MATCH(436,'Transfer Engine'!$C$2:$C$1199,0)),"",INDEX('Compliance Database'!$G$2:$G$1199,MATCH(436,'Transfer Engine'!$C$2:$C$1199,0)))</f>
        <v/>
      </c>
      <c r="H445" s="7" t="str">
        <f>IF(ISNA(MATCH(436,'Transfer Engine'!$C$2:$C$1199,0)),"",INDEX('Compliance Database'!$H$2:$H$1199,MATCH(436,'Transfer Engine'!$C$2:$C$1199,0)))</f>
        <v/>
      </c>
      <c r="I445" s="7" t="str">
        <f>IF(ISNA(MATCH(436,'Transfer Engine'!$C$2:$C$1199,0)),"",INDEX('Compliance Database'!$I$2:$I$1199,MATCH(436,'Transfer Engine'!$C$2:$C$1199,0)))</f>
        <v/>
      </c>
      <c r="J445" s="6" t="str">
        <f>IF(ISNA(MATCH(436,'Transfer Engine'!$C$2:$C$1199,0)),"",INDEX('Compliance Database'!$J$2:$J$1199,MATCH(436,'Transfer Engine'!$C$2:$C$1199,0)))</f>
        <v/>
      </c>
      <c r="K445" s="7" t="str">
        <f>IF(ISNA(MATCH(436,'Transfer Engine'!$C$2:$C$1199,0)),"",INDEX('Compliance Database'!$K$2:$K$1199,MATCH(436,'Transfer Engine'!$C$2:$C$1199,0)))</f>
        <v/>
      </c>
      <c r="L445" s="7" t="str">
        <f>IF(ISNA(MATCH(436,'Transfer Engine'!$C$2:$C$1199,0)),"",INDEX('Compliance Database'!$L$2:$L$1199,MATCH(436,'Transfer Engine'!$C$2:$C$1199,0)))</f>
        <v/>
      </c>
      <c r="M445" s="7" t="str">
        <f>IF(ISNA(MATCH(436,'Transfer Engine'!$C$2:$C$1199,0)),"",INDEX('Compliance Database'!$M$2:$M$1199,MATCH(436,'Transfer Engine'!$C$2:$C$1199,0)))</f>
        <v/>
      </c>
      <c r="N445" s="7" t="str">
        <f>IF(ISNA(MATCH(436,'Transfer Engine'!$C$2:$C$1199,0)),"",INDEX('Compliance Database'!$N$2:$N$1199,MATCH(436,'Transfer Engine'!$C$2:$C$1199,0)))</f>
        <v/>
      </c>
      <c r="O445" s="7" t="str">
        <f>IF(ISNA(MATCH(436,'Transfer Engine'!$C$2:$C$1199,0)),"",INDEX('Compliance Database'!$O$2:$O$1199,MATCH(436,'Transfer Engine'!$C$2:$C$1199,0)))</f>
        <v/>
      </c>
      <c r="P445" s="6" t="str">
        <f>IF(ISNA(MATCH(436,'Transfer Engine'!$C$2:$C$1199,0)),"",HYPERLINK("#Acts!A"&amp;INDEX('Compliance Database'!$P$2:$P$1199,MATCH(436,'Transfer Engine'!$C$2:$C$1199,0)),"Go to Act"))</f>
        <v/>
      </c>
    </row>
    <row r="446" spans="1:16" ht="172.95" customHeight="1" x14ac:dyDescent="0.3">
      <c r="A446" s="6" t="str">
        <f>IF(ISNA(MATCH(437,'Transfer Engine'!$C$2:$C$1199,0)),"",INDEX('Compliance Database'!$A$2:$A$1199,MATCH(437,'Transfer Engine'!$C$2:$C$1199,0)))</f>
        <v/>
      </c>
      <c r="B446" s="6" t="str">
        <f>IF(ISNA(MATCH(437,'Transfer Engine'!$C$2:$C$1199,0)),"",INDEX('Compliance Database'!$B$2:$B$1199,MATCH(437,'Transfer Engine'!$C$2:$C$1199,0)))</f>
        <v/>
      </c>
      <c r="C446" s="6" t="str">
        <f>IF(ISNA(MATCH(437,'Transfer Engine'!$C$2:$C$1199,0)),"",INDEX('Compliance Database'!$C$2:$C$1199,MATCH(437,'Transfer Engine'!$C$2:$C$1199,0)))</f>
        <v/>
      </c>
      <c r="D446" s="7" t="str">
        <f>IF(ISNA(MATCH(437,'Transfer Engine'!$C$2:$C$1199,0)),"",INDEX('Compliance Database'!$D$2:$D$1199,MATCH(437,'Transfer Engine'!$C$2:$C$1199,0)))</f>
        <v/>
      </c>
      <c r="E446" s="6" t="str">
        <f>IF(ISNA(MATCH(437,'Transfer Engine'!$C$2:$C$1199,0)),"",INDEX('Compliance Database'!$E$2:$E$1199,MATCH(437,'Transfer Engine'!$C$2:$C$1199,0)))</f>
        <v/>
      </c>
      <c r="F446" s="6" t="str">
        <f>IF(ISNA(MATCH(437,'Transfer Engine'!$C$2:$C$1199,0)),"",INDEX('Compliance Database'!$F$2:$F$1199,MATCH(437,'Transfer Engine'!$C$2:$C$1199,0)))</f>
        <v/>
      </c>
      <c r="G446" s="6" t="str">
        <f>IF(ISNA(MATCH(437,'Transfer Engine'!$C$2:$C$1199,0)),"",INDEX('Compliance Database'!$G$2:$G$1199,MATCH(437,'Transfer Engine'!$C$2:$C$1199,0)))</f>
        <v/>
      </c>
      <c r="H446" s="7" t="str">
        <f>IF(ISNA(MATCH(437,'Transfer Engine'!$C$2:$C$1199,0)),"",INDEX('Compliance Database'!$H$2:$H$1199,MATCH(437,'Transfer Engine'!$C$2:$C$1199,0)))</f>
        <v/>
      </c>
      <c r="I446" s="7" t="str">
        <f>IF(ISNA(MATCH(437,'Transfer Engine'!$C$2:$C$1199,0)),"",INDEX('Compliance Database'!$I$2:$I$1199,MATCH(437,'Transfer Engine'!$C$2:$C$1199,0)))</f>
        <v/>
      </c>
      <c r="J446" s="6" t="str">
        <f>IF(ISNA(MATCH(437,'Transfer Engine'!$C$2:$C$1199,0)),"",INDEX('Compliance Database'!$J$2:$J$1199,MATCH(437,'Transfer Engine'!$C$2:$C$1199,0)))</f>
        <v/>
      </c>
      <c r="K446" s="7" t="str">
        <f>IF(ISNA(MATCH(437,'Transfer Engine'!$C$2:$C$1199,0)),"",INDEX('Compliance Database'!$K$2:$K$1199,MATCH(437,'Transfer Engine'!$C$2:$C$1199,0)))</f>
        <v/>
      </c>
      <c r="L446" s="7" t="str">
        <f>IF(ISNA(MATCH(437,'Transfer Engine'!$C$2:$C$1199,0)),"",INDEX('Compliance Database'!$L$2:$L$1199,MATCH(437,'Transfer Engine'!$C$2:$C$1199,0)))</f>
        <v/>
      </c>
      <c r="M446" s="7" t="str">
        <f>IF(ISNA(MATCH(437,'Transfer Engine'!$C$2:$C$1199,0)),"",INDEX('Compliance Database'!$M$2:$M$1199,MATCH(437,'Transfer Engine'!$C$2:$C$1199,0)))</f>
        <v/>
      </c>
      <c r="N446" s="7" t="str">
        <f>IF(ISNA(MATCH(437,'Transfer Engine'!$C$2:$C$1199,0)),"",INDEX('Compliance Database'!$N$2:$N$1199,MATCH(437,'Transfer Engine'!$C$2:$C$1199,0)))</f>
        <v/>
      </c>
      <c r="O446" s="7" t="str">
        <f>IF(ISNA(MATCH(437,'Transfer Engine'!$C$2:$C$1199,0)),"",INDEX('Compliance Database'!$O$2:$O$1199,MATCH(437,'Transfer Engine'!$C$2:$C$1199,0)))</f>
        <v/>
      </c>
      <c r="P446" s="6" t="str">
        <f>IF(ISNA(MATCH(437,'Transfer Engine'!$C$2:$C$1199,0)),"",HYPERLINK("#Acts!A"&amp;INDEX('Compliance Database'!$P$2:$P$1199,MATCH(437,'Transfer Engine'!$C$2:$C$1199,0)),"Go to Act"))</f>
        <v/>
      </c>
    </row>
    <row r="447" spans="1:16" ht="172.95" customHeight="1" x14ac:dyDescent="0.3">
      <c r="A447" s="6" t="str">
        <f>IF(ISNA(MATCH(438,'Transfer Engine'!$C$2:$C$1199,0)),"",INDEX('Compliance Database'!$A$2:$A$1199,MATCH(438,'Transfer Engine'!$C$2:$C$1199,0)))</f>
        <v/>
      </c>
      <c r="B447" s="6" t="str">
        <f>IF(ISNA(MATCH(438,'Transfer Engine'!$C$2:$C$1199,0)),"",INDEX('Compliance Database'!$B$2:$B$1199,MATCH(438,'Transfer Engine'!$C$2:$C$1199,0)))</f>
        <v/>
      </c>
      <c r="C447" s="6" t="str">
        <f>IF(ISNA(MATCH(438,'Transfer Engine'!$C$2:$C$1199,0)),"",INDEX('Compliance Database'!$C$2:$C$1199,MATCH(438,'Transfer Engine'!$C$2:$C$1199,0)))</f>
        <v/>
      </c>
      <c r="D447" s="7" t="str">
        <f>IF(ISNA(MATCH(438,'Transfer Engine'!$C$2:$C$1199,0)),"",INDEX('Compliance Database'!$D$2:$D$1199,MATCH(438,'Transfer Engine'!$C$2:$C$1199,0)))</f>
        <v/>
      </c>
      <c r="E447" s="6" t="str">
        <f>IF(ISNA(MATCH(438,'Transfer Engine'!$C$2:$C$1199,0)),"",INDEX('Compliance Database'!$E$2:$E$1199,MATCH(438,'Transfer Engine'!$C$2:$C$1199,0)))</f>
        <v/>
      </c>
      <c r="F447" s="6" t="str">
        <f>IF(ISNA(MATCH(438,'Transfer Engine'!$C$2:$C$1199,0)),"",INDEX('Compliance Database'!$F$2:$F$1199,MATCH(438,'Transfer Engine'!$C$2:$C$1199,0)))</f>
        <v/>
      </c>
      <c r="G447" s="6" t="str">
        <f>IF(ISNA(MATCH(438,'Transfer Engine'!$C$2:$C$1199,0)),"",INDEX('Compliance Database'!$G$2:$G$1199,MATCH(438,'Transfer Engine'!$C$2:$C$1199,0)))</f>
        <v/>
      </c>
      <c r="H447" s="7" t="str">
        <f>IF(ISNA(MATCH(438,'Transfer Engine'!$C$2:$C$1199,0)),"",INDEX('Compliance Database'!$H$2:$H$1199,MATCH(438,'Transfer Engine'!$C$2:$C$1199,0)))</f>
        <v/>
      </c>
      <c r="I447" s="7" t="str">
        <f>IF(ISNA(MATCH(438,'Transfer Engine'!$C$2:$C$1199,0)),"",INDEX('Compliance Database'!$I$2:$I$1199,MATCH(438,'Transfer Engine'!$C$2:$C$1199,0)))</f>
        <v/>
      </c>
      <c r="J447" s="6" t="str">
        <f>IF(ISNA(MATCH(438,'Transfer Engine'!$C$2:$C$1199,0)),"",INDEX('Compliance Database'!$J$2:$J$1199,MATCH(438,'Transfer Engine'!$C$2:$C$1199,0)))</f>
        <v/>
      </c>
      <c r="K447" s="7" t="str">
        <f>IF(ISNA(MATCH(438,'Transfer Engine'!$C$2:$C$1199,0)),"",INDEX('Compliance Database'!$K$2:$K$1199,MATCH(438,'Transfer Engine'!$C$2:$C$1199,0)))</f>
        <v/>
      </c>
      <c r="L447" s="7" t="str">
        <f>IF(ISNA(MATCH(438,'Transfer Engine'!$C$2:$C$1199,0)),"",INDEX('Compliance Database'!$L$2:$L$1199,MATCH(438,'Transfer Engine'!$C$2:$C$1199,0)))</f>
        <v/>
      </c>
      <c r="M447" s="7" t="str">
        <f>IF(ISNA(MATCH(438,'Transfer Engine'!$C$2:$C$1199,0)),"",INDEX('Compliance Database'!$M$2:$M$1199,MATCH(438,'Transfer Engine'!$C$2:$C$1199,0)))</f>
        <v/>
      </c>
      <c r="N447" s="7" t="str">
        <f>IF(ISNA(MATCH(438,'Transfer Engine'!$C$2:$C$1199,0)),"",INDEX('Compliance Database'!$N$2:$N$1199,MATCH(438,'Transfer Engine'!$C$2:$C$1199,0)))</f>
        <v/>
      </c>
      <c r="O447" s="7" t="str">
        <f>IF(ISNA(MATCH(438,'Transfer Engine'!$C$2:$C$1199,0)),"",INDEX('Compliance Database'!$O$2:$O$1199,MATCH(438,'Transfer Engine'!$C$2:$C$1199,0)))</f>
        <v/>
      </c>
      <c r="P447" s="6" t="str">
        <f>IF(ISNA(MATCH(438,'Transfer Engine'!$C$2:$C$1199,0)),"",HYPERLINK("#Acts!A"&amp;INDEX('Compliance Database'!$P$2:$P$1199,MATCH(438,'Transfer Engine'!$C$2:$C$1199,0)),"Go to Act"))</f>
        <v/>
      </c>
    </row>
    <row r="448" spans="1:16" ht="172.95" customHeight="1" x14ac:dyDescent="0.3">
      <c r="A448" s="6" t="str">
        <f>IF(ISNA(MATCH(439,'Transfer Engine'!$C$2:$C$1199,0)),"",INDEX('Compliance Database'!$A$2:$A$1199,MATCH(439,'Transfer Engine'!$C$2:$C$1199,0)))</f>
        <v/>
      </c>
      <c r="B448" s="6" t="str">
        <f>IF(ISNA(MATCH(439,'Transfer Engine'!$C$2:$C$1199,0)),"",INDEX('Compliance Database'!$B$2:$B$1199,MATCH(439,'Transfer Engine'!$C$2:$C$1199,0)))</f>
        <v/>
      </c>
      <c r="C448" s="6" t="str">
        <f>IF(ISNA(MATCH(439,'Transfer Engine'!$C$2:$C$1199,0)),"",INDEX('Compliance Database'!$C$2:$C$1199,MATCH(439,'Transfer Engine'!$C$2:$C$1199,0)))</f>
        <v/>
      </c>
      <c r="D448" s="7" t="str">
        <f>IF(ISNA(MATCH(439,'Transfer Engine'!$C$2:$C$1199,0)),"",INDEX('Compliance Database'!$D$2:$D$1199,MATCH(439,'Transfer Engine'!$C$2:$C$1199,0)))</f>
        <v/>
      </c>
      <c r="E448" s="6" t="str">
        <f>IF(ISNA(MATCH(439,'Transfer Engine'!$C$2:$C$1199,0)),"",INDEX('Compliance Database'!$E$2:$E$1199,MATCH(439,'Transfer Engine'!$C$2:$C$1199,0)))</f>
        <v/>
      </c>
      <c r="F448" s="6" t="str">
        <f>IF(ISNA(MATCH(439,'Transfer Engine'!$C$2:$C$1199,0)),"",INDEX('Compliance Database'!$F$2:$F$1199,MATCH(439,'Transfer Engine'!$C$2:$C$1199,0)))</f>
        <v/>
      </c>
      <c r="G448" s="6" t="str">
        <f>IF(ISNA(MATCH(439,'Transfer Engine'!$C$2:$C$1199,0)),"",INDEX('Compliance Database'!$G$2:$G$1199,MATCH(439,'Transfer Engine'!$C$2:$C$1199,0)))</f>
        <v/>
      </c>
      <c r="H448" s="7" t="str">
        <f>IF(ISNA(MATCH(439,'Transfer Engine'!$C$2:$C$1199,0)),"",INDEX('Compliance Database'!$H$2:$H$1199,MATCH(439,'Transfer Engine'!$C$2:$C$1199,0)))</f>
        <v/>
      </c>
      <c r="I448" s="7" t="str">
        <f>IF(ISNA(MATCH(439,'Transfer Engine'!$C$2:$C$1199,0)),"",INDEX('Compliance Database'!$I$2:$I$1199,MATCH(439,'Transfer Engine'!$C$2:$C$1199,0)))</f>
        <v/>
      </c>
      <c r="J448" s="6" t="str">
        <f>IF(ISNA(MATCH(439,'Transfer Engine'!$C$2:$C$1199,0)),"",INDEX('Compliance Database'!$J$2:$J$1199,MATCH(439,'Transfer Engine'!$C$2:$C$1199,0)))</f>
        <v/>
      </c>
      <c r="K448" s="7" t="str">
        <f>IF(ISNA(MATCH(439,'Transfer Engine'!$C$2:$C$1199,0)),"",INDEX('Compliance Database'!$K$2:$K$1199,MATCH(439,'Transfer Engine'!$C$2:$C$1199,0)))</f>
        <v/>
      </c>
      <c r="L448" s="7" t="str">
        <f>IF(ISNA(MATCH(439,'Transfer Engine'!$C$2:$C$1199,0)),"",INDEX('Compliance Database'!$L$2:$L$1199,MATCH(439,'Transfer Engine'!$C$2:$C$1199,0)))</f>
        <v/>
      </c>
      <c r="M448" s="7" t="str">
        <f>IF(ISNA(MATCH(439,'Transfer Engine'!$C$2:$C$1199,0)),"",INDEX('Compliance Database'!$M$2:$M$1199,MATCH(439,'Transfer Engine'!$C$2:$C$1199,0)))</f>
        <v/>
      </c>
      <c r="N448" s="7" t="str">
        <f>IF(ISNA(MATCH(439,'Transfer Engine'!$C$2:$C$1199,0)),"",INDEX('Compliance Database'!$N$2:$N$1199,MATCH(439,'Transfer Engine'!$C$2:$C$1199,0)))</f>
        <v/>
      </c>
      <c r="O448" s="7" t="str">
        <f>IF(ISNA(MATCH(439,'Transfer Engine'!$C$2:$C$1199,0)),"",INDEX('Compliance Database'!$O$2:$O$1199,MATCH(439,'Transfer Engine'!$C$2:$C$1199,0)))</f>
        <v/>
      </c>
      <c r="P448" s="6" t="str">
        <f>IF(ISNA(MATCH(439,'Transfer Engine'!$C$2:$C$1199,0)),"",HYPERLINK("#Acts!A"&amp;INDEX('Compliance Database'!$P$2:$P$1199,MATCH(439,'Transfer Engine'!$C$2:$C$1199,0)),"Go to Act"))</f>
        <v/>
      </c>
    </row>
    <row r="449" spans="1:16" ht="172.95" customHeight="1" x14ac:dyDescent="0.3">
      <c r="A449" s="6" t="str">
        <f>IF(ISNA(MATCH(440,'Transfer Engine'!$C$2:$C$1199,0)),"",INDEX('Compliance Database'!$A$2:$A$1199,MATCH(440,'Transfer Engine'!$C$2:$C$1199,0)))</f>
        <v/>
      </c>
      <c r="B449" s="6" t="str">
        <f>IF(ISNA(MATCH(440,'Transfer Engine'!$C$2:$C$1199,0)),"",INDEX('Compliance Database'!$B$2:$B$1199,MATCH(440,'Transfer Engine'!$C$2:$C$1199,0)))</f>
        <v/>
      </c>
      <c r="C449" s="6" t="str">
        <f>IF(ISNA(MATCH(440,'Transfer Engine'!$C$2:$C$1199,0)),"",INDEX('Compliance Database'!$C$2:$C$1199,MATCH(440,'Transfer Engine'!$C$2:$C$1199,0)))</f>
        <v/>
      </c>
      <c r="D449" s="7" t="str">
        <f>IF(ISNA(MATCH(440,'Transfer Engine'!$C$2:$C$1199,0)),"",INDEX('Compliance Database'!$D$2:$D$1199,MATCH(440,'Transfer Engine'!$C$2:$C$1199,0)))</f>
        <v/>
      </c>
      <c r="E449" s="6" t="str">
        <f>IF(ISNA(MATCH(440,'Transfer Engine'!$C$2:$C$1199,0)),"",INDEX('Compliance Database'!$E$2:$E$1199,MATCH(440,'Transfer Engine'!$C$2:$C$1199,0)))</f>
        <v/>
      </c>
      <c r="F449" s="6" t="str">
        <f>IF(ISNA(MATCH(440,'Transfer Engine'!$C$2:$C$1199,0)),"",INDEX('Compliance Database'!$F$2:$F$1199,MATCH(440,'Transfer Engine'!$C$2:$C$1199,0)))</f>
        <v/>
      </c>
      <c r="G449" s="6" t="str">
        <f>IF(ISNA(MATCH(440,'Transfer Engine'!$C$2:$C$1199,0)),"",INDEX('Compliance Database'!$G$2:$G$1199,MATCH(440,'Transfer Engine'!$C$2:$C$1199,0)))</f>
        <v/>
      </c>
      <c r="H449" s="7" t="str">
        <f>IF(ISNA(MATCH(440,'Transfer Engine'!$C$2:$C$1199,0)),"",INDEX('Compliance Database'!$H$2:$H$1199,MATCH(440,'Transfer Engine'!$C$2:$C$1199,0)))</f>
        <v/>
      </c>
      <c r="I449" s="7" t="str">
        <f>IF(ISNA(MATCH(440,'Transfer Engine'!$C$2:$C$1199,0)),"",INDEX('Compliance Database'!$I$2:$I$1199,MATCH(440,'Transfer Engine'!$C$2:$C$1199,0)))</f>
        <v/>
      </c>
      <c r="J449" s="6" t="str">
        <f>IF(ISNA(MATCH(440,'Transfer Engine'!$C$2:$C$1199,0)),"",INDEX('Compliance Database'!$J$2:$J$1199,MATCH(440,'Transfer Engine'!$C$2:$C$1199,0)))</f>
        <v/>
      </c>
      <c r="K449" s="7" t="str">
        <f>IF(ISNA(MATCH(440,'Transfer Engine'!$C$2:$C$1199,0)),"",INDEX('Compliance Database'!$K$2:$K$1199,MATCH(440,'Transfer Engine'!$C$2:$C$1199,0)))</f>
        <v/>
      </c>
      <c r="L449" s="7" t="str">
        <f>IF(ISNA(MATCH(440,'Transfer Engine'!$C$2:$C$1199,0)),"",INDEX('Compliance Database'!$L$2:$L$1199,MATCH(440,'Transfer Engine'!$C$2:$C$1199,0)))</f>
        <v/>
      </c>
      <c r="M449" s="7" t="str">
        <f>IF(ISNA(MATCH(440,'Transfer Engine'!$C$2:$C$1199,0)),"",INDEX('Compliance Database'!$M$2:$M$1199,MATCH(440,'Transfer Engine'!$C$2:$C$1199,0)))</f>
        <v/>
      </c>
      <c r="N449" s="7" t="str">
        <f>IF(ISNA(MATCH(440,'Transfer Engine'!$C$2:$C$1199,0)),"",INDEX('Compliance Database'!$N$2:$N$1199,MATCH(440,'Transfer Engine'!$C$2:$C$1199,0)))</f>
        <v/>
      </c>
      <c r="O449" s="7" t="str">
        <f>IF(ISNA(MATCH(440,'Transfer Engine'!$C$2:$C$1199,0)),"",INDEX('Compliance Database'!$O$2:$O$1199,MATCH(440,'Transfer Engine'!$C$2:$C$1199,0)))</f>
        <v/>
      </c>
      <c r="P449" s="6" t="str">
        <f>IF(ISNA(MATCH(440,'Transfer Engine'!$C$2:$C$1199,0)),"",HYPERLINK("#Acts!A"&amp;INDEX('Compliance Database'!$P$2:$P$1199,MATCH(440,'Transfer Engine'!$C$2:$C$1199,0)),"Go to Act"))</f>
        <v/>
      </c>
    </row>
    <row r="450" spans="1:16" ht="172.95" customHeight="1" x14ac:dyDescent="0.3">
      <c r="A450" s="6" t="str">
        <f>IF(ISNA(MATCH(441,'Transfer Engine'!$C$2:$C$1199,0)),"",INDEX('Compliance Database'!$A$2:$A$1199,MATCH(441,'Transfer Engine'!$C$2:$C$1199,0)))</f>
        <v/>
      </c>
      <c r="B450" s="6" t="str">
        <f>IF(ISNA(MATCH(441,'Transfer Engine'!$C$2:$C$1199,0)),"",INDEX('Compliance Database'!$B$2:$B$1199,MATCH(441,'Transfer Engine'!$C$2:$C$1199,0)))</f>
        <v/>
      </c>
      <c r="C450" s="6" t="str">
        <f>IF(ISNA(MATCH(441,'Transfer Engine'!$C$2:$C$1199,0)),"",INDEX('Compliance Database'!$C$2:$C$1199,MATCH(441,'Transfer Engine'!$C$2:$C$1199,0)))</f>
        <v/>
      </c>
      <c r="D450" s="7" t="str">
        <f>IF(ISNA(MATCH(441,'Transfer Engine'!$C$2:$C$1199,0)),"",INDEX('Compliance Database'!$D$2:$D$1199,MATCH(441,'Transfer Engine'!$C$2:$C$1199,0)))</f>
        <v/>
      </c>
      <c r="E450" s="6" t="str">
        <f>IF(ISNA(MATCH(441,'Transfer Engine'!$C$2:$C$1199,0)),"",INDEX('Compliance Database'!$E$2:$E$1199,MATCH(441,'Transfer Engine'!$C$2:$C$1199,0)))</f>
        <v/>
      </c>
      <c r="F450" s="6" t="str">
        <f>IF(ISNA(MATCH(441,'Transfer Engine'!$C$2:$C$1199,0)),"",INDEX('Compliance Database'!$F$2:$F$1199,MATCH(441,'Transfer Engine'!$C$2:$C$1199,0)))</f>
        <v/>
      </c>
      <c r="G450" s="6" t="str">
        <f>IF(ISNA(MATCH(441,'Transfer Engine'!$C$2:$C$1199,0)),"",INDEX('Compliance Database'!$G$2:$G$1199,MATCH(441,'Transfer Engine'!$C$2:$C$1199,0)))</f>
        <v/>
      </c>
      <c r="H450" s="7" t="str">
        <f>IF(ISNA(MATCH(441,'Transfer Engine'!$C$2:$C$1199,0)),"",INDEX('Compliance Database'!$H$2:$H$1199,MATCH(441,'Transfer Engine'!$C$2:$C$1199,0)))</f>
        <v/>
      </c>
      <c r="I450" s="7" t="str">
        <f>IF(ISNA(MATCH(441,'Transfer Engine'!$C$2:$C$1199,0)),"",INDEX('Compliance Database'!$I$2:$I$1199,MATCH(441,'Transfer Engine'!$C$2:$C$1199,0)))</f>
        <v/>
      </c>
      <c r="J450" s="6" t="str">
        <f>IF(ISNA(MATCH(441,'Transfer Engine'!$C$2:$C$1199,0)),"",INDEX('Compliance Database'!$J$2:$J$1199,MATCH(441,'Transfer Engine'!$C$2:$C$1199,0)))</f>
        <v/>
      </c>
      <c r="K450" s="7" t="str">
        <f>IF(ISNA(MATCH(441,'Transfer Engine'!$C$2:$C$1199,0)),"",INDEX('Compliance Database'!$K$2:$K$1199,MATCH(441,'Transfer Engine'!$C$2:$C$1199,0)))</f>
        <v/>
      </c>
      <c r="L450" s="7" t="str">
        <f>IF(ISNA(MATCH(441,'Transfer Engine'!$C$2:$C$1199,0)),"",INDEX('Compliance Database'!$L$2:$L$1199,MATCH(441,'Transfer Engine'!$C$2:$C$1199,0)))</f>
        <v/>
      </c>
      <c r="M450" s="7" t="str">
        <f>IF(ISNA(MATCH(441,'Transfer Engine'!$C$2:$C$1199,0)),"",INDEX('Compliance Database'!$M$2:$M$1199,MATCH(441,'Transfer Engine'!$C$2:$C$1199,0)))</f>
        <v/>
      </c>
      <c r="N450" s="7" t="str">
        <f>IF(ISNA(MATCH(441,'Transfer Engine'!$C$2:$C$1199,0)),"",INDEX('Compliance Database'!$N$2:$N$1199,MATCH(441,'Transfer Engine'!$C$2:$C$1199,0)))</f>
        <v/>
      </c>
      <c r="O450" s="7" t="str">
        <f>IF(ISNA(MATCH(441,'Transfer Engine'!$C$2:$C$1199,0)),"",INDEX('Compliance Database'!$O$2:$O$1199,MATCH(441,'Transfer Engine'!$C$2:$C$1199,0)))</f>
        <v/>
      </c>
      <c r="P450" s="6" t="str">
        <f>IF(ISNA(MATCH(441,'Transfer Engine'!$C$2:$C$1199,0)),"",HYPERLINK("#Acts!A"&amp;INDEX('Compliance Database'!$P$2:$P$1199,MATCH(441,'Transfer Engine'!$C$2:$C$1199,0)),"Go to Act"))</f>
        <v/>
      </c>
    </row>
    <row r="451" spans="1:16" ht="172.95" customHeight="1" x14ac:dyDescent="0.3">
      <c r="A451" s="6" t="str">
        <f>IF(ISNA(MATCH(442,'Transfer Engine'!$C$2:$C$1199,0)),"",INDEX('Compliance Database'!$A$2:$A$1199,MATCH(442,'Transfer Engine'!$C$2:$C$1199,0)))</f>
        <v/>
      </c>
      <c r="B451" s="6" t="str">
        <f>IF(ISNA(MATCH(442,'Transfer Engine'!$C$2:$C$1199,0)),"",INDEX('Compliance Database'!$B$2:$B$1199,MATCH(442,'Transfer Engine'!$C$2:$C$1199,0)))</f>
        <v/>
      </c>
      <c r="C451" s="6" t="str">
        <f>IF(ISNA(MATCH(442,'Transfer Engine'!$C$2:$C$1199,0)),"",INDEX('Compliance Database'!$C$2:$C$1199,MATCH(442,'Transfer Engine'!$C$2:$C$1199,0)))</f>
        <v/>
      </c>
      <c r="D451" s="7" t="str">
        <f>IF(ISNA(MATCH(442,'Transfer Engine'!$C$2:$C$1199,0)),"",INDEX('Compliance Database'!$D$2:$D$1199,MATCH(442,'Transfer Engine'!$C$2:$C$1199,0)))</f>
        <v/>
      </c>
      <c r="E451" s="6" t="str">
        <f>IF(ISNA(MATCH(442,'Transfer Engine'!$C$2:$C$1199,0)),"",INDEX('Compliance Database'!$E$2:$E$1199,MATCH(442,'Transfer Engine'!$C$2:$C$1199,0)))</f>
        <v/>
      </c>
      <c r="F451" s="6" t="str">
        <f>IF(ISNA(MATCH(442,'Transfer Engine'!$C$2:$C$1199,0)),"",INDEX('Compliance Database'!$F$2:$F$1199,MATCH(442,'Transfer Engine'!$C$2:$C$1199,0)))</f>
        <v/>
      </c>
      <c r="G451" s="6" t="str">
        <f>IF(ISNA(MATCH(442,'Transfer Engine'!$C$2:$C$1199,0)),"",INDEX('Compliance Database'!$G$2:$G$1199,MATCH(442,'Transfer Engine'!$C$2:$C$1199,0)))</f>
        <v/>
      </c>
      <c r="H451" s="7" t="str">
        <f>IF(ISNA(MATCH(442,'Transfer Engine'!$C$2:$C$1199,0)),"",INDEX('Compliance Database'!$H$2:$H$1199,MATCH(442,'Transfer Engine'!$C$2:$C$1199,0)))</f>
        <v/>
      </c>
      <c r="I451" s="7" t="str">
        <f>IF(ISNA(MATCH(442,'Transfer Engine'!$C$2:$C$1199,0)),"",INDEX('Compliance Database'!$I$2:$I$1199,MATCH(442,'Transfer Engine'!$C$2:$C$1199,0)))</f>
        <v/>
      </c>
      <c r="J451" s="6" t="str">
        <f>IF(ISNA(MATCH(442,'Transfer Engine'!$C$2:$C$1199,0)),"",INDEX('Compliance Database'!$J$2:$J$1199,MATCH(442,'Transfer Engine'!$C$2:$C$1199,0)))</f>
        <v/>
      </c>
      <c r="K451" s="7" t="str">
        <f>IF(ISNA(MATCH(442,'Transfer Engine'!$C$2:$C$1199,0)),"",INDEX('Compliance Database'!$K$2:$K$1199,MATCH(442,'Transfer Engine'!$C$2:$C$1199,0)))</f>
        <v/>
      </c>
      <c r="L451" s="7" t="str">
        <f>IF(ISNA(MATCH(442,'Transfer Engine'!$C$2:$C$1199,0)),"",INDEX('Compliance Database'!$L$2:$L$1199,MATCH(442,'Transfer Engine'!$C$2:$C$1199,0)))</f>
        <v/>
      </c>
      <c r="M451" s="7" t="str">
        <f>IF(ISNA(MATCH(442,'Transfer Engine'!$C$2:$C$1199,0)),"",INDEX('Compliance Database'!$M$2:$M$1199,MATCH(442,'Transfer Engine'!$C$2:$C$1199,0)))</f>
        <v/>
      </c>
      <c r="N451" s="7" t="str">
        <f>IF(ISNA(MATCH(442,'Transfer Engine'!$C$2:$C$1199,0)),"",INDEX('Compliance Database'!$N$2:$N$1199,MATCH(442,'Transfer Engine'!$C$2:$C$1199,0)))</f>
        <v/>
      </c>
      <c r="O451" s="7" t="str">
        <f>IF(ISNA(MATCH(442,'Transfer Engine'!$C$2:$C$1199,0)),"",INDEX('Compliance Database'!$O$2:$O$1199,MATCH(442,'Transfer Engine'!$C$2:$C$1199,0)))</f>
        <v/>
      </c>
      <c r="P451" s="6" t="str">
        <f>IF(ISNA(MATCH(442,'Transfer Engine'!$C$2:$C$1199,0)),"",HYPERLINK("#Acts!A"&amp;INDEX('Compliance Database'!$P$2:$P$1199,MATCH(442,'Transfer Engine'!$C$2:$C$1199,0)),"Go to Act"))</f>
        <v/>
      </c>
    </row>
    <row r="452" spans="1:16" ht="172.95" customHeight="1" x14ac:dyDescent="0.3">
      <c r="A452" s="6" t="str">
        <f>IF(ISNA(MATCH(443,'Transfer Engine'!$C$2:$C$1199,0)),"",INDEX('Compliance Database'!$A$2:$A$1199,MATCH(443,'Transfer Engine'!$C$2:$C$1199,0)))</f>
        <v/>
      </c>
      <c r="B452" s="6" t="str">
        <f>IF(ISNA(MATCH(443,'Transfer Engine'!$C$2:$C$1199,0)),"",INDEX('Compliance Database'!$B$2:$B$1199,MATCH(443,'Transfer Engine'!$C$2:$C$1199,0)))</f>
        <v/>
      </c>
      <c r="C452" s="6" t="str">
        <f>IF(ISNA(MATCH(443,'Transfer Engine'!$C$2:$C$1199,0)),"",INDEX('Compliance Database'!$C$2:$C$1199,MATCH(443,'Transfer Engine'!$C$2:$C$1199,0)))</f>
        <v/>
      </c>
      <c r="D452" s="7" t="str">
        <f>IF(ISNA(MATCH(443,'Transfer Engine'!$C$2:$C$1199,0)),"",INDEX('Compliance Database'!$D$2:$D$1199,MATCH(443,'Transfer Engine'!$C$2:$C$1199,0)))</f>
        <v/>
      </c>
      <c r="E452" s="6" t="str">
        <f>IF(ISNA(MATCH(443,'Transfer Engine'!$C$2:$C$1199,0)),"",INDEX('Compliance Database'!$E$2:$E$1199,MATCH(443,'Transfer Engine'!$C$2:$C$1199,0)))</f>
        <v/>
      </c>
      <c r="F452" s="6" t="str">
        <f>IF(ISNA(MATCH(443,'Transfer Engine'!$C$2:$C$1199,0)),"",INDEX('Compliance Database'!$F$2:$F$1199,MATCH(443,'Transfer Engine'!$C$2:$C$1199,0)))</f>
        <v/>
      </c>
      <c r="G452" s="6" t="str">
        <f>IF(ISNA(MATCH(443,'Transfer Engine'!$C$2:$C$1199,0)),"",INDEX('Compliance Database'!$G$2:$G$1199,MATCH(443,'Transfer Engine'!$C$2:$C$1199,0)))</f>
        <v/>
      </c>
      <c r="H452" s="7" t="str">
        <f>IF(ISNA(MATCH(443,'Transfer Engine'!$C$2:$C$1199,0)),"",INDEX('Compliance Database'!$H$2:$H$1199,MATCH(443,'Transfer Engine'!$C$2:$C$1199,0)))</f>
        <v/>
      </c>
      <c r="I452" s="7" t="str">
        <f>IF(ISNA(MATCH(443,'Transfer Engine'!$C$2:$C$1199,0)),"",INDEX('Compliance Database'!$I$2:$I$1199,MATCH(443,'Transfer Engine'!$C$2:$C$1199,0)))</f>
        <v/>
      </c>
      <c r="J452" s="6" t="str">
        <f>IF(ISNA(MATCH(443,'Transfer Engine'!$C$2:$C$1199,0)),"",INDEX('Compliance Database'!$J$2:$J$1199,MATCH(443,'Transfer Engine'!$C$2:$C$1199,0)))</f>
        <v/>
      </c>
      <c r="K452" s="7" t="str">
        <f>IF(ISNA(MATCH(443,'Transfer Engine'!$C$2:$C$1199,0)),"",INDEX('Compliance Database'!$K$2:$K$1199,MATCH(443,'Transfer Engine'!$C$2:$C$1199,0)))</f>
        <v/>
      </c>
      <c r="L452" s="7" t="str">
        <f>IF(ISNA(MATCH(443,'Transfer Engine'!$C$2:$C$1199,0)),"",INDEX('Compliance Database'!$L$2:$L$1199,MATCH(443,'Transfer Engine'!$C$2:$C$1199,0)))</f>
        <v/>
      </c>
      <c r="M452" s="7" t="str">
        <f>IF(ISNA(MATCH(443,'Transfer Engine'!$C$2:$C$1199,0)),"",INDEX('Compliance Database'!$M$2:$M$1199,MATCH(443,'Transfer Engine'!$C$2:$C$1199,0)))</f>
        <v/>
      </c>
      <c r="N452" s="7" t="str">
        <f>IF(ISNA(MATCH(443,'Transfer Engine'!$C$2:$C$1199,0)),"",INDEX('Compliance Database'!$N$2:$N$1199,MATCH(443,'Transfer Engine'!$C$2:$C$1199,0)))</f>
        <v/>
      </c>
      <c r="O452" s="7" t="str">
        <f>IF(ISNA(MATCH(443,'Transfer Engine'!$C$2:$C$1199,0)),"",INDEX('Compliance Database'!$O$2:$O$1199,MATCH(443,'Transfer Engine'!$C$2:$C$1199,0)))</f>
        <v/>
      </c>
      <c r="P452" s="6" t="str">
        <f>IF(ISNA(MATCH(443,'Transfer Engine'!$C$2:$C$1199,0)),"",HYPERLINK("#Acts!A"&amp;INDEX('Compliance Database'!$P$2:$P$1199,MATCH(443,'Transfer Engine'!$C$2:$C$1199,0)),"Go to Act"))</f>
        <v/>
      </c>
    </row>
    <row r="453" spans="1:16" ht="172.95" customHeight="1" x14ac:dyDescent="0.3">
      <c r="A453" s="6" t="str">
        <f>IF(ISNA(MATCH(444,'Transfer Engine'!$C$2:$C$1199,0)),"",INDEX('Compliance Database'!$A$2:$A$1199,MATCH(444,'Transfer Engine'!$C$2:$C$1199,0)))</f>
        <v/>
      </c>
      <c r="B453" s="6" t="str">
        <f>IF(ISNA(MATCH(444,'Transfer Engine'!$C$2:$C$1199,0)),"",INDEX('Compliance Database'!$B$2:$B$1199,MATCH(444,'Transfer Engine'!$C$2:$C$1199,0)))</f>
        <v/>
      </c>
      <c r="C453" s="6" t="str">
        <f>IF(ISNA(MATCH(444,'Transfer Engine'!$C$2:$C$1199,0)),"",INDEX('Compliance Database'!$C$2:$C$1199,MATCH(444,'Transfer Engine'!$C$2:$C$1199,0)))</f>
        <v/>
      </c>
      <c r="D453" s="7" t="str">
        <f>IF(ISNA(MATCH(444,'Transfer Engine'!$C$2:$C$1199,0)),"",INDEX('Compliance Database'!$D$2:$D$1199,MATCH(444,'Transfer Engine'!$C$2:$C$1199,0)))</f>
        <v/>
      </c>
      <c r="E453" s="6" t="str">
        <f>IF(ISNA(MATCH(444,'Transfer Engine'!$C$2:$C$1199,0)),"",INDEX('Compliance Database'!$E$2:$E$1199,MATCH(444,'Transfer Engine'!$C$2:$C$1199,0)))</f>
        <v/>
      </c>
      <c r="F453" s="6" t="str">
        <f>IF(ISNA(MATCH(444,'Transfer Engine'!$C$2:$C$1199,0)),"",INDEX('Compliance Database'!$F$2:$F$1199,MATCH(444,'Transfer Engine'!$C$2:$C$1199,0)))</f>
        <v/>
      </c>
      <c r="G453" s="6" t="str">
        <f>IF(ISNA(MATCH(444,'Transfer Engine'!$C$2:$C$1199,0)),"",INDEX('Compliance Database'!$G$2:$G$1199,MATCH(444,'Transfer Engine'!$C$2:$C$1199,0)))</f>
        <v/>
      </c>
      <c r="H453" s="7" t="str">
        <f>IF(ISNA(MATCH(444,'Transfer Engine'!$C$2:$C$1199,0)),"",INDEX('Compliance Database'!$H$2:$H$1199,MATCH(444,'Transfer Engine'!$C$2:$C$1199,0)))</f>
        <v/>
      </c>
      <c r="I453" s="7" t="str">
        <f>IF(ISNA(MATCH(444,'Transfer Engine'!$C$2:$C$1199,0)),"",INDEX('Compliance Database'!$I$2:$I$1199,MATCH(444,'Transfer Engine'!$C$2:$C$1199,0)))</f>
        <v/>
      </c>
      <c r="J453" s="6" t="str">
        <f>IF(ISNA(MATCH(444,'Transfer Engine'!$C$2:$C$1199,0)),"",INDEX('Compliance Database'!$J$2:$J$1199,MATCH(444,'Transfer Engine'!$C$2:$C$1199,0)))</f>
        <v/>
      </c>
      <c r="K453" s="7" t="str">
        <f>IF(ISNA(MATCH(444,'Transfer Engine'!$C$2:$C$1199,0)),"",INDEX('Compliance Database'!$K$2:$K$1199,MATCH(444,'Transfer Engine'!$C$2:$C$1199,0)))</f>
        <v/>
      </c>
      <c r="L453" s="7" t="str">
        <f>IF(ISNA(MATCH(444,'Transfer Engine'!$C$2:$C$1199,0)),"",INDEX('Compliance Database'!$L$2:$L$1199,MATCH(444,'Transfer Engine'!$C$2:$C$1199,0)))</f>
        <v/>
      </c>
      <c r="M453" s="7" t="str">
        <f>IF(ISNA(MATCH(444,'Transfer Engine'!$C$2:$C$1199,0)),"",INDEX('Compliance Database'!$M$2:$M$1199,MATCH(444,'Transfer Engine'!$C$2:$C$1199,0)))</f>
        <v/>
      </c>
      <c r="N453" s="7" t="str">
        <f>IF(ISNA(MATCH(444,'Transfer Engine'!$C$2:$C$1199,0)),"",INDEX('Compliance Database'!$N$2:$N$1199,MATCH(444,'Transfer Engine'!$C$2:$C$1199,0)))</f>
        <v/>
      </c>
      <c r="O453" s="7" t="str">
        <f>IF(ISNA(MATCH(444,'Transfer Engine'!$C$2:$C$1199,0)),"",INDEX('Compliance Database'!$O$2:$O$1199,MATCH(444,'Transfer Engine'!$C$2:$C$1199,0)))</f>
        <v/>
      </c>
      <c r="P453" s="6" t="str">
        <f>IF(ISNA(MATCH(444,'Transfer Engine'!$C$2:$C$1199,0)),"",HYPERLINK("#Acts!A"&amp;INDEX('Compliance Database'!$P$2:$P$1199,MATCH(444,'Transfer Engine'!$C$2:$C$1199,0)),"Go to Act"))</f>
        <v/>
      </c>
    </row>
    <row r="454" spans="1:16" ht="172.95" customHeight="1" x14ac:dyDescent="0.3">
      <c r="A454" s="6" t="str">
        <f>IF(ISNA(MATCH(445,'Transfer Engine'!$C$2:$C$1199,0)),"",INDEX('Compliance Database'!$A$2:$A$1199,MATCH(445,'Transfer Engine'!$C$2:$C$1199,0)))</f>
        <v/>
      </c>
      <c r="B454" s="6" t="str">
        <f>IF(ISNA(MATCH(445,'Transfer Engine'!$C$2:$C$1199,0)),"",INDEX('Compliance Database'!$B$2:$B$1199,MATCH(445,'Transfer Engine'!$C$2:$C$1199,0)))</f>
        <v/>
      </c>
      <c r="C454" s="6" t="str">
        <f>IF(ISNA(MATCH(445,'Transfer Engine'!$C$2:$C$1199,0)),"",INDEX('Compliance Database'!$C$2:$C$1199,MATCH(445,'Transfer Engine'!$C$2:$C$1199,0)))</f>
        <v/>
      </c>
      <c r="D454" s="7" t="str">
        <f>IF(ISNA(MATCH(445,'Transfer Engine'!$C$2:$C$1199,0)),"",INDEX('Compliance Database'!$D$2:$D$1199,MATCH(445,'Transfer Engine'!$C$2:$C$1199,0)))</f>
        <v/>
      </c>
      <c r="E454" s="6" t="str">
        <f>IF(ISNA(MATCH(445,'Transfer Engine'!$C$2:$C$1199,0)),"",INDEX('Compliance Database'!$E$2:$E$1199,MATCH(445,'Transfer Engine'!$C$2:$C$1199,0)))</f>
        <v/>
      </c>
      <c r="F454" s="6" t="str">
        <f>IF(ISNA(MATCH(445,'Transfer Engine'!$C$2:$C$1199,0)),"",INDEX('Compliance Database'!$F$2:$F$1199,MATCH(445,'Transfer Engine'!$C$2:$C$1199,0)))</f>
        <v/>
      </c>
      <c r="G454" s="6" t="str">
        <f>IF(ISNA(MATCH(445,'Transfer Engine'!$C$2:$C$1199,0)),"",INDEX('Compliance Database'!$G$2:$G$1199,MATCH(445,'Transfer Engine'!$C$2:$C$1199,0)))</f>
        <v/>
      </c>
      <c r="H454" s="7" t="str">
        <f>IF(ISNA(MATCH(445,'Transfer Engine'!$C$2:$C$1199,0)),"",INDEX('Compliance Database'!$H$2:$H$1199,MATCH(445,'Transfer Engine'!$C$2:$C$1199,0)))</f>
        <v/>
      </c>
      <c r="I454" s="7" t="str">
        <f>IF(ISNA(MATCH(445,'Transfer Engine'!$C$2:$C$1199,0)),"",INDEX('Compliance Database'!$I$2:$I$1199,MATCH(445,'Transfer Engine'!$C$2:$C$1199,0)))</f>
        <v/>
      </c>
      <c r="J454" s="6" t="str">
        <f>IF(ISNA(MATCH(445,'Transfer Engine'!$C$2:$C$1199,0)),"",INDEX('Compliance Database'!$J$2:$J$1199,MATCH(445,'Transfer Engine'!$C$2:$C$1199,0)))</f>
        <v/>
      </c>
      <c r="K454" s="7" t="str">
        <f>IF(ISNA(MATCH(445,'Transfer Engine'!$C$2:$C$1199,0)),"",INDEX('Compliance Database'!$K$2:$K$1199,MATCH(445,'Transfer Engine'!$C$2:$C$1199,0)))</f>
        <v/>
      </c>
      <c r="L454" s="7" t="str">
        <f>IF(ISNA(MATCH(445,'Transfer Engine'!$C$2:$C$1199,0)),"",INDEX('Compliance Database'!$L$2:$L$1199,MATCH(445,'Transfer Engine'!$C$2:$C$1199,0)))</f>
        <v/>
      </c>
      <c r="M454" s="7" t="str">
        <f>IF(ISNA(MATCH(445,'Transfer Engine'!$C$2:$C$1199,0)),"",INDEX('Compliance Database'!$M$2:$M$1199,MATCH(445,'Transfer Engine'!$C$2:$C$1199,0)))</f>
        <v/>
      </c>
      <c r="N454" s="7" t="str">
        <f>IF(ISNA(MATCH(445,'Transfer Engine'!$C$2:$C$1199,0)),"",INDEX('Compliance Database'!$N$2:$N$1199,MATCH(445,'Transfer Engine'!$C$2:$C$1199,0)))</f>
        <v/>
      </c>
      <c r="O454" s="7" t="str">
        <f>IF(ISNA(MATCH(445,'Transfer Engine'!$C$2:$C$1199,0)),"",INDEX('Compliance Database'!$O$2:$O$1199,MATCH(445,'Transfer Engine'!$C$2:$C$1199,0)))</f>
        <v/>
      </c>
      <c r="P454" s="6" t="str">
        <f>IF(ISNA(MATCH(445,'Transfer Engine'!$C$2:$C$1199,0)),"",HYPERLINK("#Acts!A"&amp;INDEX('Compliance Database'!$P$2:$P$1199,MATCH(445,'Transfer Engine'!$C$2:$C$1199,0)),"Go to Act"))</f>
        <v/>
      </c>
    </row>
    <row r="455" spans="1:16" ht="172.95" customHeight="1" x14ac:dyDescent="0.3">
      <c r="A455" s="6" t="str">
        <f>IF(ISNA(MATCH(446,'Transfer Engine'!$C$2:$C$1199,0)),"",INDEX('Compliance Database'!$A$2:$A$1199,MATCH(446,'Transfer Engine'!$C$2:$C$1199,0)))</f>
        <v/>
      </c>
      <c r="B455" s="6" t="str">
        <f>IF(ISNA(MATCH(446,'Transfer Engine'!$C$2:$C$1199,0)),"",INDEX('Compliance Database'!$B$2:$B$1199,MATCH(446,'Transfer Engine'!$C$2:$C$1199,0)))</f>
        <v/>
      </c>
      <c r="C455" s="6" t="str">
        <f>IF(ISNA(MATCH(446,'Transfer Engine'!$C$2:$C$1199,0)),"",INDEX('Compliance Database'!$C$2:$C$1199,MATCH(446,'Transfer Engine'!$C$2:$C$1199,0)))</f>
        <v/>
      </c>
      <c r="D455" s="7" t="str">
        <f>IF(ISNA(MATCH(446,'Transfer Engine'!$C$2:$C$1199,0)),"",INDEX('Compliance Database'!$D$2:$D$1199,MATCH(446,'Transfer Engine'!$C$2:$C$1199,0)))</f>
        <v/>
      </c>
      <c r="E455" s="6" t="str">
        <f>IF(ISNA(MATCH(446,'Transfer Engine'!$C$2:$C$1199,0)),"",INDEX('Compliance Database'!$E$2:$E$1199,MATCH(446,'Transfer Engine'!$C$2:$C$1199,0)))</f>
        <v/>
      </c>
      <c r="F455" s="6" t="str">
        <f>IF(ISNA(MATCH(446,'Transfer Engine'!$C$2:$C$1199,0)),"",INDEX('Compliance Database'!$F$2:$F$1199,MATCH(446,'Transfer Engine'!$C$2:$C$1199,0)))</f>
        <v/>
      </c>
      <c r="G455" s="6" t="str">
        <f>IF(ISNA(MATCH(446,'Transfer Engine'!$C$2:$C$1199,0)),"",INDEX('Compliance Database'!$G$2:$G$1199,MATCH(446,'Transfer Engine'!$C$2:$C$1199,0)))</f>
        <v/>
      </c>
      <c r="H455" s="7" t="str">
        <f>IF(ISNA(MATCH(446,'Transfer Engine'!$C$2:$C$1199,0)),"",INDEX('Compliance Database'!$H$2:$H$1199,MATCH(446,'Transfer Engine'!$C$2:$C$1199,0)))</f>
        <v/>
      </c>
      <c r="I455" s="7" t="str">
        <f>IF(ISNA(MATCH(446,'Transfer Engine'!$C$2:$C$1199,0)),"",INDEX('Compliance Database'!$I$2:$I$1199,MATCH(446,'Transfer Engine'!$C$2:$C$1199,0)))</f>
        <v/>
      </c>
      <c r="J455" s="6" t="str">
        <f>IF(ISNA(MATCH(446,'Transfer Engine'!$C$2:$C$1199,0)),"",INDEX('Compliance Database'!$J$2:$J$1199,MATCH(446,'Transfer Engine'!$C$2:$C$1199,0)))</f>
        <v/>
      </c>
      <c r="K455" s="7" t="str">
        <f>IF(ISNA(MATCH(446,'Transfer Engine'!$C$2:$C$1199,0)),"",INDEX('Compliance Database'!$K$2:$K$1199,MATCH(446,'Transfer Engine'!$C$2:$C$1199,0)))</f>
        <v/>
      </c>
      <c r="L455" s="7" t="str">
        <f>IF(ISNA(MATCH(446,'Transfer Engine'!$C$2:$C$1199,0)),"",INDEX('Compliance Database'!$L$2:$L$1199,MATCH(446,'Transfer Engine'!$C$2:$C$1199,0)))</f>
        <v/>
      </c>
      <c r="M455" s="7" t="str">
        <f>IF(ISNA(MATCH(446,'Transfer Engine'!$C$2:$C$1199,0)),"",INDEX('Compliance Database'!$M$2:$M$1199,MATCH(446,'Transfer Engine'!$C$2:$C$1199,0)))</f>
        <v/>
      </c>
      <c r="N455" s="7" t="str">
        <f>IF(ISNA(MATCH(446,'Transfer Engine'!$C$2:$C$1199,0)),"",INDEX('Compliance Database'!$N$2:$N$1199,MATCH(446,'Transfer Engine'!$C$2:$C$1199,0)))</f>
        <v/>
      </c>
      <c r="O455" s="7" t="str">
        <f>IF(ISNA(MATCH(446,'Transfer Engine'!$C$2:$C$1199,0)),"",INDEX('Compliance Database'!$O$2:$O$1199,MATCH(446,'Transfer Engine'!$C$2:$C$1199,0)))</f>
        <v/>
      </c>
      <c r="P455" s="6" t="str">
        <f>IF(ISNA(MATCH(446,'Transfer Engine'!$C$2:$C$1199,0)),"",HYPERLINK("#Acts!A"&amp;INDEX('Compliance Database'!$P$2:$P$1199,MATCH(446,'Transfer Engine'!$C$2:$C$1199,0)),"Go to Act"))</f>
        <v/>
      </c>
    </row>
    <row r="456" spans="1:16" ht="172.95" customHeight="1" x14ac:dyDescent="0.3">
      <c r="A456" s="6" t="str">
        <f>IF(ISNA(MATCH(447,'Transfer Engine'!$C$2:$C$1199,0)),"",INDEX('Compliance Database'!$A$2:$A$1199,MATCH(447,'Transfer Engine'!$C$2:$C$1199,0)))</f>
        <v/>
      </c>
      <c r="B456" s="6" t="str">
        <f>IF(ISNA(MATCH(447,'Transfer Engine'!$C$2:$C$1199,0)),"",INDEX('Compliance Database'!$B$2:$B$1199,MATCH(447,'Transfer Engine'!$C$2:$C$1199,0)))</f>
        <v/>
      </c>
      <c r="C456" s="6" t="str">
        <f>IF(ISNA(MATCH(447,'Transfer Engine'!$C$2:$C$1199,0)),"",INDEX('Compliance Database'!$C$2:$C$1199,MATCH(447,'Transfer Engine'!$C$2:$C$1199,0)))</f>
        <v/>
      </c>
      <c r="D456" s="7" t="str">
        <f>IF(ISNA(MATCH(447,'Transfer Engine'!$C$2:$C$1199,0)),"",INDEX('Compliance Database'!$D$2:$D$1199,MATCH(447,'Transfer Engine'!$C$2:$C$1199,0)))</f>
        <v/>
      </c>
      <c r="E456" s="6" t="str">
        <f>IF(ISNA(MATCH(447,'Transfer Engine'!$C$2:$C$1199,0)),"",INDEX('Compliance Database'!$E$2:$E$1199,MATCH(447,'Transfer Engine'!$C$2:$C$1199,0)))</f>
        <v/>
      </c>
      <c r="F456" s="6" t="str">
        <f>IF(ISNA(MATCH(447,'Transfer Engine'!$C$2:$C$1199,0)),"",INDEX('Compliance Database'!$F$2:$F$1199,MATCH(447,'Transfer Engine'!$C$2:$C$1199,0)))</f>
        <v/>
      </c>
      <c r="G456" s="6" t="str">
        <f>IF(ISNA(MATCH(447,'Transfer Engine'!$C$2:$C$1199,0)),"",INDEX('Compliance Database'!$G$2:$G$1199,MATCH(447,'Transfer Engine'!$C$2:$C$1199,0)))</f>
        <v/>
      </c>
      <c r="H456" s="7" t="str">
        <f>IF(ISNA(MATCH(447,'Transfer Engine'!$C$2:$C$1199,0)),"",INDEX('Compliance Database'!$H$2:$H$1199,MATCH(447,'Transfer Engine'!$C$2:$C$1199,0)))</f>
        <v/>
      </c>
      <c r="I456" s="7" t="str">
        <f>IF(ISNA(MATCH(447,'Transfer Engine'!$C$2:$C$1199,0)),"",INDEX('Compliance Database'!$I$2:$I$1199,MATCH(447,'Transfer Engine'!$C$2:$C$1199,0)))</f>
        <v/>
      </c>
      <c r="J456" s="6" t="str">
        <f>IF(ISNA(MATCH(447,'Transfer Engine'!$C$2:$C$1199,0)),"",INDEX('Compliance Database'!$J$2:$J$1199,MATCH(447,'Transfer Engine'!$C$2:$C$1199,0)))</f>
        <v/>
      </c>
      <c r="K456" s="7" t="str">
        <f>IF(ISNA(MATCH(447,'Transfer Engine'!$C$2:$C$1199,0)),"",INDEX('Compliance Database'!$K$2:$K$1199,MATCH(447,'Transfer Engine'!$C$2:$C$1199,0)))</f>
        <v/>
      </c>
      <c r="L456" s="7" t="str">
        <f>IF(ISNA(MATCH(447,'Transfer Engine'!$C$2:$C$1199,0)),"",INDEX('Compliance Database'!$L$2:$L$1199,MATCH(447,'Transfer Engine'!$C$2:$C$1199,0)))</f>
        <v/>
      </c>
      <c r="M456" s="7" t="str">
        <f>IF(ISNA(MATCH(447,'Transfer Engine'!$C$2:$C$1199,0)),"",INDEX('Compliance Database'!$M$2:$M$1199,MATCH(447,'Transfer Engine'!$C$2:$C$1199,0)))</f>
        <v/>
      </c>
      <c r="N456" s="7" t="str">
        <f>IF(ISNA(MATCH(447,'Transfer Engine'!$C$2:$C$1199,0)),"",INDEX('Compliance Database'!$N$2:$N$1199,MATCH(447,'Transfer Engine'!$C$2:$C$1199,0)))</f>
        <v/>
      </c>
      <c r="O456" s="7" t="str">
        <f>IF(ISNA(MATCH(447,'Transfer Engine'!$C$2:$C$1199,0)),"",INDEX('Compliance Database'!$O$2:$O$1199,MATCH(447,'Transfer Engine'!$C$2:$C$1199,0)))</f>
        <v/>
      </c>
      <c r="P456" s="6" t="str">
        <f>IF(ISNA(MATCH(447,'Transfer Engine'!$C$2:$C$1199,0)),"",HYPERLINK("#Acts!A"&amp;INDEX('Compliance Database'!$P$2:$P$1199,MATCH(447,'Transfer Engine'!$C$2:$C$1199,0)),"Go to Act"))</f>
        <v/>
      </c>
    </row>
    <row r="457" spans="1:16" ht="172.95" customHeight="1" x14ac:dyDescent="0.3">
      <c r="A457" s="6" t="str">
        <f>IF(ISNA(MATCH(448,'Transfer Engine'!$C$2:$C$1199,0)),"",INDEX('Compliance Database'!$A$2:$A$1199,MATCH(448,'Transfer Engine'!$C$2:$C$1199,0)))</f>
        <v/>
      </c>
      <c r="B457" s="6" t="str">
        <f>IF(ISNA(MATCH(448,'Transfer Engine'!$C$2:$C$1199,0)),"",INDEX('Compliance Database'!$B$2:$B$1199,MATCH(448,'Transfer Engine'!$C$2:$C$1199,0)))</f>
        <v/>
      </c>
      <c r="C457" s="6" t="str">
        <f>IF(ISNA(MATCH(448,'Transfer Engine'!$C$2:$C$1199,0)),"",INDEX('Compliance Database'!$C$2:$C$1199,MATCH(448,'Transfer Engine'!$C$2:$C$1199,0)))</f>
        <v/>
      </c>
      <c r="D457" s="7" t="str">
        <f>IF(ISNA(MATCH(448,'Transfer Engine'!$C$2:$C$1199,0)),"",INDEX('Compliance Database'!$D$2:$D$1199,MATCH(448,'Transfer Engine'!$C$2:$C$1199,0)))</f>
        <v/>
      </c>
      <c r="E457" s="6" t="str">
        <f>IF(ISNA(MATCH(448,'Transfer Engine'!$C$2:$C$1199,0)),"",INDEX('Compliance Database'!$E$2:$E$1199,MATCH(448,'Transfer Engine'!$C$2:$C$1199,0)))</f>
        <v/>
      </c>
      <c r="F457" s="6" t="str">
        <f>IF(ISNA(MATCH(448,'Transfer Engine'!$C$2:$C$1199,0)),"",INDEX('Compliance Database'!$F$2:$F$1199,MATCH(448,'Transfer Engine'!$C$2:$C$1199,0)))</f>
        <v/>
      </c>
      <c r="G457" s="6" t="str">
        <f>IF(ISNA(MATCH(448,'Transfer Engine'!$C$2:$C$1199,0)),"",INDEX('Compliance Database'!$G$2:$G$1199,MATCH(448,'Transfer Engine'!$C$2:$C$1199,0)))</f>
        <v/>
      </c>
      <c r="H457" s="7" t="str">
        <f>IF(ISNA(MATCH(448,'Transfer Engine'!$C$2:$C$1199,0)),"",INDEX('Compliance Database'!$H$2:$H$1199,MATCH(448,'Transfer Engine'!$C$2:$C$1199,0)))</f>
        <v/>
      </c>
      <c r="I457" s="7" t="str">
        <f>IF(ISNA(MATCH(448,'Transfer Engine'!$C$2:$C$1199,0)),"",INDEX('Compliance Database'!$I$2:$I$1199,MATCH(448,'Transfer Engine'!$C$2:$C$1199,0)))</f>
        <v/>
      </c>
      <c r="J457" s="6" t="str">
        <f>IF(ISNA(MATCH(448,'Transfer Engine'!$C$2:$C$1199,0)),"",INDEX('Compliance Database'!$J$2:$J$1199,MATCH(448,'Transfer Engine'!$C$2:$C$1199,0)))</f>
        <v/>
      </c>
      <c r="K457" s="7" t="str">
        <f>IF(ISNA(MATCH(448,'Transfer Engine'!$C$2:$C$1199,0)),"",INDEX('Compliance Database'!$K$2:$K$1199,MATCH(448,'Transfer Engine'!$C$2:$C$1199,0)))</f>
        <v/>
      </c>
      <c r="L457" s="7" t="str">
        <f>IF(ISNA(MATCH(448,'Transfer Engine'!$C$2:$C$1199,0)),"",INDEX('Compliance Database'!$L$2:$L$1199,MATCH(448,'Transfer Engine'!$C$2:$C$1199,0)))</f>
        <v/>
      </c>
      <c r="M457" s="7" t="str">
        <f>IF(ISNA(MATCH(448,'Transfer Engine'!$C$2:$C$1199,0)),"",INDEX('Compliance Database'!$M$2:$M$1199,MATCH(448,'Transfer Engine'!$C$2:$C$1199,0)))</f>
        <v/>
      </c>
      <c r="N457" s="7" t="str">
        <f>IF(ISNA(MATCH(448,'Transfer Engine'!$C$2:$C$1199,0)),"",INDEX('Compliance Database'!$N$2:$N$1199,MATCH(448,'Transfer Engine'!$C$2:$C$1199,0)))</f>
        <v/>
      </c>
      <c r="O457" s="7" t="str">
        <f>IF(ISNA(MATCH(448,'Transfer Engine'!$C$2:$C$1199,0)),"",INDEX('Compliance Database'!$O$2:$O$1199,MATCH(448,'Transfer Engine'!$C$2:$C$1199,0)))</f>
        <v/>
      </c>
      <c r="P457" s="6" t="str">
        <f>IF(ISNA(MATCH(448,'Transfer Engine'!$C$2:$C$1199,0)),"",HYPERLINK("#Acts!A"&amp;INDEX('Compliance Database'!$P$2:$P$1199,MATCH(448,'Transfer Engine'!$C$2:$C$1199,0)),"Go to Act"))</f>
        <v/>
      </c>
    </row>
    <row r="458" spans="1:16" ht="172.95" customHeight="1" x14ac:dyDescent="0.3">
      <c r="A458" s="6" t="str">
        <f>IF(ISNA(MATCH(449,'Transfer Engine'!$C$2:$C$1199,0)),"",INDEX('Compliance Database'!$A$2:$A$1199,MATCH(449,'Transfer Engine'!$C$2:$C$1199,0)))</f>
        <v/>
      </c>
      <c r="B458" s="6" t="str">
        <f>IF(ISNA(MATCH(449,'Transfer Engine'!$C$2:$C$1199,0)),"",INDEX('Compliance Database'!$B$2:$B$1199,MATCH(449,'Transfer Engine'!$C$2:$C$1199,0)))</f>
        <v/>
      </c>
      <c r="C458" s="6" t="str">
        <f>IF(ISNA(MATCH(449,'Transfer Engine'!$C$2:$C$1199,0)),"",INDEX('Compliance Database'!$C$2:$C$1199,MATCH(449,'Transfer Engine'!$C$2:$C$1199,0)))</f>
        <v/>
      </c>
      <c r="D458" s="7" t="str">
        <f>IF(ISNA(MATCH(449,'Transfer Engine'!$C$2:$C$1199,0)),"",INDEX('Compliance Database'!$D$2:$D$1199,MATCH(449,'Transfer Engine'!$C$2:$C$1199,0)))</f>
        <v/>
      </c>
      <c r="E458" s="6" t="str">
        <f>IF(ISNA(MATCH(449,'Transfer Engine'!$C$2:$C$1199,0)),"",INDEX('Compliance Database'!$E$2:$E$1199,MATCH(449,'Transfer Engine'!$C$2:$C$1199,0)))</f>
        <v/>
      </c>
      <c r="F458" s="6" t="str">
        <f>IF(ISNA(MATCH(449,'Transfer Engine'!$C$2:$C$1199,0)),"",INDEX('Compliance Database'!$F$2:$F$1199,MATCH(449,'Transfer Engine'!$C$2:$C$1199,0)))</f>
        <v/>
      </c>
      <c r="G458" s="6" t="str">
        <f>IF(ISNA(MATCH(449,'Transfer Engine'!$C$2:$C$1199,0)),"",INDEX('Compliance Database'!$G$2:$G$1199,MATCH(449,'Transfer Engine'!$C$2:$C$1199,0)))</f>
        <v/>
      </c>
      <c r="H458" s="7" t="str">
        <f>IF(ISNA(MATCH(449,'Transfer Engine'!$C$2:$C$1199,0)),"",INDEX('Compliance Database'!$H$2:$H$1199,MATCH(449,'Transfer Engine'!$C$2:$C$1199,0)))</f>
        <v/>
      </c>
      <c r="I458" s="7" t="str">
        <f>IF(ISNA(MATCH(449,'Transfer Engine'!$C$2:$C$1199,0)),"",INDEX('Compliance Database'!$I$2:$I$1199,MATCH(449,'Transfer Engine'!$C$2:$C$1199,0)))</f>
        <v/>
      </c>
      <c r="J458" s="6" t="str">
        <f>IF(ISNA(MATCH(449,'Transfer Engine'!$C$2:$C$1199,0)),"",INDEX('Compliance Database'!$J$2:$J$1199,MATCH(449,'Transfer Engine'!$C$2:$C$1199,0)))</f>
        <v/>
      </c>
      <c r="K458" s="7" t="str">
        <f>IF(ISNA(MATCH(449,'Transfer Engine'!$C$2:$C$1199,0)),"",INDEX('Compliance Database'!$K$2:$K$1199,MATCH(449,'Transfer Engine'!$C$2:$C$1199,0)))</f>
        <v/>
      </c>
      <c r="L458" s="7" t="str">
        <f>IF(ISNA(MATCH(449,'Transfer Engine'!$C$2:$C$1199,0)),"",INDEX('Compliance Database'!$L$2:$L$1199,MATCH(449,'Transfer Engine'!$C$2:$C$1199,0)))</f>
        <v/>
      </c>
      <c r="M458" s="7" t="str">
        <f>IF(ISNA(MATCH(449,'Transfer Engine'!$C$2:$C$1199,0)),"",INDEX('Compliance Database'!$M$2:$M$1199,MATCH(449,'Transfer Engine'!$C$2:$C$1199,0)))</f>
        <v/>
      </c>
      <c r="N458" s="7" t="str">
        <f>IF(ISNA(MATCH(449,'Transfer Engine'!$C$2:$C$1199,0)),"",INDEX('Compliance Database'!$N$2:$N$1199,MATCH(449,'Transfer Engine'!$C$2:$C$1199,0)))</f>
        <v/>
      </c>
      <c r="O458" s="7" t="str">
        <f>IF(ISNA(MATCH(449,'Transfer Engine'!$C$2:$C$1199,0)),"",INDEX('Compliance Database'!$O$2:$O$1199,MATCH(449,'Transfer Engine'!$C$2:$C$1199,0)))</f>
        <v/>
      </c>
      <c r="P458" s="6" t="str">
        <f>IF(ISNA(MATCH(449,'Transfer Engine'!$C$2:$C$1199,0)),"",HYPERLINK("#Acts!A"&amp;INDEX('Compliance Database'!$P$2:$P$1199,MATCH(449,'Transfer Engine'!$C$2:$C$1199,0)),"Go to Act"))</f>
        <v/>
      </c>
    </row>
    <row r="459" spans="1:16" ht="172.95" customHeight="1" x14ac:dyDescent="0.3">
      <c r="A459" s="6" t="str">
        <f>IF(ISNA(MATCH(450,'Transfer Engine'!$C$2:$C$1199,0)),"",INDEX('Compliance Database'!$A$2:$A$1199,MATCH(450,'Transfer Engine'!$C$2:$C$1199,0)))</f>
        <v/>
      </c>
      <c r="B459" s="6" t="str">
        <f>IF(ISNA(MATCH(450,'Transfer Engine'!$C$2:$C$1199,0)),"",INDEX('Compliance Database'!$B$2:$B$1199,MATCH(450,'Transfer Engine'!$C$2:$C$1199,0)))</f>
        <v/>
      </c>
      <c r="C459" s="6" t="str">
        <f>IF(ISNA(MATCH(450,'Transfer Engine'!$C$2:$C$1199,0)),"",INDEX('Compliance Database'!$C$2:$C$1199,MATCH(450,'Transfer Engine'!$C$2:$C$1199,0)))</f>
        <v/>
      </c>
      <c r="D459" s="7" t="str">
        <f>IF(ISNA(MATCH(450,'Transfer Engine'!$C$2:$C$1199,0)),"",INDEX('Compliance Database'!$D$2:$D$1199,MATCH(450,'Transfer Engine'!$C$2:$C$1199,0)))</f>
        <v/>
      </c>
      <c r="E459" s="6" t="str">
        <f>IF(ISNA(MATCH(450,'Transfer Engine'!$C$2:$C$1199,0)),"",INDEX('Compliance Database'!$E$2:$E$1199,MATCH(450,'Transfer Engine'!$C$2:$C$1199,0)))</f>
        <v/>
      </c>
      <c r="F459" s="6" t="str">
        <f>IF(ISNA(MATCH(450,'Transfer Engine'!$C$2:$C$1199,0)),"",INDEX('Compliance Database'!$F$2:$F$1199,MATCH(450,'Transfer Engine'!$C$2:$C$1199,0)))</f>
        <v/>
      </c>
      <c r="G459" s="6" t="str">
        <f>IF(ISNA(MATCH(450,'Transfer Engine'!$C$2:$C$1199,0)),"",INDEX('Compliance Database'!$G$2:$G$1199,MATCH(450,'Transfer Engine'!$C$2:$C$1199,0)))</f>
        <v/>
      </c>
      <c r="H459" s="7" t="str">
        <f>IF(ISNA(MATCH(450,'Transfer Engine'!$C$2:$C$1199,0)),"",INDEX('Compliance Database'!$H$2:$H$1199,MATCH(450,'Transfer Engine'!$C$2:$C$1199,0)))</f>
        <v/>
      </c>
      <c r="I459" s="7" t="str">
        <f>IF(ISNA(MATCH(450,'Transfer Engine'!$C$2:$C$1199,0)),"",INDEX('Compliance Database'!$I$2:$I$1199,MATCH(450,'Transfer Engine'!$C$2:$C$1199,0)))</f>
        <v/>
      </c>
      <c r="J459" s="6" t="str">
        <f>IF(ISNA(MATCH(450,'Transfer Engine'!$C$2:$C$1199,0)),"",INDEX('Compliance Database'!$J$2:$J$1199,MATCH(450,'Transfer Engine'!$C$2:$C$1199,0)))</f>
        <v/>
      </c>
      <c r="K459" s="7" t="str">
        <f>IF(ISNA(MATCH(450,'Transfer Engine'!$C$2:$C$1199,0)),"",INDEX('Compliance Database'!$K$2:$K$1199,MATCH(450,'Transfer Engine'!$C$2:$C$1199,0)))</f>
        <v/>
      </c>
      <c r="L459" s="7" t="str">
        <f>IF(ISNA(MATCH(450,'Transfer Engine'!$C$2:$C$1199,0)),"",INDEX('Compliance Database'!$L$2:$L$1199,MATCH(450,'Transfer Engine'!$C$2:$C$1199,0)))</f>
        <v/>
      </c>
      <c r="M459" s="7" t="str">
        <f>IF(ISNA(MATCH(450,'Transfer Engine'!$C$2:$C$1199,0)),"",INDEX('Compliance Database'!$M$2:$M$1199,MATCH(450,'Transfer Engine'!$C$2:$C$1199,0)))</f>
        <v/>
      </c>
      <c r="N459" s="7" t="str">
        <f>IF(ISNA(MATCH(450,'Transfer Engine'!$C$2:$C$1199,0)),"",INDEX('Compliance Database'!$N$2:$N$1199,MATCH(450,'Transfer Engine'!$C$2:$C$1199,0)))</f>
        <v/>
      </c>
      <c r="O459" s="7" t="str">
        <f>IF(ISNA(MATCH(450,'Transfer Engine'!$C$2:$C$1199,0)),"",INDEX('Compliance Database'!$O$2:$O$1199,MATCH(450,'Transfer Engine'!$C$2:$C$1199,0)))</f>
        <v/>
      </c>
      <c r="P459" s="6" t="str">
        <f>IF(ISNA(MATCH(450,'Transfer Engine'!$C$2:$C$1199,0)),"",HYPERLINK("#Acts!A"&amp;INDEX('Compliance Database'!$P$2:$P$1199,MATCH(450,'Transfer Engine'!$C$2:$C$1199,0)),"Go to Act"))</f>
        <v/>
      </c>
    </row>
    <row r="460" spans="1:16" ht="172.95" customHeight="1" x14ac:dyDescent="0.3">
      <c r="A460" s="6" t="str">
        <f>IF(ISNA(MATCH(451,'Transfer Engine'!$C$2:$C$1199,0)),"",INDEX('Compliance Database'!$A$2:$A$1199,MATCH(451,'Transfer Engine'!$C$2:$C$1199,0)))</f>
        <v/>
      </c>
      <c r="B460" s="6" t="str">
        <f>IF(ISNA(MATCH(451,'Transfer Engine'!$C$2:$C$1199,0)),"",INDEX('Compliance Database'!$B$2:$B$1199,MATCH(451,'Transfer Engine'!$C$2:$C$1199,0)))</f>
        <v/>
      </c>
      <c r="C460" s="6" t="str">
        <f>IF(ISNA(MATCH(451,'Transfer Engine'!$C$2:$C$1199,0)),"",INDEX('Compliance Database'!$C$2:$C$1199,MATCH(451,'Transfer Engine'!$C$2:$C$1199,0)))</f>
        <v/>
      </c>
      <c r="D460" s="7" t="str">
        <f>IF(ISNA(MATCH(451,'Transfer Engine'!$C$2:$C$1199,0)),"",INDEX('Compliance Database'!$D$2:$D$1199,MATCH(451,'Transfer Engine'!$C$2:$C$1199,0)))</f>
        <v/>
      </c>
      <c r="E460" s="6" t="str">
        <f>IF(ISNA(MATCH(451,'Transfer Engine'!$C$2:$C$1199,0)),"",INDEX('Compliance Database'!$E$2:$E$1199,MATCH(451,'Transfer Engine'!$C$2:$C$1199,0)))</f>
        <v/>
      </c>
      <c r="F460" s="6" t="str">
        <f>IF(ISNA(MATCH(451,'Transfer Engine'!$C$2:$C$1199,0)),"",INDEX('Compliance Database'!$F$2:$F$1199,MATCH(451,'Transfer Engine'!$C$2:$C$1199,0)))</f>
        <v/>
      </c>
      <c r="G460" s="6" t="str">
        <f>IF(ISNA(MATCH(451,'Transfer Engine'!$C$2:$C$1199,0)),"",INDEX('Compliance Database'!$G$2:$G$1199,MATCH(451,'Transfer Engine'!$C$2:$C$1199,0)))</f>
        <v/>
      </c>
      <c r="H460" s="7" t="str">
        <f>IF(ISNA(MATCH(451,'Transfer Engine'!$C$2:$C$1199,0)),"",INDEX('Compliance Database'!$H$2:$H$1199,MATCH(451,'Transfer Engine'!$C$2:$C$1199,0)))</f>
        <v/>
      </c>
      <c r="I460" s="7" t="str">
        <f>IF(ISNA(MATCH(451,'Transfer Engine'!$C$2:$C$1199,0)),"",INDEX('Compliance Database'!$I$2:$I$1199,MATCH(451,'Transfer Engine'!$C$2:$C$1199,0)))</f>
        <v/>
      </c>
      <c r="J460" s="6" t="str">
        <f>IF(ISNA(MATCH(451,'Transfer Engine'!$C$2:$C$1199,0)),"",INDEX('Compliance Database'!$J$2:$J$1199,MATCH(451,'Transfer Engine'!$C$2:$C$1199,0)))</f>
        <v/>
      </c>
      <c r="K460" s="7" t="str">
        <f>IF(ISNA(MATCH(451,'Transfer Engine'!$C$2:$C$1199,0)),"",INDEX('Compliance Database'!$K$2:$K$1199,MATCH(451,'Transfer Engine'!$C$2:$C$1199,0)))</f>
        <v/>
      </c>
      <c r="L460" s="7" t="str">
        <f>IF(ISNA(MATCH(451,'Transfer Engine'!$C$2:$C$1199,0)),"",INDEX('Compliance Database'!$L$2:$L$1199,MATCH(451,'Transfer Engine'!$C$2:$C$1199,0)))</f>
        <v/>
      </c>
      <c r="M460" s="7" t="str">
        <f>IF(ISNA(MATCH(451,'Transfer Engine'!$C$2:$C$1199,0)),"",INDEX('Compliance Database'!$M$2:$M$1199,MATCH(451,'Transfer Engine'!$C$2:$C$1199,0)))</f>
        <v/>
      </c>
      <c r="N460" s="7" t="str">
        <f>IF(ISNA(MATCH(451,'Transfer Engine'!$C$2:$C$1199,0)),"",INDEX('Compliance Database'!$N$2:$N$1199,MATCH(451,'Transfer Engine'!$C$2:$C$1199,0)))</f>
        <v/>
      </c>
      <c r="O460" s="7" t="str">
        <f>IF(ISNA(MATCH(451,'Transfer Engine'!$C$2:$C$1199,0)),"",INDEX('Compliance Database'!$O$2:$O$1199,MATCH(451,'Transfer Engine'!$C$2:$C$1199,0)))</f>
        <v/>
      </c>
      <c r="P460" s="6" t="str">
        <f>IF(ISNA(MATCH(451,'Transfer Engine'!$C$2:$C$1199,0)),"",HYPERLINK("#Acts!A"&amp;INDEX('Compliance Database'!$P$2:$P$1199,MATCH(451,'Transfer Engine'!$C$2:$C$1199,0)),"Go to Act"))</f>
        <v/>
      </c>
    </row>
    <row r="461" spans="1:16" ht="172.95" customHeight="1" x14ac:dyDescent="0.3">
      <c r="A461" s="6" t="str">
        <f>IF(ISNA(MATCH(452,'Transfer Engine'!$C$2:$C$1199,0)),"",INDEX('Compliance Database'!$A$2:$A$1199,MATCH(452,'Transfer Engine'!$C$2:$C$1199,0)))</f>
        <v/>
      </c>
      <c r="B461" s="6" t="str">
        <f>IF(ISNA(MATCH(452,'Transfer Engine'!$C$2:$C$1199,0)),"",INDEX('Compliance Database'!$B$2:$B$1199,MATCH(452,'Transfer Engine'!$C$2:$C$1199,0)))</f>
        <v/>
      </c>
      <c r="C461" s="6" t="str">
        <f>IF(ISNA(MATCH(452,'Transfer Engine'!$C$2:$C$1199,0)),"",INDEX('Compliance Database'!$C$2:$C$1199,MATCH(452,'Transfer Engine'!$C$2:$C$1199,0)))</f>
        <v/>
      </c>
      <c r="D461" s="7" t="str">
        <f>IF(ISNA(MATCH(452,'Transfer Engine'!$C$2:$C$1199,0)),"",INDEX('Compliance Database'!$D$2:$D$1199,MATCH(452,'Transfer Engine'!$C$2:$C$1199,0)))</f>
        <v/>
      </c>
      <c r="E461" s="6" t="str">
        <f>IF(ISNA(MATCH(452,'Transfer Engine'!$C$2:$C$1199,0)),"",INDEX('Compliance Database'!$E$2:$E$1199,MATCH(452,'Transfer Engine'!$C$2:$C$1199,0)))</f>
        <v/>
      </c>
      <c r="F461" s="6" t="str">
        <f>IF(ISNA(MATCH(452,'Transfer Engine'!$C$2:$C$1199,0)),"",INDEX('Compliance Database'!$F$2:$F$1199,MATCH(452,'Transfer Engine'!$C$2:$C$1199,0)))</f>
        <v/>
      </c>
      <c r="G461" s="6" t="str">
        <f>IF(ISNA(MATCH(452,'Transfer Engine'!$C$2:$C$1199,0)),"",INDEX('Compliance Database'!$G$2:$G$1199,MATCH(452,'Transfer Engine'!$C$2:$C$1199,0)))</f>
        <v/>
      </c>
      <c r="H461" s="7" t="str">
        <f>IF(ISNA(MATCH(452,'Transfer Engine'!$C$2:$C$1199,0)),"",INDEX('Compliance Database'!$H$2:$H$1199,MATCH(452,'Transfer Engine'!$C$2:$C$1199,0)))</f>
        <v/>
      </c>
      <c r="I461" s="7" t="str">
        <f>IF(ISNA(MATCH(452,'Transfer Engine'!$C$2:$C$1199,0)),"",INDEX('Compliance Database'!$I$2:$I$1199,MATCH(452,'Transfer Engine'!$C$2:$C$1199,0)))</f>
        <v/>
      </c>
      <c r="J461" s="6" t="str">
        <f>IF(ISNA(MATCH(452,'Transfer Engine'!$C$2:$C$1199,0)),"",INDEX('Compliance Database'!$J$2:$J$1199,MATCH(452,'Transfer Engine'!$C$2:$C$1199,0)))</f>
        <v/>
      </c>
      <c r="K461" s="7" t="str">
        <f>IF(ISNA(MATCH(452,'Transfer Engine'!$C$2:$C$1199,0)),"",INDEX('Compliance Database'!$K$2:$K$1199,MATCH(452,'Transfer Engine'!$C$2:$C$1199,0)))</f>
        <v/>
      </c>
      <c r="L461" s="7" t="str">
        <f>IF(ISNA(MATCH(452,'Transfer Engine'!$C$2:$C$1199,0)),"",INDEX('Compliance Database'!$L$2:$L$1199,MATCH(452,'Transfer Engine'!$C$2:$C$1199,0)))</f>
        <v/>
      </c>
      <c r="M461" s="7" t="str">
        <f>IF(ISNA(MATCH(452,'Transfer Engine'!$C$2:$C$1199,0)),"",INDEX('Compliance Database'!$M$2:$M$1199,MATCH(452,'Transfer Engine'!$C$2:$C$1199,0)))</f>
        <v/>
      </c>
      <c r="N461" s="7" t="str">
        <f>IF(ISNA(MATCH(452,'Transfer Engine'!$C$2:$C$1199,0)),"",INDEX('Compliance Database'!$N$2:$N$1199,MATCH(452,'Transfer Engine'!$C$2:$C$1199,0)))</f>
        <v/>
      </c>
      <c r="O461" s="7" t="str">
        <f>IF(ISNA(MATCH(452,'Transfer Engine'!$C$2:$C$1199,0)),"",INDEX('Compliance Database'!$O$2:$O$1199,MATCH(452,'Transfer Engine'!$C$2:$C$1199,0)))</f>
        <v/>
      </c>
      <c r="P461" s="6" t="str">
        <f>IF(ISNA(MATCH(452,'Transfer Engine'!$C$2:$C$1199,0)),"",HYPERLINK("#Acts!A"&amp;INDEX('Compliance Database'!$P$2:$P$1199,MATCH(452,'Transfer Engine'!$C$2:$C$1199,0)),"Go to Act"))</f>
        <v/>
      </c>
    </row>
    <row r="462" spans="1:16" ht="172.95" customHeight="1" x14ac:dyDescent="0.3">
      <c r="A462" s="6" t="str">
        <f>IF(ISNA(MATCH(453,'Transfer Engine'!$C$2:$C$1199,0)),"",INDEX('Compliance Database'!$A$2:$A$1199,MATCH(453,'Transfer Engine'!$C$2:$C$1199,0)))</f>
        <v/>
      </c>
      <c r="B462" s="6" t="str">
        <f>IF(ISNA(MATCH(453,'Transfer Engine'!$C$2:$C$1199,0)),"",INDEX('Compliance Database'!$B$2:$B$1199,MATCH(453,'Transfer Engine'!$C$2:$C$1199,0)))</f>
        <v/>
      </c>
      <c r="C462" s="6" t="str">
        <f>IF(ISNA(MATCH(453,'Transfer Engine'!$C$2:$C$1199,0)),"",INDEX('Compliance Database'!$C$2:$C$1199,MATCH(453,'Transfer Engine'!$C$2:$C$1199,0)))</f>
        <v/>
      </c>
      <c r="D462" s="7" t="str">
        <f>IF(ISNA(MATCH(453,'Transfer Engine'!$C$2:$C$1199,0)),"",INDEX('Compliance Database'!$D$2:$D$1199,MATCH(453,'Transfer Engine'!$C$2:$C$1199,0)))</f>
        <v/>
      </c>
      <c r="E462" s="6" t="str">
        <f>IF(ISNA(MATCH(453,'Transfer Engine'!$C$2:$C$1199,0)),"",INDEX('Compliance Database'!$E$2:$E$1199,MATCH(453,'Transfer Engine'!$C$2:$C$1199,0)))</f>
        <v/>
      </c>
      <c r="F462" s="6" t="str">
        <f>IF(ISNA(MATCH(453,'Transfer Engine'!$C$2:$C$1199,0)),"",INDEX('Compliance Database'!$F$2:$F$1199,MATCH(453,'Transfer Engine'!$C$2:$C$1199,0)))</f>
        <v/>
      </c>
      <c r="G462" s="6" t="str">
        <f>IF(ISNA(MATCH(453,'Transfer Engine'!$C$2:$C$1199,0)),"",INDEX('Compliance Database'!$G$2:$G$1199,MATCH(453,'Transfer Engine'!$C$2:$C$1199,0)))</f>
        <v/>
      </c>
      <c r="H462" s="7" t="str">
        <f>IF(ISNA(MATCH(453,'Transfer Engine'!$C$2:$C$1199,0)),"",INDEX('Compliance Database'!$H$2:$H$1199,MATCH(453,'Transfer Engine'!$C$2:$C$1199,0)))</f>
        <v/>
      </c>
      <c r="I462" s="7" t="str">
        <f>IF(ISNA(MATCH(453,'Transfer Engine'!$C$2:$C$1199,0)),"",INDEX('Compliance Database'!$I$2:$I$1199,MATCH(453,'Transfer Engine'!$C$2:$C$1199,0)))</f>
        <v/>
      </c>
      <c r="J462" s="6" t="str">
        <f>IF(ISNA(MATCH(453,'Transfer Engine'!$C$2:$C$1199,0)),"",INDEX('Compliance Database'!$J$2:$J$1199,MATCH(453,'Transfer Engine'!$C$2:$C$1199,0)))</f>
        <v/>
      </c>
      <c r="K462" s="7" t="str">
        <f>IF(ISNA(MATCH(453,'Transfer Engine'!$C$2:$C$1199,0)),"",INDEX('Compliance Database'!$K$2:$K$1199,MATCH(453,'Transfer Engine'!$C$2:$C$1199,0)))</f>
        <v/>
      </c>
      <c r="L462" s="7" t="str">
        <f>IF(ISNA(MATCH(453,'Transfer Engine'!$C$2:$C$1199,0)),"",INDEX('Compliance Database'!$L$2:$L$1199,MATCH(453,'Transfer Engine'!$C$2:$C$1199,0)))</f>
        <v/>
      </c>
      <c r="M462" s="7" t="str">
        <f>IF(ISNA(MATCH(453,'Transfer Engine'!$C$2:$C$1199,0)),"",INDEX('Compliance Database'!$M$2:$M$1199,MATCH(453,'Transfer Engine'!$C$2:$C$1199,0)))</f>
        <v/>
      </c>
      <c r="N462" s="7" t="str">
        <f>IF(ISNA(MATCH(453,'Transfer Engine'!$C$2:$C$1199,0)),"",INDEX('Compliance Database'!$N$2:$N$1199,MATCH(453,'Transfer Engine'!$C$2:$C$1199,0)))</f>
        <v/>
      </c>
      <c r="O462" s="7" t="str">
        <f>IF(ISNA(MATCH(453,'Transfer Engine'!$C$2:$C$1199,0)),"",INDEX('Compliance Database'!$O$2:$O$1199,MATCH(453,'Transfer Engine'!$C$2:$C$1199,0)))</f>
        <v/>
      </c>
      <c r="P462" s="6" t="str">
        <f>IF(ISNA(MATCH(453,'Transfer Engine'!$C$2:$C$1199,0)),"",HYPERLINK("#Acts!A"&amp;INDEX('Compliance Database'!$P$2:$P$1199,MATCH(453,'Transfer Engine'!$C$2:$C$1199,0)),"Go to Act"))</f>
        <v/>
      </c>
    </row>
    <row r="463" spans="1:16" ht="172.95" customHeight="1" x14ac:dyDescent="0.3">
      <c r="A463" s="6" t="str">
        <f>IF(ISNA(MATCH(454,'Transfer Engine'!$C$2:$C$1199,0)),"",INDEX('Compliance Database'!$A$2:$A$1199,MATCH(454,'Transfer Engine'!$C$2:$C$1199,0)))</f>
        <v/>
      </c>
      <c r="B463" s="6" t="str">
        <f>IF(ISNA(MATCH(454,'Transfer Engine'!$C$2:$C$1199,0)),"",INDEX('Compliance Database'!$B$2:$B$1199,MATCH(454,'Transfer Engine'!$C$2:$C$1199,0)))</f>
        <v/>
      </c>
      <c r="C463" s="6" t="str">
        <f>IF(ISNA(MATCH(454,'Transfer Engine'!$C$2:$C$1199,0)),"",INDEX('Compliance Database'!$C$2:$C$1199,MATCH(454,'Transfer Engine'!$C$2:$C$1199,0)))</f>
        <v/>
      </c>
      <c r="D463" s="7" t="str">
        <f>IF(ISNA(MATCH(454,'Transfer Engine'!$C$2:$C$1199,0)),"",INDEX('Compliance Database'!$D$2:$D$1199,MATCH(454,'Transfer Engine'!$C$2:$C$1199,0)))</f>
        <v/>
      </c>
      <c r="E463" s="6" t="str">
        <f>IF(ISNA(MATCH(454,'Transfer Engine'!$C$2:$C$1199,0)),"",INDEX('Compliance Database'!$E$2:$E$1199,MATCH(454,'Transfer Engine'!$C$2:$C$1199,0)))</f>
        <v/>
      </c>
      <c r="F463" s="6" t="str">
        <f>IF(ISNA(MATCH(454,'Transfer Engine'!$C$2:$C$1199,0)),"",INDEX('Compliance Database'!$F$2:$F$1199,MATCH(454,'Transfer Engine'!$C$2:$C$1199,0)))</f>
        <v/>
      </c>
      <c r="G463" s="6" t="str">
        <f>IF(ISNA(MATCH(454,'Transfer Engine'!$C$2:$C$1199,0)),"",INDEX('Compliance Database'!$G$2:$G$1199,MATCH(454,'Transfer Engine'!$C$2:$C$1199,0)))</f>
        <v/>
      </c>
      <c r="H463" s="7" t="str">
        <f>IF(ISNA(MATCH(454,'Transfer Engine'!$C$2:$C$1199,0)),"",INDEX('Compliance Database'!$H$2:$H$1199,MATCH(454,'Transfer Engine'!$C$2:$C$1199,0)))</f>
        <v/>
      </c>
      <c r="I463" s="7" t="str">
        <f>IF(ISNA(MATCH(454,'Transfer Engine'!$C$2:$C$1199,0)),"",INDEX('Compliance Database'!$I$2:$I$1199,MATCH(454,'Transfer Engine'!$C$2:$C$1199,0)))</f>
        <v/>
      </c>
      <c r="J463" s="6" t="str">
        <f>IF(ISNA(MATCH(454,'Transfer Engine'!$C$2:$C$1199,0)),"",INDEX('Compliance Database'!$J$2:$J$1199,MATCH(454,'Transfer Engine'!$C$2:$C$1199,0)))</f>
        <v/>
      </c>
      <c r="K463" s="7" t="str">
        <f>IF(ISNA(MATCH(454,'Transfer Engine'!$C$2:$C$1199,0)),"",INDEX('Compliance Database'!$K$2:$K$1199,MATCH(454,'Transfer Engine'!$C$2:$C$1199,0)))</f>
        <v/>
      </c>
      <c r="L463" s="7" t="str">
        <f>IF(ISNA(MATCH(454,'Transfer Engine'!$C$2:$C$1199,0)),"",INDEX('Compliance Database'!$L$2:$L$1199,MATCH(454,'Transfer Engine'!$C$2:$C$1199,0)))</f>
        <v/>
      </c>
      <c r="M463" s="7" t="str">
        <f>IF(ISNA(MATCH(454,'Transfer Engine'!$C$2:$C$1199,0)),"",INDEX('Compliance Database'!$M$2:$M$1199,MATCH(454,'Transfer Engine'!$C$2:$C$1199,0)))</f>
        <v/>
      </c>
      <c r="N463" s="7" t="str">
        <f>IF(ISNA(MATCH(454,'Transfer Engine'!$C$2:$C$1199,0)),"",INDEX('Compliance Database'!$N$2:$N$1199,MATCH(454,'Transfer Engine'!$C$2:$C$1199,0)))</f>
        <v/>
      </c>
      <c r="O463" s="7" t="str">
        <f>IF(ISNA(MATCH(454,'Transfer Engine'!$C$2:$C$1199,0)),"",INDEX('Compliance Database'!$O$2:$O$1199,MATCH(454,'Transfer Engine'!$C$2:$C$1199,0)))</f>
        <v/>
      </c>
      <c r="P463" s="6" t="str">
        <f>IF(ISNA(MATCH(454,'Transfer Engine'!$C$2:$C$1199,0)),"",HYPERLINK("#Acts!A"&amp;INDEX('Compliance Database'!$P$2:$P$1199,MATCH(454,'Transfer Engine'!$C$2:$C$1199,0)),"Go to Act"))</f>
        <v/>
      </c>
    </row>
    <row r="464" spans="1:16" ht="172.95" customHeight="1" x14ac:dyDescent="0.3">
      <c r="A464" s="6" t="str">
        <f>IF(ISNA(MATCH(455,'Transfer Engine'!$C$2:$C$1199,0)),"",INDEX('Compliance Database'!$A$2:$A$1199,MATCH(455,'Transfer Engine'!$C$2:$C$1199,0)))</f>
        <v/>
      </c>
      <c r="B464" s="6" t="str">
        <f>IF(ISNA(MATCH(455,'Transfer Engine'!$C$2:$C$1199,0)),"",INDEX('Compliance Database'!$B$2:$B$1199,MATCH(455,'Transfer Engine'!$C$2:$C$1199,0)))</f>
        <v/>
      </c>
      <c r="C464" s="6" t="str">
        <f>IF(ISNA(MATCH(455,'Transfer Engine'!$C$2:$C$1199,0)),"",INDEX('Compliance Database'!$C$2:$C$1199,MATCH(455,'Transfer Engine'!$C$2:$C$1199,0)))</f>
        <v/>
      </c>
      <c r="D464" s="7" t="str">
        <f>IF(ISNA(MATCH(455,'Transfer Engine'!$C$2:$C$1199,0)),"",INDEX('Compliance Database'!$D$2:$D$1199,MATCH(455,'Transfer Engine'!$C$2:$C$1199,0)))</f>
        <v/>
      </c>
      <c r="E464" s="6" t="str">
        <f>IF(ISNA(MATCH(455,'Transfer Engine'!$C$2:$C$1199,0)),"",INDEX('Compliance Database'!$E$2:$E$1199,MATCH(455,'Transfer Engine'!$C$2:$C$1199,0)))</f>
        <v/>
      </c>
      <c r="F464" s="6" t="str">
        <f>IF(ISNA(MATCH(455,'Transfer Engine'!$C$2:$C$1199,0)),"",INDEX('Compliance Database'!$F$2:$F$1199,MATCH(455,'Transfer Engine'!$C$2:$C$1199,0)))</f>
        <v/>
      </c>
      <c r="G464" s="6" t="str">
        <f>IF(ISNA(MATCH(455,'Transfer Engine'!$C$2:$C$1199,0)),"",INDEX('Compliance Database'!$G$2:$G$1199,MATCH(455,'Transfer Engine'!$C$2:$C$1199,0)))</f>
        <v/>
      </c>
      <c r="H464" s="7" t="str">
        <f>IF(ISNA(MATCH(455,'Transfer Engine'!$C$2:$C$1199,0)),"",INDEX('Compliance Database'!$H$2:$H$1199,MATCH(455,'Transfer Engine'!$C$2:$C$1199,0)))</f>
        <v/>
      </c>
      <c r="I464" s="7" t="str">
        <f>IF(ISNA(MATCH(455,'Transfer Engine'!$C$2:$C$1199,0)),"",INDEX('Compliance Database'!$I$2:$I$1199,MATCH(455,'Transfer Engine'!$C$2:$C$1199,0)))</f>
        <v/>
      </c>
      <c r="J464" s="6" t="str">
        <f>IF(ISNA(MATCH(455,'Transfer Engine'!$C$2:$C$1199,0)),"",INDEX('Compliance Database'!$J$2:$J$1199,MATCH(455,'Transfer Engine'!$C$2:$C$1199,0)))</f>
        <v/>
      </c>
      <c r="K464" s="7" t="str">
        <f>IF(ISNA(MATCH(455,'Transfer Engine'!$C$2:$C$1199,0)),"",INDEX('Compliance Database'!$K$2:$K$1199,MATCH(455,'Transfer Engine'!$C$2:$C$1199,0)))</f>
        <v/>
      </c>
      <c r="L464" s="7" t="str">
        <f>IF(ISNA(MATCH(455,'Transfer Engine'!$C$2:$C$1199,0)),"",INDEX('Compliance Database'!$L$2:$L$1199,MATCH(455,'Transfer Engine'!$C$2:$C$1199,0)))</f>
        <v/>
      </c>
      <c r="M464" s="7" t="str">
        <f>IF(ISNA(MATCH(455,'Transfer Engine'!$C$2:$C$1199,0)),"",INDEX('Compliance Database'!$M$2:$M$1199,MATCH(455,'Transfer Engine'!$C$2:$C$1199,0)))</f>
        <v/>
      </c>
      <c r="N464" s="7" t="str">
        <f>IF(ISNA(MATCH(455,'Transfer Engine'!$C$2:$C$1199,0)),"",INDEX('Compliance Database'!$N$2:$N$1199,MATCH(455,'Transfer Engine'!$C$2:$C$1199,0)))</f>
        <v/>
      </c>
      <c r="O464" s="7" t="str">
        <f>IF(ISNA(MATCH(455,'Transfer Engine'!$C$2:$C$1199,0)),"",INDEX('Compliance Database'!$O$2:$O$1199,MATCH(455,'Transfer Engine'!$C$2:$C$1199,0)))</f>
        <v/>
      </c>
      <c r="P464" s="6" t="str">
        <f>IF(ISNA(MATCH(455,'Transfer Engine'!$C$2:$C$1199,0)),"",HYPERLINK("#Acts!A"&amp;INDEX('Compliance Database'!$P$2:$P$1199,MATCH(455,'Transfer Engine'!$C$2:$C$1199,0)),"Go to Act"))</f>
        <v/>
      </c>
    </row>
    <row r="465" spans="1:16" ht="172.95" customHeight="1" x14ac:dyDescent="0.3">
      <c r="A465" s="6" t="str">
        <f>IF(ISNA(MATCH(456,'Transfer Engine'!$C$2:$C$1199,0)),"",INDEX('Compliance Database'!$A$2:$A$1199,MATCH(456,'Transfer Engine'!$C$2:$C$1199,0)))</f>
        <v/>
      </c>
      <c r="B465" s="6" t="str">
        <f>IF(ISNA(MATCH(456,'Transfer Engine'!$C$2:$C$1199,0)),"",INDEX('Compliance Database'!$B$2:$B$1199,MATCH(456,'Transfer Engine'!$C$2:$C$1199,0)))</f>
        <v/>
      </c>
      <c r="C465" s="6" t="str">
        <f>IF(ISNA(MATCH(456,'Transfer Engine'!$C$2:$C$1199,0)),"",INDEX('Compliance Database'!$C$2:$C$1199,MATCH(456,'Transfer Engine'!$C$2:$C$1199,0)))</f>
        <v/>
      </c>
      <c r="D465" s="7" t="str">
        <f>IF(ISNA(MATCH(456,'Transfer Engine'!$C$2:$C$1199,0)),"",INDEX('Compliance Database'!$D$2:$D$1199,MATCH(456,'Transfer Engine'!$C$2:$C$1199,0)))</f>
        <v/>
      </c>
      <c r="E465" s="6" t="str">
        <f>IF(ISNA(MATCH(456,'Transfer Engine'!$C$2:$C$1199,0)),"",INDEX('Compliance Database'!$E$2:$E$1199,MATCH(456,'Transfer Engine'!$C$2:$C$1199,0)))</f>
        <v/>
      </c>
      <c r="F465" s="6" t="str">
        <f>IF(ISNA(MATCH(456,'Transfer Engine'!$C$2:$C$1199,0)),"",INDEX('Compliance Database'!$F$2:$F$1199,MATCH(456,'Transfer Engine'!$C$2:$C$1199,0)))</f>
        <v/>
      </c>
      <c r="G465" s="6" t="str">
        <f>IF(ISNA(MATCH(456,'Transfer Engine'!$C$2:$C$1199,0)),"",INDEX('Compliance Database'!$G$2:$G$1199,MATCH(456,'Transfer Engine'!$C$2:$C$1199,0)))</f>
        <v/>
      </c>
      <c r="H465" s="7" t="str">
        <f>IF(ISNA(MATCH(456,'Transfer Engine'!$C$2:$C$1199,0)),"",INDEX('Compliance Database'!$H$2:$H$1199,MATCH(456,'Transfer Engine'!$C$2:$C$1199,0)))</f>
        <v/>
      </c>
      <c r="I465" s="7" t="str">
        <f>IF(ISNA(MATCH(456,'Transfer Engine'!$C$2:$C$1199,0)),"",INDEX('Compliance Database'!$I$2:$I$1199,MATCH(456,'Transfer Engine'!$C$2:$C$1199,0)))</f>
        <v/>
      </c>
      <c r="J465" s="6" t="str">
        <f>IF(ISNA(MATCH(456,'Transfer Engine'!$C$2:$C$1199,0)),"",INDEX('Compliance Database'!$J$2:$J$1199,MATCH(456,'Transfer Engine'!$C$2:$C$1199,0)))</f>
        <v/>
      </c>
      <c r="K465" s="7" t="str">
        <f>IF(ISNA(MATCH(456,'Transfer Engine'!$C$2:$C$1199,0)),"",INDEX('Compliance Database'!$K$2:$K$1199,MATCH(456,'Transfer Engine'!$C$2:$C$1199,0)))</f>
        <v/>
      </c>
      <c r="L465" s="7" t="str">
        <f>IF(ISNA(MATCH(456,'Transfer Engine'!$C$2:$C$1199,0)),"",INDEX('Compliance Database'!$L$2:$L$1199,MATCH(456,'Transfer Engine'!$C$2:$C$1199,0)))</f>
        <v/>
      </c>
      <c r="M465" s="7" t="str">
        <f>IF(ISNA(MATCH(456,'Transfer Engine'!$C$2:$C$1199,0)),"",INDEX('Compliance Database'!$M$2:$M$1199,MATCH(456,'Transfer Engine'!$C$2:$C$1199,0)))</f>
        <v/>
      </c>
      <c r="N465" s="7" t="str">
        <f>IF(ISNA(MATCH(456,'Transfer Engine'!$C$2:$C$1199,0)),"",INDEX('Compliance Database'!$N$2:$N$1199,MATCH(456,'Transfer Engine'!$C$2:$C$1199,0)))</f>
        <v/>
      </c>
      <c r="O465" s="7" t="str">
        <f>IF(ISNA(MATCH(456,'Transfer Engine'!$C$2:$C$1199,0)),"",INDEX('Compliance Database'!$O$2:$O$1199,MATCH(456,'Transfer Engine'!$C$2:$C$1199,0)))</f>
        <v/>
      </c>
      <c r="P465" s="6" t="str">
        <f>IF(ISNA(MATCH(456,'Transfer Engine'!$C$2:$C$1199,0)),"",HYPERLINK("#Acts!A"&amp;INDEX('Compliance Database'!$P$2:$P$1199,MATCH(456,'Transfer Engine'!$C$2:$C$1199,0)),"Go to Act"))</f>
        <v/>
      </c>
    </row>
    <row r="466" spans="1:16" ht="172.95" customHeight="1" x14ac:dyDescent="0.3">
      <c r="A466" s="6" t="str">
        <f>IF(ISNA(MATCH(457,'Transfer Engine'!$C$2:$C$1199,0)),"",INDEX('Compliance Database'!$A$2:$A$1199,MATCH(457,'Transfer Engine'!$C$2:$C$1199,0)))</f>
        <v/>
      </c>
      <c r="B466" s="6" t="str">
        <f>IF(ISNA(MATCH(457,'Transfer Engine'!$C$2:$C$1199,0)),"",INDEX('Compliance Database'!$B$2:$B$1199,MATCH(457,'Transfer Engine'!$C$2:$C$1199,0)))</f>
        <v/>
      </c>
      <c r="C466" s="6" t="str">
        <f>IF(ISNA(MATCH(457,'Transfer Engine'!$C$2:$C$1199,0)),"",INDEX('Compliance Database'!$C$2:$C$1199,MATCH(457,'Transfer Engine'!$C$2:$C$1199,0)))</f>
        <v/>
      </c>
      <c r="D466" s="7" t="str">
        <f>IF(ISNA(MATCH(457,'Transfer Engine'!$C$2:$C$1199,0)),"",INDEX('Compliance Database'!$D$2:$D$1199,MATCH(457,'Transfer Engine'!$C$2:$C$1199,0)))</f>
        <v/>
      </c>
      <c r="E466" s="6" t="str">
        <f>IF(ISNA(MATCH(457,'Transfer Engine'!$C$2:$C$1199,0)),"",INDEX('Compliance Database'!$E$2:$E$1199,MATCH(457,'Transfer Engine'!$C$2:$C$1199,0)))</f>
        <v/>
      </c>
      <c r="F466" s="6" t="str">
        <f>IF(ISNA(MATCH(457,'Transfer Engine'!$C$2:$C$1199,0)),"",INDEX('Compliance Database'!$F$2:$F$1199,MATCH(457,'Transfer Engine'!$C$2:$C$1199,0)))</f>
        <v/>
      </c>
      <c r="G466" s="6" t="str">
        <f>IF(ISNA(MATCH(457,'Transfer Engine'!$C$2:$C$1199,0)),"",INDEX('Compliance Database'!$G$2:$G$1199,MATCH(457,'Transfer Engine'!$C$2:$C$1199,0)))</f>
        <v/>
      </c>
      <c r="H466" s="7" t="str">
        <f>IF(ISNA(MATCH(457,'Transfer Engine'!$C$2:$C$1199,0)),"",INDEX('Compliance Database'!$H$2:$H$1199,MATCH(457,'Transfer Engine'!$C$2:$C$1199,0)))</f>
        <v/>
      </c>
      <c r="I466" s="7" t="str">
        <f>IF(ISNA(MATCH(457,'Transfer Engine'!$C$2:$C$1199,0)),"",INDEX('Compliance Database'!$I$2:$I$1199,MATCH(457,'Transfer Engine'!$C$2:$C$1199,0)))</f>
        <v/>
      </c>
      <c r="J466" s="6" t="str">
        <f>IF(ISNA(MATCH(457,'Transfer Engine'!$C$2:$C$1199,0)),"",INDEX('Compliance Database'!$J$2:$J$1199,MATCH(457,'Transfer Engine'!$C$2:$C$1199,0)))</f>
        <v/>
      </c>
      <c r="K466" s="7" t="str">
        <f>IF(ISNA(MATCH(457,'Transfer Engine'!$C$2:$C$1199,0)),"",INDEX('Compliance Database'!$K$2:$K$1199,MATCH(457,'Transfer Engine'!$C$2:$C$1199,0)))</f>
        <v/>
      </c>
      <c r="L466" s="7" t="str">
        <f>IF(ISNA(MATCH(457,'Transfer Engine'!$C$2:$C$1199,0)),"",INDEX('Compliance Database'!$L$2:$L$1199,MATCH(457,'Transfer Engine'!$C$2:$C$1199,0)))</f>
        <v/>
      </c>
      <c r="M466" s="7" t="str">
        <f>IF(ISNA(MATCH(457,'Transfer Engine'!$C$2:$C$1199,0)),"",INDEX('Compliance Database'!$M$2:$M$1199,MATCH(457,'Transfer Engine'!$C$2:$C$1199,0)))</f>
        <v/>
      </c>
      <c r="N466" s="7" t="str">
        <f>IF(ISNA(MATCH(457,'Transfer Engine'!$C$2:$C$1199,0)),"",INDEX('Compliance Database'!$N$2:$N$1199,MATCH(457,'Transfer Engine'!$C$2:$C$1199,0)))</f>
        <v/>
      </c>
      <c r="O466" s="7" t="str">
        <f>IF(ISNA(MATCH(457,'Transfer Engine'!$C$2:$C$1199,0)),"",INDEX('Compliance Database'!$O$2:$O$1199,MATCH(457,'Transfer Engine'!$C$2:$C$1199,0)))</f>
        <v/>
      </c>
      <c r="P466" s="6" t="str">
        <f>IF(ISNA(MATCH(457,'Transfer Engine'!$C$2:$C$1199,0)),"",HYPERLINK("#Acts!A"&amp;INDEX('Compliance Database'!$P$2:$P$1199,MATCH(457,'Transfer Engine'!$C$2:$C$1199,0)),"Go to Act"))</f>
        <v/>
      </c>
    </row>
    <row r="467" spans="1:16" ht="172.95" customHeight="1" x14ac:dyDescent="0.3">
      <c r="A467" s="6" t="str">
        <f>IF(ISNA(MATCH(458,'Transfer Engine'!$C$2:$C$1199,0)),"",INDEX('Compliance Database'!$A$2:$A$1199,MATCH(458,'Transfer Engine'!$C$2:$C$1199,0)))</f>
        <v/>
      </c>
      <c r="B467" s="6" t="str">
        <f>IF(ISNA(MATCH(458,'Transfer Engine'!$C$2:$C$1199,0)),"",INDEX('Compliance Database'!$B$2:$B$1199,MATCH(458,'Transfer Engine'!$C$2:$C$1199,0)))</f>
        <v/>
      </c>
      <c r="C467" s="6" t="str">
        <f>IF(ISNA(MATCH(458,'Transfer Engine'!$C$2:$C$1199,0)),"",INDEX('Compliance Database'!$C$2:$C$1199,MATCH(458,'Transfer Engine'!$C$2:$C$1199,0)))</f>
        <v/>
      </c>
      <c r="D467" s="7" t="str">
        <f>IF(ISNA(MATCH(458,'Transfer Engine'!$C$2:$C$1199,0)),"",INDEX('Compliance Database'!$D$2:$D$1199,MATCH(458,'Transfer Engine'!$C$2:$C$1199,0)))</f>
        <v/>
      </c>
      <c r="E467" s="6" t="str">
        <f>IF(ISNA(MATCH(458,'Transfer Engine'!$C$2:$C$1199,0)),"",INDEX('Compliance Database'!$E$2:$E$1199,MATCH(458,'Transfer Engine'!$C$2:$C$1199,0)))</f>
        <v/>
      </c>
      <c r="F467" s="6" t="str">
        <f>IF(ISNA(MATCH(458,'Transfer Engine'!$C$2:$C$1199,0)),"",INDEX('Compliance Database'!$F$2:$F$1199,MATCH(458,'Transfer Engine'!$C$2:$C$1199,0)))</f>
        <v/>
      </c>
      <c r="G467" s="6" t="str">
        <f>IF(ISNA(MATCH(458,'Transfer Engine'!$C$2:$C$1199,0)),"",INDEX('Compliance Database'!$G$2:$G$1199,MATCH(458,'Transfer Engine'!$C$2:$C$1199,0)))</f>
        <v/>
      </c>
      <c r="H467" s="7" t="str">
        <f>IF(ISNA(MATCH(458,'Transfer Engine'!$C$2:$C$1199,0)),"",INDEX('Compliance Database'!$H$2:$H$1199,MATCH(458,'Transfer Engine'!$C$2:$C$1199,0)))</f>
        <v/>
      </c>
      <c r="I467" s="7" t="str">
        <f>IF(ISNA(MATCH(458,'Transfer Engine'!$C$2:$C$1199,0)),"",INDEX('Compliance Database'!$I$2:$I$1199,MATCH(458,'Transfer Engine'!$C$2:$C$1199,0)))</f>
        <v/>
      </c>
      <c r="J467" s="6" t="str">
        <f>IF(ISNA(MATCH(458,'Transfer Engine'!$C$2:$C$1199,0)),"",INDEX('Compliance Database'!$J$2:$J$1199,MATCH(458,'Transfer Engine'!$C$2:$C$1199,0)))</f>
        <v/>
      </c>
      <c r="K467" s="7" t="str">
        <f>IF(ISNA(MATCH(458,'Transfer Engine'!$C$2:$C$1199,0)),"",INDEX('Compliance Database'!$K$2:$K$1199,MATCH(458,'Transfer Engine'!$C$2:$C$1199,0)))</f>
        <v/>
      </c>
      <c r="L467" s="7" t="str">
        <f>IF(ISNA(MATCH(458,'Transfer Engine'!$C$2:$C$1199,0)),"",INDEX('Compliance Database'!$L$2:$L$1199,MATCH(458,'Transfer Engine'!$C$2:$C$1199,0)))</f>
        <v/>
      </c>
      <c r="M467" s="7" t="str">
        <f>IF(ISNA(MATCH(458,'Transfer Engine'!$C$2:$C$1199,0)),"",INDEX('Compliance Database'!$M$2:$M$1199,MATCH(458,'Transfer Engine'!$C$2:$C$1199,0)))</f>
        <v/>
      </c>
      <c r="N467" s="7" t="str">
        <f>IF(ISNA(MATCH(458,'Transfer Engine'!$C$2:$C$1199,0)),"",INDEX('Compliance Database'!$N$2:$N$1199,MATCH(458,'Transfer Engine'!$C$2:$C$1199,0)))</f>
        <v/>
      </c>
      <c r="O467" s="7" t="str">
        <f>IF(ISNA(MATCH(458,'Transfer Engine'!$C$2:$C$1199,0)),"",INDEX('Compliance Database'!$O$2:$O$1199,MATCH(458,'Transfer Engine'!$C$2:$C$1199,0)))</f>
        <v/>
      </c>
      <c r="P467" s="6" t="str">
        <f>IF(ISNA(MATCH(458,'Transfer Engine'!$C$2:$C$1199,0)),"",HYPERLINK("#Acts!A"&amp;INDEX('Compliance Database'!$P$2:$P$1199,MATCH(458,'Transfer Engine'!$C$2:$C$1199,0)),"Go to Act"))</f>
        <v/>
      </c>
    </row>
    <row r="468" spans="1:16" ht="172.95" customHeight="1" x14ac:dyDescent="0.3">
      <c r="A468" s="6" t="str">
        <f>IF(ISNA(MATCH(459,'Transfer Engine'!$C$2:$C$1199,0)),"",INDEX('Compliance Database'!$A$2:$A$1199,MATCH(459,'Transfer Engine'!$C$2:$C$1199,0)))</f>
        <v/>
      </c>
      <c r="B468" s="6" t="str">
        <f>IF(ISNA(MATCH(459,'Transfer Engine'!$C$2:$C$1199,0)),"",INDEX('Compliance Database'!$B$2:$B$1199,MATCH(459,'Transfer Engine'!$C$2:$C$1199,0)))</f>
        <v/>
      </c>
      <c r="C468" s="6" t="str">
        <f>IF(ISNA(MATCH(459,'Transfer Engine'!$C$2:$C$1199,0)),"",INDEX('Compliance Database'!$C$2:$C$1199,MATCH(459,'Transfer Engine'!$C$2:$C$1199,0)))</f>
        <v/>
      </c>
      <c r="D468" s="7" t="str">
        <f>IF(ISNA(MATCH(459,'Transfer Engine'!$C$2:$C$1199,0)),"",INDEX('Compliance Database'!$D$2:$D$1199,MATCH(459,'Transfer Engine'!$C$2:$C$1199,0)))</f>
        <v/>
      </c>
      <c r="E468" s="6" t="str">
        <f>IF(ISNA(MATCH(459,'Transfer Engine'!$C$2:$C$1199,0)),"",INDEX('Compliance Database'!$E$2:$E$1199,MATCH(459,'Transfer Engine'!$C$2:$C$1199,0)))</f>
        <v/>
      </c>
      <c r="F468" s="6" t="str">
        <f>IF(ISNA(MATCH(459,'Transfer Engine'!$C$2:$C$1199,0)),"",INDEX('Compliance Database'!$F$2:$F$1199,MATCH(459,'Transfer Engine'!$C$2:$C$1199,0)))</f>
        <v/>
      </c>
      <c r="G468" s="6" t="str">
        <f>IF(ISNA(MATCH(459,'Transfer Engine'!$C$2:$C$1199,0)),"",INDEX('Compliance Database'!$G$2:$G$1199,MATCH(459,'Transfer Engine'!$C$2:$C$1199,0)))</f>
        <v/>
      </c>
      <c r="H468" s="7" t="str">
        <f>IF(ISNA(MATCH(459,'Transfer Engine'!$C$2:$C$1199,0)),"",INDEX('Compliance Database'!$H$2:$H$1199,MATCH(459,'Transfer Engine'!$C$2:$C$1199,0)))</f>
        <v/>
      </c>
      <c r="I468" s="7" t="str">
        <f>IF(ISNA(MATCH(459,'Transfer Engine'!$C$2:$C$1199,0)),"",INDEX('Compliance Database'!$I$2:$I$1199,MATCH(459,'Transfer Engine'!$C$2:$C$1199,0)))</f>
        <v/>
      </c>
      <c r="J468" s="6" t="str">
        <f>IF(ISNA(MATCH(459,'Transfer Engine'!$C$2:$C$1199,0)),"",INDEX('Compliance Database'!$J$2:$J$1199,MATCH(459,'Transfer Engine'!$C$2:$C$1199,0)))</f>
        <v/>
      </c>
      <c r="K468" s="7" t="str">
        <f>IF(ISNA(MATCH(459,'Transfer Engine'!$C$2:$C$1199,0)),"",INDEX('Compliance Database'!$K$2:$K$1199,MATCH(459,'Transfer Engine'!$C$2:$C$1199,0)))</f>
        <v/>
      </c>
      <c r="L468" s="7" t="str">
        <f>IF(ISNA(MATCH(459,'Transfer Engine'!$C$2:$C$1199,0)),"",INDEX('Compliance Database'!$L$2:$L$1199,MATCH(459,'Transfer Engine'!$C$2:$C$1199,0)))</f>
        <v/>
      </c>
      <c r="M468" s="7" t="str">
        <f>IF(ISNA(MATCH(459,'Transfer Engine'!$C$2:$C$1199,0)),"",INDEX('Compliance Database'!$M$2:$M$1199,MATCH(459,'Transfer Engine'!$C$2:$C$1199,0)))</f>
        <v/>
      </c>
      <c r="N468" s="7" t="str">
        <f>IF(ISNA(MATCH(459,'Transfer Engine'!$C$2:$C$1199,0)),"",INDEX('Compliance Database'!$N$2:$N$1199,MATCH(459,'Transfer Engine'!$C$2:$C$1199,0)))</f>
        <v/>
      </c>
      <c r="O468" s="7" t="str">
        <f>IF(ISNA(MATCH(459,'Transfer Engine'!$C$2:$C$1199,0)),"",INDEX('Compliance Database'!$O$2:$O$1199,MATCH(459,'Transfer Engine'!$C$2:$C$1199,0)))</f>
        <v/>
      </c>
      <c r="P468" s="6" t="str">
        <f>IF(ISNA(MATCH(459,'Transfer Engine'!$C$2:$C$1199,0)),"",HYPERLINK("#Acts!A"&amp;INDEX('Compliance Database'!$P$2:$P$1199,MATCH(459,'Transfer Engine'!$C$2:$C$1199,0)),"Go to Act"))</f>
        <v/>
      </c>
    </row>
    <row r="469" spans="1:16" ht="172.95" customHeight="1" x14ac:dyDescent="0.3">
      <c r="A469" s="6" t="str">
        <f>IF(ISNA(MATCH(460,'Transfer Engine'!$C$2:$C$1199,0)),"",INDEX('Compliance Database'!$A$2:$A$1199,MATCH(460,'Transfer Engine'!$C$2:$C$1199,0)))</f>
        <v/>
      </c>
      <c r="B469" s="6" t="str">
        <f>IF(ISNA(MATCH(460,'Transfer Engine'!$C$2:$C$1199,0)),"",INDEX('Compliance Database'!$B$2:$B$1199,MATCH(460,'Transfer Engine'!$C$2:$C$1199,0)))</f>
        <v/>
      </c>
      <c r="C469" s="6" t="str">
        <f>IF(ISNA(MATCH(460,'Transfer Engine'!$C$2:$C$1199,0)),"",INDEX('Compliance Database'!$C$2:$C$1199,MATCH(460,'Transfer Engine'!$C$2:$C$1199,0)))</f>
        <v/>
      </c>
      <c r="D469" s="7" t="str">
        <f>IF(ISNA(MATCH(460,'Transfer Engine'!$C$2:$C$1199,0)),"",INDEX('Compliance Database'!$D$2:$D$1199,MATCH(460,'Transfer Engine'!$C$2:$C$1199,0)))</f>
        <v/>
      </c>
      <c r="E469" s="6" t="str">
        <f>IF(ISNA(MATCH(460,'Transfer Engine'!$C$2:$C$1199,0)),"",INDEX('Compliance Database'!$E$2:$E$1199,MATCH(460,'Transfer Engine'!$C$2:$C$1199,0)))</f>
        <v/>
      </c>
      <c r="F469" s="6" t="str">
        <f>IF(ISNA(MATCH(460,'Transfer Engine'!$C$2:$C$1199,0)),"",INDEX('Compliance Database'!$F$2:$F$1199,MATCH(460,'Transfer Engine'!$C$2:$C$1199,0)))</f>
        <v/>
      </c>
      <c r="G469" s="6" t="str">
        <f>IF(ISNA(MATCH(460,'Transfer Engine'!$C$2:$C$1199,0)),"",INDEX('Compliance Database'!$G$2:$G$1199,MATCH(460,'Transfer Engine'!$C$2:$C$1199,0)))</f>
        <v/>
      </c>
      <c r="H469" s="7" t="str">
        <f>IF(ISNA(MATCH(460,'Transfer Engine'!$C$2:$C$1199,0)),"",INDEX('Compliance Database'!$H$2:$H$1199,MATCH(460,'Transfer Engine'!$C$2:$C$1199,0)))</f>
        <v/>
      </c>
      <c r="I469" s="7" t="str">
        <f>IF(ISNA(MATCH(460,'Transfer Engine'!$C$2:$C$1199,0)),"",INDEX('Compliance Database'!$I$2:$I$1199,MATCH(460,'Transfer Engine'!$C$2:$C$1199,0)))</f>
        <v/>
      </c>
      <c r="J469" s="6" t="str">
        <f>IF(ISNA(MATCH(460,'Transfer Engine'!$C$2:$C$1199,0)),"",INDEX('Compliance Database'!$J$2:$J$1199,MATCH(460,'Transfer Engine'!$C$2:$C$1199,0)))</f>
        <v/>
      </c>
      <c r="K469" s="7" t="str">
        <f>IF(ISNA(MATCH(460,'Transfer Engine'!$C$2:$C$1199,0)),"",INDEX('Compliance Database'!$K$2:$K$1199,MATCH(460,'Transfer Engine'!$C$2:$C$1199,0)))</f>
        <v/>
      </c>
      <c r="L469" s="7" t="str">
        <f>IF(ISNA(MATCH(460,'Transfer Engine'!$C$2:$C$1199,0)),"",INDEX('Compliance Database'!$L$2:$L$1199,MATCH(460,'Transfer Engine'!$C$2:$C$1199,0)))</f>
        <v/>
      </c>
      <c r="M469" s="7" t="str">
        <f>IF(ISNA(MATCH(460,'Transfer Engine'!$C$2:$C$1199,0)),"",INDEX('Compliance Database'!$M$2:$M$1199,MATCH(460,'Transfer Engine'!$C$2:$C$1199,0)))</f>
        <v/>
      </c>
      <c r="N469" s="7" t="str">
        <f>IF(ISNA(MATCH(460,'Transfer Engine'!$C$2:$C$1199,0)),"",INDEX('Compliance Database'!$N$2:$N$1199,MATCH(460,'Transfer Engine'!$C$2:$C$1199,0)))</f>
        <v/>
      </c>
      <c r="O469" s="7" t="str">
        <f>IF(ISNA(MATCH(460,'Transfer Engine'!$C$2:$C$1199,0)),"",INDEX('Compliance Database'!$O$2:$O$1199,MATCH(460,'Transfer Engine'!$C$2:$C$1199,0)))</f>
        <v/>
      </c>
      <c r="P469" s="6" t="str">
        <f>IF(ISNA(MATCH(460,'Transfer Engine'!$C$2:$C$1199,0)),"",HYPERLINK("#Acts!A"&amp;INDEX('Compliance Database'!$P$2:$P$1199,MATCH(460,'Transfer Engine'!$C$2:$C$1199,0)),"Go to Act"))</f>
        <v/>
      </c>
    </row>
    <row r="470" spans="1:16" ht="172.95" customHeight="1" x14ac:dyDescent="0.3">
      <c r="A470" s="6" t="str">
        <f>IF(ISNA(MATCH(461,'Transfer Engine'!$C$2:$C$1199,0)),"",INDEX('Compliance Database'!$A$2:$A$1199,MATCH(461,'Transfer Engine'!$C$2:$C$1199,0)))</f>
        <v/>
      </c>
      <c r="B470" s="6" t="str">
        <f>IF(ISNA(MATCH(461,'Transfer Engine'!$C$2:$C$1199,0)),"",INDEX('Compliance Database'!$B$2:$B$1199,MATCH(461,'Transfer Engine'!$C$2:$C$1199,0)))</f>
        <v/>
      </c>
      <c r="C470" s="6" t="str">
        <f>IF(ISNA(MATCH(461,'Transfer Engine'!$C$2:$C$1199,0)),"",INDEX('Compliance Database'!$C$2:$C$1199,MATCH(461,'Transfer Engine'!$C$2:$C$1199,0)))</f>
        <v/>
      </c>
      <c r="D470" s="7" t="str">
        <f>IF(ISNA(MATCH(461,'Transfer Engine'!$C$2:$C$1199,0)),"",INDEX('Compliance Database'!$D$2:$D$1199,MATCH(461,'Transfer Engine'!$C$2:$C$1199,0)))</f>
        <v/>
      </c>
      <c r="E470" s="6" t="str">
        <f>IF(ISNA(MATCH(461,'Transfer Engine'!$C$2:$C$1199,0)),"",INDEX('Compliance Database'!$E$2:$E$1199,MATCH(461,'Transfer Engine'!$C$2:$C$1199,0)))</f>
        <v/>
      </c>
      <c r="F470" s="6" t="str">
        <f>IF(ISNA(MATCH(461,'Transfer Engine'!$C$2:$C$1199,0)),"",INDEX('Compliance Database'!$F$2:$F$1199,MATCH(461,'Transfer Engine'!$C$2:$C$1199,0)))</f>
        <v/>
      </c>
      <c r="G470" s="6" t="str">
        <f>IF(ISNA(MATCH(461,'Transfer Engine'!$C$2:$C$1199,0)),"",INDEX('Compliance Database'!$G$2:$G$1199,MATCH(461,'Transfer Engine'!$C$2:$C$1199,0)))</f>
        <v/>
      </c>
      <c r="H470" s="7" t="str">
        <f>IF(ISNA(MATCH(461,'Transfer Engine'!$C$2:$C$1199,0)),"",INDEX('Compliance Database'!$H$2:$H$1199,MATCH(461,'Transfer Engine'!$C$2:$C$1199,0)))</f>
        <v/>
      </c>
      <c r="I470" s="7" t="str">
        <f>IF(ISNA(MATCH(461,'Transfer Engine'!$C$2:$C$1199,0)),"",INDEX('Compliance Database'!$I$2:$I$1199,MATCH(461,'Transfer Engine'!$C$2:$C$1199,0)))</f>
        <v/>
      </c>
      <c r="J470" s="6" t="str">
        <f>IF(ISNA(MATCH(461,'Transfer Engine'!$C$2:$C$1199,0)),"",INDEX('Compliance Database'!$J$2:$J$1199,MATCH(461,'Transfer Engine'!$C$2:$C$1199,0)))</f>
        <v/>
      </c>
      <c r="K470" s="7" t="str">
        <f>IF(ISNA(MATCH(461,'Transfer Engine'!$C$2:$C$1199,0)),"",INDEX('Compliance Database'!$K$2:$K$1199,MATCH(461,'Transfer Engine'!$C$2:$C$1199,0)))</f>
        <v/>
      </c>
      <c r="L470" s="7" t="str">
        <f>IF(ISNA(MATCH(461,'Transfer Engine'!$C$2:$C$1199,0)),"",INDEX('Compliance Database'!$L$2:$L$1199,MATCH(461,'Transfer Engine'!$C$2:$C$1199,0)))</f>
        <v/>
      </c>
      <c r="M470" s="7" t="str">
        <f>IF(ISNA(MATCH(461,'Transfer Engine'!$C$2:$C$1199,0)),"",INDEX('Compliance Database'!$M$2:$M$1199,MATCH(461,'Transfer Engine'!$C$2:$C$1199,0)))</f>
        <v/>
      </c>
      <c r="N470" s="7" t="str">
        <f>IF(ISNA(MATCH(461,'Transfer Engine'!$C$2:$C$1199,0)),"",INDEX('Compliance Database'!$N$2:$N$1199,MATCH(461,'Transfer Engine'!$C$2:$C$1199,0)))</f>
        <v/>
      </c>
      <c r="O470" s="7" t="str">
        <f>IF(ISNA(MATCH(461,'Transfer Engine'!$C$2:$C$1199,0)),"",INDEX('Compliance Database'!$O$2:$O$1199,MATCH(461,'Transfer Engine'!$C$2:$C$1199,0)))</f>
        <v/>
      </c>
      <c r="P470" s="6" t="str">
        <f>IF(ISNA(MATCH(461,'Transfer Engine'!$C$2:$C$1199,0)),"",HYPERLINK("#Acts!A"&amp;INDEX('Compliance Database'!$P$2:$P$1199,MATCH(461,'Transfer Engine'!$C$2:$C$1199,0)),"Go to Act"))</f>
        <v/>
      </c>
    </row>
    <row r="471" spans="1:16" ht="172.95" customHeight="1" x14ac:dyDescent="0.3">
      <c r="A471" s="6" t="str">
        <f>IF(ISNA(MATCH(462,'Transfer Engine'!$C$2:$C$1199,0)),"",INDEX('Compliance Database'!$A$2:$A$1199,MATCH(462,'Transfer Engine'!$C$2:$C$1199,0)))</f>
        <v/>
      </c>
      <c r="B471" s="6" t="str">
        <f>IF(ISNA(MATCH(462,'Transfer Engine'!$C$2:$C$1199,0)),"",INDEX('Compliance Database'!$B$2:$B$1199,MATCH(462,'Transfer Engine'!$C$2:$C$1199,0)))</f>
        <v/>
      </c>
      <c r="C471" s="6" t="str">
        <f>IF(ISNA(MATCH(462,'Transfer Engine'!$C$2:$C$1199,0)),"",INDEX('Compliance Database'!$C$2:$C$1199,MATCH(462,'Transfer Engine'!$C$2:$C$1199,0)))</f>
        <v/>
      </c>
      <c r="D471" s="7" t="str">
        <f>IF(ISNA(MATCH(462,'Transfer Engine'!$C$2:$C$1199,0)),"",INDEX('Compliance Database'!$D$2:$D$1199,MATCH(462,'Transfer Engine'!$C$2:$C$1199,0)))</f>
        <v/>
      </c>
      <c r="E471" s="6" t="str">
        <f>IF(ISNA(MATCH(462,'Transfer Engine'!$C$2:$C$1199,0)),"",INDEX('Compliance Database'!$E$2:$E$1199,MATCH(462,'Transfer Engine'!$C$2:$C$1199,0)))</f>
        <v/>
      </c>
      <c r="F471" s="6" t="str">
        <f>IF(ISNA(MATCH(462,'Transfer Engine'!$C$2:$C$1199,0)),"",INDEX('Compliance Database'!$F$2:$F$1199,MATCH(462,'Transfer Engine'!$C$2:$C$1199,0)))</f>
        <v/>
      </c>
      <c r="G471" s="6" t="str">
        <f>IF(ISNA(MATCH(462,'Transfer Engine'!$C$2:$C$1199,0)),"",INDEX('Compliance Database'!$G$2:$G$1199,MATCH(462,'Transfer Engine'!$C$2:$C$1199,0)))</f>
        <v/>
      </c>
      <c r="H471" s="7" t="str">
        <f>IF(ISNA(MATCH(462,'Transfer Engine'!$C$2:$C$1199,0)),"",INDEX('Compliance Database'!$H$2:$H$1199,MATCH(462,'Transfer Engine'!$C$2:$C$1199,0)))</f>
        <v/>
      </c>
      <c r="I471" s="7" t="str">
        <f>IF(ISNA(MATCH(462,'Transfer Engine'!$C$2:$C$1199,0)),"",INDEX('Compliance Database'!$I$2:$I$1199,MATCH(462,'Transfer Engine'!$C$2:$C$1199,0)))</f>
        <v/>
      </c>
      <c r="J471" s="6" t="str">
        <f>IF(ISNA(MATCH(462,'Transfer Engine'!$C$2:$C$1199,0)),"",INDEX('Compliance Database'!$J$2:$J$1199,MATCH(462,'Transfer Engine'!$C$2:$C$1199,0)))</f>
        <v/>
      </c>
      <c r="K471" s="7" t="str">
        <f>IF(ISNA(MATCH(462,'Transfer Engine'!$C$2:$C$1199,0)),"",INDEX('Compliance Database'!$K$2:$K$1199,MATCH(462,'Transfer Engine'!$C$2:$C$1199,0)))</f>
        <v/>
      </c>
      <c r="L471" s="7" t="str">
        <f>IF(ISNA(MATCH(462,'Transfer Engine'!$C$2:$C$1199,0)),"",INDEX('Compliance Database'!$L$2:$L$1199,MATCH(462,'Transfer Engine'!$C$2:$C$1199,0)))</f>
        <v/>
      </c>
      <c r="M471" s="7" t="str">
        <f>IF(ISNA(MATCH(462,'Transfer Engine'!$C$2:$C$1199,0)),"",INDEX('Compliance Database'!$M$2:$M$1199,MATCH(462,'Transfer Engine'!$C$2:$C$1199,0)))</f>
        <v/>
      </c>
      <c r="N471" s="7" t="str">
        <f>IF(ISNA(MATCH(462,'Transfer Engine'!$C$2:$C$1199,0)),"",INDEX('Compliance Database'!$N$2:$N$1199,MATCH(462,'Transfer Engine'!$C$2:$C$1199,0)))</f>
        <v/>
      </c>
      <c r="O471" s="7" t="str">
        <f>IF(ISNA(MATCH(462,'Transfer Engine'!$C$2:$C$1199,0)),"",INDEX('Compliance Database'!$O$2:$O$1199,MATCH(462,'Transfer Engine'!$C$2:$C$1199,0)))</f>
        <v/>
      </c>
      <c r="P471" s="6" t="str">
        <f>IF(ISNA(MATCH(462,'Transfer Engine'!$C$2:$C$1199,0)),"",HYPERLINK("#Acts!A"&amp;INDEX('Compliance Database'!$P$2:$P$1199,MATCH(462,'Transfer Engine'!$C$2:$C$1199,0)),"Go to Act"))</f>
        <v/>
      </c>
    </row>
    <row r="472" spans="1:16" ht="172.95" customHeight="1" x14ac:dyDescent="0.3">
      <c r="A472" s="6" t="str">
        <f>IF(ISNA(MATCH(463,'Transfer Engine'!$C$2:$C$1199,0)),"",INDEX('Compliance Database'!$A$2:$A$1199,MATCH(463,'Transfer Engine'!$C$2:$C$1199,0)))</f>
        <v/>
      </c>
      <c r="B472" s="6" t="str">
        <f>IF(ISNA(MATCH(463,'Transfer Engine'!$C$2:$C$1199,0)),"",INDEX('Compliance Database'!$B$2:$B$1199,MATCH(463,'Transfer Engine'!$C$2:$C$1199,0)))</f>
        <v/>
      </c>
      <c r="C472" s="6" t="str">
        <f>IF(ISNA(MATCH(463,'Transfer Engine'!$C$2:$C$1199,0)),"",INDEX('Compliance Database'!$C$2:$C$1199,MATCH(463,'Transfer Engine'!$C$2:$C$1199,0)))</f>
        <v/>
      </c>
      <c r="D472" s="7" t="str">
        <f>IF(ISNA(MATCH(463,'Transfer Engine'!$C$2:$C$1199,0)),"",INDEX('Compliance Database'!$D$2:$D$1199,MATCH(463,'Transfer Engine'!$C$2:$C$1199,0)))</f>
        <v/>
      </c>
      <c r="E472" s="6" t="str">
        <f>IF(ISNA(MATCH(463,'Transfer Engine'!$C$2:$C$1199,0)),"",INDEX('Compliance Database'!$E$2:$E$1199,MATCH(463,'Transfer Engine'!$C$2:$C$1199,0)))</f>
        <v/>
      </c>
      <c r="F472" s="6" t="str">
        <f>IF(ISNA(MATCH(463,'Transfer Engine'!$C$2:$C$1199,0)),"",INDEX('Compliance Database'!$F$2:$F$1199,MATCH(463,'Transfer Engine'!$C$2:$C$1199,0)))</f>
        <v/>
      </c>
      <c r="G472" s="6" t="str">
        <f>IF(ISNA(MATCH(463,'Transfer Engine'!$C$2:$C$1199,0)),"",INDEX('Compliance Database'!$G$2:$G$1199,MATCH(463,'Transfer Engine'!$C$2:$C$1199,0)))</f>
        <v/>
      </c>
      <c r="H472" s="7" t="str">
        <f>IF(ISNA(MATCH(463,'Transfer Engine'!$C$2:$C$1199,0)),"",INDEX('Compliance Database'!$H$2:$H$1199,MATCH(463,'Transfer Engine'!$C$2:$C$1199,0)))</f>
        <v/>
      </c>
      <c r="I472" s="7" t="str">
        <f>IF(ISNA(MATCH(463,'Transfer Engine'!$C$2:$C$1199,0)),"",INDEX('Compliance Database'!$I$2:$I$1199,MATCH(463,'Transfer Engine'!$C$2:$C$1199,0)))</f>
        <v/>
      </c>
      <c r="J472" s="6" t="str">
        <f>IF(ISNA(MATCH(463,'Transfer Engine'!$C$2:$C$1199,0)),"",INDEX('Compliance Database'!$J$2:$J$1199,MATCH(463,'Transfer Engine'!$C$2:$C$1199,0)))</f>
        <v/>
      </c>
      <c r="K472" s="7" t="str">
        <f>IF(ISNA(MATCH(463,'Transfer Engine'!$C$2:$C$1199,0)),"",INDEX('Compliance Database'!$K$2:$K$1199,MATCH(463,'Transfer Engine'!$C$2:$C$1199,0)))</f>
        <v/>
      </c>
      <c r="L472" s="7" t="str">
        <f>IF(ISNA(MATCH(463,'Transfer Engine'!$C$2:$C$1199,0)),"",INDEX('Compliance Database'!$L$2:$L$1199,MATCH(463,'Transfer Engine'!$C$2:$C$1199,0)))</f>
        <v/>
      </c>
      <c r="M472" s="7" t="str">
        <f>IF(ISNA(MATCH(463,'Transfer Engine'!$C$2:$C$1199,0)),"",INDEX('Compliance Database'!$M$2:$M$1199,MATCH(463,'Transfer Engine'!$C$2:$C$1199,0)))</f>
        <v/>
      </c>
      <c r="N472" s="7" t="str">
        <f>IF(ISNA(MATCH(463,'Transfer Engine'!$C$2:$C$1199,0)),"",INDEX('Compliance Database'!$N$2:$N$1199,MATCH(463,'Transfer Engine'!$C$2:$C$1199,0)))</f>
        <v/>
      </c>
      <c r="O472" s="7" t="str">
        <f>IF(ISNA(MATCH(463,'Transfer Engine'!$C$2:$C$1199,0)),"",INDEX('Compliance Database'!$O$2:$O$1199,MATCH(463,'Transfer Engine'!$C$2:$C$1199,0)))</f>
        <v/>
      </c>
      <c r="P472" s="6" t="str">
        <f>IF(ISNA(MATCH(463,'Transfer Engine'!$C$2:$C$1199,0)),"",HYPERLINK("#Acts!A"&amp;INDEX('Compliance Database'!$P$2:$P$1199,MATCH(463,'Transfer Engine'!$C$2:$C$1199,0)),"Go to Act"))</f>
        <v/>
      </c>
    </row>
    <row r="473" spans="1:16" ht="172.95" customHeight="1" x14ac:dyDescent="0.3">
      <c r="A473" s="6" t="str">
        <f>IF(ISNA(MATCH(464,'Transfer Engine'!$C$2:$C$1199,0)),"",INDEX('Compliance Database'!$A$2:$A$1199,MATCH(464,'Transfer Engine'!$C$2:$C$1199,0)))</f>
        <v/>
      </c>
      <c r="B473" s="6" t="str">
        <f>IF(ISNA(MATCH(464,'Transfer Engine'!$C$2:$C$1199,0)),"",INDEX('Compliance Database'!$B$2:$B$1199,MATCH(464,'Transfer Engine'!$C$2:$C$1199,0)))</f>
        <v/>
      </c>
      <c r="C473" s="6" t="str">
        <f>IF(ISNA(MATCH(464,'Transfer Engine'!$C$2:$C$1199,0)),"",INDEX('Compliance Database'!$C$2:$C$1199,MATCH(464,'Transfer Engine'!$C$2:$C$1199,0)))</f>
        <v/>
      </c>
      <c r="D473" s="7" t="str">
        <f>IF(ISNA(MATCH(464,'Transfer Engine'!$C$2:$C$1199,0)),"",INDEX('Compliance Database'!$D$2:$D$1199,MATCH(464,'Transfer Engine'!$C$2:$C$1199,0)))</f>
        <v/>
      </c>
      <c r="E473" s="6" t="str">
        <f>IF(ISNA(MATCH(464,'Transfer Engine'!$C$2:$C$1199,0)),"",INDEX('Compliance Database'!$E$2:$E$1199,MATCH(464,'Transfer Engine'!$C$2:$C$1199,0)))</f>
        <v/>
      </c>
      <c r="F473" s="6" t="str">
        <f>IF(ISNA(MATCH(464,'Transfer Engine'!$C$2:$C$1199,0)),"",INDEX('Compliance Database'!$F$2:$F$1199,MATCH(464,'Transfer Engine'!$C$2:$C$1199,0)))</f>
        <v/>
      </c>
      <c r="G473" s="6" t="str">
        <f>IF(ISNA(MATCH(464,'Transfer Engine'!$C$2:$C$1199,0)),"",INDEX('Compliance Database'!$G$2:$G$1199,MATCH(464,'Transfer Engine'!$C$2:$C$1199,0)))</f>
        <v/>
      </c>
      <c r="H473" s="7" t="str">
        <f>IF(ISNA(MATCH(464,'Transfer Engine'!$C$2:$C$1199,0)),"",INDEX('Compliance Database'!$H$2:$H$1199,MATCH(464,'Transfer Engine'!$C$2:$C$1199,0)))</f>
        <v/>
      </c>
      <c r="I473" s="7" t="str">
        <f>IF(ISNA(MATCH(464,'Transfer Engine'!$C$2:$C$1199,0)),"",INDEX('Compliance Database'!$I$2:$I$1199,MATCH(464,'Transfer Engine'!$C$2:$C$1199,0)))</f>
        <v/>
      </c>
      <c r="J473" s="6" t="str">
        <f>IF(ISNA(MATCH(464,'Transfer Engine'!$C$2:$C$1199,0)),"",INDEX('Compliance Database'!$J$2:$J$1199,MATCH(464,'Transfer Engine'!$C$2:$C$1199,0)))</f>
        <v/>
      </c>
      <c r="K473" s="7" t="str">
        <f>IF(ISNA(MATCH(464,'Transfer Engine'!$C$2:$C$1199,0)),"",INDEX('Compliance Database'!$K$2:$K$1199,MATCH(464,'Transfer Engine'!$C$2:$C$1199,0)))</f>
        <v/>
      </c>
      <c r="L473" s="7" t="str">
        <f>IF(ISNA(MATCH(464,'Transfer Engine'!$C$2:$C$1199,0)),"",INDEX('Compliance Database'!$L$2:$L$1199,MATCH(464,'Transfer Engine'!$C$2:$C$1199,0)))</f>
        <v/>
      </c>
      <c r="M473" s="7" t="str">
        <f>IF(ISNA(MATCH(464,'Transfer Engine'!$C$2:$C$1199,0)),"",INDEX('Compliance Database'!$M$2:$M$1199,MATCH(464,'Transfer Engine'!$C$2:$C$1199,0)))</f>
        <v/>
      </c>
      <c r="N473" s="7" t="str">
        <f>IF(ISNA(MATCH(464,'Transfer Engine'!$C$2:$C$1199,0)),"",INDEX('Compliance Database'!$N$2:$N$1199,MATCH(464,'Transfer Engine'!$C$2:$C$1199,0)))</f>
        <v/>
      </c>
      <c r="O473" s="7" t="str">
        <f>IF(ISNA(MATCH(464,'Transfer Engine'!$C$2:$C$1199,0)),"",INDEX('Compliance Database'!$O$2:$O$1199,MATCH(464,'Transfer Engine'!$C$2:$C$1199,0)))</f>
        <v/>
      </c>
      <c r="P473" s="6" t="str">
        <f>IF(ISNA(MATCH(464,'Transfer Engine'!$C$2:$C$1199,0)),"",HYPERLINK("#Acts!A"&amp;INDEX('Compliance Database'!$P$2:$P$1199,MATCH(464,'Transfer Engine'!$C$2:$C$1199,0)),"Go to Act"))</f>
        <v/>
      </c>
    </row>
    <row r="474" spans="1:16" ht="172.95" customHeight="1" x14ac:dyDescent="0.3">
      <c r="A474" s="6" t="str">
        <f>IF(ISNA(MATCH(465,'Transfer Engine'!$C$2:$C$1199,0)),"",INDEX('Compliance Database'!$A$2:$A$1199,MATCH(465,'Transfer Engine'!$C$2:$C$1199,0)))</f>
        <v/>
      </c>
      <c r="B474" s="6" t="str">
        <f>IF(ISNA(MATCH(465,'Transfer Engine'!$C$2:$C$1199,0)),"",INDEX('Compliance Database'!$B$2:$B$1199,MATCH(465,'Transfer Engine'!$C$2:$C$1199,0)))</f>
        <v/>
      </c>
      <c r="C474" s="6" t="str">
        <f>IF(ISNA(MATCH(465,'Transfer Engine'!$C$2:$C$1199,0)),"",INDEX('Compliance Database'!$C$2:$C$1199,MATCH(465,'Transfer Engine'!$C$2:$C$1199,0)))</f>
        <v/>
      </c>
      <c r="D474" s="7" t="str">
        <f>IF(ISNA(MATCH(465,'Transfer Engine'!$C$2:$C$1199,0)),"",INDEX('Compliance Database'!$D$2:$D$1199,MATCH(465,'Transfer Engine'!$C$2:$C$1199,0)))</f>
        <v/>
      </c>
      <c r="E474" s="6" t="str">
        <f>IF(ISNA(MATCH(465,'Transfer Engine'!$C$2:$C$1199,0)),"",INDEX('Compliance Database'!$E$2:$E$1199,MATCH(465,'Transfer Engine'!$C$2:$C$1199,0)))</f>
        <v/>
      </c>
      <c r="F474" s="6" t="str">
        <f>IF(ISNA(MATCH(465,'Transfer Engine'!$C$2:$C$1199,0)),"",INDEX('Compliance Database'!$F$2:$F$1199,MATCH(465,'Transfer Engine'!$C$2:$C$1199,0)))</f>
        <v/>
      </c>
      <c r="G474" s="6" t="str">
        <f>IF(ISNA(MATCH(465,'Transfer Engine'!$C$2:$C$1199,0)),"",INDEX('Compliance Database'!$G$2:$G$1199,MATCH(465,'Transfer Engine'!$C$2:$C$1199,0)))</f>
        <v/>
      </c>
      <c r="H474" s="7" t="str">
        <f>IF(ISNA(MATCH(465,'Transfer Engine'!$C$2:$C$1199,0)),"",INDEX('Compliance Database'!$H$2:$H$1199,MATCH(465,'Transfer Engine'!$C$2:$C$1199,0)))</f>
        <v/>
      </c>
      <c r="I474" s="7" t="str">
        <f>IF(ISNA(MATCH(465,'Transfer Engine'!$C$2:$C$1199,0)),"",INDEX('Compliance Database'!$I$2:$I$1199,MATCH(465,'Transfer Engine'!$C$2:$C$1199,0)))</f>
        <v/>
      </c>
      <c r="J474" s="6" t="str">
        <f>IF(ISNA(MATCH(465,'Transfer Engine'!$C$2:$C$1199,0)),"",INDEX('Compliance Database'!$J$2:$J$1199,MATCH(465,'Transfer Engine'!$C$2:$C$1199,0)))</f>
        <v/>
      </c>
      <c r="K474" s="7" t="str">
        <f>IF(ISNA(MATCH(465,'Transfer Engine'!$C$2:$C$1199,0)),"",INDEX('Compliance Database'!$K$2:$K$1199,MATCH(465,'Transfer Engine'!$C$2:$C$1199,0)))</f>
        <v/>
      </c>
      <c r="L474" s="7" t="str">
        <f>IF(ISNA(MATCH(465,'Transfer Engine'!$C$2:$C$1199,0)),"",INDEX('Compliance Database'!$L$2:$L$1199,MATCH(465,'Transfer Engine'!$C$2:$C$1199,0)))</f>
        <v/>
      </c>
      <c r="M474" s="7" t="str">
        <f>IF(ISNA(MATCH(465,'Transfer Engine'!$C$2:$C$1199,0)),"",INDEX('Compliance Database'!$M$2:$M$1199,MATCH(465,'Transfer Engine'!$C$2:$C$1199,0)))</f>
        <v/>
      </c>
      <c r="N474" s="7" t="str">
        <f>IF(ISNA(MATCH(465,'Transfer Engine'!$C$2:$C$1199,0)),"",INDEX('Compliance Database'!$N$2:$N$1199,MATCH(465,'Transfer Engine'!$C$2:$C$1199,0)))</f>
        <v/>
      </c>
      <c r="O474" s="7" t="str">
        <f>IF(ISNA(MATCH(465,'Transfer Engine'!$C$2:$C$1199,0)),"",INDEX('Compliance Database'!$O$2:$O$1199,MATCH(465,'Transfer Engine'!$C$2:$C$1199,0)))</f>
        <v/>
      </c>
      <c r="P474" s="6" t="str">
        <f>IF(ISNA(MATCH(465,'Transfer Engine'!$C$2:$C$1199,0)),"",HYPERLINK("#Acts!A"&amp;INDEX('Compliance Database'!$P$2:$P$1199,MATCH(465,'Transfer Engine'!$C$2:$C$1199,0)),"Go to Act"))</f>
        <v/>
      </c>
    </row>
    <row r="475" spans="1:16" ht="172.95" customHeight="1" x14ac:dyDescent="0.3">
      <c r="A475" s="6" t="str">
        <f>IF(ISNA(MATCH(466,'Transfer Engine'!$C$2:$C$1199,0)),"",INDEX('Compliance Database'!$A$2:$A$1199,MATCH(466,'Transfer Engine'!$C$2:$C$1199,0)))</f>
        <v/>
      </c>
      <c r="B475" s="6" t="str">
        <f>IF(ISNA(MATCH(466,'Transfer Engine'!$C$2:$C$1199,0)),"",INDEX('Compliance Database'!$B$2:$B$1199,MATCH(466,'Transfer Engine'!$C$2:$C$1199,0)))</f>
        <v/>
      </c>
      <c r="C475" s="6" t="str">
        <f>IF(ISNA(MATCH(466,'Transfer Engine'!$C$2:$C$1199,0)),"",INDEX('Compliance Database'!$C$2:$C$1199,MATCH(466,'Transfer Engine'!$C$2:$C$1199,0)))</f>
        <v/>
      </c>
      <c r="D475" s="7" t="str">
        <f>IF(ISNA(MATCH(466,'Transfer Engine'!$C$2:$C$1199,0)),"",INDEX('Compliance Database'!$D$2:$D$1199,MATCH(466,'Transfer Engine'!$C$2:$C$1199,0)))</f>
        <v/>
      </c>
      <c r="E475" s="6" t="str">
        <f>IF(ISNA(MATCH(466,'Transfer Engine'!$C$2:$C$1199,0)),"",INDEX('Compliance Database'!$E$2:$E$1199,MATCH(466,'Transfer Engine'!$C$2:$C$1199,0)))</f>
        <v/>
      </c>
      <c r="F475" s="6" t="str">
        <f>IF(ISNA(MATCH(466,'Transfer Engine'!$C$2:$C$1199,0)),"",INDEX('Compliance Database'!$F$2:$F$1199,MATCH(466,'Transfer Engine'!$C$2:$C$1199,0)))</f>
        <v/>
      </c>
      <c r="G475" s="6" t="str">
        <f>IF(ISNA(MATCH(466,'Transfer Engine'!$C$2:$C$1199,0)),"",INDEX('Compliance Database'!$G$2:$G$1199,MATCH(466,'Transfer Engine'!$C$2:$C$1199,0)))</f>
        <v/>
      </c>
      <c r="H475" s="7" t="str">
        <f>IF(ISNA(MATCH(466,'Transfer Engine'!$C$2:$C$1199,0)),"",INDEX('Compliance Database'!$H$2:$H$1199,MATCH(466,'Transfer Engine'!$C$2:$C$1199,0)))</f>
        <v/>
      </c>
      <c r="I475" s="7" t="str">
        <f>IF(ISNA(MATCH(466,'Transfer Engine'!$C$2:$C$1199,0)),"",INDEX('Compliance Database'!$I$2:$I$1199,MATCH(466,'Transfer Engine'!$C$2:$C$1199,0)))</f>
        <v/>
      </c>
      <c r="J475" s="6" t="str">
        <f>IF(ISNA(MATCH(466,'Transfer Engine'!$C$2:$C$1199,0)),"",INDEX('Compliance Database'!$J$2:$J$1199,MATCH(466,'Transfer Engine'!$C$2:$C$1199,0)))</f>
        <v/>
      </c>
      <c r="K475" s="7" t="str">
        <f>IF(ISNA(MATCH(466,'Transfer Engine'!$C$2:$C$1199,0)),"",INDEX('Compliance Database'!$K$2:$K$1199,MATCH(466,'Transfer Engine'!$C$2:$C$1199,0)))</f>
        <v/>
      </c>
      <c r="L475" s="7" t="str">
        <f>IF(ISNA(MATCH(466,'Transfer Engine'!$C$2:$C$1199,0)),"",INDEX('Compliance Database'!$L$2:$L$1199,MATCH(466,'Transfer Engine'!$C$2:$C$1199,0)))</f>
        <v/>
      </c>
      <c r="M475" s="7" t="str">
        <f>IF(ISNA(MATCH(466,'Transfer Engine'!$C$2:$C$1199,0)),"",INDEX('Compliance Database'!$M$2:$M$1199,MATCH(466,'Transfer Engine'!$C$2:$C$1199,0)))</f>
        <v/>
      </c>
      <c r="N475" s="7" t="str">
        <f>IF(ISNA(MATCH(466,'Transfer Engine'!$C$2:$C$1199,0)),"",INDEX('Compliance Database'!$N$2:$N$1199,MATCH(466,'Transfer Engine'!$C$2:$C$1199,0)))</f>
        <v/>
      </c>
      <c r="O475" s="7" t="str">
        <f>IF(ISNA(MATCH(466,'Transfer Engine'!$C$2:$C$1199,0)),"",INDEX('Compliance Database'!$O$2:$O$1199,MATCH(466,'Transfer Engine'!$C$2:$C$1199,0)))</f>
        <v/>
      </c>
      <c r="P475" s="6" t="str">
        <f>IF(ISNA(MATCH(466,'Transfer Engine'!$C$2:$C$1199,0)),"",HYPERLINK("#Acts!A"&amp;INDEX('Compliance Database'!$P$2:$P$1199,MATCH(466,'Transfer Engine'!$C$2:$C$1199,0)),"Go to Act"))</f>
        <v/>
      </c>
    </row>
    <row r="476" spans="1:16" ht="172.95" customHeight="1" x14ac:dyDescent="0.3">
      <c r="A476" s="6" t="str">
        <f>IF(ISNA(MATCH(467,'Transfer Engine'!$C$2:$C$1199,0)),"",INDEX('Compliance Database'!$A$2:$A$1199,MATCH(467,'Transfer Engine'!$C$2:$C$1199,0)))</f>
        <v/>
      </c>
      <c r="B476" s="6" t="str">
        <f>IF(ISNA(MATCH(467,'Transfer Engine'!$C$2:$C$1199,0)),"",INDEX('Compliance Database'!$B$2:$B$1199,MATCH(467,'Transfer Engine'!$C$2:$C$1199,0)))</f>
        <v/>
      </c>
      <c r="C476" s="6" t="str">
        <f>IF(ISNA(MATCH(467,'Transfer Engine'!$C$2:$C$1199,0)),"",INDEX('Compliance Database'!$C$2:$C$1199,MATCH(467,'Transfer Engine'!$C$2:$C$1199,0)))</f>
        <v/>
      </c>
      <c r="D476" s="7" t="str">
        <f>IF(ISNA(MATCH(467,'Transfer Engine'!$C$2:$C$1199,0)),"",INDEX('Compliance Database'!$D$2:$D$1199,MATCH(467,'Transfer Engine'!$C$2:$C$1199,0)))</f>
        <v/>
      </c>
      <c r="E476" s="6" t="str">
        <f>IF(ISNA(MATCH(467,'Transfer Engine'!$C$2:$C$1199,0)),"",INDEX('Compliance Database'!$E$2:$E$1199,MATCH(467,'Transfer Engine'!$C$2:$C$1199,0)))</f>
        <v/>
      </c>
      <c r="F476" s="6" t="str">
        <f>IF(ISNA(MATCH(467,'Transfer Engine'!$C$2:$C$1199,0)),"",INDEX('Compliance Database'!$F$2:$F$1199,MATCH(467,'Transfer Engine'!$C$2:$C$1199,0)))</f>
        <v/>
      </c>
      <c r="G476" s="6" t="str">
        <f>IF(ISNA(MATCH(467,'Transfer Engine'!$C$2:$C$1199,0)),"",INDEX('Compliance Database'!$G$2:$G$1199,MATCH(467,'Transfer Engine'!$C$2:$C$1199,0)))</f>
        <v/>
      </c>
      <c r="H476" s="7" t="str">
        <f>IF(ISNA(MATCH(467,'Transfer Engine'!$C$2:$C$1199,0)),"",INDEX('Compliance Database'!$H$2:$H$1199,MATCH(467,'Transfer Engine'!$C$2:$C$1199,0)))</f>
        <v/>
      </c>
      <c r="I476" s="7" t="str">
        <f>IF(ISNA(MATCH(467,'Transfer Engine'!$C$2:$C$1199,0)),"",INDEX('Compliance Database'!$I$2:$I$1199,MATCH(467,'Transfer Engine'!$C$2:$C$1199,0)))</f>
        <v/>
      </c>
      <c r="J476" s="6" t="str">
        <f>IF(ISNA(MATCH(467,'Transfer Engine'!$C$2:$C$1199,0)),"",INDEX('Compliance Database'!$J$2:$J$1199,MATCH(467,'Transfer Engine'!$C$2:$C$1199,0)))</f>
        <v/>
      </c>
      <c r="K476" s="7" t="str">
        <f>IF(ISNA(MATCH(467,'Transfer Engine'!$C$2:$C$1199,0)),"",INDEX('Compliance Database'!$K$2:$K$1199,MATCH(467,'Transfer Engine'!$C$2:$C$1199,0)))</f>
        <v/>
      </c>
      <c r="L476" s="7" t="str">
        <f>IF(ISNA(MATCH(467,'Transfer Engine'!$C$2:$C$1199,0)),"",INDEX('Compliance Database'!$L$2:$L$1199,MATCH(467,'Transfer Engine'!$C$2:$C$1199,0)))</f>
        <v/>
      </c>
      <c r="M476" s="7" t="str">
        <f>IF(ISNA(MATCH(467,'Transfer Engine'!$C$2:$C$1199,0)),"",INDEX('Compliance Database'!$M$2:$M$1199,MATCH(467,'Transfer Engine'!$C$2:$C$1199,0)))</f>
        <v/>
      </c>
      <c r="N476" s="7" t="str">
        <f>IF(ISNA(MATCH(467,'Transfer Engine'!$C$2:$C$1199,0)),"",INDEX('Compliance Database'!$N$2:$N$1199,MATCH(467,'Transfer Engine'!$C$2:$C$1199,0)))</f>
        <v/>
      </c>
      <c r="O476" s="7" t="str">
        <f>IF(ISNA(MATCH(467,'Transfer Engine'!$C$2:$C$1199,0)),"",INDEX('Compliance Database'!$O$2:$O$1199,MATCH(467,'Transfer Engine'!$C$2:$C$1199,0)))</f>
        <v/>
      </c>
      <c r="P476" s="6" t="str">
        <f>IF(ISNA(MATCH(467,'Transfer Engine'!$C$2:$C$1199,0)),"",HYPERLINK("#Acts!A"&amp;INDEX('Compliance Database'!$P$2:$P$1199,MATCH(467,'Transfer Engine'!$C$2:$C$1199,0)),"Go to Act"))</f>
        <v/>
      </c>
    </row>
    <row r="477" spans="1:16" ht="172.95" customHeight="1" x14ac:dyDescent="0.3">
      <c r="A477" s="6" t="str">
        <f>IF(ISNA(MATCH(468,'Transfer Engine'!$C$2:$C$1199,0)),"",INDEX('Compliance Database'!$A$2:$A$1199,MATCH(468,'Transfer Engine'!$C$2:$C$1199,0)))</f>
        <v/>
      </c>
      <c r="B477" s="6" t="str">
        <f>IF(ISNA(MATCH(468,'Transfer Engine'!$C$2:$C$1199,0)),"",INDEX('Compliance Database'!$B$2:$B$1199,MATCH(468,'Transfer Engine'!$C$2:$C$1199,0)))</f>
        <v/>
      </c>
      <c r="C477" s="6" t="str">
        <f>IF(ISNA(MATCH(468,'Transfer Engine'!$C$2:$C$1199,0)),"",INDEX('Compliance Database'!$C$2:$C$1199,MATCH(468,'Transfer Engine'!$C$2:$C$1199,0)))</f>
        <v/>
      </c>
      <c r="D477" s="7" t="str">
        <f>IF(ISNA(MATCH(468,'Transfer Engine'!$C$2:$C$1199,0)),"",INDEX('Compliance Database'!$D$2:$D$1199,MATCH(468,'Transfer Engine'!$C$2:$C$1199,0)))</f>
        <v/>
      </c>
      <c r="E477" s="6" t="str">
        <f>IF(ISNA(MATCH(468,'Transfer Engine'!$C$2:$C$1199,0)),"",INDEX('Compliance Database'!$E$2:$E$1199,MATCH(468,'Transfer Engine'!$C$2:$C$1199,0)))</f>
        <v/>
      </c>
      <c r="F477" s="6" t="str">
        <f>IF(ISNA(MATCH(468,'Transfer Engine'!$C$2:$C$1199,0)),"",INDEX('Compliance Database'!$F$2:$F$1199,MATCH(468,'Transfer Engine'!$C$2:$C$1199,0)))</f>
        <v/>
      </c>
      <c r="G477" s="6" t="str">
        <f>IF(ISNA(MATCH(468,'Transfer Engine'!$C$2:$C$1199,0)),"",INDEX('Compliance Database'!$G$2:$G$1199,MATCH(468,'Transfer Engine'!$C$2:$C$1199,0)))</f>
        <v/>
      </c>
      <c r="H477" s="7" t="str">
        <f>IF(ISNA(MATCH(468,'Transfer Engine'!$C$2:$C$1199,0)),"",INDEX('Compliance Database'!$H$2:$H$1199,MATCH(468,'Transfer Engine'!$C$2:$C$1199,0)))</f>
        <v/>
      </c>
      <c r="I477" s="7" t="str">
        <f>IF(ISNA(MATCH(468,'Transfer Engine'!$C$2:$C$1199,0)),"",INDEX('Compliance Database'!$I$2:$I$1199,MATCH(468,'Transfer Engine'!$C$2:$C$1199,0)))</f>
        <v/>
      </c>
      <c r="J477" s="6" t="str">
        <f>IF(ISNA(MATCH(468,'Transfer Engine'!$C$2:$C$1199,0)),"",INDEX('Compliance Database'!$J$2:$J$1199,MATCH(468,'Transfer Engine'!$C$2:$C$1199,0)))</f>
        <v/>
      </c>
      <c r="K477" s="7" t="str">
        <f>IF(ISNA(MATCH(468,'Transfer Engine'!$C$2:$C$1199,0)),"",INDEX('Compliance Database'!$K$2:$K$1199,MATCH(468,'Transfer Engine'!$C$2:$C$1199,0)))</f>
        <v/>
      </c>
      <c r="L477" s="7" t="str">
        <f>IF(ISNA(MATCH(468,'Transfer Engine'!$C$2:$C$1199,0)),"",INDEX('Compliance Database'!$L$2:$L$1199,MATCH(468,'Transfer Engine'!$C$2:$C$1199,0)))</f>
        <v/>
      </c>
      <c r="M477" s="7" t="str">
        <f>IF(ISNA(MATCH(468,'Transfer Engine'!$C$2:$C$1199,0)),"",INDEX('Compliance Database'!$M$2:$M$1199,MATCH(468,'Transfer Engine'!$C$2:$C$1199,0)))</f>
        <v/>
      </c>
      <c r="N477" s="7" t="str">
        <f>IF(ISNA(MATCH(468,'Transfer Engine'!$C$2:$C$1199,0)),"",INDEX('Compliance Database'!$N$2:$N$1199,MATCH(468,'Transfer Engine'!$C$2:$C$1199,0)))</f>
        <v/>
      </c>
      <c r="O477" s="7" t="str">
        <f>IF(ISNA(MATCH(468,'Transfer Engine'!$C$2:$C$1199,0)),"",INDEX('Compliance Database'!$O$2:$O$1199,MATCH(468,'Transfer Engine'!$C$2:$C$1199,0)))</f>
        <v/>
      </c>
      <c r="P477" s="6" t="str">
        <f>IF(ISNA(MATCH(468,'Transfer Engine'!$C$2:$C$1199,0)),"",HYPERLINK("#Acts!A"&amp;INDEX('Compliance Database'!$P$2:$P$1199,MATCH(468,'Transfer Engine'!$C$2:$C$1199,0)),"Go to Act"))</f>
        <v/>
      </c>
    </row>
    <row r="478" spans="1:16" ht="172.95" customHeight="1" x14ac:dyDescent="0.3">
      <c r="A478" s="6" t="str">
        <f>IF(ISNA(MATCH(469,'Transfer Engine'!$C$2:$C$1199,0)),"",INDEX('Compliance Database'!$A$2:$A$1199,MATCH(469,'Transfer Engine'!$C$2:$C$1199,0)))</f>
        <v/>
      </c>
      <c r="B478" s="6" t="str">
        <f>IF(ISNA(MATCH(469,'Transfer Engine'!$C$2:$C$1199,0)),"",INDEX('Compliance Database'!$B$2:$B$1199,MATCH(469,'Transfer Engine'!$C$2:$C$1199,0)))</f>
        <v/>
      </c>
      <c r="C478" s="6" t="str">
        <f>IF(ISNA(MATCH(469,'Transfer Engine'!$C$2:$C$1199,0)),"",INDEX('Compliance Database'!$C$2:$C$1199,MATCH(469,'Transfer Engine'!$C$2:$C$1199,0)))</f>
        <v/>
      </c>
      <c r="D478" s="7" t="str">
        <f>IF(ISNA(MATCH(469,'Transfer Engine'!$C$2:$C$1199,0)),"",INDEX('Compliance Database'!$D$2:$D$1199,MATCH(469,'Transfer Engine'!$C$2:$C$1199,0)))</f>
        <v/>
      </c>
      <c r="E478" s="6" t="str">
        <f>IF(ISNA(MATCH(469,'Transfer Engine'!$C$2:$C$1199,0)),"",INDEX('Compliance Database'!$E$2:$E$1199,MATCH(469,'Transfer Engine'!$C$2:$C$1199,0)))</f>
        <v/>
      </c>
      <c r="F478" s="6" t="str">
        <f>IF(ISNA(MATCH(469,'Transfer Engine'!$C$2:$C$1199,0)),"",INDEX('Compliance Database'!$F$2:$F$1199,MATCH(469,'Transfer Engine'!$C$2:$C$1199,0)))</f>
        <v/>
      </c>
      <c r="G478" s="6" t="str">
        <f>IF(ISNA(MATCH(469,'Transfer Engine'!$C$2:$C$1199,0)),"",INDEX('Compliance Database'!$G$2:$G$1199,MATCH(469,'Transfer Engine'!$C$2:$C$1199,0)))</f>
        <v/>
      </c>
      <c r="H478" s="7" t="str">
        <f>IF(ISNA(MATCH(469,'Transfer Engine'!$C$2:$C$1199,0)),"",INDEX('Compliance Database'!$H$2:$H$1199,MATCH(469,'Transfer Engine'!$C$2:$C$1199,0)))</f>
        <v/>
      </c>
      <c r="I478" s="7" t="str">
        <f>IF(ISNA(MATCH(469,'Transfer Engine'!$C$2:$C$1199,0)),"",INDEX('Compliance Database'!$I$2:$I$1199,MATCH(469,'Transfer Engine'!$C$2:$C$1199,0)))</f>
        <v/>
      </c>
      <c r="J478" s="6" t="str">
        <f>IF(ISNA(MATCH(469,'Transfer Engine'!$C$2:$C$1199,0)),"",INDEX('Compliance Database'!$J$2:$J$1199,MATCH(469,'Transfer Engine'!$C$2:$C$1199,0)))</f>
        <v/>
      </c>
      <c r="K478" s="7" t="str">
        <f>IF(ISNA(MATCH(469,'Transfer Engine'!$C$2:$C$1199,0)),"",INDEX('Compliance Database'!$K$2:$K$1199,MATCH(469,'Transfer Engine'!$C$2:$C$1199,0)))</f>
        <v/>
      </c>
      <c r="L478" s="7" t="str">
        <f>IF(ISNA(MATCH(469,'Transfer Engine'!$C$2:$C$1199,0)),"",INDEX('Compliance Database'!$L$2:$L$1199,MATCH(469,'Transfer Engine'!$C$2:$C$1199,0)))</f>
        <v/>
      </c>
      <c r="M478" s="7" t="str">
        <f>IF(ISNA(MATCH(469,'Transfer Engine'!$C$2:$C$1199,0)),"",INDEX('Compliance Database'!$M$2:$M$1199,MATCH(469,'Transfer Engine'!$C$2:$C$1199,0)))</f>
        <v/>
      </c>
      <c r="N478" s="7" t="str">
        <f>IF(ISNA(MATCH(469,'Transfer Engine'!$C$2:$C$1199,0)),"",INDEX('Compliance Database'!$N$2:$N$1199,MATCH(469,'Transfer Engine'!$C$2:$C$1199,0)))</f>
        <v/>
      </c>
      <c r="O478" s="7" t="str">
        <f>IF(ISNA(MATCH(469,'Transfer Engine'!$C$2:$C$1199,0)),"",INDEX('Compliance Database'!$O$2:$O$1199,MATCH(469,'Transfer Engine'!$C$2:$C$1199,0)))</f>
        <v/>
      </c>
      <c r="P478" s="6" t="str">
        <f>IF(ISNA(MATCH(469,'Transfer Engine'!$C$2:$C$1199,0)),"",HYPERLINK("#Acts!A"&amp;INDEX('Compliance Database'!$P$2:$P$1199,MATCH(469,'Transfer Engine'!$C$2:$C$1199,0)),"Go to Act"))</f>
        <v/>
      </c>
    </row>
    <row r="479" spans="1:16" ht="172.95" customHeight="1" x14ac:dyDescent="0.3">
      <c r="A479" s="6" t="str">
        <f>IF(ISNA(MATCH(470,'Transfer Engine'!$C$2:$C$1199,0)),"",INDEX('Compliance Database'!$A$2:$A$1199,MATCH(470,'Transfer Engine'!$C$2:$C$1199,0)))</f>
        <v/>
      </c>
      <c r="B479" s="6" t="str">
        <f>IF(ISNA(MATCH(470,'Transfer Engine'!$C$2:$C$1199,0)),"",INDEX('Compliance Database'!$B$2:$B$1199,MATCH(470,'Transfer Engine'!$C$2:$C$1199,0)))</f>
        <v/>
      </c>
      <c r="C479" s="6" t="str">
        <f>IF(ISNA(MATCH(470,'Transfer Engine'!$C$2:$C$1199,0)),"",INDEX('Compliance Database'!$C$2:$C$1199,MATCH(470,'Transfer Engine'!$C$2:$C$1199,0)))</f>
        <v/>
      </c>
      <c r="D479" s="7" t="str">
        <f>IF(ISNA(MATCH(470,'Transfer Engine'!$C$2:$C$1199,0)),"",INDEX('Compliance Database'!$D$2:$D$1199,MATCH(470,'Transfer Engine'!$C$2:$C$1199,0)))</f>
        <v/>
      </c>
      <c r="E479" s="6" t="str">
        <f>IF(ISNA(MATCH(470,'Transfer Engine'!$C$2:$C$1199,0)),"",INDEX('Compliance Database'!$E$2:$E$1199,MATCH(470,'Transfer Engine'!$C$2:$C$1199,0)))</f>
        <v/>
      </c>
      <c r="F479" s="6" t="str">
        <f>IF(ISNA(MATCH(470,'Transfer Engine'!$C$2:$C$1199,0)),"",INDEX('Compliance Database'!$F$2:$F$1199,MATCH(470,'Transfer Engine'!$C$2:$C$1199,0)))</f>
        <v/>
      </c>
      <c r="G479" s="6" t="str">
        <f>IF(ISNA(MATCH(470,'Transfer Engine'!$C$2:$C$1199,0)),"",INDEX('Compliance Database'!$G$2:$G$1199,MATCH(470,'Transfer Engine'!$C$2:$C$1199,0)))</f>
        <v/>
      </c>
      <c r="H479" s="7" t="str">
        <f>IF(ISNA(MATCH(470,'Transfer Engine'!$C$2:$C$1199,0)),"",INDEX('Compliance Database'!$H$2:$H$1199,MATCH(470,'Transfer Engine'!$C$2:$C$1199,0)))</f>
        <v/>
      </c>
      <c r="I479" s="7" t="str">
        <f>IF(ISNA(MATCH(470,'Transfer Engine'!$C$2:$C$1199,0)),"",INDEX('Compliance Database'!$I$2:$I$1199,MATCH(470,'Transfer Engine'!$C$2:$C$1199,0)))</f>
        <v/>
      </c>
      <c r="J479" s="6" t="str">
        <f>IF(ISNA(MATCH(470,'Transfer Engine'!$C$2:$C$1199,0)),"",INDEX('Compliance Database'!$J$2:$J$1199,MATCH(470,'Transfer Engine'!$C$2:$C$1199,0)))</f>
        <v/>
      </c>
      <c r="K479" s="7" t="str">
        <f>IF(ISNA(MATCH(470,'Transfer Engine'!$C$2:$C$1199,0)),"",INDEX('Compliance Database'!$K$2:$K$1199,MATCH(470,'Transfer Engine'!$C$2:$C$1199,0)))</f>
        <v/>
      </c>
      <c r="L479" s="7" t="str">
        <f>IF(ISNA(MATCH(470,'Transfer Engine'!$C$2:$C$1199,0)),"",INDEX('Compliance Database'!$L$2:$L$1199,MATCH(470,'Transfer Engine'!$C$2:$C$1199,0)))</f>
        <v/>
      </c>
      <c r="M479" s="7" t="str">
        <f>IF(ISNA(MATCH(470,'Transfer Engine'!$C$2:$C$1199,0)),"",INDEX('Compliance Database'!$M$2:$M$1199,MATCH(470,'Transfer Engine'!$C$2:$C$1199,0)))</f>
        <v/>
      </c>
      <c r="N479" s="7" t="str">
        <f>IF(ISNA(MATCH(470,'Transfer Engine'!$C$2:$C$1199,0)),"",INDEX('Compliance Database'!$N$2:$N$1199,MATCH(470,'Transfer Engine'!$C$2:$C$1199,0)))</f>
        <v/>
      </c>
      <c r="O479" s="7" t="str">
        <f>IF(ISNA(MATCH(470,'Transfer Engine'!$C$2:$C$1199,0)),"",INDEX('Compliance Database'!$O$2:$O$1199,MATCH(470,'Transfer Engine'!$C$2:$C$1199,0)))</f>
        <v/>
      </c>
      <c r="P479" s="6" t="str">
        <f>IF(ISNA(MATCH(470,'Transfer Engine'!$C$2:$C$1199,0)),"",HYPERLINK("#Acts!A"&amp;INDEX('Compliance Database'!$P$2:$P$1199,MATCH(470,'Transfer Engine'!$C$2:$C$1199,0)),"Go to Act"))</f>
        <v/>
      </c>
    </row>
    <row r="480" spans="1:16" ht="172.95" customHeight="1" x14ac:dyDescent="0.3">
      <c r="A480" s="6" t="str">
        <f>IF(ISNA(MATCH(471,'Transfer Engine'!$C$2:$C$1199,0)),"",INDEX('Compliance Database'!$A$2:$A$1199,MATCH(471,'Transfer Engine'!$C$2:$C$1199,0)))</f>
        <v/>
      </c>
      <c r="B480" s="6" t="str">
        <f>IF(ISNA(MATCH(471,'Transfer Engine'!$C$2:$C$1199,0)),"",INDEX('Compliance Database'!$B$2:$B$1199,MATCH(471,'Transfer Engine'!$C$2:$C$1199,0)))</f>
        <v/>
      </c>
      <c r="C480" s="6" t="str">
        <f>IF(ISNA(MATCH(471,'Transfer Engine'!$C$2:$C$1199,0)),"",INDEX('Compliance Database'!$C$2:$C$1199,MATCH(471,'Transfer Engine'!$C$2:$C$1199,0)))</f>
        <v/>
      </c>
      <c r="D480" s="7" t="str">
        <f>IF(ISNA(MATCH(471,'Transfer Engine'!$C$2:$C$1199,0)),"",INDEX('Compliance Database'!$D$2:$D$1199,MATCH(471,'Transfer Engine'!$C$2:$C$1199,0)))</f>
        <v/>
      </c>
      <c r="E480" s="6" t="str">
        <f>IF(ISNA(MATCH(471,'Transfer Engine'!$C$2:$C$1199,0)),"",INDEX('Compliance Database'!$E$2:$E$1199,MATCH(471,'Transfer Engine'!$C$2:$C$1199,0)))</f>
        <v/>
      </c>
      <c r="F480" s="6" t="str">
        <f>IF(ISNA(MATCH(471,'Transfer Engine'!$C$2:$C$1199,0)),"",INDEX('Compliance Database'!$F$2:$F$1199,MATCH(471,'Transfer Engine'!$C$2:$C$1199,0)))</f>
        <v/>
      </c>
      <c r="G480" s="6" t="str">
        <f>IF(ISNA(MATCH(471,'Transfer Engine'!$C$2:$C$1199,0)),"",INDEX('Compliance Database'!$G$2:$G$1199,MATCH(471,'Transfer Engine'!$C$2:$C$1199,0)))</f>
        <v/>
      </c>
      <c r="H480" s="7" t="str">
        <f>IF(ISNA(MATCH(471,'Transfer Engine'!$C$2:$C$1199,0)),"",INDEX('Compliance Database'!$H$2:$H$1199,MATCH(471,'Transfer Engine'!$C$2:$C$1199,0)))</f>
        <v/>
      </c>
      <c r="I480" s="7" t="str">
        <f>IF(ISNA(MATCH(471,'Transfer Engine'!$C$2:$C$1199,0)),"",INDEX('Compliance Database'!$I$2:$I$1199,MATCH(471,'Transfer Engine'!$C$2:$C$1199,0)))</f>
        <v/>
      </c>
      <c r="J480" s="6" t="str">
        <f>IF(ISNA(MATCH(471,'Transfer Engine'!$C$2:$C$1199,0)),"",INDEX('Compliance Database'!$J$2:$J$1199,MATCH(471,'Transfer Engine'!$C$2:$C$1199,0)))</f>
        <v/>
      </c>
      <c r="K480" s="7" t="str">
        <f>IF(ISNA(MATCH(471,'Transfer Engine'!$C$2:$C$1199,0)),"",INDEX('Compliance Database'!$K$2:$K$1199,MATCH(471,'Transfer Engine'!$C$2:$C$1199,0)))</f>
        <v/>
      </c>
      <c r="L480" s="7" t="str">
        <f>IF(ISNA(MATCH(471,'Transfer Engine'!$C$2:$C$1199,0)),"",INDEX('Compliance Database'!$L$2:$L$1199,MATCH(471,'Transfer Engine'!$C$2:$C$1199,0)))</f>
        <v/>
      </c>
      <c r="M480" s="7" t="str">
        <f>IF(ISNA(MATCH(471,'Transfer Engine'!$C$2:$C$1199,0)),"",INDEX('Compliance Database'!$M$2:$M$1199,MATCH(471,'Transfer Engine'!$C$2:$C$1199,0)))</f>
        <v/>
      </c>
      <c r="N480" s="7" t="str">
        <f>IF(ISNA(MATCH(471,'Transfer Engine'!$C$2:$C$1199,0)),"",INDEX('Compliance Database'!$N$2:$N$1199,MATCH(471,'Transfer Engine'!$C$2:$C$1199,0)))</f>
        <v/>
      </c>
      <c r="O480" s="7" t="str">
        <f>IF(ISNA(MATCH(471,'Transfer Engine'!$C$2:$C$1199,0)),"",INDEX('Compliance Database'!$O$2:$O$1199,MATCH(471,'Transfer Engine'!$C$2:$C$1199,0)))</f>
        <v/>
      </c>
      <c r="P480" s="6" t="str">
        <f>IF(ISNA(MATCH(471,'Transfer Engine'!$C$2:$C$1199,0)),"",HYPERLINK("#Acts!A"&amp;INDEX('Compliance Database'!$P$2:$P$1199,MATCH(471,'Transfer Engine'!$C$2:$C$1199,0)),"Go to Act"))</f>
        <v/>
      </c>
    </row>
    <row r="481" spans="1:16" ht="172.95" customHeight="1" x14ac:dyDescent="0.3">
      <c r="A481" s="6" t="str">
        <f>IF(ISNA(MATCH(472,'Transfer Engine'!$C$2:$C$1199,0)),"",INDEX('Compliance Database'!$A$2:$A$1199,MATCH(472,'Transfer Engine'!$C$2:$C$1199,0)))</f>
        <v/>
      </c>
      <c r="B481" s="6" t="str">
        <f>IF(ISNA(MATCH(472,'Transfer Engine'!$C$2:$C$1199,0)),"",INDEX('Compliance Database'!$B$2:$B$1199,MATCH(472,'Transfer Engine'!$C$2:$C$1199,0)))</f>
        <v/>
      </c>
      <c r="C481" s="6" t="str">
        <f>IF(ISNA(MATCH(472,'Transfer Engine'!$C$2:$C$1199,0)),"",INDEX('Compliance Database'!$C$2:$C$1199,MATCH(472,'Transfer Engine'!$C$2:$C$1199,0)))</f>
        <v/>
      </c>
      <c r="D481" s="7" t="str">
        <f>IF(ISNA(MATCH(472,'Transfer Engine'!$C$2:$C$1199,0)),"",INDEX('Compliance Database'!$D$2:$D$1199,MATCH(472,'Transfer Engine'!$C$2:$C$1199,0)))</f>
        <v/>
      </c>
      <c r="E481" s="6" t="str">
        <f>IF(ISNA(MATCH(472,'Transfer Engine'!$C$2:$C$1199,0)),"",INDEX('Compliance Database'!$E$2:$E$1199,MATCH(472,'Transfer Engine'!$C$2:$C$1199,0)))</f>
        <v/>
      </c>
      <c r="F481" s="6" t="str">
        <f>IF(ISNA(MATCH(472,'Transfer Engine'!$C$2:$C$1199,0)),"",INDEX('Compliance Database'!$F$2:$F$1199,MATCH(472,'Transfer Engine'!$C$2:$C$1199,0)))</f>
        <v/>
      </c>
      <c r="G481" s="6" t="str">
        <f>IF(ISNA(MATCH(472,'Transfer Engine'!$C$2:$C$1199,0)),"",INDEX('Compliance Database'!$G$2:$G$1199,MATCH(472,'Transfer Engine'!$C$2:$C$1199,0)))</f>
        <v/>
      </c>
      <c r="H481" s="7" t="str">
        <f>IF(ISNA(MATCH(472,'Transfer Engine'!$C$2:$C$1199,0)),"",INDEX('Compliance Database'!$H$2:$H$1199,MATCH(472,'Transfer Engine'!$C$2:$C$1199,0)))</f>
        <v/>
      </c>
      <c r="I481" s="7" t="str">
        <f>IF(ISNA(MATCH(472,'Transfer Engine'!$C$2:$C$1199,0)),"",INDEX('Compliance Database'!$I$2:$I$1199,MATCH(472,'Transfer Engine'!$C$2:$C$1199,0)))</f>
        <v/>
      </c>
      <c r="J481" s="6" t="str">
        <f>IF(ISNA(MATCH(472,'Transfer Engine'!$C$2:$C$1199,0)),"",INDEX('Compliance Database'!$J$2:$J$1199,MATCH(472,'Transfer Engine'!$C$2:$C$1199,0)))</f>
        <v/>
      </c>
      <c r="K481" s="7" t="str">
        <f>IF(ISNA(MATCH(472,'Transfer Engine'!$C$2:$C$1199,0)),"",INDEX('Compliance Database'!$K$2:$K$1199,MATCH(472,'Transfer Engine'!$C$2:$C$1199,0)))</f>
        <v/>
      </c>
      <c r="L481" s="7" t="str">
        <f>IF(ISNA(MATCH(472,'Transfer Engine'!$C$2:$C$1199,0)),"",INDEX('Compliance Database'!$L$2:$L$1199,MATCH(472,'Transfer Engine'!$C$2:$C$1199,0)))</f>
        <v/>
      </c>
      <c r="M481" s="7" t="str">
        <f>IF(ISNA(MATCH(472,'Transfer Engine'!$C$2:$C$1199,0)),"",INDEX('Compliance Database'!$M$2:$M$1199,MATCH(472,'Transfer Engine'!$C$2:$C$1199,0)))</f>
        <v/>
      </c>
      <c r="N481" s="7" t="str">
        <f>IF(ISNA(MATCH(472,'Transfer Engine'!$C$2:$C$1199,0)),"",INDEX('Compliance Database'!$N$2:$N$1199,MATCH(472,'Transfer Engine'!$C$2:$C$1199,0)))</f>
        <v/>
      </c>
      <c r="O481" s="7" t="str">
        <f>IF(ISNA(MATCH(472,'Transfer Engine'!$C$2:$C$1199,0)),"",INDEX('Compliance Database'!$O$2:$O$1199,MATCH(472,'Transfer Engine'!$C$2:$C$1199,0)))</f>
        <v/>
      </c>
      <c r="P481" s="6" t="str">
        <f>IF(ISNA(MATCH(472,'Transfer Engine'!$C$2:$C$1199,0)),"",HYPERLINK("#Acts!A"&amp;INDEX('Compliance Database'!$P$2:$P$1199,MATCH(472,'Transfer Engine'!$C$2:$C$1199,0)),"Go to Act"))</f>
        <v/>
      </c>
    </row>
    <row r="482" spans="1:16" ht="172.95" customHeight="1" x14ac:dyDescent="0.3">
      <c r="A482" s="6" t="str">
        <f>IF(ISNA(MATCH(473,'Transfer Engine'!$C$2:$C$1199,0)),"",INDEX('Compliance Database'!$A$2:$A$1199,MATCH(473,'Transfer Engine'!$C$2:$C$1199,0)))</f>
        <v/>
      </c>
      <c r="B482" s="6" t="str">
        <f>IF(ISNA(MATCH(473,'Transfer Engine'!$C$2:$C$1199,0)),"",INDEX('Compliance Database'!$B$2:$B$1199,MATCH(473,'Transfer Engine'!$C$2:$C$1199,0)))</f>
        <v/>
      </c>
      <c r="C482" s="6" t="str">
        <f>IF(ISNA(MATCH(473,'Transfer Engine'!$C$2:$C$1199,0)),"",INDEX('Compliance Database'!$C$2:$C$1199,MATCH(473,'Transfer Engine'!$C$2:$C$1199,0)))</f>
        <v/>
      </c>
      <c r="D482" s="7" t="str">
        <f>IF(ISNA(MATCH(473,'Transfer Engine'!$C$2:$C$1199,0)),"",INDEX('Compliance Database'!$D$2:$D$1199,MATCH(473,'Transfer Engine'!$C$2:$C$1199,0)))</f>
        <v/>
      </c>
      <c r="E482" s="6" t="str">
        <f>IF(ISNA(MATCH(473,'Transfer Engine'!$C$2:$C$1199,0)),"",INDEX('Compliance Database'!$E$2:$E$1199,MATCH(473,'Transfer Engine'!$C$2:$C$1199,0)))</f>
        <v/>
      </c>
      <c r="F482" s="6" t="str">
        <f>IF(ISNA(MATCH(473,'Transfer Engine'!$C$2:$C$1199,0)),"",INDEX('Compliance Database'!$F$2:$F$1199,MATCH(473,'Transfer Engine'!$C$2:$C$1199,0)))</f>
        <v/>
      </c>
      <c r="G482" s="6" t="str">
        <f>IF(ISNA(MATCH(473,'Transfer Engine'!$C$2:$C$1199,0)),"",INDEX('Compliance Database'!$G$2:$G$1199,MATCH(473,'Transfer Engine'!$C$2:$C$1199,0)))</f>
        <v/>
      </c>
      <c r="H482" s="7" t="str">
        <f>IF(ISNA(MATCH(473,'Transfer Engine'!$C$2:$C$1199,0)),"",INDEX('Compliance Database'!$H$2:$H$1199,MATCH(473,'Transfer Engine'!$C$2:$C$1199,0)))</f>
        <v/>
      </c>
      <c r="I482" s="7" t="str">
        <f>IF(ISNA(MATCH(473,'Transfer Engine'!$C$2:$C$1199,0)),"",INDEX('Compliance Database'!$I$2:$I$1199,MATCH(473,'Transfer Engine'!$C$2:$C$1199,0)))</f>
        <v/>
      </c>
      <c r="J482" s="6" t="str">
        <f>IF(ISNA(MATCH(473,'Transfer Engine'!$C$2:$C$1199,0)),"",INDEX('Compliance Database'!$J$2:$J$1199,MATCH(473,'Transfer Engine'!$C$2:$C$1199,0)))</f>
        <v/>
      </c>
      <c r="K482" s="7" t="str">
        <f>IF(ISNA(MATCH(473,'Transfer Engine'!$C$2:$C$1199,0)),"",INDEX('Compliance Database'!$K$2:$K$1199,MATCH(473,'Transfer Engine'!$C$2:$C$1199,0)))</f>
        <v/>
      </c>
      <c r="L482" s="7" t="str">
        <f>IF(ISNA(MATCH(473,'Transfer Engine'!$C$2:$C$1199,0)),"",INDEX('Compliance Database'!$L$2:$L$1199,MATCH(473,'Transfer Engine'!$C$2:$C$1199,0)))</f>
        <v/>
      </c>
      <c r="M482" s="7" t="str">
        <f>IF(ISNA(MATCH(473,'Transfer Engine'!$C$2:$C$1199,0)),"",INDEX('Compliance Database'!$M$2:$M$1199,MATCH(473,'Transfer Engine'!$C$2:$C$1199,0)))</f>
        <v/>
      </c>
      <c r="N482" s="7" t="str">
        <f>IF(ISNA(MATCH(473,'Transfer Engine'!$C$2:$C$1199,0)),"",INDEX('Compliance Database'!$N$2:$N$1199,MATCH(473,'Transfer Engine'!$C$2:$C$1199,0)))</f>
        <v/>
      </c>
      <c r="O482" s="7" t="str">
        <f>IF(ISNA(MATCH(473,'Transfer Engine'!$C$2:$C$1199,0)),"",INDEX('Compliance Database'!$O$2:$O$1199,MATCH(473,'Transfer Engine'!$C$2:$C$1199,0)))</f>
        <v/>
      </c>
      <c r="P482" s="6" t="str">
        <f>IF(ISNA(MATCH(473,'Transfer Engine'!$C$2:$C$1199,0)),"",HYPERLINK("#Acts!A"&amp;INDEX('Compliance Database'!$P$2:$P$1199,MATCH(473,'Transfer Engine'!$C$2:$C$1199,0)),"Go to Act"))</f>
        <v/>
      </c>
    </row>
    <row r="483" spans="1:16" ht="172.95" customHeight="1" x14ac:dyDescent="0.3">
      <c r="A483" s="6" t="str">
        <f>IF(ISNA(MATCH(474,'Transfer Engine'!$C$2:$C$1199,0)),"",INDEX('Compliance Database'!$A$2:$A$1199,MATCH(474,'Transfer Engine'!$C$2:$C$1199,0)))</f>
        <v/>
      </c>
      <c r="B483" s="6" t="str">
        <f>IF(ISNA(MATCH(474,'Transfer Engine'!$C$2:$C$1199,0)),"",INDEX('Compliance Database'!$B$2:$B$1199,MATCH(474,'Transfer Engine'!$C$2:$C$1199,0)))</f>
        <v/>
      </c>
      <c r="C483" s="6" t="str">
        <f>IF(ISNA(MATCH(474,'Transfer Engine'!$C$2:$C$1199,0)),"",INDEX('Compliance Database'!$C$2:$C$1199,MATCH(474,'Transfer Engine'!$C$2:$C$1199,0)))</f>
        <v/>
      </c>
      <c r="D483" s="7" t="str">
        <f>IF(ISNA(MATCH(474,'Transfer Engine'!$C$2:$C$1199,0)),"",INDEX('Compliance Database'!$D$2:$D$1199,MATCH(474,'Transfer Engine'!$C$2:$C$1199,0)))</f>
        <v/>
      </c>
      <c r="E483" s="6" t="str">
        <f>IF(ISNA(MATCH(474,'Transfer Engine'!$C$2:$C$1199,0)),"",INDEX('Compliance Database'!$E$2:$E$1199,MATCH(474,'Transfer Engine'!$C$2:$C$1199,0)))</f>
        <v/>
      </c>
      <c r="F483" s="6" t="str">
        <f>IF(ISNA(MATCH(474,'Transfer Engine'!$C$2:$C$1199,0)),"",INDEX('Compliance Database'!$F$2:$F$1199,MATCH(474,'Transfer Engine'!$C$2:$C$1199,0)))</f>
        <v/>
      </c>
      <c r="G483" s="6" t="str">
        <f>IF(ISNA(MATCH(474,'Transfer Engine'!$C$2:$C$1199,0)),"",INDEX('Compliance Database'!$G$2:$G$1199,MATCH(474,'Transfer Engine'!$C$2:$C$1199,0)))</f>
        <v/>
      </c>
      <c r="H483" s="7" t="str">
        <f>IF(ISNA(MATCH(474,'Transfer Engine'!$C$2:$C$1199,0)),"",INDEX('Compliance Database'!$H$2:$H$1199,MATCH(474,'Transfer Engine'!$C$2:$C$1199,0)))</f>
        <v/>
      </c>
      <c r="I483" s="7" t="str">
        <f>IF(ISNA(MATCH(474,'Transfer Engine'!$C$2:$C$1199,0)),"",INDEX('Compliance Database'!$I$2:$I$1199,MATCH(474,'Transfer Engine'!$C$2:$C$1199,0)))</f>
        <v/>
      </c>
      <c r="J483" s="6" t="str">
        <f>IF(ISNA(MATCH(474,'Transfer Engine'!$C$2:$C$1199,0)),"",INDEX('Compliance Database'!$J$2:$J$1199,MATCH(474,'Transfer Engine'!$C$2:$C$1199,0)))</f>
        <v/>
      </c>
      <c r="K483" s="7" t="str">
        <f>IF(ISNA(MATCH(474,'Transfer Engine'!$C$2:$C$1199,0)),"",INDEX('Compliance Database'!$K$2:$K$1199,MATCH(474,'Transfer Engine'!$C$2:$C$1199,0)))</f>
        <v/>
      </c>
      <c r="L483" s="7" t="str">
        <f>IF(ISNA(MATCH(474,'Transfer Engine'!$C$2:$C$1199,0)),"",INDEX('Compliance Database'!$L$2:$L$1199,MATCH(474,'Transfer Engine'!$C$2:$C$1199,0)))</f>
        <v/>
      </c>
      <c r="M483" s="7" t="str">
        <f>IF(ISNA(MATCH(474,'Transfer Engine'!$C$2:$C$1199,0)),"",INDEX('Compliance Database'!$M$2:$M$1199,MATCH(474,'Transfer Engine'!$C$2:$C$1199,0)))</f>
        <v/>
      </c>
      <c r="N483" s="7" t="str">
        <f>IF(ISNA(MATCH(474,'Transfer Engine'!$C$2:$C$1199,0)),"",INDEX('Compliance Database'!$N$2:$N$1199,MATCH(474,'Transfer Engine'!$C$2:$C$1199,0)))</f>
        <v/>
      </c>
      <c r="O483" s="7" t="str">
        <f>IF(ISNA(MATCH(474,'Transfer Engine'!$C$2:$C$1199,0)),"",INDEX('Compliance Database'!$O$2:$O$1199,MATCH(474,'Transfer Engine'!$C$2:$C$1199,0)))</f>
        <v/>
      </c>
      <c r="P483" s="6" t="str">
        <f>IF(ISNA(MATCH(474,'Transfer Engine'!$C$2:$C$1199,0)),"",HYPERLINK("#Acts!A"&amp;INDEX('Compliance Database'!$P$2:$P$1199,MATCH(474,'Transfer Engine'!$C$2:$C$1199,0)),"Go to Act"))</f>
        <v/>
      </c>
    </row>
    <row r="484" spans="1:16" ht="172.95" customHeight="1" x14ac:dyDescent="0.3">
      <c r="A484" s="6" t="str">
        <f>IF(ISNA(MATCH(475,'Transfer Engine'!$C$2:$C$1199,0)),"",INDEX('Compliance Database'!$A$2:$A$1199,MATCH(475,'Transfer Engine'!$C$2:$C$1199,0)))</f>
        <v/>
      </c>
      <c r="B484" s="6" t="str">
        <f>IF(ISNA(MATCH(475,'Transfer Engine'!$C$2:$C$1199,0)),"",INDEX('Compliance Database'!$B$2:$B$1199,MATCH(475,'Transfer Engine'!$C$2:$C$1199,0)))</f>
        <v/>
      </c>
      <c r="C484" s="6" t="str">
        <f>IF(ISNA(MATCH(475,'Transfer Engine'!$C$2:$C$1199,0)),"",INDEX('Compliance Database'!$C$2:$C$1199,MATCH(475,'Transfer Engine'!$C$2:$C$1199,0)))</f>
        <v/>
      </c>
      <c r="D484" s="7" t="str">
        <f>IF(ISNA(MATCH(475,'Transfer Engine'!$C$2:$C$1199,0)),"",INDEX('Compliance Database'!$D$2:$D$1199,MATCH(475,'Transfer Engine'!$C$2:$C$1199,0)))</f>
        <v/>
      </c>
      <c r="E484" s="6" t="str">
        <f>IF(ISNA(MATCH(475,'Transfer Engine'!$C$2:$C$1199,0)),"",INDEX('Compliance Database'!$E$2:$E$1199,MATCH(475,'Transfer Engine'!$C$2:$C$1199,0)))</f>
        <v/>
      </c>
      <c r="F484" s="6" t="str">
        <f>IF(ISNA(MATCH(475,'Transfer Engine'!$C$2:$C$1199,0)),"",INDEX('Compliance Database'!$F$2:$F$1199,MATCH(475,'Transfer Engine'!$C$2:$C$1199,0)))</f>
        <v/>
      </c>
      <c r="G484" s="6" t="str">
        <f>IF(ISNA(MATCH(475,'Transfer Engine'!$C$2:$C$1199,0)),"",INDEX('Compliance Database'!$G$2:$G$1199,MATCH(475,'Transfer Engine'!$C$2:$C$1199,0)))</f>
        <v/>
      </c>
      <c r="H484" s="7" t="str">
        <f>IF(ISNA(MATCH(475,'Transfer Engine'!$C$2:$C$1199,0)),"",INDEX('Compliance Database'!$H$2:$H$1199,MATCH(475,'Transfer Engine'!$C$2:$C$1199,0)))</f>
        <v/>
      </c>
      <c r="I484" s="7" t="str">
        <f>IF(ISNA(MATCH(475,'Transfer Engine'!$C$2:$C$1199,0)),"",INDEX('Compliance Database'!$I$2:$I$1199,MATCH(475,'Transfer Engine'!$C$2:$C$1199,0)))</f>
        <v/>
      </c>
      <c r="J484" s="6" t="str">
        <f>IF(ISNA(MATCH(475,'Transfer Engine'!$C$2:$C$1199,0)),"",INDEX('Compliance Database'!$J$2:$J$1199,MATCH(475,'Transfer Engine'!$C$2:$C$1199,0)))</f>
        <v/>
      </c>
      <c r="K484" s="7" t="str">
        <f>IF(ISNA(MATCH(475,'Transfer Engine'!$C$2:$C$1199,0)),"",INDEX('Compliance Database'!$K$2:$K$1199,MATCH(475,'Transfer Engine'!$C$2:$C$1199,0)))</f>
        <v/>
      </c>
      <c r="L484" s="7" t="str">
        <f>IF(ISNA(MATCH(475,'Transfer Engine'!$C$2:$C$1199,0)),"",INDEX('Compliance Database'!$L$2:$L$1199,MATCH(475,'Transfer Engine'!$C$2:$C$1199,0)))</f>
        <v/>
      </c>
      <c r="M484" s="7" t="str">
        <f>IF(ISNA(MATCH(475,'Transfer Engine'!$C$2:$C$1199,0)),"",INDEX('Compliance Database'!$M$2:$M$1199,MATCH(475,'Transfer Engine'!$C$2:$C$1199,0)))</f>
        <v/>
      </c>
      <c r="N484" s="7" t="str">
        <f>IF(ISNA(MATCH(475,'Transfer Engine'!$C$2:$C$1199,0)),"",INDEX('Compliance Database'!$N$2:$N$1199,MATCH(475,'Transfer Engine'!$C$2:$C$1199,0)))</f>
        <v/>
      </c>
      <c r="O484" s="7" t="str">
        <f>IF(ISNA(MATCH(475,'Transfer Engine'!$C$2:$C$1199,0)),"",INDEX('Compliance Database'!$O$2:$O$1199,MATCH(475,'Transfer Engine'!$C$2:$C$1199,0)))</f>
        <v/>
      </c>
      <c r="P484" s="6" t="str">
        <f>IF(ISNA(MATCH(475,'Transfer Engine'!$C$2:$C$1199,0)),"",HYPERLINK("#Acts!A"&amp;INDEX('Compliance Database'!$P$2:$P$1199,MATCH(475,'Transfer Engine'!$C$2:$C$1199,0)),"Go to Act"))</f>
        <v/>
      </c>
    </row>
    <row r="485" spans="1:16" ht="172.95" customHeight="1" x14ac:dyDescent="0.3">
      <c r="A485" s="6" t="str">
        <f>IF(ISNA(MATCH(476,'Transfer Engine'!$C$2:$C$1199,0)),"",INDEX('Compliance Database'!$A$2:$A$1199,MATCH(476,'Transfer Engine'!$C$2:$C$1199,0)))</f>
        <v/>
      </c>
      <c r="B485" s="6" t="str">
        <f>IF(ISNA(MATCH(476,'Transfer Engine'!$C$2:$C$1199,0)),"",INDEX('Compliance Database'!$B$2:$B$1199,MATCH(476,'Transfer Engine'!$C$2:$C$1199,0)))</f>
        <v/>
      </c>
      <c r="C485" s="6" t="str">
        <f>IF(ISNA(MATCH(476,'Transfer Engine'!$C$2:$C$1199,0)),"",INDEX('Compliance Database'!$C$2:$C$1199,MATCH(476,'Transfer Engine'!$C$2:$C$1199,0)))</f>
        <v/>
      </c>
      <c r="D485" s="7" t="str">
        <f>IF(ISNA(MATCH(476,'Transfer Engine'!$C$2:$C$1199,0)),"",INDEX('Compliance Database'!$D$2:$D$1199,MATCH(476,'Transfer Engine'!$C$2:$C$1199,0)))</f>
        <v/>
      </c>
      <c r="E485" s="6" t="str">
        <f>IF(ISNA(MATCH(476,'Transfer Engine'!$C$2:$C$1199,0)),"",INDEX('Compliance Database'!$E$2:$E$1199,MATCH(476,'Transfer Engine'!$C$2:$C$1199,0)))</f>
        <v/>
      </c>
      <c r="F485" s="6" t="str">
        <f>IF(ISNA(MATCH(476,'Transfer Engine'!$C$2:$C$1199,0)),"",INDEX('Compliance Database'!$F$2:$F$1199,MATCH(476,'Transfer Engine'!$C$2:$C$1199,0)))</f>
        <v/>
      </c>
      <c r="G485" s="6" t="str">
        <f>IF(ISNA(MATCH(476,'Transfer Engine'!$C$2:$C$1199,0)),"",INDEX('Compliance Database'!$G$2:$G$1199,MATCH(476,'Transfer Engine'!$C$2:$C$1199,0)))</f>
        <v/>
      </c>
      <c r="H485" s="7" t="str">
        <f>IF(ISNA(MATCH(476,'Transfer Engine'!$C$2:$C$1199,0)),"",INDEX('Compliance Database'!$H$2:$H$1199,MATCH(476,'Transfer Engine'!$C$2:$C$1199,0)))</f>
        <v/>
      </c>
      <c r="I485" s="7" t="str">
        <f>IF(ISNA(MATCH(476,'Transfer Engine'!$C$2:$C$1199,0)),"",INDEX('Compliance Database'!$I$2:$I$1199,MATCH(476,'Transfer Engine'!$C$2:$C$1199,0)))</f>
        <v/>
      </c>
      <c r="J485" s="6" t="str">
        <f>IF(ISNA(MATCH(476,'Transfer Engine'!$C$2:$C$1199,0)),"",INDEX('Compliance Database'!$J$2:$J$1199,MATCH(476,'Transfer Engine'!$C$2:$C$1199,0)))</f>
        <v/>
      </c>
      <c r="K485" s="7" t="str">
        <f>IF(ISNA(MATCH(476,'Transfer Engine'!$C$2:$C$1199,0)),"",INDEX('Compliance Database'!$K$2:$K$1199,MATCH(476,'Transfer Engine'!$C$2:$C$1199,0)))</f>
        <v/>
      </c>
      <c r="L485" s="7" t="str">
        <f>IF(ISNA(MATCH(476,'Transfer Engine'!$C$2:$C$1199,0)),"",INDEX('Compliance Database'!$L$2:$L$1199,MATCH(476,'Transfer Engine'!$C$2:$C$1199,0)))</f>
        <v/>
      </c>
      <c r="M485" s="7" t="str">
        <f>IF(ISNA(MATCH(476,'Transfer Engine'!$C$2:$C$1199,0)),"",INDEX('Compliance Database'!$M$2:$M$1199,MATCH(476,'Transfer Engine'!$C$2:$C$1199,0)))</f>
        <v/>
      </c>
      <c r="N485" s="7" t="str">
        <f>IF(ISNA(MATCH(476,'Transfer Engine'!$C$2:$C$1199,0)),"",INDEX('Compliance Database'!$N$2:$N$1199,MATCH(476,'Transfer Engine'!$C$2:$C$1199,0)))</f>
        <v/>
      </c>
      <c r="O485" s="7" t="str">
        <f>IF(ISNA(MATCH(476,'Transfer Engine'!$C$2:$C$1199,0)),"",INDEX('Compliance Database'!$O$2:$O$1199,MATCH(476,'Transfer Engine'!$C$2:$C$1199,0)))</f>
        <v/>
      </c>
      <c r="P485" s="6" t="str">
        <f>IF(ISNA(MATCH(476,'Transfer Engine'!$C$2:$C$1199,0)),"",HYPERLINK("#Acts!A"&amp;INDEX('Compliance Database'!$P$2:$P$1199,MATCH(476,'Transfer Engine'!$C$2:$C$1199,0)),"Go to Act"))</f>
        <v/>
      </c>
    </row>
    <row r="486" spans="1:16" ht="172.95" customHeight="1" x14ac:dyDescent="0.3">
      <c r="A486" s="6" t="str">
        <f>IF(ISNA(MATCH(477,'Transfer Engine'!$C$2:$C$1199,0)),"",INDEX('Compliance Database'!$A$2:$A$1199,MATCH(477,'Transfer Engine'!$C$2:$C$1199,0)))</f>
        <v/>
      </c>
      <c r="B486" s="6" t="str">
        <f>IF(ISNA(MATCH(477,'Transfer Engine'!$C$2:$C$1199,0)),"",INDEX('Compliance Database'!$B$2:$B$1199,MATCH(477,'Transfer Engine'!$C$2:$C$1199,0)))</f>
        <v/>
      </c>
      <c r="C486" s="6" t="str">
        <f>IF(ISNA(MATCH(477,'Transfer Engine'!$C$2:$C$1199,0)),"",INDEX('Compliance Database'!$C$2:$C$1199,MATCH(477,'Transfer Engine'!$C$2:$C$1199,0)))</f>
        <v/>
      </c>
      <c r="D486" s="7" t="str">
        <f>IF(ISNA(MATCH(477,'Transfer Engine'!$C$2:$C$1199,0)),"",INDEX('Compliance Database'!$D$2:$D$1199,MATCH(477,'Transfer Engine'!$C$2:$C$1199,0)))</f>
        <v/>
      </c>
      <c r="E486" s="6" t="str">
        <f>IF(ISNA(MATCH(477,'Transfer Engine'!$C$2:$C$1199,0)),"",INDEX('Compliance Database'!$E$2:$E$1199,MATCH(477,'Transfer Engine'!$C$2:$C$1199,0)))</f>
        <v/>
      </c>
      <c r="F486" s="6" t="str">
        <f>IF(ISNA(MATCH(477,'Transfer Engine'!$C$2:$C$1199,0)),"",INDEX('Compliance Database'!$F$2:$F$1199,MATCH(477,'Transfer Engine'!$C$2:$C$1199,0)))</f>
        <v/>
      </c>
      <c r="G486" s="6" t="str">
        <f>IF(ISNA(MATCH(477,'Transfer Engine'!$C$2:$C$1199,0)),"",INDEX('Compliance Database'!$G$2:$G$1199,MATCH(477,'Transfer Engine'!$C$2:$C$1199,0)))</f>
        <v/>
      </c>
      <c r="H486" s="7" t="str">
        <f>IF(ISNA(MATCH(477,'Transfer Engine'!$C$2:$C$1199,0)),"",INDEX('Compliance Database'!$H$2:$H$1199,MATCH(477,'Transfer Engine'!$C$2:$C$1199,0)))</f>
        <v/>
      </c>
      <c r="I486" s="7" t="str">
        <f>IF(ISNA(MATCH(477,'Transfer Engine'!$C$2:$C$1199,0)),"",INDEX('Compliance Database'!$I$2:$I$1199,MATCH(477,'Transfer Engine'!$C$2:$C$1199,0)))</f>
        <v/>
      </c>
      <c r="J486" s="6" t="str">
        <f>IF(ISNA(MATCH(477,'Transfer Engine'!$C$2:$C$1199,0)),"",INDEX('Compliance Database'!$J$2:$J$1199,MATCH(477,'Transfer Engine'!$C$2:$C$1199,0)))</f>
        <v/>
      </c>
      <c r="K486" s="7" t="str">
        <f>IF(ISNA(MATCH(477,'Transfer Engine'!$C$2:$C$1199,0)),"",INDEX('Compliance Database'!$K$2:$K$1199,MATCH(477,'Transfer Engine'!$C$2:$C$1199,0)))</f>
        <v/>
      </c>
      <c r="L486" s="7" t="str">
        <f>IF(ISNA(MATCH(477,'Transfer Engine'!$C$2:$C$1199,0)),"",INDEX('Compliance Database'!$L$2:$L$1199,MATCH(477,'Transfer Engine'!$C$2:$C$1199,0)))</f>
        <v/>
      </c>
      <c r="M486" s="7" t="str">
        <f>IF(ISNA(MATCH(477,'Transfer Engine'!$C$2:$C$1199,0)),"",INDEX('Compliance Database'!$M$2:$M$1199,MATCH(477,'Transfer Engine'!$C$2:$C$1199,0)))</f>
        <v/>
      </c>
      <c r="N486" s="7" t="str">
        <f>IF(ISNA(MATCH(477,'Transfer Engine'!$C$2:$C$1199,0)),"",INDEX('Compliance Database'!$N$2:$N$1199,MATCH(477,'Transfer Engine'!$C$2:$C$1199,0)))</f>
        <v/>
      </c>
      <c r="O486" s="7" t="str">
        <f>IF(ISNA(MATCH(477,'Transfer Engine'!$C$2:$C$1199,0)),"",INDEX('Compliance Database'!$O$2:$O$1199,MATCH(477,'Transfer Engine'!$C$2:$C$1199,0)))</f>
        <v/>
      </c>
      <c r="P486" s="6" t="str">
        <f>IF(ISNA(MATCH(477,'Transfer Engine'!$C$2:$C$1199,0)),"",HYPERLINK("#Acts!A"&amp;INDEX('Compliance Database'!$P$2:$P$1199,MATCH(477,'Transfer Engine'!$C$2:$C$1199,0)),"Go to Act"))</f>
        <v/>
      </c>
    </row>
    <row r="487" spans="1:16" ht="172.95" customHeight="1" x14ac:dyDescent="0.3">
      <c r="A487" s="6" t="str">
        <f>IF(ISNA(MATCH(478,'Transfer Engine'!$C$2:$C$1199,0)),"",INDEX('Compliance Database'!$A$2:$A$1199,MATCH(478,'Transfer Engine'!$C$2:$C$1199,0)))</f>
        <v/>
      </c>
      <c r="B487" s="6" t="str">
        <f>IF(ISNA(MATCH(478,'Transfer Engine'!$C$2:$C$1199,0)),"",INDEX('Compliance Database'!$B$2:$B$1199,MATCH(478,'Transfer Engine'!$C$2:$C$1199,0)))</f>
        <v/>
      </c>
      <c r="C487" s="6" t="str">
        <f>IF(ISNA(MATCH(478,'Transfer Engine'!$C$2:$C$1199,0)),"",INDEX('Compliance Database'!$C$2:$C$1199,MATCH(478,'Transfer Engine'!$C$2:$C$1199,0)))</f>
        <v/>
      </c>
      <c r="D487" s="7" t="str">
        <f>IF(ISNA(MATCH(478,'Transfer Engine'!$C$2:$C$1199,0)),"",INDEX('Compliance Database'!$D$2:$D$1199,MATCH(478,'Transfer Engine'!$C$2:$C$1199,0)))</f>
        <v/>
      </c>
      <c r="E487" s="6" t="str">
        <f>IF(ISNA(MATCH(478,'Transfer Engine'!$C$2:$C$1199,0)),"",INDEX('Compliance Database'!$E$2:$E$1199,MATCH(478,'Transfer Engine'!$C$2:$C$1199,0)))</f>
        <v/>
      </c>
      <c r="F487" s="6" t="str">
        <f>IF(ISNA(MATCH(478,'Transfer Engine'!$C$2:$C$1199,0)),"",INDEX('Compliance Database'!$F$2:$F$1199,MATCH(478,'Transfer Engine'!$C$2:$C$1199,0)))</f>
        <v/>
      </c>
      <c r="G487" s="6" t="str">
        <f>IF(ISNA(MATCH(478,'Transfer Engine'!$C$2:$C$1199,0)),"",INDEX('Compliance Database'!$G$2:$G$1199,MATCH(478,'Transfer Engine'!$C$2:$C$1199,0)))</f>
        <v/>
      </c>
      <c r="H487" s="7" t="str">
        <f>IF(ISNA(MATCH(478,'Transfer Engine'!$C$2:$C$1199,0)),"",INDEX('Compliance Database'!$H$2:$H$1199,MATCH(478,'Transfer Engine'!$C$2:$C$1199,0)))</f>
        <v/>
      </c>
      <c r="I487" s="7" t="str">
        <f>IF(ISNA(MATCH(478,'Transfer Engine'!$C$2:$C$1199,0)),"",INDEX('Compliance Database'!$I$2:$I$1199,MATCH(478,'Transfer Engine'!$C$2:$C$1199,0)))</f>
        <v/>
      </c>
      <c r="J487" s="6" t="str">
        <f>IF(ISNA(MATCH(478,'Transfer Engine'!$C$2:$C$1199,0)),"",INDEX('Compliance Database'!$J$2:$J$1199,MATCH(478,'Transfer Engine'!$C$2:$C$1199,0)))</f>
        <v/>
      </c>
      <c r="K487" s="7" t="str">
        <f>IF(ISNA(MATCH(478,'Transfer Engine'!$C$2:$C$1199,0)),"",INDEX('Compliance Database'!$K$2:$K$1199,MATCH(478,'Transfer Engine'!$C$2:$C$1199,0)))</f>
        <v/>
      </c>
      <c r="L487" s="7" t="str">
        <f>IF(ISNA(MATCH(478,'Transfer Engine'!$C$2:$C$1199,0)),"",INDEX('Compliance Database'!$L$2:$L$1199,MATCH(478,'Transfer Engine'!$C$2:$C$1199,0)))</f>
        <v/>
      </c>
      <c r="M487" s="7" t="str">
        <f>IF(ISNA(MATCH(478,'Transfer Engine'!$C$2:$C$1199,0)),"",INDEX('Compliance Database'!$M$2:$M$1199,MATCH(478,'Transfer Engine'!$C$2:$C$1199,0)))</f>
        <v/>
      </c>
      <c r="N487" s="7" t="str">
        <f>IF(ISNA(MATCH(478,'Transfer Engine'!$C$2:$C$1199,0)),"",INDEX('Compliance Database'!$N$2:$N$1199,MATCH(478,'Transfer Engine'!$C$2:$C$1199,0)))</f>
        <v/>
      </c>
      <c r="O487" s="7" t="str">
        <f>IF(ISNA(MATCH(478,'Transfer Engine'!$C$2:$C$1199,0)),"",INDEX('Compliance Database'!$O$2:$O$1199,MATCH(478,'Transfer Engine'!$C$2:$C$1199,0)))</f>
        <v/>
      </c>
      <c r="P487" s="6" t="str">
        <f>IF(ISNA(MATCH(478,'Transfer Engine'!$C$2:$C$1199,0)),"",HYPERLINK("#Acts!A"&amp;INDEX('Compliance Database'!$P$2:$P$1199,MATCH(478,'Transfer Engine'!$C$2:$C$1199,0)),"Go to Act"))</f>
        <v/>
      </c>
    </row>
    <row r="488" spans="1:16" ht="172.95" customHeight="1" x14ac:dyDescent="0.3">
      <c r="A488" s="6" t="str">
        <f>IF(ISNA(MATCH(479,'Transfer Engine'!$C$2:$C$1199,0)),"",INDEX('Compliance Database'!$A$2:$A$1199,MATCH(479,'Transfer Engine'!$C$2:$C$1199,0)))</f>
        <v/>
      </c>
      <c r="B488" s="6" t="str">
        <f>IF(ISNA(MATCH(479,'Transfer Engine'!$C$2:$C$1199,0)),"",INDEX('Compliance Database'!$B$2:$B$1199,MATCH(479,'Transfer Engine'!$C$2:$C$1199,0)))</f>
        <v/>
      </c>
      <c r="C488" s="6" t="str">
        <f>IF(ISNA(MATCH(479,'Transfer Engine'!$C$2:$C$1199,0)),"",INDEX('Compliance Database'!$C$2:$C$1199,MATCH(479,'Transfer Engine'!$C$2:$C$1199,0)))</f>
        <v/>
      </c>
      <c r="D488" s="7" t="str">
        <f>IF(ISNA(MATCH(479,'Transfer Engine'!$C$2:$C$1199,0)),"",INDEX('Compliance Database'!$D$2:$D$1199,MATCH(479,'Transfer Engine'!$C$2:$C$1199,0)))</f>
        <v/>
      </c>
      <c r="E488" s="6" t="str">
        <f>IF(ISNA(MATCH(479,'Transfer Engine'!$C$2:$C$1199,0)),"",INDEX('Compliance Database'!$E$2:$E$1199,MATCH(479,'Transfer Engine'!$C$2:$C$1199,0)))</f>
        <v/>
      </c>
      <c r="F488" s="6" t="str">
        <f>IF(ISNA(MATCH(479,'Transfer Engine'!$C$2:$C$1199,0)),"",INDEX('Compliance Database'!$F$2:$F$1199,MATCH(479,'Transfer Engine'!$C$2:$C$1199,0)))</f>
        <v/>
      </c>
      <c r="G488" s="6" t="str">
        <f>IF(ISNA(MATCH(479,'Transfer Engine'!$C$2:$C$1199,0)),"",INDEX('Compliance Database'!$G$2:$G$1199,MATCH(479,'Transfer Engine'!$C$2:$C$1199,0)))</f>
        <v/>
      </c>
      <c r="H488" s="7" t="str">
        <f>IF(ISNA(MATCH(479,'Transfer Engine'!$C$2:$C$1199,0)),"",INDEX('Compliance Database'!$H$2:$H$1199,MATCH(479,'Transfer Engine'!$C$2:$C$1199,0)))</f>
        <v/>
      </c>
      <c r="I488" s="7" t="str">
        <f>IF(ISNA(MATCH(479,'Transfer Engine'!$C$2:$C$1199,0)),"",INDEX('Compliance Database'!$I$2:$I$1199,MATCH(479,'Transfer Engine'!$C$2:$C$1199,0)))</f>
        <v/>
      </c>
      <c r="J488" s="6" t="str">
        <f>IF(ISNA(MATCH(479,'Transfer Engine'!$C$2:$C$1199,0)),"",INDEX('Compliance Database'!$J$2:$J$1199,MATCH(479,'Transfer Engine'!$C$2:$C$1199,0)))</f>
        <v/>
      </c>
      <c r="K488" s="7" t="str">
        <f>IF(ISNA(MATCH(479,'Transfer Engine'!$C$2:$C$1199,0)),"",INDEX('Compliance Database'!$K$2:$K$1199,MATCH(479,'Transfer Engine'!$C$2:$C$1199,0)))</f>
        <v/>
      </c>
      <c r="L488" s="7" t="str">
        <f>IF(ISNA(MATCH(479,'Transfer Engine'!$C$2:$C$1199,0)),"",INDEX('Compliance Database'!$L$2:$L$1199,MATCH(479,'Transfer Engine'!$C$2:$C$1199,0)))</f>
        <v/>
      </c>
      <c r="M488" s="7" t="str">
        <f>IF(ISNA(MATCH(479,'Transfer Engine'!$C$2:$C$1199,0)),"",INDEX('Compliance Database'!$M$2:$M$1199,MATCH(479,'Transfer Engine'!$C$2:$C$1199,0)))</f>
        <v/>
      </c>
      <c r="N488" s="7" t="str">
        <f>IF(ISNA(MATCH(479,'Transfer Engine'!$C$2:$C$1199,0)),"",INDEX('Compliance Database'!$N$2:$N$1199,MATCH(479,'Transfer Engine'!$C$2:$C$1199,0)))</f>
        <v/>
      </c>
      <c r="O488" s="7" t="str">
        <f>IF(ISNA(MATCH(479,'Transfer Engine'!$C$2:$C$1199,0)),"",INDEX('Compliance Database'!$O$2:$O$1199,MATCH(479,'Transfer Engine'!$C$2:$C$1199,0)))</f>
        <v/>
      </c>
      <c r="P488" s="6" t="str">
        <f>IF(ISNA(MATCH(479,'Transfer Engine'!$C$2:$C$1199,0)),"",HYPERLINK("#Acts!A"&amp;INDEX('Compliance Database'!$P$2:$P$1199,MATCH(479,'Transfer Engine'!$C$2:$C$1199,0)),"Go to Act"))</f>
        <v/>
      </c>
    </row>
    <row r="489" spans="1:16" ht="172.95" customHeight="1" x14ac:dyDescent="0.3">
      <c r="A489" s="6" t="str">
        <f>IF(ISNA(MATCH(480,'Transfer Engine'!$C$2:$C$1199,0)),"",INDEX('Compliance Database'!$A$2:$A$1199,MATCH(480,'Transfer Engine'!$C$2:$C$1199,0)))</f>
        <v/>
      </c>
      <c r="B489" s="6" t="str">
        <f>IF(ISNA(MATCH(480,'Transfer Engine'!$C$2:$C$1199,0)),"",INDEX('Compliance Database'!$B$2:$B$1199,MATCH(480,'Transfer Engine'!$C$2:$C$1199,0)))</f>
        <v/>
      </c>
      <c r="C489" s="6" t="str">
        <f>IF(ISNA(MATCH(480,'Transfer Engine'!$C$2:$C$1199,0)),"",INDEX('Compliance Database'!$C$2:$C$1199,MATCH(480,'Transfer Engine'!$C$2:$C$1199,0)))</f>
        <v/>
      </c>
      <c r="D489" s="7" t="str">
        <f>IF(ISNA(MATCH(480,'Transfer Engine'!$C$2:$C$1199,0)),"",INDEX('Compliance Database'!$D$2:$D$1199,MATCH(480,'Transfer Engine'!$C$2:$C$1199,0)))</f>
        <v/>
      </c>
      <c r="E489" s="6" t="str">
        <f>IF(ISNA(MATCH(480,'Transfer Engine'!$C$2:$C$1199,0)),"",INDEX('Compliance Database'!$E$2:$E$1199,MATCH(480,'Transfer Engine'!$C$2:$C$1199,0)))</f>
        <v/>
      </c>
      <c r="F489" s="6" t="str">
        <f>IF(ISNA(MATCH(480,'Transfer Engine'!$C$2:$C$1199,0)),"",INDEX('Compliance Database'!$F$2:$F$1199,MATCH(480,'Transfer Engine'!$C$2:$C$1199,0)))</f>
        <v/>
      </c>
      <c r="G489" s="6" t="str">
        <f>IF(ISNA(MATCH(480,'Transfer Engine'!$C$2:$C$1199,0)),"",INDEX('Compliance Database'!$G$2:$G$1199,MATCH(480,'Transfer Engine'!$C$2:$C$1199,0)))</f>
        <v/>
      </c>
      <c r="H489" s="7" t="str">
        <f>IF(ISNA(MATCH(480,'Transfer Engine'!$C$2:$C$1199,0)),"",INDEX('Compliance Database'!$H$2:$H$1199,MATCH(480,'Transfer Engine'!$C$2:$C$1199,0)))</f>
        <v/>
      </c>
      <c r="I489" s="7" t="str">
        <f>IF(ISNA(MATCH(480,'Transfer Engine'!$C$2:$C$1199,0)),"",INDEX('Compliance Database'!$I$2:$I$1199,MATCH(480,'Transfer Engine'!$C$2:$C$1199,0)))</f>
        <v/>
      </c>
      <c r="J489" s="6" t="str">
        <f>IF(ISNA(MATCH(480,'Transfer Engine'!$C$2:$C$1199,0)),"",INDEX('Compliance Database'!$J$2:$J$1199,MATCH(480,'Transfer Engine'!$C$2:$C$1199,0)))</f>
        <v/>
      </c>
      <c r="K489" s="7" t="str">
        <f>IF(ISNA(MATCH(480,'Transfer Engine'!$C$2:$C$1199,0)),"",INDEX('Compliance Database'!$K$2:$K$1199,MATCH(480,'Transfer Engine'!$C$2:$C$1199,0)))</f>
        <v/>
      </c>
      <c r="L489" s="7" t="str">
        <f>IF(ISNA(MATCH(480,'Transfer Engine'!$C$2:$C$1199,0)),"",INDEX('Compliance Database'!$L$2:$L$1199,MATCH(480,'Transfer Engine'!$C$2:$C$1199,0)))</f>
        <v/>
      </c>
      <c r="M489" s="7" t="str">
        <f>IF(ISNA(MATCH(480,'Transfer Engine'!$C$2:$C$1199,0)),"",INDEX('Compliance Database'!$M$2:$M$1199,MATCH(480,'Transfer Engine'!$C$2:$C$1199,0)))</f>
        <v/>
      </c>
      <c r="N489" s="7" t="str">
        <f>IF(ISNA(MATCH(480,'Transfer Engine'!$C$2:$C$1199,0)),"",INDEX('Compliance Database'!$N$2:$N$1199,MATCH(480,'Transfer Engine'!$C$2:$C$1199,0)))</f>
        <v/>
      </c>
      <c r="O489" s="7" t="str">
        <f>IF(ISNA(MATCH(480,'Transfer Engine'!$C$2:$C$1199,0)),"",INDEX('Compliance Database'!$O$2:$O$1199,MATCH(480,'Transfer Engine'!$C$2:$C$1199,0)))</f>
        <v/>
      </c>
      <c r="P489" s="6" t="str">
        <f>IF(ISNA(MATCH(480,'Transfer Engine'!$C$2:$C$1199,0)),"",HYPERLINK("#Acts!A"&amp;INDEX('Compliance Database'!$P$2:$P$1199,MATCH(480,'Transfer Engine'!$C$2:$C$1199,0)),"Go to Act"))</f>
        <v/>
      </c>
    </row>
    <row r="490" spans="1:16" ht="172.95" customHeight="1" x14ac:dyDescent="0.3">
      <c r="A490" s="6" t="str">
        <f>IF(ISNA(MATCH(481,'Transfer Engine'!$C$2:$C$1199,0)),"",INDEX('Compliance Database'!$A$2:$A$1199,MATCH(481,'Transfer Engine'!$C$2:$C$1199,0)))</f>
        <v/>
      </c>
      <c r="B490" s="6" t="str">
        <f>IF(ISNA(MATCH(481,'Transfer Engine'!$C$2:$C$1199,0)),"",INDEX('Compliance Database'!$B$2:$B$1199,MATCH(481,'Transfer Engine'!$C$2:$C$1199,0)))</f>
        <v/>
      </c>
      <c r="C490" s="6" t="str">
        <f>IF(ISNA(MATCH(481,'Transfer Engine'!$C$2:$C$1199,0)),"",INDEX('Compliance Database'!$C$2:$C$1199,MATCH(481,'Transfer Engine'!$C$2:$C$1199,0)))</f>
        <v/>
      </c>
      <c r="D490" s="7" t="str">
        <f>IF(ISNA(MATCH(481,'Transfer Engine'!$C$2:$C$1199,0)),"",INDEX('Compliance Database'!$D$2:$D$1199,MATCH(481,'Transfer Engine'!$C$2:$C$1199,0)))</f>
        <v/>
      </c>
      <c r="E490" s="6" t="str">
        <f>IF(ISNA(MATCH(481,'Transfer Engine'!$C$2:$C$1199,0)),"",INDEX('Compliance Database'!$E$2:$E$1199,MATCH(481,'Transfer Engine'!$C$2:$C$1199,0)))</f>
        <v/>
      </c>
      <c r="F490" s="6" t="str">
        <f>IF(ISNA(MATCH(481,'Transfer Engine'!$C$2:$C$1199,0)),"",INDEX('Compliance Database'!$F$2:$F$1199,MATCH(481,'Transfer Engine'!$C$2:$C$1199,0)))</f>
        <v/>
      </c>
      <c r="G490" s="6" t="str">
        <f>IF(ISNA(MATCH(481,'Transfer Engine'!$C$2:$C$1199,0)),"",INDEX('Compliance Database'!$G$2:$G$1199,MATCH(481,'Transfer Engine'!$C$2:$C$1199,0)))</f>
        <v/>
      </c>
      <c r="H490" s="7" t="str">
        <f>IF(ISNA(MATCH(481,'Transfer Engine'!$C$2:$C$1199,0)),"",INDEX('Compliance Database'!$H$2:$H$1199,MATCH(481,'Transfer Engine'!$C$2:$C$1199,0)))</f>
        <v/>
      </c>
      <c r="I490" s="7" t="str">
        <f>IF(ISNA(MATCH(481,'Transfer Engine'!$C$2:$C$1199,0)),"",INDEX('Compliance Database'!$I$2:$I$1199,MATCH(481,'Transfer Engine'!$C$2:$C$1199,0)))</f>
        <v/>
      </c>
      <c r="J490" s="6" t="str">
        <f>IF(ISNA(MATCH(481,'Transfer Engine'!$C$2:$C$1199,0)),"",INDEX('Compliance Database'!$J$2:$J$1199,MATCH(481,'Transfer Engine'!$C$2:$C$1199,0)))</f>
        <v/>
      </c>
      <c r="K490" s="7" t="str">
        <f>IF(ISNA(MATCH(481,'Transfer Engine'!$C$2:$C$1199,0)),"",INDEX('Compliance Database'!$K$2:$K$1199,MATCH(481,'Transfer Engine'!$C$2:$C$1199,0)))</f>
        <v/>
      </c>
      <c r="L490" s="7" t="str">
        <f>IF(ISNA(MATCH(481,'Transfer Engine'!$C$2:$C$1199,0)),"",INDEX('Compliance Database'!$L$2:$L$1199,MATCH(481,'Transfer Engine'!$C$2:$C$1199,0)))</f>
        <v/>
      </c>
      <c r="M490" s="7" t="str">
        <f>IF(ISNA(MATCH(481,'Transfer Engine'!$C$2:$C$1199,0)),"",INDEX('Compliance Database'!$M$2:$M$1199,MATCH(481,'Transfer Engine'!$C$2:$C$1199,0)))</f>
        <v/>
      </c>
      <c r="N490" s="7" t="str">
        <f>IF(ISNA(MATCH(481,'Transfer Engine'!$C$2:$C$1199,0)),"",INDEX('Compliance Database'!$N$2:$N$1199,MATCH(481,'Transfer Engine'!$C$2:$C$1199,0)))</f>
        <v/>
      </c>
      <c r="O490" s="7" t="str">
        <f>IF(ISNA(MATCH(481,'Transfer Engine'!$C$2:$C$1199,0)),"",INDEX('Compliance Database'!$O$2:$O$1199,MATCH(481,'Transfer Engine'!$C$2:$C$1199,0)))</f>
        <v/>
      </c>
      <c r="P490" s="6" t="str">
        <f>IF(ISNA(MATCH(481,'Transfer Engine'!$C$2:$C$1199,0)),"",HYPERLINK("#Acts!A"&amp;INDEX('Compliance Database'!$P$2:$P$1199,MATCH(481,'Transfer Engine'!$C$2:$C$1199,0)),"Go to Act"))</f>
        <v/>
      </c>
    </row>
    <row r="491" spans="1:16" ht="172.95" customHeight="1" x14ac:dyDescent="0.3">
      <c r="A491" s="6" t="str">
        <f>IF(ISNA(MATCH(482,'Transfer Engine'!$C$2:$C$1199,0)),"",INDEX('Compliance Database'!$A$2:$A$1199,MATCH(482,'Transfer Engine'!$C$2:$C$1199,0)))</f>
        <v/>
      </c>
      <c r="B491" s="6" t="str">
        <f>IF(ISNA(MATCH(482,'Transfer Engine'!$C$2:$C$1199,0)),"",INDEX('Compliance Database'!$B$2:$B$1199,MATCH(482,'Transfer Engine'!$C$2:$C$1199,0)))</f>
        <v/>
      </c>
      <c r="C491" s="6" t="str">
        <f>IF(ISNA(MATCH(482,'Transfer Engine'!$C$2:$C$1199,0)),"",INDEX('Compliance Database'!$C$2:$C$1199,MATCH(482,'Transfer Engine'!$C$2:$C$1199,0)))</f>
        <v/>
      </c>
      <c r="D491" s="7" t="str">
        <f>IF(ISNA(MATCH(482,'Transfer Engine'!$C$2:$C$1199,0)),"",INDEX('Compliance Database'!$D$2:$D$1199,MATCH(482,'Transfer Engine'!$C$2:$C$1199,0)))</f>
        <v/>
      </c>
      <c r="E491" s="6" t="str">
        <f>IF(ISNA(MATCH(482,'Transfer Engine'!$C$2:$C$1199,0)),"",INDEX('Compliance Database'!$E$2:$E$1199,MATCH(482,'Transfer Engine'!$C$2:$C$1199,0)))</f>
        <v/>
      </c>
      <c r="F491" s="6" t="str">
        <f>IF(ISNA(MATCH(482,'Transfer Engine'!$C$2:$C$1199,0)),"",INDEX('Compliance Database'!$F$2:$F$1199,MATCH(482,'Transfer Engine'!$C$2:$C$1199,0)))</f>
        <v/>
      </c>
      <c r="G491" s="6" t="str">
        <f>IF(ISNA(MATCH(482,'Transfer Engine'!$C$2:$C$1199,0)),"",INDEX('Compliance Database'!$G$2:$G$1199,MATCH(482,'Transfer Engine'!$C$2:$C$1199,0)))</f>
        <v/>
      </c>
      <c r="H491" s="7" t="str">
        <f>IF(ISNA(MATCH(482,'Transfer Engine'!$C$2:$C$1199,0)),"",INDEX('Compliance Database'!$H$2:$H$1199,MATCH(482,'Transfer Engine'!$C$2:$C$1199,0)))</f>
        <v/>
      </c>
      <c r="I491" s="7" t="str">
        <f>IF(ISNA(MATCH(482,'Transfer Engine'!$C$2:$C$1199,0)),"",INDEX('Compliance Database'!$I$2:$I$1199,MATCH(482,'Transfer Engine'!$C$2:$C$1199,0)))</f>
        <v/>
      </c>
      <c r="J491" s="6" t="str">
        <f>IF(ISNA(MATCH(482,'Transfer Engine'!$C$2:$C$1199,0)),"",INDEX('Compliance Database'!$J$2:$J$1199,MATCH(482,'Transfer Engine'!$C$2:$C$1199,0)))</f>
        <v/>
      </c>
      <c r="K491" s="7" t="str">
        <f>IF(ISNA(MATCH(482,'Transfer Engine'!$C$2:$C$1199,0)),"",INDEX('Compliance Database'!$K$2:$K$1199,MATCH(482,'Transfer Engine'!$C$2:$C$1199,0)))</f>
        <v/>
      </c>
      <c r="L491" s="7" t="str">
        <f>IF(ISNA(MATCH(482,'Transfer Engine'!$C$2:$C$1199,0)),"",INDEX('Compliance Database'!$L$2:$L$1199,MATCH(482,'Transfer Engine'!$C$2:$C$1199,0)))</f>
        <v/>
      </c>
      <c r="M491" s="7" t="str">
        <f>IF(ISNA(MATCH(482,'Transfer Engine'!$C$2:$C$1199,0)),"",INDEX('Compliance Database'!$M$2:$M$1199,MATCH(482,'Transfer Engine'!$C$2:$C$1199,0)))</f>
        <v/>
      </c>
      <c r="N491" s="7" t="str">
        <f>IF(ISNA(MATCH(482,'Transfer Engine'!$C$2:$C$1199,0)),"",INDEX('Compliance Database'!$N$2:$N$1199,MATCH(482,'Transfer Engine'!$C$2:$C$1199,0)))</f>
        <v/>
      </c>
      <c r="O491" s="7" t="str">
        <f>IF(ISNA(MATCH(482,'Transfer Engine'!$C$2:$C$1199,0)),"",INDEX('Compliance Database'!$O$2:$O$1199,MATCH(482,'Transfer Engine'!$C$2:$C$1199,0)))</f>
        <v/>
      </c>
      <c r="P491" s="6" t="str">
        <f>IF(ISNA(MATCH(482,'Transfer Engine'!$C$2:$C$1199,0)),"",HYPERLINK("#Acts!A"&amp;INDEX('Compliance Database'!$P$2:$P$1199,MATCH(482,'Transfer Engine'!$C$2:$C$1199,0)),"Go to Act"))</f>
        <v/>
      </c>
    </row>
    <row r="492" spans="1:16" ht="172.95" customHeight="1" x14ac:dyDescent="0.3">
      <c r="A492" s="6" t="str">
        <f>IF(ISNA(MATCH(483,'Transfer Engine'!$C$2:$C$1199,0)),"",INDEX('Compliance Database'!$A$2:$A$1199,MATCH(483,'Transfer Engine'!$C$2:$C$1199,0)))</f>
        <v/>
      </c>
      <c r="B492" s="6" t="str">
        <f>IF(ISNA(MATCH(483,'Transfer Engine'!$C$2:$C$1199,0)),"",INDEX('Compliance Database'!$B$2:$B$1199,MATCH(483,'Transfer Engine'!$C$2:$C$1199,0)))</f>
        <v/>
      </c>
      <c r="C492" s="6" t="str">
        <f>IF(ISNA(MATCH(483,'Transfer Engine'!$C$2:$C$1199,0)),"",INDEX('Compliance Database'!$C$2:$C$1199,MATCH(483,'Transfer Engine'!$C$2:$C$1199,0)))</f>
        <v/>
      </c>
      <c r="D492" s="7" t="str">
        <f>IF(ISNA(MATCH(483,'Transfer Engine'!$C$2:$C$1199,0)),"",INDEX('Compliance Database'!$D$2:$D$1199,MATCH(483,'Transfer Engine'!$C$2:$C$1199,0)))</f>
        <v/>
      </c>
      <c r="E492" s="6" t="str">
        <f>IF(ISNA(MATCH(483,'Transfer Engine'!$C$2:$C$1199,0)),"",INDEX('Compliance Database'!$E$2:$E$1199,MATCH(483,'Transfer Engine'!$C$2:$C$1199,0)))</f>
        <v/>
      </c>
      <c r="F492" s="6" t="str">
        <f>IF(ISNA(MATCH(483,'Transfer Engine'!$C$2:$C$1199,0)),"",INDEX('Compliance Database'!$F$2:$F$1199,MATCH(483,'Transfer Engine'!$C$2:$C$1199,0)))</f>
        <v/>
      </c>
      <c r="G492" s="6" t="str">
        <f>IF(ISNA(MATCH(483,'Transfer Engine'!$C$2:$C$1199,0)),"",INDEX('Compliance Database'!$G$2:$G$1199,MATCH(483,'Transfer Engine'!$C$2:$C$1199,0)))</f>
        <v/>
      </c>
      <c r="H492" s="7" t="str">
        <f>IF(ISNA(MATCH(483,'Transfer Engine'!$C$2:$C$1199,0)),"",INDEX('Compliance Database'!$H$2:$H$1199,MATCH(483,'Transfer Engine'!$C$2:$C$1199,0)))</f>
        <v/>
      </c>
      <c r="I492" s="7" t="str">
        <f>IF(ISNA(MATCH(483,'Transfer Engine'!$C$2:$C$1199,0)),"",INDEX('Compliance Database'!$I$2:$I$1199,MATCH(483,'Transfer Engine'!$C$2:$C$1199,0)))</f>
        <v/>
      </c>
      <c r="J492" s="6" t="str">
        <f>IF(ISNA(MATCH(483,'Transfer Engine'!$C$2:$C$1199,0)),"",INDEX('Compliance Database'!$J$2:$J$1199,MATCH(483,'Transfer Engine'!$C$2:$C$1199,0)))</f>
        <v/>
      </c>
      <c r="K492" s="7" t="str">
        <f>IF(ISNA(MATCH(483,'Transfer Engine'!$C$2:$C$1199,0)),"",INDEX('Compliance Database'!$K$2:$K$1199,MATCH(483,'Transfer Engine'!$C$2:$C$1199,0)))</f>
        <v/>
      </c>
      <c r="L492" s="7" t="str">
        <f>IF(ISNA(MATCH(483,'Transfer Engine'!$C$2:$C$1199,0)),"",INDEX('Compliance Database'!$L$2:$L$1199,MATCH(483,'Transfer Engine'!$C$2:$C$1199,0)))</f>
        <v/>
      </c>
      <c r="M492" s="7" t="str">
        <f>IF(ISNA(MATCH(483,'Transfer Engine'!$C$2:$C$1199,0)),"",INDEX('Compliance Database'!$M$2:$M$1199,MATCH(483,'Transfer Engine'!$C$2:$C$1199,0)))</f>
        <v/>
      </c>
      <c r="N492" s="7" t="str">
        <f>IF(ISNA(MATCH(483,'Transfer Engine'!$C$2:$C$1199,0)),"",INDEX('Compliance Database'!$N$2:$N$1199,MATCH(483,'Transfer Engine'!$C$2:$C$1199,0)))</f>
        <v/>
      </c>
      <c r="O492" s="7" t="str">
        <f>IF(ISNA(MATCH(483,'Transfer Engine'!$C$2:$C$1199,0)),"",INDEX('Compliance Database'!$O$2:$O$1199,MATCH(483,'Transfer Engine'!$C$2:$C$1199,0)))</f>
        <v/>
      </c>
      <c r="P492" s="6" t="str">
        <f>IF(ISNA(MATCH(483,'Transfer Engine'!$C$2:$C$1199,0)),"",HYPERLINK("#Acts!A"&amp;INDEX('Compliance Database'!$P$2:$P$1199,MATCH(483,'Transfer Engine'!$C$2:$C$1199,0)),"Go to Act"))</f>
        <v/>
      </c>
    </row>
    <row r="493" spans="1:16" ht="172.95" customHeight="1" x14ac:dyDescent="0.3">
      <c r="A493" s="6" t="str">
        <f>IF(ISNA(MATCH(484,'Transfer Engine'!$C$2:$C$1199,0)),"",INDEX('Compliance Database'!$A$2:$A$1199,MATCH(484,'Transfer Engine'!$C$2:$C$1199,0)))</f>
        <v/>
      </c>
      <c r="B493" s="6" t="str">
        <f>IF(ISNA(MATCH(484,'Transfer Engine'!$C$2:$C$1199,0)),"",INDEX('Compliance Database'!$B$2:$B$1199,MATCH(484,'Transfer Engine'!$C$2:$C$1199,0)))</f>
        <v/>
      </c>
      <c r="C493" s="6" t="str">
        <f>IF(ISNA(MATCH(484,'Transfer Engine'!$C$2:$C$1199,0)),"",INDEX('Compliance Database'!$C$2:$C$1199,MATCH(484,'Transfer Engine'!$C$2:$C$1199,0)))</f>
        <v/>
      </c>
      <c r="D493" s="7" t="str">
        <f>IF(ISNA(MATCH(484,'Transfer Engine'!$C$2:$C$1199,0)),"",INDEX('Compliance Database'!$D$2:$D$1199,MATCH(484,'Transfer Engine'!$C$2:$C$1199,0)))</f>
        <v/>
      </c>
      <c r="E493" s="6" t="str">
        <f>IF(ISNA(MATCH(484,'Transfer Engine'!$C$2:$C$1199,0)),"",INDEX('Compliance Database'!$E$2:$E$1199,MATCH(484,'Transfer Engine'!$C$2:$C$1199,0)))</f>
        <v/>
      </c>
      <c r="F493" s="6" t="str">
        <f>IF(ISNA(MATCH(484,'Transfer Engine'!$C$2:$C$1199,0)),"",INDEX('Compliance Database'!$F$2:$F$1199,MATCH(484,'Transfer Engine'!$C$2:$C$1199,0)))</f>
        <v/>
      </c>
      <c r="G493" s="6" t="str">
        <f>IF(ISNA(MATCH(484,'Transfer Engine'!$C$2:$C$1199,0)),"",INDEX('Compliance Database'!$G$2:$G$1199,MATCH(484,'Transfer Engine'!$C$2:$C$1199,0)))</f>
        <v/>
      </c>
      <c r="H493" s="7" t="str">
        <f>IF(ISNA(MATCH(484,'Transfer Engine'!$C$2:$C$1199,0)),"",INDEX('Compliance Database'!$H$2:$H$1199,MATCH(484,'Transfer Engine'!$C$2:$C$1199,0)))</f>
        <v/>
      </c>
      <c r="I493" s="7" t="str">
        <f>IF(ISNA(MATCH(484,'Transfer Engine'!$C$2:$C$1199,0)),"",INDEX('Compliance Database'!$I$2:$I$1199,MATCH(484,'Transfer Engine'!$C$2:$C$1199,0)))</f>
        <v/>
      </c>
      <c r="J493" s="6" t="str">
        <f>IF(ISNA(MATCH(484,'Transfer Engine'!$C$2:$C$1199,0)),"",INDEX('Compliance Database'!$J$2:$J$1199,MATCH(484,'Transfer Engine'!$C$2:$C$1199,0)))</f>
        <v/>
      </c>
      <c r="K493" s="7" t="str">
        <f>IF(ISNA(MATCH(484,'Transfer Engine'!$C$2:$C$1199,0)),"",INDEX('Compliance Database'!$K$2:$K$1199,MATCH(484,'Transfer Engine'!$C$2:$C$1199,0)))</f>
        <v/>
      </c>
      <c r="L493" s="7" t="str">
        <f>IF(ISNA(MATCH(484,'Transfer Engine'!$C$2:$C$1199,0)),"",INDEX('Compliance Database'!$L$2:$L$1199,MATCH(484,'Transfer Engine'!$C$2:$C$1199,0)))</f>
        <v/>
      </c>
      <c r="M493" s="7" t="str">
        <f>IF(ISNA(MATCH(484,'Transfer Engine'!$C$2:$C$1199,0)),"",INDEX('Compliance Database'!$M$2:$M$1199,MATCH(484,'Transfer Engine'!$C$2:$C$1199,0)))</f>
        <v/>
      </c>
      <c r="N493" s="7" t="str">
        <f>IF(ISNA(MATCH(484,'Transfer Engine'!$C$2:$C$1199,0)),"",INDEX('Compliance Database'!$N$2:$N$1199,MATCH(484,'Transfer Engine'!$C$2:$C$1199,0)))</f>
        <v/>
      </c>
      <c r="O493" s="7" t="str">
        <f>IF(ISNA(MATCH(484,'Transfer Engine'!$C$2:$C$1199,0)),"",INDEX('Compliance Database'!$O$2:$O$1199,MATCH(484,'Transfer Engine'!$C$2:$C$1199,0)))</f>
        <v/>
      </c>
      <c r="P493" s="6" t="str">
        <f>IF(ISNA(MATCH(484,'Transfer Engine'!$C$2:$C$1199,0)),"",HYPERLINK("#Acts!A"&amp;INDEX('Compliance Database'!$P$2:$P$1199,MATCH(484,'Transfer Engine'!$C$2:$C$1199,0)),"Go to Act"))</f>
        <v/>
      </c>
    </row>
    <row r="494" spans="1:16" ht="172.95" customHeight="1" x14ac:dyDescent="0.3">
      <c r="A494" s="6" t="str">
        <f>IF(ISNA(MATCH(485,'Transfer Engine'!$C$2:$C$1199,0)),"",INDEX('Compliance Database'!$A$2:$A$1199,MATCH(485,'Transfer Engine'!$C$2:$C$1199,0)))</f>
        <v/>
      </c>
      <c r="B494" s="6" t="str">
        <f>IF(ISNA(MATCH(485,'Transfer Engine'!$C$2:$C$1199,0)),"",INDEX('Compliance Database'!$B$2:$B$1199,MATCH(485,'Transfer Engine'!$C$2:$C$1199,0)))</f>
        <v/>
      </c>
      <c r="C494" s="6" t="str">
        <f>IF(ISNA(MATCH(485,'Transfer Engine'!$C$2:$C$1199,0)),"",INDEX('Compliance Database'!$C$2:$C$1199,MATCH(485,'Transfer Engine'!$C$2:$C$1199,0)))</f>
        <v/>
      </c>
      <c r="D494" s="7" t="str">
        <f>IF(ISNA(MATCH(485,'Transfer Engine'!$C$2:$C$1199,0)),"",INDEX('Compliance Database'!$D$2:$D$1199,MATCH(485,'Transfer Engine'!$C$2:$C$1199,0)))</f>
        <v/>
      </c>
      <c r="E494" s="6" t="str">
        <f>IF(ISNA(MATCH(485,'Transfer Engine'!$C$2:$C$1199,0)),"",INDEX('Compliance Database'!$E$2:$E$1199,MATCH(485,'Transfer Engine'!$C$2:$C$1199,0)))</f>
        <v/>
      </c>
      <c r="F494" s="6" t="str">
        <f>IF(ISNA(MATCH(485,'Transfer Engine'!$C$2:$C$1199,0)),"",INDEX('Compliance Database'!$F$2:$F$1199,MATCH(485,'Transfer Engine'!$C$2:$C$1199,0)))</f>
        <v/>
      </c>
      <c r="G494" s="6" t="str">
        <f>IF(ISNA(MATCH(485,'Transfer Engine'!$C$2:$C$1199,0)),"",INDEX('Compliance Database'!$G$2:$G$1199,MATCH(485,'Transfer Engine'!$C$2:$C$1199,0)))</f>
        <v/>
      </c>
      <c r="H494" s="7" t="str">
        <f>IF(ISNA(MATCH(485,'Transfer Engine'!$C$2:$C$1199,0)),"",INDEX('Compliance Database'!$H$2:$H$1199,MATCH(485,'Transfer Engine'!$C$2:$C$1199,0)))</f>
        <v/>
      </c>
      <c r="I494" s="7" t="str">
        <f>IF(ISNA(MATCH(485,'Transfer Engine'!$C$2:$C$1199,0)),"",INDEX('Compliance Database'!$I$2:$I$1199,MATCH(485,'Transfer Engine'!$C$2:$C$1199,0)))</f>
        <v/>
      </c>
      <c r="J494" s="6" t="str">
        <f>IF(ISNA(MATCH(485,'Transfer Engine'!$C$2:$C$1199,0)),"",INDEX('Compliance Database'!$J$2:$J$1199,MATCH(485,'Transfer Engine'!$C$2:$C$1199,0)))</f>
        <v/>
      </c>
      <c r="K494" s="7" t="str">
        <f>IF(ISNA(MATCH(485,'Transfer Engine'!$C$2:$C$1199,0)),"",INDEX('Compliance Database'!$K$2:$K$1199,MATCH(485,'Transfer Engine'!$C$2:$C$1199,0)))</f>
        <v/>
      </c>
      <c r="L494" s="7" t="str">
        <f>IF(ISNA(MATCH(485,'Transfer Engine'!$C$2:$C$1199,0)),"",INDEX('Compliance Database'!$L$2:$L$1199,MATCH(485,'Transfer Engine'!$C$2:$C$1199,0)))</f>
        <v/>
      </c>
      <c r="M494" s="7" t="str">
        <f>IF(ISNA(MATCH(485,'Transfer Engine'!$C$2:$C$1199,0)),"",INDEX('Compliance Database'!$M$2:$M$1199,MATCH(485,'Transfer Engine'!$C$2:$C$1199,0)))</f>
        <v/>
      </c>
      <c r="N494" s="7" t="str">
        <f>IF(ISNA(MATCH(485,'Transfer Engine'!$C$2:$C$1199,0)),"",INDEX('Compliance Database'!$N$2:$N$1199,MATCH(485,'Transfer Engine'!$C$2:$C$1199,0)))</f>
        <v/>
      </c>
      <c r="O494" s="7" t="str">
        <f>IF(ISNA(MATCH(485,'Transfer Engine'!$C$2:$C$1199,0)),"",INDEX('Compliance Database'!$O$2:$O$1199,MATCH(485,'Transfer Engine'!$C$2:$C$1199,0)))</f>
        <v/>
      </c>
      <c r="P494" s="6" t="str">
        <f>IF(ISNA(MATCH(485,'Transfer Engine'!$C$2:$C$1199,0)),"",HYPERLINK("#Acts!A"&amp;INDEX('Compliance Database'!$P$2:$P$1199,MATCH(485,'Transfer Engine'!$C$2:$C$1199,0)),"Go to Act"))</f>
        <v/>
      </c>
    </row>
    <row r="495" spans="1:16" ht="172.95" customHeight="1" x14ac:dyDescent="0.3">
      <c r="A495" s="6" t="str">
        <f>IF(ISNA(MATCH(486,'Transfer Engine'!$C$2:$C$1199,0)),"",INDEX('Compliance Database'!$A$2:$A$1199,MATCH(486,'Transfer Engine'!$C$2:$C$1199,0)))</f>
        <v/>
      </c>
      <c r="B495" s="6" t="str">
        <f>IF(ISNA(MATCH(486,'Transfer Engine'!$C$2:$C$1199,0)),"",INDEX('Compliance Database'!$B$2:$B$1199,MATCH(486,'Transfer Engine'!$C$2:$C$1199,0)))</f>
        <v/>
      </c>
      <c r="C495" s="6" t="str">
        <f>IF(ISNA(MATCH(486,'Transfer Engine'!$C$2:$C$1199,0)),"",INDEX('Compliance Database'!$C$2:$C$1199,MATCH(486,'Transfer Engine'!$C$2:$C$1199,0)))</f>
        <v/>
      </c>
      <c r="D495" s="7" t="str">
        <f>IF(ISNA(MATCH(486,'Transfer Engine'!$C$2:$C$1199,0)),"",INDEX('Compliance Database'!$D$2:$D$1199,MATCH(486,'Transfer Engine'!$C$2:$C$1199,0)))</f>
        <v/>
      </c>
      <c r="E495" s="6" t="str">
        <f>IF(ISNA(MATCH(486,'Transfer Engine'!$C$2:$C$1199,0)),"",INDEX('Compliance Database'!$E$2:$E$1199,MATCH(486,'Transfer Engine'!$C$2:$C$1199,0)))</f>
        <v/>
      </c>
      <c r="F495" s="6" t="str">
        <f>IF(ISNA(MATCH(486,'Transfer Engine'!$C$2:$C$1199,0)),"",INDEX('Compliance Database'!$F$2:$F$1199,MATCH(486,'Transfer Engine'!$C$2:$C$1199,0)))</f>
        <v/>
      </c>
      <c r="G495" s="6" t="str">
        <f>IF(ISNA(MATCH(486,'Transfer Engine'!$C$2:$C$1199,0)),"",INDEX('Compliance Database'!$G$2:$G$1199,MATCH(486,'Transfer Engine'!$C$2:$C$1199,0)))</f>
        <v/>
      </c>
      <c r="H495" s="7" t="str">
        <f>IF(ISNA(MATCH(486,'Transfer Engine'!$C$2:$C$1199,0)),"",INDEX('Compliance Database'!$H$2:$H$1199,MATCH(486,'Transfer Engine'!$C$2:$C$1199,0)))</f>
        <v/>
      </c>
      <c r="I495" s="7" t="str">
        <f>IF(ISNA(MATCH(486,'Transfer Engine'!$C$2:$C$1199,0)),"",INDEX('Compliance Database'!$I$2:$I$1199,MATCH(486,'Transfer Engine'!$C$2:$C$1199,0)))</f>
        <v/>
      </c>
      <c r="J495" s="6" t="str">
        <f>IF(ISNA(MATCH(486,'Transfer Engine'!$C$2:$C$1199,0)),"",INDEX('Compliance Database'!$J$2:$J$1199,MATCH(486,'Transfer Engine'!$C$2:$C$1199,0)))</f>
        <v/>
      </c>
      <c r="K495" s="7" t="str">
        <f>IF(ISNA(MATCH(486,'Transfer Engine'!$C$2:$C$1199,0)),"",INDEX('Compliance Database'!$K$2:$K$1199,MATCH(486,'Transfer Engine'!$C$2:$C$1199,0)))</f>
        <v/>
      </c>
      <c r="L495" s="7" t="str">
        <f>IF(ISNA(MATCH(486,'Transfer Engine'!$C$2:$C$1199,0)),"",INDEX('Compliance Database'!$L$2:$L$1199,MATCH(486,'Transfer Engine'!$C$2:$C$1199,0)))</f>
        <v/>
      </c>
      <c r="M495" s="7" t="str">
        <f>IF(ISNA(MATCH(486,'Transfer Engine'!$C$2:$C$1199,0)),"",INDEX('Compliance Database'!$M$2:$M$1199,MATCH(486,'Transfer Engine'!$C$2:$C$1199,0)))</f>
        <v/>
      </c>
      <c r="N495" s="7" t="str">
        <f>IF(ISNA(MATCH(486,'Transfer Engine'!$C$2:$C$1199,0)),"",INDEX('Compliance Database'!$N$2:$N$1199,MATCH(486,'Transfer Engine'!$C$2:$C$1199,0)))</f>
        <v/>
      </c>
      <c r="O495" s="7" t="str">
        <f>IF(ISNA(MATCH(486,'Transfer Engine'!$C$2:$C$1199,0)),"",INDEX('Compliance Database'!$O$2:$O$1199,MATCH(486,'Transfer Engine'!$C$2:$C$1199,0)))</f>
        <v/>
      </c>
      <c r="P495" s="6" t="str">
        <f>IF(ISNA(MATCH(486,'Transfer Engine'!$C$2:$C$1199,0)),"",HYPERLINK("#Acts!A"&amp;INDEX('Compliance Database'!$P$2:$P$1199,MATCH(486,'Transfer Engine'!$C$2:$C$1199,0)),"Go to Act"))</f>
        <v/>
      </c>
    </row>
    <row r="496" spans="1:16" ht="172.95" customHeight="1" x14ac:dyDescent="0.3">
      <c r="A496" s="6" t="str">
        <f>IF(ISNA(MATCH(487,'Transfer Engine'!$C$2:$C$1199,0)),"",INDEX('Compliance Database'!$A$2:$A$1199,MATCH(487,'Transfer Engine'!$C$2:$C$1199,0)))</f>
        <v/>
      </c>
      <c r="B496" s="6" t="str">
        <f>IF(ISNA(MATCH(487,'Transfer Engine'!$C$2:$C$1199,0)),"",INDEX('Compliance Database'!$B$2:$B$1199,MATCH(487,'Transfer Engine'!$C$2:$C$1199,0)))</f>
        <v/>
      </c>
      <c r="C496" s="6" t="str">
        <f>IF(ISNA(MATCH(487,'Transfer Engine'!$C$2:$C$1199,0)),"",INDEX('Compliance Database'!$C$2:$C$1199,MATCH(487,'Transfer Engine'!$C$2:$C$1199,0)))</f>
        <v/>
      </c>
      <c r="D496" s="7" t="str">
        <f>IF(ISNA(MATCH(487,'Transfer Engine'!$C$2:$C$1199,0)),"",INDEX('Compliance Database'!$D$2:$D$1199,MATCH(487,'Transfer Engine'!$C$2:$C$1199,0)))</f>
        <v/>
      </c>
      <c r="E496" s="6" t="str">
        <f>IF(ISNA(MATCH(487,'Transfer Engine'!$C$2:$C$1199,0)),"",INDEX('Compliance Database'!$E$2:$E$1199,MATCH(487,'Transfer Engine'!$C$2:$C$1199,0)))</f>
        <v/>
      </c>
      <c r="F496" s="6" t="str">
        <f>IF(ISNA(MATCH(487,'Transfer Engine'!$C$2:$C$1199,0)),"",INDEX('Compliance Database'!$F$2:$F$1199,MATCH(487,'Transfer Engine'!$C$2:$C$1199,0)))</f>
        <v/>
      </c>
      <c r="G496" s="6" t="str">
        <f>IF(ISNA(MATCH(487,'Transfer Engine'!$C$2:$C$1199,0)),"",INDEX('Compliance Database'!$G$2:$G$1199,MATCH(487,'Transfer Engine'!$C$2:$C$1199,0)))</f>
        <v/>
      </c>
      <c r="H496" s="7" t="str">
        <f>IF(ISNA(MATCH(487,'Transfer Engine'!$C$2:$C$1199,0)),"",INDEX('Compliance Database'!$H$2:$H$1199,MATCH(487,'Transfer Engine'!$C$2:$C$1199,0)))</f>
        <v/>
      </c>
      <c r="I496" s="7" t="str">
        <f>IF(ISNA(MATCH(487,'Transfer Engine'!$C$2:$C$1199,0)),"",INDEX('Compliance Database'!$I$2:$I$1199,MATCH(487,'Transfer Engine'!$C$2:$C$1199,0)))</f>
        <v/>
      </c>
      <c r="J496" s="6" t="str">
        <f>IF(ISNA(MATCH(487,'Transfer Engine'!$C$2:$C$1199,0)),"",INDEX('Compliance Database'!$J$2:$J$1199,MATCH(487,'Transfer Engine'!$C$2:$C$1199,0)))</f>
        <v/>
      </c>
      <c r="K496" s="7" t="str">
        <f>IF(ISNA(MATCH(487,'Transfer Engine'!$C$2:$C$1199,0)),"",INDEX('Compliance Database'!$K$2:$K$1199,MATCH(487,'Transfer Engine'!$C$2:$C$1199,0)))</f>
        <v/>
      </c>
      <c r="L496" s="7" t="str">
        <f>IF(ISNA(MATCH(487,'Transfer Engine'!$C$2:$C$1199,0)),"",INDEX('Compliance Database'!$L$2:$L$1199,MATCH(487,'Transfer Engine'!$C$2:$C$1199,0)))</f>
        <v/>
      </c>
      <c r="M496" s="7" t="str">
        <f>IF(ISNA(MATCH(487,'Transfer Engine'!$C$2:$C$1199,0)),"",INDEX('Compliance Database'!$M$2:$M$1199,MATCH(487,'Transfer Engine'!$C$2:$C$1199,0)))</f>
        <v/>
      </c>
      <c r="N496" s="7" t="str">
        <f>IF(ISNA(MATCH(487,'Transfer Engine'!$C$2:$C$1199,0)),"",INDEX('Compliance Database'!$N$2:$N$1199,MATCH(487,'Transfer Engine'!$C$2:$C$1199,0)))</f>
        <v/>
      </c>
      <c r="O496" s="7" t="str">
        <f>IF(ISNA(MATCH(487,'Transfer Engine'!$C$2:$C$1199,0)),"",INDEX('Compliance Database'!$O$2:$O$1199,MATCH(487,'Transfer Engine'!$C$2:$C$1199,0)))</f>
        <v/>
      </c>
      <c r="P496" s="6" t="str">
        <f>IF(ISNA(MATCH(487,'Transfer Engine'!$C$2:$C$1199,0)),"",HYPERLINK("#Acts!A"&amp;INDEX('Compliance Database'!$P$2:$P$1199,MATCH(487,'Transfer Engine'!$C$2:$C$1199,0)),"Go to Act"))</f>
        <v/>
      </c>
    </row>
    <row r="497" spans="1:16" ht="172.95" customHeight="1" x14ac:dyDescent="0.3">
      <c r="A497" s="6" t="str">
        <f>IF(ISNA(MATCH(488,'Transfer Engine'!$C$2:$C$1199,0)),"",INDEX('Compliance Database'!$A$2:$A$1199,MATCH(488,'Transfer Engine'!$C$2:$C$1199,0)))</f>
        <v/>
      </c>
      <c r="B497" s="6" t="str">
        <f>IF(ISNA(MATCH(488,'Transfer Engine'!$C$2:$C$1199,0)),"",INDEX('Compliance Database'!$B$2:$B$1199,MATCH(488,'Transfer Engine'!$C$2:$C$1199,0)))</f>
        <v/>
      </c>
      <c r="C497" s="6" t="str">
        <f>IF(ISNA(MATCH(488,'Transfer Engine'!$C$2:$C$1199,0)),"",INDEX('Compliance Database'!$C$2:$C$1199,MATCH(488,'Transfer Engine'!$C$2:$C$1199,0)))</f>
        <v/>
      </c>
      <c r="D497" s="7" t="str">
        <f>IF(ISNA(MATCH(488,'Transfer Engine'!$C$2:$C$1199,0)),"",INDEX('Compliance Database'!$D$2:$D$1199,MATCH(488,'Transfer Engine'!$C$2:$C$1199,0)))</f>
        <v/>
      </c>
      <c r="E497" s="6" t="str">
        <f>IF(ISNA(MATCH(488,'Transfer Engine'!$C$2:$C$1199,0)),"",INDEX('Compliance Database'!$E$2:$E$1199,MATCH(488,'Transfer Engine'!$C$2:$C$1199,0)))</f>
        <v/>
      </c>
      <c r="F497" s="6" t="str">
        <f>IF(ISNA(MATCH(488,'Transfer Engine'!$C$2:$C$1199,0)),"",INDEX('Compliance Database'!$F$2:$F$1199,MATCH(488,'Transfer Engine'!$C$2:$C$1199,0)))</f>
        <v/>
      </c>
      <c r="G497" s="6" t="str">
        <f>IF(ISNA(MATCH(488,'Transfer Engine'!$C$2:$C$1199,0)),"",INDEX('Compliance Database'!$G$2:$G$1199,MATCH(488,'Transfer Engine'!$C$2:$C$1199,0)))</f>
        <v/>
      </c>
      <c r="H497" s="7" t="str">
        <f>IF(ISNA(MATCH(488,'Transfer Engine'!$C$2:$C$1199,0)),"",INDEX('Compliance Database'!$H$2:$H$1199,MATCH(488,'Transfer Engine'!$C$2:$C$1199,0)))</f>
        <v/>
      </c>
      <c r="I497" s="7" t="str">
        <f>IF(ISNA(MATCH(488,'Transfer Engine'!$C$2:$C$1199,0)),"",INDEX('Compliance Database'!$I$2:$I$1199,MATCH(488,'Transfer Engine'!$C$2:$C$1199,0)))</f>
        <v/>
      </c>
      <c r="J497" s="6" t="str">
        <f>IF(ISNA(MATCH(488,'Transfer Engine'!$C$2:$C$1199,0)),"",INDEX('Compliance Database'!$J$2:$J$1199,MATCH(488,'Transfer Engine'!$C$2:$C$1199,0)))</f>
        <v/>
      </c>
      <c r="K497" s="7" t="str">
        <f>IF(ISNA(MATCH(488,'Transfer Engine'!$C$2:$C$1199,0)),"",INDEX('Compliance Database'!$K$2:$K$1199,MATCH(488,'Transfer Engine'!$C$2:$C$1199,0)))</f>
        <v/>
      </c>
      <c r="L497" s="7" t="str">
        <f>IF(ISNA(MATCH(488,'Transfer Engine'!$C$2:$C$1199,0)),"",INDEX('Compliance Database'!$L$2:$L$1199,MATCH(488,'Transfer Engine'!$C$2:$C$1199,0)))</f>
        <v/>
      </c>
      <c r="M497" s="7" t="str">
        <f>IF(ISNA(MATCH(488,'Transfer Engine'!$C$2:$C$1199,0)),"",INDEX('Compliance Database'!$M$2:$M$1199,MATCH(488,'Transfer Engine'!$C$2:$C$1199,0)))</f>
        <v/>
      </c>
      <c r="N497" s="7" t="str">
        <f>IF(ISNA(MATCH(488,'Transfer Engine'!$C$2:$C$1199,0)),"",INDEX('Compliance Database'!$N$2:$N$1199,MATCH(488,'Transfer Engine'!$C$2:$C$1199,0)))</f>
        <v/>
      </c>
      <c r="O497" s="7" t="str">
        <f>IF(ISNA(MATCH(488,'Transfer Engine'!$C$2:$C$1199,0)),"",INDEX('Compliance Database'!$O$2:$O$1199,MATCH(488,'Transfer Engine'!$C$2:$C$1199,0)))</f>
        <v/>
      </c>
      <c r="P497" s="6" t="str">
        <f>IF(ISNA(MATCH(488,'Transfer Engine'!$C$2:$C$1199,0)),"",HYPERLINK("#Acts!A"&amp;INDEX('Compliance Database'!$P$2:$P$1199,MATCH(488,'Transfer Engine'!$C$2:$C$1199,0)),"Go to Act"))</f>
        <v/>
      </c>
    </row>
    <row r="498" spans="1:16" ht="172.95" customHeight="1" x14ac:dyDescent="0.3">
      <c r="A498" s="6" t="str">
        <f>IF(ISNA(MATCH(489,'Transfer Engine'!$C$2:$C$1199,0)),"",INDEX('Compliance Database'!$A$2:$A$1199,MATCH(489,'Transfer Engine'!$C$2:$C$1199,0)))</f>
        <v/>
      </c>
      <c r="B498" s="6" t="str">
        <f>IF(ISNA(MATCH(489,'Transfer Engine'!$C$2:$C$1199,0)),"",INDEX('Compliance Database'!$B$2:$B$1199,MATCH(489,'Transfer Engine'!$C$2:$C$1199,0)))</f>
        <v/>
      </c>
      <c r="C498" s="6" t="str">
        <f>IF(ISNA(MATCH(489,'Transfer Engine'!$C$2:$C$1199,0)),"",INDEX('Compliance Database'!$C$2:$C$1199,MATCH(489,'Transfer Engine'!$C$2:$C$1199,0)))</f>
        <v/>
      </c>
      <c r="D498" s="7" t="str">
        <f>IF(ISNA(MATCH(489,'Transfer Engine'!$C$2:$C$1199,0)),"",INDEX('Compliance Database'!$D$2:$D$1199,MATCH(489,'Transfer Engine'!$C$2:$C$1199,0)))</f>
        <v/>
      </c>
      <c r="E498" s="6" t="str">
        <f>IF(ISNA(MATCH(489,'Transfer Engine'!$C$2:$C$1199,0)),"",INDEX('Compliance Database'!$E$2:$E$1199,MATCH(489,'Transfer Engine'!$C$2:$C$1199,0)))</f>
        <v/>
      </c>
      <c r="F498" s="6" t="str">
        <f>IF(ISNA(MATCH(489,'Transfer Engine'!$C$2:$C$1199,0)),"",INDEX('Compliance Database'!$F$2:$F$1199,MATCH(489,'Transfer Engine'!$C$2:$C$1199,0)))</f>
        <v/>
      </c>
      <c r="G498" s="6" t="str">
        <f>IF(ISNA(MATCH(489,'Transfer Engine'!$C$2:$C$1199,0)),"",INDEX('Compliance Database'!$G$2:$G$1199,MATCH(489,'Transfer Engine'!$C$2:$C$1199,0)))</f>
        <v/>
      </c>
      <c r="H498" s="7" t="str">
        <f>IF(ISNA(MATCH(489,'Transfer Engine'!$C$2:$C$1199,0)),"",INDEX('Compliance Database'!$H$2:$H$1199,MATCH(489,'Transfer Engine'!$C$2:$C$1199,0)))</f>
        <v/>
      </c>
      <c r="I498" s="7" t="str">
        <f>IF(ISNA(MATCH(489,'Transfer Engine'!$C$2:$C$1199,0)),"",INDEX('Compliance Database'!$I$2:$I$1199,MATCH(489,'Transfer Engine'!$C$2:$C$1199,0)))</f>
        <v/>
      </c>
      <c r="J498" s="6" t="str">
        <f>IF(ISNA(MATCH(489,'Transfer Engine'!$C$2:$C$1199,0)),"",INDEX('Compliance Database'!$J$2:$J$1199,MATCH(489,'Transfer Engine'!$C$2:$C$1199,0)))</f>
        <v/>
      </c>
      <c r="K498" s="7" t="str">
        <f>IF(ISNA(MATCH(489,'Transfer Engine'!$C$2:$C$1199,0)),"",INDEX('Compliance Database'!$K$2:$K$1199,MATCH(489,'Transfer Engine'!$C$2:$C$1199,0)))</f>
        <v/>
      </c>
      <c r="L498" s="7" t="str">
        <f>IF(ISNA(MATCH(489,'Transfer Engine'!$C$2:$C$1199,0)),"",INDEX('Compliance Database'!$L$2:$L$1199,MATCH(489,'Transfer Engine'!$C$2:$C$1199,0)))</f>
        <v/>
      </c>
      <c r="M498" s="7" t="str">
        <f>IF(ISNA(MATCH(489,'Transfer Engine'!$C$2:$C$1199,0)),"",INDEX('Compliance Database'!$M$2:$M$1199,MATCH(489,'Transfer Engine'!$C$2:$C$1199,0)))</f>
        <v/>
      </c>
      <c r="N498" s="7" t="str">
        <f>IF(ISNA(MATCH(489,'Transfer Engine'!$C$2:$C$1199,0)),"",INDEX('Compliance Database'!$N$2:$N$1199,MATCH(489,'Transfer Engine'!$C$2:$C$1199,0)))</f>
        <v/>
      </c>
      <c r="O498" s="7" t="str">
        <f>IF(ISNA(MATCH(489,'Transfer Engine'!$C$2:$C$1199,0)),"",INDEX('Compliance Database'!$O$2:$O$1199,MATCH(489,'Transfer Engine'!$C$2:$C$1199,0)))</f>
        <v/>
      </c>
      <c r="P498" s="6" t="str">
        <f>IF(ISNA(MATCH(489,'Transfer Engine'!$C$2:$C$1199,0)),"",HYPERLINK("#Acts!A"&amp;INDEX('Compliance Database'!$P$2:$P$1199,MATCH(489,'Transfer Engine'!$C$2:$C$1199,0)),"Go to Act"))</f>
        <v/>
      </c>
    </row>
    <row r="499" spans="1:16" ht="172.95" customHeight="1" x14ac:dyDescent="0.3">
      <c r="A499" s="6" t="str">
        <f>IF(ISNA(MATCH(490,'Transfer Engine'!$C$2:$C$1199,0)),"",INDEX('Compliance Database'!$A$2:$A$1199,MATCH(490,'Transfer Engine'!$C$2:$C$1199,0)))</f>
        <v/>
      </c>
      <c r="B499" s="6" t="str">
        <f>IF(ISNA(MATCH(490,'Transfer Engine'!$C$2:$C$1199,0)),"",INDEX('Compliance Database'!$B$2:$B$1199,MATCH(490,'Transfer Engine'!$C$2:$C$1199,0)))</f>
        <v/>
      </c>
      <c r="C499" s="6" t="str">
        <f>IF(ISNA(MATCH(490,'Transfer Engine'!$C$2:$C$1199,0)),"",INDEX('Compliance Database'!$C$2:$C$1199,MATCH(490,'Transfer Engine'!$C$2:$C$1199,0)))</f>
        <v/>
      </c>
      <c r="D499" s="7" t="str">
        <f>IF(ISNA(MATCH(490,'Transfer Engine'!$C$2:$C$1199,0)),"",INDEX('Compliance Database'!$D$2:$D$1199,MATCH(490,'Transfer Engine'!$C$2:$C$1199,0)))</f>
        <v/>
      </c>
      <c r="E499" s="6" t="str">
        <f>IF(ISNA(MATCH(490,'Transfer Engine'!$C$2:$C$1199,0)),"",INDEX('Compliance Database'!$E$2:$E$1199,MATCH(490,'Transfer Engine'!$C$2:$C$1199,0)))</f>
        <v/>
      </c>
      <c r="F499" s="6" t="str">
        <f>IF(ISNA(MATCH(490,'Transfer Engine'!$C$2:$C$1199,0)),"",INDEX('Compliance Database'!$F$2:$F$1199,MATCH(490,'Transfer Engine'!$C$2:$C$1199,0)))</f>
        <v/>
      </c>
      <c r="G499" s="6" t="str">
        <f>IF(ISNA(MATCH(490,'Transfer Engine'!$C$2:$C$1199,0)),"",INDEX('Compliance Database'!$G$2:$G$1199,MATCH(490,'Transfer Engine'!$C$2:$C$1199,0)))</f>
        <v/>
      </c>
      <c r="H499" s="7" t="str">
        <f>IF(ISNA(MATCH(490,'Transfer Engine'!$C$2:$C$1199,0)),"",INDEX('Compliance Database'!$H$2:$H$1199,MATCH(490,'Transfer Engine'!$C$2:$C$1199,0)))</f>
        <v/>
      </c>
      <c r="I499" s="7" t="str">
        <f>IF(ISNA(MATCH(490,'Transfer Engine'!$C$2:$C$1199,0)),"",INDEX('Compliance Database'!$I$2:$I$1199,MATCH(490,'Transfer Engine'!$C$2:$C$1199,0)))</f>
        <v/>
      </c>
      <c r="J499" s="6" t="str">
        <f>IF(ISNA(MATCH(490,'Transfer Engine'!$C$2:$C$1199,0)),"",INDEX('Compliance Database'!$J$2:$J$1199,MATCH(490,'Transfer Engine'!$C$2:$C$1199,0)))</f>
        <v/>
      </c>
      <c r="K499" s="7" t="str">
        <f>IF(ISNA(MATCH(490,'Transfer Engine'!$C$2:$C$1199,0)),"",INDEX('Compliance Database'!$K$2:$K$1199,MATCH(490,'Transfer Engine'!$C$2:$C$1199,0)))</f>
        <v/>
      </c>
      <c r="L499" s="7" t="str">
        <f>IF(ISNA(MATCH(490,'Transfer Engine'!$C$2:$C$1199,0)),"",INDEX('Compliance Database'!$L$2:$L$1199,MATCH(490,'Transfer Engine'!$C$2:$C$1199,0)))</f>
        <v/>
      </c>
      <c r="M499" s="7" t="str">
        <f>IF(ISNA(MATCH(490,'Transfer Engine'!$C$2:$C$1199,0)),"",INDEX('Compliance Database'!$M$2:$M$1199,MATCH(490,'Transfer Engine'!$C$2:$C$1199,0)))</f>
        <v/>
      </c>
      <c r="N499" s="7" t="str">
        <f>IF(ISNA(MATCH(490,'Transfer Engine'!$C$2:$C$1199,0)),"",INDEX('Compliance Database'!$N$2:$N$1199,MATCH(490,'Transfer Engine'!$C$2:$C$1199,0)))</f>
        <v/>
      </c>
      <c r="O499" s="7" t="str">
        <f>IF(ISNA(MATCH(490,'Transfer Engine'!$C$2:$C$1199,0)),"",INDEX('Compliance Database'!$O$2:$O$1199,MATCH(490,'Transfer Engine'!$C$2:$C$1199,0)))</f>
        <v/>
      </c>
      <c r="P499" s="6" t="str">
        <f>IF(ISNA(MATCH(490,'Transfer Engine'!$C$2:$C$1199,0)),"",HYPERLINK("#Acts!A"&amp;INDEX('Compliance Database'!$P$2:$P$1199,MATCH(490,'Transfer Engine'!$C$2:$C$1199,0)),"Go to Act"))</f>
        <v/>
      </c>
    </row>
    <row r="500" spans="1:16" ht="172.95" customHeight="1" x14ac:dyDescent="0.3">
      <c r="A500" s="6" t="str">
        <f>IF(ISNA(MATCH(491,'Transfer Engine'!$C$2:$C$1199,0)),"",INDEX('Compliance Database'!$A$2:$A$1199,MATCH(491,'Transfer Engine'!$C$2:$C$1199,0)))</f>
        <v/>
      </c>
      <c r="B500" s="6" t="str">
        <f>IF(ISNA(MATCH(491,'Transfer Engine'!$C$2:$C$1199,0)),"",INDEX('Compliance Database'!$B$2:$B$1199,MATCH(491,'Transfer Engine'!$C$2:$C$1199,0)))</f>
        <v/>
      </c>
      <c r="C500" s="6" t="str">
        <f>IF(ISNA(MATCH(491,'Transfer Engine'!$C$2:$C$1199,0)),"",INDEX('Compliance Database'!$C$2:$C$1199,MATCH(491,'Transfer Engine'!$C$2:$C$1199,0)))</f>
        <v/>
      </c>
      <c r="D500" s="7" t="str">
        <f>IF(ISNA(MATCH(491,'Transfer Engine'!$C$2:$C$1199,0)),"",INDEX('Compliance Database'!$D$2:$D$1199,MATCH(491,'Transfer Engine'!$C$2:$C$1199,0)))</f>
        <v/>
      </c>
      <c r="E500" s="6" t="str">
        <f>IF(ISNA(MATCH(491,'Transfer Engine'!$C$2:$C$1199,0)),"",INDEX('Compliance Database'!$E$2:$E$1199,MATCH(491,'Transfer Engine'!$C$2:$C$1199,0)))</f>
        <v/>
      </c>
      <c r="F500" s="6" t="str">
        <f>IF(ISNA(MATCH(491,'Transfer Engine'!$C$2:$C$1199,0)),"",INDEX('Compliance Database'!$F$2:$F$1199,MATCH(491,'Transfer Engine'!$C$2:$C$1199,0)))</f>
        <v/>
      </c>
      <c r="G500" s="6" t="str">
        <f>IF(ISNA(MATCH(491,'Transfer Engine'!$C$2:$C$1199,0)),"",INDEX('Compliance Database'!$G$2:$G$1199,MATCH(491,'Transfer Engine'!$C$2:$C$1199,0)))</f>
        <v/>
      </c>
      <c r="H500" s="7" t="str">
        <f>IF(ISNA(MATCH(491,'Transfer Engine'!$C$2:$C$1199,0)),"",INDEX('Compliance Database'!$H$2:$H$1199,MATCH(491,'Transfer Engine'!$C$2:$C$1199,0)))</f>
        <v/>
      </c>
      <c r="I500" s="7" t="str">
        <f>IF(ISNA(MATCH(491,'Transfer Engine'!$C$2:$C$1199,0)),"",INDEX('Compliance Database'!$I$2:$I$1199,MATCH(491,'Transfer Engine'!$C$2:$C$1199,0)))</f>
        <v/>
      </c>
      <c r="J500" s="6" t="str">
        <f>IF(ISNA(MATCH(491,'Transfer Engine'!$C$2:$C$1199,0)),"",INDEX('Compliance Database'!$J$2:$J$1199,MATCH(491,'Transfer Engine'!$C$2:$C$1199,0)))</f>
        <v/>
      </c>
      <c r="K500" s="7" t="str">
        <f>IF(ISNA(MATCH(491,'Transfer Engine'!$C$2:$C$1199,0)),"",INDEX('Compliance Database'!$K$2:$K$1199,MATCH(491,'Transfer Engine'!$C$2:$C$1199,0)))</f>
        <v/>
      </c>
      <c r="L500" s="7" t="str">
        <f>IF(ISNA(MATCH(491,'Transfer Engine'!$C$2:$C$1199,0)),"",INDEX('Compliance Database'!$L$2:$L$1199,MATCH(491,'Transfer Engine'!$C$2:$C$1199,0)))</f>
        <v/>
      </c>
      <c r="M500" s="7" t="str">
        <f>IF(ISNA(MATCH(491,'Transfer Engine'!$C$2:$C$1199,0)),"",INDEX('Compliance Database'!$M$2:$M$1199,MATCH(491,'Transfer Engine'!$C$2:$C$1199,0)))</f>
        <v/>
      </c>
      <c r="N500" s="7" t="str">
        <f>IF(ISNA(MATCH(491,'Transfer Engine'!$C$2:$C$1199,0)),"",INDEX('Compliance Database'!$N$2:$N$1199,MATCH(491,'Transfer Engine'!$C$2:$C$1199,0)))</f>
        <v/>
      </c>
      <c r="O500" s="7" t="str">
        <f>IF(ISNA(MATCH(491,'Transfer Engine'!$C$2:$C$1199,0)),"",INDEX('Compliance Database'!$O$2:$O$1199,MATCH(491,'Transfer Engine'!$C$2:$C$1199,0)))</f>
        <v/>
      </c>
      <c r="P500" s="6" t="str">
        <f>IF(ISNA(MATCH(491,'Transfer Engine'!$C$2:$C$1199,0)),"",HYPERLINK("#Acts!A"&amp;INDEX('Compliance Database'!$P$2:$P$1199,MATCH(491,'Transfer Engine'!$C$2:$C$1199,0)),"Go to Act"))</f>
        <v/>
      </c>
    </row>
    <row r="501" spans="1:16" ht="172.95" customHeight="1" x14ac:dyDescent="0.3">
      <c r="A501" s="6" t="str">
        <f>IF(ISNA(MATCH(492,'Transfer Engine'!$C$2:$C$1199,0)),"",INDEX('Compliance Database'!$A$2:$A$1199,MATCH(492,'Transfer Engine'!$C$2:$C$1199,0)))</f>
        <v/>
      </c>
      <c r="B501" s="6" t="str">
        <f>IF(ISNA(MATCH(492,'Transfer Engine'!$C$2:$C$1199,0)),"",INDEX('Compliance Database'!$B$2:$B$1199,MATCH(492,'Transfer Engine'!$C$2:$C$1199,0)))</f>
        <v/>
      </c>
      <c r="C501" s="6" t="str">
        <f>IF(ISNA(MATCH(492,'Transfer Engine'!$C$2:$C$1199,0)),"",INDEX('Compliance Database'!$C$2:$C$1199,MATCH(492,'Transfer Engine'!$C$2:$C$1199,0)))</f>
        <v/>
      </c>
      <c r="D501" s="7" t="str">
        <f>IF(ISNA(MATCH(492,'Transfer Engine'!$C$2:$C$1199,0)),"",INDEX('Compliance Database'!$D$2:$D$1199,MATCH(492,'Transfer Engine'!$C$2:$C$1199,0)))</f>
        <v/>
      </c>
      <c r="E501" s="6" t="str">
        <f>IF(ISNA(MATCH(492,'Transfer Engine'!$C$2:$C$1199,0)),"",INDEX('Compliance Database'!$E$2:$E$1199,MATCH(492,'Transfer Engine'!$C$2:$C$1199,0)))</f>
        <v/>
      </c>
      <c r="F501" s="6" t="str">
        <f>IF(ISNA(MATCH(492,'Transfer Engine'!$C$2:$C$1199,0)),"",INDEX('Compliance Database'!$F$2:$F$1199,MATCH(492,'Transfer Engine'!$C$2:$C$1199,0)))</f>
        <v/>
      </c>
      <c r="G501" s="6" t="str">
        <f>IF(ISNA(MATCH(492,'Transfer Engine'!$C$2:$C$1199,0)),"",INDEX('Compliance Database'!$G$2:$G$1199,MATCH(492,'Transfer Engine'!$C$2:$C$1199,0)))</f>
        <v/>
      </c>
      <c r="H501" s="7" t="str">
        <f>IF(ISNA(MATCH(492,'Transfer Engine'!$C$2:$C$1199,0)),"",INDEX('Compliance Database'!$H$2:$H$1199,MATCH(492,'Transfer Engine'!$C$2:$C$1199,0)))</f>
        <v/>
      </c>
      <c r="I501" s="7" t="str">
        <f>IF(ISNA(MATCH(492,'Transfer Engine'!$C$2:$C$1199,0)),"",INDEX('Compliance Database'!$I$2:$I$1199,MATCH(492,'Transfer Engine'!$C$2:$C$1199,0)))</f>
        <v/>
      </c>
      <c r="J501" s="6" t="str">
        <f>IF(ISNA(MATCH(492,'Transfer Engine'!$C$2:$C$1199,0)),"",INDEX('Compliance Database'!$J$2:$J$1199,MATCH(492,'Transfer Engine'!$C$2:$C$1199,0)))</f>
        <v/>
      </c>
      <c r="K501" s="7" t="str">
        <f>IF(ISNA(MATCH(492,'Transfer Engine'!$C$2:$C$1199,0)),"",INDEX('Compliance Database'!$K$2:$K$1199,MATCH(492,'Transfer Engine'!$C$2:$C$1199,0)))</f>
        <v/>
      </c>
      <c r="L501" s="7" t="str">
        <f>IF(ISNA(MATCH(492,'Transfer Engine'!$C$2:$C$1199,0)),"",INDEX('Compliance Database'!$L$2:$L$1199,MATCH(492,'Transfer Engine'!$C$2:$C$1199,0)))</f>
        <v/>
      </c>
      <c r="M501" s="7" t="str">
        <f>IF(ISNA(MATCH(492,'Transfer Engine'!$C$2:$C$1199,0)),"",INDEX('Compliance Database'!$M$2:$M$1199,MATCH(492,'Transfer Engine'!$C$2:$C$1199,0)))</f>
        <v/>
      </c>
      <c r="N501" s="7" t="str">
        <f>IF(ISNA(MATCH(492,'Transfer Engine'!$C$2:$C$1199,0)),"",INDEX('Compliance Database'!$N$2:$N$1199,MATCH(492,'Transfer Engine'!$C$2:$C$1199,0)))</f>
        <v/>
      </c>
      <c r="O501" s="7" t="str">
        <f>IF(ISNA(MATCH(492,'Transfer Engine'!$C$2:$C$1199,0)),"",INDEX('Compliance Database'!$O$2:$O$1199,MATCH(492,'Transfer Engine'!$C$2:$C$1199,0)))</f>
        <v/>
      </c>
      <c r="P501" s="6" t="str">
        <f>IF(ISNA(MATCH(492,'Transfer Engine'!$C$2:$C$1199,0)),"",HYPERLINK("#Acts!A"&amp;INDEX('Compliance Database'!$P$2:$P$1199,MATCH(492,'Transfer Engine'!$C$2:$C$1199,0)),"Go to Act"))</f>
        <v/>
      </c>
    </row>
    <row r="502" spans="1:16" ht="172.95" customHeight="1" x14ac:dyDescent="0.3">
      <c r="A502" s="6" t="str">
        <f>IF(ISNA(MATCH(493,'Transfer Engine'!$C$2:$C$1199,0)),"",INDEX('Compliance Database'!$A$2:$A$1199,MATCH(493,'Transfer Engine'!$C$2:$C$1199,0)))</f>
        <v/>
      </c>
      <c r="B502" s="6" t="str">
        <f>IF(ISNA(MATCH(493,'Transfer Engine'!$C$2:$C$1199,0)),"",INDEX('Compliance Database'!$B$2:$B$1199,MATCH(493,'Transfer Engine'!$C$2:$C$1199,0)))</f>
        <v/>
      </c>
      <c r="C502" s="6" t="str">
        <f>IF(ISNA(MATCH(493,'Transfer Engine'!$C$2:$C$1199,0)),"",INDEX('Compliance Database'!$C$2:$C$1199,MATCH(493,'Transfer Engine'!$C$2:$C$1199,0)))</f>
        <v/>
      </c>
      <c r="D502" s="7" t="str">
        <f>IF(ISNA(MATCH(493,'Transfer Engine'!$C$2:$C$1199,0)),"",INDEX('Compliance Database'!$D$2:$D$1199,MATCH(493,'Transfer Engine'!$C$2:$C$1199,0)))</f>
        <v/>
      </c>
      <c r="E502" s="6" t="str">
        <f>IF(ISNA(MATCH(493,'Transfer Engine'!$C$2:$C$1199,0)),"",INDEX('Compliance Database'!$E$2:$E$1199,MATCH(493,'Transfer Engine'!$C$2:$C$1199,0)))</f>
        <v/>
      </c>
      <c r="F502" s="6" t="str">
        <f>IF(ISNA(MATCH(493,'Transfer Engine'!$C$2:$C$1199,0)),"",INDEX('Compliance Database'!$F$2:$F$1199,MATCH(493,'Transfer Engine'!$C$2:$C$1199,0)))</f>
        <v/>
      </c>
      <c r="G502" s="6" t="str">
        <f>IF(ISNA(MATCH(493,'Transfer Engine'!$C$2:$C$1199,0)),"",INDEX('Compliance Database'!$G$2:$G$1199,MATCH(493,'Transfer Engine'!$C$2:$C$1199,0)))</f>
        <v/>
      </c>
      <c r="H502" s="7" t="str">
        <f>IF(ISNA(MATCH(493,'Transfer Engine'!$C$2:$C$1199,0)),"",INDEX('Compliance Database'!$H$2:$H$1199,MATCH(493,'Transfer Engine'!$C$2:$C$1199,0)))</f>
        <v/>
      </c>
      <c r="I502" s="7" t="str">
        <f>IF(ISNA(MATCH(493,'Transfer Engine'!$C$2:$C$1199,0)),"",INDEX('Compliance Database'!$I$2:$I$1199,MATCH(493,'Transfer Engine'!$C$2:$C$1199,0)))</f>
        <v/>
      </c>
      <c r="J502" s="6" t="str">
        <f>IF(ISNA(MATCH(493,'Transfer Engine'!$C$2:$C$1199,0)),"",INDEX('Compliance Database'!$J$2:$J$1199,MATCH(493,'Transfer Engine'!$C$2:$C$1199,0)))</f>
        <v/>
      </c>
      <c r="K502" s="7" t="str">
        <f>IF(ISNA(MATCH(493,'Transfer Engine'!$C$2:$C$1199,0)),"",INDEX('Compliance Database'!$K$2:$K$1199,MATCH(493,'Transfer Engine'!$C$2:$C$1199,0)))</f>
        <v/>
      </c>
      <c r="L502" s="7" t="str">
        <f>IF(ISNA(MATCH(493,'Transfer Engine'!$C$2:$C$1199,0)),"",INDEX('Compliance Database'!$L$2:$L$1199,MATCH(493,'Transfer Engine'!$C$2:$C$1199,0)))</f>
        <v/>
      </c>
      <c r="M502" s="7" t="str">
        <f>IF(ISNA(MATCH(493,'Transfer Engine'!$C$2:$C$1199,0)),"",INDEX('Compliance Database'!$M$2:$M$1199,MATCH(493,'Transfer Engine'!$C$2:$C$1199,0)))</f>
        <v/>
      </c>
      <c r="N502" s="7" t="str">
        <f>IF(ISNA(MATCH(493,'Transfer Engine'!$C$2:$C$1199,0)),"",INDEX('Compliance Database'!$N$2:$N$1199,MATCH(493,'Transfer Engine'!$C$2:$C$1199,0)))</f>
        <v/>
      </c>
      <c r="O502" s="7" t="str">
        <f>IF(ISNA(MATCH(493,'Transfer Engine'!$C$2:$C$1199,0)),"",INDEX('Compliance Database'!$O$2:$O$1199,MATCH(493,'Transfer Engine'!$C$2:$C$1199,0)))</f>
        <v/>
      </c>
      <c r="P502" s="6" t="str">
        <f>IF(ISNA(MATCH(493,'Transfer Engine'!$C$2:$C$1199,0)),"",HYPERLINK("#Acts!A"&amp;INDEX('Compliance Database'!$P$2:$P$1199,MATCH(493,'Transfer Engine'!$C$2:$C$1199,0)),"Go to Act"))</f>
        <v/>
      </c>
    </row>
    <row r="503" spans="1:16" ht="172.95" customHeight="1" x14ac:dyDescent="0.3">
      <c r="A503" s="6" t="str">
        <f>IF(ISNA(MATCH(494,'Transfer Engine'!$C$2:$C$1199,0)),"",INDEX('Compliance Database'!$A$2:$A$1199,MATCH(494,'Transfer Engine'!$C$2:$C$1199,0)))</f>
        <v/>
      </c>
      <c r="B503" s="6" t="str">
        <f>IF(ISNA(MATCH(494,'Transfer Engine'!$C$2:$C$1199,0)),"",INDEX('Compliance Database'!$B$2:$B$1199,MATCH(494,'Transfer Engine'!$C$2:$C$1199,0)))</f>
        <v/>
      </c>
      <c r="C503" s="6" t="str">
        <f>IF(ISNA(MATCH(494,'Transfer Engine'!$C$2:$C$1199,0)),"",INDEX('Compliance Database'!$C$2:$C$1199,MATCH(494,'Transfer Engine'!$C$2:$C$1199,0)))</f>
        <v/>
      </c>
      <c r="D503" s="7" t="str">
        <f>IF(ISNA(MATCH(494,'Transfer Engine'!$C$2:$C$1199,0)),"",INDEX('Compliance Database'!$D$2:$D$1199,MATCH(494,'Transfer Engine'!$C$2:$C$1199,0)))</f>
        <v/>
      </c>
      <c r="E503" s="6" t="str">
        <f>IF(ISNA(MATCH(494,'Transfer Engine'!$C$2:$C$1199,0)),"",INDEX('Compliance Database'!$E$2:$E$1199,MATCH(494,'Transfer Engine'!$C$2:$C$1199,0)))</f>
        <v/>
      </c>
      <c r="F503" s="6" t="str">
        <f>IF(ISNA(MATCH(494,'Transfer Engine'!$C$2:$C$1199,0)),"",INDEX('Compliance Database'!$F$2:$F$1199,MATCH(494,'Transfer Engine'!$C$2:$C$1199,0)))</f>
        <v/>
      </c>
      <c r="G503" s="6" t="str">
        <f>IF(ISNA(MATCH(494,'Transfer Engine'!$C$2:$C$1199,0)),"",INDEX('Compliance Database'!$G$2:$G$1199,MATCH(494,'Transfer Engine'!$C$2:$C$1199,0)))</f>
        <v/>
      </c>
      <c r="H503" s="7" t="str">
        <f>IF(ISNA(MATCH(494,'Transfer Engine'!$C$2:$C$1199,0)),"",INDEX('Compliance Database'!$H$2:$H$1199,MATCH(494,'Transfer Engine'!$C$2:$C$1199,0)))</f>
        <v/>
      </c>
      <c r="I503" s="7" t="str">
        <f>IF(ISNA(MATCH(494,'Transfer Engine'!$C$2:$C$1199,0)),"",INDEX('Compliance Database'!$I$2:$I$1199,MATCH(494,'Transfer Engine'!$C$2:$C$1199,0)))</f>
        <v/>
      </c>
      <c r="J503" s="6" t="str">
        <f>IF(ISNA(MATCH(494,'Transfer Engine'!$C$2:$C$1199,0)),"",INDEX('Compliance Database'!$J$2:$J$1199,MATCH(494,'Transfer Engine'!$C$2:$C$1199,0)))</f>
        <v/>
      </c>
      <c r="K503" s="7" t="str">
        <f>IF(ISNA(MATCH(494,'Transfer Engine'!$C$2:$C$1199,0)),"",INDEX('Compliance Database'!$K$2:$K$1199,MATCH(494,'Transfer Engine'!$C$2:$C$1199,0)))</f>
        <v/>
      </c>
      <c r="L503" s="7" t="str">
        <f>IF(ISNA(MATCH(494,'Transfer Engine'!$C$2:$C$1199,0)),"",INDEX('Compliance Database'!$L$2:$L$1199,MATCH(494,'Transfer Engine'!$C$2:$C$1199,0)))</f>
        <v/>
      </c>
      <c r="M503" s="7" t="str">
        <f>IF(ISNA(MATCH(494,'Transfer Engine'!$C$2:$C$1199,0)),"",INDEX('Compliance Database'!$M$2:$M$1199,MATCH(494,'Transfer Engine'!$C$2:$C$1199,0)))</f>
        <v/>
      </c>
      <c r="N503" s="7" t="str">
        <f>IF(ISNA(MATCH(494,'Transfer Engine'!$C$2:$C$1199,0)),"",INDEX('Compliance Database'!$N$2:$N$1199,MATCH(494,'Transfer Engine'!$C$2:$C$1199,0)))</f>
        <v/>
      </c>
      <c r="O503" s="7" t="str">
        <f>IF(ISNA(MATCH(494,'Transfer Engine'!$C$2:$C$1199,0)),"",INDEX('Compliance Database'!$O$2:$O$1199,MATCH(494,'Transfer Engine'!$C$2:$C$1199,0)))</f>
        <v/>
      </c>
      <c r="P503" s="6" t="str">
        <f>IF(ISNA(MATCH(494,'Transfer Engine'!$C$2:$C$1199,0)),"",HYPERLINK("#Acts!A"&amp;INDEX('Compliance Database'!$P$2:$P$1199,MATCH(494,'Transfer Engine'!$C$2:$C$1199,0)),"Go to Act"))</f>
        <v/>
      </c>
    </row>
    <row r="504" spans="1:16" ht="172.95" customHeight="1" x14ac:dyDescent="0.3">
      <c r="A504" s="6" t="str">
        <f>IF(ISNA(MATCH(495,'Transfer Engine'!$C$2:$C$1199,0)),"",INDEX('Compliance Database'!$A$2:$A$1199,MATCH(495,'Transfer Engine'!$C$2:$C$1199,0)))</f>
        <v/>
      </c>
      <c r="B504" s="6" t="str">
        <f>IF(ISNA(MATCH(495,'Transfer Engine'!$C$2:$C$1199,0)),"",INDEX('Compliance Database'!$B$2:$B$1199,MATCH(495,'Transfer Engine'!$C$2:$C$1199,0)))</f>
        <v/>
      </c>
      <c r="C504" s="6" t="str">
        <f>IF(ISNA(MATCH(495,'Transfer Engine'!$C$2:$C$1199,0)),"",INDEX('Compliance Database'!$C$2:$C$1199,MATCH(495,'Transfer Engine'!$C$2:$C$1199,0)))</f>
        <v/>
      </c>
      <c r="D504" s="7" t="str">
        <f>IF(ISNA(MATCH(495,'Transfer Engine'!$C$2:$C$1199,0)),"",INDEX('Compliance Database'!$D$2:$D$1199,MATCH(495,'Transfer Engine'!$C$2:$C$1199,0)))</f>
        <v/>
      </c>
      <c r="E504" s="6" t="str">
        <f>IF(ISNA(MATCH(495,'Transfer Engine'!$C$2:$C$1199,0)),"",INDEX('Compliance Database'!$E$2:$E$1199,MATCH(495,'Transfer Engine'!$C$2:$C$1199,0)))</f>
        <v/>
      </c>
      <c r="F504" s="6" t="str">
        <f>IF(ISNA(MATCH(495,'Transfer Engine'!$C$2:$C$1199,0)),"",INDEX('Compliance Database'!$F$2:$F$1199,MATCH(495,'Transfer Engine'!$C$2:$C$1199,0)))</f>
        <v/>
      </c>
      <c r="G504" s="6" t="str">
        <f>IF(ISNA(MATCH(495,'Transfer Engine'!$C$2:$C$1199,0)),"",INDEX('Compliance Database'!$G$2:$G$1199,MATCH(495,'Transfer Engine'!$C$2:$C$1199,0)))</f>
        <v/>
      </c>
      <c r="H504" s="7" t="str">
        <f>IF(ISNA(MATCH(495,'Transfer Engine'!$C$2:$C$1199,0)),"",INDEX('Compliance Database'!$H$2:$H$1199,MATCH(495,'Transfer Engine'!$C$2:$C$1199,0)))</f>
        <v/>
      </c>
      <c r="I504" s="7" t="str">
        <f>IF(ISNA(MATCH(495,'Transfer Engine'!$C$2:$C$1199,0)),"",INDEX('Compliance Database'!$I$2:$I$1199,MATCH(495,'Transfer Engine'!$C$2:$C$1199,0)))</f>
        <v/>
      </c>
      <c r="J504" s="6" t="str">
        <f>IF(ISNA(MATCH(495,'Transfer Engine'!$C$2:$C$1199,0)),"",INDEX('Compliance Database'!$J$2:$J$1199,MATCH(495,'Transfer Engine'!$C$2:$C$1199,0)))</f>
        <v/>
      </c>
      <c r="K504" s="7" t="str">
        <f>IF(ISNA(MATCH(495,'Transfer Engine'!$C$2:$C$1199,0)),"",INDEX('Compliance Database'!$K$2:$K$1199,MATCH(495,'Transfer Engine'!$C$2:$C$1199,0)))</f>
        <v/>
      </c>
      <c r="L504" s="7" t="str">
        <f>IF(ISNA(MATCH(495,'Transfer Engine'!$C$2:$C$1199,0)),"",INDEX('Compliance Database'!$L$2:$L$1199,MATCH(495,'Transfer Engine'!$C$2:$C$1199,0)))</f>
        <v/>
      </c>
      <c r="M504" s="7" t="str">
        <f>IF(ISNA(MATCH(495,'Transfer Engine'!$C$2:$C$1199,0)),"",INDEX('Compliance Database'!$M$2:$M$1199,MATCH(495,'Transfer Engine'!$C$2:$C$1199,0)))</f>
        <v/>
      </c>
      <c r="N504" s="7" t="str">
        <f>IF(ISNA(MATCH(495,'Transfer Engine'!$C$2:$C$1199,0)),"",INDEX('Compliance Database'!$N$2:$N$1199,MATCH(495,'Transfer Engine'!$C$2:$C$1199,0)))</f>
        <v/>
      </c>
      <c r="O504" s="7" t="str">
        <f>IF(ISNA(MATCH(495,'Transfer Engine'!$C$2:$C$1199,0)),"",INDEX('Compliance Database'!$O$2:$O$1199,MATCH(495,'Transfer Engine'!$C$2:$C$1199,0)))</f>
        <v/>
      </c>
      <c r="P504" s="6" t="str">
        <f>IF(ISNA(MATCH(495,'Transfer Engine'!$C$2:$C$1199,0)),"",HYPERLINK("#Acts!A"&amp;INDEX('Compliance Database'!$P$2:$P$1199,MATCH(495,'Transfer Engine'!$C$2:$C$1199,0)),"Go to Act"))</f>
        <v/>
      </c>
    </row>
    <row r="505" spans="1:16" ht="172.95" customHeight="1" x14ac:dyDescent="0.3">
      <c r="A505" s="6" t="str">
        <f>IF(ISNA(MATCH(496,'Transfer Engine'!$C$2:$C$1199,0)),"",INDEX('Compliance Database'!$A$2:$A$1199,MATCH(496,'Transfer Engine'!$C$2:$C$1199,0)))</f>
        <v/>
      </c>
      <c r="B505" s="6" t="str">
        <f>IF(ISNA(MATCH(496,'Transfer Engine'!$C$2:$C$1199,0)),"",INDEX('Compliance Database'!$B$2:$B$1199,MATCH(496,'Transfer Engine'!$C$2:$C$1199,0)))</f>
        <v/>
      </c>
      <c r="C505" s="6" t="str">
        <f>IF(ISNA(MATCH(496,'Transfer Engine'!$C$2:$C$1199,0)),"",INDEX('Compliance Database'!$C$2:$C$1199,MATCH(496,'Transfer Engine'!$C$2:$C$1199,0)))</f>
        <v/>
      </c>
      <c r="D505" s="7" t="str">
        <f>IF(ISNA(MATCH(496,'Transfer Engine'!$C$2:$C$1199,0)),"",INDEX('Compliance Database'!$D$2:$D$1199,MATCH(496,'Transfer Engine'!$C$2:$C$1199,0)))</f>
        <v/>
      </c>
      <c r="E505" s="6" t="str">
        <f>IF(ISNA(MATCH(496,'Transfer Engine'!$C$2:$C$1199,0)),"",INDEX('Compliance Database'!$E$2:$E$1199,MATCH(496,'Transfer Engine'!$C$2:$C$1199,0)))</f>
        <v/>
      </c>
      <c r="F505" s="6" t="str">
        <f>IF(ISNA(MATCH(496,'Transfer Engine'!$C$2:$C$1199,0)),"",INDEX('Compliance Database'!$F$2:$F$1199,MATCH(496,'Transfer Engine'!$C$2:$C$1199,0)))</f>
        <v/>
      </c>
      <c r="G505" s="6" t="str">
        <f>IF(ISNA(MATCH(496,'Transfer Engine'!$C$2:$C$1199,0)),"",INDEX('Compliance Database'!$G$2:$G$1199,MATCH(496,'Transfer Engine'!$C$2:$C$1199,0)))</f>
        <v/>
      </c>
      <c r="H505" s="7" t="str">
        <f>IF(ISNA(MATCH(496,'Transfer Engine'!$C$2:$C$1199,0)),"",INDEX('Compliance Database'!$H$2:$H$1199,MATCH(496,'Transfer Engine'!$C$2:$C$1199,0)))</f>
        <v/>
      </c>
      <c r="I505" s="7" t="str">
        <f>IF(ISNA(MATCH(496,'Transfer Engine'!$C$2:$C$1199,0)),"",INDEX('Compliance Database'!$I$2:$I$1199,MATCH(496,'Transfer Engine'!$C$2:$C$1199,0)))</f>
        <v/>
      </c>
      <c r="J505" s="6" t="str">
        <f>IF(ISNA(MATCH(496,'Transfer Engine'!$C$2:$C$1199,0)),"",INDEX('Compliance Database'!$J$2:$J$1199,MATCH(496,'Transfer Engine'!$C$2:$C$1199,0)))</f>
        <v/>
      </c>
      <c r="K505" s="7" t="str">
        <f>IF(ISNA(MATCH(496,'Transfer Engine'!$C$2:$C$1199,0)),"",INDEX('Compliance Database'!$K$2:$K$1199,MATCH(496,'Transfer Engine'!$C$2:$C$1199,0)))</f>
        <v/>
      </c>
      <c r="L505" s="7" t="str">
        <f>IF(ISNA(MATCH(496,'Transfer Engine'!$C$2:$C$1199,0)),"",INDEX('Compliance Database'!$L$2:$L$1199,MATCH(496,'Transfer Engine'!$C$2:$C$1199,0)))</f>
        <v/>
      </c>
      <c r="M505" s="7" t="str">
        <f>IF(ISNA(MATCH(496,'Transfer Engine'!$C$2:$C$1199,0)),"",INDEX('Compliance Database'!$M$2:$M$1199,MATCH(496,'Transfer Engine'!$C$2:$C$1199,0)))</f>
        <v/>
      </c>
      <c r="N505" s="7" t="str">
        <f>IF(ISNA(MATCH(496,'Transfer Engine'!$C$2:$C$1199,0)),"",INDEX('Compliance Database'!$N$2:$N$1199,MATCH(496,'Transfer Engine'!$C$2:$C$1199,0)))</f>
        <v/>
      </c>
      <c r="O505" s="7" t="str">
        <f>IF(ISNA(MATCH(496,'Transfer Engine'!$C$2:$C$1199,0)),"",INDEX('Compliance Database'!$O$2:$O$1199,MATCH(496,'Transfer Engine'!$C$2:$C$1199,0)))</f>
        <v/>
      </c>
      <c r="P505" s="6" t="str">
        <f>IF(ISNA(MATCH(496,'Transfer Engine'!$C$2:$C$1199,0)),"",HYPERLINK("#Acts!A"&amp;INDEX('Compliance Database'!$P$2:$P$1199,MATCH(496,'Transfer Engine'!$C$2:$C$1199,0)),"Go to Act"))</f>
        <v/>
      </c>
    </row>
    <row r="506" spans="1:16" ht="172.95" customHeight="1" x14ac:dyDescent="0.3">
      <c r="A506" s="6" t="str">
        <f>IF(ISNA(MATCH(497,'Transfer Engine'!$C$2:$C$1199,0)),"",INDEX('Compliance Database'!$A$2:$A$1199,MATCH(497,'Transfer Engine'!$C$2:$C$1199,0)))</f>
        <v/>
      </c>
      <c r="B506" s="6" t="str">
        <f>IF(ISNA(MATCH(497,'Transfer Engine'!$C$2:$C$1199,0)),"",INDEX('Compliance Database'!$B$2:$B$1199,MATCH(497,'Transfer Engine'!$C$2:$C$1199,0)))</f>
        <v/>
      </c>
      <c r="C506" s="6" t="str">
        <f>IF(ISNA(MATCH(497,'Transfer Engine'!$C$2:$C$1199,0)),"",INDEX('Compliance Database'!$C$2:$C$1199,MATCH(497,'Transfer Engine'!$C$2:$C$1199,0)))</f>
        <v/>
      </c>
      <c r="D506" s="7" t="str">
        <f>IF(ISNA(MATCH(497,'Transfer Engine'!$C$2:$C$1199,0)),"",INDEX('Compliance Database'!$D$2:$D$1199,MATCH(497,'Transfer Engine'!$C$2:$C$1199,0)))</f>
        <v/>
      </c>
      <c r="E506" s="6" t="str">
        <f>IF(ISNA(MATCH(497,'Transfer Engine'!$C$2:$C$1199,0)),"",INDEX('Compliance Database'!$E$2:$E$1199,MATCH(497,'Transfer Engine'!$C$2:$C$1199,0)))</f>
        <v/>
      </c>
      <c r="F506" s="6" t="str">
        <f>IF(ISNA(MATCH(497,'Transfer Engine'!$C$2:$C$1199,0)),"",INDEX('Compliance Database'!$F$2:$F$1199,MATCH(497,'Transfer Engine'!$C$2:$C$1199,0)))</f>
        <v/>
      </c>
      <c r="G506" s="6" t="str">
        <f>IF(ISNA(MATCH(497,'Transfer Engine'!$C$2:$C$1199,0)),"",INDEX('Compliance Database'!$G$2:$G$1199,MATCH(497,'Transfer Engine'!$C$2:$C$1199,0)))</f>
        <v/>
      </c>
      <c r="H506" s="7" t="str">
        <f>IF(ISNA(MATCH(497,'Transfer Engine'!$C$2:$C$1199,0)),"",INDEX('Compliance Database'!$H$2:$H$1199,MATCH(497,'Transfer Engine'!$C$2:$C$1199,0)))</f>
        <v/>
      </c>
      <c r="I506" s="7" t="str">
        <f>IF(ISNA(MATCH(497,'Transfer Engine'!$C$2:$C$1199,0)),"",INDEX('Compliance Database'!$I$2:$I$1199,MATCH(497,'Transfer Engine'!$C$2:$C$1199,0)))</f>
        <v/>
      </c>
      <c r="J506" s="6" t="str">
        <f>IF(ISNA(MATCH(497,'Transfer Engine'!$C$2:$C$1199,0)),"",INDEX('Compliance Database'!$J$2:$J$1199,MATCH(497,'Transfer Engine'!$C$2:$C$1199,0)))</f>
        <v/>
      </c>
      <c r="K506" s="7" t="str">
        <f>IF(ISNA(MATCH(497,'Transfer Engine'!$C$2:$C$1199,0)),"",INDEX('Compliance Database'!$K$2:$K$1199,MATCH(497,'Transfer Engine'!$C$2:$C$1199,0)))</f>
        <v/>
      </c>
      <c r="L506" s="7" t="str">
        <f>IF(ISNA(MATCH(497,'Transfer Engine'!$C$2:$C$1199,0)),"",INDEX('Compliance Database'!$L$2:$L$1199,MATCH(497,'Transfer Engine'!$C$2:$C$1199,0)))</f>
        <v/>
      </c>
      <c r="M506" s="7" t="str">
        <f>IF(ISNA(MATCH(497,'Transfer Engine'!$C$2:$C$1199,0)),"",INDEX('Compliance Database'!$M$2:$M$1199,MATCH(497,'Transfer Engine'!$C$2:$C$1199,0)))</f>
        <v/>
      </c>
      <c r="N506" s="7" t="str">
        <f>IF(ISNA(MATCH(497,'Transfer Engine'!$C$2:$C$1199,0)),"",INDEX('Compliance Database'!$N$2:$N$1199,MATCH(497,'Transfer Engine'!$C$2:$C$1199,0)))</f>
        <v/>
      </c>
      <c r="O506" s="7" t="str">
        <f>IF(ISNA(MATCH(497,'Transfer Engine'!$C$2:$C$1199,0)),"",INDEX('Compliance Database'!$O$2:$O$1199,MATCH(497,'Transfer Engine'!$C$2:$C$1199,0)))</f>
        <v/>
      </c>
      <c r="P506" s="6" t="str">
        <f>IF(ISNA(MATCH(497,'Transfer Engine'!$C$2:$C$1199,0)),"",HYPERLINK("#Acts!A"&amp;INDEX('Compliance Database'!$P$2:$P$1199,MATCH(497,'Transfer Engine'!$C$2:$C$1199,0)),"Go to Act"))</f>
        <v/>
      </c>
    </row>
    <row r="507" spans="1:16" ht="172.95" customHeight="1" x14ac:dyDescent="0.3">
      <c r="A507" s="6" t="str">
        <f>IF(ISNA(MATCH(498,'Transfer Engine'!$C$2:$C$1199,0)),"",INDEX('Compliance Database'!$A$2:$A$1199,MATCH(498,'Transfer Engine'!$C$2:$C$1199,0)))</f>
        <v/>
      </c>
      <c r="B507" s="6" t="str">
        <f>IF(ISNA(MATCH(498,'Transfer Engine'!$C$2:$C$1199,0)),"",INDEX('Compliance Database'!$B$2:$B$1199,MATCH(498,'Transfer Engine'!$C$2:$C$1199,0)))</f>
        <v/>
      </c>
      <c r="C507" s="6" t="str">
        <f>IF(ISNA(MATCH(498,'Transfer Engine'!$C$2:$C$1199,0)),"",INDEX('Compliance Database'!$C$2:$C$1199,MATCH(498,'Transfer Engine'!$C$2:$C$1199,0)))</f>
        <v/>
      </c>
      <c r="D507" s="7" t="str">
        <f>IF(ISNA(MATCH(498,'Transfer Engine'!$C$2:$C$1199,0)),"",INDEX('Compliance Database'!$D$2:$D$1199,MATCH(498,'Transfer Engine'!$C$2:$C$1199,0)))</f>
        <v/>
      </c>
      <c r="E507" s="6" t="str">
        <f>IF(ISNA(MATCH(498,'Transfer Engine'!$C$2:$C$1199,0)),"",INDEX('Compliance Database'!$E$2:$E$1199,MATCH(498,'Transfer Engine'!$C$2:$C$1199,0)))</f>
        <v/>
      </c>
      <c r="F507" s="6" t="str">
        <f>IF(ISNA(MATCH(498,'Transfer Engine'!$C$2:$C$1199,0)),"",INDEX('Compliance Database'!$F$2:$F$1199,MATCH(498,'Transfer Engine'!$C$2:$C$1199,0)))</f>
        <v/>
      </c>
      <c r="G507" s="6" t="str">
        <f>IF(ISNA(MATCH(498,'Transfer Engine'!$C$2:$C$1199,0)),"",INDEX('Compliance Database'!$G$2:$G$1199,MATCH(498,'Transfer Engine'!$C$2:$C$1199,0)))</f>
        <v/>
      </c>
      <c r="H507" s="7" t="str">
        <f>IF(ISNA(MATCH(498,'Transfer Engine'!$C$2:$C$1199,0)),"",INDEX('Compliance Database'!$H$2:$H$1199,MATCH(498,'Transfer Engine'!$C$2:$C$1199,0)))</f>
        <v/>
      </c>
      <c r="I507" s="7" t="str">
        <f>IF(ISNA(MATCH(498,'Transfer Engine'!$C$2:$C$1199,0)),"",INDEX('Compliance Database'!$I$2:$I$1199,MATCH(498,'Transfer Engine'!$C$2:$C$1199,0)))</f>
        <v/>
      </c>
      <c r="J507" s="6" t="str">
        <f>IF(ISNA(MATCH(498,'Transfer Engine'!$C$2:$C$1199,0)),"",INDEX('Compliance Database'!$J$2:$J$1199,MATCH(498,'Transfer Engine'!$C$2:$C$1199,0)))</f>
        <v/>
      </c>
      <c r="K507" s="7" t="str">
        <f>IF(ISNA(MATCH(498,'Transfer Engine'!$C$2:$C$1199,0)),"",INDEX('Compliance Database'!$K$2:$K$1199,MATCH(498,'Transfer Engine'!$C$2:$C$1199,0)))</f>
        <v/>
      </c>
      <c r="L507" s="7" t="str">
        <f>IF(ISNA(MATCH(498,'Transfer Engine'!$C$2:$C$1199,0)),"",INDEX('Compliance Database'!$L$2:$L$1199,MATCH(498,'Transfer Engine'!$C$2:$C$1199,0)))</f>
        <v/>
      </c>
      <c r="M507" s="7" t="str">
        <f>IF(ISNA(MATCH(498,'Transfer Engine'!$C$2:$C$1199,0)),"",INDEX('Compliance Database'!$M$2:$M$1199,MATCH(498,'Transfer Engine'!$C$2:$C$1199,0)))</f>
        <v/>
      </c>
      <c r="N507" s="7" t="str">
        <f>IF(ISNA(MATCH(498,'Transfer Engine'!$C$2:$C$1199,0)),"",INDEX('Compliance Database'!$N$2:$N$1199,MATCH(498,'Transfer Engine'!$C$2:$C$1199,0)))</f>
        <v/>
      </c>
      <c r="O507" s="7" t="str">
        <f>IF(ISNA(MATCH(498,'Transfer Engine'!$C$2:$C$1199,0)),"",INDEX('Compliance Database'!$O$2:$O$1199,MATCH(498,'Transfer Engine'!$C$2:$C$1199,0)))</f>
        <v/>
      </c>
      <c r="P507" s="6" t="str">
        <f>IF(ISNA(MATCH(498,'Transfer Engine'!$C$2:$C$1199,0)),"",HYPERLINK("#Acts!A"&amp;INDEX('Compliance Database'!$P$2:$P$1199,MATCH(498,'Transfer Engine'!$C$2:$C$1199,0)),"Go to Act"))</f>
        <v/>
      </c>
    </row>
    <row r="508" spans="1:16" ht="172.95" customHeight="1" x14ac:dyDescent="0.3">
      <c r="A508" s="6" t="str">
        <f>IF(ISNA(MATCH(499,'Transfer Engine'!$C$2:$C$1199,0)),"",INDEX('Compliance Database'!$A$2:$A$1199,MATCH(499,'Transfer Engine'!$C$2:$C$1199,0)))</f>
        <v/>
      </c>
      <c r="B508" s="6" t="str">
        <f>IF(ISNA(MATCH(499,'Transfer Engine'!$C$2:$C$1199,0)),"",INDEX('Compliance Database'!$B$2:$B$1199,MATCH(499,'Transfer Engine'!$C$2:$C$1199,0)))</f>
        <v/>
      </c>
      <c r="C508" s="6" t="str">
        <f>IF(ISNA(MATCH(499,'Transfer Engine'!$C$2:$C$1199,0)),"",INDEX('Compliance Database'!$C$2:$C$1199,MATCH(499,'Transfer Engine'!$C$2:$C$1199,0)))</f>
        <v/>
      </c>
      <c r="D508" s="7" t="str">
        <f>IF(ISNA(MATCH(499,'Transfer Engine'!$C$2:$C$1199,0)),"",INDEX('Compliance Database'!$D$2:$D$1199,MATCH(499,'Transfer Engine'!$C$2:$C$1199,0)))</f>
        <v/>
      </c>
      <c r="E508" s="6" t="str">
        <f>IF(ISNA(MATCH(499,'Transfer Engine'!$C$2:$C$1199,0)),"",INDEX('Compliance Database'!$E$2:$E$1199,MATCH(499,'Transfer Engine'!$C$2:$C$1199,0)))</f>
        <v/>
      </c>
      <c r="F508" s="6" t="str">
        <f>IF(ISNA(MATCH(499,'Transfer Engine'!$C$2:$C$1199,0)),"",INDEX('Compliance Database'!$F$2:$F$1199,MATCH(499,'Transfer Engine'!$C$2:$C$1199,0)))</f>
        <v/>
      </c>
      <c r="G508" s="6" t="str">
        <f>IF(ISNA(MATCH(499,'Transfer Engine'!$C$2:$C$1199,0)),"",INDEX('Compliance Database'!$G$2:$G$1199,MATCH(499,'Transfer Engine'!$C$2:$C$1199,0)))</f>
        <v/>
      </c>
      <c r="H508" s="7" t="str">
        <f>IF(ISNA(MATCH(499,'Transfer Engine'!$C$2:$C$1199,0)),"",INDEX('Compliance Database'!$H$2:$H$1199,MATCH(499,'Transfer Engine'!$C$2:$C$1199,0)))</f>
        <v/>
      </c>
      <c r="I508" s="7" t="str">
        <f>IF(ISNA(MATCH(499,'Transfer Engine'!$C$2:$C$1199,0)),"",INDEX('Compliance Database'!$I$2:$I$1199,MATCH(499,'Transfer Engine'!$C$2:$C$1199,0)))</f>
        <v/>
      </c>
      <c r="J508" s="6" t="str">
        <f>IF(ISNA(MATCH(499,'Transfer Engine'!$C$2:$C$1199,0)),"",INDEX('Compliance Database'!$J$2:$J$1199,MATCH(499,'Transfer Engine'!$C$2:$C$1199,0)))</f>
        <v/>
      </c>
      <c r="K508" s="7" t="str">
        <f>IF(ISNA(MATCH(499,'Transfer Engine'!$C$2:$C$1199,0)),"",INDEX('Compliance Database'!$K$2:$K$1199,MATCH(499,'Transfer Engine'!$C$2:$C$1199,0)))</f>
        <v/>
      </c>
      <c r="L508" s="7" t="str">
        <f>IF(ISNA(MATCH(499,'Transfer Engine'!$C$2:$C$1199,0)),"",INDEX('Compliance Database'!$L$2:$L$1199,MATCH(499,'Transfer Engine'!$C$2:$C$1199,0)))</f>
        <v/>
      </c>
      <c r="M508" s="7" t="str">
        <f>IF(ISNA(MATCH(499,'Transfer Engine'!$C$2:$C$1199,0)),"",INDEX('Compliance Database'!$M$2:$M$1199,MATCH(499,'Transfer Engine'!$C$2:$C$1199,0)))</f>
        <v/>
      </c>
      <c r="N508" s="7" t="str">
        <f>IF(ISNA(MATCH(499,'Transfer Engine'!$C$2:$C$1199,0)),"",INDEX('Compliance Database'!$N$2:$N$1199,MATCH(499,'Transfer Engine'!$C$2:$C$1199,0)))</f>
        <v/>
      </c>
      <c r="O508" s="7" t="str">
        <f>IF(ISNA(MATCH(499,'Transfer Engine'!$C$2:$C$1199,0)),"",INDEX('Compliance Database'!$O$2:$O$1199,MATCH(499,'Transfer Engine'!$C$2:$C$1199,0)))</f>
        <v/>
      </c>
      <c r="P508" s="6" t="str">
        <f>IF(ISNA(MATCH(499,'Transfer Engine'!$C$2:$C$1199,0)),"",HYPERLINK("#Acts!A"&amp;INDEX('Compliance Database'!$P$2:$P$1199,MATCH(499,'Transfer Engine'!$C$2:$C$1199,0)),"Go to Act"))</f>
        <v/>
      </c>
    </row>
    <row r="509" spans="1:16" ht="172.95" customHeight="1" x14ac:dyDescent="0.3">
      <c r="A509" s="6" t="str">
        <f>IF(ISNA(MATCH(500,'Transfer Engine'!$C$2:$C$1199,0)),"",INDEX('Compliance Database'!$A$2:$A$1199,MATCH(500,'Transfer Engine'!$C$2:$C$1199,0)))</f>
        <v/>
      </c>
      <c r="B509" s="6" t="str">
        <f>IF(ISNA(MATCH(500,'Transfer Engine'!$C$2:$C$1199,0)),"",INDEX('Compliance Database'!$B$2:$B$1199,MATCH(500,'Transfer Engine'!$C$2:$C$1199,0)))</f>
        <v/>
      </c>
      <c r="C509" s="6" t="str">
        <f>IF(ISNA(MATCH(500,'Transfer Engine'!$C$2:$C$1199,0)),"",INDEX('Compliance Database'!$C$2:$C$1199,MATCH(500,'Transfer Engine'!$C$2:$C$1199,0)))</f>
        <v/>
      </c>
      <c r="D509" s="7" t="str">
        <f>IF(ISNA(MATCH(500,'Transfer Engine'!$C$2:$C$1199,0)),"",INDEX('Compliance Database'!$D$2:$D$1199,MATCH(500,'Transfer Engine'!$C$2:$C$1199,0)))</f>
        <v/>
      </c>
      <c r="E509" s="6" t="str">
        <f>IF(ISNA(MATCH(500,'Transfer Engine'!$C$2:$C$1199,0)),"",INDEX('Compliance Database'!$E$2:$E$1199,MATCH(500,'Transfer Engine'!$C$2:$C$1199,0)))</f>
        <v/>
      </c>
      <c r="F509" s="6" t="str">
        <f>IF(ISNA(MATCH(500,'Transfer Engine'!$C$2:$C$1199,0)),"",INDEX('Compliance Database'!$F$2:$F$1199,MATCH(500,'Transfer Engine'!$C$2:$C$1199,0)))</f>
        <v/>
      </c>
      <c r="G509" s="6" t="str">
        <f>IF(ISNA(MATCH(500,'Transfer Engine'!$C$2:$C$1199,0)),"",INDEX('Compliance Database'!$G$2:$G$1199,MATCH(500,'Transfer Engine'!$C$2:$C$1199,0)))</f>
        <v/>
      </c>
      <c r="H509" s="7" t="str">
        <f>IF(ISNA(MATCH(500,'Transfer Engine'!$C$2:$C$1199,0)),"",INDEX('Compliance Database'!$H$2:$H$1199,MATCH(500,'Transfer Engine'!$C$2:$C$1199,0)))</f>
        <v/>
      </c>
      <c r="I509" s="7" t="str">
        <f>IF(ISNA(MATCH(500,'Transfer Engine'!$C$2:$C$1199,0)),"",INDEX('Compliance Database'!$I$2:$I$1199,MATCH(500,'Transfer Engine'!$C$2:$C$1199,0)))</f>
        <v/>
      </c>
      <c r="J509" s="6" t="str">
        <f>IF(ISNA(MATCH(500,'Transfer Engine'!$C$2:$C$1199,0)),"",INDEX('Compliance Database'!$J$2:$J$1199,MATCH(500,'Transfer Engine'!$C$2:$C$1199,0)))</f>
        <v/>
      </c>
      <c r="K509" s="7" t="str">
        <f>IF(ISNA(MATCH(500,'Transfer Engine'!$C$2:$C$1199,0)),"",INDEX('Compliance Database'!$K$2:$K$1199,MATCH(500,'Transfer Engine'!$C$2:$C$1199,0)))</f>
        <v/>
      </c>
      <c r="L509" s="7" t="str">
        <f>IF(ISNA(MATCH(500,'Transfer Engine'!$C$2:$C$1199,0)),"",INDEX('Compliance Database'!$L$2:$L$1199,MATCH(500,'Transfer Engine'!$C$2:$C$1199,0)))</f>
        <v/>
      </c>
      <c r="M509" s="7" t="str">
        <f>IF(ISNA(MATCH(500,'Transfer Engine'!$C$2:$C$1199,0)),"",INDEX('Compliance Database'!$M$2:$M$1199,MATCH(500,'Transfer Engine'!$C$2:$C$1199,0)))</f>
        <v/>
      </c>
      <c r="N509" s="7" t="str">
        <f>IF(ISNA(MATCH(500,'Transfer Engine'!$C$2:$C$1199,0)),"",INDEX('Compliance Database'!$N$2:$N$1199,MATCH(500,'Transfer Engine'!$C$2:$C$1199,0)))</f>
        <v/>
      </c>
      <c r="O509" s="7" t="str">
        <f>IF(ISNA(MATCH(500,'Transfer Engine'!$C$2:$C$1199,0)),"",INDEX('Compliance Database'!$O$2:$O$1199,MATCH(500,'Transfer Engine'!$C$2:$C$1199,0)))</f>
        <v/>
      </c>
      <c r="P509" s="6" t="str">
        <f>IF(ISNA(MATCH(500,'Transfer Engine'!$C$2:$C$1199,0)),"",HYPERLINK("#Acts!A"&amp;INDEX('Compliance Database'!$P$2:$P$1199,MATCH(500,'Transfer Engine'!$C$2:$C$1199,0)),"Go to Act"))</f>
        <v/>
      </c>
    </row>
    <row r="510" spans="1:16" ht="172.95" customHeight="1" x14ac:dyDescent="0.3">
      <c r="A510" s="6" t="str">
        <f>IF(ISNA(MATCH(501,'Transfer Engine'!$C$2:$C$1199,0)),"",INDEX('Compliance Database'!$A$2:$A$1199,MATCH(501,'Transfer Engine'!$C$2:$C$1199,0)))</f>
        <v/>
      </c>
      <c r="B510" s="6" t="str">
        <f>IF(ISNA(MATCH(501,'Transfer Engine'!$C$2:$C$1199,0)),"",INDEX('Compliance Database'!$B$2:$B$1199,MATCH(501,'Transfer Engine'!$C$2:$C$1199,0)))</f>
        <v/>
      </c>
      <c r="C510" s="6" t="str">
        <f>IF(ISNA(MATCH(501,'Transfer Engine'!$C$2:$C$1199,0)),"",INDEX('Compliance Database'!$C$2:$C$1199,MATCH(501,'Transfer Engine'!$C$2:$C$1199,0)))</f>
        <v/>
      </c>
      <c r="D510" s="7" t="str">
        <f>IF(ISNA(MATCH(501,'Transfer Engine'!$C$2:$C$1199,0)),"",INDEX('Compliance Database'!$D$2:$D$1199,MATCH(501,'Transfer Engine'!$C$2:$C$1199,0)))</f>
        <v/>
      </c>
      <c r="E510" s="6" t="str">
        <f>IF(ISNA(MATCH(501,'Transfer Engine'!$C$2:$C$1199,0)),"",INDEX('Compliance Database'!$E$2:$E$1199,MATCH(501,'Transfer Engine'!$C$2:$C$1199,0)))</f>
        <v/>
      </c>
      <c r="F510" s="6" t="str">
        <f>IF(ISNA(MATCH(501,'Transfer Engine'!$C$2:$C$1199,0)),"",INDEX('Compliance Database'!$F$2:$F$1199,MATCH(501,'Transfer Engine'!$C$2:$C$1199,0)))</f>
        <v/>
      </c>
      <c r="G510" s="6" t="str">
        <f>IF(ISNA(MATCH(501,'Transfer Engine'!$C$2:$C$1199,0)),"",INDEX('Compliance Database'!$G$2:$G$1199,MATCH(501,'Transfer Engine'!$C$2:$C$1199,0)))</f>
        <v/>
      </c>
      <c r="H510" s="7" t="str">
        <f>IF(ISNA(MATCH(501,'Transfer Engine'!$C$2:$C$1199,0)),"",INDEX('Compliance Database'!$H$2:$H$1199,MATCH(501,'Transfer Engine'!$C$2:$C$1199,0)))</f>
        <v/>
      </c>
      <c r="I510" s="7" t="str">
        <f>IF(ISNA(MATCH(501,'Transfer Engine'!$C$2:$C$1199,0)),"",INDEX('Compliance Database'!$I$2:$I$1199,MATCH(501,'Transfer Engine'!$C$2:$C$1199,0)))</f>
        <v/>
      </c>
      <c r="J510" s="6" t="str">
        <f>IF(ISNA(MATCH(501,'Transfer Engine'!$C$2:$C$1199,0)),"",INDEX('Compliance Database'!$J$2:$J$1199,MATCH(501,'Transfer Engine'!$C$2:$C$1199,0)))</f>
        <v/>
      </c>
      <c r="K510" s="7" t="str">
        <f>IF(ISNA(MATCH(501,'Transfer Engine'!$C$2:$C$1199,0)),"",INDEX('Compliance Database'!$K$2:$K$1199,MATCH(501,'Transfer Engine'!$C$2:$C$1199,0)))</f>
        <v/>
      </c>
      <c r="L510" s="7" t="str">
        <f>IF(ISNA(MATCH(501,'Transfer Engine'!$C$2:$C$1199,0)),"",INDEX('Compliance Database'!$L$2:$L$1199,MATCH(501,'Transfer Engine'!$C$2:$C$1199,0)))</f>
        <v/>
      </c>
      <c r="M510" s="7" t="str">
        <f>IF(ISNA(MATCH(501,'Transfer Engine'!$C$2:$C$1199,0)),"",INDEX('Compliance Database'!$M$2:$M$1199,MATCH(501,'Transfer Engine'!$C$2:$C$1199,0)))</f>
        <v/>
      </c>
      <c r="N510" s="7" t="str">
        <f>IF(ISNA(MATCH(501,'Transfer Engine'!$C$2:$C$1199,0)),"",INDEX('Compliance Database'!$N$2:$N$1199,MATCH(501,'Transfer Engine'!$C$2:$C$1199,0)))</f>
        <v/>
      </c>
      <c r="O510" s="7" t="str">
        <f>IF(ISNA(MATCH(501,'Transfer Engine'!$C$2:$C$1199,0)),"",INDEX('Compliance Database'!$O$2:$O$1199,MATCH(501,'Transfer Engine'!$C$2:$C$1199,0)))</f>
        <v/>
      </c>
      <c r="P510" s="6" t="str">
        <f>IF(ISNA(MATCH(501,'Transfer Engine'!$C$2:$C$1199,0)),"",HYPERLINK("#Acts!A"&amp;INDEX('Compliance Database'!$P$2:$P$1199,MATCH(501,'Transfer Engine'!$C$2:$C$1199,0)),"Go to Act"))</f>
        <v/>
      </c>
    </row>
    <row r="511" spans="1:16" ht="172.95" customHeight="1" x14ac:dyDescent="0.3">
      <c r="A511" s="6" t="str">
        <f>IF(ISNA(MATCH(502,'Transfer Engine'!$C$2:$C$1199,0)),"",INDEX('Compliance Database'!$A$2:$A$1199,MATCH(502,'Transfer Engine'!$C$2:$C$1199,0)))</f>
        <v/>
      </c>
      <c r="B511" s="6" t="str">
        <f>IF(ISNA(MATCH(502,'Transfer Engine'!$C$2:$C$1199,0)),"",INDEX('Compliance Database'!$B$2:$B$1199,MATCH(502,'Transfer Engine'!$C$2:$C$1199,0)))</f>
        <v/>
      </c>
      <c r="C511" s="6" t="str">
        <f>IF(ISNA(MATCH(502,'Transfer Engine'!$C$2:$C$1199,0)),"",INDEX('Compliance Database'!$C$2:$C$1199,MATCH(502,'Transfer Engine'!$C$2:$C$1199,0)))</f>
        <v/>
      </c>
      <c r="D511" s="7" t="str">
        <f>IF(ISNA(MATCH(502,'Transfer Engine'!$C$2:$C$1199,0)),"",INDEX('Compliance Database'!$D$2:$D$1199,MATCH(502,'Transfer Engine'!$C$2:$C$1199,0)))</f>
        <v/>
      </c>
      <c r="E511" s="6" t="str">
        <f>IF(ISNA(MATCH(502,'Transfer Engine'!$C$2:$C$1199,0)),"",INDEX('Compliance Database'!$E$2:$E$1199,MATCH(502,'Transfer Engine'!$C$2:$C$1199,0)))</f>
        <v/>
      </c>
      <c r="F511" s="6" t="str">
        <f>IF(ISNA(MATCH(502,'Transfer Engine'!$C$2:$C$1199,0)),"",INDEX('Compliance Database'!$F$2:$F$1199,MATCH(502,'Transfer Engine'!$C$2:$C$1199,0)))</f>
        <v/>
      </c>
      <c r="G511" s="6" t="str">
        <f>IF(ISNA(MATCH(502,'Transfer Engine'!$C$2:$C$1199,0)),"",INDEX('Compliance Database'!$G$2:$G$1199,MATCH(502,'Transfer Engine'!$C$2:$C$1199,0)))</f>
        <v/>
      </c>
      <c r="H511" s="7" t="str">
        <f>IF(ISNA(MATCH(502,'Transfer Engine'!$C$2:$C$1199,0)),"",INDEX('Compliance Database'!$H$2:$H$1199,MATCH(502,'Transfer Engine'!$C$2:$C$1199,0)))</f>
        <v/>
      </c>
      <c r="I511" s="7" t="str">
        <f>IF(ISNA(MATCH(502,'Transfer Engine'!$C$2:$C$1199,0)),"",INDEX('Compliance Database'!$I$2:$I$1199,MATCH(502,'Transfer Engine'!$C$2:$C$1199,0)))</f>
        <v/>
      </c>
      <c r="J511" s="6" t="str">
        <f>IF(ISNA(MATCH(502,'Transfer Engine'!$C$2:$C$1199,0)),"",INDEX('Compliance Database'!$J$2:$J$1199,MATCH(502,'Transfer Engine'!$C$2:$C$1199,0)))</f>
        <v/>
      </c>
      <c r="K511" s="7" t="str">
        <f>IF(ISNA(MATCH(502,'Transfer Engine'!$C$2:$C$1199,0)),"",INDEX('Compliance Database'!$K$2:$K$1199,MATCH(502,'Transfer Engine'!$C$2:$C$1199,0)))</f>
        <v/>
      </c>
      <c r="L511" s="7" t="str">
        <f>IF(ISNA(MATCH(502,'Transfer Engine'!$C$2:$C$1199,0)),"",INDEX('Compliance Database'!$L$2:$L$1199,MATCH(502,'Transfer Engine'!$C$2:$C$1199,0)))</f>
        <v/>
      </c>
      <c r="M511" s="7" t="str">
        <f>IF(ISNA(MATCH(502,'Transfer Engine'!$C$2:$C$1199,0)),"",INDEX('Compliance Database'!$M$2:$M$1199,MATCH(502,'Transfer Engine'!$C$2:$C$1199,0)))</f>
        <v/>
      </c>
      <c r="N511" s="7" t="str">
        <f>IF(ISNA(MATCH(502,'Transfer Engine'!$C$2:$C$1199,0)),"",INDEX('Compliance Database'!$N$2:$N$1199,MATCH(502,'Transfer Engine'!$C$2:$C$1199,0)))</f>
        <v/>
      </c>
      <c r="O511" s="7" t="str">
        <f>IF(ISNA(MATCH(502,'Transfer Engine'!$C$2:$C$1199,0)),"",INDEX('Compliance Database'!$O$2:$O$1199,MATCH(502,'Transfer Engine'!$C$2:$C$1199,0)))</f>
        <v/>
      </c>
      <c r="P511" s="6" t="str">
        <f>IF(ISNA(MATCH(502,'Transfer Engine'!$C$2:$C$1199,0)),"",HYPERLINK("#Acts!A"&amp;INDEX('Compliance Database'!$P$2:$P$1199,MATCH(502,'Transfer Engine'!$C$2:$C$1199,0)),"Go to Act"))</f>
        <v/>
      </c>
    </row>
    <row r="512" spans="1:16" ht="172.95" customHeight="1" x14ac:dyDescent="0.3">
      <c r="A512" s="6" t="str">
        <f>IF(ISNA(MATCH(503,'Transfer Engine'!$C$2:$C$1199,0)),"",INDEX('Compliance Database'!$A$2:$A$1199,MATCH(503,'Transfer Engine'!$C$2:$C$1199,0)))</f>
        <v/>
      </c>
      <c r="B512" s="6" t="str">
        <f>IF(ISNA(MATCH(503,'Transfer Engine'!$C$2:$C$1199,0)),"",INDEX('Compliance Database'!$B$2:$B$1199,MATCH(503,'Transfer Engine'!$C$2:$C$1199,0)))</f>
        <v/>
      </c>
      <c r="C512" s="6" t="str">
        <f>IF(ISNA(MATCH(503,'Transfer Engine'!$C$2:$C$1199,0)),"",INDEX('Compliance Database'!$C$2:$C$1199,MATCH(503,'Transfer Engine'!$C$2:$C$1199,0)))</f>
        <v/>
      </c>
      <c r="D512" s="7" t="str">
        <f>IF(ISNA(MATCH(503,'Transfer Engine'!$C$2:$C$1199,0)),"",INDEX('Compliance Database'!$D$2:$D$1199,MATCH(503,'Transfer Engine'!$C$2:$C$1199,0)))</f>
        <v/>
      </c>
      <c r="E512" s="6" t="str">
        <f>IF(ISNA(MATCH(503,'Transfer Engine'!$C$2:$C$1199,0)),"",INDEX('Compliance Database'!$E$2:$E$1199,MATCH(503,'Transfer Engine'!$C$2:$C$1199,0)))</f>
        <v/>
      </c>
      <c r="F512" s="6" t="str">
        <f>IF(ISNA(MATCH(503,'Transfer Engine'!$C$2:$C$1199,0)),"",INDEX('Compliance Database'!$F$2:$F$1199,MATCH(503,'Transfer Engine'!$C$2:$C$1199,0)))</f>
        <v/>
      </c>
      <c r="G512" s="6" t="str">
        <f>IF(ISNA(MATCH(503,'Transfer Engine'!$C$2:$C$1199,0)),"",INDEX('Compliance Database'!$G$2:$G$1199,MATCH(503,'Transfer Engine'!$C$2:$C$1199,0)))</f>
        <v/>
      </c>
      <c r="H512" s="7" t="str">
        <f>IF(ISNA(MATCH(503,'Transfer Engine'!$C$2:$C$1199,0)),"",INDEX('Compliance Database'!$H$2:$H$1199,MATCH(503,'Transfer Engine'!$C$2:$C$1199,0)))</f>
        <v/>
      </c>
      <c r="I512" s="7" t="str">
        <f>IF(ISNA(MATCH(503,'Transfer Engine'!$C$2:$C$1199,0)),"",INDEX('Compliance Database'!$I$2:$I$1199,MATCH(503,'Transfer Engine'!$C$2:$C$1199,0)))</f>
        <v/>
      </c>
      <c r="J512" s="6" t="str">
        <f>IF(ISNA(MATCH(503,'Transfer Engine'!$C$2:$C$1199,0)),"",INDEX('Compliance Database'!$J$2:$J$1199,MATCH(503,'Transfer Engine'!$C$2:$C$1199,0)))</f>
        <v/>
      </c>
      <c r="K512" s="7" t="str">
        <f>IF(ISNA(MATCH(503,'Transfer Engine'!$C$2:$C$1199,0)),"",INDEX('Compliance Database'!$K$2:$K$1199,MATCH(503,'Transfer Engine'!$C$2:$C$1199,0)))</f>
        <v/>
      </c>
      <c r="L512" s="7" t="str">
        <f>IF(ISNA(MATCH(503,'Transfer Engine'!$C$2:$C$1199,0)),"",INDEX('Compliance Database'!$L$2:$L$1199,MATCH(503,'Transfer Engine'!$C$2:$C$1199,0)))</f>
        <v/>
      </c>
      <c r="M512" s="7" t="str">
        <f>IF(ISNA(MATCH(503,'Transfer Engine'!$C$2:$C$1199,0)),"",INDEX('Compliance Database'!$M$2:$M$1199,MATCH(503,'Transfer Engine'!$C$2:$C$1199,0)))</f>
        <v/>
      </c>
      <c r="N512" s="7" t="str">
        <f>IF(ISNA(MATCH(503,'Transfer Engine'!$C$2:$C$1199,0)),"",INDEX('Compliance Database'!$N$2:$N$1199,MATCH(503,'Transfer Engine'!$C$2:$C$1199,0)))</f>
        <v/>
      </c>
      <c r="O512" s="7" t="str">
        <f>IF(ISNA(MATCH(503,'Transfer Engine'!$C$2:$C$1199,0)),"",INDEX('Compliance Database'!$O$2:$O$1199,MATCH(503,'Transfer Engine'!$C$2:$C$1199,0)))</f>
        <v/>
      </c>
      <c r="P512" s="6" t="str">
        <f>IF(ISNA(MATCH(503,'Transfer Engine'!$C$2:$C$1199,0)),"",HYPERLINK("#Acts!A"&amp;INDEX('Compliance Database'!$P$2:$P$1199,MATCH(503,'Transfer Engine'!$C$2:$C$1199,0)),"Go to Act"))</f>
        <v/>
      </c>
    </row>
    <row r="513" spans="1:16" ht="172.95" customHeight="1" x14ac:dyDescent="0.3">
      <c r="A513" s="6" t="str">
        <f>IF(ISNA(MATCH(504,'Transfer Engine'!$C$2:$C$1199,0)),"",INDEX('Compliance Database'!$A$2:$A$1199,MATCH(504,'Transfer Engine'!$C$2:$C$1199,0)))</f>
        <v/>
      </c>
      <c r="B513" s="6" t="str">
        <f>IF(ISNA(MATCH(504,'Transfer Engine'!$C$2:$C$1199,0)),"",INDEX('Compliance Database'!$B$2:$B$1199,MATCH(504,'Transfer Engine'!$C$2:$C$1199,0)))</f>
        <v/>
      </c>
      <c r="C513" s="6" t="str">
        <f>IF(ISNA(MATCH(504,'Transfer Engine'!$C$2:$C$1199,0)),"",INDEX('Compliance Database'!$C$2:$C$1199,MATCH(504,'Transfer Engine'!$C$2:$C$1199,0)))</f>
        <v/>
      </c>
      <c r="D513" s="7" t="str">
        <f>IF(ISNA(MATCH(504,'Transfer Engine'!$C$2:$C$1199,0)),"",INDEX('Compliance Database'!$D$2:$D$1199,MATCH(504,'Transfer Engine'!$C$2:$C$1199,0)))</f>
        <v/>
      </c>
      <c r="E513" s="6" t="str">
        <f>IF(ISNA(MATCH(504,'Transfer Engine'!$C$2:$C$1199,0)),"",INDEX('Compliance Database'!$E$2:$E$1199,MATCH(504,'Transfer Engine'!$C$2:$C$1199,0)))</f>
        <v/>
      </c>
      <c r="F513" s="6" t="str">
        <f>IF(ISNA(MATCH(504,'Transfer Engine'!$C$2:$C$1199,0)),"",INDEX('Compliance Database'!$F$2:$F$1199,MATCH(504,'Transfer Engine'!$C$2:$C$1199,0)))</f>
        <v/>
      </c>
      <c r="G513" s="6" t="str">
        <f>IF(ISNA(MATCH(504,'Transfer Engine'!$C$2:$C$1199,0)),"",INDEX('Compliance Database'!$G$2:$G$1199,MATCH(504,'Transfer Engine'!$C$2:$C$1199,0)))</f>
        <v/>
      </c>
      <c r="H513" s="7" t="str">
        <f>IF(ISNA(MATCH(504,'Transfer Engine'!$C$2:$C$1199,0)),"",INDEX('Compliance Database'!$H$2:$H$1199,MATCH(504,'Transfer Engine'!$C$2:$C$1199,0)))</f>
        <v/>
      </c>
      <c r="I513" s="7" t="str">
        <f>IF(ISNA(MATCH(504,'Transfer Engine'!$C$2:$C$1199,0)),"",INDEX('Compliance Database'!$I$2:$I$1199,MATCH(504,'Transfer Engine'!$C$2:$C$1199,0)))</f>
        <v/>
      </c>
      <c r="J513" s="6" t="str">
        <f>IF(ISNA(MATCH(504,'Transfer Engine'!$C$2:$C$1199,0)),"",INDEX('Compliance Database'!$J$2:$J$1199,MATCH(504,'Transfer Engine'!$C$2:$C$1199,0)))</f>
        <v/>
      </c>
      <c r="K513" s="7" t="str">
        <f>IF(ISNA(MATCH(504,'Transfer Engine'!$C$2:$C$1199,0)),"",INDEX('Compliance Database'!$K$2:$K$1199,MATCH(504,'Transfer Engine'!$C$2:$C$1199,0)))</f>
        <v/>
      </c>
      <c r="L513" s="7" t="str">
        <f>IF(ISNA(MATCH(504,'Transfer Engine'!$C$2:$C$1199,0)),"",INDEX('Compliance Database'!$L$2:$L$1199,MATCH(504,'Transfer Engine'!$C$2:$C$1199,0)))</f>
        <v/>
      </c>
      <c r="M513" s="7" t="str">
        <f>IF(ISNA(MATCH(504,'Transfer Engine'!$C$2:$C$1199,0)),"",INDEX('Compliance Database'!$M$2:$M$1199,MATCH(504,'Transfer Engine'!$C$2:$C$1199,0)))</f>
        <v/>
      </c>
      <c r="N513" s="7" t="str">
        <f>IF(ISNA(MATCH(504,'Transfer Engine'!$C$2:$C$1199,0)),"",INDEX('Compliance Database'!$N$2:$N$1199,MATCH(504,'Transfer Engine'!$C$2:$C$1199,0)))</f>
        <v/>
      </c>
      <c r="O513" s="7" t="str">
        <f>IF(ISNA(MATCH(504,'Transfer Engine'!$C$2:$C$1199,0)),"",INDEX('Compliance Database'!$O$2:$O$1199,MATCH(504,'Transfer Engine'!$C$2:$C$1199,0)))</f>
        <v/>
      </c>
      <c r="P513" s="6" t="str">
        <f>IF(ISNA(MATCH(504,'Transfer Engine'!$C$2:$C$1199,0)),"",HYPERLINK("#Acts!A"&amp;INDEX('Compliance Database'!$P$2:$P$1199,MATCH(504,'Transfer Engine'!$C$2:$C$1199,0)),"Go to Act"))</f>
        <v/>
      </c>
    </row>
    <row r="514" spans="1:16" ht="172.95" customHeight="1" x14ac:dyDescent="0.3">
      <c r="A514" s="6" t="str">
        <f>IF(ISNA(MATCH(505,'Transfer Engine'!$C$2:$C$1199,0)),"",INDEX('Compliance Database'!$A$2:$A$1199,MATCH(505,'Transfer Engine'!$C$2:$C$1199,0)))</f>
        <v/>
      </c>
      <c r="B514" s="6" t="str">
        <f>IF(ISNA(MATCH(505,'Transfer Engine'!$C$2:$C$1199,0)),"",INDEX('Compliance Database'!$B$2:$B$1199,MATCH(505,'Transfer Engine'!$C$2:$C$1199,0)))</f>
        <v/>
      </c>
      <c r="C514" s="6" t="str">
        <f>IF(ISNA(MATCH(505,'Transfer Engine'!$C$2:$C$1199,0)),"",INDEX('Compliance Database'!$C$2:$C$1199,MATCH(505,'Transfer Engine'!$C$2:$C$1199,0)))</f>
        <v/>
      </c>
      <c r="D514" s="7" t="str">
        <f>IF(ISNA(MATCH(505,'Transfer Engine'!$C$2:$C$1199,0)),"",INDEX('Compliance Database'!$D$2:$D$1199,MATCH(505,'Transfer Engine'!$C$2:$C$1199,0)))</f>
        <v/>
      </c>
      <c r="E514" s="6" t="str">
        <f>IF(ISNA(MATCH(505,'Transfer Engine'!$C$2:$C$1199,0)),"",INDEX('Compliance Database'!$E$2:$E$1199,MATCH(505,'Transfer Engine'!$C$2:$C$1199,0)))</f>
        <v/>
      </c>
      <c r="F514" s="6" t="str">
        <f>IF(ISNA(MATCH(505,'Transfer Engine'!$C$2:$C$1199,0)),"",INDEX('Compliance Database'!$F$2:$F$1199,MATCH(505,'Transfer Engine'!$C$2:$C$1199,0)))</f>
        <v/>
      </c>
      <c r="G514" s="6" t="str">
        <f>IF(ISNA(MATCH(505,'Transfer Engine'!$C$2:$C$1199,0)),"",INDEX('Compliance Database'!$G$2:$G$1199,MATCH(505,'Transfer Engine'!$C$2:$C$1199,0)))</f>
        <v/>
      </c>
      <c r="H514" s="7" t="str">
        <f>IF(ISNA(MATCH(505,'Transfer Engine'!$C$2:$C$1199,0)),"",INDEX('Compliance Database'!$H$2:$H$1199,MATCH(505,'Transfer Engine'!$C$2:$C$1199,0)))</f>
        <v/>
      </c>
      <c r="I514" s="7" t="str">
        <f>IF(ISNA(MATCH(505,'Transfer Engine'!$C$2:$C$1199,0)),"",INDEX('Compliance Database'!$I$2:$I$1199,MATCH(505,'Transfer Engine'!$C$2:$C$1199,0)))</f>
        <v/>
      </c>
      <c r="J514" s="6" t="str">
        <f>IF(ISNA(MATCH(505,'Transfer Engine'!$C$2:$C$1199,0)),"",INDEX('Compliance Database'!$J$2:$J$1199,MATCH(505,'Transfer Engine'!$C$2:$C$1199,0)))</f>
        <v/>
      </c>
      <c r="K514" s="7" t="str">
        <f>IF(ISNA(MATCH(505,'Transfer Engine'!$C$2:$C$1199,0)),"",INDEX('Compliance Database'!$K$2:$K$1199,MATCH(505,'Transfer Engine'!$C$2:$C$1199,0)))</f>
        <v/>
      </c>
      <c r="L514" s="7" t="str">
        <f>IF(ISNA(MATCH(505,'Transfer Engine'!$C$2:$C$1199,0)),"",INDEX('Compliance Database'!$L$2:$L$1199,MATCH(505,'Transfer Engine'!$C$2:$C$1199,0)))</f>
        <v/>
      </c>
      <c r="M514" s="7" t="str">
        <f>IF(ISNA(MATCH(505,'Transfer Engine'!$C$2:$C$1199,0)),"",INDEX('Compliance Database'!$M$2:$M$1199,MATCH(505,'Transfer Engine'!$C$2:$C$1199,0)))</f>
        <v/>
      </c>
      <c r="N514" s="7" t="str">
        <f>IF(ISNA(MATCH(505,'Transfer Engine'!$C$2:$C$1199,0)),"",INDEX('Compliance Database'!$N$2:$N$1199,MATCH(505,'Transfer Engine'!$C$2:$C$1199,0)))</f>
        <v/>
      </c>
      <c r="O514" s="7" t="str">
        <f>IF(ISNA(MATCH(505,'Transfer Engine'!$C$2:$C$1199,0)),"",INDEX('Compliance Database'!$O$2:$O$1199,MATCH(505,'Transfer Engine'!$C$2:$C$1199,0)))</f>
        <v/>
      </c>
      <c r="P514" s="6" t="str">
        <f>IF(ISNA(MATCH(505,'Transfer Engine'!$C$2:$C$1199,0)),"",HYPERLINK("#Acts!A"&amp;INDEX('Compliance Database'!$P$2:$P$1199,MATCH(505,'Transfer Engine'!$C$2:$C$1199,0)),"Go to Act"))</f>
        <v/>
      </c>
    </row>
    <row r="515" spans="1:16" ht="172.95" customHeight="1" x14ac:dyDescent="0.3">
      <c r="A515" s="6" t="str">
        <f>IF(ISNA(MATCH(506,'Transfer Engine'!$C$2:$C$1199,0)),"",INDEX('Compliance Database'!$A$2:$A$1199,MATCH(506,'Transfer Engine'!$C$2:$C$1199,0)))</f>
        <v/>
      </c>
      <c r="B515" s="6" t="str">
        <f>IF(ISNA(MATCH(506,'Transfer Engine'!$C$2:$C$1199,0)),"",INDEX('Compliance Database'!$B$2:$B$1199,MATCH(506,'Transfer Engine'!$C$2:$C$1199,0)))</f>
        <v/>
      </c>
      <c r="C515" s="6" t="str">
        <f>IF(ISNA(MATCH(506,'Transfer Engine'!$C$2:$C$1199,0)),"",INDEX('Compliance Database'!$C$2:$C$1199,MATCH(506,'Transfer Engine'!$C$2:$C$1199,0)))</f>
        <v/>
      </c>
      <c r="D515" s="7" t="str">
        <f>IF(ISNA(MATCH(506,'Transfer Engine'!$C$2:$C$1199,0)),"",INDEX('Compliance Database'!$D$2:$D$1199,MATCH(506,'Transfer Engine'!$C$2:$C$1199,0)))</f>
        <v/>
      </c>
      <c r="E515" s="6" t="str">
        <f>IF(ISNA(MATCH(506,'Transfer Engine'!$C$2:$C$1199,0)),"",INDEX('Compliance Database'!$E$2:$E$1199,MATCH(506,'Transfer Engine'!$C$2:$C$1199,0)))</f>
        <v/>
      </c>
      <c r="F515" s="6" t="str">
        <f>IF(ISNA(MATCH(506,'Transfer Engine'!$C$2:$C$1199,0)),"",INDEX('Compliance Database'!$F$2:$F$1199,MATCH(506,'Transfer Engine'!$C$2:$C$1199,0)))</f>
        <v/>
      </c>
      <c r="G515" s="6" t="str">
        <f>IF(ISNA(MATCH(506,'Transfer Engine'!$C$2:$C$1199,0)),"",INDEX('Compliance Database'!$G$2:$G$1199,MATCH(506,'Transfer Engine'!$C$2:$C$1199,0)))</f>
        <v/>
      </c>
      <c r="H515" s="7" t="str">
        <f>IF(ISNA(MATCH(506,'Transfer Engine'!$C$2:$C$1199,0)),"",INDEX('Compliance Database'!$H$2:$H$1199,MATCH(506,'Transfer Engine'!$C$2:$C$1199,0)))</f>
        <v/>
      </c>
      <c r="I515" s="7" t="str">
        <f>IF(ISNA(MATCH(506,'Transfer Engine'!$C$2:$C$1199,0)),"",INDEX('Compliance Database'!$I$2:$I$1199,MATCH(506,'Transfer Engine'!$C$2:$C$1199,0)))</f>
        <v/>
      </c>
      <c r="J515" s="6" t="str">
        <f>IF(ISNA(MATCH(506,'Transfer Engine'!$C$2:$C$1199,0)),"",INDEX('Compliance Database'!$J$2:$J$1199,MATCH(506,'Transfer Engine'!$C$2:$C$1199,0)))</f>
        <v/>
      </c>
      <c r="K515" s="7" t="str">
        <f>IF(ISNA(MATCH(506,'Transfer Engine'!$C$2:$C$1199,0)),"",INDEX('Compliance Database'!$K$2:$K$1199,MATCH(506,'Transfer Engine'!$C$2:$C$1199,0)))</f>
        <v/>
      </c>
      <c r="L515" s="7" t="str">
        <f>IF(ISNA(MATCH(506,'Transfer Engine'!$C$2:$C$1199,0)),"",INDEX('Compliance Database'!$L$2:$L$1199,MATCH(506,'Transfer Engine'!$C$2:$C$1199,0)))</f>
        <v/>
      </c>
      <c r="M515" s="7" t="str">
        <f>IF(ISNA(MATCH(506,'Transfer Engine'!$C$2:$C$1199,0)),"",INDEX('Compliance Database'!$M$2:$M$1199,MATCH(506,'Transfer Engine'!$C$2:$C$1199,0)))</f>
        <v/>
      </c>
      <c r="N515" s="7" t="str">
        <f>IF(ISNA(MATCH(506,'Transfer Engine'!$C$2:$C$1199,0)),"",INDEX('Compliance Database'!$N$2:$N$1199,MATCH(506,'Transfer Engine'!$C$2:$C$1199,0)))</f>
        <v/>
      </c>
      <c r="O515" s="7" t="str">
        <f>IF(ISNA(MATCH(506,'Transfer Engine'!$C$2:$C$1199,0)),"",INDEX('Compliance Database'!$O$2:$O$1199,MATCH(506,'Transfer Engine'!$C$2:$C$1199,0)))</f>
        <v/>
      </c>
      <c r="P515" s="6" t="str">
        <f>IF(ISNA(MATCH(506,'Transfer Engine'!$C$2:$C$1199,0)),"",HYPERLINK("#Acts!A"&amp;INDEX('Compliance Database'!$P$2:$P$1199,MATCH(506,'Transfer Engine'!$C$2:$C$1199,0)),"Go to Act"))</f>
        <v/>
      </c>
    </row>
    <row r="516" spans="1:16" ht="172.95" customHeight="1" x14ac:dyDescent="0.3">
      <c r="A516" s="6" t="str">
        <f>IF(ISNA(MATCH(507,'Transfer Engine'!$C$2:$C$1199,0)),"",INDEX('Compliance Database'!$A$2:$A$1199,MATCH(507,'Transfer Engine'!$C$2:$C$1199,0)))</f>
        <v/>
      </c>
      <c r="B516" s="6" t="str">
        <f>IF(ISNA(MATCH(507,'Transfer Engine'!$C$2:$C$1199,0)),"",INDEX('Compliance Database'!$B$2:$B$1199,MATCH(507,'Transfer Engine'!$C$2:$C$1199,0)))</f>
        <v/>
      </c>
      <c r="C516" s="6" t="str">
        <f>IF(ISNA(MATCH(507,'Transfer Engine'!$C$2:$C$1199,0)),"",INDEX('Compliance Database'!$C$2:$C$1199,MATCH(507,'Transfer Engine'!$C$2:$C$1199,0)))</f>
        <v/>
      </c>
      <c r="D516" s="7" t="str">
        <f>IF(ISNA(MATCH(507,'Transfer Engine'!$C$2:$C$1199,0)),"",INDEX('Compliance Database'!$D$2:$D$1199,MATCH(507,'Transfer Engine'!$C$2:$C$1199,0)))</f>
        <v/>
      </c>
      <c r="E516" s="6" t="str">
        <f>IF(ISNA(MATCH(507,'Transfer Engine'!$C$2:$C$1199,0)),"",INDEX('Compliance Database'!$E$2:$E$1199,MATCH(507,'Transfer Engine'!$C$2:$C$1199,0)))</f>
        <v/>
      </c>
      <c r="F516" s="6" t="str">
        <f>IF(ISNA(MATCH(507,'Transfer Engine'!$C$2:$C$1199,0)),"",INDEX('Compliance Database'!$F$2:$F$1199,MATCH(507,'Transfer Engine'!$C$2:$C$1199,0)))</f>
        <v/>
      </c>
      <c r="G516" s="6" t="str">
        <f>IF(ISNA(MATCH(507,'Transfer Engine'!$C$2:$C$1199,0)),"",INDEX('Compliance Database'!$G$2:$G$1199,MATCH(507,'Transfer Engine'!$C$2:$C$1199,0)))</f>
        <v/>
      </c>
      <c r="H516" s="7" t="str">
        <f>IF(ISNA(MATCH(507,'Transfer Engine'!$C$2:$C$1199,0)),"",INDEX('Compliance Database'!$H$2:$H$1199,MATCH(507,'Transfer Engine'!$C$2:$C$1199,0)))</f>
        <v/>
      </c>
      <c r="I516" s="7" t="str">
        <f>IF(ISNA(MATCH(507,'Transfer Engine'!$C$2:$C$1199,0)),"",INDEX('Compliance Database'!$I$2:$I$1199,MATCH(507,'Transfer Engine'!$C$2:$C$1199,0)))</f>
        <v/>
      </c>
      <c r="J516" s="6" t="str">
        <f>IF(ISNA(MATCH(507,'Transfer Engine'!$C$2:$C$1199,0)),"",INDEX('Compliance Database'!$J$2:$J$1199,MATCH(507,'Transfer Engine'!$C$2:$C$1199,0)))</f>
        <v/>
      </c>
      <c r="K516" s="7" t="str">
        <f>IF(ISNA(MATCH(507,'Transfer Engine'!$C$2:$C$1199,0)),"",INDEX('Compliance Database'!$K$2:$K$1199,MATCH(507,'Transfer Engine'!$C$2:$C$1199,0)))</f>
        <v/>
      </c>
      <c r="L516" s="7" t="str">
        <f>IF(ISNA(MATCH(507,'Transfer Engine'!$C$2:$C$1199,0)),"",INDEX('Compliance Database'!$L$2:$L$1199,MATCH(507,'Transfer Engine'!$C$2:$C$1199,0)))</f>
        <v/>
      </c>
      <c r="M516" s="7" t="str">
        <f>IF(ISNA(MATCH(507,'Transfer Engine'!$C$2:$C$1199,0)),"",INDEX('Compliance Database'!$M$2:$M$1199,MATCH(507,'Transfer Engine'!$C$2:$C$1199,0)))</f>
        <v/>
      </c>
      <c r="N516" s="7" t="str">
        <f>IF(ISNA(MATCH(507,'Transfer Engine'!$C$2:$C$1199,0)),"",INDEX('Compliance Database'!$N$2:$N$1199,MATCH(507,'Transfer Engine'!$C$2:$C$1199,0)))</f>
        <v/>
      </c>
      <c r="O516" s="7" t="str">
        <f>IF(ISNA(MATCH(507,'Transfer Engine'!$C$2:$C$1199,0)),"",INDEX('Compliance Database'!$O$2:$O$1199,MATCH(507,'Transfer Engine'!$C$2:$C$1199,0)))</f>
        <v/>
      </c>
      <c r="P516" s="6" t="str">
        <f>IF(ISNA(MATCH(507,'Transfer Engine'!$C$2:$C$1199,0)),"",HYPERLINK("#Acts!A"&amp;INDEX('Compliance Database'!$P$2:$P$1199,MATCH(507,'Transfer Engine'!$C$2:$C$1199,0)),"Go to Act"))</f>
        <v/>
      </c>
    </row>
    <row r="517" spans="1:16" ht="172.95" customHeight="1" x14ac:dyDescent="0.3">
      <c r="A517" s="6" t="str">
        <f>IF(ISNA(MATCH(508,'Transfer Engine'!$C$2:$C$1199,0)),"",INDEX('Compliance Database'!$A$2:$A$1199,MATCH(508,'Transfer Engine'!$C$2:$C$1199,0)))</f>
        <v/>
      </c>
      <c r="B517" s="6" t="str">
        <f>IF(ISNA(MATCH(508,'Transfer Engine'!$C$2:$C$1199,0)),"",INDEX('Compliance Database'!$B$2:$B$1199,MATCH(508,'Transfer Engine'!$C$2:$C$1199,0)))</f>
        <v/>
      </c>
      <c r="C517" s="6" t="str">
        <f>IF(ISNA(MATCH(508,'Transfer Engine'!$C$2:$C$1199,0)),"",INDEX('Compliance Database'!$C$2:$C$1199,MATCH(508,'Transfer Engine'!$C$2:$C$1199,0)))</f>
        <v/>
      </c>
      <c r="D517" s="7" t="str">
        <f>IF(ISNA(MATCH(508,'Transfer Engine'!$C$2:$C$1199,0)),"",INDEX('Compliance Database'!$D$2:$D$1199,MATCH(508,'Transfer Engine'!$C$2:$C$1199,0)))</f>
        <v/>
      </c>
      <c r="E517" s="6" t="str">
        <f>IF(ISNA(MATCH(508,'Transfer Engine'!$C$2:$C$1199,0)),"",INDEX('Compliance Database'!$E$2:$E$1199,MATCH(508,'Transfer Engine'!$C$2:$C$1199,0)))</f>
        <v/>
      </c>
      <c r="F517" s="6" t="str">
        <f>IF(ISNA(MATCH(508,'Transfer Engine'!$C$2:$C$1199,0)),"",INDEX('Compliance Database'!$F$2:$F$1199,MATCH(508,'Transfer Engine'!$C$2:$C$1199,0)))</f>
        <v/>
      </c>
      <c r="G517" s="6" t="str">
        <f>IF(ISNA(MATCH(508,'Transfer Engine'!$C$2:$C$1199,0)),"",INDEX('Compliance Database'!$G$2:$G$1199,MATCH(508,'Transfer Engine'!$C$2:$C$1199,0)))</f>
        <v/>
      </c>
      <c r="H517" s="7" t="str">
        <f>IF(ISNA(MATCH(508,'Transfer Engine'!$C$2:$C$1199,0)),"",INDEX('Compliance Database'!$H$2:$H$1199,MATCH(508,'Transfer Engine'!$C$2:$C$1199,0)))</f>
        <v/>
      </c>
      <c r="I517" s="7" t="str">
        <f>IF(ISNA(MATCH(508,'Transfer Engine'!$C$2:$C$1199,0)),"",INDEX('Compliance Database'!$I$2:$I$1199,MATCH(508,'Transfer Engine'!$C$2:$C$1199,0)))</f>
        <v/>
      </c>
      <c r="J517" s="6" t="str">
        <f>IF(ISNA(MATCH(508,'Transfer Engine'!$C$2:$C$1199,0)),"",INDEX('Compliance Database'!$J$2:$J$1199,MATCH(508,'Transfer Engine'!$C$2:$C$1199,0)))</f>
        <v/>
      </c>
      <c r="K517" s="7" t="str">
        <f>IF(ISNA(MATCH(508,'Transfer Engine'!$C$2:$C$1199,0)),"",INDEX('Compliance Database'!$K$2:$K$1199,MATCH(508,'Transfer Engine'!$C$2:$C$1199,0)))</f>
        <v/>
      </c>
      <c r="L517" s="7" t="str">
        <f>IF(ISNA(MATCH(508,'Transfer Engine'!$C$2:$C$1199,0)),"",INDEX('Compliance Database'!$L$2:$L$1199,MATCH(508,'Transfer Engine'!$C$2:$C$1199,0)))</f>
        <v/>
      </c>
      <c r="M517" s="7" t="str">
        <f>IF(ISNA(MATCH(508,'Transfer Engine'!$C$2:$C$1199,0)),"",INDEX('Compliance Database'!$M$2:$M$1199,MATCH(508,'Transfer Engine'!$C$2:$C$1199,0)))</f>
        <v/>
      </c>
      <c r="N517" s="7" t="str">
        <f>IF(ISNA(MATCH(508,'Transfer Engine'!$C$2:$C$1199,0)),"",INDEX('Compliance Database'!$N$2:$N$1199,MATCH(508,'Transfer Engine'!$C$2:$C$1199,0)))</f>
        <v/>
      </c>
      <c r="O517" s="7" t="str">
        <f>IF(ISNA(MATCH(508,'Transfer Engine'!$C$2:$C$1199,0)),"",INDEX('Compliance Database'!$O$2:$O$1199,MATCH(508,'Transfer Engine'!$C$2:$C$1199,0)))</f>
        <v/>
      </c>
      <c r="P517" s="6" t="str">
        <f>IF(ISNA(MATCH(508,'Transfer Engine'!$C$2:$C$1199,0)),"",HYPERLINK("#Acts!A"&amp;INDEX('Compliance Database'!$P$2:$P$1199,MATCH(508,'Transfer Engine'!$C$2:$C$1199,0)),"Go to Act"))</f>
        <v/>
      </c>
    </row>
    <row r="518" spans="1:16" ht="172.95" customHeight="1" x14ac:dyDescent="0.3">
      <c r="A518" s="6" t="str">
        <f>IF(ISNA(MATCH(509,'Transfer Engine'!$C$2:$C$1199,0)),"",INDEX('Compliance Database'!$A$2:$A$1199,MATCH(509,'Transfer Engine'!$C$2:$C$1199,0)))</f>
        <v/>
      </c>
      <c r="B518" s="6" t="str">
        <f>IF(ISNA(MATCH(509,'Transfer Engine'!$C$2:$C$1199,0)),"",INDEX('Compliance Database'!$B$2:$B$1199,MATCH(509,'Transfer Engine'!$C$2:$C$1199,0)))</f>
        <v/>
      </c>
      <c r="C518" s="6" t="str">
        <f>IF(ISNA(MATCH(509,'Transfer Engine'!$C$2:$C$1199,0)),"",INDEX('Compliance Database'!$C$2:$C$1199,MATCH(509,'Transfer Engine'!$C$2:$C$1199,0)))</f>
        <v/>
      </c>
      <c r="D518" s="7" t="str">
        <f>IF(ISNA(MATCH(509,'Transfer Engine'!$C$2:$C$1199,0)),"",INDEX('Compliance Database'!$D$2:$D$1199,MATCH(509,'Transfer Engine'!$C$2:$C$1199,0)))</f>
        <v/>
      </c>
      <c r="E518" s="6" t="str">
        <f>IF(ISNA(MATCH(509,'Transfer Engine'!$C$2:$C$1199,0)),"",INDEX('Compliance Database'!$E$2:$E$1199,MATCH(509,'Transfer Engine'!$C$2:$C$1199,0)))</f>
        <v/>
      </c>
      <c r="F518" s="6" t="str">
        <f>IF(ISNA(MATCH(509,'Transfer Engine'!$C$2:$C$1199,0)),"",INDEX('Compliance Database'!$F$2:$F$1199,MATCH(509,'Transfer Engine'!$C$2:$C$1199,0)))</f>
        <v/>
      </c>
      <c r="G518" s="6" t="str">
        <f>IF(ISNA(MATCH(509,'Transfer Engine'!$C$2:$C$1199,0)),"",INDEX('Compliance Database'!$G$2:$G$1199,MATCH(509,'Transfer Engine'!$C$2:$C$1199,0)))</f>
        <v/>
      </c>
      <c r="H518" s="7" t="str">
        <f>IF(ISNA(MATCH(509,'Transfer Engine'!$C$2:$C$1199,0)),"",INDEX('Compliance Database'!$H$2:$H$1199,MATCH(509,'Transfer Engine'!$C$2:$C$1199,0)))</f>
        <v/>
      </c>
      <c r="I518" s="7" t="str">
        <f>IF(ISNA(MATCH(509,'Transfer Engine'!$C$2:$C$1199,0)),"",INDEX('Compliance Database'!$I$2:$I$1199,MATCH(509,'Transfer Engine'!$C$2:$C$1199,0)))</f>
        <v/>
      </c>
      <c r="J518" s="6" t="str">
        <f>IF(ISNA(MATCH(509,'Transfer Engine'!$C$2:$C$1199,0)),"",INDEX('Compliance Database'!$J$2:$J$1199,MATCH(509,'Transfer Engine'!$C$2:$C$1199,0)))</f>
        <v/>
      </c>
      <c r="K518" s="7" t="str">
        <f>IF(ISNA(MATCH(509,'Transfer Engine'!$C$2:$C$1199,0)),"",INDEX('Compliance Database'!$K$2:$K$1199,MATCH(509,'Transfer Engine'!$C$2:$C$1199,0)))</f>
        <v/>
      </c>
      <c r="L518" s="7" t="str">
        <f>IF(ISNA(MATCH(509,'Transfer Engine'!$C$2:$C$1199,0)),"",INDEX('Compliance Database'!$L$2:$L$1199,MATCH(509,'Transfer Engine'!$C$2:$C$1199,0)))</f>
        <v/>
      </c>
      <c r="M518" s="7" t="str">
        <f>IF(ISNA(MATCH(509,'Transfer Engine'!$C$2:$C$1199,0)),"",INDEX('Compliance Database'!$M$2:$M$1199,MATCH(509,'Transfer Engine'!$C$2:$C$1199,0)))</f>
        <v/>
      </c>
      <c r="N518" s="7" t="str">
        <f>IF(ISNA(MATCH(509,'Transfer Engine'!$C$2:$C$1199,0)),"",INDEX('Compliance Database'!$N$2:$N$1199,MATCH(509,'Transfer Engine'!$C$2:$C$1199,0)))</f>
        <v/>
      </c>
      <c r="O518" s="7" t="str">
        <f>IF(ISNA(MATCH(509,'Transfer Engine'!$C$2:$C$1199,0)),"",INDEX('Compliance Database'!$O$2:$O$1199,MATCH(509,'Transfer Engine'!$C$2:$C$1199,0)))</f>
        <v/>
      </c>
      <c r="P518" s="6" t="str">
        <f>IF(ISNA(MATCH(509,'Transfer Engine'!$C$2:$C$1199,0)),"",HYPERLINK("#Acts!A"&amp;INDEX('Compliance Database'!$P$2:$P$1199,MATCH(509,'Transfer Engine'!$C$2:$C$1199,0)),"Go to Act"))</f>
        <v/>
      </c>
    </row>
    <row r="519" spans="1:16" ht="172.95" customHeight="1" x14ac:dyDescent="0.3">
      <c r="A519" s="6" t="str">
        <f>IF(ISNA(MATCH(510,'Transfer Engine'!$C$2:$C$1199,0)),"",INDEX('Compliance Database'!$A$2:$A$1199,MATCH(510,'Transfer Engine'!$C$2:$C$1199,0)))</f>
        <v/>
      </c>
      <c r="B519" s="6" t="str">
        <f>IF(ISNA(MATCH(510,'Transfer Engine'!$C$2:$C$1199,0)),"",INDEX('Compliance Database'!$B$2:$B$1199,MATCH(510,'Transfer Engine'!$C$2:$C$1199,0)))</f>
        <v/>
      </c>
      <c r="C519" s="6" t="str">
        <f>IF(ISNA(MATCH(510,'Transfer Engine'!$C$2:$C$1199,0)),"",INDEX('Compliance Database'!$C$2:$C$1199,MATCH(510,'Transfer Engine'!$C$2:$C$1199,0)))</f>
        <v/>
      </c>
      <c r="D519" s="7" t="str">
        <f>IF(ISNA(MATCH(510,'Transfer Engine'!$C$2:$C$1199,0)),"",INDEX('Compliance Database'!$D$2:$D$1199,MATCH(510,'Transfer Engine'!$C$2:$C$1199,0)))</f>
        <v/>
      </c>
      <c r="E519" s="6" t="str">
        <f>IF(ISNA(MATCH(510,'Transfer Engine'!$C$2:$C$1199,0)),"",INDEX('Compliance Database'!$E$2:$E$1199,MATCH(510,'Transfer Engine'!$C$2:$C$1199,0)))</f>
        <v/>
      </c>
      <c r="F519" s="6" t="str">
        <f>IF(ISNA(MATCH(510,'Transfer Engine'!$C$2:$C$1199,0)),"",INDEX('Compliance Database'!$F$2:$F$1199,MATCH(510,'Transfer Engine'!$C$2:$C$1199,0)))</f>
        <v/>
      </c>
      <c r="G519" s="6" t="str">
        <f>IF(ISNA(MATCH(510,'Transfer Engine'!$C$2:$C$1199,0)),"",INDEX('Compliance Database'!$G$2:$G$1199,MATCH(510,'Transfer Engine'!$C$2:$C$1199,0)))</f>
        <v/>
      </c>
      <c r="H519" s="7" t="str">
        <f>IF(ISNA(MATCH(510,'Transfer Engine'!$C$2:$C$1199,0)),"",INDEX('Compliance Database'!$H$2:$H$1199,MATCH(510,'Transfer Engine'!$C$2:$C$1199,0)))</f>
        <v/>
      </c>
      <c r="I519" s="7" t="str">
        <f>IF(ISNA(MATCH(510,'Transfer Engine'!$C$2:$C$1199,0)),"",INDEX('Compliance Database'!$I$2:$I$1199,MATCH(510,'Transfer Engine'!$C$2:$C$1199,0)))</f>
        <v/>
      </c>
      <c r="J519" s="6" t="str">
        <f>IF(ISNA(MATCH(510,'Transfer Engine'!$C$2:$C$1199,0)),"",INDEX('Compliance Database'!$J$2:$J$1199,MATCH(510,'Transfer Engine'!$C$2:$C$1199,0)))</f>
        <v/>
      </c>
      <c r="K519" s="7" t="str">
        <f>IF(ISNA(MATCH(510,'Transfer Engine'!$C$2:$C$1199,0)),"",INDEX('Compliance Database'!$K$2:$K$1199,MATCH(510,'Transfer Engine'!$C$2:$C$1199,0)))</f>
        <v/>
      </c>
      <c r="L519" s="7" t="str">
        <f>IF(ISNA(MATCH(510,'Transfer Engine'!$C$2:$C$1199,0)),"",INDEX('Compliance Database'!$L$2:$L$1199,MATCH(510,'Transfer Engine'!$C$2:$C$1199,0)))</f>
        <v/>
      </c>
      <c r="M519" s="7" t="str">
        <f>IF(ISNA(MATCH(510,'Transfer Engine'!$C$2:$C$1199,0)),"",INDEX('Compliance Database'!$M$2:$M$1199,MATCH(510,'Transfer Engine'!$C$2:$C$1199,0)))</f>
        <v/>
      </c>
      <c r="N519" s="7" t="str">
        <f>IF(ISNA(MATCH(510,'Transfer Engine'!$C$2:$C$1199,0)),"",INDEX('Compliance Database'!$N$2:$N$1199,MATCH(510,'Transfer Engine'!$C$2:$C$1199,0)))</f>
        <v/>
      </c>
      <c r="O519" s="7" t="str">
        <f>IF(ISNA(MATCH(510,'Transfer Engine'!$C$2:$C$1199,0)),"",INDEX('Compliance Database'!$O$2:$O$1199,MATCH(510,'Transfer Engine'!$C$2:$C$1199,0)))</f>
        <v/>
      </c>
      <c r="P519" s="6" t="str">
        <f>IF(ISNA(MATCH(510,'Transfer Engine'!$C$2:$C$1199,0)),"",HYPERLINK("#Acts!A"&amp;INDEX('Compliance Database'!$P$2:$P$1199,MATCH(510,'Transfer Engine'!$C$2:$C$1199,0)),"Go to Act"))</f>
        <v/>
      </c>
    </row>
    <row r="520" spans="1:16" ht="172.95" customHeight="1" x14ac:dyDescent="0.3">
      <c r="A520" s="6" t="str">
        <f>IF(ISNA(MATCH(511,'Transfer Engine'!$C$2:$C$1199,0)),"",INDEX('Compliance Database'!$A$2:$A$1199,MATCH(511,'Transfer Engine'!$C$2:$C$1199,0)))</f>
        <v/>
      </c>
      <c r="B520" s="6" t="str">
        <f>IF(ISNA(MATCH(511,'Transfer Engine'!$C$2:$C$1199,0)),"",INDEX('Compliance Database'!$B$2:$B$1199,MATCH(511,'Transfer Engine'!$C$2:$C$1199,0)))</f>
        <v/>
      </c>
      <c r="C520" s="6" t="str">
        <f>IF(ISNA(MATCH(511,'Transfer Engine'!$C$2:$C$1199,0)),"",INDEX('Compliance Database'!$C$2:$C$1199,MATCH(511,'Transfer Engine'!$C$2:$C$1199,0)))</f>
        <v/>
      </c>
      <c r="D520" s="7" t="str">
        <f>IF(ISNA(MATCH(511,'Transfer Engine'!$C$2:$C$1199,0)),"",INDEX('Compliance Database'!$D$2:$D$1199,MATCH(511,'Transfer Engine'!$C$2:$C$1199,0)))</f>
        <v/>
      </c>
      <c r="E520" s="6" t="str">
        <f>IF(ISNA(MATCH(511,'Transfer Engine'!$C$2:$C$1199,0)),"",INDEX('Compliance Database'!$E$2:$E$1199,MATCH(511,'Transfer Engine'!$C$2:$C$1199,0)))</f>
        <v/>
      </c>
      <c r="F520" s="6" t="str">
        <f>IF(ISNA(MATCH(511,'Transfer Engine'!$C$2:$C$1199,0)),"",INDEX('Compliance Database'!$F$2:$F$1199,MATCH(511,'Transfer Engine'!$C$2:$C$1199,0)))</f>
        <v/>
      </c>
      <c r="G520" s="6" t="str">
        <f>IF(ISNA(MATCH(511,'Transfer Engine'!$C$2:$C$1199,0)),"",INDEX('Compliance Database'!$G$2:$G$1199,MATCH(511,'Transfer Engine'!$C$2:$C$1199,0)))</f>
        <v/>
      </c>
      <c r="H520" s="7" t="str">
        <f>IF(ISNA(MATCH(511,'Transfer Engine'!$C$2:$C$1199,0)),"",INDEX('Compliance Database'!$H$2:$H$1199,MATCH(511,'Transfer Engine'!$C$2:$C$1199,0)))</f>
        <v/>
      </c>
      <c r="I520" s="7" t="str">
        <f>IF(ISNA(MATCH(511,'Transfer Engine'!$C$2:$C$1199,0)),"",INDEX('Compliance Database'!$I$2:$I$1199,MATCH(511,'Transfer Engine'!$C$2:$C$1199,0)))</f>
        <v/>
      </c>
      <c r="J520" s="6" t="str">
        <f>IF(ISNA(MATCH(511,'Transfer Engine'!$C$2:$C$1199,0)),"",INDEX('Compliance Database'!$J$2:$J$1199,MATCH(511,'Transfer Engine'!$C$2:$C$1199,0)))</f>
        <v/>
      </c>
      <c r="K520" s="7" t="str">
        <f>IF(ISNA(MATCH(511,'Transfer Engine'!$C$2:$C$1199,0)),"",INDEX('Compliance Database'!$K$2:$K$1199,MATCH(511,'Transfer Engine'!$C$2:$C$1199,0)))</f>
        <v/>
      </c>
      <c r="L520" s="7" t="str">
        <f>IF(ISNA(MATCH(511,'Transfer Engine'!$C$2:$C$1199,0)),"",INDEX('Compliance Database'!$L$2:$L$1199,MATCH(511,'Transfer Engine'!$C$2:$C$1199,0)))</f>
        <v/>
      </c>
      <c r="M520" s="7" t="str">
        <f>IF(ISNA(MATCH(511,'Transfer Engine'!$C$2:$C$1199,0)),"",INDEX('Compliance Database'!$M$2:$M$1199,MATCH(511,'Transfer Engine'!$C$2:$C$1199,0)))</f>
        <v/>
      </c>
      <c r="N520" s="7" t="str">
        <f>IF(ISNA(MATCH(511,'Transfer Engine'!$C$2:$C$1199,0)),"",INDEX('Compliance Database'!$N$2:$N$1199,MATCH(511,'Transfer Engine'!$C$2:$C$1199,0)))</f>
        <v/>
      </c>
      <c r="O520" s="7" t="str">
        <f>IF(ISNA(MATCH(511,'Transfer Engine'!$C$2:$C$1199,0)),"",INDEX('Compliance Database'!$O$2:$O$1199,MATCH(511,'Transfer Engine'!$C$2:$C$1199,0)))</f>
        <v/>
      </c>
      <c r="P520" s="6" t="str">
        <f>IF(ISNA(MATCH(511,'Transfer Engine'!$C$2:$C$1199,0)),"",HYPERLINK("#Acts!A"&amp;INDEX('Compliance Database'!$P$2:$P$1199,MATCH(511,'Transfer Engine'!$C$2:$C$1199,0)),"Go to Act"))</f>
        <v/>
      </c>
    </row>
    <row r="521" spans="1:16" ht="172.95" customHeight="1" x14ac:dyDescent="0.3">
      <c r="A521" s="6" t="str">
        <f>IF(ISNA(MATCH(512,'Transfer Engine'!$C$2:$C$1199,0)),"",INDEX('Compliance Database'!$A$2:$A$1199,MATCH(512,'Transfer Engine'!$C$2:$C$1199,0)))</f>
        <v/>
      </c>
      <c r="B521" s="6" t="str">
        <f>IF(ISNA(MATCH(512,'Transfer Engine'!$C$2:$C$1199,0)),"",INDEX('Compliance Database'!$B$2:$B$1199,MATCH(512,'Transfer Engine'!$C$2:$C$1199,0)))</f>
        <v/>
      </c>
      <c r="C521" s="6" t="str">
        <f>IF(ISNA(MATCH(512,'Transfer Engine'!$C$2:$C$1199,0)),"",INDEX('Compliance Database'!$C$2:$C$1199,MATCH(512,'Transfer Engine'!$C$2:$C$1199,0)))</f>
        <v/>
      </c>
      <c r="D521" s="7" t="str">
        <f>IF(ISNA(MATCH(512,'Transfer Engine'!$C$2:$C$1199,0)),"",INDEX('Compliance Database'!$D$2:$D$1199,MATCH(512,'Transfer Engine'!$C$2:$C$1199,0)))</f>
        <v/>
      </c>
      <c r="E521" s="6" t="str">
        <f>IF(ISNA(MATCH(512,'Transfer Engine'!$C$2:$C$1199,0)),"",INDEX('Compliance Database'!$E$2:$E$1199,MATCH(512,'Transfer Engine'!$C$2:$C$1199,0)))</f>
        <v/>
      </c>
      <c r="F521" s="6" t="str">
        <f>IF(ISNA(MATCH(512,'Transfer Engine'!$C$2:$C$1199,0)),"",INDEX('Compliance Database'!$F$2:$F$1199,MATCH(512,'Transfer Engine'!$C$2:$C$1199,0)))</f>
        <v/>
      </c>
      <c r="G521" s="6" t="str">
        <f>IF(ISNA(MATCH(512,'Transfer Engine'!$C$2:$C$1199,0)),"",INDEX('Compliance Database'!$G$2:$G$1199,MATCH(512,'Transfer Engine'!$C$2:$C$1199,0)))</f>
        <v/>
      </c>
      <c r="H521" s="7" t="str">
        <f>IF(ISNA(MATCH(512,'Transfer Engine'!$C$2:$C$1199,0)),"",INDEX('Compliance Database'!$H$2:$H$1199,MATCH(512,'Transfer Engine'!$C$2:$C$1199,0)))</f>
        <v/>
      </c>
      <c r="I521" s="7" t="str">
        <f>IF(ISNA(MATCH(512,'Transfer Engine'!$C$2:$C$1199,0)),"",INDEX('Compliance Database'!$I$2:$I$1199,MATCH(512,'Transfer Engine'!$C$2:$C$1199,0)))</f>
        <v/>
      </c>
      <c r="J521" s="6" t="str">
        <f>IF(ISNA(MATCH(512,'Transfer Engine'!$C$2:$C$1199,0)),"",INDEX('Compliance Database'!$J$2:$J$1199,MATCH(512,'Transfer Engine'!$C$2:$C$1199,0)))</f>
        <v/>
      </c>
      <c r="K521" s="7" t="str">
        <f>IF(ISNA(MATCH(512,'Transfer Engine'!$C$2:$C$1199,0)),"",INDEX('Compliance Database'!$K$2:$K$1199,MATCH(512,'Transfer Engine'!$C$2:$C$1199,0)))</f>
        <v/>
      </c>
      <c r="L521" s="7" t="str">
        <f>IF(ISNA(MATCH(512,'Transfer Engine'!$C$2:$C$1199,0)),"",INDEX('Compliance Database'!$L$2:$L$1199,MATCH(512,'Transfer Engine'!$C$2:$C$1199,0)))</f>
        <v/>
      </c>
      <c r="M521" s="7" t="str">
        <f>IF(ISNA(MATCH(512,'Transfer Engine'!$C$2:$C$1199,0)),"",INDEX('Compliance Database'!$M$2:$M$1199,MATCH(512,'Transfer Engine'!$C$2:$C$1199,0)))</f>
        <v/>
      </c>
      <c r="N521" s="7" t="str">
        <f>IF(ISNA(MATCH(512,'Transfer Engine'!$C$2:$C$1199,0)),"",INDEX('Compliance Database'!$N$2:$N$1199,MATCH(512,'Transfer Engine'!$C$2:$C$1199,0)))</f>
        <v/>
      </c>
      <c r="O521" s="7" t="str">
        <f>IF(ISNA(MATCH(512,'Transfer Engine'!$C$2:$C$1199,0)),"",INDEX('Compliance Database'!$O$2:$O$1199,MATCH(512,'Transfer Engine'!$C$2:$C$1199,0)))</f>
        <v/>
      </c>
      <c r="P521" s="6" t="str">
        <f>IF(ISNA(MATCH(512,'Transfer Engine'!$C$2:$C$1199,0)),"",HYPERLINK("#Acts!A"&amp;INDEX('Compliance Database'!$P$2:$P$1199,MATCH(512,'Transfer Engine'!$C$2:$C$1199,0)),"Go to Act"))</f>
        <v/>
      </c>
    </row>
    <row r="522" spans="1:16" ht="172.95" customHeight="1" x14ac:dyDescent="0.3">
      <c r="A522" s="6" t="str">
        <f>IF(ISNA(MATCH(513,'Transfer Engine'!$C$2:$C$1199,0)),"",INDEX('Compliance Database'!$A$2:$A$1199,MATCH(513,'Transfer Engine'!$C$2:$C$1199,0)))</f>
        <v/>
      </c>
      <c r="B522" s="6" t="str">
        <f>IF(ISNA(MATCH(513,'Transfer Engine'!$C$2:$C$1199,0)),"",INDEX('Compliance Database'!$B$2:$B$1199,MATCH(513,'Transfer Engine'!$C$2:$C$1199,0)))</f>
        <v/>
      </c>
      <c r="C522" s="6" t="str">
        <f>IF(ISNA(MATCH(513,'Transfer Engine'!$C$2:$C$1199,0)),"",INDEX('Compliance Database'!$C$2:$C$1199,MATCH(513,'Transfer Engine'!$C$2:$C$1199,0)))</f>
        <v/>
      </c>
      <c r="D522" s="7" t="str">
        <f>IF(ISNA(MATCH(513,'Transfer Engine'!$C$2:$C$1199,0)),"",INDEX('Compliance Database'!$D$2:$D$1199,MATCH(513,'Transfer Engine'!$C$2:$C$1199,0)))</f>
        <v/>
      </c>
      <c r="E522" s="6" t="str">
        <f>IF(ISNA(MATCH(513,'Transfer Engine'!$C$2:$C$1199,0)),"",INDEX('Compliance Database'!$E$2:$E$1199,MATCH(513,'Transfer Engine'!$C$2:$C$1199,0)))</f>
        <v/>
      </c>
      <c r="F522" s="6" t="str">
        <f>IF(ISNA(MATCH(513,'Transfer Engine'!$C$2:$C$1199,0)),"",INDEX('Compliance Database'!$F$2:$F$1199,MATCH(513,'Transfer Engine'!$C$2:$C$1199,0)))</f>
        <v/>
      </c>
      <c r="G522" s="6" t="str">
        <f>IF(ISNA(MATCH(513,'Transfer Engine'!$C$2:$C$1199,0)),"",INDEX('Compliance Database'!$G$2:$G$1199,MATCH(513,'Transfer Engine'!$C$2:$C$1199,0)))</f>
        <v/>
      </c>
      <c r="H522" s="7" t="str">
        <f>IF(ISNA(MATCH(513,'Transfer Engine'!$C$2:$C$1199,0)),"",INDEX('Compliance Database'!$H$2:$H$1199,MATCH(513,'Transfer Engine'!$C$2:$C$1199,0)))</f>
        <v/>
      </c>
      <c r="I522" s="7" t="str">
        <f>IF(ISNA(MATCH(513,'Transfer Engine'!$C$2:$C$1199,0)),"",INDEX('Compliance Database'!$I$2:$I$1199,MATCH(513,'Transfer Engine'!$C$2:$C$1199,0)))</f>
        <v/>
      </c>
      <c r="J522" s="6" t="str">
        <f>IF(ISNA(MATCH(513,'Transfer Engine'!$C$2:$C$1199,0)),"",INDEX('Compliance Database'!$J$2:$J$1199,MATCH(513,'Transfer Engine'!$C$2:$C$1199,0)))</f>
        <v/>
      </c>
      <c r="K522" s="7" t="str">
        <f>IF(ISNA(MATCH(513,'Transfer Engine'!$C$2:$C$1199,0)),"",INDEX('Compliance Database'!$K$2:$K$1199,MATCH(513,'Transfer Engine'!$C$2:$C$1199,0)))</f>
        <v/>
      </c>
      <c r="L522" s="7" t="str">
        <f>IF(ISNA(MATCH(513,'Transfer Engine'!$C$2:$C$1199,0)),"",INDEX('Compliance Database'!$L$2:$L$1199,MATCH(513,'Transfer Engine'!$C$2:$C$1199,0)))</f>
        <v/>
      </c>
      <c r="M522" s="7" t="str">
        <f>IF(ISNA(MATCH(513,'Transfer Engine'!$C$2:$C$1199,0)),"",INDEX('Compliance Database'!$M$2:$M$1199,MATCH(513,'Transfer Engine'!$C$2:$C$1199,0)))</f>
        <v/>
      </c>
      <c r="N522" s="7" t="str">
        <f>IF(ISNA(MATCH(513,'Transfer Engine'!$C$2:$C$1199,0)),"",INDEX('Compliance Database'!$N$2:$N$1199,MATCH(513,'Transfer Engine'!$C$2:$C$1199,0)))</f>
        <v/>
      </c>
      <c r="O522" s="7" t="str">
        <f>IF(ISNA(MATCH(513,'Transfer Engine'!$C$2:$C$1199,0)),"",INDEX('Compliance Database'!$O$2:$O$1199,MATCH(513,'Transfer Engine'!$C$2:$C$1199,0)))</f>
        <v/>
      </c>
      <c r="P522" s="6" t="str">
        <f>IF(ISNA(MATCH(513,'Transfer Engine'!$C$2:$C$1199,0)),"",HYPERLINK("#Acts!A"&amp;INDEX('Compliance Database'!$P$2:$P$1199,MATCH(513,'Transfer Engine'!$C$2:$C$1199,0)),"Go to Act"))</f>
        <v/>
      </c>
    </row>
    <row r="523" spans="1:16" ht="172.95" customHeight="1" x14ac:dyDescent="0.3">
      <c r="A523" s="6" t="str">
        <f>IF(ISNA(MATCH(514,'Transfer Engine'!$C$2:$C$1199,0)),"",INDEX('Compliance Database'!$A$2:$A$1199,MATCH(514,'Transfer Engine'!$C$2:$C$1199,0)))</f>
        <v/>
      </c>
      <c r="B523" s="6" t="str">
        <f>IF(ISNA(MATCH(514,'Transfer Engine'!$C$2:$C$1199,0)),"",INDEX('Compliance Database'!$B$2:$B$1199,MATCH(514,'Transfer Engine'!$C$2:$C$1199,0)))</f>
        <v/>
      </c>
      <c r="C523" s="6" t="str">
        <f>IF(ISNA(MATCH(514,'Transfer Engine'!$C$2:$C$1199,0)),"",INDEX('Compliance Database'!$C$2:$C$1199,MATCH(514,'Transfer Engine'!$C$2:$C$1199,0)))</f>
        <v/>
      </c>
      <c r="D523" s="7" t="str">
        <f>IF(ISNA(MATCH(514,'Transfer Engine'!$C$2:$C$1199,0)),"",INDEX('Compliance Database'!$D$2:$D$1199,MATCH(514,'Transfer Engine'!$C$2:$C$1199,0)))</f>
        <v/>
      </c>
      <c r="E523" s="6" t="str">
        <f>IF(ISNA(MATCH(514,'Transfer Engine'!$C$2:$C$1199,0)),"",INDEX('Compliance Database'!$E$2:$E$1199,MATCH(514,'Transfer Engine'!$C$2:$C$1199,0)))</f>
        <v/>
      </c>
      <c r="F523" s="6" t="str">
        <f>IF(ISNA(MATCH(514,'Transfer Engine'!$C$2:$C$1199,0)),"",INDEX('Compliance Database'!$F$2:$F$1199,MATCH(514,'Transfer Engine'!$C$2:$C$1199,0)))</f>
        <v/>
      </c>
      <c r="G523" s="6" t="str">
        <f>IF(ISNA(MATCH(514,'Transfer Engine'!$C$2:$C$1199,0)),"",INDEX('Compliance Database'!$G$2:$G$1199,MATCH(514,'Transfer Engine'!$C$2:$C$1199,0)))</f>
        <v/>
      </c>
      <c r="H523" s="7" t="str">
        <f>IF(ISNA(MATCH(514,'Transfer Engine'!$C$2:$C$1199,0)),"",INDEX('Compliance Database'!$H$2:$H$1199,MATCH(514,'Transfer Engine'!$C$2:$C$1199,0)))</f>
        <v/>
      </c>
      <c r="I523" s="7" t="str">
        <f>IF(ISNA(MATCH(514,'Transfer Engine'!$C$2:$C$1199,0)),"",INDEX('Compliance Database'!$I$2:$I$1199,MATCH(514,'Transfer Engine'!$C$2:$C$1199,0)))</f>
        <v/>
      </c>
      <c r="J523" s="6" t="str">
        <f>IF(ISNA(MATCH(514,'Transfer Engine'!$C$2:$C$1199,0)),"",INDEX('Compliance Database'!$J$2:$J$1199,MATCH(514,'Transfer Engine'!$C$2:$C$1199,0)))</f>
        <v/>
      </c>
      <c r="K523" s="7" t="str">
        <f>IF(ISNA(MATCH(514,'Transfer Engine'!$C$2:$C$1199,0)),"",INDEX('Compliance Database'!$K$2:$K$1199,MATCH(514,'Transfer Engine'!$C$2:$C$1199,0)))</f>
        <v/>
      </c>
      <c r="L523" s="7" t="str">
        <f>IF(ISNA(MATCH(514,'Transfer Engine'!$C$2:$C$1199,0)),"",INDEX('Compliance Database'!$L$2:$L$1199,MATCH(514,'Transfer Engine'!$C$2:$C$1199,0)))</f>
        <v/>
      </c>
      <c r="M523" s="7" t="str">
        <f>IF(ISNA(MATCH(514,'Transfer Engine'!$C$2:$C$1199,0)),"",INDEX('Compliance Database'!$M$2:$M$1199,MATCH(514,'Transfer Engine'!$C$2:$C$1199,0)))</f>
        <v/>
      </c>
      <c r="N523" s="7" t="str">
        <f>IF(ISNA(MATCH(514,'Transfer Engine'!$C$2:$C$1199,0)),"",INDEX('Compliance Database'!$N$2:$N$1199,MATCH(514,'Transfer Engine'!$C$2:$C$1199,0)))</f>
        <v/>
      </c>
      <c r="O523" s="7" t="str">
        <f>IF(ISNA(MATCH(514,'Transfer Engine'!$C$2:$C$1199,0)),"",INDEX('Compliance Database'!$O$2:$O$1199,MATCH(514,'Transfer Engine'!$C$2:$C$1199,0)))</f>
        <v/>
      </c>
      <c r="P523" s="6" t="str">
        <f>IF(ISNA(MATCH(514,'Transfer Engine'!$C$2:$C$1199,0)),"",HYPERLINK("#Acts!A"&amp;INDEX('Compliance Database'!$P$2:$P$1199,MATCH(514,'Transfer Engine'!$C$2:$C$1199,0)),"Go to Act"))</f>
        <v/>
      </c>
    </row>
    <row r="524" spans="1:16" ht="172.95" customHeight="1" x14ac:dyDescent="0.3">
      <c r="A524" s="6" t="str">
        <f>IF(ISNA(MATCH(515,'Transfer Engine'!$C$2:$C$1199,0)),"",INDEX('Compliance Database'!$A$2:$A$1199,MATCH(515,'Transfer Engine'!$C$2:$C$1199,0)))</f>
        <v/>
      </c>
      <c r="B524" s="6" t="str">
        <f>IF(ISNA(MATCH(515,'Transfer Engine'!$C$2:$C$1199,0)),"",INDEX('Compliance Database'!$B$2:$B$1199,MATCH(515,'Transfer Engine'!$C$2:$C$1199,0)))</f>
        <v/>
      </c>
      <c r="C524" s="6" t="str">
        <f>IF(ISNA(MATCH(515,'Transfer Engine'!$C$2:$C$1199,0)),"",INDEX('Compliance Database'!$C$2:$C$1199,MATCH(515,'Transfer Engine'!$C$2:$C$1199,0)))</f>
        <v/>
      </c>
      <c r="D524" s="7" t="str">
        <f>IF(ISNA(MATCH(515,'Transfer Engine'!$C$2:$C$1199,0)),"",INDEX('Compliance Database'!$D$2:$D$1199,MATCH(515,'Transfer Engine'!$C$2:$C$1199,0)))</f>
        <v/>
      </c>
      <c r="E524" s="6" t="str">
        <f>IF(ISNA(MATCH(515,'Transfer Engine'!$C$2:$C$1199,0)),"",INDEX('Compliance Database'!$E$2:$E$1199,MATCH(515,'Transfer Engine'!$C$2:$C$1199,0)))</f>
        <v/>
      </c>
      <c r="F524" s="6" t="str">
        <f>IF(ISNA(MATCH(515,'Transfer Engine'!$C$2:$C$1199,0)),"",INDEX('Compliance Database'!$F$2:$F$1199,MATCH(515,'Transfer Engine'!$C$2:$C$1199,0)))</f>
        <v/>
      </c>
      <c r="G524" s="6" t="str">
        <f>IF(ISNA(MATCH(515,'Transfer Engine'!$C$2:$C$1199,0)),"",INDEX('Compliance Database'!$G$2:$G$1199,MATCH(515,'Transfer Engine'!$C$2:$C$1199,0)))</f>
        <v/>
      </c>
      <c r="H524" s="7" t="str">
        <f>IF(ISNA(MATCH(515,'Transfer Engine'!$C$2:$C$1199,0)),"",INDEX('Compliance Database'!$H$2:$H$1199,MATCH(515,'Transfer Engine'!$C$2:$C$1199,0)))</f>
        <v/>
      </c>
      <c r="I524" s="7" t="str">
        <f>IF(ISNA(MATCH(515,'Transfer Engine'!$C$2:$C$1199,0)),"",INDEX('Compliance Database'!$I$2:$I$1199,MATCH(515,'Transfer Engine'!$C$2:$C$1199,0)))</f>
        <v/>
      </c>
      <c r="J524" s="6" t="str">
        <f>IF(ISNA(MATCH(515,'Transfer Engine'!$C$2:$C$1199,0)),"",INDEX('Compliance Database'!$J$2:$J$1199,MATCH(515,'Transfer Engine'!$C$2:$C$1199,0)))</f>
        <v/>
      </c>
      <c r="K524" s="7" t="str">
        <f>IF(ISNA(MATCH(515,'Transfer Engine'!$C$2:$C$1199,0)),"",INDEX('Compliance Database'!$K$2:$K$1199,MATCH(515,'Transfer Engine'!$C$2:$C$1199,0)))</f>
        <v/>
      </c>
      <c r="L524" s="7" t="str">
        <f>IF(ISNA(MATCH(515,'Transfer Engine'!$C$2:$C$1199,0)),"",INDEX('Compliance Database'!$L$2:$L$1199,MATCH(515,'Transfer Engine'!$C$2:$C$1199,0)))</f>
        <v/>
      </c>
      <c r="M524" s="7" t="str">
        <f>IF(ISNA(MATCH(515,'Transfer Engine'!$C$2:$C$1199,0)),"",INDEX('Compliance Database'!$M$2:$M$1199,MATCH(515,'Transfer Engine'!$C$2:$C$1199,0)))</f>
        <v/>
      </c>
      <c r="N524" s="7" t="str">
        <f>IF(ISNA(MATCH(515,'Transfer Engine'!$C$2:$C$1199,0)),"",INDEX('Compliance Database'!$N$2:$N$1199,MATCH(515,'Transfer Engine'!$C$2:$C$1199,0)))</f>
        <v/>
      </c>
      <c r="O524" s="7" t="str">
        <f>IF(ISNA(MATCH(515,'Transfer Engine'!$C$2:$C$1199,0)),"",INDEX('Compliance Database'!$O$2:$O$1199,MATCH(515,'Transfer Engine'!$C$2:$C$1199,0)))</f>
        <v/>
      </c>
      <c r="P524" s="6" t="str">
        <f>IF(ISNA(MATCH(515,'Transfer Engine'!$C$2:$C$1199,0)),"",HYPERLINK("#Acts!A"&amp;INDEX('Compliance Database'!$P$2:$P$1199,MATCH(515,'Transfer Engine'!$C$2:$C$1199,0)),"Go to Act"))</f>
        <v/>
      </c>
    </row>
    <row r="525" spans="1:16" ht="172.95" customHeight="1" x14ac:dyDescent="0.3">
      <c r="A525" s="6" t="str">
        <f>IF(ISNA(MATCH(516,'Transfer Engine'!$C$2:$C$1199,0)),"",INDEX('Compliance Database'!$A$2:$A$1199,MATCH(516,'Transfer Engine'!$C$2:$C$1199,0)))</f>
        <v/>
      </c>
      <c r="B525" s="6" t="str">
        <f>IF(ISNA(MATCH(516,'Transfer Engine'!$C$2:$C$1199,0)),"",INDEX('Compliance Database'!$B$2:$B$1199,MATCH(516,'Transfer Engine'!$C$2:$C$1199,0)))</f>
        <v/>
      </c>
      <c r="C525" s="6" t="str">
        <f>IF(ISNA(MATCH(516,'Transfer Engine'!$C$2:$C$1199,0)),"",INDEX('Compliance Database'!$C$2:$C$1199,MATCH(516,'Transfer Engine'!$C$2:$C$1199,0)))</f>
        <v/>
      </c>
      <c r="D525" s="7" t="str">
        <f>IF(ISNA(MATCH(516,'Transfer Engine'!$C$2:$C$1199,0)),"",INDEX('Compliance Database'!$D$2:$D$1199,MATCH(516,'Transfer Engine'!$C$2:$C$1199,0)))</f>
        <v/>
      </c>
      <c r="E525" s="6" t="str">
        <f>IF(ISNA(MATCH(516,'Transfer Engine'!$C$2:$C$1199,0)),"",INDEX('Compliance Database'!$E$2:$E$1199,MATCH(516,'Transfer Engine'!$C$2:$C$1199,0)))</f>
        <v/>
      </c>
      <c r="F525" s="6" t="str">
        <f>IF(ISNA(MATCH(516,'Transfer Engine'!$C$2:$C$1199,0)),"",INDEX('Compliance Database'!$F$2:$F$1199,MATCH(516,'Transfer Engine'!$C$2:$C$1199,0)))</f>
        <v/>
      </c>
      <c r="G525" s="6" t="str">
        <f>IF(ISNA(MATCH(516,'Transfer Engine'!$C$2:$C$1199,0)),"",INDEX('Compliance Database'!$G$2:$G$1199,MATCH(516,'Transfer Engine'!$C$2:$C$1199,0)))</f>
        <v/>
      </c>
      <c r="H525" s="7" t="str">
        <f>IF(ISNA(MATCH(516,'Transfer Engine'!$C$2:$C$1199,0)),"",INDEX('Compliance Database'!$H$2:$H$1199,MATCH(516,'Transfer Engine'!$C$2:$C$1199,0)))</f>
        <v/>
      </c>
      <c r="I525" s="7" t="str">
        <f>IF(ISNA(MATCH(516,'Transfer Engine'!$C$2:$C$1199,0)),"",INDEX('Compliance Database'!$I$2:$I$1199,MATCH(516,'Transfer Engine'!$C$2:$C$1199,0)))</f>
        <v/>
      </c>
      <c r="J525" s="6" t="str">
        <f>IF(ISNA(MATCH(516,'Transfer Engine'!$C$2:$C$1199,0)),"",INDEX('Compliance Database'!$J$2:$J$1199,MATCH(516,'Transfer Engine'!$C$2:$C$1199,0)))</f>
        <v/>
      </c>
      <c r="K525" s="7" t="str">
        <f>IF(ISNA(MATCH(516,'Transfer Engine'!$C$2:$C$1199,0)),"",INDEX('Compliance Database'!$K$2:$K$1199,MATCH(516,'Transfer Engine'!$C$2:$C$1199,0)))</f>
        <v/>
      </c>
      <c r="L525" s="7" t="str">
        <f>IF(ISNA(MATCH(516,'Transfer Engine'!$C$2:$C$1199,0)),"",INDEX('Compliance Database'!$L$2:$L$1199,MATCH(516,'Transfer Engine'!$C$2:$C$1199,0)))</f>
        <v/>
      </c>
      <c r="M525" s="7" t="str">
        <f>IF(ISNA(MATCH(516,'Transfer Engine'!$C$2:$C$1199,0)),"",INDEX('Compliance Database'!$M$2:$M$1199,MATCH(516,'Transfer Engine'!$C$2:$C$1199,0)))</f>
        <v/>
      </c>
      <c r="N525" s="7" t="str">
        <f>IF(ISNA(MATCH(516,'Transfer Engine'!$C$2:$C$1199,0)),"",INDEX('Compliance Database'!$N$2:$N$1199,MATCH(516,'Transfer Engine'!$C$2:$C$1199,0)))</f>
        <v/>
      </c>
      <c r="O525" s="7" t="str">
        <f>IF(ISNA(MATCH(516,'Transfer Engine'!$C$2:$C$1199,0)),"",INDEX('Compliance Database'!$O$2:$O$1199,MATCH(516,'Transfer Engine'!$C$2:$C$1199,0)))</f>
        <v/>
      </c>
      <c r="P525" s="6" t="str">
        <f>IF(ISNA(MATCH(516,'Transfer Engine'!$C$2:$C$1199,0)),"",HYPERLINK("#Acts!A"&amp;INDEX('Compliance Database'!$P$2:$P$1199,MATCH(516,'Transfer Engine'!$C$2:$C$1199,0)),"Go to Act"))</f>
        <v/>
      </c>
    </row>
    <row r="526" spans="1:16" ht="172.95" customHeight="1" x14ac:dyDescent="0.3">
      <c r="A526" s="6" t="str">
        <f>IF(ISNA(MATCH(517,'Transfer Engine'!$C$2:$C$1199,0)),"",INDEX('Compliance Database'!$A$2:$A$1199,MATCH(517,'Transfer Engine'!$C$2:$C$1199,0)))</f>
        <v/>
      </c>
      <c r="B526" s="6" t="str">
        <f>IF(ISNA(MATCH(517,'Transfer Engine'!$C$2:$C$1199,0)),"",INDEX('Compliance Database'!$B$2:$B$1199,MATCH(517,'Transfer Engine'!$C$2:$C$1199,0)))</f>
        <v/>
      </c>
      <c r="C526" s="6" t="str">
        <f>IF(ISNA(MATCH(517,'Transfer Engine'!$C$2:$C$1199,0)),"",INDEX('Compliance Database'!$C$2:$C$1199,MATCH(517,'Transfer Engine'!$C$2:$C$1199,0)))</f>
        <v/>
      </c>
      <c r="D526" s="7" t="str">
        <f>IF(ISNA(MATCH(517,'Transfer Engine'!$C$2:$C$1199,0)),"",INDEX('Compliance Database'!$D$2:$D$1199,MATCH(517,'Transfer Engine'!$C$2:$C$1199,0)))</f>
        <v/>
      </c>
      <c r="E526" s="6" t="str">
        <f>IF(ISNA(MATCH(517,'Transfer Engine'!$C$2:$C$1199,0)),"",INDEX('Compliance Database'!$E$2:$E$1199,MATCH(517,'Transfer Engine'!$C$2:$C$1199,0)))</f>
        <v/>
      </c>
      <c r="F526" s="6" t="str">
        <f>IF(ISNA(MATCH(517,'Transfer Engine'!$C$2:$C$1199,0)),"",INDEX('Compliance Database'!$F$2:$F$1199,MATCH(517,'Transfer Engine'!$C$2:$C$1199,0)))</f>
        <v/>
      </c>
      <c r="G526" s="6" t="str">
        <f>IF(ISNA(MATCH(517,'Transfer Engine'!$C$2:$C$1199,0)),"",INDEX('Compliance Database'!$G$2:$G$1199,MATCH(517,'Transfer Engine'!$C$2:$C$1199,0)))</f>
        <v/>
      </c>
      <c r="H526" s="7" t="str">
        <f>IF(ISNA(MATCH(517,'Transfer Engine'!$C$2:$C$1199,0)),"",INDEX('Compliance Database'!$H$2:$H$1199,MATCH(517,'Transfer Engine'!$C$2:$C$1199,0)))</f>
        <v/>
      </c>
      <c r="I526" s="7" t="str">
        <f>IF(ISNA(MATCH(517,'Transfer Engine'!$C$2:$C$1199,0)),"",INDEX('Compliance Database'!$I$2:$I$1199,MATCH(517,'Transfer Engine'!$C$2:$C$1199,0)))</f>
        <v/>
      </c>
      <c r="J526" s="6" t="str">
        <f>IF(ISNA(MATCH(517,'Transfer Engine'!$C$2:$C$1199,0)),"",INDEX('Compliance Database'!$J$2:$J$1199,MATCH(517,'Transfer Engine'!$C$2:$C$1199,0)))</f>
        <v/>
      </c>
      <c r="K526" s="7" t="str">
        <f>IF(ISNA(MATCH(517,'Transfer Engine'!$C$2:$C$1199,0)),"",INDEX('Compliance Database'!$K$2:$K$1199,MATCH(517,'Transfer Engine'!$C$2:$C$1199,0)))</f>
        <v/>
      </c>
      <c r="L526" s="7" t="str">
        <f>IF(ISNA(MATCH(517,'Transfer Engine'!$C$2:$C$1199,0)),"",INDEX('Compliance Database'!$L$2:$L$1199,MATCH(517,'Transfer Engine'!$C$2:$C$1199,0)))</f>
        <v/>
      </c>
      <c r="M526" s="7" t="str">
        <f>IF(ISNA(MATCH(517,'Transfer Engine'!$C$2:$C$1199,0)),"",INDEX('Compliance Database'!$M$2:$M$1199,MATCH(517,'Transfer Engine'!$C$2:$C$1199,0)))</f>
        <v/>
      </c>
      <c r="N526" s="7" t="str">
        <f>IF(ISNA(MATCH(517,'Transfer Engine'!$C$2:$C$1199,0)),"",INDEX('Compliance Database'!$N$2:$N$1199,MATCH(517,'Transfer Engine'!$C$2:$C$1199,0)))</f>
        <v/>
      </c>
      <c r="O526" s="7" t="str">
        <f>IF(ISNA(MATCH(517,'Transfer Engine'!$C$2:$C$1199,0)),"",INDEX('Compliance Database'!$O$2:$O$1199,MATCH(517,'Transfer Engine'!$C$2:$C$1199,0)))</f>
        <v/>
      </c>
      <c r="P526" s="6" t="str">
        <f>IF(ISNA(MATCH(517,'Transfer Engine'!$C$2:$C$1199,0)),"",HYPERLINK("#Acts!A"&amp;INDEX('Compliance Database'!$P$2:$P$1199,MATCH(517,'Transfer Engine'!$C$2:$C$1199,0)),"Go to Act"))</f>
        <v/>
      </c>
    </row>
    <row r="527" spans="1:16" ht="172.95" customHeight="1" x14ac:dyDescent="0.3">
      <c r="A527" s="6" t="str">
        <f>IF(ISNA(MATCH(518,'Transfer Engine'!$C$2:$C$1199,0)),"",INDEX('Compliance Database'!$A$2:$A$1199,MATCH(518,'Transfer Engine'!$C$2:$C$1199,0)))</f>
        <v/>
      </c>
      <c r="B527" s="6" t="str">
        <f>IF(ISNA(MATCH(518,'Transfer Engine'!$C$2:$C$1199,0)),"",INDEX('Compliance Database'!$B$2:$B$1199,MATCH(518,'Transfer Engine'!$C$2:$C$1199,0)))</f>
        <v/>
      </c>
      <c r="C527" s="6" t="str">
        <f>IF(ISNA(MATCH(518,'Transfer Engine'!$C$2:$C$1199,0)),"",INDEX('Compliance Database'!$C$2:$C$1199,MATCH(518,'Transfer Engine'!$C$2:$C$1199,0)))</f>
        <v/>
      </c>
      <c r="D527" s="7" t="str">
        <f>IF(ISNA(MATCH(518,'Transfer Engine'!$C$2:$C$1199,0)),"",INDEX('Compliance Database'!$D$2:$D$1199,MATCH(518,'Transfer Engine'!$C$2:$C$1199,0)))</f>
        <v/>
      </c>
      <c r="E527" s="6" t="str">
        <f>IF(ISNA(MATCH(518,'Transfer Engine'!$C$2:$C$1199,0)),"",INDEX('Compliance Database'!$E$2:$E$1199,MATCH(518,'Transfer Engine'!$C$2:$C$1199,0)))</f>
        <v/>
      </c>
      <c r="F527" s="6" t="str">
        <f>IF(ISNA(MATCH(518,'Transfer Engine'!$C$2:$C$1199,0)),"",INDEX('Compliance Database'!$F$2:$F$1199,MATCH(518,'Transfer Engine'!$C$2:$C$1199,0)))</f>
        <v/>
      </c>
      <c r="G527" s="6" t="str">
        <f>IF(ISNA(MATCH(518,'Transfer Engine'!$C$2:$C$1199,0)),"",INDEX('Compliance Database'!$G$2:$G$1199,MATCH(518,'Transfer Engine'!$C$2:$C$1199,0)))</f>
        <v/>
      </c>
      <c r="H527" s="7" t="str">
        <f>IF(ISNA(MATCH(518,'Transfer Engine'!$C$2:$C$1199,0)),"",INDEX('Compliance Database'!$H$2:$H$1199,MATCH(518,'Transfer Engine'!$C$2:$C$1199,0)))</f>
        <v/>
      </c>
      <c r="I527" s="7" t="str">
        <f>IF(ISNA(MATCH(518,'Transfer Engine'!$C$2:$C$1199,0)),"",INDEX('Compliance Database'!$I$2:$I$1199,MATCH(518,'Transfer Engine'!$C$2:$C$1199,0)))</f>
        <v/>
      </c>
      <c r="J527" s="6" t="str">
        <f>IF(ISNA(MATCH(518,'Transfer Engine'!$C$2:$C$1199,0)),"",INDEX('Compliance Database'!$J$2:$J$1199,MATCH(518,'Transfer Engine'!$C$2:$C$1199,0)))</f>
        <v/>
      </c>
      <c r="K527" s="7" t="str">
        <f>IF(ISNA(MATCH(518,'Transfer Engine'!$C$2:$C$1199,0)),"",INDEX('Compliance Database'!$K$2:$K$1199,MATCH(518,'Transfer Engine'!$C$2:$C$1199,0)))</f>
        <v/>
      </c>
      <c r="L527" s="7" t="str">
        <f>IF(ISNA(MATCH(518,'Transfer Engine'!$C$2:$C$1199,0)),"",INDEX('Compliance Database'!$L$2:$L$1199,MATCH(518,'Transfer Engine'!$C$2:$C$1199,0)))</f>
        <v/>
      </c>
      <c r="M527" s="7" t="str">
        <f>IF(ISNA(MATCH(518,'Transfer Engine'!$C$2:$C$1199,0)),"",INDEX('Compliance Database'!$M$2:$M$1199,MATCH(518,'Transfer Engine'!$C$2:$C$1199,0)))</f>
        <v/>
      </c>
      <c r="N527" s="7" t="str">
        <f>IF(ISNA(MATCH(518,'Transfer Engine'!$C$2:$C$1199,0)),"",INDEX('Compliance Database'!$N$2:$N$1199,MATCH(518,'Transfer Engine'!$C$2:$C$1199,0)))</f>
        <v/>
      </c>
      <c r="O527" s="7" t="str">
        <f>IF(ISNA(MATCH(518,'Transfer Engine'!$C$2:$C$1199,0)),"",INDEX('Compliance Database'!$O$2:$O$1199,MATCH(518,'Transfer Engine'!$C$2:$C$1199,0)))</f>
        <v/>
      </c>
      <c r="P527" s="6" t="str">
        <f>IF(ISNA(MATCH(518,'Transfer Engine'!$C$2:$C$1199,0)),"",HYPERLINK("#Acts!A"&amp;INDEX('Compliance Database'!$P$2:$P$1199,MATCH(518,'Transfer Engine'!$C$2:$C$1199,0)),"Go to Act"))</f>
        <v/>
      </c>
    </row>
    <row r="528" spans="1:16" ht="172.95" customHeight="1" x14ac:dyDescent="0.3">
      <c r="A528" s="6" t="str">
        <f>IF(ISNA(MATCH(519,'Transfer Engine'!$C$2:$C$1199,0)),"",INDEX('Compliance Database'!$A$2:$A$1199,MATCH(519,'Transfer Engine'!$C$2:$C$1199,0)))</f>
        <v/>
      </c>
      <c r="B528" s="6" t="str">
        <f>IF(ISNA(MATCH(519,'Transfer Engine'!$C$2:$C$1199,0)),"",INDEX('Compliance Database'!$B$2:$B$1199,MATCH(519,'Transfer Engine'!$C$2:$C$1199,0)))</f>
        <v/>
      </c>
      <c r="C528" s="6" t="str">
        <f>IF(ISNA(MATCH(519,'Transfer Engine'!$C$2:$C$1199,0)),"",INDEX('Compliance Database'!$C$2:$C$1199,MATCH(519,'Transfer Engine'!$C$2:$C$1199,0)))</f>
        <v/>
      </c>
      <c r="D528" s="7" t="str">
        <f>IF(ISNA(MATCH(519,'Transfer Engine'!$C$2:$C$1199,0)),"",INDEX('Compliance Database'!$D$2:$D$1199,MATCH(519,'Transfer Engine'!$C$2:$C$1199,0)))</f>
        <v/>
      </c>
      <c r="E528" s="6" t="str">
        <f>IF(ISNA(MATCH(519,'Transfer Engine'!$C$2:$C$1199,0)),"",INDEX('Compliance Database'!$E$2:$E$1199,MATCH(519,'Transfer Engine'!$C$2:$C$1199,0)))</f>
        <v/>
      </c>
      <c r="F528" s="6" t="str">
        <f>IF(ISNA(MATCH(519,'Transfer Engine'!$C$2:$C$1199,0)),"",INDEX('Compliance Database'!$F$2:$F$1199,MATCH(519,'Transfer Engine'!$C$2:$C$1199,0)))</f>
        <v/>
      </c>
      <c r="G528" s="6" t="str">
        <f>IF(ISNA(MATCH(519,'Transfer Engine'!$C$2:$C$1199,0)),"",INDEX('Compliance Database'!$G$2:$G$1199,MATCH(519,'Transfer Engine'!$C$2:$C$1199,0)))</f>
        <v/>
      </c>
      <c r="H528" s="7" t="str">
        <f>IF(ISNA(MATCH(519,'Transfer Engine'!$C$2:$C$1199,0)),"",INDEX('Compliance Database'!$H$2:$H$1199,MATCH(519,'Transfer Engine'!$C$2:$C$1199,0)))</f>
        <v/>
      </c>
      <c r="I528" s="7" t="str">
        <f>IF(ISNA(MATCH(519,'Transfer Engine'!$C$2:$C$1199,0)),"",INDEX('Compliance Database'!$I$2:$I$1199,MATCH(519,'Transfer Engine'!$C$2:$C$1199,0)))</f>
        <v/>
      </c>
      <c r="J528" s="6" t="str">
        <f>IF(ISNA(MATCH(519,'Transfer Engine'!$C$2:$C$1199,0)),"",INDEX('Compliance Database'!$J$2:$J$1199,MATCH(519,'Transfer Engine'!$C$2:$C$1199,0)))</f>
        <v/>
      </c>
      <c r="K528" s="7" t="str">
        <f>IF(ISNA(MATCH(519,'Transfer Engine'!$C$2:$C$1199,0)),"",INDEX('Compliance Database'!$K$2:$K$1199,MATCH(519,'Transfer Engine'!$C$2:$C$1199,0)))</f>
        <v/>
      </c>
      <c r="L528" s="7" t="str">
        <f>IF(ISNA(MATCH(519,'Transfer Engine'!$C$2:$C$1199,0)),"",INDEX('Compliance Database'!$L$2:$L$1199,MATCH(519,'Transfer Engine'!$C$2:$C$1199,0)))</f>
        <v/>
      </c>
      <c r="M528" s="7" t="str">
        <f>IF(ISNA(MATCH(519,'Transfer Engine'!$C$2:$C$1199,0)),"",INDEX('Compliance Database'!$M$2:$M$1199,MATCH(519,'Transfer Engine'!$C$2:$C$1199,0)))</f>
        <v/>
      </c>
      <c r="N528" s="7" t="str">
        <f>IF(ISNA(MATCH(519,'Transfer Engine'!$C$2:$C$1199,0)),"",INDEX('Compliance Database'!$N$2:$N$1199,MATCH(519,'Transfer Engine'!$C$2:$C$1199,0)))</f>
        <v/>
      </c>
      <c r="O528" s="7" t="str">
        <f>IF(ISNA(MATCH(519,'Transfer Engine'!$C$2:$C$1199,0)),"",INDEX('Compliance Database'!$O$2:$O$1199,MATCH(519,'Transfer Engine'!$C$2:$C$1199,0)))</f>
        <v/>
      </c>
      <c r="P528" s="6" t="str">
        <f>IF(ISNA(MATCH(519,'Transfer Engine'!$C$2:$C$1199,0)),"",HYPERLINK("#Acts!A"&amp;INDEX('Compliance Database'!$P$2:$P$1199,MATCH(519,'Transfer Engine'!$C$2:$C$1199,0)),"Go to Act"))</f>
        <v/>
      </c>
    </row>
    <row r="529" spans="1:16" ht="172.95" customHeight="1" x14ac:dyDescent="0.3">
      <c r="A529" s="6" t="str">
        <f>IF(ISNA(MATCH(520,'Transfer Engine'!$C$2:$C$1199,0)),"",INDEX('Compliance Database'!$A$2:$A$1199,MATCH(520,'Transfer Engine'!$C$2:$C$1199,0)))</f>
        <v/>
      </c>
      <c r="B529" s="6" t="str">
        <f>IF(ISNA(MATCH(520,'Transfer Engine'!$C$2:$C$1199,0)),"",INDEX('Compliance Database'!$B$2:$B$1199,MATCH(520,'Transfer Engine'!$C$2:$C$1199,0)))</f>
        <v/>
      </c>
      <c r="C529" s="6" t="str">
        <f>IF(ISNA(MATCH(520,'Transfer Engine'!$C$2:$C$1199,0)),"",INDEX('Compliance Database'!$C$2:$C$1199,MATCH(520,'Transfer Engine'!$C$2:$C$1199,0)))</f>
        <v/>
      </c>
      <c r="D529" s="7" t="str">
        <f>IF(ISNA(MATCH(520,'Transfer Engine'!$C$2:$C$1199,0)),"",INDEX('Compliance Database'!$D$2:$D$1199,MATCH(520,'Transfer Engine'!$C$2:$C$1199,0)))</f>
        <v/>
      </c>
      <c r="E529" s="6" t="str">
        <f>IF(ISNA(MATCH(520,'Transfer Engine'!$C$2:$C$1199,0)),"",INDEX('Compliance Database'!$E$2:$E$1199,MATCH(520,'Transfer Engine'!$C$2:$C$1199,0)))</f>
        <v/>
      </c>
      <c r="F529" s="6" t="str">
        <f>IF(ISNA(MATCH(520,'Transfer Engine'!$C$2:$C$1199,0)),"",INDEX('Compliance Database'!$F$2:$F$1199,MATCH(520,'Transfer Engine'!$C$2:$C$1199,0)))</f>
        <v/>
      </c>
      <c r="G529" s="6" t="str">
        <f>IF(ISNA(MATCH(520,'Transfer Engine'!$C$2:$C$1199,0)),"",INDEX('Compliance Database'!$G$2:$G$1199,MATCH(520,'Transfer Engine'!$C$2:$C$1199,0)))</f>
        <v/>
      </c>
      <c r="H529" s="7" t="str">
        <f>IF(ISNA(MATCH(520,'Transfer Engine'!$C$2:$C$1199,0)),"",INDEX('Compliance Database'!$H$2:$H$1199,MATCH(520,'Transfer Engine'!$C$2:$C$1199,0)))</f>
        <v/>
      </c>
      <c r="I529" s="7" t="str">
        <f>IF(ISNA(MATCH(520,'Transfer Engine'!$C$2:$C$1199,0)),"",INDEX('Compliance Database'!$I$2:$I$1199,MATCH(520,'Transfer Engine'!$C$2:$C$1199,0)))</f>
        <v/>
      </c>
      <c r="J529" s="6" t="str">
        <f>IF(ISNA(MATCH(520,'Transfer Engine'!$C$2:$C$1199,0)),"",INDEX('Compliance Database'!$J$2:$J$1199,MATCH(520,'Transfer Engine'!$C$2:$C$1199,0)))</f>
        <v/>
      </c>
      <c r="K529" s="7" t="str">
        <f>IF(ISNA(MATCH(520,'Transfer Engine'!$C$2:$C$1199,0)),"",INDEX('Compliance Database'!$K$2:$K$1199,MATCH(520,'Transfer Engine'!$C$2:$C$1199,0)))</f>
        <v/>
      </c>
      <c r="L529" s="7" t="str">
        <f>IF(ISNA(MATCH(520,'Transfer Engine'!$C$2:$C$1199,0)),"",INDEX('Compliance Database'!$L$2:$L$1199,MATCH(520,'Transfer Engine'!$C$2:$C$1199,0)))</f>
        <v/>
      </c>
      <c r="M529" s="7" t="str">
        <f>IF(ISNA(MATCH(520,'Transfer Engine'!$C$2:$C$1199,0)),"",INDEX('Compliance Database'!$M$2:$M$1199,MATCH(520,'Transfer Engine'!$C$2:$C$1199,0)))</f>
        <v/>
      </c>
      <c r="N529" s="7" t="str">
        <f>IF(ISNA(MATCH(520,'Transfer Engine'!$C$2:$C$1199,0)),"",INDEX('Compliance Database'!$N$2:$N$1199,MATCH(520,'Transfer Engine'!$C$2:$C$1199,0)))</f>
        <v/>
      </c>
      <c r="O529" s="7" t="str">
        <f>IF(ISNA(MATCH(520,'Transfer Engine'!$C$2:$C$1199,0)),"",INDEX('Compliance Database'!$O$2:$O$1199,MATCH(520,'Transfer Engine'!$C$2:$C$1199,0)))</f>
        <v/>
      </c>
      <c r="P529" s="6" t="str">
        <f>IF(ISNA(MATCH(520,'Transfer Engine'!$C$2:$C$1199,0)),"",HYPERLINK("#Acts!A"&amp;INDEX('Compliance Database'!$P$2:$P$1199,MATCH(520,'Transfer Engine'!$C$2:$C$1199,0)),"Go to Act"))</f>
        <v/>
      </c>
    </row>
    <row r="530" spans="1:16" ht="172.95" customHeight="1" x14ac:dyDescent="0.3">
      <c r="A530" s="6" t="str">
        <f>IF(ISNA(MATCH(521,'Transfer Engine'!$C$2:$C$1199,0)),"",INDEX('Compliance Database'!$A$2:$A$1199,MATCH(521,'Transfer Engine'!$C$2:$C$1199,0)))</f>
        <v/>
      </c>
      <c r="B530" s="6" t="str">
        <f>IF(ISNA(MATCH(521,'Transfer Engine'!$C$2:$C$1199,0)),"",INDEX('Compliance Database'!$B$2:$B$1199,MATCH(521,'Transfer Engine'!$C$2:$C$1199,0)))</f>
        <v/>
      </c>
      <c r="C530" s="6" t="str">
        <f>IF(ISNA(MATCH(521,'Transfer Engine'!$C$2:$C$1199,0)),"",INDEX('Compliance Database'!$C$2:$C$1199,MATCH(521,'Transfer Engine'!$C$2:$C$1199,0)))</f>
        <v/>
      </c>
      <c r="D530" s="7" t="str">
        <f>IF(ISNA(MATCH(521,'Transfer Engine'!$C$2:$C$1199,0)),"",INDEX('Compliance Database'!$D$2:$D$1199,MATCH(521,'Transfer Engine'!$C$2:$C$1199,0)))</f>
        <v/>
      </c>
      <c r="E530" s="6" t="str">
        <f>IF(ISNA(MATCH(521,'Transfer Engine'!$C$2:$C$1199,0)),"",INDEX('Compliance Database'!$E$2:$E$1199,MATCH(521,'Transfer Engine'!$C$2:$C$1199,0)))</f>
        <v/>
      </c>
      <c r="F530" s="6" t="str">
        <f>IF(ISNA(MATCH(521,'Transfer Engine'!$C$2:$C$1199,0)),"",INDEX('Compliance Database'!$F$2:$F$1199,MATCH(521,'Transfer Engine'!$C$2:$C$1199,0)))</f>
        <v/>
      </c>
      <c r="G530" s="6" t="str">
        <f>IF(ISNA(MATCH(521,'Transfer Engine'!$C$2:$C$1199,0)),"",INDEX('Compliance Database'!$G$2:$G$1199,MATCH(521,'Transfer Engine'!$C$2:$C$1199,0)))</f>
        <v/>
      </c>
      <c r="H530" s="7" t="str">
        <f>IF(ISNA(MATCH(521,'Transfer Engine'!$C$2:$C$1199,0)),"",INDEX('Compliance Database'!$H$2:$H$1199,MATCH(521,'Transfer Engine'!$C$2:$C$1199,0)))</f>
        <v/>
      </c>
      <c r="I530" s="7" t="str">
        <f>IF(ISNA(MATCH(521,'Transfer Engine'!$C$2:$C$1199,0)),"",INDEX('Compliance Database'!$I$2:$I$1199,MATCH(521,'Transfer Engine'!$C$2:$C$1199,0)))</f>
        <v/>
      </c>
      <c r="J530" s="6" t="str">
        <f>IF(ISNA(MATCH(521,'Transfer Engine'!$C$2:$C$1199,0)),"",INDEX('Compliance Database'!$J$2:$J$1199,MATCH(521,'Transfer Engine'!$C$2:$C$1199,0)))</f>
        <v/>
      </c>
      <c r="K530" s="7" t="str">
        <f>IF(ISNA(MATCH(521,'Transfer Engine'!$C$2:$C$1199,0)),"",INDEX('Compliance Database'!$K$2:$K$1199,MATCH(521,'Transfer Engine'!$C$2:$C$1199,0)))</f>
        <v/>
      </c>
      <c r="L530" s="7" t="str">
        <f>IF(ISNA(MATCH(521,'Transfer Engine'!$C$2:$C$1199,0)),"",INDEX('Compliance Database'!$L$2:$L$1199,MATCH(521,'Transfer Engine'!$C$2:$C$1199,0)))</f>
        <v/>
      </c>
      <c r="M530" s="7" t="str">
        <f>IF(ISNA(MATCH(521,'Transfer Engine'!$C$2:$C$1199,0)),"",INDEX('Compliance Database'!$M$2:$M$1199,MATCH(521,'Transfer Engine'!$C$2:$C$1199,0)))</f>
        <v/>
      </c>
      <c r="N530" s="7" t="str">
        <f>IF(ISNA(MATCH(521,'Transfer Engine'!$C$2:$C$1199,0)),"",INDEX('Compliance Database'!$N$2:$N$1199,MATCH(521,'Transfer Engine'!$C$2:$C$1199,0)))</f>
        <v/>
      </c>
      <c r="O530" s="7" t="str">
        <f>IF(ISNA(MATCH(521,'Transfer Engine'!$C$2:$C$1199,0)),"",INDEX('Compliance Database'!$O$2:$O$1199,MATCH(521,'Transfer Engine'!$C$2:$C$1199,0)))</f>
        <v/>
      </c>
      <c r="P530" s="6" t="str">
        <f>IF(ISNA(MATCH(521,'Transfer Engine'!$C$2:$C$1199,0)),"",HYPERLINK("#Acts!A"&amp;INDEX('Compliance Database'!$P$2:$P$1199,MATCH(521,'Transfer Engine'!$C$2:$C$1199,0)),"Go to Act"))</f>
        <v/>
      </c>
    </row>
    <row r="531" spans="1:16" ht="172.95" customHeight="1" x14ac:dyDescent="0.3">
      <c r="A531" s="6" t="str">
        <f>IF(ISNA(MATCH(522,'Transfer Engine'!$C$2:$C$1199,0)),"",INDEX('Compliance Database'!$A$2:$A$1199,MATCH(522,'Transfer Engine'!$C$2:$C$1199,0)))</f>
        <v/>
      </c>
      <c r="B531" s="6" t="str">
        <f>IF(ISNA(MATCH(522,'Transfer Engine'!$C$2:$C$1199,0)),"",INDEX('Compliance Database'!$B$2:$B$1199,MATCH(522,'Transfer Engine'!$C$2:$C$1199,0)))</f>
        <v/>
      </c>
      <c r="C531" s="6" t="str">
        <f>IF(ISNA(MATCH(522,'Transfer Engine'!$C$2:$C$1199,0)),"",INDEX('Compliance Database'!$C$2:$C$1199,MATCH(522,'Transfer Engine'!$C$2:$C$1199,0)))</f>
        <v/>
      </c>
      <c r="D531" s="7" t="str">
        <f>IF(ISNA(MATCH(522,'Transfer Engine'!$C$2:$C$1199,0)),"",INDEX('Compliance Database'!$D$2:$D$1199,MATCH(522,'Transfer Engine'!$C$2:$C$1199,0)))</f>
        <v/>
      </c>
      <c r="E531" s="6" t="str">
        <f>IF(ISNA(MATCH(522,'Transfer Engine'!$C$2:$C$1199,0)),"",INDEX('Compliance Database'!$E$2:$E$1199,MATCH(522,'Transfer Engine'!$C$2:$C$1199,0)))</f>
        <v/>
      </c>
      <c r="F531" s="6" t="str">
        <f>IF(ISNA(MATCH(522,'Transfer Engine'!$C$2:$C$1199,0)),"",INDEX('Compliance Database'!$F$2:$F$1199,MATCH(522,'Transfer Engine'!$C$2:$C$1199,0)))</f>
        <v/>
      </c>
      <c r="G531" s="6" t="str">
        <f>IF(ISNA(MATCH(522,'Transfer Engine'!$C$2:$C$1199,0)),"",INDEX('Compliance Database'!$G$2:$G$1199,MATCH(522,'Transfer Engine'!$C$2:$C$1199,0)))</f>
        <v/>
      </c>
      <c r="H531" s="7" t="str">
        <f>IF(ISNA(MATCH(522,'Transfer Engine'!$C$2:$C$1199,0)),"",INDEX('Compliance Database'!$H$2:$H$1199,MATCH(522,'Transfer Engine'!$C$2:$C$1199,0)))</f>
        <v/>
      </c>
      <c r="I531" s="7" t="str">
        <f>IF(ISNA(MATCH(522,'Transfer Engine'!$C$2:$C$1199,0)),"",INDEX('Compliance Database'!$I$2:$I$1199,MATCH(522,'Transfer Engine'!$C$2:$C$1199,0)))</f>
        <v/>
      </c>
      <c r="J531" s="6" t="str">
        <f>IF(ISNA(MATCH(522,'Transfer Engine'!$C$2:$C$1199,0)),"",INDEX('Compliance Database'!$J$2:$J$1199,MATCH(522,'Transfer Engine'!$C$2:$C$1199,0)))</f>
        <v/>
      </c>
      <c r="K531" s="7" t="str">
        <f>IF(ISNA(MATCH(522,'Transfer Engine'!$C$2:$C$1199,0)),"",INDEX('Compliance Database'!$K$2:$K$1199,MATCH(522,'Transfer Engine'!$C$2:$C$1199,0)))</f>
        <v/>
      </c>
      <c r="L531" s="7" t="str">
        <f>IF(ISNA(MATCH(522,'Transfer Engine'!$C$2:$C$1199,0)),"",INDEX('Compliance Database'!$L$2:$L$1199,MATCH(522,'Transfer Engine'!$C$2:$C$1199,0)))</f>
        <v/>
      </c>
      <c r="M531" s="7" t="str">
        <f>IF(ISNA(MATCH(522,'Transfer Engine'!$C$2:$C$1199,0)),"",INDEX('Compliance Database'!$M$2:$M$1199,MATCH(522,'Transfer Engine'!$C$2:$C$1199,0)))</f>
        <v/>
      </c>
      <c r="N531" s="7" t="str">
        <f>IF(ISNA(MATCH(522,'Transfer Engine'!$C$2:$C$1199,0)),"",INDEX('Compliance Database'!$N$2:$N$1199,MATCH(522,'Transfer Engine'!$C$2:$C$1199,0)))</f>
        <v/>
      </c>
      <c r="O531" s="7" t="str">
        <f>IF(ISNA(MATCH(522,'Transfer Engine'!$C$2:$C$1199,0)),"",INDEX('Compliance Database'!$O$2:$O$1199,MATCH(522,'Transfer Engine'!$C$2:$C$1199,0)))</f>
        <v/>
      </c>
      <c r="P531" s="6" t="str">
        <f>IF(ISNA(MATCH(522,'Transfer Engine'!$C$2:$C$1199,0)),"",HYPERLINK("#Acts!A"&amp;INDEX('Compliance Database'!$P$2:$P$1199,MATCH(522,'Transfer Engine'!$C$2:$C$1199,0)),"Go to Act"))</f>
        <v/>
      </c>
    </row>
    <row r="532" spans="1:16" ht="172.95" customHeight="1" x14ac:dyDescent="0.3">
      <c r="A532" s="6" t="str">
        <f>IF(ISNA(MATCH(523,'Transfer Engine'!$C$2:$C$1199,0)),"",INDEX('Compliance Database'!$A$2:$A$1199,MATCH(523,'Transfer Engine'!$C$2:$C$1199,0)))</f>
        <v/>
      </c>
      <c r="B532" s="6" t="str">
        <f>IF(ISNA(MATCH(523,'Transfer Engine'!$C$2:$C$1199,0)),"",INDEX('Compliance Database'!$B$2:$B$1199,MATCH(523,'Transfer Engine'!$C$2:$C$1199,0)))</f>
        <v/>
      </c>
      <c r="C532" s="6" t="str">
        <f>IF(ISNA(MATCH(523,'Transfer Engine'!$C$2:$C$1199,0)),"",INDEX('Compliance Database'!$C$2:$C$1199,MATCH(523,'Transfer Engine'!$C$2:$C$1199,0)))</f>
        <v/>
      </c>
      <c r="D532" s="7" t="str">
        <f>IF(ISNA(MATCH(523,'Transfer Engine'!$C$2:$C$1199,0)),"",INDEX('Compliance Database'!$D$2:$D$1199,MATCH(523,'Transfer Engine'!$C$2:$C$1199,0)))</f>
        <v/>
      </c>
      <c r="E532" s="6" t="str">
        <f>IF(ISNA(MATCH(523,'Transfer Engine'!$C$2:$C$1199,0)),"",INDEX('Compliance Database'!$E$2:$E$1199,MATCH(523,'Transfer Engine'!$C$2:$C$1199,0)))</f>
        <v/>
      </c>
      <c r="F532" s="6" t="str">
        <f>IF(ISNA(MATCH(523,'Transfer Engine'!$C$2:$C$1199,0)),"",INDEX('Compliance Database'!$F$2:$F$1199,MATCH(523,'Transfer Engine'!$C$2:$C$1199,0)))</f>
        <v/>
      </c>
      <c r="G532" s="6" t="str">
        <f>IF(ISNA(MATCH(523,'Transfer Engine'!$C$2:$C$1199,0)),"",INDEX('Compliance Database'!$G$2:$G$1199,MATCH(523,'Transfer Engine'!$C$2:$C$1199,0)))</f>
        <v/>
      </c>
      <c r="H532" s="7" t="str">
        <f>IF(ISNA(MATCH(523,'Transfer Engine'!$C$2:$C$1199,0)),"",INDEX('Compliance Database'!$H$2:$H$1199,MATCH(523,'Transfer Engine'!$C$2:$C$1199,0)))</f>
        <v/>
      </c>
      <c r="I532" s="7" t="str">
        <f>IF(ISNA(MATCH(523,'Transfer Engine'!$C$2:$C$1199,0)),"",INDEX('Compliance Database'!$I$2:$I$1199,MATCH(523,'Transfer Engine'!$C$2:$C$1199,0)))</f>
        <v/>
      </c>
      <c r="J532" s="6" t="str">
        <f>IF(ISNA(MATCH(523,'Transfer Engine'!$C$2:$C$1199,0)),"",INDEX('Compliance Database'!$J$2:$J$1199,MATCH(523,'Transfer Engine'!$C$2:$C$1199,0)))</f>
        <v/>
      </c>
      <c r="K532" s="7" t="str">
        <f>IF(ISNA(MATCH(523,'Transfer Engine'!$C$2:$C$1199,0)),"",INDEX('Compliance Database'!$K$2:$K$1199,MATCH(523,'Transfer Engine'!$C$2:$C$1199,0)))</f>
        <v/>
      </c>
      <c r="L532" s="7" t="str">
        <f>IF(ISNA(MATCH(523,'Transfer Engine'!$C$2:$C$1199,0)),"",INDEX('Compliance Database'!$L$2:$L$1199,MATCH(523,'Transfer Engine'!$C$2:$C$1199,0)))</f>
        <v/>
      </c>
      <c r="M532" s="7" t="str">
        <f>IF(ISNA(MATCH(523,'Transfer Engine'!$C$2:$C$1199,0)),"",INDEX('Compliance Database'!$M$2:$M$1199,MATCH(523,'Transfer Engine'!$C$2:$C$1199,0)))</f>
        <v/>
      </c>
      <c r="N532" s="7" t="str">
        <f>IF(ISNA(MATCH(523,'Transfer Engine'!$C$2:$C$1199,0)),"",INDEX('Compliance Database'!$N$2:$N$1199,MATCH(523,'Transfer Engine'!$C$2:$C$1199,0)))</f>
        <v/>
      </c>
      <c r="O532" s="7" t="str">
        <f>IF(ISNA(MATCH(523,'Transfer Engine'!$C$2:$C$1199,0)),"",INDEX('Compliance Database'!$O$2:$O$1199,MATCH(523,'Transfer Engine'!$C$2:$C$1199,0)))</f>
        <v/>
      </c>
      <c r="P532" s="6" t="str">
        <f>IF(ISNA(MATCH(523,'Transfer Engine'!$C$2:$C$1199,0)),"",HYPERLINK("#Acts!A"&amp;INDEX('Compliance Database'!$P$2:$P$1199,MATCH(523,'Transfer Engine'!$C$2:$C$1199,0)),"Go to Act"))</f>
        <v/>
      </c>
    </row>
    <row r="533" spans="1:16" ht="172.95" customHeight="1" x14ac:dyDescent="0.3">
      <c r="A533" s="6" t="str">
        <f>IF(ISNA(MATCH(524,'Transfer Engine'!$C$2:$C$1199,0)),"",INDEX('Compliance Database'!$A$2:$A$1199,MATCH(524,'Transfer Engine'!$C$2:$C$1199,0)))</f>
        <v/>
      </c>
      <c r="B533" s="6" t="str">
        <f>IF(ISNA(MATCH(524,'Transfer Engine'!$C$2:$C$1199,0)),"",INDEX('Compliance Database'!$B$2:$B$1199,MATCH(524,'Transfer Engine'!$C$2:$C$1199,0)))</f>
        <v/>
      </c>
      <c r="C533" s="6" t="str">
        <f>IF(ISNA(MATCH(524,'Transfer Engine'!$C$2:$C$1199,0)),"",INDEX('Compliance Database'!$C$2:$C$1199,MATCH(524,'Transfer Engine'!$C$2:$C$1199,0)))</f>
        <v/>
      </c>
      <c r="D533" s="7" t="str">
        <f>IF(ISNA(MATCH(524,'Transfer Engine'!$C$2:$C$1199,0)),"",INDEX('Compliance Database'!$D$2:$D$1199,MATCH(524,'Transfer Engine'!$C$2:$C$1199,0)))</f>
        <v/>
      </c>
      <c r="E533" s="6" t="str">
        <f>IF(ISNA(MATCH(524,'Transfer Engine'!$C$2:$C$1199,0)),"",INDEX('Compliance Database'!$E$2:$E$1199,MATCH(524,'Transfer Engine'!$C$2:$C$1199,0)))</f>
        <v/>
      </c>
      <c r="F533" s="6" t="str">
        <f>IF(ISNA(MATCH(524,'Transfer Engine'!$C$2:$C$1199,0)),"",INDEX('Compliance Database'!$F$2:$F$1199,MATCH(524,'Transfer Engine'!$C$2:$C$1199,0)))</f>
        <v/>
      </c>
      <c r="G533" s="6" t="str">
        <f>IF(ISNA(MATCH(524,'Transfer Engine'!$C$2:$C$1199,0)),"",INDEX('Compliance Database'!$G$2:$G$1199,MATCH(524,'Transfer Engine'!$C$2:$C$1199,0)))</f>
        <v/>
      </c>
      <c r="H533" s="7" t="str">
        <f>IF(ISNA(MATCH(524,'Transfer Engine'!$C$2:$C$1199,0)),"",INDEX('Compliance Database'!$H$2:$H$1199,MATCH(524,'Transfer Engine'!$C$2:$C$1199,0)))</f>
        <v/>
      </c>
      <c r="I533" s="7" t="str">
        <f>IF(ISNA(MATCH(524,'Transfer Engine'!$C$2:$C$1199,0)),"",INDEX('Compliance Database'!$I$2:$I$1199,MATCH(524,'Transfer Engine'!$C$2:$C$1199,0)))</f>
        <v/>
      </c>
      <c r="J533" s="6" t="str">
        <f>IF(ISNA(MATCH(524,'Transfer Engine'!$C$2:$C$1199,0)),"",INDEX('Compliance Database'!$J$2:$J$1199,MATCH(524,'Transfer Engine'!$C$2:$C$1199,0)))</f>
        <v/>
      </c>
      <c r="K533" s="7" t="str">
        <f>IF(ISNA(MATCH(524,'Transfer Engine'!$C$2:$C$1199,0)),"",INDEX('Compliance Database'!$K$2:$K$1199,MATCH(524,'Transfer Engine'!$C$2:$C$1199,0)))</f>
        <v/>
      </c>
      <c r="L533" s="7" t="str">
        <f>IF(ISNA(MATCH(524,'Transfer Engine'!$C$2:$C$1199,0)),"",INDEX('Compliance Database'!$L$2:$L$1199,MATCH(524,'Transfer Engine'!$C$2:$C$1199,0)))</f>
        <v/>
      </c>
      <c r="M533" s="7" t="str">
        <f>IF(ISNA(MATCH(524,'Transfer Engine'!$C$2:$C$1199,0)),"",INDEX('Compliance Database'!$M$2:$M$1199,MATCH(524,'Transfer Engine'!$C$2:$C$1199,0)))</f>
        <v/>
      </c>
      <c r="N533" s="7" t="str">
        <f>IF(ISNA(MATCH(524,'Transfer Engine'!$C$2:$C$1199,0)),"",INDEX('Compliance Database'!$N$2:$N$1199,MATCH(524,'Transfer Engine'!$C$2:$C$1199,0)))</f>
        <v/>
      </c>
      <c r="O533" s="7" t="str">
        <f>IF(ISNA(MATCH(524,'Transfer Engine'!$C$2:$C$1199,0)),"",INDEX('Compliance Database'!$O$2:$O$1199,MATCH(524,'Transfer Engine'!$C$2:$C$1199,0)))</f>
        <v/>
      </c>
      <c r="P533" s="6" t="str">
        <f>IF(ISNA(MATCH(524,'Transfer Engine'!$C$2:$C$1199,0)),"",HYPERLINK("#Acts!A"&amp;INDEX('Compliance Database'!$P$2:$P$1199,MATCH(524,'Transfer Engine'!$C$2:$C$1199,0)),"Go to Act"))</f>
        <v/>
      </c>
    </row>
    <row r="534" spans="1:16" ht="172.95" customHeight="1" x14ac:dyDescent="0.3">
      <c r="A534" s="6" t="str">
        <f>IF(ISNA(MATCH(525,'Transfer Engine'!$C$2:$C$1199,0)),"",INDEX('Compliance Database'!$A$2:$A$1199,MATCH(525,'Transfer Engine'!$C$2:$C$1199,0)))</f>
        <v/>
      </c>
      <c r="B534" s="6" t="str">
        <f>IF(ISNA(MATCH(525,'Transfer Engine'!$C$2:$C$1199,0)),"",INDEX('Compliance Database'!$B$2:$B$1199,MATCH(525,'Transfer Engine'!$C$2:$C$1199,0)))</f>
        <v/>
      </c>
      <c r="C534" s="6" t="str">
        <f>IF(ISNA(MATCH(525,'Transfer Engine'!$C$2:$C$1199,0)),"",INDEX('Compliance Database'!$C$2:$C$1199,MATCH(525,'Transfer Engine'!$C$2:$C$1199,0)))</f>
        <v/>
      </c>
      <c r="D534" s="7" t="str">
        <f>IF(ISNA(MATCH(525,'Transfer Engine'!$C$2:$C$1199,0)),"",INDEX('Compliance Database'!$D$2:$D$1199,MATCH(525,'Transfer Engine'!$C$2:$C$1199,0)))</f>
        <v/>
      </c>
      <c r="E534" s="6" t="str">
        <f>IF(ISNA(MATCH(525,'Transfer Engine'!$C$2:$C$1199,0)),"",INDEX('Compliance Database'!$E$2:$E$1199,MATCH(525,'Transfer Engine'!$C$2:$C$1199,0)))</f>
        <v/>
      </c>
      <c r="F534" s="6" t="str">
        <f>IF(ISNA(MATCH(525,'Transfer Engine'!$C$2:$C$1199,0)),"",INDEX('Compliance Database'!$F$2:$F$1199,MATCH(525,'Transfer Engine'!$C$2:$C$1199,0)))</f>
        <v/>
      </c>
      <c r="G534" s="6" t="str">
        <f>IF(ISNA(MATCH(525,'Transfer Engine'!$C$2:$C$1199,0)),"",INDEX('Compliance Database'!$G$2:$G$1199,MATCH(525,'Transfer Engine'!$C$2:$C$1199,0)))</f>
        <v/>
      </c>
      <c r="H534" s="7" t="str">
        <f>IF(ISNA(MATCH(525,'Transfer Engine'!$C$2:$C$1199,0)),"",INDEX('Compliance Database'!$H$2:$H$1199,MATCH(525,'Transfer Engine'!$C$2:$C$1199,0)))</f>
        <v/>
      </c>
      <c r="I534" s="7" t="str">
        <f>IF(ISNA(MATCH(525,'Transfer Engine'!$C$2:$C$1199,0)),"",INDEX('Compliance Database'!$I$2:$I$1199,MATCH(525,'Transfer Engine'!$C$2:$C$1199,0)))</f>
        <v/>
      </c>
      <c r="J534" s="6" t="str">
        <f>IF(ISNA(MATCH(525,'Transfer Engine'!$C$2:$C$1199,0)),"",INDEX('Compliance Database'!$J$2:$J$1199,MATCH(525,'Transfer Engine'!$C$2:$C$1199,0)))</f>
        <v/>
      </c>
      <c r="K534" s="7" t="str">
        <f>IF(ISNA(MATCH(525,'Transfer Engine'!$C$2:$C$1199,0)),"",INDEX('Compliance Database'!$K$2:$K$1199,MATCH(525,'Transfer Engine'!$C$2:$C$1199,0)))</f>
        <v/>
      </c>
      <c r="L534" s="7" t="str">
        <f>IF(ISNA(MATCH(525,'Transfer Engine'!$C$2:$C$1199,0)),"",INDEX('Compliance Database'!$L$2:$L$1199,MATCH(525,'Transfer Engine'!$C$2:$C$1199,0)))</f>
        <v/>
      </c>
      <c r="M534" s="7" t="str">
        <f>IF(ISNA(MATCH(525,'Transfer Engine'!$C$2:$C$1199,0)),"",INDEX('Compliance Database'!$M$2:$M$1199,MATCH(525,'Transfer Engine'!$C$2:$C$1199,0)))</f>
        <v/>
      </c>
      <c r="N534" s="7" t="str">
        <f>IF(ISNA(MATCH(525,'Transfer Engine'!$C$2:$C$1199,0)),"",INDEX('Compliance Database'!$N$2:$N$1199,MATCH(525,'Transfer Engine'!$C$2:$C$1199,0)))</f>
        <v/>
      </c>
      <c r="O534" s="7" t="str">
        <f>IF(ISNA(MATCH(525,'Transfer Engine'!$C$2:$C$1199,0)),"",INDEX('Compliance Database'!$O$2:$O$1199,MATCH(525,'Transfer Engine'!$C$2:$C$1199,0)))</f>
        <v/>
      </c>
      <c r="P534" s="6" t="str">
        <f>IF(ISNA(MATCH(525,'Transfer Engine'!$C$2:$C$1199,0)),"",HYPERLINK("#Acts!A"&amp;INDEX('Compliance Database'!$P$2:$P$1199,MATCH(525,'Transfer Engine'!$C$2:$C$1199,0)),"Go to Act"))</f>
        <v/>
      </c>
    </row>
    <row r="535" spans="1:16" ht="172.95" customHeight="1" x14ac:dyDescent="0.3">
      <c r="A535" s="6" t="str">
        <f>IF(ISNA(MATCH(526,'Transfer Engine'!$C$2:$C$1199,0)),"",INDEX('Compliance Database'!$A$2:$A$1199,MATCH(526,'Transfer Engine'!$C$2:$C$1199,0)))</f>
        <v/>
      </c>
      <c r="B535" s="6" t="str">
        <f>IF(ISNA(MATCH(526,'Transfer Engine'!$C$2:$C$1199,0)),"",INDEX('Compliance Database'!$B$2:$B$1199,MATCH(526,'Transfer Engine'!$C$2:$C$1199,0)))</f>
        <v/>
      </c>
      <c r="C535" s="6" t="str">
        <f>IF(ISNA(MATCH(526,'Transfer Engine'!$C$2:$C$1199,0)),"",INDEX('Compliance Database'!$C$2:$C$1199,MATCH(526,'Transfer Engine'!$C$2:$C$1199,0)))</f>
        <v/>
      </c>
      <c r="D535" s="7" t="str">
        <f>IF(ISNA(MATCH(526,'Transfer Engine'!$C$2:$C$1199,0)),"",INDEX('Compliance Database'!$D$2:$D$1199,MATCH(526,'Transfer Engine'!$C$2:$C$1199,0)))</f>
        <v/>
      </c>
      <c r="E535" s="6" t="str">
        <f>IF(ISNA(MATCH(526,'Transfer Engine'!$C$2:$C$1199,0)),"",INDEX('Compliance Database'!$E$2:$E$1199,MATCH(526,'Transfer Engine'!$C$2:$C$1199,0)))</f>
        <v/>
      </c>
      <c r="F535" s="6" t="str">
        <f>IF(ISNA(MATCH(526,'Transfer Engine'!$C$2:$C$1199,0)),"",INDEX('Compliance Database'!$F$2:$F$1199,MATCH(526,'Transfer Engine'!$C$2:$C$1199,0)))</f>
        <v/>
      </c>
      <c r="G535" s="6" t="str">
        <f>IF(ISNA(MATCH(526,'Transfer Engine'!$C$2:$C$1199,0)),"",INDEX('Compliance Database'!$G$2:$G$1199,MATCH(526,'Transfer Engine'!$C$2:$C$1199,0)))</f>
        <v/>
      </c>
      <c r="H535" s="7" t="str">
        <f>IF(ISNA(MATCH(526,'Transfer Engine'!$C$2:$C$1199,0)),"",INDEX('Compliance Database'!$H$2:$H$1199,MATCH(526,'Transfer Engine'!$C$2:$C$1199,0)))</f>
        <v/>
      </c>
      <c r="I535" s="7" t="str">
        <f>IF(ISNA(MATCH(526,'Transfer Engine'!$C$2:$C$1199,0)),"",INDEX('Compliance Database'!$I$2:$I$1199,MATCH(526,'Transfer Engine'!$C$2:$C$1199,0)))</f>
        <v/>
      </c>
      <c r="J535" s="6" t="str">
        <f>IF(ISNA(MATCH(526,'Transfer Engine'!$C$2:$C$1199,0)),"",INDEX('Compliance Database'!$J$2:$J$1199,MATCH(526,'Transfer Engine'!$C$2:$C$1199,0)))</f>
        <v/>
      </c>
      <c r="K535" s="7" t="str">
        <f>IF(ISNA(MATCH(526,'Transfer Engine'!$C$2:$C$1199,0)),"",INDEX('Compliance Database'!$K$2:$K$1199,MATCH(526,'Transfer Engine'!$C$2:$C$1199,0)))</f>
        <v/>
      </c>
      <c r="L535" s="7" t="str">
        <f>IF(ISNA(MATCH(526,'Transfer Engine'!$C$2:$C$1199,0)),"",INDEX('Compliance Database'!$L$2:$L$1199,MATCH(526,'Transfer Engine'!$C$2:$C$1199,0)))</f>
        <v/>
      </c>
      <c r="M535" s="7" t="str">
        <f>IF(ISNA(MATCH(526,'Transfer Engine'!$C$2:$C$1199,0)),"",INDEX('Compliance Database'!$M$2:$M$1199,MATCH(526,'Transfer Engine'!$C$2:$C$1199,0)))</f>
        <v/>
      </c>
      <c r="N535" s="7" t="str">
        <f>IF(ISNA(MATCH(526,'Transfer Engine'!$C$2:$C$1199,0)),"",INDEX('Compliance Database'!$N$2:$N$1199,MATCH(526,'Transfer Engine'!$C$2:$C$1199,0)))</f>
        <v/>
      </c>
      <c r="O535" s="7" t="str">
        <f>IF(ISNA(MATCH(526,'Transfer Engine'!$C$2:$C$1199,0)),"",INDEX('Compliance Database'!$O$2:$O$1199,MATCH(526,'Transfer Engine'!$C$2:$C$1199,0)))</f>
        <v/>
      </c>
      <c r="P535" s="6" t="str">
        <f>IF(ISNA(MATCH(526,'Transfer Engine'!$C$2:$C$1199,0)),"",HYPERLINK("#Acts!A"&amp;INDEX('Compliance Database'!$P$2:$P$1199,MATCH(526,'Transfer Engine'!$C$2:$C$1199,0)),"Go to Act"))</f>
        <v/>
      </c>
    </row>
    <row r="536" spans="1:16" ht="172.95" customHeight="1" x14ac:dyDescent="0.3">
      <c r="A536" s="6" t="str">
        <f>IF(ISNA(MATCH(527,'Transfer Engine'!$C$2:$C$1199,0)),"",INDEX('Compliance Database'!$A$2:$A$1199,MATCH(527,'Transfer Engine'!$C$2:$C$1199,0)))</f>
        <v/>
      </c>
      <c r="B536" s="6" t="str">
        <f>IF(ISNA(MATCH(527,'Transfer Engine'!$C$2:$C$1199,0)),"",INDEX('Compliance Database'!$B$2:$B$1199,MATCH(527,'Transfer Engine'!$C$2:$C$1199,0)))</f>
        <v/>
      </c>
      <c r="C536" s="6" t="str">
        <f>IF(ISNA(MATCH(527,'Transfer Engine'!$C$2:$C$1199,0)),"",INDEX('Compliance Database'!$C$2:$C$1199,MATCH(527,'Transfer Engine'!$C$2:$C$1199,0)))</f>
        <v/>
      </c>
      <c r="D536" s="7" t="str">
        <f>IF(ISNA(MATCH(527,'Transfer Engine'!$C$2:$C$1199,0)),"",INDEX('Compliance Database'!$D$2:$D$1199,MATCH(527,'Transfer Engine'!$C$2:$C$1199,0)))</f>
        <v/>
      </c>
      <c r="E536" s="6" t="str">
        <f>IF(ISNA(MATCH(527,'Transfer Engine'!$C$2:$C$1199,0)),"",INDEX('Compliance Database'!$E$2:$E$1199,MATCH(527,'Transfer Engine'!$C$2:$C$1199,0)))</f>
        <v/>
      </c>
      <c r="F536" s="6" t="str">
        <f>IF(ISNA(MATCH(527,'Transfer Engine'!$C$2:$C$1199,0)),"",INDEX('Compliance Database'!$F$2:$F$1199,MATCH(527,'Transfer Engine'!$C$2:$C$1199,0)))</f>
        <v/>
      </c>
      <c r="G536" s="6" t="str">
        <f>IF(ISNA(MATCH(527,'Transfer Engine'!$C$2:$C$1199,0)),"",INDEX('Compliance Database'!$G$2:$G$1199,MATCH(527,'Transfer Engine'!$C$2:$C$1199,0)))</f>
        <v/>
      </c>
      <c r="H536" s="7" t="str">
        <f>IF(ISNA(MATCH(527,'Transfer Engine'!$C$2:$C$1199,0)),"",INDEX('Compliance Database'!$H$2:$H$1199,MATCH(527,'Transfer Engine'!$C$2:$C$1199,0)))</f>
        <v/>
      </c>
      <c r="I536" s="7" t="str">
        <f>IF(ISNA(MATCH(527,'Transfer Engine'!$C$2:$C$1199,0)),"",INDEX('Compliance Database'!$I$2:$I$1199,MATCH(527,'Transfer Engine'!$C$2:$C$1199,0)))</f>
        <v/>
      </c>
      <c r="J536" s="6" t="str">
        <f>IF(ISNA(MATCH(527,'Transfer Engine'!$C$2:$C$1199,0)),"",INDEX('Compliance Database'!$J$2:$J$1199,MATCH(527,'Transfer Engine'!$C$2:$C$1199,0)))</f>
        <v/>
      </c>
      <c r="K536" s="7" t="str">
        <f>IF(ISNA(MATCH(527,'Transfer Engine'!$C$2:$C$1199,0)),"",INDEX('Compliance Database'!$K$2:$K$1199,MATCH(527,'Transfer Engine'!$C$2:$C$1199,0)))</f>
        <v/>
      </c>
      <c r="L536" s="7" t="str">
        <f>IF(ISNA(MATCH(527,'Transfer Engine'!$C$2:$C$1199,0)),"",INDEX('Compliance Database'!$L$2:$L$1199,MATCH(527,'Transfer Engine'!$C$2:$C$1199,0)))</f>
        <v/>
      </c>
      <c r="M536" s="7" t="str">
        <f>IF(ISNA(MATCH(527,'Transfer Engine'!$C$2:$C$1199,0)),"",INDEX('Compliance Database'!$M$2:$M$1199,MATCH(527,'Transfer Engine'!$C$2:$C$1199,0)))</f>
        <v/>
      </c>
      <c r="N536" s="7" t="str">
        <f>IF(ISNA(MATCH(527,'Transfer Engine'!$C$2:$C$1199,0)),"",INDEX('Compliance Database'!$N$2:$N$1199,MATCH(527,'Transfer Engine'!$C$2:$C$1199,0)))</f>
        <v/>
      </c>
      <c r="O536" s="7" t="str">
        <f>IF(ISNA(MATCH(527,'Transfer Engine'!$C$2:$C$1199,0)),"",INDEX('Compliance Database'!$O$2:$O$1199,MATCH(527,'Transfer Engine'!$C$2:$C$1199,0)))</f>
        <v/>
      </c>
      <c r="P536" s="6" t="str">
        <f>IF(ISNA(MATCH(527,'Transfer Engine'!$C$2:$C$1199,0)),"",HYPERLINK("#Acts!A"&amp;INDEX('Compliance Database'!$P$2:$P$1199,MATCH(527,'Transfer Engine'!$C$2:$C$1199,0)),"Go to Act"))</f>
        <v/>
      </c>
    </row>
    <row r="537" spans="1:16" ht="172.95" customHeight="1" x14ac:dyDescent="0.3">
      <c r="A537" s="6" t="str">
        <f>IF(ISNA(MATCH(528,'Transfer Engine'!$C$2:$C$1199,0)),"",INDEX('Compliance Database'!$A$2:$A$1199,MATCH(528,'Transfer Engine'!$C$2:$C$1199,0)))</f>
        <v/>
      </c>
      <c r="B537" s="6" t="str">
        <f>IF(ISNA(MATCH(528,'Transfer Engine'!$C$2:$C$1199,0)),"",INDEX('Compliance Database'!$B$2:$B$1199,MATCH(528,'Transfer Engine'!$C$2:$C$1199,0)))</f>
        <v/>
      </c>
      <c r="C537" s="6" t="str">
        <f>IF(ISNA(MATCH(528,'Transfer Engine'!$C$2:$C$1199,0)),"",INDEX('Compliance Database'!$C$2:$C$1199,MATCH(528,'Transfer Engine'!$C$2:$C$1199,0)))</f>
        <v/>
      </c>
      <c r="D537" s="7" t="str">
        <f>IF(ISNA(MATCH(528,'Transfer Engine'!$C$2:$C$1199,0)),"",INDEX('Compliance Database'!$D$2:$D$1199,MATCH(528,'Transfer Engine'!$C$2:$C$1199,0)))</f>
        <v/>
      </c>
      <c r="E537" s="6" t="str">
        <f>IF(ISNA(MATCH(528,'Transfer Engine'!$C$2:$C$1199,0)),"",INDEX('Compliance Database'!$E$2:$E$1199,MATCH(528,'Transfer Engine'!$C$2:$C$1199,0)))</f>
        <v/>
      </c>
      <c r="F537" s="6" t="str">
        <f>IF(ISNA(MATCH(528,'Transfer Engine'!$C$2:$C$1199,0)),"",INDEX('Compliance Database'!$F$2:$F$1199,MATCH(528,'Transfer Engine'!$C$2:$C$1199,0)))</f>
        <v/>
      </c>
      <c r="G537" s="6" t="str">
        <f>IF(ISNA(MATCH(528,'Transfer Engine'!$C$2:$C$1199,0)),"",INDEX('Compliance Database'!$G$2:$G$1199,MATCH(528,'Transfer Engine'!$C$2:$C$1199,0)))</f>
        <v/>
      </c>
      <c r="H537" s="7" t="str">
        <f>IF(ISNA(MATCH(528,'Transfer Engine'!$C$2:$C$1199,0)),"",INDEX('Compliance Database'!$H$2:$H$1199,MATCH(528,'Transfer Engine'!$C$2:$C$1199,0)))</f>
        <v/>
      </c>
      <c r="I537" s="7" t="str">
        <f>IF(ISNA(MATCH(528,'Transfer Engine'!$C$2:$C$1199,0)),"",INDEX('Compliance Database'!$I$2:$I$1199,MATCH(528,'Transfer Engine'!$C$2:$C$1199,0)))</f>
        <v/>
      </c>
      <c r="J537" s="6" t="str">
        <f>IF(ISNA(MATCH(528,'Transfer Engine'!$C$2:$C$1199,0)),"",INDEX('Compliance Database'!$J$2:$J$1199,MATCH(528,'Transfer Engine'!$C$2:$C$1199,0)))</f>
        <v/>
      </c>
      <c r="K537" s="7" t="str">
        <f>IF(ISNA(MATCH(528,'Transfer Engine'!$C$2:$C$1199,0)),"",INDEX('Compliance Database'!$K$2:$K$1199,MATCH(528,'Transfer Engine'!$C$2:$C$1199,0)))</f>
        <v/>
      </c>
      <c r="L537" s="7" t="str">
        <f>IF(ISNA(MATCH(528,'Transfer Engine'!$C$2:$C$1199,0)),"",INDEX('Compliance Database'!$L$2:$L$1199,MATCH(528,'Transfer Engine'!$C$2:$C$1199,0)))</f>
        <v/>
      </c>
      <c r="M537" s="7" t="str">
        <f>IF(ISNA(MATCH(528,'Transfer Engine'!$C$2:$C$1199,0)),"",INDEX('Compliance Database'!$M$2:$M$1199,MATCH(528,'Transfer Engine'!$C$2:$C$1199,0)))</f>
        <v/>
      </c>
      <c r="N537" s="7" t="str">
        <f>IF(ISNA(MATCH(528,'Transfer Engine'!$C$2:$C$1199,0)),"",INDEX('Compliance Database'!$N$2:$N$1199,MATCH(528,'Transfer Engine'!$C$2:$C$1199,0)))</f>
        <v/>
      </c>
      <c r="O537" s="7" t="str">
        <f>IF(ISNA(MATCH(528,'Transfer Engine'!$C$2:$C$1199,0)),"",INDEX('Compliance Database'!$O$2:$O$1199,MATCH(528,'Transfer Engine'!$C$2:$C$1199,0)))</f>
        <v/>
      </c>
      <c r="P537" s="6" t="str">
        <f>IF(ISNA(MATCH(528,'Transfer Engine'!$C$2:$C$1199,0)),"",HYPERLINK("#Acts!A"&amp;INDEX('Compliance Database'!$P$2:$P$1199,MATCH(528,'Transfer Engine'!$C$2:$C$1199,0)),"Go to Act"))</f>
        <v/>
      </c>
    </row>
    <row r="538" spans="1:16" ht="172.95" customHeight="1" x14ac:dyDescent="0.3">
      <c r="A538" s="6" t="str">
        <f>IF(ISNA(MATCH(529,'Transfer Engine'!$C$2:$C$1199,0)),"",INDEX('Compliance Database'!$A$2:$A$1199,MATCH(529,'Transfer Engine'!$C$2:$C$1199,0)))</f>
        <v/>
      </c>
      <c r="B538" s="6" t="str">
        <f>IF(ISNA(MATCH(529,'Transfer Engine'!$C$2:$C$1199,0)),"",INDEX('Compliance Database'!$B$2:$B$1199,MATCH(529,'Transfer Engine'!$C$2:$C$1199,0)))</f>
        <v/>
      </c>
      <c r="C538" s="6" t="str">
        <f>IF(ISNA(MATCH(529,'Transfer Engine'!$C$2:$C$1199,0)),"",INDEX('Compliance Database'!$C$2:$C$1199,MATCH(529,'Transfer Engine'!$C$2:$C$1199,0)))</f>
        <v/>
      </c>
      <c r="D538" s="7" t="str">
        <f>IF(ISNA(MATCH(529,'Transfer Engine'!$C$2:$C$1199,0)),"",INDEX('Compliance Database'!$D$2:$D$1199,MATCH(529,'Transfer Engine'!$C$2:$C$1199,0)))</f>
        <v/>
      </c>
      <c r="E538" s="6" t="str">
        <f>IF(ISNA(MATCH(529,'Transfer Engine'!$C$2:$C$1199,0)),"",INDEX('Compliance Database'!$E$2:$E$1199,MATCH(529,'Transfer Engine'!$C$2:$C$1199,0)))</f>
        <v/>
      </c>
      <c r="F538" s="6" t="str">
        <f>IF(ISNA(MATCH(529,'Transfer Engine'!$C$2:$C$1199,0)),"",INDEX('Compliance Database'!$F$2:$F$1199,MATCH(529,'Transfer Engine'!$C$2:$C$1199,0)))</f>
        <v/>
      </c>
      <c r="G538" s="6" t="str">
        <f>IF(ISNA(MATCH(529,'Transfer Engine'!$C$2:$C$1199,0)),"",INDEX('Compliance Database'!$G$2:$G$1199,MATCH(529,'Transfer Engine'!$C$2:$C$1199,0)))</f>
        <v/>
      </c>
      <c r="H538" s="7" t="str">
        <f>IF(ISNA(MATCH(529,'Transfer Engine'!$C$2:$C$1199,0)),"",INDEX('Compliance Database'!$H$2:$H$1199,MATCH(529,'Transfer Engine'!$C$2:$C$1199,0)))</f>
        <v/>
      </c>
      <c r="I538" s="7" t="str">
        <f>IF(ISNA(MATCH(529,'Transfer Engine'!$C$2:$C$1199,0)),"",INDEX('Compliance Database'!$I$2:$I$1199,MATCH(529,'Transfer Engine'!$C$2:$C$1199,0)))</f>
        <v/>
      </c>
      <c r="J538" s="6" t="str">
        <f>IF(ISNA(MATCH(529,'Transfer Engine'!$C$2:$C$1199,0)),"",INDEX('Compliance Database'!$J$2:$J$1199,MATCH(529,'Transfer Engine'!$C$2:$C$1199,0)))</f>
        <v/>
      </c>
      <c r="K538" s="7" t="str">
        <f>IF(ISNA(MATCH(529,'Transfer Engine'!$C$2:$C$1199,0)),"",INDEX('Compliance Database'!$K$2:$K$1199,MATCH(529,'Transfer Engine'!$C$2:$C$1199,0)))</f>
        <v/>
      </c>
      <c r="L538" s="7" t="str">
        <f>IF(ISNA(MATCH(529,'Transfer Engine'!$C$2:$C$1199,0)),"",INDEX('Compliance Database'!$L$2:$L$1199,MATCH(529,'Transfer Engine'!$C$2:$C$1199,0)))</f>
        <v/>
      </c>
      <c r="M538" s="7" t="str">
        <f>IF(ISNA(MATCH(529,'Transfer Engine'!$C$2:$C$1199,0)),"",INDEX('Compliance Database'!$M$2:$M$1199,MATCH(529,'Transfer Engine'!$C$2:$C$1199,0)))</f>
        <v/>
      </c>
      <c r="N538" s="7" t="str">
        <f>IF(ISNA(MATCH(529,'Transfer Engine'!$C$2:$C$1199,0)),"",INDEX('Compliance Database'!$N$2:$N$1199,MATCH(529,'Transfer Engine'!$C$2:$C$1199,0)))</f>
        <v/>
      </c>
      <c r="O538" s="7" t="str">
        <f>IF(ISNA(MATCH(529,'Transfer Engine'!$C$2:$C$1199,0)),"",INDEX('Compliance Database'!$O$2:$O$1199,MATCH(529,'Transfer Engine'!$C$2:$C$1199,0)))</f>
        <v/>
      </c>
      <c r="P538" s="6" t="str">
        <f>IF(ISNA(MATCH(529,'Transfer Engine'!$C$2:$C$1199,0)),"",HYPERLINK("#Acts!A"&amp;INDEX('Compliance Database'!$P$2:$P$1199,MATCH(529,'Transfer Engine'!$C$2:$C$1199,0)),"Go to Act"))</f>
        <v/>
      </c>
    </row>
    <row r="539" spans="1:16" ht="172.95" customHeight="1" x14ac:dyDescent="0.3">
      <c r="A539" s="6" t="str">
        <f>IF(ISNA(MATCH(530,'Transfer Engine'!$C$2:$C$1199,0)),"",INDEX('Compliance Database'!$A$2:$A$1199,MATCH(530,'Transfer Engine'!$C$2:$C$1199,0)))</f>
        <v/>
      </c>
      <c r="B539" s="6" t="str">
        <f>IF(ISNA(MATCH(530,'Transfer Engine'!$C$2:$C$1199,0)),"",INDEX('Compliance Database'!$B$2:$B$1199,MATCH(530,'Transfer Engine'!$C$2:$C$1199,0)))</f>
        <v/>
      </c>
      <c r="C539" s="6" t="str">
        <f>IF(ISNA(MATCH(530,'Transfer Engine'!$C$2:$C$1199,0)),"",INDEX('Compliance Database'!$C$2:$C$1199,MATCH(530,'Transfer Engine'!$C$2:$C$1199,0)))</f>
        <v/>
      </c>
      <c r="D539" s="7" t="str">
        <f>IF(ISNA(MATCH(530,'Transfer Engine'!$C$2:$C$1199,0)),"",INDEX('Compliance Database'!$D$2:$D$1199,MATCH(530,'Transfer Engine'!$C$2:$C$1199,0)))</f>
        <v/>
      </c>
      <c r="E539" s="6" t="str">
        <f>IF(ISNA(MATCH(530,'Transfer Engine'!$C$2:$C$1199,0)),"",INDEX('Compliance Database'!$E$2:$E$1199,MATCH(530,'Transfer Engine'!$C$2:$C$1199,0)))</f>
        <v/>
      </c>
      <c r="F539" s="6" t="str">
        <f>IF(ISNA(MATCH(530,'Transfer Engine'!$C$2:$C$1199,0)),"",INDEX('Compliance Database'!$F$2:$F$1199,MATCH(530,'Transfer Engine'!$C$2:$C$1199,0)))</f>
        <v/>
      </c>
      <c r="G539" s="6" t="str">
        <f>IF(ISNA(MATCH(530,'Transfer Engine'!$C$2:$C$1199,0)),"",INDEX('Compliance Database'!$G$2:$G$1199,MATCH(530,'Transfer Engine'!$C$2:$C$1199,0)))</f>
        <v/>
      </c>
      <c r="H539" s="7" t="str">
        <f>IF(ISNA(MATCH(530,'Transfer Engine'!$C$2:$C$1199,0)),"",INDEX('Compliance Database'!$H$2:$H$1199,MATCH(530,'Transfer Engine'!$C$2:$C$1199,0)))</f>
        <v/>
      </c>
      <c r="I539" s="7" t="str">
        <f>IF(ISNA(MATCH(530,'Transfer Engine'!$C$2:$C$1199,0)),"",INDEX('Compliance Database'!$I$2:$I$1199,MATCH(530,'Transfer Engine'!$C$2:$C$1199,0)))</f>
        <v/>
      </c>
      <c r="J539" s="6" t="str">
        <f>IF(ISNA(MATCH(530,'Transfer Engine'!$C$2:$C$1199,0)),"",INDEX('Compliance Database'!$J$2:$J$1199,MATCH(530,'Transfer Engine'!$C$2:$C$1199,0)))</f>
        <v/>
      </c>
      <c r="K539" s="7" t="str">
        <f>IF(ISNA(MATCH(530,'Transfer Engine'!$C$2:$C$1199,0)),"",INDEX('Compliance Database'!$K$2:$K$1199,MATCH(530,'Transfer Engine'!$C$2:$C$1199,0)))</f>
        <v/>
      </c>
      <c r="L539" s="7" t="str">
        <f>IF(ISNA(MATCH(530,'Transfer Engine'!$C$2:$C$1199,0)),"",INDEX('Compliance Database'!$L$2:$L$1199,MATCH(530,'Transfer Engine'!$C$2:$C$1199,0)))</f>
        <v/>
      </c>
      <c r="M539" s="7" t="str">
        <f>IF(ISNA(MATCH(530,'Transfer Engine'!$C$2:$C$1199,0)),"",INDEX('Compliance Database'!$M$2:$M$1199,MATCH(530,'Transfer Engine'!$C$2:$C$1199,0)))</f>
        <v/>
      </c>
      <c r="N539" s="7" t="str">
        <f>IF(ISNA(MATCH(530,'Transfer Engine'!$C$2:$C$1199,0)),"",INDEX('Compliance Database'!$N$2:$N$1199,MATCH(530,'Transfer Engine'!$C$2:$C$1199,0)))</f>
        <v/>
      </c>
      <c r="O539" s="7" t="str">
        <f>IF(ISNA(MATCH(530,'Transfer Engine'!$C$2:$C$1199,0)),"",INDEX('Compliance Database'!$O$2:$O$1199,MATCH(530,'Transfer Engine'!$C$2:$C$1199,0)))</f>
        <v/>
      </c>
      <c r="P539" s="6" t="str">
        <f>IF(ISNA(MATCH(530,'Transfer Engine'!$C$2:$C$1199,0)),"",HYPERLINK("#Acts!A"&amp;INDEX('Compliance Database'!$P$2:$P$1199,MATCH(530,'Transfer Engine'!$C$2:$C$1199,0)),"Go to Act"))</f>
        <v/>
      </c>
    </row>
    <row r="540" spans="1:16" ht="172.95" customHeight="1" x14ac:dyDescent="0.3">
      <c r="A540" s="6" t="str">
        <f>IF(ISNA(MATCH(531,'Transfer Engine'!$C$2:$C$1199,0)),"",INDEX('Compliance Database'!$A$2:$A$1199,MATCH(531,'Transfer Engine'!$C$2:$C$1199,0)))</f>
        <v/>
      </c>
      <c r="B540" s="6" t="str">
        <f>IF(ISNA(MATCH(531,'Transfer Engine'!$C$2:$C$1199,0)),"",INDEX('Compliance Database'!$B$2:$B$1199,MATCH(531,'Transfer Engine'!$C$2:$C$1199,0)))</f>
        <v/>
      </c>
      <c r="C540" s="6" t="str">
        <f>IF(ISNA(MATCH(531,'Transfer Engine'!$C$2:$C$1199,0)),"",INDEX('Compliance Database'!$C$2:$C$1199,MATCH(531,'Transfer Engine'!$C$2:$C$1199,0)))</f>
        <v/>
      </c>
      <c r="D540" s="7" t="str">
        <f>IF(ISNA(MATCH(531,'Transfer Engine'!$C$2:$C$1199,0)),"",INDEX('Compliance Database'!$D$2:$D$1199,MATCH(531,'Transfer Engine'!$C$2:$C$1199,0)))</f>
        <v/>
      </c>
      <c r="E540" s="6" t="str">
        <f>IF(ISNA(MATCH(531,'Transfer Engine'!$C$2:$C$1199,0)),"",INDEX('Compliance Database'!$E$2:$E$1199,MATCH(531,'Transfer Engine'!$C$2:$C$1199,0)))</f>
        <v/>
      </c>
      <c r="F540" s="6" t="str">
        <f>IF(ISNA(MATCH(531,'Transfer Engine'!$C$2:$C$1199,0)),"",INDEX('Compliance Database'!$F$2:$F$1199,MATCH(531,'Transfer Engine'!$C$2:$C$1199,0)))</f>
        <v/>
      </c>
      <c r="G540" s="6" t="str">
        <f>IF(ISNA(MATCH(531,'Transfer Engine'!$C$2:$C$1199,0)),"",INDEX('Compliance Database'!$G$2:$G$1199,MATCH(531,'Transfer Engine'!$C$2:$C$1199,0)))</f>
        <v/>
      </c>
      <c r="H540" s="7" t="str">
        <f>IF(ISNA(MATCH(531,'Transfer Engine'!$C$2:$C$1199,0)),"",INDEX('Compliance Database'!$H$2:$H$1199,MATCH(531,'Transfer Engine'!$C$2:$C$1199,0)))</f>
        <v/>
      </c>
      <c r="I540" s="7" t="str">
        <f>IF(ISNA(MATCH(531,'Transfer Engine'!$C$2:$C$1199,0)),"",INDEX('Compliance Database'!$I$2:$I$1199,MATCH(531,'Transfer Engine'!$C$2:$C$1199,0)))</f>
        <v/>
      </c>
      <c r="J540" s="6" t="str">
        <f>IF(ISNA(MATCH(531,'Transfer Engine'!$C$2:$C$1199,0)),"",INDEX('Compliance Database'!$J$2:$J$1199,MATCH(531,'Transfer Engine'!$C$2:$C$1199,0)))</f>
        <v/>
      </c>
      <c r="K540" s="7" t="str">
        <f>IF(ISNA(MATCH(531,'Transfer Engine'!$C$2:$C$1199,0)),"",INDEX('Compliance Database'!$K$2:$K$1199,MATCH(531,'Transfer Engine'!$C$2:$C$1199,0)))</f>
        <v/>
      </c>
      <c r="L540" s="7" t="str">
        <f>IF(ISNA(MATCH(531,'Transfer Engine'!$C$2:$C$1199,0)),"",INDEX('Compliance Database'!$L$2:$L$1199,MATCH(531,'Transfer Engine'!$C$2:$C$1199,0)))</f>
        <v/>
      </c>
      <c r="M540" s="7" t="str">
        <f>IF(ISNA(MATCH(531,'Transfer Engine'!$C$2:$C$1199,0)),"",INDEX('Compliance Database'!$M$2:$M$1199,MATCH(531,'Transfer Engine'!$C$2:$C$1199,0)))</f>
        <v/>
      </c>
      <c r="N540" s="7" t="str">
        <f>IF(ISNA(MATCH(531,'Transfer Engine'!$C$2:$C$1199,0)),"",INDEX('Compliance Database'!$N$2:$N$1199,MATCH(531,'Transfer Engine'!$C$2:$C$1199,0)))</f>
        <v/>
      </c>
      <c r="O540" s="7" t="str">
        <f>IF(ISNA(MATCH(531,'Transfer Engine'!$C$2:$C$1199,0)),"",INDEX('Compliance Database'!$O$2:$O$1199,MATCH(531,'Transfer Engine'!$C$2:$C$1199,0)))</f>
        <v/>
      </c>
      <c r="P540" s="6" t="str">
        <f>IF(ISNA(MATCH(531,'Transfer Engine'!$C$2:$C$1199,0)),"",HYPERLINK("#Acts!A"&amp;INDEX('Compliance Database'!$P$2:$P$1199,MATCH(531,'Transfer Engine'!$C$2:$C$1199,0)),"Go to Act"))</f>
        <v/>
      </c>
    </row>
    <row r="541" spans="1:16" ht="172.95" customHeight="1" x14ac:dyDescent="0.3">
      <c r="A541" s="6" t="str">
        <f>IF(ISNA(MATCH(532,'Transfer Engine'!$C$2:$C$1199,0)),"",INDEX('Compliance Database'!$A$2:$A$1199,MATCH(532,'Transfer Engine'!$C$2:$C$1199,0)))</f>
        <v/>
      </c>
      <c r="B541" s="6" t="str">
        <f>IF(ISNA(MATCH(532,'Transfer Engine'!$C$2:$C$1199,0)),"",INDEX('Compliance Database'!$B$2:$B$1199,MATCH(532,'Transfer Engine'!$C$2:$C$1199,0)))</f>
        <v/>
      </c>
      <c r="C541" s="6" t="str">
        <f>IF(ISNA(MATCH(532,'Transfer Engine'!$C$2:$C$1199,0)),"",INDEX('Compliance Database'!$C$2:$C$1199,MATCH(532,'Transfer Engine'!$C$2:$C$1199,0)))</f>
        <v/>
      </c>
      <c r="D541" s="7" t="str">
        <f>IF(ISNA(MATCH(532,'Transfer Engine'!$C$2:$C$1199,0)),"",INDEX('Compliance Database'!$D$2:$D$1199,MATCH(532,'Transfer Engine'!$C$2:$C$1199,0)))</f>
        <v/>
      </c>
      <c r="E541" s="6" t="str">
        <f>IF(ISNA(MATCH(532,'Transfer Engine'!$C$2:$C$1199,0)),"",INDEX('Compliance Database'!$E$2:$E$1199,MATCH(532,'Transfer Engine'!$C$2:$C$1199,0)))</f>
        <v/>
      </c>
      <c r="F541" s="6" t="str">
        <f>IF(ISNA(MATCH(532,'Transfer Engine'!$C$2:$C$1199,0)),"",INDEX('Compliance Database'!$F$2:$F$1199,MATCH(532,'Transfer Engine'!$C$2:$C$1199,0)))</f>
        <v/>
      </c>
      <c r="G541" s="6" t="str">
        <f>IF(ISNA(MATCH(532,'Transfer Engine'!$C$2:$C$1199,0)),"",INDEX('Compliance Database'!$G$2:$G$1199,MATCH(532,'Transfer Engine'!$C$2:$C$1199,0)))</f>
        <v/>
      </c>
      <c r="H541" s="7" t="str">
        <f>IF(ISNA(MATCH(532,'Transfer Engine'!$C$2:$C$1199,0)),"",INDEX('Compliance Database'!$H$2:$H$1199,MATCH(532,'Transfer Engine'!$C$2:$C$1199,0)))</f>
        <v/>
      </c>
      <c r="I541" s="7" t="str">
        <f>IF(ISNA(MATCH(532,'Transfer Engine'!$C$2:$C$1199,0)),"",INDEX('Compliance Database'!$I$2:$I$1199,MATCH(532,'Transfer Engine'!$C$2:$C$1199,0)))</f>
        <v/>
      </c>
      <c r="J541" s="6" t="str">
        <f>IF(ISNA(MATCH(532,'Transfer Engine'!$C$2:$C$1199,0)),"",INDEX('Compliance Database'!$J$2:$J$1199,MATCH(532,'Transfer Engine'!$C$2:$C$1199,0)))</f>
        <v/>
      </c>
      <c r="K541" s="7" t="str">
        <f>IF(ISNA(MATCH(532,'Transfer Engine'!$C$2:$C$1199,0)),"",INDEX('Compliance Database'!$K$2:$K$1199,MATCH(532,'Transfer Engine'!$C$2:$C$1199,0)))</f>
        <v/>
      </c>
      <c r="L541" s="7" t="str">
        <f>IF(ISNA(MATCH(532,'Transfer Engine'!$C$2:$C$1199,0)),"",INDEX('Compliance Database'!$L$2:$L$1199,MATCH(532,'Transfer Engine'!$C$2:$C$1199,0)))</f>
        <v/>
      </c>
      <c r="M541" s="7" t="str">
        <f>IF(ISNA(MATCH(532,'Transfer Engine'!$C$2:$C$1199,0)),"",INDEX('Compliance Database'!$M$2:$M$1199,MATCH(532,'Transfer Engine'!$C$2:$C$1199,0)))</f>
        <v/>
      </c>
      <c r="N541" s="7" t="str">
        <f>IF(ISNA(MATCH(532,'Transfer Engine'!$C$2:$C$1199,0)),"",INDEX('Compliance Database'!$N$2:$N$1199,MATCH(532,'Transfer Engine'!$C$2:$C$1199,0)))</f>
        <v/>
      </c>
      <c r="O541" s="7" t="str">
        <f>IF(ISNA(MATCH(532,'Transfer Engine'!$C$2:$C$1199,0)),"",INDEX('Compliance Database'!$O$2:$O$1199,MATCH(532,'Transfer Engine'!$C$2:$C$1199,0)))</f>
        <v/>
      </c>
      <c r="P541" s="6" t="str">
        <f>IF(ISNA(MATCH(532,'Transfer Engine'!$C$2:$C$1199,0)),"",HYPERLINK("#Acts!A"&amp;INDEX('Compliance Database'!$P$2:$P$1199,MATCH(532,'Transfer Engine'!$C$2:$C$1199,0)),"Go to Act"))</f>
        <v/>
      </c>
    </row>
    <row r="542" spans="1:16" ht="172.95" customHeight="1" x14ac:dyDescent="0.3">
      <c r="A542" s="6" t="str">
        <f>IF(ISNA(MATCH(533,'Transfer Engine'!$C$2:$C$1199,0)),"",INDEX('Compliance Database'!$A$2:$A$1199,MATCH(533,'Transfer Engine'!$C$2:$C$1199,0)))</f>
        <v/>
      </c>
      <c r="B542" s="6" t="str">
        <f>IF(ISNA(MATCH(533,'Transfer Engine'!$C$2:$C$1199,0)),"",INDEX('Compliance Database'!$B$2:$B$1199,MATCH(533,'Transfer Engine'!$C$2:$C$1199,0)))</f>
        <v/>
      </c>
      <c r="C542" s="6" t="str">
        <f>IF(ISNA(MATCH(533,'Transfer Engine'!$C$2:$C$1199,0)),"",INDEX('Compliance Database'!$C$2:$C$1199,MATCH(533,'Transfer Engine'!$C$2:$C$1199,0)))</f>
        <v/>
      </c>
      <c r="D542" s="7" t="str">
        <f>IF(ISNA(MATCH(533,'Transfer Engine'!$C$2:$C$1199,0)),"",INDEX('Compliance Database'!$D$2:$D$1199,MATCH(533,'Transfer Engine'!$C$2:$C$1199,0)))</f>
        <v/>
      </c>
      <c r="E542" s="6" t="str">
        <f>IF(ISNA(MATCH(533,'Transfer Engine'!$C$2:$C$1199,0)),"",INDEX('Compliance Database'!$E$2:$E$1199,MATCH(533,'Transfer Engine'!$C$2:$C$1199,0)))</f>
        <v/>
      </c>
      <c r="F542" s="6" t="str">
        <f>IF(ISNA(MATCH(533,'Transfer Engine'!$C$2:$C$1199,0)),"",INDEX('Compliance Database'!$F$2:$F$1199,MATCH(533,'Transfer Engine'!$C$2:$C$1199,0)))</f>
        <v/>
      </c>
      <c r="G542" s="6" t="str">
        <f>IF(ISNA(MATCH(533,'Transfer Engine'!$C$2:$C$1199,0)),"",INDEX('Compliance Database'!$G$2:$G$1199,MATCH(533,'Transfer Engine'!$C$2:$C$1199,0)))</f>
        <v/>
      </c>
      <c r="H542" s="7" t="str">
        <f>IF(ISNA(MATCH(533,'Transfer Engine'!$C$2:$C$1199,0)),"",INDEX('Compliance Database'!$H$2:$H$1199,MATCH(533,'Transfer Engine'!$C$2:$C$1199,0)))</f>
        <v/>
      </c>
      <c r="I542" s="7" t="str">
        <f>IF(ISNA(MATCH(533,'Transfer Engine'!$C$2:$C$1199,0)),"",INDEX('Compliance Database'!$I$2:$I$1199,MATCH(533,'Transfer Engine'!$C$2:$C$1199,0)))</f>
        <v/>
      </c>
      <c r="J542" s="6" t="str">
        <f>IF(ISNA(MATCH(533,'Transfer Engine'!$C$2:$C$1199,0)),"",INDEX('Compliance Database'!$J$2:$J$1199,MATCH(533,'Transfer Engine'!$C$2:$C$1199,0)))</f>
        <v/>
      </c>
      <c r="K542" s="7" t="str">
        <f>IF(ISNA(MATCH(533,'Transfer Engine'!$C$2:$C$1199,0)),"",INDEX('Compliance Database'!$K$2:$K$1199,MATCH(533,'Transfer Engine'!$C$2:$C$1199,0)))</f>
        <v/>
      </c>
      <c r="L542" s="7" t="str">
        <f>IF(ISNA(MATCH(533,'Transfer Engine'!$C$2:$C$1199,0)),"",INDEX('Compliance Database'!$L$2:$L$1199,MATCH(533,'Transfer Engine'!$C$2:$C$1199,0)))</f>
        <v/>
      </c>
      <c r="M542" s="7" t="str">
        <f>IF(ISNA(MATCH(533,'Transfer Engine'!$C$2:$C$1199,0)),"",INDEX('Compliance Database'!$M$2:$M$1199,MATCH(533,'Transfer Engine'!$C$2:$C$1199,0)))</f>
        <v/>
      </c>
      <c r="N542" s="7" t="str">
        <f>IF(ISNA(MATCH(533,'Transfer Engine'!$C$2:$C$1199,0)),"",INDEX('Compliance Database'!$N$2:$N$1199,MATCH(533,'Transfer Engine'!$C$2:$C$1199,0)))</f>
        <v/>
      </c>
      <c r="O542" s="7" t="str">
        <f>IF(ISNA(MATCH(533,'Transfer Engine'!$C$2:$C$1199,0)),"",INDEX('Compliance Database'!$O$2:$O$1199,MATCH(533,'Transfer Engine'!$C$2:$C$1199,0)))</f>
        <v/>
      </c>
      <c r="P542" s="6" t="str">
        <f>IF(ISNA(MATCH(533,'Transfer Engine'!$C$2:$C$1199,0)),"",HYPERLINK("#Acts!A"&amp;INDEX('Compliance Database'!$P$2:$P$1199,MATCH(533,'Transfer Engine'!$C$2:$C$1199,0)),"Go to Act"))</f>
        <v/>
      </c>
    </row>
    <row r="543" spans="1:16" ht="172.95" customHeight="1" x14ac:dyDescent="0.3">
      <c r="A543" s="6" t="str">
        <f>IF(ISNA(MATCH(534,'Transfer Engine'!$C$2:$C$1199,0)),"",INDEX('Compliance Database'!$A$2:$A$1199,MATCH(534,'Transfer Engine'!$C$2:$C$1199,0)))</f>
        <v/>
      </c>
      <c r="B543" s="6" t="str">
        <f>IF(ISNA(MATCH(534,'Transfer Engine'!$C$2:$C$1199,0)),"",INDEX('Compliance Database'!$B$2:$B$1199,MATCH(534,'Transfer Engine'!$C$2:$C$1199,0)))</f>
        <v/>
      </c>
      <c r="C543" s="6" t="str">
        <f>IF(ISNA(MATCH(534,'Transfer Engine'!$C$2:$C$1199,0)),"",INDEX('Compliance Database'!$C$2:$C$1199,MATCH(534,'Transfer Engine'!$C$2:$C$1199,0)))</f>
        <v/>
      </c>
      <c r="D543" s="7" t="str">
        <f>IF(ISNA(MATCH(534,'Transfer Engine'!$C$2:$C$1199,0)),"",INDEX('Compliance Database'!$D$2:$D$1199,MATCH(534,'Transfer Engine'!$C$2:$C$1199,0)))</f>
        <v/>
      </c>
      <c r="E543" s="6" t="str">
        <f>IF(ISNA(MATCH(534,'Transfer Engine'!$C$2:$C$1199,0)),"",INDEX('Compliance Database'!$E$2:$E$1199,MATCH(534,'Transfer Engine'!$C$2:$C$1199,0)))</f>
        <v/>
      </c>
      <c r="F543" s="6" t="str">
        <f>IF(ISNA(MATCH(534,'Transfer Engine'!$C$2:$C$1199,0)),"",INDEX('Compliance Database'!$F$2:$F$1199,MATCH(534,'Transfer Engine'!$C$2:$C$1199,0)))</f>
        <v/>
      </c>
      <c r="G543" s="6" t="str">
        <f>IF(ISNA(MATCH(534,'Transfer Engine'!$C$2:$C$1199,0)),"",INDEX('Compliance Database'!$G$2:$G$1199,MATCH(534,'Transfer Engine'!$C$2:$C$1199,0)))</f>
        <v/>
      </c>
      <c r="H543" s="7" t="str">
        <f>IF(ISNA(MATCH(534,'Transfer Engine'!$C$2:$C$1199,0)),"",INDEX('Compliance Database'!$H$2:$H$1199,MATCH(534,'Transfer Engine'!$C$2:$C$1199,0)))</f>
        <v/>
      </c>
      <c r="I543" s="7" t="str">
        <f>IF(ISNA(MATCH(534,'Transfer Engine'!$C$2:$C$1199,0)),"",INDEX('Compliance Database'!$I$2:$I$1199,MATCH(534,'Transfer Engine'!$C$2:$C$1199,0)))</f>
        <v/>
      </c>
      <c r="J543" s="6" t="str">
        <f>IF(ISNA(MATCH(534,'Transfer Engine'!$C$2:$C$1199,0)),"",INDEX('Compliance Database'!$J$2:$J$1199,MATCH(534,'Transfer Engine'!$C$2:$C$1199,0)))</f>
        <v/>
      </c>
      <c r="K543" s="7" t="str">
        <f>IF(ISNA(MATCH(534,'Transfer Engine'!$C$2:$C$1199,0)),"",INDEX('Compliance Database'!$K$2:$K$1199,MATCH(534,'Transfer Engine'!$C$2:$C$1199,0)))</f>
        <v/>
      </c>
      <c r="L543" s="7" t="str">
        <f>IF(ISNA(MATCH(534,'Transfer Engine'!$C$2:$C$1199,0)),"",INDEX('Compliance Database'!$L$2:$L$1199,MATCH(534,'Transfer Engine'!$C$2:$C$1199,0)))</f>
        <v/>
      </c>
      <c r="M543" s="7" t="str">
        <f>IF(ISNA(MATCH(534,'Transfer Engine'!$C$2:$C$1199,0)),"",INDEX('Compliance Database'!$M$2:$M$1199,MATCH(534,'Transfer Engine'!$C$2:$C$1199,0)))</f>
        <v/>
      </c>
      <c r="N543" s="7" t="str">
        <f>IF(ISNA(MATCH(534,'Transfer Engine'!$C$2:$C$1199,0)),"",INDEX('Compliance Database'!$N$2:$N$1199,MATCH(534,'Transfer Engine'!$C$2:$C$1199,0)))</f>
        <v/>
      </c>
      <c r="O543" s="7" t="str">
        <f>IF(ISNA(MATCH(534,'Transfer Engine'!$C$2:$C$1199,0)),"",INDEX('Compliance Database'!$O$2:$O$1199,MATCH(534,'Transfer Engine'!$C$2:$C$1199,0)))</f>
        <v/>
      </c>
      <c r="P543" s="6" t="str">
        <f>IF(ISNA(MATCH(534,'Transfer Engine'!$C$2:$C$1199,0)),"",HYPERLINK("#Acts!A"&amp;INDEX('Compliance Database'!$P$2:$P$1199,MATCH(534,'Transfer Engine'!$C$2:$C$1199,0)),"Go to Act"))</f>
        <v/>
      </c>
    </row>
    <row r="544" spans="1:16" ht="172.95" customHeight="1" x14ac:dyDescent="0.3">
      <c r="A544" s="6" t="str">
        <f>IF(ISNA(MATCH(535,'Transfer Engine'!$C$2:$C$1199,0)),"",INDEX('Compliance Database'!$A$2:$A$1199,MATCH(535,'Transfer Engine'!$C$2:$C$1199,0)))</f>
        <v/>
      </c>
      <c r="B544" s="6" t="str">
        <f>IF(ISNA(MATCH(535,'Transfer Engine'!$C$2:$C$1199,0)),"",INDEX('Compliance Database'!$B$2:$B$1199,MATCH(535,'Transfer Engine'!$C$2:$C$1199,0)))</f>
        <v/>
      </c>
      <c r="C544" s="6" t="str">
        <f>IF(ISNA(MATCH(535,'Transfer Engine'!$C$2:$C$1199,0)),"",INDEX('Compliance Database'!$C$2:$C$1199,MATCH(535,'Transfer Engine'!$C$2:$C$1199,0)))</f>
        <v/>
      </c>
      <c r="D544" s="7" t="str">
        <f>IF(ISNA(MATCH(535,'Transfer Engine'!$C$2:$C$1199,0)),"",INDEX('Compliance Database'!$D$2:$D$1199,MATCH(535,'Transfer Engine'!$C$2:$C$1199,0)))</f>
        <v/>
      </c>
      <c r="E544" s="6" t="str">
        <f>IF(ISNA(MATCH(535,'Transfer Engine'!$C$2:$C$1199,0)),"",INDEX('Compliance Database'!$E$2:$E$1199,MATCH(535,'Transfer Engine'!$C$2:$C$1199,0)))</f>
        <v/>
      </c>
      <c r="F544" s="6" t="str">
        <f>IF(ISNA(MATCH(535,'Transfer Engine'!$C$2:$C$1199,0)),"",INDEX('Compliance Database'!$F$2:$F$1199,MATCH(535,'Transfer Engine'!$C$2:$C$1199,0)))</f>
        <v/>
      </c>
      <c r="G544" s="6" t="str">
        <f>IF(ISNA(MATCH(535,'Transfer Engine'!$C$2:$C$1199,0)),"",INDEX('Compliance Database'!$G$2:$G$1199,MATCH(535,'Transfer Engine'!$C$2:$C$1199,0)))</f>
        <v/>
      </c>
      <c r="H544" s="7" t="str">
        <f>IF(ISNA(MATCH(535,'Transfer Engine'!$C$2:$C$1199,0)),"",INDEX('Compliance Database'!$H$2:$H$1199,MATCH(535,'Transfer Engine'!$C$2:$C$1199,0)))</f>
        <v/>
      </c>
      <c r="I544" s="7" t="str">
        <f>IF(ISNA(MATCH(535,'Transfer Engine'!$C$2:$C$1199,0)),"",INDEX('Compliance Database'!$I$2:$I$1199,MATCH(535,'Transfer Engine'!$C$2:$C$1199,0)))</f>
        <v/>
      </c>
      <c r="J544" s="6" t="str">
        <f>IF(ISNA(MATCH(535,'Transfer Engine'!$C$2:$C$1199,0)),"",INDEX('Compliance Database'!$J$2:$J$1199,MATCH(535,'Transfer Engine'!$C$2:$C$1199,0)))</f>
        <v/>
      </c>
      <c r="K544" s="7" t="str">
        <f>IF(ISNA(MATCH(535,'Transfer Engine'!$C$2:$C$1199,0)),"",INDEX('Compliance Database'!$K$2:$K$1199,MATCH(535,'Transfer Engine'!$C$2:$C$1199,0)))</f>
        <v/>
      </c>
      <c r="L544" s="7" t="str">
        <f>IF(ISNA(MATCH(535,'Transfer Engine'!$C$2:$C$1199,0)),"",INDEX('Compliance Database'!$L$2:$L$1199,MATCH(535,'Transfer Engine'!$C$2:$C$1199,0)))</f>
        <v/>
      </c>
      <c r="M544" s="7" t="str">
        <f>IF(ISNA(MATCH(535,'Transfer Engine'!$C$2:$C$1199,0)),"",INDEX('Compliance Database'!$M$2:$M$1199,MATCH(535,'Transfer Engine'!$C$2:$C$1199,0)))</f>
        <v/>
      </c>
      <c r="N544" s="7" t="str">
        <f>IF(ISNA(MATCH(535,'Transfer Engine'!$C$2:$C$1199,0)),"",INDEX('Compliance Database'!$N$2:$N$1199,MATCH(535,'Transfer Engine'!$C$2:$C$1199,0)))</f>
        <v/>
      </c>
      <c r="O544" s="7" t="str">
        <f>IF(ISNA(MATCH(535,'Transfer Engine'!$C$2:$C$1199,0)),"",INDEX('Compliance Database'!$O$2:$O$1199,MATCH(535,'Transfer Engine'!$C$2:$C$1199,0)))</f>
        <v/>
      </c>
      <c r="P544" s="6" t="str">
        <f>IF(ISNA(MATCH(535,'Transfer Engine'!$C$2:$C$1199,0)),"",HYPERLINK("#Acts!A"&amp;INDEX('Compliance Database'!$P$2:$P$1199,MATCH(535,'Transfer Engine'!$C$2:$C$1199,0)),"Go to Act"))</f>
        <v/>
      </c>
    </row>
    <row r="545" spans="1:16" ht="172.95" customHeight="1" x14ac:dyDescent="0.3">
      <c r="A545" s="6" t="str">
        <f>IF(ISNA(MATCH(536,'Transfer Engine'!$C$2:$C$1199,0)),"",INDEX('Compliance Database'!$A$2:$A$1199,MATCH(536,'Transfer Engine'!$C$2:$C$1199,0)))</f>
        <v/>
      </c>
      <c r="B545" s="6" t="str">
        <f>IF(ISNA(MATCH(536,'Transfer Engine'!$C$2:$C$1199,0)),"",INDEX('Compliance Database'!$B$2:$B$1199,MATCH(536,'Transfer Engine'!$C$2:$C$1199,0)))</f>
        <v/>
      </c>
      <c r="C545" s="6" t="str">
        <f>IF(ISNA(MATCH(536,'Transfer Engine'!$C$2:$C$1199,0)),"",INDEX('Compliance Database'!$C$2:$C$1199,MATCH(536,'Transfer Engine'!$C$2:$C$1199,0)))</f>
        <v/>
      </c>
      <c r="D545" s="7" t="str">
        <f>IF(ISNA(MATCH(536,'Transfer Engine'!$C$2:$C$1199,0)),"",INDEX('Compliance Database'!$D$2:$D$1199,MATCH(536,'Transfer Engine'!$C$2:$C$1199,0)))</f>
        <v/>
      </c>
      <c r="E545" s="6" t="str">
        <f>IF(ISNA(MATCH(536,'Transfer Engine'!$C$2:$C$1199,0)),"",INDEX('Compliance Database'!$E$2:$E$1199,MATCH(536,'Transfer Engine'!$C$2:$C$1199,0)))</f>
        <v/>
      </c>
      <c r="F545" s="6" t="str">
        <f>IF(ISNA(MATCH(536,'Transfer Engine'!$C$2:$C$1199,0)),"",INDEX('Compliance Database'!$F$2:$F$1199,MATCH(536,'Transfer Engine'!$C$2:$C$1199,0)))</f>
        <v/>
      </c>
      <c r="G545" s="6" t="str">
        <f>IF(ISNA(MATCH(536,'Transfer Engine'!$C$2:$C$1199,0)),"",INDEX('Compliance Database'!$G$2:$G$1199,MATCH(536,'Transfer Engine'!$C$2:$C$1199,0)))</f>
        <v/>
      </c>
      <c r="H545" s="7" t="str">
        <f>IF(ISNA(MATCH(536,'Transfer Engine'!$C$2:$C$1199,0)),"",INDEX('Compliance Database'!$H$2:$H$1199,MATCH(536,'Transfer Engine'!$C$2:$C$1199,0)))</f>
        <v/>
      </c>
      <c r="I545" s="7" t="str">
        <f>IF(ISNA(MATCH(536,'Transfer Engine'!$C$2:$C$1199,0)),"",INDEX('Compliance Database'!$I$2:$I$1199,MATCH(536,'Transfer Engine'!$C$2:$C$1199,0)))</f>
        <v/>
      </c>
      <c r="J545" s="6" t="str">
        <f>IF(ISNA(MATCH(536,'Transfer Engine'!$C$2:$C$1199,0)),"",INDEX('Compliance Database'!$J$2:$J$1199,MATCH(536,'Transfer Engine'!$C$2:$C$1199,0)))</f>
        <v/>
      </c>
      <c r="K545" s="7" t="str">
        <f>IF(ISNA(MATCH(536,'Transfer Engine'!$C$2:$C$1199,0)),"",INDEX('Compliance Database'!$K$2:$K$1199,MATCH(536,'Transfer Engine'!$C$2:$C$1199,0)))</f>
        <v/>
      </c>
      <c r="L545" s="7" t="str">
        <f>IF(ISNA(MATCH(536,'Transfer Engine'!$C$2:$C$1199,0)),"",INDEX('Compliance Database'!$L$2:$L$1199,MATCH(536,'Transfer Engine'!$C$2:$C$1199,0)))</f>
        <v/>
      </c>
      <c r="M545" s="7" t="str">
        <f>IF(ISNA(MATCH(536,'Transfer Engine'!$C$2:$C$1199,0)),"",INDEX('Compliance Database'!$M$2:$M$1199,MATCH(536,'Transfer Engine'!$C$2:$C$1199,0)))</f>
        <v/>
      </c>
      <c r="N545" s="7" t="str">
        <f>IF(ISNA(MATCH(536,'Transfer Engine'!$C$2:$C$1199,0)),"",INDEX('Compliance Database'!$N$2:$N$1199,MATCH(536,'Transfer Engine'!$C$2:$C$1199,0)))</f>
        <v/>
      </c>
      <c r="O545" s="7" t="str">
        <f>IF(ISNA(MATCH(536,'Transfer Engine'!$C$2:$C$1199,0)),"",INDEX('Compliance Database'!$O$2:$O$1199,MATCH(536,'Transfer Engine'!$C$2:$C$1199,0)))</f>
        <v/>
      </c>
      <c r="P545" s="6" t="str">
        <f>IF(ISNA(MATCH(536,'Transfer Engine'!$C$2:$C$1199,0)),"",HYPERLINK("#Acts!A"&amp;INDEX('Compliance Database'!$P$2:$P$1199,MATCH(536,'Transfer Engine'!$C$2:$C$1199,0)),"Go to Act"))</f>
        <v/>
      </c>
    </row>
    <row r="546" spans="1:16" ht="172.95" customHeight="1" x14ac:dyDescent="0.3">
      <c r="A546" s="6" t="str">
        <f>IF(ISNA(MATCH(537,'Transfer Engine'!$C$2:$C$1199,0)),"",INDEX('Compliance Database'!$A$2:$A$1199,MATCH(537,'Transfer Engine'!$C$2:$C$1199,0)))</f>
        <v/>
      </c>
      <c r="B546" s="6" t="str">
        <f>IF(ISNA(MATCH(537,'Transfer Engine'!$C$2:$C$1199,0)),"",INDEX('Compliance Database'!$B$2:$B$1199,MATCH(537,'Transfer Engine'!$C$2:$C$1199,0)))</f>
        <v/>
      </c>
      <c r="C546" s="6" t="str">
        <f>IF(ISNA(MATCH(537,'Transfer Engine'!$C$2:$C$1199,0)),"",INDEX('Compliance Database'!$C$2:$C$1199,MATCH(537,'Transfer Engine'!$C$2:$C$1199,0)))</f>
        <v/>
      </c>
      <c r="D546" s="7" t="str">
        <f>IF(ISNA(MATCH(537,'Transfer Engine'!$C$2:$C$1199,0)),"",INDEX('Compliance Database'!$D$2:$D$1199,MATCH(537,'Transfer Engine'!$C$2:$C$1199,0)))</f>
        <v/>
      </c>
      <c r="E546" s="6" t="str">
        <f>IF(ISNA(MATCH(537,'Transfer Engine'!$C$2:$C$1199,0)),"",INDEX('Compliance Database'!$E$2:$E$1199,MATCH(537,'Transfer Engine'!$C$2:$C$1199,0)))</f>
        <v/>
      </c>
      <c r="F546" s="6" t="str">
        <f>IF(ISNA(MATCH(537,'Transfer Engine'!$C$2:$C$1199,0)),"",INDEX('Compliance Database'!$F$2:$F$1199,MATCH(537,'Transfer Engine'!$C$2:$C$1199,0)))</f>
        <v/>
      </c>
      <c r="G546" s="6" t="str">
        <f>IF(ISNA(MATCH(537,'Transfer Engine'!$C$2:$C$1199,0)),"",INDEX('Compliance Database'!$G$2:$G$1199,MATCH(537,'Transfer Engine'!$C$2:$C$1199,0)))</f>
        <v/>
      </c>
      <c r="H546" s="7" t="str">
        <f>IF(ISNA(MATCH(537,'Transfer Engine'!$C$2:$C$1199,0)),"",INDEX('Compliance Database'!$H$2:$H$1199,MATCH(537,'Transfer Engine'!$C$2:$C$1199,0)))</f>
        <v/>
      </c>
      <c r="I546" s="7" t="str">
        <f>IF(ISNA(MATCH(537,'Transfer Engine'!$C$2:$C$1199,0)),"",INDEX('Compliance Database'!$I$2:$I$1199,MATCH(537,'Transfer Engine'!$C$2:$C$1199,0)))</f>
        <v/>
      </c>
      <c r="J546" s="6" t="str">
        <f>IF(ISNA(MATCH(537,'Transfer Engine'!$C$2:$C$1199,0)),"",INDEX('Compliance Database'!$J$2:$J$1199,MATCH(537,'Transfer Engine'!$C$2:$C$1199,0)))</f>
        <v/>
      </c>
      <c r="K546" s="7" t="str">
        <f>IF(ISNA(MATCH(537,'Transfer Engine'!$C$2:$C$1199,0)),"",INDEX('Compliance Database'!$K$2:$K$1199,MATCH(537,'Transfer Engine'!$C$2:$C$1199,0)))</f>
        <v/>
      </c>
      <c r="L546" s="7" t="str">
        <f>IF(ISNA(MATCH(537,'Transfer Engine'!$C$2:$C$1199,0)),"",INDEX('Compliance Database'!$L$2:$L$1199,MATCH(537,'Transfer Engine'!$C$2:$C$1199,0)))</f>
        <v/>
      </c>
      <c r="M546" s="7" t="str">
        <f>IF(ISNA(MATCH(537,'Transfer Engine'!$C$2:$C$1199,0)),"",INDEX('Compliance Database'!$M$2:$M$1199,MATCH(537,'Transfer Engine'!$C$2:$C$1199,0)))</f>
        <v/>
      </c>
      <c r="N546" s="7" t="str">
        <f>IF(ISNA(MATCH(537,'Transfer Engine'!$C$2:$C$1199,0)),"",INDEX('Compliance Database'!$N$2:$N$1199,MATCH(537,'Transfer Engine'!$C$2:$C$1199,0)))</f>
        <v/>
      </c>
      <c r="O546" s="7" t="str">
        <f>IF(ISNA(MATCH(537,'Transfer Engine'!$C$2:$C$1199,0)),"",INDEX('Compliance Database'!$O$2:$O$1199,MATCH(537,'Transfer Engine'!$C$2:$C$1199,0)))</f>
        <v/>
      </c>
      <c r="P546" s="6" t="str">
        <f>IF(ISNA(MATCH(537,'Transfer Engine'!$C$2:$C$1199,0)),"",HYPERLINK("#Acts!A"&amp;INDEX('Compliance Database'!$P$2:$P$1199,MATCH(537,'Transfer Engine'!$C$2:$C$1199,0)),"Go to Act"))</f>
        <v/>
      </c>
    </row>
    <row r="547" spans="1:16" ht="172.95" customHeight="1" x14ac:dyDescent="0.3">
      <c r="A547" s="6" t="str">
        <f>IF(ISNA(MATCH(538,'Transfer Engine'!$C$2:$C$1199,0)),"",INDEX('Compliance Database'!$A$2:$A$1199,MATCH(538,'Transfer Engine'!$C$2:$C$1199,0)))</f>
        <v/>
      </c>
      <c r="B547" s="6" t="str">
        <f>IF(ISNA(MATCH(538,'Transfer Engine'!$C$2:$C$1199,0)),"",INDEX('Compliance Database'!$B$2:$B$1199,MATCH(538,'Transfer Engine'!$C$2:$C$1199,0)))</f>
        <v/>
      </c>
      <c r="C547" s="6" t="str">
        <f>IF(ISNA(MATCH(538,'Transfer Engine'!$C$2:$C$1199,0)),"",INDEX('Compliance Database'!$C$2:$C$1199,MATCH(538,'Transfer Engine'!$C$2:$C$1199,0)))</f>
        <v/>
      </c>
      <c r="D547" s="7" t="str">
        <f>IF(ISNA(MATCH(538,'Transfer Engine'!$C$2:$C$1199,0)),"",INDEX('Compliance Database'!$D$2:$D$1199,MATCH(538,'Transfer Engine'!$C$2:$C$1199,0)))</f>
        <v/>
      </c>
      <c r="E547" s="6" t="str">
        <f>IF(ISNA(MATCH(538,'Transfer Engine'!$C$2:$C$1199,0)),"",INDEX('Compliance Database'!$E$2:$E$1199,MATCH(538,'Transfer Engine'!$C$2:$C$1199,0)))</f>
        <v/>
      </c>
      <c r="F547" s="6" t="str">
        <f>IF(ISNA(MATCH(538,'Transfer Engine'!$C$2:$C$1199,0)),"",INDEX('Compliance Database'!$F$2:$F$1199,MATCH(538,'Transfer Engine'!$C$2:$C$1199,0)))</f>
        <v/>
      </c>
      <c r="G547" s="6" t="str">
        <f>IF(ISNA(MATCH(538,'Transfer Engine'!$C$2:$C$1199,0)),"",INDEX('Compliance Database'!$G$2:$G$1199,MATCH(538,'Transfer Engine'!$C$2:$C$1199,0)))</f>
        <v/>
      </c>
      <c r="H547" s="7" t="str">
        <f>IF(ISNA(MATCH(538,'Transfer Engine'!$C$2:$C$1199,0)),"",INDEX('Compliance Database'!$H$2:$H$1199,MATCH(538,'Transfer Engine'!$C$2:$C$1199,0)))</f>
        <v/>
      </c>
      <c r="I547" s="7" t="str">
        <f>IF(ISNA(MATCH(538,'Transfer Engine'!$C$2:$C$1199,0)),"",INDEX('Compliance Database'!$I$2:$I$1199,MATCH(538,'Transfer Engine'!$C$2:$C$1199,0)))</f>
        <v/>
      </c>
      <c r="J547" s="6" t="str">
        <f>IF(ISNA(MATCH(538,'Transfer Engine'!$C$2:$C$1199,0)),"",INDEX('Compliance Database'!$J$2:$J$1199,MATCH(538,'Transfer Engine'!$C$2:$C$1199,0)))</f>
        <v/>
      </c>
      <c r="K547" s="7" t="str">
        <f>IF(ISNA(MATCH(538,'Transfer Engine'!$C$2:$C$1199,0)),"",INDEX('Compliance Database'!$K$2:$K$1199,MATCH(538,'Transfer Engine'!$C$2:$C$1199,0)))</f>
        <v/>
      </c>
      <c r="L547" s="7" t="str">
        <f>IF(ISNA(MATCH(538,'Transfer Engine'!$C$2:$C$1199,0)),"",INDEX('Compliance Database'!$L$2:$L$1199,MATCH(538,'Transfer Engine'!$C$2:$C$1199,0)))</f>
        <v/>
      </c>
      <c r="M547" s="7" t="str">
        <f>IF(ISNA(MATCH(538,'Transfer Engine'!$C$2:$C$1199,0)),"",INDEX('Compliance Database'!$M$2:$M$1199,MATCH(538,'Transfer Engine'!$C$2:$C$1199,0)))</f>
        <v/>
      </c>
      <c r="N547" s="7" t="str">
        <f>IF(ISNA(MATCH(538,'Transfer Engine'!$C$2:$C$1199,0)),"",INDEX('Compliance Database'!$N$2:$N$1199,MATCH(538,'Transfer Engine'!$C$2:$C$1199,0)))</f>
        <v/>
      </c>
      <c r="O547" s="7" t="str">
        <f>IF(ISNA(MATCH(538,'Transfer Engine'!$C$2:$C$1199,0)),"",INDEX('Compliance Database'!$O$2:$O$1199,MATCH(538,'Transfer Engine'!$C$2:$C$1199,0)))</f>
        <v/>
      </c>
      <c r="P547" s="6" t="str">
        <f>IF(ISNA(MATCH(538,'Transfer Engine'!$C$2:$C$1199,0)),"",HYPERLINK("#Acts!A"&amp;INDEX('Compliance Database'!$P$2:$P$1199,MATCH(538,'Transfer Engine'!$C$2:$C$1199,0)),"Go to Act"))</f>
        <v/>
      </c>
    </row>
    <row r="548" spans="1:16" ht="172.95" customHeight="1" x14ac:dyDescent="0.3">
      <c r="A548" s="6" t="str">
        <f>IF(ISNA(MATCH(539,'Transfer Engine'!$C$2:$C$1199,0)),"",INDEX('Compliance Database'!$A$2:$A$1199,MATCH(539,'Transfer Engine'!$C$2:$C$1199,0)))</f>
        <v/>
      </c>
      <c r="B548" s="6" t="str">
        <f>IF(ISNA(MATCH(539,'Transfer Engine'!$C$2:$C$1199,0)),"",INDEX('Compliance Database'!$B$2:$B$1199,MATCH(539,'Transfer Engine'!$C$2:$C$1199,0)))</f>
        <v/>
      </c>
      <c r="C548" s="6" t="str">
        <f>IF(ISNA(MATCH(539,'Transfer Engine'!$C$2:$C$1199,0)),"",INDEX('Compliance Database'!$C$2:$C$1199,MATCH(539,'Transfer Engine'!$C$2:$C$1199,0)))</f>
        <v/>
      </c>
      <c r="D548" s="7" t="str">
        <f>IF(ISNA(MATCH(539,'Transfer Engine'!$C$2:$C$1199,0)),"",INDEX('Compliance Database'!$D$2:$D$1199,MATCH(539,'Transfer Engine'!$C$2:$C$1199,0)))</f>
        <v/>
      </c>
      <c r="E548" s="6" t="str">
        <f>IF(ISNA(MATCH(539,'Transfer Engine'!$C$2:$C$1199,0)),"",INDEX('Compliance Database'!$E$2:$E$1199,MATCH(539,'Transfer Engine'!$C$2:$C$1199,0)))</f>
        <v/>
      </c>
      <c r="F548" s="6" t="str">
        <f>IF(ISNA(MATCH(539,'Transfer Engine'!$C$2:$C$1199,0)),"",INDEX('Compliance Database'!$F$2:$F$1199,MATCH(539,'Transfer Engine'!$C$2:$C$1199,0)))</f>
        <v/>
      </c>
      <c r="G548" s="6" t="str">
        <f>IF(ISNA(MATCH(539,'Transfer Engine'!$C$2:$C$1199,0)),"",INDEX('Compliance Database'!$G$2:$G$1199,MATCH(539,'Transfer Engine'!$C$2:$C$1199,0)))</f>
        <v/>
      </c>
      <c r="H548" s="7" t="str">
        <f>IF(ISNA(MATCH(539,'Transfer Engine'!$C$2:$C$1199,0)),"",INDEX('Compliance Database'!$H$2:$H$1199,MATCH(539,'Transfer Engine'!$C$2:$C$1199,0)))</f>
        <v/>
      </c>
      <c r="I548" s="7" t="str">
        <f>IF(ISNA(MATCH(539,'Transfer Engine'!$C$2:$C$1199,0)),"",INDEX('Compliance Database'!$I$2:$I$1199,MATCH(539,'Transfer Engine'!$C$2:$C$1199,0)))</f>
        <v/>
      </c>
      <c r="J548" s="6" t="str">
        <f>IF(ISNA(MATCH(539,'Transfer Engine'!$C$2:$C$1199,0)),"",INDEX('Compliance Database'!$J$2:$J$1199,MATCH(539,'Transfer Engine'!$C$2:$C$1199,0)))</f>
        <v/>
      </c>
      <c r="K548" s="7" t="str">
        <f>IF(ISNA(MATCH(539,'Transfer Engine'!$C$2:$C$1199,0)),"",INDEX('Compliance Database'!$K$2:$K$1199,MATCH(539,'Transfer Engine'!$C$2:$C$1199,0)))</f>
        <v/>
      </c>
      <c r="L548" s="7" t="str">
        <f>IF(ISNA(MATCH(539,'Transfer Engine'!$C$2:$C$1199,0)),"",INDEX('Compliance Database'!$L$2:$L$1199,MATCH(539,'Transfer Engine'!$C$2:$C$1199,0)))</f>
        <v/>
      </c>
      <c r="M548" s="7" t="str">
        <f>IF(ISNA(MATCH(539,'Transfer Engine'!$C$2:$C$1199,0)),"",INDEX('Compliance Database'!$M$2:$M$1199,MATCH(539,'Transfer Engine'!$C$2:$C$1199,0)))</f>
        <v/>
      </c>
      <c r="N548" s="7" t="str">
        <f>IF(ISNA(MATCH(539,'Transfer Engine'!$C$2:$C$1199,0)),"",INDEX('Compliance Database'!$N$2:$N$1199,MATCH(539,'Transfer Engine'!$C$2:$C$1199,0)))</f>
        <v/>
      </c>
      <c r="O548" s="7" t="str">
        <f>IF(ISNA(MATCH(539,'Transfer Engine'!$C$2:$C$1199,0)),"",INDEX('Compliance Database'!$O$2:$O$1199,MATCH(539,'Transfer Engine'!$C$2:$C$1199,0)))</f>
        <v/>
      </c>
      <c r="P548" s="6" t="str">
        <f>IF(ISNA(MATCH(539,'Transfer Engine'!$C$2:$C$1199,0)),"",HYPERLINK("#Acts!A"&amp;INDEX('Compliance Database'!$P$2:$P$1199,MATCH(539,'Transfer Engine'!$C$2:$C$1199,0)),"Go to Act"))</f>
        <v/>
      </c>
    </row>
    <row r="549" spans="1:16" ht="172.95" customHeight="1" x14ac:dyDescent="0.3">
      <c r="A549" s="6" t="str">
        <f>IF(ISNA(MATCH(540,'Transfer Engine'!$C$2:$C$1199,0)),"",INDEX('Compliance Database'!$A$2:$A$1199,MATCH(540,'Transfer Engine'!$C$2:$C$1199,0)))</f>
        <v/>
      </c>
      <c r="B549" s="6" t="str">
        <f>IF(ISNA(MATCH(540,'Transfer Engine'!$C$2:$C$1199,0)),"",INDEX('Compliance Database'!$B$2:$B$1199,MATCH(540,'Transfer Engine'!$C$2:$C$1199,0)))</f>
        <v/>
      </c>
      <c r="C549" s="6" t="str">
        <f>IF(ISNA(MATCH(540,'Transfer Engine'!$C$2:$C$1199,0)),"",INDEX('Compliance Database'!$C$2:$C$1199,MATCH(540,'Transfer Engine'!$C$2:$C$1199,0)))</f>
        <v/>
      </c>
      <c r="D549" s="7" t="str">
        <f>IF(ISNA(MATCH(540,'Transfer Engine'!$C$2:$C$1199,0)),"",INDEX('Compliance Database'!$D$2:$D$1199,MATCH(540,'Transfer Engine'!$C$2:$C$1199,0)))</f>
        <v/>
      </c>
      <c r="E549" s="6" t="str">
        <f>IF(ISNA(MATCH(540,'Transfer Engine'!$C$2:$C$1199,0)),"",INDEX('Compliance Database'!$E$2:$E$1199,MATCH(540,'Transfer Engine'!$C$2:$C$1199,0)))</f>
        <v/>
      </c>
      <c r="F549" s="6" t="str">
        <f>IF(ISNA(MATCH(540,'Transfer Engine'!$C$2:$C$1199,0)),"",INDEX('Compliance Database'!$F$2:$F$1199,MATCH(540,'Transfer Engine'!$C$2:$C$1199,0)))</f>
        <v/>
      </c>
      <c r="G549" s="6" t="str">
        <f>IF(ISNA(MATCH(540,'Transfer Engine'!$C$2:$C$1199,0)),"",INDEX('Compliance Database'!$G$2:$G$1199,MATCH(540,'Transfer Engine'!$C$2:$C$1199,0)))</f>
        <v/>
      </c>
      <c r="H549" s="7" t="str">
        <f>IF(ISNA(MATCH(540,'Transfer Engine'!$C$2:$C$1199,0)),"",INDEX('Compliance Database'!$H$2:$H$1199,MATCH(540,'Transfer Engine'!$C$2:$C$1199,0)))</f>
        <v/>
      </c>
      <c r="I549" s="7" t="str">
        <f>IF(ISNA(MATCH(540,'Transfer Engine'!$C$2:$C$1199,0)),"",INDEX('Compliance Database'!$I$2:$I$1199,MATCH(540,'Transfer Engine'!$C$2:$C$1199,0)))</f>
        <v/>
      </c>
      <c r="J549" s="6" t="str">
        <f>IF(ISNA(MATCH(540,'Transfer Engine'!$C$2:$C$1199,0)),"",INDEX('Compliance Database'!$J$2:$J$1199,MATCH(540,'Transfer Engine'!$C$2:$C$1199,0)))</f>
        <v/>
      </c>
      <c r="K549" s="7" t="str">
        <f>IF(ISNA(MATCH(540,'Transfer Engine'!$C$2:$C$1199,0)),"",INDEX('Compliance Database'!$K$2:$K$1199,MATCH(540,'Transfer Engine'!$C$2:$C$1199,0)))</f>
        <v/>
      </c>
      <c r="L549" s="7" t="str">
        <f>IF(ISNA(MATCH(540,'Transfer Engine'!$C$2:$C$1199,0)),"",INDEX('Compliance Database'!$L$2:$L$1199,MATCH(540,'Transfer Engine'!$C$2:$C$1199,0)))</f>
        <v/>
      </c>
      <c r="M549" s="7" t="str">
        <f>IF(ISNA(MATCH(540,'Transfer Engine'!$C$2:$C$1199,0)),"",INDEX('Compliance Database'!$M$2:$M$1199,MATCH(540,'Transfer Engine'!$C$2:$C$1199,0)))</f>
        <v/>
      </c>
      <c r="N549" s="7" t="str">
        <f>IF(ISNA(MATCH(540,'Transfer Engine'!$C$2:$C$1199,0)),"",INDEX('Compliance Database'!$N$2:$N$1199,MATCH(540,'Transfer Engine'!$C$2:$C$1199,0)))</f>
        <v/>
      </c>
      <c r="O549" s="7" t="str">
        <f>IF(ISNA(MATCH(540,'Transfer Engine'!$C$2:$C$1199,0)),"",INDEX('Compliance Database'!$O$2:$O$1199,MATCH(540,'Transfer Engine'!$C$2:$C$1199,0)))</f>
        <v/>
      </c>
      <c r="P549" s="6" t="str">
        <f>IF(ISNA(MATCH(540,'Transfer Engine'!$C$2:$C$1199,0)),"",HYPERLINK("#Acts!A"&amp;INDEX('Compliance Database'!$P$2:$P$1199,MATCH(540,'Transfer Engine'!$C$2:$C$1199,0)),"Go to Act"))</f>
        <v/>
      </c>
    </row>
    <row r="550" spans="1:16" ht="172.95" customHeight="1" x14ac:dyDescent="0.3">
      <c r="A550" s="6" t="str">
        <f>IF(ISNA(MATCH(541,'Transfer Engine'!$C$2:$C$1199,0)),"",INDEX('Compliance Database'!$A$2:$A$1199,MATCH(541,'Transfer Engine'!$C$2:$C$1199,0)))</f>
        <v/>
      </c>
      <c r="B550" s="6" t="str">
        <f>IF(ISNA(MATCH(541,'Transfer Engine'!$C$2:$C$1199,0)),"",INDEX('Compliance Database'!$B$2:$B$1199,MATCH(541,'Transfer Engine'!$C$2:$C$1199,0)))</f>
        <v/>
      </c>
      <c r="C550" s="6" t="str">
        <f>IF(ISNA(MATCH(541,'Transfer Engine'!$C$2:$C$1199,0)),"",INDEX('Compliance Database'!$C$2:$C$1199,MATCH(541,'Transfer Engine'!$C$2:$C$1199,0)))</f>
        <v/>
      </c>
      <c r="D550" s="7" t="str">
        <f>IF(ISNA(MATCH(541,'Transfer Engine'!$C$2:$C$1199,0)),"",INDEX('Compliance Database'!$D$2:$D$1199,MATCH(541,'Transfer Engine'!$C$2:$C$1199,0)))</f>
        <v/>
      </c>
      <c r="E550" s="6" t="str">
        <f>IF(ISNA(MATCH(541,'Transfer Engine'!$C$2:$C$1199,0)),"",INDEX('Compliance Database'!$E$2:$E$1199,MATCH(541,'Transfer Engine'!$C$2:$C$1199,0)))</f>
        <v/>
      </c>
      <c r="F550" s="6" t="str">
        <f>IF(ISNA(MATCH(541,'Transfer Engine'!$C$2:$C$1199,0)),"",INDEX('Compliance Database'!$F$2:$F$1199,MATCH(541,'Transfer Engine'!$C$2:$C$1199,0)))</f>
        <v/>
      </c>
      <c r="G550" s="6" t="str">
        <f>IF(ISNA(MATCH(541,'Transfer Engine'!$C$2:$C$1199,0)),"",INDEX('Compliance Database'!$G$2:$G$1199,MATCH(541,'Transfer Engine'!$C$2:$C$1199,0)))</f>
        <v/>
      </c>
      <c r="H550" s="7" t="str">
        <f>IF(ISNA(MATCH(541,'Transfer Engine'!$C$2:$C$1199,0)),"",INDEX('Compliance Database'!$H$2:$H$1199,MATCH(541,'Transfer Engine'!$C$2:$C$1199,0)))</f>
        <v/>
      </c>
      <c r="I550" s="7" t="str">
        <f>IF(ISNA(MATCH(541,'Transfer Engine'!$C$2:$C$1199,0)),"",INDEX('Compliance Database'!$I$2:$I$1199,MATCH(541,'Transfer Engine'!$C$2:$C$1199,0)))</f>
        <v/>
      </c>
      <c r="J550" s="6" t="str">
        <f>IF(ISNA(MATCH(541,'Transfer Engine'!$C$2:$C$1199,0)),"",INDEX('Compliance Database'!$J$2:$J$1199,MATCH(541,'Transfer Engine'!$C$2:$C$1199,0)))</f>
        <v/>
      </c>
      <c r="K550" s="7" t="str">
        <f>IF(ISNA(MATCH(541,'Transfer Engine'!$C$2:$C$1199,0)),"",INDEX('Compliance Database'!$K$2:$K$1199,MATCH(541,'Transfer Engine'!$C$2:$C$1199,0)))</f>
        <v/>
      </c>
      <c r="L550" s="7" t="str">
        <f>IF(ISNA(MATCH(541,'Transfer Engine'!$C$2:$C$1199,0)),"",INDEX('Compliance Database'!$L$2:$L$1199,MATCH(541,'Transfer Engine'!$C$2:$C$1199,0)))</f>
        <v/>
      </c>
      <c r="M550" s="7" t="str">
        <f>IF(ISNA(MATCH(541,'Transfer Engine'!$C$2:$C$1199,0)),"",INDEX('Compliance Database'!$M$2:$M$1199,MATCH(541,'Transfer Engine'!$C$2:$C$1199,0)))</f>
        <v/>
      </c>
      <c r="N550" s="7" t="str">
        <f>IF(ISNA(MATCH(541,'Transfer Engine'!$C$2:$C$1199,0)),"",INDEX('Compliance Database'!$N$2:$N$1199,MATCH(541,'Transfer Engine'!$C$2:$C$1199,0)))</f>
        <v/>
      </c>
      <c r="O550" s="7" t="str">
        <f>IF(ISNA(MATCH(541,'Transfer Engine'!$C$2:$C$1199,0)),"",INDEX('Compliance Database'!$O$2:$O$1199,MATCH(541,'Transfer Engine'!$C$2:$C$1199,0)))</f>
        <v/>
      </c>
      <c r="P550" s="6" t="str">
        <f>IF(ISNA(MATCH(541,'Transfer Engine'!$C$2:$C$1199,0)),"",HYPERLINK("#Acts!A"&amp;INDEX('Compliance Database'!$P$2:$P$1199,MATCH(541,'Transfer Engine'!$C$2:$C$1199,0)),"Go to Act"))</f>
        <v/>
      </c>
    </row>
    <row r="551" spans="1:16" ht="172.95" customHeight="1" x14ac:dyDescent="0.3">
      <c r="A551" s="6" t="str">
        <f>IF(ISNA(MATCH(542,'Transfer Engine'!$C$2:$C$1199,0)),"",INDEX('Compliance Database'!$A$2:$A$1199,MATCH(542,'Transfer Engine'!$C$2:$C$1199,0)))</f>
        <v/>
      </c>
      <c r="B551" s="6" t="str">
        <f>IF(ISNA(MATCH(542,'Transfer Engine'!$C$2:$C$1199,0)),"",INDEX('Compliance Database'!$B$2:$B$1199,MATCH(542,'Transfer Engine'!$C$2:$C$1199,0)))</f>
        <v/>
      </c>
      <c r="C551" s="6" t="str">
        <f>IF(ISNA(MATCH(542,'Transfer Engine'!$C$2:$C$1199,0)),"",INDEX('Compliance Database'!$C$2:$C$1199,MATCH(542,'Transfer Engine'!$C$2:$C$1199,0)))</f>
        <v/>
      </c>
      <c r="D551" s="7" t="str">
        <f>IF(ISNA(MATCH(542,'Transfer Engine'!$C$2:$C$1199,0)),"",INDEX('Compliance Database'!$D$2:$D$1199,MATCH(542,'Transfer Engine'!$C$2:$C$1199,0)))</f>
        <v/>
      </c>
      <c r="E551" s="6" t="str">
        <f>IF(ISNA(MATCH(542,'Transfer Engine'!$C$2:$C$1199,0)),"",INDEX('Compliance Database'!$E$2:$E$1199,MATCH(542,'Transfer Engine'!$C$2:$C$1199,0)))</f>
        <v/>
      </c>
      <c r="F551" s="6" t="str">
        <f>IF(ISNA(MATCH(542,'Transfer Engine'!$C$2:$C$1199,0)),"",INDEX('Compliance Database'!$F$2:$F$1199,MATCH(542,'Transfer Engine'!$C$2:$C$1199,0)))</f>
        <v/>
      </c>
      <c r="G551" s="6" t="str">
        <f>IF(ISNA(MATCH(542,'Transfer Engine'!$C$2:$C$1199,0)),"",INDEX('Compliance Database'!$G$2:$G$1199,MATCH(542,'Transfer Engine'!$C$2:$C$1199,0)))</f>
        <v/>
      </c>
      <c r="H551" s="7" t="str">
        <f>IF(ISNA(MATCH(542,'Transfer Engine'!$C$2:$C$1199,0)),"",INDEX('Compliance Database'!$H$2:$H$1199,MATCH(542,'Transfer Engine'!$C$2:$C$1199,0)))</f>
        <v/>
      </c>
      <c r="I551" s="7" t="str">
        <f>IF(ISNA(MATCH(542,'Transfer Engine'!$C$2:$C$1199,0)),"",INDEX('Compliance Database'!$I$2:$I$1199,MATCH(542,'Transfer Engine'!$C$2:$C$1199,0)))</f>
        <v/>
      </c>
      <c r="J551" s="6" t="str">
        <f>IF(ISNA(MATCH(542,'Transfer Engine'!$C$2:$C$1199,0)),"",INDEX('Compliance Database'!$J$2:$J$1199,MATCH(542,'Transfer Engine'!$C$2:$C$1199,0)))</f>
        <v/>
      </c>
      <c r="K551" s="7" t="str">
        <f>IF(ISNA(MATCH(542,'Transfer Engine'!$C$2:$C$1199,0)),"",INDEX('Compliance Database'!$K$2:$K$1199,MATCH(542,'Transfer Engine'!$C$2:$C$1199,0)))</f>
        <v/>
      </c>
      <c r="L551" s="7" t="str">
        <f>IF(ISNA(MATCH(542,'Transfer Engine'!$C$2:$C$1199,0)),"",INDEX('Compliance Database'!$L$2:$L$1199,MATCH(542,'Transfer Engine'!$C$2:$C$1199,0)))</f>
        <v/>
      </c>
      <c r="M551" s="7" t="str">
        <f>IF(ISNA(MATCH(542,'Transfer Engine'!$C$2:$C$1199,0)),"",INDEX('Compliance Database'!$M$2:$M$1199,MATCH(542,'Transfer Engine'!$C$2:$C$1199,0)))</f>
        <v/>
      </c>
      <c r="N551" s="7" t="str">
        <f>IF(ISNA(MATCH(542,'Transfer Engine'!$C$2:$C$1199,0)),"",INDEX('Compliance Database'!$N$2:$N$1199,MATCH(542,'Transfer Engine'!$C$2:$C$1199,0)))</f>
        <v/>
      </c>
      <c r="O551" s="7" t="str">
        <f>IF(ISNA(MATCH(542,'Transfer Engine'!$C$2:$C$1199,0)),"",INDEX('Compliance Database'!$O$2:$O$1199,MATCH(542,'Transfer Engine'!$C$2:$C$1199,0)))</f>
        <v/>
      </c>
      <c r="P551" s="6" t="str">
        <f>IF(ISNA(MATCH(542,'Transfer Engine'!$C$2:$C$1199,0)),"",HYPERLINK("#Acts!A"&amp;INDEX('Compliance Database'!$P$2:$P$1199,MATCH(542,'Transfer Engine'!$C$2:$C$1199,0)),"Go to Act"))</f>
        <v/>
      </c>
    </row>
    <row r="552" spans="1:16" ht="172.95" customHeight="1" x14ac:dyDescent="0.3">
      <c r="A552" s="6" t="str">
        <f>IF(ISNA(MATCH(543,'Transfer Engine'!$C$2:$C$1199,0)),"",INDEX('Compliance Database'!$A$2:$A$1199,MATCH(543,'Transfer Engine'!$C$2:$C$1199,0)))</f>
        <v/>
      </c>
      <c r="B552" s="6" t="str">
        <f>IF(ISNA(MATCH(543,'Transfer Engine'!$C$2:$C$1199,0)),"",INDEX('Compliance Database'!$B$2:$B$1199,MATCH(543,'Transfer Engine'!$C$2:$C$1199,0)))</f>
        <v/>
      </c>
      <c r="C552" s="6" t="str">
        <f>IF(ISNA(MATCH(543,'Transfer Engine'!$C$2:$C$1199,0)),"",INDEX('Compliance Database'!$C$2:$C$1199,MATCH(543,'Transfer Engine'!$C$2:$C$1199,0)))</f>
        <v/>
      </c>
      <c r="D552" s="7" t="str">
        <f>IF(ISNA(MATCH(543,'Transfer Engine'!$C$2:$C$1199,0)),"",INDEX('Compliance Database'!$D$2:$D$1199,MATCH(543,'Transfer Engine'!$C$2:$C$1199,0)))</f>
        <v/>
      </c>
      <c r="E552" s="6" t="str">
        <f>IF(ISNA(MATCH(543,'Transfer Engine'!$C$2:$C$1199,0)),"",INDEX('Compliance Database'!$E$2:$E$1199,MATCH(543,'Transfer Engine'!$C$2:$C$1199,0)))</f>
        <v/>
      </c>
      <c r="F552" s="6" t="str">
        <f>IF(ISNA(MATCH(543,'Transfer Engine'!$C$2:$C$1199,0)),"",INDEX('Compliance Database'!$F$2:$F$1199,MATCH(543,'Transfer Engine'!$C$2:$C$1199,0)))</f>
        <v/>
      </c>
      <c r="G552" s="6" t="str">
        <f>IF(ISNA(MATCH(543,'Transfer Engine'!$C$2:$C$1199,0)),"",INDEX('Compliance Database'!$G$2:$G$1199,MATCH(543,'Transfer Engine'!$C$2:$C$1199,0)))</f>
        <v/>
      </c>
      <c r="H552" s="7" t="str">
        <f>IF(ISNA(MATCH(543,'Transfer Engine'!$C$2:$C$1199,0)),"",INDEX('Compliance Database'!$H$2:$H$1199,MATCH(543,'Transfer Engine'!$C$2:$C$1199,0)))</f>
        <v/>
      </c>
      <c r="I552" s="7" t="str">
        <f>IF(ISNA(MATCH(543,'Transfer Engine'!$C$2:$C$1199,0)),"",INDEX('Compliance Database'!$I$2:$I$1199,MATCH(543,'Transfer Engine'!$C$2:$C$1199,0)))</f>
        <v/>
      </c>
      <c r="J552" s="6" t="str">
        <f>IF(ISNA(MATCH(543,'Transfer Engine'!$C$2:$C$1199,0)),"",INDEX('Compliance Database'!$J$2:$J$1199,MATCH(543,'Transfer Engine'!$C$2:$C$1199,0)))</f>
        <v/>
      </c>
      <c r="K552" s="7" t="str">
        <f>IF(ISNA(MATCH(543,'Transfer Engine'!$C$2:$C$1199,0)),"",INDEX('Compliance Database'!$K$2:$K$1199,MATCH(543,'Transfer Engine'!$C$2:$C$1199,0)))</f>
        <v/>
      </c>
      <c r="L552" s="7" t="str">
        <f>IF(ISNA(MATCH(543,'Transfer Engine'!$C$2:$C$1199,0)),"",INDEX('Compliance Database'!$L$2:$L$1199,MATCH(543,'Transfer Engine'!$C$2:$C$1199,0)))</f>
        <v/>
      </c>
      <c r="M552" s="7" t="str">
        <f>IF(ISNA(MATCH(543,'Transfer Engine'!$C$2:$C$1199,0)),"",INDEX('Compliance Database'!$M$2:$M$1199,MATCH(543,'Transfer Engine'!$C$2:$C$1199,0)))</f>
        <v/>
      </c>
      <c r="N552" s="7" t="str">
        <f>IF(ISNA(MATCH(543,'Transfer Engine'!$C$2:$C$1199,0)),"",INDEX('Compliance Database'!$N$2:$N$1199,MATCH(543,'Transfer Engine'!$C$2:$C$1199,0)))</f>
        <v/>
      </c>
      <c r="O552" s="7" t="str">
        <f>IF(ISNA(MATCH(543,'Transfer Engine'!$C$2:$C$1199,0)),"",INDEX('Compliance Database'!$O$2:$O$1199,MATCH(543,'Transfer Engine'!$C$2:$C$1199,0)))</f>
        <v/>
      </c>
      <c r="P552" s="6" t="str">
        <f>IF(ISNA(MATCH(543,'Transfer Engine'!$C$2:$C$1199,0)),"",HYPERLINK("#Acts!A"&amp;INDEX('Compliance Database'!$P$2:$P$1199,MATCH(543,'Transfer Engine'!$C$2:$C$1199,0)),"Go to Act"))</f>
        <v/>
      </c>
    </row>
    <row r="553" spans="1:16" ht="172.95" customHeight="1" x14ac:dyDescent="0.3">
      <c r="A553" s="6" t="str">
        <f>IF(ISNA(MATCH(544,'Transfer Engine'!$C$2:$C$1199,0)),"",INDEX('Compliance Database'!$A$2:$A$1199,MATCH(544,'Transfer Engine'!$C$2:$C$1199,0)))</f>
        <v/>
      </c>
      <c r="B553" s="6" t="str">
        <f>IF(ISNA(MATCH(544,'Transfer Engine'!$C$2:$C$1199,0)),"",INDEX('Compliance Database'!$B$2:$B$1199,MATCH(544,'Transfer Engine'!$C$2:$C$1199,0)))</f>
        <v/>
      </c>
      <c r="C553" s="6" t="str">
        <f>IF(ISNA(MATCH(544,'Transfer Engine'!$C$2:$C$1199,0)),"",INDEX('Compliance Database'!$C$2:$C$1199,MATCH(544,'Transfer Engine'!$C$2:$C$1199,0)))</f>
        <v/>
      </c>
      <c r="D553" s="7" t="str">
        <f>IF(ISNA(MATCH(544,'Transfer Engine'!$C$2:$C$1199,0)),"",INDEX('Compliance Database'!$D$2:$D$1199,MATCH(544,'Transfer Engine'!$C$2:$C$1199,0)))</f>
        <v/>
      </c>
      <c r="E553" s="6" t="str">
        <f>IF(ISNA(MATCH(544,'Transfer Engine'!$C$2:$C$1199,0)),"",INDEX('Compliance Database'!$E$2:$E$1199,MATCH(544,'Transfer Engine'!$C$2:$C$1199,0)))</f>
        <v/>
      </c>
      <c r="F553" s="6" t="str">
        <f>IF(ISNA(MATCH(544,'Transfer Engine'!$C$2:$C$1199,0)),"",INDEX('Compliance Database'!$F$2:$F$1199,MATCH(544,'Transfer Engine'!$C$2:$C$1199,0)))</f>
        <v/>
      </c>
      <c r="G553" s="6" t="str">
        <f>IF(ISNA(MATCH(544,'Transfer Engine'!$C$2:$C$1199,0)),"",INDEX('Compliance Database'!$G$2:$G$1199,MATCH(544,'Transfer Engine'!$C$2:$C$1199,0)))</f>
        <v/>
      </c>
      <c r="H553" s="7" t="str">
        <f>IF(ISNA(MATCH(544,'Transfer Engine'!$C$2:$C$1199,0)),"",INDEX('Compliance Database'!$H$2:$H$1199,MATCH(544,'Transfer Engine'!$C$2:$C$1199,0)))</f>
        <v/>
      </c>
      <c r="I553" s="7" t="str">
        <f>IF(ISNA(MATCH(544,'Transfer Engine'!$C$2:$C$1199,0)),"",INDEX('Compliance Database'!$I$2:$I$1199,MATCH(544,'Transfer Engine'!$C$2:$C$1199,0)))</f>
        <v/>
      </c>
      <c r="J553" s="6" t="str">
        <f>IF(ISNA(MATCH(544,'Transfer Engine'!$C$2:$C$1199,0)),"",INDEX('Compliance Database'!$J$2:$J$1199,MATCH(544,'Transfer Engine'!$C$2:$C$1199,0)))</f>
        <v/>
      </c>
      <c r="K553" s="7" t="str">
        <f>IF(ISNA(MATCH(544,'Transfer Engine'!$C$2:$C$1199,0)),"",INDEX('Compliance Database'!$K$2:$K$1199,MATCH(544,'Transfer Engine'!$C$2:$C$1199,0)))</f>
        <v/>
      </c>
      <c r="L553" s="7" t="str">
        <f>IF(ISNA(MATCH(544,'Transfer Engine'!$C$2:$C$1199,0)),"",INDEX('Compliance Database'!$L$2:$L$1199,MATCH(544,'Transfer Engine'!$C$2:$C$1199,0)))</f>
        <v/>
      </c>
      <c r="M553" s="7" t="str">
        <f>IF(ISNA(MATCH(544,'Transfer Engine'!$C$2:$C$1199,0)),"",INDEX('Compliance Database'!$M$2:$M$1199,MATCH(544,'Transfer Engine'!$C$2:$C$1199,0)))</f>
        <v/>
      </c>
      <c r="N553" s="7" t="str">
        <f>IF(ISNA(MATCH(544,'Transfer Engine'!$C$2:$C$1199,0)),"",INDEX('Compliance Database'!$N$2:$N$1199,MATCH(544,'Transfer Engine'!$C$2:$C$1199,0)))</f>
        <v/>
      </c>
      <c r="O553" s="7" t="str">
        <f>IF(ISNA(MATCH(544,'Transfer Engine'!$C$2:$C$1199,0)),"",INDEX('Compliance Database'!$O$2:$O$1199,MATCH(544,'Transfer Engine'!$C$2:$C$1199,0)))</f>
        <v/>
      </c>
      <c r="P553" s="6" t="str">
        <f>IF(ISNA(MATCH(544,'Transfer Engine'!$C$2:$C$1199,0)),"",HYPERLINK("#Acts!A"&amp;INDEX('Compliance Database'!$P$2:$P$1199,MATCH(544,'Transfer Engine'!$C$2:$C$1199,0)),"Go to Act"))</f>
        <v/>
      </c>
    </row>
    <row r="554" spans="1:16" ht="172.95" customHeight="1" x14ac:dyDescent="0.3">
      <c r="A554" s="6" t="str">
        <f>IF(ISNA(MATCH(545,'Transfer Engine'!$C$2:$C$1199,0)),"",INDEX('Compliance Database'!$A$2:$A$1199,MATCH(545,'Transfer Engine'!$C$2:$C$1199,0)))</f>
        <v/>
      </c>
      <c r="B554" s="6" t="str">
        <f>IF(ISNA(MATCH(545,'Transfer Engine'!$C$2:$C$1199,0)),"",INDEX('Compliance Database'!$B$2:$B$1199,MATCH(545,'Transfer Engine'!$C$2:$C$1199,0)))</f>
        <v/>
      </c>
      <c r="C554" s="6" t="str">
        <f>IF(ISNA(MATCH(545,'Transfer Engine'!$C$2:$C$1199,0)),"",INDEX('Compliance Database'!$C$2:$C$1199,MATCH(545,'Transfer Engine'!$C$2:$C$1199,0)))</f>
        <v/>
      </c>
      <c r="D554" s="7" t="str">
        <f>IF(ISNA(MATCH(545,'Transfer Engine'!$C$2:$C$1199,0)),"",INDEX('Compliance Database'!$D$2:$D$1199,MATCH(545,'Transfer Engine'!$C$2:$C$1199,0)))</f>
        <v/>
      </c>
      <c r="E554" s="6" t="str">
        <f>IF(ISNA(MATCH(545,'Transfer Engine'!$C$2:$C$1199,0)),"",INDEX('Compliance Database'!$E$2:$E$1199,MATCH(545,'Transfer Engine'!$C$2:$C$1199,0)))</f>
        <v/>
      </c>
      <c r="F554" s="6" t="str">
        <f>IF(ISNA(MATCH(545,'Transfer Engine'!$C$2:$C$1199,0)),"",INDEX('Compliance Database'!$F$2:$F$1199,MATCH(545,'Transfer Engine'!$C$2:$C$1199,0)))</f>
        <v/>
      </c>
      <c r="G554" s="6" t="str">
        <f>IF(ISNA(MATCH(545,'Transfer Engine'!$C$2:$C$1199,0)),"",INDEX('Compliance Database'!$G$2:$G$1199,MATCH(545,'Transfer Engine'!$C$2:$C$1199,0)))</f>
        <v/>
      </c>
      <c r="H554" s="7" t="str">
        <f>IF(ISNA(MATCH(545,'Transfer Engine'!$C$2:$C$1199,0)),"",INDEX('Compliance Database'!$H$2:$H$1199,MATCH(545,'Transfer Engine'!$C$2:$C$1199,0)))</f>
        <v/>
      </c>
      <c r="I554" s="7" t="str">
        <f>IF(ISNA(MATCH(545,'Transfer Engine'!$C$2:$C$1199,0)),"",INDEX('Compliance Database'!$I$2:$I$1199,MATCH(545,'Transfer Engine'!$C$2:$C$1199,0)))</f>
        <v/>
      </c>
      <c r="J554" s="6" t="str">
        <f>IF(ISNA(MATCH(545,'Transfer Engine'!$C$2:$C$1199,0)),"",INDEX('Compliance Database'!$J$2:$J$1199,MATCH(545,'Transfer Engine'!$C$2:$C$1199,0)))</f>
        <v/>
      </c>
      <c r="K554" s="7" t="str">
        <f>IF(ISNA(MATCH(545,'Transfer Engine'!$C$2:$C$1199,0)),"",INDEX('Compliance Database'!$K$2:$K$1199,MATCH(545,'Transfer Engine'!$C$2:$C$1199,0)))</f>
        <v/>
      </c>
      <c r="L554" s="7" t="str">
        <f>IF(ISNA(MATCH(545,'Transfer Engine'!$C$2:$C$1199,0)),"",INDEX('Compliance Database'!$L$2:$L$1199,MATCH(545,'Transfer Engine'!$C$2:$C$1199,0)))</f>
        <v/>
      </c>
      <c r="M554" s="7" t="str">
        <f>IF(ISNA(MATCH(545,'Transfer Engine'!$C$2:$C$1199,0)),"",INDEX('Compliance Database'!$M$2:$M$1199,MATCH(545,'Transfer Engine'!$C$2:$C$1199,0)))</f>
        <v/>
      </c>
      <c r="N554" s="7" t="str">
        <f>IF(ISNA(MATCH(545,'Transfer Engine'!$C$2:$C$1199,0)),"",INDEX('Compliance Database'!$N$2:$N$1199,MATCH(545,'Transfer Engine'!$C$2:$C$1199,0)))</f>
        <v/>
      </c>
      <c r="O554" s="7" t="str">
        <f>IF(ISNA(MATCH(545,'Transfer Engine'!$C$2:$C$1199,0)),"",INDEX('Compliance Database'!$O$2:$O$1199,MATCH(545,'Transfer Engine'!$C$2:$C$1199,0)))</f>
        <v/>
      </c>
      <c r="P554" s="6" t="str">
        <f>IF(ISNA(MATCH(545,'Transfer Engine'!$C$2:$C$1199,0)),"",HYPERLINK("#Acts!A"&amp;INDEX('Compliance Database'!$P$2:$P$1199,MATCH(545,'Transfer Engine'!$C$2:$C$1199,0)),"Go to Act"))</f>
        <v/>
      </c>
    </row>
    <row r="555" spans="1:16" ht="172.95" customHeight="1" x14ac:dyDescent="0.3">
      <c r="A555" s="6" t="str">
        <f>IF(ISNA(MATCH(546,'Transfer Engine'!$C$2:$C$1199,0)),"",INDEX('Compliance Database'!$A$2:$A$1199,MATCH(546,'Transfer Engine'!$C$2:$C$1199,0)))</f>
        <v/>
      </c>
      <c r="B555" s="6" t="str">
        <f>IF(ISNA(MATCH(546,'Transfer Engine'!$C$2:$C$1199,0)),"",INDEX('Compliance Database'!$B$2:$B$1199,MATCH(546,'Transfer Engine'!$C$2:$C$1199,0)))</f>
        <v/>
      </c>
      <c r="C555" s="6" t="str">
        <f>IF(ISNA(MATCH(546,'Transfer Engine'!$C$2:$C$1199,0)),"",INDEX('Compliance Database'!$C$2:$C$1199,MATCH(546,'Transfer Engine'!$C$2:$C$1199,0)))</f>
        <v/>
      </c>
      <c r="D555" s="7" t="str">
        <f>IF(ISNA(MATCH(546,'Transfer Engine'!$C$2:$C$1199,0)),"",INDEX('Compliance Database'!$D$2:$D$1199,MATCH(546,'Transfer Engine'!$C$2:$C$1199,0)))</f>
        <v/>
      </c>
      <c r="E555" s="6" t="str">
        <f>IF(ISNA(MATCH(546,'Transfer Engine'!$C$2:$C$1199,0)),"",INDEX('Compliance Database'!$E$2:$E$1199,MATCH(546,'Transfer Engine'!$C$2:$C$1199,0)))</f>
        <v/>
      </c>
      <c r="F555" s="6" t="str">
        <f>IF(ISNA(MATCH(546,'Transfer Engine'!$C$2:$C$1199,0)),"",INDEX('Compliance Database'!$F$2:$F$1199,MATCH(546,'Transfer Engine'!$C$2:$C$1199,0)))</f>
        <v/>
      </c>
      <c r="G555" s="6" t="str">
        <f>IF(ISNA(MATCH(546,'Transfer Engine'!$C$2:$C$1199,0)),"",INDEX('Compliance Database'!$G$2:$G$1199,MATCH(546,'Transfer Engine'!$C$2:$C$1199,0)))</f>
        <v/>
      </c>
      <c r="H555" s="7" t="str">
        <f>IF(ISNA(MATCH(546,'Transfer Engine'!$C$2:$C$1199,0)),"",INDEX('Compliance Database'!$H$2:$H$1199,MATCH(546,'Transfer Engine'!$C$2:$C$1199,0)))</f>
        <v/>
      </c>
      <c r="I555" s="7" t="str">
        <f>IF(ISNA(MATCH(546,'Transfer Engine'!$C$2:$C$1199,0)),"",INDEX('Compliance Database'!$I$2:$I$1199,MATCH(546,'Transfer Engine'!$C$2:$C$1199,0)))</f>
        <v/>
      </c>
      <c r="J555" s="6" t="str">
        <f>IF(ISNA(MATCH(546,'Transfer Engine'!$C$2:$C$1199,0)),"",INDEX('Compliance Database'!$J$2:$J$1199,MATCH(546,'Transfer Engine'!$C$2:$C$1199,0)))</f>
        <v/>
      </c>
      <c r="K555" s="7" t="str">
        <f>IF(ISNA(MATCH(546,'Transfer Engine'!$C$2:$C$1199,0)),"",INDEX('Compliance Database'!$K$2:$K$1199,MATCH(546,'Transfer Engine'!$C$2:$C$1199,0)))</f>
        <v/>
      </c>
      <c r="L555" s="7" t="str">
        <f>IF(ISNA(MATCH(546,'Transfer Engine'!$C$2:$C$1199,0)),"",INDEX('Compliance Database'!$L$2:$L$1199,MATCH(546,'Transfer Engine'!$C$2:$C$1199,0)))</f>
        <v/>
      </c>
      <c r="M555" s="7" t="str">
        <f>IF(ISNA(MATCH(546,'Transfer Engine'!$C$2:$C$1199,0)),"",INDEX('Compliance Database'!$M$2:$M$1199,MATCH(546,'Transfer Engine'!$C$2:$C$1199,0)))</f>
        <v/>
      </c>
      <c r="N555" s="7" t="str">
        <f>IF(ISNA(MATCH(546,'Transfer Engine'!$C$2:$C$1199,0)),"",INDEX('Compliance Database'!$N$2:$N$1199,MATCH(546,'Transfer Engine'!$C$2:$C$1199,0)))</f>
        <v/>
      </c>
      <c r="O555" s="7" t="str">
        <f>IF(ISNA(MATCH(546,'Transfer Engine'!$C$2:$C$1199,0)),"",INDEX('Compliance Database'!$O$2:$O$1199,MATCH(546,'Transfer Engine'!$C$2:$C$1199,0)))</f>
        <v/>
      </c>
      <c r="P555" s="6" t="str">
        <f>IF(ISNA(MATCH(546,'Transfer Engine'!$C$2:$C$1199,0)),"",HYPERLINK("#Acts!A"&amp;INDEX('Compliance Database'!$P$2:$P$1199,MATCH(546,'Transfer Engine'!$C$2:$C$1199,0)),"Go to Act"))</f>
        <v/>
      </c>
    </row>
    <row r="556" spans="1:16" ht="172.95" customHeight="1" x14ac:dyDescent="0.3">
      <c r="A556" s="6" t="str">
        <f>IF(ISNA(MATCH(547,'Transfer Engine'!$C$2:$C$1199,0)),"",INDEX('Compliance Database'!$A$2:$A$1199,MATCH(547,'Transfer Engine'!$C$2:$C$1199,0)))</f>
        <v/>
      </c>
      <c r="B556" s="6" t="str">
        <f>IF(ISNA(MATCH(547,'Transfer Engine'!$C$2:$C$1199,0)),"",INDEX('Compliance Database'!$B$2:$B$1199,MATCH(547,'Transfer Engine'!$C$2:$C$1199,0)))</f>
        <v/>
      </c>
      <c r="C556" s="6" t="str">
        <f>IF(ISNA(MATCH(547,'Transfer Engine'!$C$2:$C$1199,0)),"",INDEX('Compliance Database'!$C$2:$C$1199,MATCH(547,'Transfer Engine'!$C$2:$C$1199,0)))</f>
        <v/>
      </c>
      <c r="D556" s="7" t="str">
        <f>IF(ISNA(MATCH(547,'Transfer Engine'!$C$2:$C$1199,0)),"",INDEX('Compliance Database'!$D$2:$D$1199,MATCH(547,'Transfer Engine'!$C$2:$C$1199,0)))</f>
        <v/>
      </c>
      <c r="E556" s="6" t="str">
        <f>IF(ISNA(MATCH(547,'Transfer Engine'!$C$2:$C$1199,0)),"",INDEX('Compliance Database'!$E$2:$E$1199,MATCH(547,'Transfer Engine'!$C$2:$C$1199,0)))</f>
        <v/>
      </c>
      <c r="F556" s="6" t="str">
        <f>IF(ISNA(MATCH(547,'Transfer Engine'!$C$2:$C$1199,0)),"",INDEX('Compliance Database'!$F$2:$F$1199,MATCH(547,'Transfer Engine'!$C$2:$C$1199,0)))</f>
        <v/>
      </c>
      <c r="G556" s="6" t="str">
        <f>IF(ISNA(MATCH(547,'Transfer Engine'!$C$2:$C$1199,0)),"",INDEX('Compliance Database'!$G$2:$G$1199,MATCH(547,'Transfer Engine'!$C$2:$C$1199,0)))</f>
        <v/>
      </c>
      <c r="H556" s="7" t="str">
        <f>IF(ISNA(MATCH(547,'Transfer Engine'!$C$2:$C$1199,0)),"",INDEX('Compliance Database'!$H$2:$H$1199,MATCH(547,'Transfer Engine'!$C$2:$C$1199,0)))</f>
        <v/>
      </c>
      <c r="I556" s="7" t="str">
        <f>IF(ISNA(MATCH(547,'Transfer Engine'!$C$2:$C$1199,0)),"",INDEX('Compliance Database'!$I$2:$I$1199,MATCH(547,'Transfer Engine'!$C$2:$C$1199,0)))</f>
        <v/>
      </c>
      <c r="J556" s="6" t="str">
        <f>IF(ISNA(MATCH(547,'Transfer Engine'!$C$2:$C$1199,0)),"",INDEX('Compliance Database'!$J$2:$J$1199,MATCH(547,'Transfer Engine'!$C$2:$C$1199,0)))</f>
        <v/>
      </c>
      <c r="K556" s="7" t="str">
        <f>IF(ISNA(MATCH(547,'Transfer Engine'!$C$2:$C$1199,0)),"",INDEX('Compliance Database'!$K$2:$K$1199,MATCH(547,'Transfer Engine'!$C$2:$C$1199,0)))</f>
        <v/>
      </c>
      <c r="L556" s="7" t="str">
        <f>IF(ISNA(MATCH(547,'Transfer Engine'!$C$2:$C$1199,0)),"",INDEX('Compliance Database'!$L$2:$L$1199,MATCH(547,'Transfer Engine'!$C$2:$C$1199,0)))</f>
        <v/>
      </c>
      <c r="M556" s="7" t="str">
        <f>IF(ISNA(MATCH(547,'Transfer Engine'!$C$2:$C$1199,0)),"",INDEX('Compliance Database'!$M$2:$M$1199,MATCH(547,'Transfer Engine'!$C$2:$C$1199,0)))</f>
        <v/>
      </c>
      <c r="N556" s="7" t="str">
        <f>IF(ISNA(MATCH(547,'Transfer Engine'!$C$2:$C$1199,0)),"",INDEX('Compliance Database'!$N$2:$N$1199,MATCH(547,'Transfer Engine'!$C$2:$C$1199,0)))</f>
        <v/>
      </c>
      <c r="O556" s="7" t="str">
        <f>IF(ISNA(MATCH(547,'Transfer Engine'!$C$2:$C$1199,0)),"",INDEX('Compliance Database'!$O$2:$O$1199,MATCH(547,'Transfer Engine'!$C$2:$C$1199,0)))</f>
        <v/>
      </c>
      <c r="P556" s="6" t="str">
        <f>IF(ISNA(MATCH(547,'Transfer Engine'!$C$2:$C$1199,0)),"",HYPERLINK("#Acts!A"&amp;INDEX('Compliance Database'!$P$2:$P$1199,MATCH(547,'Transfer Engine'!$C$2:$C$1199,0)),"Go to Act"))</f>
        <v/>
      </c>
    </row>
    <row r="557" spans="1:16" ht="172.95" customHeight="1" x14ac:dyDescent="0.3">
      <c r="A557" s="6" t="str">
        <f>IF(ISNA(MATCH(548,'Transfer Engine'!$C$2:$C$1199,0)),"",INDEX('Compliance Database'!$A$2:$A$1199,MATCH(548,'Transfer Engine'!$C$2:$C$1199,0)))</f>
        <v/>
      </c>
      <c r="B557" s="6" t="str">
        <f>IF(ISNA(MATCH(548,'Transfer Engine'!$C$2:$C$1199,0)),"",INDEX('Compliance Database'!$B$2:$B$1199,MATCH(548,'Transfer Engine'!$C$2:$C$1199,0)))</f>
        <v/>
      </c>
      <c r="C557" s="6" t="str">
        <f>IF(ISNA(MATCH(548,'Transfer Engine'!$C$2:$C$1199,0)),"",INDEX('Compliance Database'!$C$2:$C$1199,MATCH(548,'Transfer Engine'!$C$2:$C$1199,0)))</f>
        <v/>
      </c>
      <c r="D557" s="7" t="str">
        <f>IF(ISNA(MATCH(548,'Transfer Engine'!$C$2:$C$1199,0)),"",INDEX('Compliance Database'!$D$2:$D$1199,MATCH(548,'Transfer Engine'!$C$2:$C$1199,0)))</f>
        <v/>
      </c>
      <c r="E557" s="6" t="str">
        <f>IF(ISNA(MATCH(548,'Transfer Engine'!$C$2:$C$1199,0)),"",INDEX('Compliance Database'!$E$2:$E$1199,MATCH(548,'Transfer Engine'!$C$2:$C$1199,0)))</f>
        <v/>
      </c>
      <c r="F557" s="6" t="str">
        <f>IF(ISNA(MATCH(548,'Transfer Engine'!$C$2:$C$1199,0)),"",INDEX('Compliance Database'!$F$2:$F$1199,MATCH(548,'Transfer Engine'!$C$2:$C$1199,0)))</f>
        <v/>
      </c>
      <c r="G557" s="6" t="str">
        <f>IF(ISNA(MATCH(548,'Transfer Engine'!$C$2:$C$1199,0)),"",INDEX('Compliance Database'!$G$2:$G$1199,MATCH(548,'Transfer Engine'!$C$2:$C$1199,0)))</f>
        <v/>
      </c>
      <c r="H557" s="7" t="str">
        <f>IF(ISNA(MATCH(548,'Transfer Engine'!$C$2:$C$1199,0)),"",INDEX('Compliance Database'!$H$2:$H$1199,MATCH(548,'Transfer Engine'!$C$2:$C$1199,0)))</f>
        <v/>
      </c>
      <c r="I557" s="7" t="str">
        <f>IF(ISNA(MATCH(548,'Transfer Engine'!$C$2:$C$1199,0)),"",INDEX('Compliance Database'!$I$2:$I$1199,MATCH(548,'Transfer Engine'!$C$2:$C$1199,0)))</f>
        <v/>
      </c>
      <c r="J557" s="6" t="str">
        <f>IF(ISNA(MATCH(548,'Transfer Engine'!$C$2:$C$1199,0)),"",INDEX('Compliance Database'!$J$2:$J$1199,MATCH(548,'Transfer Engine'!$C$2:$C$1199,0)))</f>
        <v/>
      </c>
      <c r="K557" s="7" t="str">
        <f>IF(ISNA(MATCH(548,'Transfer Engine'!$C$2:$C$1199,0)),"",INDEX('Compliance Database'!$K$2:$K$1199,MATCH(548,'Transfer Engine'!$C$2:$C$1199,0)))</f>
        <v/>
      </c>
      <c r="L557" s="7" t="str">
        <f>IF(ISNA(MATCH(548,'Transfer Engine'!$C$2:$C$1199,0)),"",INDEX('Compliance Database'!$L$2:$L$1199,MATCH(548,'Transfer Engine'!$C$2:$C$1199,0)))</f>
        <v/>
      </c>
      <c r="M557" s="7" t="str">
        <f>IF(ISNA(MATCH(548,'Transfer Engine'!$C$2:$C$1199,0)),"",INDEX('Compliance Database'!$M$2:$M$1199,MATCH(548,'Transfer Engine'!$C$2:$C$1199,0)))</f>
        <v/>
      </c>
      <c r="N557" s="7" t="str">
        <f>IF(ISNA(MATCH(548,'Transfer Engine'!$C$2:$C$1199,0)),"",INDEX('Compliance Database'!$N$2:$N$1199,MATCH(548,'Transfer Engine'!$C$2:$C$1199,0)))</f>
        <v/>
      </c>
      <c r="O557" s="7" t="str">
        <f>IF(ISNA(MATCH(548,'Transfer Engine'!$C$2:$C$1199,0)),"",INDEX('Compliance Database'!$O$2:$O$1199,MATCH(548,'Transfer Engine'!$C$2:$C$1199,0)))</f>
        <v/>
      </c>
      <c r="P557" s="6" t="str">
        <f>IF(ISNA(MATCH(548,'Transfer Engine'!$C$2:$C$1199,0)),"",HYPERLINK("#Acts!A"&amp;INDEX('Compliance Database'!$P$2:$P$1199,MATCH(548,'Transfer Engine'!$C$2:$C$1199,0)),"Go to Act"))</f>
        <v/>
      </c>
    </row>
    <row r="558" spans="1:16" ht="172.95" customHeight="1" x14ac:dyDescent="0.3">
      <c r="A558" s="6" t="str">
        <f>IF(ISNA(MATCH(549,'Transfer Engine'!$C$2:$C$1199,0)),"",INDEX('Compliance Database'!$A$2:$A$1199,MATCH(549,'Transfer Engine'!$C$2:$C$1199,0)))</f>
        <v/>
      </c>
      <c r="B558" s="6" t="str">
        <f>IF(ISNA(MATCH(549,'Transfer Engine'!$C$2:$C$1199,0)),"",INDEX('Compliance Database'!$B$2:$B$1199,MATCH(549,'Transfer Engine'!$C$2:$C$1199,0)))</f>
        <v/>
      </c>
      <c r="C558" s="6" t="str">
        <f>IF(ISNA(MATCH(549,'Transfer Engine'!$C$2:$C$1199,0)),"",INDEX('Compliance Database'!$C$2:$C$1199,MATCH(549,'Transfer Engine'!$C$2:$C$1199,0)))</f>
        <v/>
      </c>
      <c r="D558" s="7" t="str">
        <f>IF(ISNA(MATCH(549,'Transfer Engine'!$C$2:$C$1199,0)),"",INDEX('Compliance Database'!$D$2:$D$1199,MATCH(549,'Transfer Engine'!$C$2:$C$1199,0)))</f>
        <v/>
      </c>
      <c r="E558" s="6" t="str">
        <f>IF(ISNA(MATCH(549,'Transfer Engine'!$C$2:$C$1199,0)),"",INDEX('Compliance Database'!$E$2:$E$1199,MATCH(549,'Transfer Engine'!$C$2:$C$1199,0)))</f>
        <v/>
      </c>
      <c r="F558" s="6" t="str">
        <f>IF(ISNA(MATCH(549,'Transfer Engine'!$C$2:$C$1199,0)),"",INDEX('Compliance Database'!$F$2:$F$1199,MATCH(549,'Transfer Engine'!$C$2:$C$1199,0)))</f>
        <v/>
      </c>
      <c r="G558" s="6" t="str">
        <f>IF(ISNA(MATCH(549,'Transfer Engine'!$C$2:$C$1199,0)),"",INDEX('Compliance Database'!$G$2:$G$1199,MATCH(549,'Transfer Engine'!$C$2:$C$1199,0)))</f>
        <v/>
      </c>
      <c r="H558" s="7" t="str">
        <f>IF(ISNA(MATCH(549,'Transfer Engine'!$C$2:$C$1199,0)),"",INDEX('Compliance Database'!$H$2:$H$1199,MATCH(549,'Transfer Engine'!$C$2:$C$1199,0)))</f>
        <v/>
      </c>
      <c r="I558" s="7" t="str">
        <f>IF(ISNA(MATCH(549,'Transfer Engine'!$C$2:$C$1199,0)),"",INDEX('Compliance Database'!$I$2:$I$1199,MATCH(549,'Transfer Engine'!$C$2:$C$1199,0)))</f>
        <v/>
      </c>
      <c r="J558" s="6" t="str">
        <f>IF(ISNA(MATCH(549,'Transfer Engine'!$C$2:$C$1199,0)),"",INDEX('Compliance Database'!$J$2:$J$1199,MATCH(549,'Transfer Engine'!$C$2:$C$1199,0)))</f>
        <v/>
      </c>
      <c r="K558" s="7" t="str">
        <f>IF(ISNA(MATCH(549,'Transfer Engine'!$C$2:$C$1199,0)),"",INDEX('Compliance Database'!$K$2:$K$1199,MATCH(549,'Transfer Engine'!$C$2:$C$1199,0)))</f>
        <v/>
      </c>
      <c r="L558" s="7" t="str">
        <f>IF(ISNA(MATCH(549,'Transfer Engine'!$C$2:$C$1199,0)),"",INDEX('Compliance Database'!$L$2:$L$1199,MATCH(549,'Transfer Engine'!$C$2:$C$1199,0)))</f>
        <v/>
      </c>
      <c r="M558" s="7" t="str">
        <f>IF(ISNA(MATCH(549,'Transfer Engine'!$C$2:$C$1199,0)),"",INDEX('Compliance Database'!$M$2:$M$1199,MATCH(549,'Transfer Engine'!$C$2:$C$1199,0)))</f>
        <v/>
      </c>
      <c r="N558" s="7" t="str">
        <f>IF(ISNA(MATCH(549,'Transfer Engine'!$C$2:$C$1199,0)),"",INDEX('Compliance Database'!$N$2:$N$1199,MATCH(549,'Transfer Engine'!$C$2:$C$1199,0)))</f>
        <v/>
      </c>
      <c r="O558" s="7" t="str">
        <f>IF(ISNA(MATCH(549,'Transfer Engine'!$C$2:$C$1199,0)),"",INDEX('Compliance Database'!$O$2:$O$1199,MATCH(549,'Transfer Engine'!$C$2:$C$1199,0)))</f>
        <v/>
      </c>
      <c r="P558" s="6" t="str">
        <f>IF(ISNA(MATCH(549,'Transfer Engine'!$C$2:$C$1199,0)),"",HYPERLINK("#Acts!A"&amp;INDEX('Compliance Database'!$P$2:$P$1199,MATCH(549,'Transfer Engine'!$C$2:$C$1199,0)),"Go to Act"))</f>
        <v/>
      </c>
    </row>
    <row r="559" spans="1:16" ht="172.95" customHeight="1" x14ac:dyDescent="0.3">
      <c r="A559" s="6" t="str">
        <f>IF(ISNA(MATCH(550,'Transfer Engine'!$C$2:$C$1199,0)),"",INDEX('Compliance Database'!$A$2:$A$1199,MATCH(550,'Transfer Engine'!$C$2:$C$1199,0)))</f>
        <v/>
      </c>
      <c r="B559" s="6" t="str">
        <f>IF(ISNA(MATCH(550,'Transfer Engine'!$C$2:$C$1199,0)),"",INDEX('Compliance Database'!$B$2:$B$1199,MATCH(550,'Transfer Engine'!$C$2:$C$1199,0)))</f>
        <v/>
      </c>
      <c r="C559" s="6" t="str">
        <f>IF(ISNA(MATCH(550,'Transfer Engine'!$C$2:$C$1199,0)),"",INDEX('Compliance Database'!$C$2:$C$1199,MATCH(550,'Transfer Engine'!$C$2:$C$1199,0)))</f>
        <v/>
      </c>
      <c r="D559" s="7" t="str">
        <f>IF(ISNA(MATCH(550,'Transfer Engine'!$C$2:$C$1199,0)),"",INDEX('Compliance Database'!$D$2:$D$1199,MATCH(550,'Transfer Engine'!$C$2:$C$1199,0)))</f>
        <v/>
      </c>
      <c r="E559" s="6" t="str">
        <f>IF(ISNA(MATCH(550,'Transfer Engine'!$C$2:$C$1199,0)),"",INDEX('Compliance Database'!$E$2:$E$1199,MATCH(550,'Transfer Engine'!$C$2:$C$1199,0)))</f>
        <v/>
      </c>
      <c r="F559" s="6" t="str">
        <f>IF(ISNA(MATCH(550,'Transfer Engine'!$C$2:$C$1199,0)),"",INDEX('Compliance Database'!$F$2:$F$1199,MATCH(550,'Transfer Engine'!$C$2:$C$1199,0)))</f>
        <v/>
      </c>
      <c r="G559" s="6" t="str">
        <f>IF(ISNA(MATCH(550,'Transfer Engine'!$C$2:$C$1199,0)),"",INDEX('Compliance Database'!$G$2:$G$1199,MATCH(550,'Transfer Engine'!$C$2:$C$1199,0)))</f>
        <v/>
      </c>
      <c r="H559" s="7" t="str">
        <f>IF(ISNA(MATCH(550,'Transfer Engine'!$C$2:$C$1199,0)),"",INDEX('Compliance Database'!$H$2:$H$1199,MATCH(550,'Transfer Engine'!$C$2:$C$1199,0)))</f>
        <v/>
      </c>
      <c r="I559" s="7" t="str">
        <f>IF(ISNA(MATCH(550,'Transfer Engine'!$C$2:$C$1199,0)),"",INDEX('Compliance Database'!$I$2:$I$1199,MATCH(550,'Transfer Engine'!$C$2:$C$1199,0)))</f>
        <v/>
      </c>
      <c r="J559" s="6" t="str">
        <f>IF(ISNA(MATCH(550,'Transfer Engine'!$C$2:$C$1199,0)),"",INDEX('Compliance Database'!$J$2:$J$1199,MATCH(550,'Transfer Engine'!$C$2:$C$1199,0)))</f>
        <v/>
      </c>
      <c r="K559" s="7" t="str">
        <f>IF(ISNA(MATCH(550,'Transfer Engine'!$C$2:$C$1199,0)),"",INDEX('Compliance Database'!$K$2:$K$1199,MATCH(550,'Transfer Engine'!$C$2:$C$1199,0)))</f>
        <v/>
      </c>
      <c r="L559" s="7" t="str">
        <f>IF(ISNA(MATCH(550,'Transfer Engine'!$C$2:$C$1199,0)),"",INDEX('Compliance Database'!$L$2:$L$1199,MATCH(550,'Transfer Engine'!$C$2:$C$1199,0)))</f>
        <v/>
      </c>
      <c r="M559" s="7" t="str">
        <f>IF(ISNA(MATCH(550,'Transfer Engine'!$C$2:$C$1199,0)),"",INDEX('Compliance Database'!$M$2:$M$1199,MATCH(550,'Transfer Engine'!$C$2:$C$1199,0)))</f>
        <v/>
      </c>
      <c r="N559" s="7" t="str">
        <f>IF(ISNA(MATCH(550,'Transfer Engine'!$C$2:$C$1199,0)),"",INDEX('Compliance Database'!$N$2:$N$1199,MATCH(550,'Transfer Engine'!$C$2:$C$1199,0)))</f>
        <v/>
      </c>
      <c r="O559" s="7" t="str">
        <f>IF(ISNA(MATCH(550,'Transfer Engine'!$C$2:$C$1199,0)),"",INDEX('Compliance Database'!$O$2:$O$1199,MATCH(550,'Transfer Engine'!$C$2:$C$1199,0)))</f>
        <v/>
      </c>
      <c r="P559" s="6" t="str">
        <f>IF(ISNA(MATCH(550,'Transfer Engine'!$C$2:$C$1199,0)),"",HYPERLINK("#Acts!A"&amp;INDEX('Compliance Database'!$P$2:$P$1199,MATCH(550,'Transfer Engine'!$C$2:$C$1199,0)),"Go to Act"))</f>
        <v/>
      </c>
    </row>
    <row r="560" spans="1:16" ht="172.95" customHeight="1" x14ac:dyDescent="0.3">
      <c r="A560" s="6" t="str">
        <f>IF(ISNA(MATCH(551,'Transfer Engine'!$C$2:$C$1199,0)),"",INDEX('Compliance Database'!$A$2:$A$1199,MATCH(551,'Transfer Engine'!$C$2:$C$1199,0)))</f>
        <v/>
      </c>
      <c r="B560" s="6" t="str">
        <f>IF(ISNA(MATCH(551,'Transfer Engine'!$C$2:$C$1199,0)),"",INDEX('Compliance Database'!$B$2:$B$1199,MATCH(551,'Transfer Engine'!$C$2:$C$1199,0)))</f>
        <v/>
      </c>
      <c r="C560" s="6" t="str">
        <f>IF(ISNA(MATCH(551,'Transfer Engine'!$C$2:$C$1199,0)),"",INDEX('Compliance Database'!$C$2:$C$1199,MATCH(551,'Transfer Engine'!$C$2:$C$1199,0)))</f>
        <v/>
      </c>
      <c r="D560" s="7" t="str">
        <f>IF(ISNA(MATCH(551,'Transfer Engine'!$C$2:$C$1199,0)),"",INDEX('Compliance Database'!$D$2:$D$1199,MATCH(551,'Transfer Engine'!$C$2:$C$1199,0)))</f>
        <v/>
      </c>
      <c r="E560" s="6" t="str">
        <f>IF(ISNA(MATCH(551,'Transfer Engine'!$C$2:$C$1199,0)),"",INDEX('Compliance Database'!$E$2:$E$1199,MATCH(551,'Transfer Engine'!$C$2:$C$1199,0)))</f>
        <v/>
      </c>
      <c r="F560" s="6" t="str">
        <f>IF(ISNA(MATCH(551,'Transfer Engine'!$C$2:$C$1199,0)),"",INDEX('Compliance Database'!$F$2:$F$1199,MATCH(551,'Transfer Engine'!$C$2:$C$1199,0)))</f>
        <v/>
      </c>
      <c r="G560" s="6" t="str">
        <f>IF(ISNA(MATCH(551,'Transfer Engine'!$C$2:$C$1199,0)),"",INDEX('Compliance Database'!$G$2:$G$1199,MATCH(551,'Transfer Engine'!$C$2:$C$1199,0)))</f>
        <v/>
      </c>
      <c r="H560" s="7" t="str">
        <f>IF(ISNA(MATCH(551,'Transfer Engine'!$C$2:$C$1199,0)),"",INDEX('Compliance Database'!$H$2:$H$1199,MATCH(551,'Transfer Engine'!$C$2:$C$1199,0)))</f>
        <v/>
      </c>
      <c r="I560" s="7" t="str">
        <f>IF(ISNA(MATCH(551,'Transfer Engine'!$C$2:$C$1199,0)),"",INDEX('Compliance Database'!$I$2:$I$1199,MATCH(551,'Transfer Engine'!$C$2:$C$1199,0)))</f>
        <v/>
      </c>
      <c r="J560" s="6" t="str">
        <f>IF(ISNA(MATCH(551,'Transfer Engine'!$C$2:$C$1199,0)),"",INDEX('Compliance Database'!$J$2:$J$1199,MATCH(551,'Transfer Engine'!$C$2:$C$1199,0)))</f>
        <v/>
      </c>
      <c r="K560" s="7" t="str">
        <f>IF(ISNA(MATCH(551,'Transfer Engine'!$C$2:$C$1199,0)),"",INDEX('Compliance Database'!$K$2:$K$1199,MATCH(551,'Transfer Engine'!$C$2:$C$1199,0)))</f>
        <v/>
      </c>
      <c r="L560" s="7" t="str">
        <f>IF(ISNA(MATCH(551,'Transfer Engine'!$C$2:$C$1199,0)),"",INDEX('Compliance Database'!$L$2:$L$1199,MATCH(551,'Transfer Engine'!$C$2:$C$1199,0)))</f>
        <v/>
      </c>
      <c r="M560" s="7" t="str">
        <f>IF(ISNA(MATCH(551,'Transfer Engine'!$C$2:$C$1199,0)),"",INDEX('Compliance Database'!$M$2:$M$1199,MATCH(551,'Transfer Engine'!$C$2:$C$1199,0)))</f>
        <v/>
      </c>
      <c r="N560" s="7" t="str">
        <f>IF(ISNA(MATCH(551,'Transfer Engine'!$C$2:$C$1199,0)),"",INDEX('Compliance Database'!$N$2:$N$1199,MATCH(551,'Transfer Engine'!$C$2:$C$1199,0)))</f>
        <v/>
      </c>
      <c r="O560" s="7" t="str">
        <f>IF(ISNA(MATCH(551,'Transfer Engine'!$C$2:$C$1199,0)),"",INDEX('Compliance Database'!$O$2:$O$1199,MATCH(551,'Transfer Engine'!$C$2:$C$1199,0)))</f>
        <v/>
      </c>
      <c r="P560" s="6" t="str">
        <f>IF(ISNA(MATCH(551,'Transfer Engine'!$C$2:$C$1199,0)),"",HYPERLINK("#Acts!A"&amp;INDEX('Compliance Database'!$P$2:$P$1199,MATCH(551,'Transfer Engine'!$C$2:$C$1199,0)),"Go to Act"))</f>
        <v/>
      </c>
    </row>
    <row r="561" spans="1:16" ht="172.95" customHeight="1" x14ac:dyDescent="0.3">
      <c r="A561" s="6" t="str">
        <f>IF(ISNA(MATCH(552,'Transfer Engine'!$C$2:$C$1199,0)),"",INDEX('Compliance Database'!$A$2:$A$1199,MATCH(552,'Transfer Engine'!$C$2:$C$1199,0)))</f>
        <v/>
      </c>
      <c r="B561" s="6" t="str">
        <f>IF(ISNA(MATCH(552,'Transfer Engine'!$C$2:$C$1199,0)),"",INDEX('Compliance Database'!$B$2:$B$1199,MATCH(552,'Transfer Engine'!$C$2:$C$1199,0)))</f>
        <v/>
      </c>
      <c r="C561" s="6" t="str">
        <f>IF(ISNA(MATCH(552,'Transfer Engine'!$C$2:$C$1199,0)),"",INDEX('Compliance Database'!$C$2:$C$1199,MATCH(552,'Transfer Engine'!$C$2:$C$1199,0)))</f>
        <v/>
      </c>
      <c r="D561" s="7" t="str">
        <f>IF(ISNA(MATCH(552,'Transfer Engine'!$C$2:$C$1199,0)),"",INDEX('Compliance Database'!$D$2:$D$1199,MATCH(552,'Transfer Engine'!$C$2:$C$1199,0)))</f>
        <v/>
      </c>
      <c r="E561" s="6" t="str">
        <f>IF(ISNA(MATCH(552,'Transfer Engine'!$C$2:$C$1199,0)),"",INDEX('Compliance Database'!$E$2:$E$1199,MATCH(552,'Transfer Engine'!$C$2:$C$1199,0)))</f>
        <v/>
      </c>
      <c r="F561" s="6" t="str">
        <f>IF(ISNA(MATCH(552,'Transfer Engine'!$C$2:$C$1199,0)),"",INDEX('Compliance Database'!$F$2:$F$1199,MATCH(552,'Transfer Engine'!$C$2:$C$1199,0)))</f>
        <v/>
      </c>
      <c r="G561" s="6" t="str">
        <f>IF(ISNA(MATCH(552,'Transfer Engine'!$C$2:$C$1199,0)),"",INDEX('Compliance Database'!$G$2:$G$1199,MATCH(552,'Transfer Engine'!$C$2:$C$1199,0)))</f>
        <v/>
      </c>
      <c r="H561" s="7" t="str">
        <f>IF(ISNA(MATCH(552,'Transfer Engine'!$C$2:$C$1199,0)),"",INDEX('Compliance Database'!$H$2:$H$1199,MATCH(552,'Transfer Engine'!$C$2:$C$1199,0)))</f>
        <v/>
      </c>
      <c r="I561" s="7" t="str">
        <f>IF(ISNA(MATCH(552,'Transfer Engine'!$C$2:$C$1199,0)),"",INDEX('Compliance Database'!$I$2:$I$1199,MATCH(552,'Transfer Engine'!$C$2:$C$1199,0)))</f>
        <v/>
      </c>
      <c r="J561" s="6" t="str">
        <f>IF(ISNA(MATCH(552,'Transfer Engine'!$C$2:$C$1199,0)),"",INDEX('Compliance Database'!$J$2:$J$1199,MATCH(552,'Transfer Engine'!$C$2:$C$1199,0)))</f>
        <v/>
      </c>
      <c r="K561" s="7" t="str">
        <f>IF(ISNA(MATCH(552,'Transfer Engine'!$C$2:$C$1199,0)),"",INDEX('Compliance Database'!$K$2:$K$1199,MATCH(552,'Transfer Engine'!$C$2:$C$1199,0)))</f>
        <v/>
      </c>
      <c r="L561" s="7" t="str">
        <f>IF(ISNA(MATCH(552,'Transfer Engine'!$C$2:$C$1199,0)),"",INDEX('Compliance Database'!$L$2:$L$1199,MATCH(552,'Transfer Engine'!$C$2:$C$1199,0)))</f>
        <v/>
      </c>
      <c r="M561" s="7" t="str">
        <f>IF(ISNA(MATCH(552,'Transfer Engine'!$C$2:$C$1199,0)),"",INDEX('Compliance Database'!$M$2:$M$1199,MATCH(552,'Transfer Engine'!$C$2:$C$1199,0)))</f>
        <v/>
      </c>
      <c r="N561" s="7" t="str">
        <f>IF(ISNA(MATCH(552,'Transfer Engine'!$C$2:$C$1199,0)),"",INDEX('Compliance Database'!$N$2:$N$1199,MATCH(552,'Transfer Engine'!$C$2:$C$1199,0)))</f>
        <v/>
      </c>
      <c r="O561" s="7" t="str">
        <f>IF(ISNA(MATCH(552,'Transfer Engine'!$C$2:$C$1199,0)),"",INDEX('Compliance Database'!$O$2:$O$1199,MATCH(552,'Transfer Engine'!$C$2:$C$1199,0)))</f>
        <v/>
      </c>
      <c r="P561" s="6" t="str">
        <f>IF(ISNA(MATCH(552,'Transfer Engine'!$C$2:$C$1199,0)),"",HYPERLINK("#Acts!A"&amp;INDEX('Compliance Database'!$P$2:$P$1199,MATCH(552,'Transfer Engine'!$C$2:$C$1199,0)),"Go to Act"))</f>
        <v/>
      </c>
    </row>
    <row r="562" spans="1:16" ht="172.95" customHeight="1" x14ac:dyDescent="0.3">
      <c r="A562" s="6" t="str">
        <f>IF(ISNA(MATCH(553,'Transfer Engine'!$C$2:$C$1199,0)),"",INDEX('Compliance Database'!$A$2:$A$1199,MATCH(553,'Transfer Engine'!$C$2:$C$1199,0)))</f>
        <v/>
      </c>
      <c r="B562" s="6" t="str">
        <f>IF(ISNA(MATCH(553,'Transfer Engine'!$C$2:$C$1199,0)),"",INDEX('Compliance Database'!$B$2:$B$1199,MATCH(553,'Transfer Engine'!$C$2:$C$1199,0)))</f>
        <v/>
      </c>
      <c r="C562" s="6" t="str">
        <f>IF(ISNA(MATCH(553,'Transfer Engine'!$C$2:$C$1199,0)),"",INDEX('Compliance Database'!$C$2:$C$1199,MATCH(553,'Transfer Engine'!$C$2:$C$1199,0)))</f>
        <v/>
      </c>
      <c r="D562" s="7" t="str">
        <f>IF(ISNA(MATCH(553,'Transfer Engine'!$C$2:$C$1199,0)),"",INDEX('Compliance Database'!$D$2:$D$1199,MATCH(553,'Transfer Engine'!$C$2:$C$1199,0)))</f>
        <v/>
      </c>
      <c r="E562" s="6" t="str">
        <f>IF(ISNA(MATCH(553,'Transfer Engine'!$C$2:$C$1199,0)),"",INDEX('Compliance Database'!$E$2:$E$1199,MATCH(553,'Transfer Engine'!$C$2:$C$1199,0)))</f>
        <v/>
      </c>
      <c r="F562" s="6" t="str">
        <f>IF(ISNA(MATCH(553,'Transfer Engine'!$C$2:$C$1199,0)),"",INDEX('Compliance Database'!$F$2:$F$1199,MATCH(553,'Transfer Engine'!$C$2:$C$1199,0)))</f>
        <v/>
      </c>
      <c r="G562" s="6" t="str">
        <f>IF(ISNA(MATCH(553,'Transfer Engine'!$C$2:$C$1199,0)),"",INDEX('Compliance Database'!$G$2:$G$1199,MATCH(553,'Transfer Engine'!$C$2:$C$1199,0)))</f>
        <v/>
      </c>
      <c r="H562" s="7" t="str">
        <f>IF(ISNA(MATCH(553,'Transfer Engine'!$C$2:$C$1199,0)),"",INDEX('Compliance Database'!$H$2:$H$1199,MATCH(553,'Transfer Engine'!$C$2:$C$1199,0)))</f>
        <v/>
      </c>
      <c r="I562" s="7" t="str">
        <f>IF(ISNA(MATCH(553,'Transfer Engine'!$C$2:$C$1199,0)),"",INDEX('Compliance Database'!$I$2:$I$1199,MATCH(553,'Transfer Engine'!$C$2:$C$1199,0)))</f>
        <v/>
      </c>
      <c r="J562" s="6" t="str">
        <f>IF(ISNA(MATCH(553,'Transfer Engine'!$C$2:$C$1199,0)),"",INDEX('Compliance Database'!$J$2:$J$1199,MATCH(553,'Transfer Engine'!$C$2:$C$1199,0)))</f>
        <v/>
      </c>
      <c r="K562" s="7" t="str">
        <f>IF(ISNA(MATCH(553,'Transfer Engine'!$C$2:$C$1199,0)),"",INDEX('Compliance Database'!$K$2:$K$1199,MATCH(553,'Transfer Engine'!$C$2:$C$1199,0)))</f>
        <v/>
      </c>
      <c r="L562" s="7" t="str">
        <f>IF(ISNA(MATCH(553,'Transfer Engine'!$C$2:$C$1199,0)),"",INDEX('Compliance Database'!$L$2:$L$1199,MATCH(553,'Transfer Engine'!$C$2:$C$1199,0)))</f>
        <v/>
      </c>
      <c r="M562" s="7" t="str">
        <f>IF(ISNA(MATCH(553,'Transfer Engine'!$C$2:$C$1199,0)),"",INDEX('Compliance Database'!$M$2:$M$1199,MATCH(553,'Transfer Engine'!$C$2:$C$1199,0)))</f>
        <v/>
      </c>
      <c r="N562" s="7" t="str">
        <f>IF(ISNA(MATCH(553,'Transfer Engine'!$C$2:$C$1199,0)),"",INDEX('Compliance Database'!$N$2:$N$1199,MATCH(553,'Transfer Engine'!$C$2:$C$1199,0)))</f>
        <v/>
      </c>
      <c r="O562" s="7" t="str">
        <f>IF(ISNA(MATCH(553,'Transfer Engine'!$C$2:$C$1199,0)),"",INDEX('Compliance Database'!$O$2:$O$1199,MATCH(553,'Transfer Engine'!$C$2:$C$1199,0)))</f>
        <v/>
      </c>
      <c r="P562" s="6" t="str">
        <f>IF(ISNA(MATCH(553,'Transfer Engine'!$C$2:$C$1199,0)),"",HYPERLINK("#Acts!A"&amp;INDEX('Compliance Database'!$P$2:$P$1199,MATCH(553,'Transfer Engine'!$C$2:$C$1199,0)),"Go to Act"))</f>
        <v/>
      </c>
    </row>
    <row r="563" spans="1:16" ht="172.95" customHeight="1" x14ac:dyDescent="0.3">
      <c r="A563" s="6" t="str">
        <f>IF(ISNA(MATCH(554,'Transfer Engine'!$C$2:$C$1199,0)),"",INDEX('Compliance Database'!$A$2:$A$1199,MATCH(554,'Transfer Engine'!$C$2:$C$1199,0)))</f>
        <v/>
      </c>
      <c r="B563" s="6" t="str">
        <f>IF(ISNA(MATCH(554,'Transfer Engine'!$C$2:$C$1199,0)),"",INDEX('Compliance Database'!$B$2:$B$1199,MATCH(554,'Transfer Engine'!$C$2:$C$1199,0)))</f>
        <v/>
      </c>
      <c r="C563" s="6" t="str">
        <f>IF(ISNA(MATCH(554,'Transfer Engine'!$C$2:$C$1199,0)),"",INDEX('Compliance Database'!$C$2:$C$1199,MATCH(554,'Transfer Engine'!$C$2:$C$1199,0)))</f>
        <v/>
      </c>
      <c r="D563" s="7" t="str">
        <f>IF(ISNA(MATCH(554,'Transfer Engine'!$C$2:$C$1199,0)),"",INDEX('Compliance Database'!$D$2:$D$1199,MATCH(554,'Transfer Engine'!$C$2:$C$1199,0)))</f>
        <v/>
      </c>
      <c r="E563" s="6" t="str">
        <f>IF(ISNA(MATCH(554,'Transfer Engine'!$C$2:$C$1199,0)),"",INDEX('Compliance Database'!$E$2:$E$1199,MATCH(554,'Transfer Engine'!$C$2:$C$1199,0)))</f>
        <v/>
      </c>
      <c r="F563" s="6" t="str">
        <f>IF(ISNA(MATCH(554,'Transfer Engine'!$C$2:$C$1199,0)),"",INDEX('Compliance Database'!$F$2:$F$1199,MATCH(554,'Transfer Engine'!$C$2:$C$1199,0)))</f>
        <v/>
      </c>
      <c r="G563" s="6" t="str">
        <f>IF(ISNA(MATCH(554,'Transfer Engine'!$C$2:$C$1199,0)),"",INDEX('Compliance Database'!$G$2:$G$1199,MATCH(554,'Transfer Engine'!$C$2:$C$1199,0)))</f>
        <v/>
      </c>
      <c r="H563" s="7" t="str">
        <f>IF(ISNA(MATCH(554,'Transfer Engine'!$C$2:$C$1199,0)),"",INDEX('Compliance Database'!$H$2:$H$1199,MATCH(554,'Transfer Engine'!$C$2:$C$1199,0)))</f>
        <v/>
      </c>
      <c r="I563" s="7" t="str">
        <f>IF(ISNA(MATCH(554,'Transfer Engine'!$C$2:$C$1199,0)),"",INDEX('Compliance Database'!$I$2:$I$1199,MATCH(554,'Transfer Engine'!$C$2:$C$1199,0)))</f>
        <v/>
      </c>
      <c r="J563" s="6" t="str">
        <f>IF(ISNA(MATCH(554,'Transfer Engine'!$C$2:$C$1199,0)),"",INDEX('Compliance Database'!$J$2:$J$1199,MATCH(554,'Transfer Engine'!$C$2:$C$1199,0)))</f>
        <v/>
      </c>
      <c r="K563" s="7" t="str">
        <f>IF(ISNA(MATCH(554,'Transfer Engine'!$C$2:$C$1199,0)),"",INDEX('Compliance Database'!$K$2:$K$1199,MATCH(554,'Transfer Engine'!$C$2:$C$1199,0)))</f>
        <v/>
      </c>
      <c r="L563" s="7" t="str">
        <f>IF(ISNA(MATCH(554,'Transfer Engine'!$C$2:$C$1199,0)),"",INDEX('Compliance Database'!$L$2:$L$1199,MATCH(554,'Transfer Engine'!$C$2:$C$1199,0)))</f>
        <v/>
      </c>
      <c r="M563" s="7" t="str">
        <f>IF(ISNA(MATCH(554,'Transfer Engine'!$C$2:$C$1199,0)),"",INDEX('Compliance Database'!$M$2:$M$1199,MATCH(554,'Transfer Engine'!$C$2:$C$1199,0)))</f>
        <v/>
      </c>
      <c r="N563" s="7" t="str">
        <f>IF(ISNA(MATCH(554,'Transfer Engine'!$C$2:$C$1199,0)),"",INDEX('Compliance Database'!$N$2:$N$1199,MATCH(554,'Transfer Engine'!$C$2:$C$1199,0)))</f>
        <v/>
      </c>
      <c r="O563" s="7" t="str">
        <f>IF(ISNA(MATCH(554,'Transfer Engine'!$C$2:$C$1199,0)),"",INDEX('Compliance Database'!$O$2:$O$1199,MATCH(554,'Transfer Engine'!$C$2:$C$1199,0)))</f>
        <v/>
      </c>
      <c r="P563" s="6" t="str">
        <f>IF(ISNA(MATCH(554,'Transfer Engine'!$C$2:$C$1199,0)),"",HYPERLINK("#Acts!A"&amp;INDEX('Compliance Database'!$P$2:$P$1199,MATCH(554,'Transfer Engine'!$C$2:$C$1199,0)),"Go to Act"))</f>
        <v/>
      </c>
    </row>
    <row r="564" spans="1:16" ht="172.95" customHeight="1" x14ac:dyDescent="0.3">
      <c r="A564" s="6" t="str">
        <f>IF(ISNA(MATCH(555,'Transfer Engine'!$C$2:$C$1199,0)),"",INDEX('Compliance Database'!$A$2:$A$1199,MATCH(555,'Transfer Engine'!$C$2:$C$1199,0)))</f>
        <v/>
      </c>
      <c r="B564" s="6" t="str">
        <f>IF(ISNA(MATCH(555,'Transfer Engine'!$C$2:$C$1199,0)),"",INDEX('Compliance Database'!$B$2:$B$1199,MATCH(555,'Transfer Engine'!$C$2:$C$1199,0)))</f>
        <v/>
      </c>
      <c r="C564" s="6" t="str">
        <f>IF(ISNA(MATCH(555,'Transfer Engine'!$C$2:$C$1199,0)),"",INDEX('Compliance Database'!$C$2:$C$1199,MATCH(555,'Transfer Engine'!$C$2:$C$1199,0)))</f>
        <v/>
      </c>
      <c r="D564" s="7" t="str">
        <f>IF(ISNA(MATCH(555,'Transfer Engine'!$C$2:$C$1199,0)),"",INDEX('Compliance Database'!$D$2:$D$1199,MATCH(555,'Transfer Engine'!$C$2:$C$1199,0)))</f>
        <v/>
      </c>
      <c r="E564" s="6" t="str">
        <f>IF(ISNA(MATCH(555,'Transfer Engine'!$C$2:$C$1199,0)),"",INDEX('Compliance Database'!$E$2:$E$1199,MATCH(555,'Transfer Engine'!$C$2:$C$1199,0)))</f>
        <v/>
      </c>
      <c r="F564" s="6" t="str">
        <f>IF(ISNA(MATCH(555,'Transfer Engine'!$C$2:$C$1199,0)),"",INDEX('Compliance Database'!$F$2:$F$1199,MATCH(555,'Transfer Engine'!$C$2:$C$1199,0)))</f>
        <v/>
      </c>
      <c r="G564" s="6" t="str">
        <f>IF(ISNA(MATCH(555,'Transfer Engine'!$C$2:$C$1199,0)),"",INDEX('Compliance Database'!$G$2:$G$1199,MATCH(555,'Transfer Engine'!$C$2:$C$1199,0)))</f>
        <v/>
      </c>
      <c r="H564" s="7" t="str">
        <f>IF(ISNA(MATCH(555,'Transfer Engine'!$C$2:$C$1199,0)),"",INDEX('Compliance Database'!$H$2:$H$1199,MATCH(555,'Transfer Engine'!$C$2:$C$1199,0)))</f>
        <v/>
      </c>
      <c r="I564" s="7" t="str">
        <f>IF(ISNA(MATCH(555,'Transfer Engine'!$C$2:$C$1199,0)),"",INDEX('Compliance Database'!$I$2:$I$1199,MATCH(555,'Transfer Engine'!$C$2:$C$1199,0)))</f>
        <v/>
      </c>
      <c r="J564" s="6" t="str">
        <f>IF(ISNA(MATCH(555,'Transfer Engine'!$C$2:$C$1199,0)),"",INDEX('Compliance Database'!$J$2:$J$1199,MATCH(555,'Transfer Engine'!$C$2:$C$1199,0)))</f>
        <v/>
      </c>
      <c r="K564" s="7" t="str">
        <f>IF(ISNA(MATCH(555,'Transfer Engine'!$C$2:$C$1199,0)),"",INDEX('Compliance Database'!$K$2:$K$1199,MATCH(555,'Transfer Engine'!$C$2:$C$1199,0)))</f>
        <v/>
      </c>
      <c r="L564" s="7" t="str">
        <f>IF(ISNA(MATCH(555,'Transfer Engine'!$C$2:$C$1199,0)),"",INDEX('Compliance Database'!$L$2:$L$1199,MATCH(555,'Transfer Engine'!$C$2:$C$1199,0)))</f>
        <v/>
      </c>
      <c r="M564" s="7" t="str">
        <f>IF(ISNA(MATCH(555,'Transfer Engine'!$C$2:$C$1199,0)),"",INDEX('Compliance Database'!$M$2:$M$1199,MATCH(555,'Transfer Engine'!$C$2:$C$1199,0)))</f>
        <v/>
      </c>
      <c r="N564" s="7" t="str">
        <f>IF(ISNA(MATCH(555,'Transfer Engine'!$C$2:$C$1199,0)),"",INDEX('Compliance Database'!$N$2:$N$1199,MATCH(555,'Transfer Engine'!$C$2:$C$1199,0)))</f>
        <v/>
      </c>
      <c r="O564" s="7" t="str">
        <f>IF(ISNA(MATCH(555,'Transfer Engine'!$C$2:$C$1199,0)),"",INDEX('Compliance Database'!$O$2:$O$1199,MATCH(555,'Transfer Engine'!$C$2:$C$1199,0)))</f>
        <v/>
      </c>
      <c r="P564" s="6" t="str">
        <f>IF(ISNA(MATCH(555,'Transfer Engine'!$C$2:$C$1199,0)),"",HYPERLINK("#Acts!A"&amp;INDEX('Compliance Database'!$P$2:$P$1199,MATCH(555,'Transfer Engine'!$C$2:$C$1199,0)),"Go to Act"))</f>
        <v/>
      </c>
    </row>
    <row r="565" spans="1:16" ht="172.95" customHeight="1" x14ac:dyDescent="0.3">
      <c r="A565" s="6" t="str">
        <f>IF(ISNA(MATCH(556,'Transfer Engine'!$C$2:$C$1199,0)),"",INDEX('Compliance Database'!$A$2:$A$1199,MATCH(556,'Transfer Engine'!$C$2:$C$1199,0)))</f>
        <v/>
      </c>
      <c r="B565" s="6" t="str">
        <f>IF(ISNA(MATCH(556,'Transfer Engine'!$C$2:$C$1199,0)),"",INDEX('Compliance Database'!$B$2:$B$1199,MATCH(556,'Transfer Engine'!$C$2:$C$1199,0)))</f>
        <v/>
      </c>
      <c r="C565" s="6" t="str">
        <f>IF(ISNA(MATCH(556,'Transfer Engine'!$C$2:$C$1199,0)),"",INDEX('Compliance Database'!$C$2:$C$1199,MATCH(556,'Transfer Engine'!$C$2:$C$1199,0)))</f>
        <v/>
      </c>
      <c r="D565" s="7" t="str">
        <f>IF(ISNA(MATCH(556,'Transfer Engine'!$C$2:$C$1199,0)),"",INDEX('Compliance Database'!$D$2:$D$1199,MATCH(556,'Transfer Engine'!$C$2:$C$1199,0)))</f>
        <v/>
      </c>
      <c r="E565" s="6" t="str">
        <f>IF(ISNA(MATCH(556,'Transfer Engine'!$C$2:$C$1199,0)),"",INDEX('Compliance Database'!$E$2:$E$1199,MATCH(556,'Transfer Engine'!$C$2:$C$1199,0)))</f>
        <v/>
      </c>
      <c r="F565" s="6" t="str">
        <f>IF(ISNA(MATCH(556,'Transfer Engine'!$C$2:$C$1199,0)),"",INDEX('Compliance Database'!$F$2:$F$1199,MATCH(556,'Transfer Engine'!$C$2:$C$1199,0)))</f>
        <v/>
      </c>
      <c r="G565" s="6" t="str">
        <f>IF(ISNA(MATCH(556,'Transfer Engine'!$C$2:$C$1199,0)),"",INDEX('Compliance Database'!$G$2:$G$1199,MATCH(556,'Transfer Engine'!$C$2:$C$1199,0)))</f>
        <v/>
      </c>
      <c r="H565" s="7" t="str">
        <f>IF(ISNA(MATCH(556,'Transfer Engine'!$C$2:$C$1199,0)),"",INDEX('Compliance Database'!$H$2:$H$1199,MATCH(556,'Transfer Engine'!$C$2:$C$1199,0)))</f>
        <v/>
      </c>
      <c r="I565" s="7" t="str">
        <f>IF(ISNA(MATCH(556,'Transfer Engine'!$C$2:$C$1199,0)),"",INDEX('Compliance Database'!$I$2:$I$1199,MATCH(556,'Transfer Engine'!$C$2:$C$1199,0)))</f>
        <v/>
      </c>
      <c r="J565" s="6" t="str">
        <f>IF(ISNA(MATCH(556,'Transfer Engine'!$C$2:$C$1199,0)),"",INDEX('Compliance Database'!$J$2:$J$1199,MATCH(556,'Transfer Engine'!$C$2:$C$1199,0)))</f>
        <v/>
      </c>
      <c r="K565" s="7" t="str">
        <f>IF(ISNA(MATCH(556,'Transfer Engine'!$C$2:$C$1199,0)),"",INDEX('Compliance Database'!$K$2:$K$1199,MATCH(556,'Transfer Engine'!$C$2:$C$1199,0)))</f>
        <v/>
      </c>
      <c r="L565" s="7" t="str">
        <f>IF(ISNA(MATCH(556,'Transfer Engine'!$C$2:$C$1199,0)),"",INDEX('Compliance Database'!$L$2:$L$1199,MATCH(556,'Transfer Engine'!$C$2:$C$1199,0)))</f>
        <v/>
      </c>
      <c r="M565" s="7" t="str">
        <f>IF(ISNA(MATCH(556,'Transfer Engine'!$C$2:$C$1199,0)),"",INDEX('Compliance Database'!$M$2:$M$1199,MATCH(556,'Transfer Engine'!$C$2:$C$1199,0)))</f>
        <v/>
      </c>
      <c r="N565" s="7" t="str">
        <f>IF(ISNA(MATCH(556,'Transfer Engine'!$C$2:$C$1199,0)),"",INDEX('Compliance Database'!$N$2:$N$1199,MATCH(556,'Transfer Engine'!$C$2:$C$1199,0)))</f>
        <v/>
      </c>
      <c r="O565" s="7" t="str">
        <f>IF(ISNA(MATCH(556,'Transfer Engine'!$C$2:$C$1199,0)),"",INDEX('Compliance Database'!$O$2:$O$1199,MATCH(556,'Transfer Engine'!$C$2:$C$1199,0)))</f>
        <v/>
      </c>
      <c r="P565" s="6" t="str">
        <f>IF(ISNA(MATCH(556,'Transfer Engine'!$C$2:$C$1199,0)),"",HYPERLINK("#Acts!A"&amp;INDEX('Compliance Database'!$P$2:$P$1199,MATCH(556,'Transfer Engine'!$C$2:$C$1199,0)),"Go to Act"))</f>
        <v/>
      </c>
    </row>
    <row r="566" spans="1:16" ht="172.95" customHeight="1" x14ac:dyDescent="0.3">
      <c r="A566" s="6" t="str">
        <f>IF(ISNA(MATCH(557,'Transfer Engine'!$C$2:$C$1199,0)),"",INDEX('Compliance Database'!$A$2:$A$1199,MATCH(557,'Transfer Engine'!$C$2:$C$1199,0)))</f>
        <v/>
      </c>
      <c r="B566" s="6" t="str">
        <f>IF(ISNA(MATCH(557,'Transfer Engine'!$C$2:$C$1199,0)),"",INDEX('Compliance Database'!$B$2:$B$1199,MATCH(557,'Transfer Engine'!$C$2:$C$1199,0)))</f>
        <v/>
      </c>
      <c r="C566" s="6" t="str">
        <f>IF(ISNA(MATCH(557,'Transfer Engine'!$C$2:$C$1199,0)),"",INDEX('Compliance Database'!$C$2:$C$1199,MATCH(557,'Transfer Engine'!$C$2:$C$1199,0)))</f>
        <v/>
      </c>
      <c r="D566" s="7" t="str">
        <f>IF(ISNA(MATCH(557,'Transfer Engine'!$C$2:$C$1199,0)),"",INDEX('Compliance Database'!$D$2:$D$1199,MATCH(557,'Transfer Engine'!$C$2:$C$1199,0)))</f>
        <v/>
      </c>
      <c r="E566" s="6" t="str">
        <f>IF(ISNA(MATCH(557,'Transfer Engine'!$C$2:$C$1199,0)),"",INDEX('Compliance Database'!$E$2:$E$1199,MATCH(557,'Transfer Engine'!$C$2:$C$1199,0)))</f>
        <v/>
      </c>
      <c r="F566" s="6" t="str">
        <f>IF(ISNA(MATCH(557,'Transfer Engine'!$C$2:$C$1199,0)),"",INDEX('Compliance Database'!$F$2:$F$1199,MATCH(557,'Transfer Engine'!$C$2:$C$1199,0)))</f>
        <v/>
      </c>
      <c r="G566" s="6" t="str">
        <f>IF(ISNA(MATCH(557,'Transfer Engine'!$C$2:$C$1199,0)),"",INDEX('Compliance Database'!$G$2:$G$1199,MATCH(557,'Transfer Engine'!$C$2:$C$1199,0)))</f>
        <v/>
      </c>
      <c r="H566" s="7" t="str">
        <f>IF(ISNA(MATCH(557,'Transfer Engine'!$C$2:$C$1199,0)),"",INDEX('Compliance Database'!$H$2:$H$1199,MATCH(557,'Transfer Engine'!$C$2:$C$1199,0)))</f>
        <v/>
      </c>
      <c r="I566" s="7" t="str">
        <f>IF(ISNA(MATCH(557,'Transfer Engine'!$C$2:$C$1199,0)),"",INDEX('Compliance Database'!$I$2:$I$1199,MATCH(557,'Transfer Engine'!$C$2:$C$1199,0)))</f>
        <v/>
      </c>
      <c r="J566" s="6" t="str">
        <f>IF(ISNA(MATCH(557,'Transfer Engine'!$C$2:$C$1199,0)),"",INDEX('Compliance Database'!$J$2:$J$1199,MATCH(557,'Transfer Engine'!$C$2:$C$1199,0)))</f>
        <v/>
      </c>
      <c r="K566" s="7" t="str">
        <f>IF(ISNA(MATCH(557,'Transfer Engine'!$C$2:$C$1199,0)),"",INDEX('Compliance Database'!$K$2:$K$1199,MATCH(557,'Transfer Engine'!$C$2:$C$1199,0)))</f>
        <v/>
      </c>
      <c r="L566" s="7" t="str">
        <f>IF(ISNA(MATCH(557,'Transfer Engine'!$C$2:$C$1199,0)),"",INDEX('Compliance Database'!$L$2:$L$1199,MATCH(557,'Transfer Engine'!$C$2:$C$1199,0)))</f>
        <v/>
      </c>
      <c r="M566" s="7" t="str">
        <f>IF(ISNA(MATCH(557,'Transfer Engine'!$C$2:$C$1199,0)),"",INDEX('Compliance Database'!$M$2:$M$1199,MATCH(557,'Transfer Engine'!$C$2:$C$1199,0)))</f>
        <v/>
      </c>
      <c r="N566" s="7" t="str">
        <f>IF(ISNA(MATCH(557,'Transfer Engine'!$C$2:$C$1199,0)),"",INDEX('Compliance Database'!$N$2:$N$1199,MATCH(557,'Transfer Engine'!$C$2:$C$1199,0)))</f>
        <v/>
      </c>
      <c r="O566" s="7" t="str">
        <f>IF(ISNA(MATCH(557,'Transfer Engine'!$C$2:$C$1199,0)),"",INDEX('Compliance Database'!$O$2:$O$1199,MATCH(557,'Transfer Engine'!$C$2:$C$1199,0)))</f>
        <v/>
      </c>
      <c r="P566" s="6" t="str">
        <f>IF(ISNA(MATCH(557,'Transfer Engine'!$C$2:$C$1199,0)),"",HYPERLINK("#Acts!A"&amp;INDEX('Compliance Database'!$P$2:$P$1199,MATCH(557,'Transfer Engine'!$C$2:$C$1199,0)),"Go to Act"))</f>
        <v/>
      </c>
    </row>
    <row r="567" spans="1:16" ht="172.95" customHeight="1" x14ac:dyDescent="0.3">
      <c r="A567" s="6" t="str">
        <f>IF(ISNA(MATCH(558,'Transfer Engine'!$C$2:$C$1199,0)),"",INDEX('Compliance Database'!$A$2:$A$1199,MATCH(558,'Transfer Engine'!$C$2:$C$1199,0)))</f>
        <v/>
      </c>
      <c r="B567" s="6" t="str">
        <f>IF(ISNA(MATCH(558,'Transfer Engine'!$C$2:$C$1199,0)),"",INDEX('Compliance Database'!$B$2:$B$1199,MATCH(558,'Transfer Engine'!$C$2:$C$1199,0)))</f>
        <v/>
      </c>
      <c r="C567" s="6" t="str">
        <f>IF(ISNA(MATCH(558,'Transfer Engine'!$C$2:$C$1199,0)),"",INDEX('Compliance Database'!$C$2:$C$1199,MATCH(558,'Transfer Engine'!$C$2:$C$1199,0)))</f>
        <v/>
      </c>
      <c r="D567" s="7" t="str">
        <f>IF(ISNA(MATCH(558,'Transfer Engine'!$C$2:$C$1199,0)),"",INDEX('Compliance Database'!$D$2:$D$1199,MATCH(558,'Transfer Engine'!$C$2:$C$1199,0)))</f>
        <v/>
      </c>
      <c r="E567" s="6" t="str">
        <f>IF(ISNA(MATCH(558,'Transfer Engine'!$C$2:$C$1199,0)),"",INDEX('Compliance Database'!$E$2:$E$1199,MATCH(558,'Transfer Engine'!$C$2:$C$1199,0)))</f>
        <v/>
      </c>
      <c r="F567" s="6" t="str">
        <f>IF(ISNA(MATCH(558,'Transfer Engine'!$C$2:$C$1199,0)),"",INDEX('Compliance Database'!$F$2:$F$1199,MATCH(558,'Transfer Engine'!$C$2:$C$1199,0)))</f>
        <v/>
      </c>
      <c r="G567" s="6" t="str">
        <f>IF(ISNA(MATCH(558,'Transfer Engine'!$C$2:$C$1199,0)),"",INDEX('Compliance Database'!$G$2:$G$1199,MATCH(558,'Transfer Engine'!$C$2:$C$1199,0)))</f>
        <v/>
      </c>
      <c r="H567" s="7" t="str">
        <f>IF(ISNA(MATCH(558,'Transfer Engine'!$C$2:$C$1199,0)),"",INDEX('Compliance Database'!$H$2:$H$1199,MATCH(558,'Transfer Engine'!$C$2:$C$1199,0)))</f>
        <v/>
      </c>
      <c r="I567" s="7" t="str">
        <f>IF(ISNA(MATCH(558,'Transfer Engine'!$C$2:$C$1199,0)),"",INDEX('Compliance Database'!$I$2:$I$1199,MATCH(558,'Transfer Engine'!$C$2:$C$1199,0)))</f>
        <v/>
      </c>
      <c r="J567" s="6" t="str">
        <f>IF(ISNA(MATCH(558,'Transfer Engine'!$C$2:$C$1199,0)),"",INDEX('Compliance Database'!$J$2:$J$1199,MATCH(558,'Transfer Engine'!$C$2:$C$1199,0)))</f>
        <v/>
      </c>
      <c r="K567" s="7" t="str">
        <f>IF(ISNA(MATCH(558,'Transfer Engine'!$C$2:$C$1199,0)),"",INDEX('Compliance Database'!$K$2:$K$1199,MATCH(558,'Transfer Engine'!$C$2:$C$1199,0)))</f>
        <v/>
      </c>
      <c r="L567" s="7" t="str">
        <f>IF(ISNA(MATCH(558,'Transfer Engine'!$C$2:$C$1199,0)),"",INDEX('Compliance Database'!$L$2:$L$1199,MATCH(558,'Transfer Engine'!$C$2:$C$1199,0)))</f>
        <v/>
      </c>
      <c r="M567" s="7" t="str">
        <f>IF(ISNA(MATCH(558,'Transfer Engine'!$C$2:$C$1199,0)),"",INDEX('Compliance Database'!$M$2:$M$1199,MATCH(558,'Transfer Engine'!$C$2:$C$1199,0)))</f>
        <v/>
      </c>
      <c r="N567" s="7" t="str">
        <f>IF(ISNA(MATCH(558,'Transfer Engine'!$C$2:$C$1199,0)),"",INDEX('Compliance Database'!$N$2:$N$1199,MATCH(558,'Transfer Engine'!$C$2:$C$1199,0)))</f>
        <v/>
      </c>
      <c r="O567" s="7" t="str">
        <f>IF(ISNA(MATCH(558,'Transfer Engine'!$C$2:$C$1199,0)),"",INDEX('Compliance Database'!$O$2:$O$1199,MATCH(558,'Transfer Engine'!$C$2:$C$1199,0)))</f>
        <v/>
      </c>
      <c r="P567" s="6" t="str">
        <f>IF(ISNA(MATCH(558,'Transfer Engine'!$C$2:$C$1199,0)),"",HYPERLINK("#Acts!A"&amp;INDEX('Compliance Database'!$P$2:$P$1199,MATCH(558,'Transfer Engine'!$C$2:$C$1199,0)),"Go to Act"))</f>
        <v/>
      </c>
    </row>
    <row r="568" spans="1:16" ht="172.95" customHeight="1" x14ac:dyDescent="0.3">
      <c r="A568" s="6" t="str">
        <f>IF(ISNA(MATCH(559,'Transfer Engine'!$C$2:$C$1199,0)),"",INDEX('Compliance Database'!$A$2:$A$1199,MATCH(559,'Transfer Engine'!$C$2:$C$1199,0)))</f>
        <v/>
      </c>
      <c r="B568" s="6" t="str">
        <f>IF(ISNA(MATCH(559,'Transfer Engine'!$C$2:$C$1199,0)),"",INDEX('Compliance Database'!$B$2:$B$1199,MATCH(559,'Transfer Engine'!$C$2:$C$1199,0)))</f>
        <v/>
      </c>
      <c r="C568" s="6" t="str">
        <f>IF(ISNA(MATCH(559,'Transfer Engine'!$C$2:$C$1199,0)),"",INDEX('Compliance Database'!$C$2:$C$1199,MATCH(559,'Transfer Engine'!$C$2:$C$1199,0)))</f>
        <v/>
      </c>
      <c r="D568" s="7" t="str">
        <f>IF(ISNA(MATCH(559,'Transfer Engine'!$C$2:$C$1199,0)),"",INDEX('Compliance Database'!$D$2:$D$1199,MATCH(559,'Transfer Engine'!$C$2:$C$1199,0)))</f>
        <v/>
      </c>
      <c r="E568" s="6" t="str">
        <f>IF(ISNA(MATCH(559,'Transfer Engine'!$C$2:$C$1199,0)),"",INDEX('Compliance Database'!$E$2:$E$1199,MATCH(559,'Transfer Engine'!$C$2:$C$1199,0)))</f>
        <v/>
      </c>
      <c r="F568" s="6" t="str">
        <f>IF(ISNA(MATCH(559,'Transfer Engine'!$C$2:$C$1199,0)),"",INDEX('Compliance Database'!$F$2:$F$1199,MATCH(559,'Transfer Engine'!$C$2:$C$1199,0)))</f>
        <v/>
      </c>
      <c r="G568" s="6" t="str">
        <f>IF(ISNA(MATCH(559,'Transfer Engine'!$C$2:$C$1199,0)),"",INDEX('Compliance Database'!$G$2:$G$1199,MATCH(559,'Transfer Engine'!$C$2:$C$1199,0)))</f>
        <v/>
      </c>
      <c r="H568" s="7" t="str">
        <f>IF(ISNA(MATCH(559,'Transfer Engine'!$C$2:$C$1199,0)),"",INDEX('Compliance Database'!$H$2:$H$1199,MATCH(559,'Transfer Engine'!$C$2:$C$1199,0)))</f>
        <v/>
      </c>
      <c r="I568" s="7" t="str">
        <f>IF(ISNA(MATCH(559,'Transfer Engine'!$C$2:$C$1199,0)),"",INDEX('Compliance Database'!$I$2:$I$1199,MATCH(559,'Transfer Engine'!$C$2:$C$1199,0)))</f>
        <v/>
      </c>
      <c r="J568" s="6" t="str">
        <f>IF(ISNA(MATCH(559,'Transfer Engine'!$C$2:$C$1199,0)),"",INDEX('Compliance Database'!$J$2:$J$1199,MATCH(559,'Transfer Engine'!$C$2:$C$1199,0)))</f>
        <v/>
      </c>
      <c r="K568" s="7" t="str">
        <f>IF(ISNA(MATCH(559,'Transfer Engine'!$C$2:$C$1199,0)),"",INDEX('Compliance Database'!$K$2:$K$1199,MATCH(559,'Transfer Engine'!$C$2:$C$1199,0)))</f>
        <v/>
      </c>
      <c r="L568" s="7" t="str">
        <f>IF(ISNA(MATCH(559,'Transfer Engine'!$C$2:$C$1199,0)),"",INDEX('Compliance Database'!$L$2:$L$1199,MATCH(559,'Transfer Engine'!$C$2:$C$1199,0)))</f>
        <v/>
      </c>
      <c r="M568" s="7" t="str">
        <f>IF(ISNA(MATCH(559,'Transfer Engine'!$C$2:$C$1199,0)),"",INDEX('Compliance Database'!$M$2:$M$1199,MATCH(559,'Transfer Engine'!$C$2:$C$1199,0)))</f>
        <v/>
      </c>
      <c r="N568" s="7" t="str">
        <f>IF(ISNA(MATCH(559,'Transfer Engine'!$C$2:$C$1199,0)),"",INDEX('Compliance Database'!$N$2:$N$1199,MATCH(559,'Transfer Engine'!$C$2:$C$1199,0)))</f>
        <v/>
      </c>
      <c r="O568" s="7" t="str">
        <f>IF(ISNA(MATCH(559,'Transfer Engine'!$C$2:$C$1199,0)),"",INDEX('Compliance Database'!$O$2:$O$1199,MATCH(559,'Transfer Engine'!$C$2:$C$1199,0)))</f>
        <v/>
      </c>
      <c r="P568" s="6" t="str">
        <f>IF(ISNA(MATCH(559,'Transfer Engine'!$C$2:$C$1199,0)),"",HYPERLINK("#Acts!A"&amp;INDEX('Compliance Database'!$P$2:$P$1199,MATCH(559,'Transfer Engine'!$C$2:$C$1199,0)),"Go to Act"))</f>
        <v/>
      </c>
    </row>
    <row r="569" spans="1:16" ht="172.95" customHeight="1" x14ac:dyDescent="0.3">
      <c r="A569" s="6" t="str">
        <f>IF(ISNA(MATCH(560,'Transfer Engine'!$C$2:$C$1199,0)),"",INDEX('Compliance Database'!$A$2:$A$1199,MATCH(560,'Transfer Engine'!$C$2:$C$1199,0)))</f>
        <v/>
      </c>
      <c r="B569" s="6" t="str">
        <f>IF(ISNA(MATCH(560,'Transfer Engine'!$C$2:$C$1199,0)),"",INDEX('Compliance Database'!$B$2:$B$1199,MATCH(560,'Transfer Engine'!$C$2:$C$1199,0)))</f>
        <v/>
      </c>
      <c r="C569" s="6" t="str">
        <f>IF(ISNA(MATCH(560,'Transfer Engine'!$C$2:$C$1199,0)),"",INDEX('Compliance Database'!$C$2:$C$1199,MATCH(560,'Transfer Engine'!$C$2:$C$1199,0)))</f>
        <v/>
      </c>
      <c r="D569" s="7" t="str">
        <f>IF(ISNA(MATCH(560,'Transfer Engine'!$C$2:$C$1199,0)),"",INDEX('Compliance Database'!$D$2:$D$1199,MATCH(560,'Transfer Engine'!$C$2:$C$1199,0)))</f>
        <v/>
      </c>
      <c r="E569" s="6" t="str">
        <f>IF(ISNA(MATCH(560,'Transfer Engine'!$C$2:$C$1199,0)),"",INDEX('Compliance Database'!$E$2:$E$1199,MATCH(560,'Transfer Engine'!$C$2:$C$1199,0)))</f>
        <v/>
      </c>
      <c r="F569" s="6" t="str">
        <f>IF(ISNA(MATCH(560,'Transfer Engine'!$C$2:$C$1199,0)),"",INDEX('Compliance Database'!$F$2:$F$1199,MATCH(560,'Transfer Engine'!$C$2:$C$1199,0)))</f>
        <v/>
      </c>
      <c r="G569" s="6" t="str">
        <f>IF(ISNA(MATCH(560,'Transfer Engine'!$C$2:$C$1199,0)),"",INDEX('Compliance Database'!$G$2:$G$1199,MATCH(560,'Transfer Engine'!$C$2:$C$1199,0)))</f>
        <v/>
      </c>
      <c r="H569" s="7" t="str">
        <f>IF(ISNA(MATCH(560,'Transfer Engine'!$C$2:$C$1199,0)),"",INDEX('Compliance Database'!$H$2:$H$1199,MATCH(560,'Transfer Engine'!$C$2:$C$1199,0)))</f>
        <v/>
      </c>
      <c r="I569" s="7" t="str">
        <f>IF(ISNA(MATCH(560,'Transfer Engine'!$C$2:$C$1199,0)),"",INDEX('Compliance Database'!$I$2:$I$1199,MATCH(560,'Transfer Engine'!$C$2:$C$1199,0)))</f>
        <v/>
      </c>
      <c r="J569" s="6" t="str">
        <f>IF(ISNA(MATCH(560,'Transfer Engine'!$C$2:$C$1199,0)),"",INDEX('Compliance Database'!$J$2:$J$1199,MATCH(560,'Transfer Engine'!$C$2:$C$1199,0)))</f>
        <v/>
      </c>
      <c r="K569" s="7" t="str">
        <f>IF(ISNA(MATCH(560,'Transfer Engine'!$C$2:$C$1199,0)),"",INDEX('Compliance Database'!$K$2:$K$1199,MATCH(560,'Transfer Engine'!$C$2:$C$1199,0)))</f>
        <v/>
      </c>
      <c r="L569" s="7" t="str">
        <f>IF(ISNA(MATCH(560,'Transfer Engine'!$C$2:$C$1199,0)),"",INDEX('Compliance Database'!$L$2:$L$1199,MATCH(560,'Transfer Engine'!$C$2:$C$1199,0)))</f>
        <v/>
      </c>
      <c r="M569" s="7" t="str">
        <f>IF(ISNA(MATCH(560,'Transfer Engine'!$C$2:$C$1199,0)),"",INDEX('Compliance Database'!$M$2:$M$1199,MATCH(560,'Transfer Engine'!$C$2:$C$1199,0)))</f>
        <v/>
      </c>
      <c r="N569" s="7" t="str">
        <f>IF(ISNA(MATCH(560,'Transfer Engine'!$C$2:$C$1199,0)),"",INDEX('Compliance Database'!$N$2:$N$1199,MATCH(560,'Transfer Engine'!$C$2:$C$1199,0)))</f>
        <v/>
      </c>
      <c r="O569" s="7" t="str">
        <f>IF(ISNA(MATCH(560,'Transfer Engine'!$C$2:$C$1199,0)),"",INDEX('Compliance Database'!$O$2:$O$1199,MATCH(560,'Transfer Engine'!$C$2:$C$1199,0)))</f>
        <v/>
      </c>
      <c r="P569" s="6" t="str">
        <f>IF(ISNA(MATCH(560,'Transfer Engine'!$C$2:$C$1199,0)),"",HYPERLINK("#Acts!A"&amp;INDEX('Compliance Database'!$P$2:$P$1199,MATCH(560,'Transfer Engine'!$C$2:$C$1199,0)),"Go to Act"))</f>
        <v/>
      </c>
    </row>
    <row r="570" spans="1:16" ht="172.95" customHeight="1" x14ac:dyDescent="0.3">
      <c r="A570" s="6" t="str">
        <f>IF(ISNA(MATCH(561,'Transfer Engine'!$C$2:$C$1199,0)),"",INDEX('Compliance Database'!$A$2:$A$1199,MATCH(561,'Transfer Engine'!$C$2:$C$1199,0)))</f>
        <v/>
      </c>
      <c r="B570" s="6" t="str">
        <f>IF(ISNA(MATCH(561,'Transfer Engine'!$C$2:$C$1199,0)),"",INDEX('Compliance Database'!$B$2:$B$1199,MATCH(561,'Transfer Engine'!$C$2:$C$1199,0)))</f>
        <v/>
      </c>
      <c r="C570" s="6" t="str">
        <f>IF(ISNA(MATCH(561,'Transfer Engine'!$C$2:$C$1199,0)),"",INDEX('Compliance Database'!$C$2:$C$1199,MATCH(561,'Transfer Engine'!$C$2:$C$1199,0)))</f>
        <v/>
      </c>
      <c r="D570" s="7" t="str">
        <f>IF(ISNA(MATCH(561,'Transfer Engine'!$C$2:$C$1199,0)),"",INDEX('Compliance Database'!$D$2:$D$1199,MATCH(561,'Transfer Engine'!$C$2:$C$1199,0)))</f>
        <v/>
      </c>
      <c r="E570" s="6" t="str">
        <f>IF(ISNA(MATCH(561,'Transfer Engine'!$C$2:$C$1199,0)),"",INDEX('Compliance Database'!$E$2:$E$1199,MATCH(561,'Transfer Engine'!$C$2:$C$1199,0)))</f>
        <v/>
      </c>
      <c r="F570" s="6" t="str">
        <f>IF(ISNA(MATCH(561,'Transfer Engine'!$C$2:$C$1199,0)),"",INDEX('Compliance Database'!$F$2:$F$1199,MATCH(561,'Transfer Engine'!$C$2:$C$1199,0)))</f>
        <v/>
      </c>
      <c r="G570" s="6" t="str">
        <f>IF(ISNA(MATCH(561,'Transfer Engine'!$C$2:$C$1199,0)),"",INDEX('Compliance Database'!$G$2:$G$1199,MATCH(561,'Transfer Engine'!$C$2:$C$1199,0)))</f>
        <v/>
      </c>
      <c r="H570" s="7" t="str">
        <f>IF(ISNA(MATCH(561,'Transfer Engine'!$C$2:$C$1199,0)),"",INDEX('Compliance Database'!$H$2:$H$1199,MATCH(561,'Transfer Engine'!$C$2:$C$1199,0)))</f>
        <v/>
      </c>
      <c r="I570" s="7" t="str">
        <f>IF(ISNA(MATCH(561,'Transfer Engine'!$C$2:$C$1199,0)),"",INDEX('Compliance Database'!$I$2:$I$1199,MATCH(561,'Transfer Engine'!$C$2:$C$1199,0)))</f>
        <v/>
      </c>
      <c r="J570" s="6" t="str">
        <f>IF(ISNA(MATCH(561,'Transfer Engine'!$C$2:$C$1199,0)),"",INDEX('Compliance Database'!$J$2:$J$1199,MATCH(561,'Transfer Engine'!$C$2:$C$1199,0)))</f>
        <v/>
      </c>
      <c r="K570" s="7" t="str">
        <f>IF(ISNA(MATCH(561,'Transfer Engine'!$C$2:$C$1199,0)),"",INDEX('Compliance Database'!$K$2:$K$1199,MATCH(561,'Transfer Engine'!$C$2:$C$1199,0)))</f>
        <v/>
      </c>
      <c r="L570" s="7" t="str">
        <f>IF(ISNA(MATCH(561,'Transfer Engine'!$C$2:$C$1199,0)),"",INDEX('Compliance Database'!$L$2:$L$1199,MATCH(561,'Transfer Engine'!$C$2:$C$1199,0)))</f>
        <v/>
      </c>
      <c r="M570" s="7" t="str">
        <f>IF(ISNA(MATCH(561,'Transfer Engine'!$C$2:$C$1199,0)),"",INDEX('Compliance Database'!$M$2:$M$1199,MATCH(561,'Transfer Engine'!$C$2:$C$1199,0)))</f>
        <v/>
      </c>
      <c r="N570" s="7" t="str">
        <f>IF(ISNA(MATCH(561,'Transfer Engine'!$C$2:$C$1199,0)),"",INDEX('Compliance Database'!$N$2:$N$1199,MATCH(561,'Transfer Engine'!$C$2:$C$1199,0)))</f>
        <v/>
      </c>
      <c r="O570" s="7" t="str">
        <f>IF(ISNA(MATCH(561,'Transfer Engine'!$C$2:$C$1199,0)),"",INDEX('Compliance Database'!$O$2:$O$1199,MATCH(561,'Transfer Engine'!$C$2:$C$1199,0)))</f>
        <v/>
      </c>
      <c r="P570" s="6" t="str">
        <f>IF(ISNA(MATCH(561,'Transfer Engine'!$C$2:$C$1199,0)),"",HYPERLINK("#Acts!A"&amp;INDEX('Compliance Database'!$P$2:$P$1199,MATCH(561,'Transfer Engine'!$C$2:$C$1199,0)),"Go to Act"))</f>
        <v/>
      </c>
    </row>
    <row r="571" spans="1:16" ht="172.95" customHeight="1" x14ac:dyDescent="0.3">
      <c r="A571" s="6" t="str">
        <f>IF(ISNA(MATCH(562,'Transfer Engine'!$C$2:$C$1199,0)),"",INDEX('Compliance Database'!$A$2:$A$1199,MATCH(562,'Transfer Engine'!$C$2:$C$1199,0)))</f>
        <v/>
      </c>
      <c r="B571" s="6" t="str">
        <f>IF(ISNA(MATCH(562,'Transfer Engine'!$C$2:$C$1199,0)),"",INDEX('Compliance Database'!$B$2:$B$1199,MATCH(562,'Transfer Engine'!$C$2:$C$1199,0)))</f>
        <v/>
      </c>
      <c r="C571" s="6" t="str">
        <f>IF(ISNA(MATCH(562,'Transfer Engine'!$C$2:$C$1199,0)),"",INDEX('Compliance Database'!$C$2:$C$1199,MATCH(562,'Transfer Engine'!$C$2:$C$1199,0)))</f>
        <v/>
      </c>
      <c r="D571" s="7" t="str">
        <f>IF(ISNA(MATCH(562,'Transfer Engine'!$C$2:$C$1199,0)),"",INDEX('Compliance Database'!$D$2:$D$1199,MATCH(562,'Transfer Engine'!$C$2:$C$1199,0)))</f>
        <v/>
      </c>
      <c r="E571" s="6" t="str">
        <f>IF(ISNA(MATCH(562,'Transfer Engine'!$C$2:$C$1199,0)),"",INDEX('Compliance Database'!$E$2:$E$1199,MATCH(562,'Transfer Engine'!$C$2:$C$1199,0)))</f>
        <v/>
      </c>
      <c r="F571" s="6" t="str">
        <f>IF(ISNA(MATCH(562,'Transfer Engine'!$C$2:$C$1199,0)),"",INDEX('Compliance Database'!$F$2:$F$1199,MATCH(562,'Transfer Engine'!$C$2:$C$1199,0)))</f>
        <v/>
      </c>
      <c r="G571" s="6" t="str">
        <f>IF(ISNA(MATCH(562,'Transfer Engine'!$C$2:$C$1199,0)),"",INDEX('Compliance Database'!$G$2:$G$1199,MATCH(562,'Transfer Engine'!$C$2:$C$1199,0)))</f>
        <v/>
      </c>
      <c r="H571" s="7" t="str">
        <f>IF(ISNA(MATCH(562,'Transfer Engine'!$C$2:$C$1199,0)),"",INDEX('Compliance Database'!$H$2:$H$1199,MATCH(562,'Transfer Engine'!$C$2:$C$1199,0)))</f>
        <v/>
      </c>
      <c r="I571" s="7" t="str">
        <f>IF(ISNA(MATCH(562,'Transfer Engine'!$C$2:$C$1199,0)),"",INDEX('Compliance Database'!$I$2:$I$1199,MATCH(562,'Transfer Engine'!$C$2:$C$1199,0)))</f>
        <v/>
      </c>
      <c r="J571" s="6" t="str">
        <f>IF(ISNA(MATCH(562,'Transfer Engine'!$C$2:$C$1199,0)),"",INDEX('Compliance Database'!$J$2:$J$1199,MATCH(562,'Transfer Engine'!$C$2:$C$1199,0)))</f>
        <v/>
      </c>
      <c r="K571" s="7" t="str">
        <f>IF(ISNA(MATCH(562,'Transfer Engine'!$C$2:$C$1199,0)),"",INDEX('Compliance Database'!$K$2:$K$1199,MATCH(562,'Transfer Engine'!$C$2:$C$1199,0)))</f>
        <v/>
      </c>
      <c r="L571" s="7" t="str">
        <f>IF(ISNA(MATCH(562,'Transfer Engine'!$C$2:$C$1199,0)),"",INDEX('Compliance Database'!$L$2:$L$1199,MATCH(562,'Transfer Engine'!$C$2:$C$1199,0)))</f>
        <v/>
      </c>
      <c r="M571" s="7" t="str">
        <f>IF(ISNA(MATCH(562,'Transfer Engine'!$C$2:$C$1199,0)),"",INDEX('Compliance Database'!$M$2:$M$1199,MATCH(562,'Transfer Engine'!$C$2:$C$1199,0)))</f>
        <v/>
      </c>
      <c r="N571" s="7" t="str">
        <f>IF(ISNA(MATCH(562,'Transfer Engine'!$C$2:$C$1199,0)),"",INDEX('Compliance Database'!$N$2:$N$1199,MATCH(562,'Transfer Engine'!$C$2:$C$1199,0)))</f>
        <v/>
      </c>
      <c r="O571" s="7" t="str">
        <f>IF(ISNA(MATCH(562,'Transfer Engine'!$C$2:$C$1199,0)),"",INDEX('Compliance Database'!$O$2:$O$1199,MATCH(562,'Transfer Engine'!$C$2:$C$1199,0)))</f>
        <v/>
      </c>
      <c r="P571" s="6" t="str">
        <f>IF(ISNA(MATCH(562,'Transfer Engine'!$C$2:$C$1199,0)),"",HYPERLINK("#Acts!A"&amp;INDEX('Compliance Database'!$P$2:$P$1199,MATCH(562,'Transfer Engine'!$C$2:$C$1199,0)),"Go to Act"))</f>
        <v/>
      </c>
    </row>
    <row r="572" spans="1:16" ht="172.95" customHeight="1" x14ac:dyDescent="0.3">
      <c r="A572" s="6" t="str">
        <f>IF(ISNA(MATCH(563,'Transfer Engine'!$C$2:$C$1199,0)),"",INDEX('Compliance Database'!$A$2:$A$1199,MATCH(563,'Transfer Engine'!$C$2:$C$1199,0)))</f>
        <v/>
      </c>
      <c r="B572" s="6" t="str">
        <f>IF(ISNA(MATCH(563,'Transfer Engine'!$C$2:$C$1199,0)),"",INDEX('Compliance Database'!$B$2:$B$1199,MATCH(563,'Transfer Engine'!$C$2:$C$1199,0)))</f>
        <v/>
      </c>
      <c r="C572" s="6" t="str">
        <f>IF(ISNA(MATCH(563,'Transfer Engine'!$C$2:$C$1199,0)),"",INDEX('Compliance Database'!$C$2:$C$1199,MATCH(563,'Transfer Engine'!$C$2:$C$1199,0)))</f>
        <v/>
      </c>
      <c r="D572" s="7" t="str">
        <f>IF(ISNA(MATCH(563,'Transfer Engine'!$C$2:$C$1199,0)),"",INDEX('Compliance Database'!$D$2:$D$1199,MATCH(563,'Transfer Engine'!$C$2:$C$1199,0)))</f>
        <v/>
      </c>
      <c r="E572" s="6" t="str">
        <f>IF(ISNA(MATCH(563,'Transfer Engine'!$C$2:$C$1199,0)),"",INDEX('Compliance Database'!$E$2:$E$1199,MATCH(563,'Transfer Engine'!$C$2:$C$1199,0)))</f>
        <v/>
      </c>
      <c r="F572" s="6" t="str">
        <f>IF(ISNA(MATCH(563,'Transfer Engine'!$C$2:$C$1199,0)),"",INDEX('Compliance Database'!$F$2:$F$1199,MATCH(563,'Transfer Engine'!$C$2:$C$1199,0)))</f>
        <v/>
      </c>
      <c r="G572" s="6" t="str">
        <f>IF(ISNA(MATCH(563,'Transfer Engine'!$C$2:$C$1199,0)),"",INDEX('Compliance Database'!$G$2:$G$1199,MATCH(563,'Transfer Engine'!$C$2:$C$1199,0)))</f>
        <v/>
      </c>
      <c r="H572" s="7" t="str">
        <f>IF(ISNA(MATCH(563,'Transfer Engine'!$C$2:$C$1199,0)),"",INDEX('Compliance Database'!$H$2:$H$1199,MATCH(563,'Transfer Engine'!$C$2:$C$1199,0)))</f>
        <v/>
      </c>
      <c r="I572" s="7" t="str">
        <f>IF(ISNA(MATCH(563,'Transfer Engine'!$C$2:$C$1199,0)),"",INDEX('Compliance Database'!$I$2:$I$1199,MATCH(563,'Transfer Engine'!$C$2:$C$1199,0)))</f>
        <v/>
      </c>
      <c r="J572" s="6" t="str">
        <f>IF(ISNA(MATCH(563,'Transfer Engine'!$C$2:$C$1199,0)),"",INDEX('Compliance Database'!$J$2:$J$1199,MATCH(563,'Transfer Engine'!$C$2:$C$1199,0)))</f>
        <v/>
      </c>
      <c r="K572" s="7" t="str">
        <f>IF(ISNA(MATCH(563,'Transfer Engine'!$C$2:$C$1199,0)),"",INDEX('Compliance Database'!$K$2:$K$1199,MATCH(563,'Transfer Engine'!$C$2:$C$1199,0)))</f>
        <v/>
      </c>
      <c r="L572" s="7" t="str">
        <f>IF(ISNA(MATCH(563,'Transfer Engine'!$C$2:$C$1199,0)),"",INDEX('Compliance Database'!$L$2:$L$1199,MATCH(563,'Transfer Engine'!$C$2:$C$1199,0)))</f>
        <v/>
      </c>
      <c r="M572" s="7" t="str">
        <f>IF(ISNA(MATCH(563,'Transfer Engine'!$C$2:$C$1199,0)),"",INDEX('Compliance Database'!$M$2:$M$1199,MATCH(563,'Transfer Engine'!$C$2:$C$1199,0)))</f>
        <v/>
      </c>
      <c r="N572" s="7" t="str">
        <f>IF(ISNA(MATCH(563,'Transfer Engine'!$C$2:$C$1199,0)),"",INDEX('Compliance Database'!$N$2:$N$1199,MATCH(563,'Transfer Engine'!$C$2:$C$1199,0)))</f>
        <v/>
      </c>
      <c r="O572" s="7" t="str">
        <f>IF(ISNA(MATCH(563,'Transfer Engine'!$C$2:$C$1199,0)),"",INDEX('Compliance Database'!$O$2:$O$1199,MATCH(563,'Transfer Engine'!$C$2:$C$1199,0)))</f>
        <v/>
      </c>
      <c r="P572" s="6" t="str">
        <f>IF(ISNA(MATCH(563,'Transfer Engine'!$C$2:$C$1199,0)),"",HYPERLINK("#Acts!A"&amp;INDEX('Compliance Database'!$P$2:$P$1199,MATCH(563,'Transfer Engine'!$C$2:$C$1199,0)),"Go to Act"))</f>
        <v/>
      </c>
    </row>
    <row r="573" spans="1:16" ht="172.95" customHeight="1" x14ac:dyDescent="0.3">
      <c r="A573" s="6" t="str">
        <f>IF(ISNA(MATCH(564,'Transfer Engine'!$C$2:$C$1199,0)),"",INDEX('Compliance Database'!$A$2:$A$1199,MATCH(564,'Transfer Engine'!$C$2:$C$1199,0)))</f>
        <v/>
      </c>
      <c r="B573" s="6" t="str">
        <f>IF(ISNA(MATCH(564,'Transfer Engine'!$C$2:$C$1199,0)),"",INDEX('Compliance Database'!$B$2:$B$1199,MATCH(564,'Transfer Engine'!$C$2:$C$1199,0)))</f>
        <v/>
      </c>
      <c r="C573" s="6" t="str">
        <f>IF(ISNA(MATCH(564,'Transfer Engine'!$C$2:$C$1199,0)),"",INDEX('Compliance Database'!$C$2:$C$1199,MATCH(564,'Transfer Engine'!$C$2:$C$1199,0)))</f>
        <v/>
      </c>
      <c r="D573" s="7" t="str">
        <f>IF(ISNA(MATCH(564,'Transfer Engine'!$C$2:$C$1199,0)),"",INDEX('Compliance Database'!$D$2:$D$1199,MATCH(564,'Transfer Engine'!$C$2:$C$1199,0)))</f>
        <v/>
      </c>
      <c r="E573" s="6" t="str">
        <f>IF(ISNA(MATCH(564,'Transfer Engine'!$C$2:$C$1199,0)),"",INDEX('Compliance Database'!$E$2:$E$1199,MATCH(564,'Transfer Engine'!$C$2:$C$1199,0)))</f>
        <v/>
      </c>
      <c r="F573" s="6" t="str">
        <f>IF(ISNA(MATCH(564,'Transfer Engine'!$C$2:$C$1199,0)),"",INDEX('Compliance Database'!$F$2:$F$1199,MATCH(564,'Transfer Engine'!$C$2:$C$1199,0)))</f>
        <v/>
      </c>
      <c r="G573" s="6" t="str">
        <f>IF(ISNA(MATCH(564,'Transfer Engine'!$C$2:$C$1199,0)),"",INDEX('Compliance Database'!$G$2:$G$1199,MATCH(564,'Transfer Engine'!$C$2:$C$1199,0)))</f>
        <v/>
      </c>
      <c r="H573" s="7" t="str">
        <f>IF(ISNA(MATCH(564,'Transfer Engine'!$C$2:$C$1199,0)),"",INDEX('Compliance Database'!$H$2:$H$1199,MATCH(564,'Transfer Engine'!$C$2:$C$1199,0)))</f>
        <v/>
      </c>
      <c r="I573" s="7" t="str">
        <f>IF(ISNA(MATCH(564,'Transfer Engine'!$C$2:$C$1199,0)),"",INDEX('Compliance Database'!$I$2:$I$1199,MATCH(564,'Transfer Engine'!$C$2:$C$1199,0)))</f>
        <v/>
      </c>
      <c r="J573" s="6" t="str">
        <f>IF(ISNA(MATCH(564,'Transfer Engine'!$C$2:$C$1199,0)),"",INDEX('Compliance Database'!$J$2:$J$1199,MATCH(564,'Transfer Engine'!$C$2:$C$1199,0)))</f>
        <v/>
      </c>
      <c r="K573" s="7" t="str">
        <f>IF(ISNA(MATCH(564,'Transfer Engine'!$C$2:$C$1199,0)),"",INDEX('Compliance Database'!$K$2:$K$1199,MATCH(564,'Transfer Engine'!$C$2:$C$1199,0)))</f>
        <v/>
      </c>
      <c r="L573" s="7" t="str">
        <f>IF(ISNA(MATCH(564,'Transfer Engine'!$C$2:$C$1199,0)),"",INDEX('Compliance Database'!$L$2:$L$1199,MATCH(564,'Transfer Engine'!$C$2:$C$1199,0)))</f>
        <v/>
      </c>
      <c r="M573" s="7" t="str">
        <f>IF(ISNA(MATCH(564,'Transfer Engine'!$C$2:$C$1199,0)),"",INDEX('Compliance Database'!$M$2:$M$1199,MATCH(564,'Transfer Engine'!$C$2:$C$1199,0)))</f>
        <v/>
      </c>
      <c r="N573" s="7" t="str">
        <f>IF(ISNA(MATCH(564,'Transfer Engine'!$C$2:$C$1199,0)),"",INDEX('Compliance Database'!$N$2:$N$1199,MATCH(564,'Transfer Engine'!$C$2:$C$1199,0)))</f>
        <v/>
      </c>
      <c r="O573" s="7" t="str">
        <f>IF(ISNA(MATCH(564,'Transfer Engine'!$C$2:$C$1199,0)),"",INDEX('Compliance Database'!$O$2:$O$1199,MATCH(564,'Transfer Engine'!$C$2:$C$1199,0)))</f>
        <v/>
      </c>
      <c r="P573" s="6" t="str">
        <f>IF(ISNA(MATCH(564,'Transfer Engine'!$C$2:$C$1199,0)),"",HYPERLINK("#Acts!A"&amp;INDEX('Compliance Database'!$P$2:$P$1199,MATCH(564,'Transfer Engine'!$C$2:$C$1199,0)),"Go to Act"))</f>
        <v/>
      </c>
    </row>
    <row r="574" spans="1:16" ht="172.95" customHeight="1" x14ac:dyDescent="0.3">
      <c r="A574" s="6" t="str">
        <f>IF(ISNA(MATCH(565,'Transfer Engine'!$C$2:$C$1199,0)),"",INDEX('Compliance Database'!$A$2:$A$1199,MATCH(565,'Transfer Engine'!$C$2:$C$1199,0)))</f>
        <v/>
      </c>
      <c r="B574" s="6" t="str">
        <f>IF(ISNA(MATCH(565,'Transfer Engine'!$C$2:$C$1199,0)),"",INDEX('Compliance Database'!$B$2:$B$1199,MATCH(565,'Transfer Engine'!$C$2:$C$1199,0)))</f>
        <v/>
      </c>
      <c r="C574" s="6" t="str">
        <f>IF(ISNA(MATCH(565,'Transfer Engine'!$C$2:$C$1199,0)),"",INDEX('Compliance Database'!$C$2:$C$1199,MATCH(565,'Transfer Engine'!$C$2:$C$1199,0)))</f>
        <v/>
      </c>
      <c r="D574" s="7" t="str">
        <f>IF(ISNA(MATCH(565,'Transfer Engine'!$C$2:$C$1199,0)),"",INDEX('Compliance Database'!$D$2:$D$1199,MATCH(565,'Transfer Engine'!$C$2:$C$1199,0)))</f>
        <v/>
      </c>
      <c r="E574" s="6" t="str">
        <f>IF(ISNA(MATCH(565,'Transfer Engine'!$C$2:$C$1199,0)),"",INDEX('Compliance Database'!$E$2:$E$1199,MATCH(565,'Transfer Engine'!$C$2:$C$1199,0)))</f>
        <v/>
      </c>
      <c r="F574" s="6" t="str">
        <f>IF(ISNA(MATCH(565,'Transfer Engine'!$C$2:$C$1199,0)),"",INDEX('Compliance Database'!$F$2:$F$1199,MATCH(565,'Transfer Engine'!$C$2:$C$1199,0)))</f>
        <v/>
      </c>
      <c r="G574" s="6" t="str">
        <f>IF(ISNA(MATCH(565,'Transfer Engine'!$C$2:$C$1199,0)),"",INDEX('Compliance Database'!$G$2:$G$1199,MATCH(565,'Transfer Engine'!$C$2:$C$1199,0)))</f>
        <v/>
      </c>
      <c r="H574" s="7" t="str">
        <f>IF(ISNA(MATCH(565,'Transfer Engine'!$C$2:$C$1199,0)),"",INDEX('Compliance Database'!$H$2:$H$1199,MATCH(565,'Transfer Engine'!$C$2:$C$1199,0)))</f>
        <v/>
      </c>
      <c r="I574" s="7" t="str">
        <f>IF(ISNA(MATCH(565,'Transfer Engine'!$C$2:$C$1199,0)),"",INDEX('Compliance Database'!$I$2:$I$1199,MATCH(565,'Transfer Engine'!$C$2:$C$1199,0)))</f>
        <v/>
      </c>
      <c r="J574" s="6" t="str">
        <f>IF(ISNA(MATCH(565,'Transfer Engine'!$C$2:$C$1199,0)),"",INDEX('Compliance Database'!$J$2:$J$1199,MATCH(565,'Transfer Engine'!$C$2:$C$1199,0)))</f>
        <v/>
      </c>
      <c r="K574" s="7" t="str">
        <f>IF(ISNA(MATCH(565,'Transfer Engine'!$C$2:$C$1199,0)),"",INDEX('Compliance Database'!$K$2:$K$1199,MATCH(565,'Transfer Engine'!$C$2:$C$1199,0)))</f>
        <v/>
      </c>
      <c r="L574" s="7" t="str">
        <f>IF(ISNA(MATCH(565,'Transfer Engine'!$C$2:$C$1199,0)),"",INDEX('Compliance Database'!$L$2:$L$1199,MATCH(565,'Transfer Engine'!$C$2:$C$1199,0)))</f>
        <v/>
      </c>
      <c r="M574" s="7" t="str">
        <f>IF(ISNA(MATCH(565,'Transfer Engine'!$C$2:$C$1199,0)),"",INDEX('Compliance Database'!$M$2:$M$1199,MATCH(565,'Transfer Engine'!$C$2:$C$1199,0)))</f>
        <v/>
      </c>
      <c r="N574" s="7" t="str">
        <f>IF(ISNA(MATCH(565,'Transfer Engine'!$C$2:$C$1199,0)),"",INDEX('Compliance Database'!$N$2:$N$1199,MATCH(565,'Transfer Engine'!$C$2:$C$1199,0)))</f>
        <v/>
      </c>
      <c r="O574" s="7" t="str">
        <f>IF(ISNA(MATCH(565,'Transfer Engine'!$C$2:$C$1199,0)),"",INDEX('Compliance Database'!$O$2:$O$1199,MATCH(565,'Transfer Engine'!$C$2:$C$1199,0)))</f>
        <v/>
      </c>
      <c r="P574" s="6" t="str">
        <f>IF(ISNA(MATCH(565,'Transfer Engine'!$C$2:$C$1199,0)),"",HYPERLINK("#Acts!A"&amp;INDEX('Compliance Database'!$P$2:$P$1199,MATCH(565,'Transfer Engine'!$C$2:$C$1199,0)),"Go to Act"))</f>
        <v/>
      </c>
    </row>
    <row r="575" spans="1:16" ht="172.95" customHeight="1" x14ac:dyDescent="0.3">
      <c r="A575" s="6" t="str">
        <f>IF(ISNA(MATCH(566,'Transfer Engine'!$C$2:$C$1199,0)),"",INDEX('Compliance Database'!$A$2:$A$1199,MATCH(566,'Transfer Engine'!$C$2:$C$1199,0)))</f>
        <v/>
      </c>
      <c r="B575" s="6" t="str">
        <f>IF(ISNA(MATCH(566,'Transfer Engine'!$C$2:$C$1199,0)),"",INDEX('Compliance Database'!$B$2:$B$1199,MATCH(566,'Transfer Engine'!$C$2:$C$1199,0)))</f>
        <v/>
      </c>
      <c r="C575" s="6" t="str">
        <f>IF(ISNA(MATCH(566,'Transfer Engine'!$C$2:$C$1199,0)),"",INDEX('Compliance Database'!$C$2:$C$1199,MATCH(566,'Transfer Engine'!$C$2:$C$1199,0)))</f>
        <v/>
      </c>
      <c r="D575" s="7" t="str">
        <f>IF(ISNA(MATCH(566,'Transfer Engine'!$C$2:$C$1199,0)),"",INDEX('Compliance Database'!$D$2:$D$1199,MATCH(566,'Transfer Engine'!$C$2:$C$1199,0)))</f>
        <v/>
      </c>
      <c r="E575" s="6" t="str">
        <f>IF(ISNA(MATCH(566,'Transfer Engine'!$C$2:$C$1199,0)),"",INDEX('Compliance Database'!$E$2:$E$1199,MATCH(566,'Transfer Engine'!$C$2:$C$1199,0)))</f>
        <v/>
      </c>
      <c r="F575" s="6" t="str">
        <f>IF(ISNA(MATCH(566,'Transfer Engine'!$C$2:$C$1199,0)),"",INDEX('Compliance Database'!$F$2:$F$1199,MATCH(566,'Transfer Engine'!$C$2:$C$1199,0)))</f>
        <v/>
      </c>
      <c r="G575" s="6" t="str">
        <f>IF(ISNA(MATCH(566,'Transfer Engine'!$C$2:$C$1199,0)),"",INDEX('Compliance Database'!$G$2:$G$1199,MATCH(566,'Transfer Engine'!$C$2:$C$1199,0)))</f>
        <v/>
      </c>
      <c r="H575" s="7" t="str">
        <f>IF(ISNA(MATCH(566,'Transfer Engine'!$C$2:$C$1199,0)),"",INDEX('Compliance Database'!$H$2:$H$1199,MATCH(566,'Transfer Engine'!$C$2:$C$1199,0)))</f>
        <v/>
      </c>
      <c r="I575" s="7" t="str">
        <f>IF(ISNA(MATCH(566,'Transfer Engine'!$C$2:$C$1199,0)),"",INDEX('Compliance Database'!$I$2:$I$1199,MATCH(566,'Transfer Engine'!$C$2:$C$1199,0)))</f>
        <v/>
      </c>
      <c r="J575" s="6" t="str">
        <f>IF(ISNA(MATCH(566,'Transfer Engine'!$C$2:$C$1199,0)),"",INDEX('Compliance Database'!$J$2:$J$1199,MATCH(566,'Transfer Engine'!$C$2:$C$1199,0)))</f>
        <v/>
      </c>
      <c r="K575" s="7" t="str">
        <f>IF(ISNA(MATCH(566,'Transfer Engine'!$C$2:$C$1199,0)),"",INDEX('Compliance Database'!$K$2:$K$1199,MATCH(566,'Transfer Engine'!$C$2:$C$1199,0)))</f>
        <v/>
      </c>
      <c r="L575" s="7" t="str">
        <f>IF(ISNA(MATCH(566,'Transfer Engine'!$C$2:$C$1199,0)),"",INDEX('Compliance Database'!$L$2:$L$1199,MATCH(566,'Transfer Engine'!$C$2:$C$1199,0)))</f>
        <v/>
      </c>
      <c r="M575" s="7" t="str">
        <f>IF(ISNA(MATCH(566,'Transfer Engine'!$C$2:$C$1199,0)),"",INDEX('Compliance Database'!$M$2:$M$1199,MATCH(566,'Transfer Engine'!$C$2:$C$1199,0)))</f>
        <v/>
      </c>
      <c r="N575" s="7" t="str">
        <f>IF(ISNA(MATCH(566,'Transfer Engine'!$C$2:$C$1199,0)),"",INDEX('Compliance Database'!$N$2:$N$1199,MATCH(566,'Transfer Engine'!$C$2:$C$1199,0)))</f>
        <v/>
      </c>
      <c r="O575" s="7" t="str">
        <f>IF(ISNA(MATCH(566,'Transfer Engine'!$C$2:$C$1199,0)),"",INDEX('Compliance Database'!$O$2:$O$1199,MATCH(566,'Transfer Engine'!$C$2:$C$1199,0)))</f>
        <v/>
      </c>
      <c r="P575" s="6" t="str">
        <f>IF(ISNA(MATCH(566,'Transfer Engine'!$C$2:$C$1199,0)),"",HYPERLINK("#Acts!A"&amp;INDEX('Compliance Database'!$P$2:$P$1199,MATCH(566,'Transfer Engine'!$C$2:$C$1199,0)),"Go to Act"))</f>
        <v/>
      </c>
    </row>
    <row r="576" spans="1:16" ht="172.95" customHeight="1" x14ac:dyDescent="0.3">
      <c r="A576" s="6" t="str">
        <f>IF(ISNA(MATCH(567,'Transfer Engine'!$C$2:$C$1199,0)),"",INDEX('Compliance Database'!$A$2:$A$1199,MATCH(567,'Transfer Engine'!$C$2:$C$1199,0)))</f>
        <v/>
      </c>
      <c r="B576" s="6" t="str">
        <f>IF(ISNA(MATCH(567,'Transfer Engine'!$C$2:$C$1199,0)),"",INDEX('Compliance Database'!$B$2:$B$1199,MATCH(567,'Transfer Engine'!$C$2:$C$1199,0)))</f>
        <v/>
      </c>
      <c r="C576" s="6" t="str">
        <f>IF(ISNA(MATCH(567,'Transfer Engine'!$C$2:$C$1199,0)),"",INDEX('Compliance Database'!$C$2:$C$1199,MATCH(567,'Transfer Engine'!$C$2:$C$1199,0)))</f>
        <v/>
      </c>
      <c r="D576" s="7" t="str">
        <f>IF(ISNA(MATCH(567,'Transfer Engine'!$C$2:$C$1199,0)),"",INDEX('Compliance Database'!$D$2:$D$1199,MATCH(567,'Transfer Engine'!$C$2:$C$1199,0)))</f>
        <v/>
      </c>
      <c r="E576" s="6" t="str">
        <f>IF(ISNA(MATCH(567,'Transfer Engine'!$C$2:$C$1199,0)),"",INDEX('Compliance Database'!$E$2:$E$1199,MATCH(567,'Transfer Engine'!$C$2:$C$1199,0)))</f>
        <v/>
      </c>
      <c r="F576" s="6" t="str">
        <f>IF(ISNA(MATCH(567,'Transfer Engine'!$C$2:$C$1199,0)),"",INDEX('Compliance Database'!$F$2:$F$1199,MATCH(567,'Transfer Engine'!$C$2:$C$1199,0)))</f>
        <v/>
      </c>
      <c r="G576" s="6" t="str">
        <f>IF(ISNA(MATCH(567,'Transfer Engine'!$C$2:$C$1199,0)),"",INDEX('Compliance Database'!$G$2:$G$1199,MATCH(567,'Transfer Engine'!$C$2:$C$1199,0)))</f>
        <v/>
      </c>
      <c r="H576" s="7" t="str">
        <f>IF(ISNA(MATCH(567,'Transfer Engine'!$C$2:$C$1199,0)),"",INDEX('Compliance Database'!$H$2:$H$1199,MATCH(567,'Transfer Engine'!$C$2:$C$1199,0)))</f>
        <v/>
      </c>
      <c r="I576" s="7" t="str">
        <f>IF(ISNA(MATCH(567,'Transfer Engine'!$C$2:$C$1199,0)),"",INDEX('Compliance Database'!$I$2:$I$1199,MATCH(567,'Transfer Engine'!$C$2:$C$1199,0)))</f>
        <v/>
      </c>
      <c r="J576" s="6" t="str">
        <f>IF(ISNA(MATCH(567,'Transfer Engine'!$C$2:$C$1199,0)),"",INDEX('Compliance Database'!$J$2:$J$1199,MATCH(567,'Transfer Engine'!$C$2:$C$1199,0)))</f>
        <v/>
      </c>
      <c r="K576" s="7" t="str">
        <f>IF(ISNA(MATCH(567,'Transfer Engine'!$C$2:$C$1199,0)),"",INDEX('Compliance Database'!$K$2:$K$1199,MATCH(567,'Transfer Engine'!$C$2:$C$1199,0)))</f>
        <v/>
      </c>
      <c r="L576" s="7" t="str">
        <f>IF(ISNA(MATCH(567,'Transfer Engine'!$C$2:$C$1199,0)),"",INDEX('Compliance Database'!$L$2:$L$1199,MATCH(567,'Transfer Engine'!$C$2:$C$1199,0)))</f>
        <v/>
      </c>
      <c r="M576" s="7" t="str">
        <f>IF(ISNA(MATCH(567,'Transfer Engine'!$C$2:$C$1199,0)),"",INDEX('Compliance Database'!$M$2:$M$1199,MATCH(567,'Transfer Engine'!$C$2:$C$1199,0)))</f>
        <v/>
      </c>
      <c r="N576" s="7" t="str">
        <f>IF(ISNA(MATCH(567,'Transfer Engine'!$C$2:$C$1199,0)),"",INDEX('Compliance Database'!$N$2:$N$1199,MATCH(567,'Transfer Engine'!$C$2:$C$1199,0)))</f>
        <v/>
      </c>
      <c r="O576" s="7" t="str">
        <f>IF(ISNA(MATCH(567,'Transfer Engine'!$C$2:$C$1199,0)),"",INDEX('Compliance Database'!$O$2:$O$1199,MATCH(567,'Transfer Engine'!$C$2:$C$1199,0)))</f>
        <v/>
      </c>
      <c r="P576" s="6" t="str">
        <f>IF(ISNA(MATCH(567,'Transfer Engine'!$C$2:$C$1199,0)),"",HYPERLINK("#Acts!A"&amp;INDEX('Compliance Database'!$P$2:$P$1199,MATCH(567,'Transfer Engine'!$C$2:$C$1199,0)),"Go to Act"))</f>
        <v/>
      </c>
    </row>
    <row r="577" spans="1:16" ht="172.95" customHeight="1" x14ac:dyDescent="0.3">
      <c r="A577" s="6" t="str">
        <f>IF(ISNA(MATCH(568,'Transfer Engine'!$C$2:$C$1199,0)),"",INDEX('Compliance Database'!$A$2:$A$1199,MATCH(568,'Transfer Engine'!$C$2:$C$1199,0)))</f>
        <v/>
      </c>
      <c r="B577" s="6" t="str">
        <f>IF(ISNA(MATCH(568,'Transfer Engine'!$C$2:$C$1199,0)),"",INDEX('Compliance Database'!$B$2:$B$1199,MATCH(568,'Transfer Engine'!$C$2:$C$1199,0)))</f>
        <v/>
      </c>
      <c r="C577" s="6" t="str">
        <f>IF(ISNA(MATCH(568,'Transfer Engine'!$C$2:$C$1199,0)),"",INDEX('Compliance Database'!$C$2:$C$1199,MATCH(568,'Transfer Engine'!$C$2:$C$1199,0)))</f>
        <v/>
      </c>
      <c r="D577" s="7" t="str">
        <f>IF(ISNA(MATCH(568,'Transfer Engine'!$C$2:$C$1199,0)),"",INDEX('Compliance Database'!$D$2:$D$1199,MATCH(568,'Transfer Engine'!$C$2:$C$1199,0)))</f>
        <v/>
      </c>
      <c r="E577" s="6" t="str">
        <f>IF(ISNA(MATCH(568,'Transfer Engine'!$C$2:$C$1199,0)),"",INDEX('Compliance Database'!$E$2:$E$1199,MATCH(568,'Transfer Engine'!$C$2:$C$1199,0)))</f>
        <v/>
      </c>
      <c r="F577" s="6" t="str">
        <f>IF(ISNA(MATCH(568,'Transfer Engine'!$C$2:$C$1199,0)),"",INDEX('Compliance Database'!$F$2:$F$1199,MATCH(568,'Transfer Engine'!$C$2:$C$1199,0)))</f>
        <v/>
      </c>
      <c r="G577" s="6" t="str">
        <f>IF(ISNA(MATCH(568,'Transfer Engine'!$C$2:$C$1199,0)),"",INDEX('Compliance Database'!$G$2:$G$1199,MATCH(568,'Transfer Engine'!$C$2:$C$1199,0)))</f>
        <v/>
      </c>
      <c r="H577" s="7" t="str">
        <f>IF(ISNA(MATCH(568,'Transfer Engine'!$C$2:$C$1199,0)),"",INDEX('Compliance Database'!$H$2:$H$1199,MATCH(568,'Transfer Engine'!$C$2:$C$1199,0)))</f>
        <v/>
      </c>
      <c r="I577" s="7" t="str">
        <f>IF(ISNA(MATCH(568,'Transfer Engine'!$C$2:$C$1199,0)),"",INDEX('Compliance Database'!$I$2:$I$1199,MATCH(568,'Transfer Engine'!$C$2:$C$1199,0)))</f>
        <v/>
      </c>
      <c r="J577" s="6" t="str">
        <f>IF(ISNA(MATCH(568,'Transfer Engine'!$C$2:$C$1199,0)),"",INDEX('Compliance Database'!$J$2:$J$1199,MATCH(568,'Transfer Engine'!$C$2:$C$1199,0)))</f>
        <v/>
      </c>
      <c r="K577" s="7" t="str">
        <f>IF(ISNA(MATCH(568,'Transfer Engine'!$C$2:$C$1199,0)),"",INDEX('Compliance Database'!$K$2:$K$1199,MATCH(568,'Transfer Engine'!$C$2:$C$1199,0)))</f>
        <v/>
      </c>
      <c r="L577" s="7" t="str">
        <f>IF(ISNA(MATCH(568,'Transfer Engine'!$C$2:$C$1199,0)),"",INDEX('Compliance Database'!$L$2:$L$1199,MATCH(568,'Transfer Engine'!$C$2:$C$1199,0)))</f>
        <v/>
      </c>
      <c r="M577" s="7" t="str">
        <f>IF(ISNA(MATCH(568,'Transfer Engine'!$C$2:$C$1199,0)),"",INDEX('Compliance Database'!$M$2:$M$1199,MATCH(568,'Transfer Engine'!$C$2:$C$1199,0)))</f>
        <v/>
      </c>
      <c r="N577" s="7" t="str">
        <f>IF(ISNA(MATCH(568,'Transfer Engine'!$C$2:$C$1199,0)),"",INDEX('Compliance Database'!$N$2:$N$1199,MATCH(568,'Transfer Engine'!$C$2:$C$1199,0)))</f>
        <v/>
      </c>
      <c r="O577" s="7" t="str">
        <f>IF(ISNA(MATCH(568,'Transfer Engine'!$C$2:$C$1199,0)),"",INDEX('Compliance Database'!$O$2:$O$1199,MATCH(568,'Transfer Engine'!$C$2:$C$1199,0)))</f>
        <v/>
      </c>
      <c r="P577" s="6" t="str">
        <f>IF(ISNA(MATCH(568,'Transfer Engine'!$C$2:$C$1199,0)),"",HYPERLINK("#Acts!A"&amp;INDEX('Compliance Database'!$P$2:$P$1199,MATCH(568,'Transfer Engine'!$C$2:$C$1199,0)),"Go to Act"))</f>
        <v/>
      </c>
    </row>
    <row r="578" spans="1:16" ht="172.95" customHeight="1" x14ac:dyDescent="0.3">
      <c r="A578" s="6" t="str">
        <f>IF(ISNA(MATCH(569,'Transfer Engine'!$C$2:$C$1199,0)),"",INDEX('Compliance Database'!$A$2:$A$1199,MATCH(569,'Transfer Engine'!$C$2:$C$1199,0)))</f>
        <v/>
      </c>
      <c r="B578" s="6" t="str">
        <f>IF(ISNA(MATCH(569,'Transfer Engine'!$C$2:$C$1199,0)),"",INDEX('Compliance Database'!$B$2:$B$1199,MATCH(569,'Transfer Engine'!$C$2:$C$1199,0)))</f>
        <v/>
      </c>
      <c r="C578" s="6" t="str">
        <f>IF(ISNA(MATCH(569,'Transfer Engine'!$C$2:$C$1199,0)),"",INDEX('Compliance Database'!$C$2:$C$1199,MATCH(569,'Transfer Engine'!$C$2:$C$1199,0)))</f>
        <v/>
      </c>
      <c r="D578" s="7" t="str">
        <f>IF(ISNA(MATCH(569,'Transfer Engine'!$C$2:$C$1199,0)),"",INDEX('Compliance Database'!$D$2:$D$1199,MATCH(569,'Transfer Engine'!$C$2:$C$1199,0)))</f>
        <v/>
      </c>
      <c r="E578" s="6" t="str">
        <f>IF(ISNA(MATCH(569,'Transfer Engine'!$C$2:$C$1199,0)),"",INDEX('Compliance Database'!$E$2:$E$1199,MATCH(569,'Transfer Engine'!$C$2:$C$1199,0)))</f>
        <v/>
      </c>
      <c r="F578" s="6" t="str">
        <f>IF(ISNA(MATCH(569,'Transfer Engine'!$C$2:$C$1199,0)),"",INDEX('Compliance Database'!$F$2:$F$1199,MATCH(569,'Transfer Engine'!$C$2:$C$1199,0)))</f>
        <v/>
      </c>
      <c r="G578" s="6" t="str">
        <f>IF(ISNA(MATCH(569,'Transfer Engine'!$C$2:$C$1199,0)),"",INDEX('Compliance Database'!$G$2:$G$1199,MATCH(569,'Transfer Engine'!$C$2:$C$1199,0)))</f>
        <v/>
      </c>
      <c r="H578" s="7" t="str">
        <f>IF(ISNA(MATCH(569,'Transfer Engine'!$C$2:$C$1199,0)),"",INDEX('Compliance Database'!$H$2:$H$1199,MATCH(569,'Transfer Engine'!$C$2:$C$1199,0)))</f>
        <v/>
      </c>
      <c r="I578" s="7" t="str">
        <f>IF(ISNA(MATCH(569,'Transfer Engine'!$C$2:$C$1199,0)),"",INDEX('Compliance Database'!$I$2:$I$1199,MATCH(569,'Transfer Engine'!$C$2:$C$1199,0)))</f>
        <v/>
      </c>
      <c r="J578" s="6" t="str">
        <f>IF(ISNA(MATCH(569,'Transfer Engine'!$C$2:$C$1199,0)),"",INDEX('Compliance Database'!$J$2:$J$1199,MATCH(569,'Transfer Engine'!$C$2:$C$1199,0)))</f>
        <v/>
      </c>
      <c r="K578" s="7" t="str">
        <f>IF(ISNA(MATCH(569,'Transfer Engine'!$C$2:$C$1199,0)),"",INDEX('Compliance Database'!$K$2:$K$1199,MATCH(569,'Transfer Engine'!$C$2:$C$1199,0)))</f>
        <v/>
      </c>
      <c r="L578" s="7" t="str">
        <f>IF(ISNA(MATCH(569,'Transfer Engine'!$C$2:$C$1199,0)),"",INDEX('Compliance Database'!$L$2:$L$1199,MATCH(569,'Transfer Engine'!$C$2:$C$1199,0)))</f>
        <v/>
      </c>
      <c r="M578" s="7" t="str">
        <f>IF(ISNA(MATCH(569,'Transfer Engine'!$C$2:$C$1199,0)),"",INDEX('Compliance Database'!$M$2:$M$1199,MATCH(569,'Transfer Engine'!$C$2:$C$1199,0)))</f>
        <v/>
      </c>
      <c r="N578" s="7" t="str">
        <f>IF(ISNA(MATCH(569,'Transfer Engine'!$C$2:$C$1199,0)),"",INDEX('Compliance Database'!$N$2:$N$1199,MATCH(569,'Transfer Engine'!$C$2:$C$1199,0)))</f>
        <v/>
      </c>
      <c r="O578" s="7" t="str">
        <f>IF(ISNA(MATCH(569,'Transfer Engine'!$C$2:$C$1199,0)),"",INDEX('Compliance Database'!$O$2:$O$1199,MATCH(569,'Transfer Engine'!$C$2:$C$1199,0)))</f>
        <v/>
      </c>
      <c r="P578" s="6" t="str">
        <f>IF(ISNA(MATCH(569,'Transfer Engine'!$C$2:$C$1199,0)),"",HYPERLINK("#Acts!A"&amp;INDEX('Compliance Database'!$P$2:$P$1199,MATCH(569,'Transfer Engine'!$C$2:$C$1199,0)),"Go to Act"))</f>
        <v/>
      </c>
    </row>
    <row r="579" spans="1:16" ht="172.95" customHeight="1" x14ac:dyDescent="0.3">
      <c r="A579" s="6" t="str">
        <f>IF(ISNA(MATCH(570,'Transfer Engine'!$C$2:$C$1199,0)),"",INDEX('Compliance Database'!$A$2:$A$1199,MATCH(570,'Transfer Engine'!$C$2:$C$1199,0)))</f>
        <v/>
      </c>
      <c r="B579" s="6" t="str">
        <f>IF(ISNA(MATCH(570,'Transfer Engine'!$C$2:$C$1199,0)),"",INDEX('Compliance Database'!$B$2:$B$1199,MATCH(570,'Transfer Engine'!$C$2:$C$1199,0)))</f>
        <v/>
      </c>
      <c r="C579" s="6" t="str">
        <f>IF(ISNA(MATCH(570,'Transfer Engine'!$C$2:$C$1199,0)),"",INDEX('Compliance Database'!$C$2:$C$1199,MATCH(570,'Transfer Engine'!$C$2:$C$1199,0)))</f>
        <v/>
      </c>
      <c r="D579" s="7" t="str">
        <f>IF(ISNA(MATCH(570,'Transfer Engine'!$C$2:$C$1199,0)),"",INDEX('Compliance Database'!$D$2:$D$1199,MATCH(570,'Transfer Engine'!$C$2:$C$1199,0)))</f>
        <v/>
      </c>
      <c r="E579" s="6" t="str">
        <f>IF(ISNA(MATCH(570,'Transfer Engine'!$C$2:$C$1199,0)),"",INDEX('Compliance Database'!$E$2:$E$1199,MATCH(570,'Transfer Engine'!$C$2:$C$1199,0)))</f>
        <v/>
      </c>
      <c r="F579" s="6" t="str">
        <f>IF(ISNA(MATCH(570,'Transfer Engine'!$C$2:$C$1199,0)),"",INDEX('Compliance Database'!$F$2:$F$1199,MATCH(570,'Transfer Engine'!$C$2:$C$1199,0)))</f>
        <v/>
      </c>
      <c r="G579" s="6" t="str">
        <f>IF(ISNA(MATCH(570,'Transfer Engine'!$C$2:$C$1199,0)),"",INDEX('Compliance Database'!$G$2:$G$1199,MATCH(570,'Transfer Engine'!$C$2:$C$1199,0)))</f>
        <v/>
      </c>
      <c r="H579" s="7" t="str">
        <f>IF(ISNA(MATCH(570,'Transfer Engine'!$C$2:$C$1199,0)),"",INDEX('Compliance Database'!$H$2:$H$1199,MATCH(570,'Transfer Engine'!$C$2:$C$1199,0)))</f>
        <v/>
      </c>
      <c r="I579" s="7" t="str">
        <f>IF(ISNA(MATCH(570,'Transfer Engine'!$C$2:$C$1199,0)),"",INDEX('Compliance Database'!$I$2:$I$1199,MATCH(570,'Transfer Engine'!$C$2:$C$1199,0)))</f>
        <v/>
      </c>
      <c r="J579" s="6" t="str">
        <f>IF(ISNA(MATCH(570,'Transfer Engine'!$C$2:$C$1199,0)),"",INDEX('Compliance Database'!$J$2:$J$1199,MATCH(570,'Transfer Engine'!$C$2:$C$1199,0)))</f>
        <v/>
      </c>
      <c r="K579" s="7" t="str">
        <f>IF(ISNA(MATCH(570,'Transfer Engine'!$C$2:$C$1199,0)),"",INDEX('Compliance Database'!$K$2:$K$1199,MATCH(570,'Transfer Engine'!$C$2:$C$1199,0)))</f>
        <v/>
      </c>
      <c r="L579" s="7" t="str">
        <f>IF(ISNA(MATCH(570,'Transfer Engine'!$C$2:$C$1199,0)),"",INDEX('Compliance Database'!$L$2:$L$1199,MATCH(570,'Transfer Engine'!$C$2:$C$1199,0)))</f>
        <v/>
      </c>
      <c r="M579" s="7" t="str">
        <f>IF(ISNA(MATCH(570,'Transfer Engine'!$C$2:$C$1199,0)),"",INDEX('Compliance Database'!$M$2:$M$1199,MATCH(570,'Transfer Engine'!$C$2:$C$1199,0)))</f>
        <v/>
      </c>
      <c r="N579" s="7" t="str">
        <f>IF(ISNA(MATCH(570,'Transfer Engine'!$C$2:$C$1199,0)),"",INDEX('Compliance Database'!$N$2:$N$1199,MATCH(570,'Transfer Engine'!$C$2:$C$1199,0)))</f>
        <v/>
      </c>
      <c r="O579" s="7" t="str">
        <f>IF(ISNA(MATCH(570,'Transfer Engine'!$C$2:$C$1199,0)),"",INDEX('Compliance Database'!$O$2:$O$1199,MATCH(570,'Transfer Engine'!$C$2:$C$1199,0)))</f>
        <v/>
      </c>
      <c r="P579" s="6" t="str">
        <f>IF(ISNA(MATCH(570,'Transfer Engine'!$C$2:$C$1199,0)),"",HYPERLINK("#Acts!A"&amp;INDEX('Compliance Database'!$P$2:$P$1199,MATCH(570,'Transfer Engine'!$C$2:$C$1199,0)),"Go to Act"))</f>
        <v/>
      </c>
    </row>
    <row r="580" spans="1:16" ht="172.95" customHeight="1" x14ac:dyDescent="0.3">
      <c r="A580" s="6" t="str">
        <f>IF(ISNA(MATCH(571,'Transfer Engine'!$C$2:$C$1199,0)),"",INDEX('Compliance Database'!$A$2:$A$1199,MATCH(571,'Transfer Engine'!$C$2:$C$1199,0)))</f>
        <v/>
      </c>
      <c r="B580" s="6" t="str">
        <f>IF(ISNA(MATCH(571,'Transfer Engine'!$C$2:$C$1199,0)),"",INDEX('Compliance Database'!$B$2:$B$1199,MATCH(571,'Transfer Engine'!$C$2:$C$1199,0)))</f>
        <v/>
      </c>
      <c r="C580" s="6" t="str">
        <f>IF(ISNA(MATCH(571,'Transfer Engine'!$C$2:$C$1199,0)),"",INDEX('Compliance Database'!$C$2:$C$1199,MATCH(571,'Transfer Engine'!$C$2:$C$1199,0)))</f>
        <v/>
      </c>
      <c r="D580" s="7" t="str">
        <f>IF(ISNA(MATCH(571,'Transfer Engine'!$C$2:$C$1199,0)),"",INDEX('Compliance Database'!$D$2:$D$1199,MATCH(571,'Transfer Engine'!$C$2:$C$1199,0)))</f>
        <v/>
      </c>
      <c r="E580" s="6" t="str">
        <f>IF(ISNA(MATCH(571,'Transfer Engine'!$C$2:$C$1199,0)),"",INDEX('Compliance Database'!$E$2:$E$1199,MATCH(571,'Transfer Engine'!$C$2:$C$1199,0)))</f>
        <v/>
      </c>
      <c r="F580" s="6" t="str">
        <f>IF(ISNA(MATCH(571,'Transfer Engine'!$C$2:$C$1199,0)),"",INDEX('Compliance Database'!$F$2:$F$1199,MATCH(571,'Transfer Engine'!$C$2:$C$1199,0)))</f>
        <v/>
      </c>
      <c r="G580" s="6" t="str">
        <f>IF(ISNA(MATCH(571,'Transfer Engine'!$C$2:$C$1199,0)),"",INDEX('Compliance Database'!$G$2:$G$1199,MATCH(571,'Transfer Engine'!$C$2:$C$1199,0)))</f>
        <v/>
      </c>
      <c r="H580" s="7" t="str">
        <f>IF(ISNA(MATCH(571,'Transfer Engine'!$C$2:$C$1199,0)),"",INDEX('Compliance Database'!$H$2:$H$1199,MATCH(571,'Transfer Engine'!$C$2:$C$1199,0)))</f>
        <v/>
      </c>
      <c r="I580" s="7" t="str">
        <f>IF(ISNA(MATCH(571,'Transfer Engine'!$C$2:$C$1199,0)),"",INDEX('Compliance Database'!$I$2:$I$1199,MATCH(571,'Transfer Engine'!$C$2:$C$1199,0)))</f>
        <v/>
      </c>
      <c r="J580" s="6" t="str">
        <f>IF(ISNA(MATCH(571,'Transfer Engine'!$C$2:$C$1199,0)),"",INDEX('Compliance Database'!$J$2:$J$1199,MATCH(571,'Transfer Engine'!$C$2:$C$1199,0)))</f>
        <v/>
      </c>
      <c r="K580" s="7" t="str">
        <f>IF(ISNA(MATCH(571,'Transfer Engine'!$C$2:$C$1199,0)),"",INDEX('Compliance Database'!$K$2:$K$1199,MATCH(571,'Transfer Engine'!$C$2:$C$1199,0)))</f>
        <v/>
      </c>
      <c r="L580" s="7" t="str">
        <f>IF(ISNA(MATCH(571,'Transfer Engine'!$C$2:$C$1199,0)),"",INDEX('Compliance Database'!$L$2:$L$1199,MATCH(571,'Transfer Engine'!$C$2:$C$1199,0)))</f>
        <v/>
      </c>
      <c r="M580" s="7" t="str">
        <f>IF(ISNA(MATCH(571,'Transfer Engine'!$C$2:$C$1199,0)),"",INDEX('Compliance Database'!$M$2:$M$1199,MATCH(571,'Transfer Engine'!$C$2:$C$1199,0)))</f>
        <v/>
      </c>
      <c r="N580" s="7" t="str">
        <f>IF(ISNA(MATCH(571,'Transfer Engine'!$C$2:$C$1199,0)),"",INDEX('Compliance Database'!$N$2:$N$1199,MATCH(571,'Transfer Engine'!$C$2:$C$1199,0)))</f>
        <v/>
      </c>
      <c r="O580" s="7" t="str">
        <f>IF(ISNA(MATCH(571,'Transfer Engine'!$C$2:$C$1199,0)),"",INDEX('Compliance Database'!$O$2:$O$1199,MATCH(571,'Transfer Engine'!$C$2:$C$1199,0)))</f>
        <v/>
      </c>
      <c r="P580" s="6" t="str">
        <f>IF(ISNA(MATCH(571,'Transfer Engine'!$C$2:$C$1199,0)),"",HYPERLINK("#Acts!A"&amp;INDEX('Compliance Database'!$P$2:$P$1199,MATCH(571,'Transfer Engine'!$C$2:$C$1199,0)),"Go to Act"))</f>
        <v/>
      </c>
    </row>
    <row r="581" spans="1:16" ht="172.95" customHeight="1" x14ac:dyDescent="0.3">
      <c r="A581" s="6" t="str">
        <f>IF(ISNA(MATCH(572,'Transfer Engine'!$C$2:$C$1199,0)),"",INDEX('Compliance Database'!$A$2:$A$1199,MATCH(572,'Transfer Engine'!$C$2:$C$1199,0)))</f>
        <v/>
      </c>
      <c r="B581" s="6" t="str">
        <f>IF(ISNA(MATCH(572,'Transfer Engine'!$C$2:$C$1199,0)),"",INDEX('Compliance Database'!$B$2:$B$1199,MATCH(572,'Transfer Engine'!$C$2:$C$1199,0)))</f>
        <v/>
      </c>
      <c r="C581" s="6" t="str">
        <f>IF(ISNA(MATCH(572,'Transfer Engine'!$C$2:$C$1199,0)),"",INDEX('Compliance Database'!$C$2:$C$1199,MATCH(572,'Transfer Engine'!$C$2:$C$1199,0)))</f>
        <v/>
      </c>
      <c r="D581" s="7" t="str">
        <f>IF(ISNA(MATCH(572,'Transfer Engine'!$C$2:$C$1199,0)),"",INDEX('Compliance Database'!$D$2:$D$1199,MATCH(572,'Transfer Engine'!$C$2:$C$1199,0)))</f>
        <v/>
      </c>
      <c r="E581" s="6" t="str">
        <f>IF(ISNA(MATCH(572,'Transfer Engine'!$C$2:$C$1199,0)),"",INDEX('Compliance Database'!$E$2:$E$1199,MATCH(572,'Transfer Engine'!$C$2:$C$1199,0)))</f>
        <v/>
      </c>
      <c r="F581" s="6" t="str">
        <f>IF(ISNA(MATCH(572,'Transfer Engine'!$C$2:$C$1199,0)),"",INDEX('Compliance Database'!$F$2:$F$1199,MATCH(572,'Transfer Engine'!$C$2:$C$1199,0)))</f>
        <v/>
      </c>
      <c r="G581" s="6" t="str">
        <f>IF(ISNA(MATCH(572,'Transfer Engine'!$C$2:$C$1199,0)),"",INDEX('Compliance Database'!$G$2:$G$1199,MATCH(572,'Transfer Engine'!$C$2:$C$1199,0)))</f>
        <v/>
      </c>
      <c r="H581" s="7" t="str">
        <f>IF(ISNA(MATCH(572,'Transfer Engine'!$C$2:$C$1199,0)),"",INDEX('Compliance Database'!$H$2:$H$1199,MATCH(572,'Transfer Engine'!$C$2:$C$1199,0)))</f>
        <v/>
      </c>
      <c r="I581" s="7" t="str">
        <f>IF(ISNA(MATCH(572,'Transfer Engine'!$C$2:$C$1199,0)),"",INDEX('Compliance Database'!$I$2:$I$1199,MATCH(572,'Transfer Engine'!$C$2:$C$1199,0)))</f>
        <v/>
      </c>
      <c r="J581" s="6" t="str">
        <f>IF(ISNA(MATCH(572,'Transfer Engine'!$C$2:$C$1199,0)),"",INDEX('Compliance Database'!$J$2:$J$1199,MATCH(572,'Transfer Engine'!$C$2:$C$1199,0)))</f>
        <v/>
      </c>
      <c r="K581" s="7" t="str">
        <f>IF(ISNA(MATCH(572,'Transfer Engine'!$C$2:$C$1199,0)),"",INDEX('Compliance Database'!$K$2:$K$1199,MATCH(572,'Transfer Engine'!$C$2:$C$1199,0)))</f>
        <v/>
      </c>
      <c r="L581" s="7" t="str">
        <f>IF(ISNA(MATCH(572,'Transfer Engine'!$C$2:$C$1199,0)),"",INDEX('Compliance Database'!$L$2:$L$1199,MATCH(572,'Transfer Engine'!$C$2:$C$1199,0)))</f>
        <v/>
      </c>
      <c r="M581" s="7" t="str">
        <f>IF(ISNA(MATCH(572,'Transfer Engine'!$C$2:$C$1199,0)),"",INDEX('Compliance Database'!$M$2:$M$1199,MATCH(572,'Transfer Engine'!$C$2:$C$1199,0)))</f>
        <v/>
      </c>
      <c r="N581" s="7" t="str">
        <f>IF(ISNA(MATCH(572,'Transfer Engine'!$C$2:$C$1199,0)),"",INDEX('Compliance Database'!$N$2:$N$1199,MATCH(572,'Transfer Engine'!$C$2:$C$1199,0)))</f>
        <v/>
      </c>
      <c r="O581" s="7" t="str">
        <f>IF(ISNA(MATCH(572,'Transfer Engine'!$C$2:$C$1199,0)),"",INDEX('Compliance Database'!$O$2:$O$1199,MATCH(572,'Transfer Engine'!$C$2:$C$1199,0)))</f>
        <v/>
      </c>
      <c r="P581" s="6" t="str">
        <f>IF(ISNA(MATCH(572,'Transfer Engine'!$C$2:$C$1199,0)),"",HYPERLINK("#Acts!A"&amp;INDEX('Compliance Database'!$P$2:$P$1199,MATCH(572,'Transfer Engine'!$C$2:$C$1199,0)),"Go to Act"))</f>
        <v/>
      </c>
    </row>
    <row r="582" spans="1:16" ht="172.95" customHeight="1" x14ac:dyDescent="0.3">
      <c r="A582" s="6" t="str">
        <f>IF(ISNA(MATCH(573,'Transfer Engine'!$C$2:$C$1199,0)),"",INDEX('Compliance Database'!$A$2:$A$1199,MATCH(573,'Transfer Engine'!$C$2:$C$1199,0)))</f>
        <v/>
      </c>
      <c r="B582" s="6" t="str">
        <f>IF(ISNA(MATCH(573,'Transfer Engine'!$C$2:$C$1199,0)),"",INDEX('Compliance Database'!$B$2:$B$1199,MATCH(573,'Transfer Engine'!$C$2:$C$1199,0)))</f>
        <v/>
      </c>
      <c r="C582" s="6" t="str">
        <f>IF(ISNA(MATCH(573,'Transfer Engine'!$C$2:$C$1199,0)),"",INDEX('Compliance Database'!$C$2:$C$1199,MATCH(573,'Transfer Engine'!$C$2:$C$1199,0)))</f>
        <v/>
      </c>
      <c r="D582" s="7" t="str">
        <f>IF(ISNA(MATCH(573,'Transfer Engine'!$C$2:$C$1199,0)),"",INDEX('Compliance Database'!$D$2:$D$1199,MATCH(573,'Transfer Engine'!$C$2:$C$1199,0)))</f>
        <v/>
      </c>
      <c r="E582" s="6" t="str">
        <f>IF(ISNA(MATCH(573,'Transfer Engine'!$C$2:$C$1199,0)),"",INDEX('Compliance Database'!$E$2:$E$1199,MATCH(573,'Transfer Engine'!$C$2:$C$1199,0)))</f>
        <v/>
      </c>
      <c r="F582" s="6" t="str">
        <f>IF(ISNA(MATCH(573,'Transfer Engine'!$C$2:$C$1199,0)),"",INDEX('Compliance Database'!$F$2:$F$1199,MATCH(573,'Transfer Engine'!$C$2:$C$1199,0)))</f>
        <v/>
      </c>
      <c r="G582" s="6" t="str">
        <f>IF(ISNA(MATCH(573,'Transfer Engine'!$C$2:$C$1199,0)),"",INDEX('Compliance Database'!$G$2:$G$1199,MATCH(573,'Transfer Engine'!$C$2:$C$1199,0)))</f>
        <v/>
      </c>
      <c r="H582" s="7" t="str">
        <f>IF(ISNA(MATCH(573,'Transfer Engine'!$C$2:$C$1199,0)),"",INDEX('Compliance Database'!$H$2:$H$1199,MATCH(573,'Transfer Engine'!$C$2:$C$1199,0)))</f>
        <v/>
      </c>
      <c r="I582" s="7" t="str">
        <f>IF(ISNA(MATCH(573,'Transfer Engine'!$C$2:$C$1199,0)),"",INDEX('Compliance Database'!$I$2:$I$1199,MATCH(573,'Transfer Engine'!$C$2:$C$1199,0)))</f>
        <v/>
      </c>
      <c r="J582" s="6" t="str">
        <f>IF(ISNA(MATCH(573,'Transfer Engine'!$C$2:$C$1199,0)),"",INDEX('Compliance Database'!$J$2:$J$1199,MATCH(573,'Transfer Engine'!$C$2:$C$1199,0)))</f>
        <v/>
      </c>
      <c r="K582" s="7" t="str">
        <f>IF(ISNA(MATCH(573,'Transfer Engine'!$C$2:$C$1199,0)),"",INDEX('Compliance Database'!$K$2:$K$1199,MATCH(573,'Transfer Engine'!$C$2:$C$1199,0)))</f>
        <v/>
      </c>
      <c r="L582" s="7" t="str">
        <f>IF(ISNA(MATCH(573,'Transfer Engine'!$C$2:$C$1199,0)),"",INDEX('Compliance Database'!$L$2:$L$1199,MATCH(573,'Transfer Engine'!$C$2:$C$1199,0)))</f>
        <v/>
      </c>
      <c r="M582" s="7" t="str">
        <f>IF(ISNA(MATCH(573,'Transfer Engine'!$C$2:$C$1199,0)),"",INDEX('Compliance Database'!$M$2:$M$1199,MATCH(573,'Transfer Engine'!$C$2:$C$1199,0)))</f>
        <v/>
      </c>
      <c r="N582" s="7" t="str">
        <f>IF(ISNA(MATCH(573,'Transfer Engine'!$C$2:$C$1199,0)),"",INDEX('Compliance Database'!$N$2:$N$1199,MATCH(573,'Transfer Engine'!$C$2:$C$1199,0)))</f>
        <v/>
      </c>
      <c r="O582" s="7" t="str">
        <f>IF(ISNA(MATCH(573,'Transfer Engine'!$C$2:$C$1199,0)),"",INDEX('Compliance Database'!$O$2:$O$1199,MATCH(573,'Transfer Engine'!$C$2:$C$1199,0)))</f>
        <v/>
      </c>
      <c r="P582" s="6" t="str">
        <f>IF(ISNA(MATCH(573,'Transfer Engine'!$C$2:$C$1199,0)),"",HYPERLINK("#Acts!A"&amp;INDEX('Compliance Database'!$P$2:$P$1199,MATCH(573,'Transfer Engine'!$C$2:$C$1199,0)),"Go to Act"))</f>
        <v/>
      </c>
    </row>
    <row r="583" spans="1:16" ht="172.95" customHeight="1" x14ac:dyDescent="0.3">
      <c r="A583" s="6" t="str">
        <f>IF(ISNA(MATCH(574,'Transfer Engine'!$C$2:$C$1199,0)),"",INDEX('Compliance Database'!$A$2:$A$1199,MATCH(574,'Transfer Engine'!$C$2:$C$1199,0)))</f>
        <v/>
      </c>
      <c r="B583" s="6" t="str">
        <f>IF(ISNA(MATCH(574,'Transfer Engine'!$C$2:$C$1199,0)),"",INDEX('Compliance Database'!$B$2:$B$1199,MATCH(574,'Transfer Engine'!$C$2:$C$1199,0)))</f>
        <v/>
      </c>
      <c r="C583" s="6" t="str">
        <f>IF(ISNA(MATCH(574,'Transfer Engine'!$C$2:$C$1199,0)),"",INDEX('Compliance Database'!$C$2:$C$1199,MATCH(574,'Transfer Engine'!$C$2:$C$1199,0)))</f>
        <v/>
      </c>
      <c r="D583" s="7" t="str">
        <f>IF(ISNA(MATCH(574,'Transfer Engine'!$C$2:$C$1199,0)),"",INDEX('Compliance Database'!$D$2:$D$1199,MATCH(574,'Transfer Engine'!$C$2:$C$1199,0)))</f>
        <v/>
      </c>
      <c r="E583" s="6" t="str">
        <f>IF(ISNA(MATCH(574,'Transfer Engine'!$C$2:$C$1199,0)),"",INDEX('Compliance Database'!$E$2:$E$1199,MATCH(574,'Transfer Engine'!$C$2:$C$1199,0)))</f>
        <v/>
      </c>
      <c r="F583" s="6" t="str">
        <f>IF(ISNA(MATCH(574,'Transfer Engine'!$C$2:$C$1199,0)),"",INDEX('Compliance Database'!$F$2:$F$1199,MATCH(574,'Transfer Engine'!$C$2:$C$1199,0)))</f>
        <v/>
      </c>
      <c r="G583" s="6" t="str">
        <f>IF(ISNA(MATCH(574,'Transfer Engine'!$C$2:$C$1199,0)),"",INDEX('Compliance Database'!$G$2:$G$1199,MATCH(574,'Transfer Engine'!$C$2:$C$1199,0)))</f>
        <v/>
      </c>
      <c r="H583" s="7" t="str">
        <f>IF(ISNA(MATCH(574,'Transfer Engine'!$C$2:$C$1199,0)),"",INDEX('Compliance Database'!$H$2:$H$1199,MATCH(574,'Transfer Engine'!$C$2:$C$1199,0)))</f>
        <v/>
      </c>
      <c r="I583" s="7" t="str">
        <f>IF(ISNA(MATCH(574,'Transfer Engine'!$C$2:$C$1199,0)),"",INDEX('Compliance Database'!$I$2:$I$1199,MATCH(574,'Transfer Engine'!$C$2:$C$1199,0)))</f>
        <v/>
      </c>
      <c r="J583" s="6" t="str">
        <f>IF(ISNA(MATCH(574,'Transfer Engine'!$C$2:$C$1199,0)),"",INDEX('Compliance Database'!$J$2:$J$1199,MATCH(574,'Transfer Engine'!$C$2:$C$1199,0)))</f>
        <v/>
      </c>
      <c r="K583" s="7" t="str">
        <f>IF(ISNA(MATCH(574,'Transfer Engine'!$C$2:$C$1199,0)),"",INDEX('Compliance Database'!$K$2:$K$1199,MATCH(574,'Transfer Engine'!$C$2:$C$1199,0)))</f>
        <v/>
      </c>
      <c r="L583" s="7" t="str">
        <f>IF(ISNA(MATCH(574,'Transfer Engine'!$C$2:$C$1199,0)),"",INDEX('Compliance Database'!$L$2:$L$1199,MATCH(574,'Transfer Engine'!$C$2:$C$1199,0)))</f>
        <v/>
      </c>
      <c r="M583" s="7" t="str">
        <f>IF(ISNA(MATCH(574,'Transfer Engine'!$C$2:$C$1199,0)),"",INDEX('Compliance Database'!$M$2:$M$1199,MATCH(574,'Transfer Engine'!$C$2:$C$1199,0)))</f>
        <v/>
      </c>
      <c r="N583" s="7" t="str">
        <f>IF(ISNA(MATCH(574,'Transfer Engine'!$C$2:$C$1199,0)),"",INDEX('Compliance Database'!$N$2:$N$1199,MATCH(574,'Transfer Engine'!$C$2:$C$1199,0)))</f>
        <v/>
      </c>
      <c r="O583" s="7" t="str">
        <f>IF(ISNA(MATCH(574,'Transfer Engine'!$C$2:$C$1199,0)),"",INDEX('Compliance Database'!$O$2:$O$1199,MATCH(574,'Transfer Engine'!$C$2:$C$1199,0)))</f>
        <v/>
      </c>
      <c r="P583" s="6" t="str">
        <f>IF(ISNA(MATCH(574,'Transfer Engine'!$C$2:$C$1199,0)),"",HYPERLINK("#Acts!A"&amp;INDEX('Compliance Database'!$P$2:$P$1199,MATCH(574,'Transfer Engine'!$C$2:$C$1199,0)),"Go to Act"))</f>
        <v/>
      </c>
    </row>
    <row r="584" spans="1:16" ht="172.95" customHeight="1" x14ac:dyDescent="0.3">
      <c r="A584" s="6" t="str">
        <f>IF(ISNA(MATCH(575,'Transfer Engine'!$C$2:$C$1199,0)),"",INDEX('Compliance Database'!$A$2:$A$1199,MATCH(575,'Transfer Engine'!$C$2:$C$1199,0)))</f>
        <v/>
      </c>
      <c r="B584" s="6" t="str">
        <f>IF(ISNA(MATCH(575,'Transfer Engine'!$C$2:$C$1199,0)),"",INDEX('Compliance Database'!$B$2:$B$1199,MATCH(575,'Transfer Engine'!$C$2:$C$1199,0)))</f>
        <v/>
      </c>
      <c r="C584" s="6" t="str">
        <f>IF(ISNA(MATCH(575,'Transfer Engine'!$C$2:$C$1199,0)),"",INDEX('Compliance Database'!$C$2:$C$1199,MATCH(575,'Transfer Engine'!$C$2:$C$1199,0)))</f>
        <v/>
      </c>
      <c r="D584" s="7" t="str">
        <f>IF(ISNA(MATCH(575,'Transfer Engine'!$C$2:$C$1199,0)),"",INDEX('Compliance Database'!$D$2:$D$1199,MATCH(575,'Transfer Engine'!$C$2:$C$1199,0)))</f>
        <v/>
      </c>
      <c r="E584" s="6" t="str">
        <f>IF(ISNA(MATCH(575,'Transfer Engine'!$C$2:$C$1199,0)),"",INDEX('Compliance Database'!$E$2:$E$1199,MATCH(575,'Transfer Engine'!$C$2:$C$1199,0)))</f>
        <v/>
      </c>
      <c r="F584" s="6" t="str">
        <f>IF(ISNA(MATCH(575,'Transfer Engine'!$C$2:$C$1199,0)),"",INDEX('Compliance Database'!$F$2:$F$1199,MATCH(575,'Transfer Engine'!$C$2:$C$1199,0)))</f>
        <v/>
      </c>
      <c r="G584" s="6" t="str">
        <f>IF(ISNA(MATCH(575,'Transfer Engine'!$C$2:$C$1199,0)),"",INDEX('Compliance Database'!$G$2:$G$1199,MATCH(575,'Transfer Engine'!$C$2:$C$1199,0)))</f>
        <v/>
      </c>
      <c r="H584" s="7" t="str">
        <f>IF(ISNA(MATCH(575,'Transfer Engine'!$C$2:$C$1199,0)),"",INDEX('Compliance Database'!$H$2:$H$1199,MATCH(575,'Transfer Engine'!$C$2:$C$1199,0)))</f>
        <v/>
      </c>
      <c r="I584" s="7" t="str">
        <f>IF(ISNA(MATCH(575,'Transfer Engine'!$C$2:$C$1199,0)),"",INDEX('Compliance Database'!$I$2:$I$1199,MATCH(575,'Transfer Engine'!$C$2:$C$1199,0)))</f>
        <v/>
      </c>
      <c r="J584" s="6" t="str">
        <f>IF(ISNA(MATCH(575,'Transfer Engine'!$C$2:$C$1199,0)),"",INDEX('Compliance Database'!$J$2:$J$1199,MATCH(575,'Transfer Engine'!$C$2:$C$1199,0)))</f>
        <v/>
      </c>
      <c r="K584" s="7" t="str">
        <f>IF(ISNA(MATCH(575,'Transfer Engine'!$C$2:$C$1199,0)),"",INDEX('Compliance Database'!$K$2:$K$1199,MATCH(575,'Transfer Engine'!$C$2:$C$1199,0)))</f>
        <v/>
      </c>
      <c r="L584" s="7" t="str">
        <f>IF(ISNA(MATCH(575,'Transfer Engine'!$C$2:$C$1199,0)),"",INDEX('Compliance Database'!$L$2:$L$1199,MATCH(575,'Transfer Engine'!$C$2:$C$1199,0)))</f>
        <v/>
      </c>
      <c r="M584" s="7" t="str">
        <f>IF(ISNA(MATCH(575,'Transfer Engine'!$C$2:$C$1199,0)),"",INDEX('Compliance Database'!$M$2:$M$1199,MATCH(575,'Transfer Engine'!$C$2:$C$1199,0)))</f>
        <v/>
      </c>
      <c r="N584" s="7" t="str">
        <f>IF(ISNA(MATCH(575,'Transfer Engine'!$C$2:$C$1199,0)),"",INDEX('Compliance Database'!$N$2:$N$1199,MATCH(575,'Transfer Engine'!$C$2:$C$1199,0)))</f>
        <v/>
      </c>
      <c r="O584" s="7" t="str">
        <f>IF(ISNA(MATCH(575,'Transfer Engine'!$C$2:$C$1199,0)),"",INDEX('Compliance Database'!$O$2:$O$1199,MATCH(575,'Transfer Engine'!$C$2:$C$1199,0)))</f>
        <v/>
      </c>
      <c r="P584" s="6" t="str">
        <f>IF(ISNA(MATCH(575,'Transfer Engine'!$C$2:$C$1199,0)),"",HYPERLINK("#Acts!A"&amp;INDEX('Compliance Database'!$P$2:$P$1199,MATCH(575,'Transfer Engine'!$C$2:$C$1199,0)),"Go to Act"))</f>
        <v/>
      </c>
    </row>
    <row r="585" spans="1:16" ht="172.95" customHeight="1" x14ac:dyDescent="0.3">
      <c r="A585" s="6" t="str">
        <f>IF(ISNA(MATCH(576,'Transfer Engine'!$C$2:$C$1199,0)),"",INDEX('Compliance Database'!$A$2:$A$1199,MATCH(576,'Transfer Engine'!$C$2:$C$1199,0)))</f>
        <v/>
      </c>
      <c r="B585" s="6" t="str">
        <f>IF(ISNA(MATCH(576,'Transfer Engine'!$C$2:$C$1199,0)),"",INDEX('Compliance Database'!$B$2:$B$1199,MATCH(576,'Transfer Engine'!$C$2:$C$1199,0)))</f>
        <v/>
      </c>
      <c r="C585" s="6" t="str">
        <f>IF(ISNA(MATCH(576,'Transfer Engine'!$C$2:$C$1199,0)),"",INDEX('Compliance Database'!$C$2:$C$1199,MATCH(576,'Transfer Engine'!$C$2:$C$1199,0)))</f>
        <v/>
      </c>
      <c r="D585" s="7" t="str">
        <f>IF(ISNA(MATCH(576,'Transfer Engine'!$C$2:$C$1199,0)),"",INDEX('Compliance Database'!$D$2:$D$1199,MATCH(576,'Transfer Engine'!$C$2:$C$1199,0)))</f>
        <v/>
      </c>
      <c r="E585" s="6" t="str">
        <f>IF(ISNA(MATCH(576,'Transfer Engine'!$C$2:$C$1199,0)),"",INDEX('Compliance Database'!$E$2:$E$1199,MATCH(576,'Transfer Engine'!$C$2:$C$1199,0)))</f>
        <v/>
      </c>
      <c r="F585" s="6" t="str">
        <f>IF(ISNA(MATCH(576,'Transfer Engine'!$C$2:$C$1199,0)),"",INDEX('Compliance Database'!$F$2:$F$1199,MATCH(576,'Transfer Engine'!$C$2:$C$1199,0)))</f>
        <v/>
      </c>
      <c r="G585" s="6" t="str">
        <f>IF(ISNA(MATCH(576,'Transfer Engine'!$C$2:$C$1199,0)),"",INDEX('Compliance Database'!$G$2:$G$1199,MATCH(576,'Transfer Engine'!$C$2:$C$1199,0)))</f>
        <v/>
      </c>
      <c r="H585" s="7" t="str">
        <f>IF(ISNA(MATCH(576,'Transfer Engine'!$C$2:$C$1199,0)),"",INDEX('Compliance Database'!$H$2:$H$1199,MATCH(576,'Transfer Engine'!$C$2:$C$1199,0)))</f>
        <v/>
      </c>
      <c r="I585" s="7" t="str">
        <f>IF(ISNA(MATCH(576,'Transfer Engine'!$C$2:$C$1199,0)),"",INDEX('Compliance Database'!$I$2:$I$1199,MATCH(576,'Transfer Engine'!$C$2:$C$1199,0)))</f>
        <v/>
      </c>
      <c r="J585" s="6" t="str">
        <f>IF(ISNA(MATCH(576,'Transfer Engine'!$C$2:$C$1199,0)),"",INDEX('Compliance Database'!$J$2:$J$1199,MATCH(576,'Transfer Engine'!$C$2:$C$1199,0)))</f>
        <v/>
      </c>
      <c r="K585" s="7" t="str">
        <f>IF(ISNA(MATCH(576,'Transfer Engine'!$C$2:$C$1199,0)),"",INDEX('Compliance Database'!$K$2:$K$1199,MATCH(576,'Transfer Engine'!$C$2:$C$1199,0)))</f>
        <v/>
      </c>
      <c r="L585" s="7" t="str">
        <f>IF(ISNA(MATCH(576,'Transfer Engine'!$C$2:$C$1199,0)),"",INDEX('Compliance Database'!$L$2:$L$1199,MATCH(576,'Transfer Engine'!$C$2:$C$1199,0)))</f>
        <v/>
      </c>
      <c r="M585" s="7" t="str">
        <f>IF(ISNA(MATCH(576,'Transfer Engine'!$C$2:$C$1199,0)),"",INDEX('Compliance Database'!$M$2:$M$1199,MATCH(576,'Transfer Engine'!$C$2:$C$1199,0)))</f>
        <v/>
      </c>
      <c r="N585" s="7" t="str">
        <f>IF(ISNA(MATCH(576,'Transfer Engine'!$C$2:$C$1199,0)),"",INDEX('Compliance Database'!$N$2:$N$1199,MATCH(576,'Transfer Engine'!$C$2:$C$1199,0)))</f>
        <v/>
      </c>
      <c r="O585" s="7" t="str">
        <f>IF(ISNA(MATCH(576,'Transfer Engine'!$C$2:$C$1199,0)),"",INDEX('Compliance Database'!$O$2:$O$1199,MATCH(576,'Transfer Engine'!$C$2:$C$1199,0)))</f>
        <v/>
      </c>
      <c r="P585" s="6" t="str">
        <f>IF(ISNA(MATCH(576,'Transfer Engine'!$C$2:$C$1199,0)),"",HYPERLINK("#Acts!A"&amp;INDEX('Compliance Database'!$P$2:$P$1199,MATCH(576,'Transfer Engine'!$C$2:$C$1199,0)),"Go to Act"))</f>
        <v/>
      </c>
    </row>
    <row r="586" spans="1:16" ht="172.95" customHeight="1" x14ac:dyDescent="0.3">
      <c r="A586" s="6" t="str">
        <f>IF(ISNA(MATCH(577,'Transfer Engine'!$C$2:$C$1199,0)),"",INDEX('Compliance Database'!$A$2:$A$1199,MATCH(577,'Transfer Engine'!$C$2:$C$1199,0)))</f>
        <v/>
      </c>
      <c r="B586" s="6" t="str">
        <f>IF(ISNA(MATCH(577,'Transfer Engine'!$C$2:$C$1199,0)),"",INDEX('Compliance Database'!$B$2:$B$1199,MATCH(577,'Transfer Engine'!$C$2:$C$1199,0)))</f>
        <v/>
      </c>
      <c r="C586" s="6" t="str">
        <f>IF(ISNA(MATCH(577,'Transfer Engine'!$C$2:$C$1199,0)),"",INDEX('Compliance Database'!$C$2:$C$1199,MATCH(577,'Transfer Engine'!$C$2:$C$1199,0)))</f>
        <v/>
      </c>
      <c r="D586" s="7" t="str">
        <f>IF(ISNA(MATCH(577,'Transfer Engine'!$C$2:$C$1199,0)),"",INDEX('Compliance Database'!$D$2:$D$1199,MATCH(577,'Transfer Engine'!$C$2:$C$1199,0)))</f>
        <v/>
      </c>
      <c r="E586" s="6" t="str">
        <f>IF(ISNA(MATCH(577,'Transfer Engine'!$C$2:$C$1199,0)),"",INDEX('Compliance Database'!$E$2:$E$1199,MATCH(577,'Transfer Engine'!$C$2:$C$1199,0)))</f>
        <v/>
      </c>
      <c r="F586" s="6" t="str">
        <f>IF(ISNA(MATCH(577,'Transfer Engine'!$C$2:$C$1199,0)),"",INDEX('Compliance Database'!$F$2:$F$1199,MATCH(577,'Transfer Engine'!$C$2:$C$1199,0)))</f>
        <v/>
      </c>
      <c r="G586" s="6" t="str">
        <f>IF(ISNA(MATCH(577,'Transfer Engine'!$C$2:$C$1199,0)),"",INDEX('Compliance Database'!$G$2:$G$1199,MATCH(577,'Transfer Engine'!$C$2:$C$1199,0)))</f>
        <v/>
      </c>
      <c r="H586" s="7" t="str">
        <f>IF(ISNA(MATCH(577,'Transfer Engine'!$C$2:$C$1199,0)),"",INDEX('Compliance Database'!$H$2:$H$1199,MATCH(577,'Transfer Engine'!$C$2:$C$1199,0)))</f>
        <v/>
      </c>
      <c r="I586" s="7" t="str">
        <f>IF(ISNA(MATCH(577,'Transfer Engine'!$C$2:$C$1199,0)),"",INDEX('Compliance Database'!$I$2:$I$1199,MATCH(577,'Transfer Engine'!$C$2:$C$1199,0)))</f>
        <v/>
      </c>
      <c r="J586" s="6" t="str">
        <f>IF(ISNA(MATCH(577,'Transfer Engine'!$C$2:$C$1199,0)),"",INDEX('Compliance Database'!$J$2:$J$1199,MATCH(577,'Transfer Engine'!$C$2:$C$1199,0)))</f>
        <v/>
      </c>
      <c r="K586" s="7" t="str">
        <f>IF(ISNA(MATCH(577,'Transfer Engine'!$C$2:$C$1199,0)),"",INDEX('Compliance Database'!$K$2:$K$1199,MATCH(577,'Transfer Engine'!$C$2:$C$1199,0)))</f>
        <v/>
      </c>
      <c r="L586" s="7" t="str">
        <f>IF(ISNA(MATCH(577,'Transfer Engine'!$C$2:$C$1199,0)),"",INDEX('Compliance Database'!$L$2:$L$1199,MATCH(577,'Transfer Engine'!$C$2:$C$1199,0)))</f>
        <v/>
      </c>
      <c r="M586" s="7" t="str">
        <f>IF(ISNA(MATCH(577,'Transfer Engine'!$C$2:$C$1199,0)),"",INDEX('Compliance Database'!$M$2:$M$1199,MATCH(577,'Transfer Engine'!$C$2:$C$1199,0)))</f>
        <v/>
      </c>
      <c r="N586" s="7" t="str">
        <f>IF(ISNA(MATCH(577,'Transfer Engine'!$C$2:$C$1199,0)),"",INDEX('Compliance Database'!$N$2:$N$1199,MATCH(577,'Transfer Engine'!$C$2:$C$1199,0)))</f>
        <v/>
      </c>
      <c r="O586" s="7" t="str">
        <f>IF(ISNA(MATCH(577,'Transfer Engine'!$C$2:$C$1199,0)),"",INDEX('Compliance Database'!$O$2:$O$1199,MATCH(577,'Transfer Engine'!$C$2:$C$1199,0)))</f>
        <v/>
      </c>
      <c r="P586" s="6" t="str">
        <f>IF(ISNA(MATCH(577,'Transfer Engine'!$C$2:$C$1199,0)),"",HYPERLINK("#Acts!A"&amp;INDEX('Compliance Database'!$P$2:$P$1199,MATCH(577,'Transfer Engine'!$C$2:$C$1199,0)),"Go to Act"))</f>
        <v/>
      </c>
    </row>
    <row r="587" spans="1:16" ht="172.95" customHeight="1" x14ac:dyDescent="0.3">
      <c r="A587" s="6" t="str">
        <f>IF(ISNA(MATCH(578,'Transfer Engine'!$C$2:$C$1199,0)),"",INDEX('Compliance Database'!$A$2:$A$1199,MATCH(578,'Transfer Engine'!$C$2:$C$1199,0)))</f>
        <v/>
      </c>
      <c r="B587" s="6" t="str">
        <f>IF(ISNA(MATCH(578,'Transfer Engine'!$C$2:$C$1199,0)),"",INDEX('Compliance Database'!$B$2:$B$1199,MATCH(578,'Transfer Engine'!$C$2:$C$1199,0)))</f>
        <v/>
      </c>
      <c r="C587" s="6" t="str">
        <f>IF(ISNA(MATCH(578,'Transfer Engine'!$C$2:$C$1199,0)),"",INDEX('Compliance Database'!$C$2:$C$1199,MATCH(578,'Transfer Engine'!$C$2:$C$1199,0)))</f>
        <v/>
      </c>
      <c r="D587" s="7" t="str">
        <f>IF(ISNA(MATCH(578,'Transfer Engine'!$C$2:$C$1199,0)),"",INDEX('Compliance Database'!$D$2:$D$1199,MATCH(578,'Transfer Engine'!$C$2:$C$1199,0)))</f>
        <v/>
      </c>
      <c r="E587" s="6" t="str">
        <f>IF(ISNA(MATCH(578,'Transfer Engine'!$C$2:$C$1199,0)),"",INDEX('Compliance Database'!$E$2:$E$1199,MATCH(578,'Transfer Engine'!$C$2:$C$1199,0)))</f>
        <v/>
      </c>
      <c r="F587" s="6" t="str">
        <f>IF(ISNA(MATCH(578,'Transfer Engine'!$C$2:$C$1199,0)),"",INDEX('Compliance Database'!$F$2:$F$1199,MATCH(578,'Transfer Engine'!$C$2:$C$1199,0)))</f>
        <v/>
      </c>
      <c r="G587" s="6" t="str">
        <f>IF(ISNA(MATCH(578,'Transfer Engine'!$C$2:$C$1199,0)),"",INDEX('Compliance Database'!$G$2:$G$1199,MATCH(578,'Transfer Engine'!$C$2:$C$1199,0)))</f>
        <v/>
      </c>
      <c r="H587" s="7" t="str">
        <f>IF(ISNA(MATCH(578,'Transfer Engine'!$C$2:$C$1199,0)),"",INDEX('Compliance Database'!$H$2:$H$1199,MATCH(578,'Transfer Engine'!$C$2:$C$1199,0)))</f>
        <v/>
      </c>
      <c r="I587" s="7" t="str">
        <f>IF(ISNA(MATCH(578,'Transfer Engine'!$C$2:$C$1199,0)),"",INDEX('Compliance Database'!$I$2:$I$1199,MATCH(578,'Transfer Engine'!$C$2:$C$1199,0)))</f>
        <v/>
      </c>
      <c r="J587" s="6" t="str">
        <f>IF(ISNA(MATCH(578,'Transfer Engine'!$C$2:$C$1199,0)),"",INDEX('Compliance Database'!$J$2:$J$1199,MATCH(578,'Transfer Engine'!$C$2:$C$1199,0)))</f>
        <v/>
      </c>
      <c r="K587" s="7" t="str">
        <f>IF(ISNA(MATCH(578,'Transfer Engine'!$C$2:$C$1199,0)),"",INDEX('Compliance Database'!$K$2:$K$1199,MATCH(578,'Transfer Engine'!$C$2:$C$1199,0)))</f>
        <v/>
      </c>
      <c r="L587" s="7" t="str">
        <f>IF(ISNA(MATCH(578,'Transfer Engine'!$C$2:$C$1199,0)),"",INDEX('Compliance Database'!$L$2:$L$1199,MATCH(578,'Transfer Engine'!$C$2:$C$1199,0)))</f>
        <v/>
      </c>
      <c r="M587" s="7" t="str">
        <f>IF(ISNA(MATCH(578,'Transfer Engine'!$C$2:$C$1199,0)),"",INDEX('Compliance Database'!$M$2:$M$1199,MATCH(578,'Transfer Engine'!$C$2:$C$1199,0)))</f>
        <v/>
      </c>
      <c r="N587" s="7" t="str">
        <f>IF(ISNA(MATCH(578,'Transfer Engine'!$C$2:$C$1199,0)),"",INDEX('Compliance Database'!$N$2:$N$1199,MATCH(578,'Transfer Engine'!$C$2:$C$1199,0)))</f>
        <v/>
      </c>
      <c r="O587" s="7" t="str">
        <f>IF(ISNA(MATCH(578,'Transfer Engine'!$C$2:$C$1199,0)),"",INDEX('Compliance Database'!$O$2:$O$1199,MATCH(578,'Transfer Engine'!$C$2:$C$1199,0)))</f>
        <v/>
      </c>
      <c r="P587" s="6" t="str">
        <f>IF(ISNA(MATCH(578,'Transfer Engine'!$C$2:$C$1199,0)),"",HYPERLINK("#Acts!A"&amp;INDEX('Compliance Database'!$P$2:$P$1199,MATCH(578,'Transfer Engine'!$C$2:$C$1199,0)),"Go to Act"))</f>
        <v/>
      </c>
    </row>
    <row r="588" spans="1:16" ht="172.95" customHeight="1" x14ac:dyDescent="0.3">
      <c r="A588" s="6" t="str">
        <f>IF(ISNA(MATCH(579,'Transfer Engine'!$C$2:$C$1199,0)),"",INDEX('Compliance Database'!$A$2:$A$1199,MATCH(579,'Transfer Engine'!$C$2:$C$1199,0)))</f>
        <v/>
      </c>
      <c r="B588" s="6" t="str">
        <f>IF(ISNA(MATCH(579,'Transfer Engine'!$C$2:$C$1199,0)),"",INDEX('Compliance Database'!$B$2:$B$1199,MATCH(579,'Transfer Engine'!$C$2:$C$1199,0)))</f>
        <v/>
      </c>
      <c r="C588" s="6" t="str">
        <f>IF(ISNA(MATCH(579,'Transfer Engine'!$C$2:$C$1199,0)),"",INDEX('Compliance Database'!$C$2:$C$1199,MATCH(579,'Transfer Engine'!$C$2:$C$1199,0)))</f>
        <v/>
      </c>
      <c r="D588" s="7" t="str">
        <f>IF(ISNA(MATCH(579,'Transfer Engine'!$C$2:$C$1199,0)),"",INDEX('Compliance Database'!$D$2:$D$1199,MATCH(579,'Transfer Engine'!$C$2:$C$1199,0)))</f>
        <v/>
      </c>
      <c r="E588" s="6" t="str">
        <f>IF(ISNA(MATCH(579,'Transfer Engine'!$C$2:$C$1199,0)),"",INDEX('Compliance Database'!$E$2:$E$1199,MATCH(579,'Transfer Engine'!$C$2:$C$1199,0)))</f>
        <v/>
      </c>
      <c r="F588" s="6" t="str">
        <f>IF(ISNA(MATCH(579,'Transfer Engine'!$C$2:$C$1199,0)),"",INDEX('Compliance Database'!$F$2:$F$1199,MATCH(579,'Transfer Engine'!$C$2:$C$1199,0)))</f>
        <v/>
      </c>
      <c r="G588" s="6" t="str">
        <f>IF(ISNA(MATCH(579,'Transfer Engine'!$C$2:$C$1199,0)),"",INDEX('Compliance Database'!$G$2:$G$1199,MATCH(579,'Transfer Engine'!$C$2:$C$1199,0)))</f>
        <v/>
      </c>
      <c r="H588" s="7" t="str">
        <f>IF(ISNA(MATCH(579,'Transfer Engine'!$C$2:$C$1199,0)),"",INDEX('Compliance Database'!$H$2:$H$1199,MATCH(579,'Transfer Engine'!$C$2:$C$1199,0)))</f>
        <v/>
      </c>
      <c r="I588" s="7" t="str">
        <f>IF(ISNA(MATCH(579,'Transfer Engine'!$C$2:$C$1199,0)),"",INDEX('Compliance Database'!$I$2:$I$1199,MATCH(579,'Transfer Engine'!$C$2:$C$1199,0)))</f>
        <v/>
      </c>
      <c r="J588" s="6" t="str">
        <f>IF(ISNA(MATCH(579,'Transfer Engine'!$C$2:$C$1199,0)),"",INDEX('Compliance Database'!$J$2:$J$1199,MATCH(579,'Transfer Engine'!$C$2:$C$1199,0)))</f>
        <v/>
      </c>
      <c r="K588" s="7" t="str">
        <f>IF(ISNA(MATCH(579,'Transfer Engine'!$C$2:$C$1199,0)),"",INDEX('Compliance Database'!$K$2:$K$1199,MATCH(579,'Transfer Engine'!$C$2:$C$1199,0)))</f>
        <v/>
      </c>
      <c r="L588" s="7" t="str">
        <f>IF(ISNA(MATCH(579,'Transfer Engine'!$C$2:$C$1199,0)),"",INDEX('Compliance Database'!$L$2:$L$1199,MATCH(579,'Transfer Engine'!$C$2:$C$1199,0)))</f>
        <v/>
      </c>
      <c r="M588" s="7" t="str">
        <f>IF(ISNA(MATCH(579,'Transfer Engine'!$C$2:$C$1199,0)),"",INDEX('Compliance Database'!$M$2:$M$1199,MATCH(579,'Transfer Engine'!$C$2:$C$1199,0)))</f>
        <v/>
      </c>
      <c r="N588" s="7" t="str">
        <f>IF(ISNA(MATCH(579,'Transfer Engine'!$C$2:$C$1199,0)),"",INDEX('Compliance Database'!$N$2:$N$1199,MATCH(579,'Transfer Engine'!$C$2:$C$1199,0)))</f>
        <v/>
      </c>
      <c r="O588" s="7" t="str">
        <f>IF(ISNA(MATCH(579,'Transfer Engine'!$C$2:$C$1199,0)),"",INDEX('Compliance Database'!$O$2:$O$1199,MATCH(579,'Transfer Engine'!$C$2:$C$1199,0)))</f>
        <v/>
      </c>
      <c r="P588" s="6" t="str">
        <f>IF(ISNA(MATCH(579,'Transfer Engine'!$C$2:$C$1199,0)),"",HYPERLINK("#Acts!A"&amp;INDEX('Compliance Database'!$P$2:$P$1199,MATCH(579,'Transfer Engine'!$C$2:$C$1199,0)),"Go to Act"))</f>
        <v/>
      </c>
    </row>
    <row r="589" spans="1:16" ht="172.95" customHeight="1" x14ac:dyDescent="0.3">
      <c r="A589" s="6" t="str">
        <f>IF(ISNA(MATCH(580,'Transfer Engine'!$C$2:$C$1199,0)),"",INDEX('Compliance Database'!$A$2:$A$1199,MATCH(580,'Transfer Engine'!$C$2:$C$1199,0)))</f>
        <v/>
      </c>
      <c r="B589" s="6" t="str">
        <f>IF(ISNA(MATCH(580,'Transfer Engine'!$C$2:$C$1199,0)),"",INDEX('Compliance Database'!$B$2:$B$1199,MATCH(580,'Transfer Engine'!$C$2:$C$1199,0)))</f>
        <v/>
      </c>
      <c r="C589" s="6" t="str">
        <f>IF(ISNA(MATCH(580,'Transfer Engine'!$C$2:$C$1199,0)),"",INDEX('Compliance Database'!$C$2:$C$1199,MATCH(580,'Transfer Engine'!$C$2:$C$1199,0)))</f>
        <v/>
      </c>
      <c r="D589" s="7" t="str">
        <f>IF(ISNA(MATCH(580,'Transfer Engine'!$C$2:$C$1199,0)),"",INDEX('Compliance Database'!$D$2:$D$1199,MATCH(580,'Transfer Engine'!$C$2:$C$1199,0)))</f>
        <v/>
      </c>
      <c r="E589" s="6" t="str">
        <f>IF(ISNA(MATCH(580,'Transfer Engine'!$C$2:$C$1199,0)),"",INDEX('Compliance Database'!$E$2:$E$1199,MATCH(580,'Transfer Engine'!$C$2:$C$1199,0)))</f>
        <v/>
      </c>
      <c r="F589" s="6" t="str">
        <f>IF(ISNA(MATCH(580,'Transfer Engine'!$C$2:$C$1199,0)),"",INDEX('Compliance Database'!$F$2:$F$1199,MATCH(580,'Transfer Engine'!$C$2:$C$1199,0)))</f>
        <v/>
      </c>
      <c r="G589" s="6" t="str">
        <f>IF(ISNA(MATCH(580,'Transfer Engine'!$C$2:$C$1199,0)),"",INDEX('Compliance Database'!$G$2:$G$1199,MATCH(580,'Transfer Engine'!$C$2:$C$1199,0)))</f>
        <v/>
      </c>
      <c r="H589" s="7" t="str">
        <f>IF(ISNA(MATCH(580,'Transfer Engine'!$C$2:$C$1199,0)),"",INDEX('Compliance Database'!$H$2:$H$1199,MATCH(580,'Transfer Engine'!$C$2:$C$1199,0)))</f>
        <v/>
      </c>
      <c r="I589" s="7" t="str">
        <f>IF(ISNA(MATCH(580,'Transfer Engine'!$C$2:$C$1199,0)),"",INDEX('Compliance Database'!$I$2:$I$1199,MATCH(580,'Transfer Engine'!$C$2:$C$1199,0)))</f>
        <v/>
      </c>
      <c r="J589" s="6" t="str">
        <f>IF(ISNA(MATCH(580,'Transfer Engine'!$C$2:$C$1199,0)),"",INDEX('Compliance Database'!$J$2:$J$1199,MATCH(580,'Transfer Engine'!$C$2:$C$1199,0)))</f>
        <v/>
      </c>
      <c r="K589" s="7" t="str">
        <f>IF(ISNA(MATCH(580,'Transfer Engine'!$C$2:$C$1199,0)),"",INDEX('Compliance Database'!$K$2:$K$1199,MATCH(580,'Transfer Engine'!$C$2:$C$1199,0)))</f>
        <v/>
      </c>
      <c r="L589" s="7" t="str">
        <f>IF(ISNA(MATCH(580,'Transfer Engine'!$C$2:$C$1199,0)),"",INDEX('Compliance Database'!$L$2:$L$1199,MATCH(580,'Transfer Engine'!$C$2:$C$1199,0)))</f>
        <v/>
      </c>
      <c r="M589" s="7" t="str">
        <f>IF(ISNA(MATCH(580,'Transfer Engine'!$C$2:$C$1199,0)),"",INDEX('Compliance Database'!$M$2:$M$1199,MATCH(580,'Transfer Engine'!$C$2:$C$1199,0)))</f>
        <v/>
      </c>
      <c r="N589" s="7" t="str">
        <f>IF(ISNA(MATCH(580,'Transfer Engine'!$C$2:$C$1199,0)),"",INDEX('Compliance Database'!$N$2:$N$1199,MATCH(580,'Transfer Engine'!$C$2:$C$1199,0)))</f>
        <v/>
      </c>
      <c r="O589" s="7" t="str">
        <f>IF(ISNA(MATCH(580,'Transfer Engine'!$C$2:$C$1199,0)),"",INDEX('Compliance Database'!$O$2:$O$1199,MATCH(580,'Transfer Engine'!$C$2:$C$1199,0)))</f>
        <v/>
      </c>
      <c r="P589" s="6" t="str">
        <f>IF(ISNA(MATCH(580,'Transfer Engine'!$C$2:$C$1199,0)),"",HYPERLINK("#Acts!A"&amp;INDEX('Compliance Database'!$P$2:$P$1199,MATCH(580,'Transfer Engine'!$C$2:$C$1199,0)),"Go to Act"))</f>
        <v/>
      </c>
    </row>
    <row r="590" spans="1:16" ht="172.95" customHeight="1" x14ac:dyDescent="0.3">
      <c r="A590" s="6" t="str">
        <f>IF(ISNA(MATCH(581,'Transfer Engine'!$C$2:$C$1199,0)),"",INDEX('Compliance Database'!$A$2:$A$1199,MATCH(581,'Transfer Engine'!$C$2:$C$1199,0)))</f>
        <v/>
      </c>
      <c r="B590" s="6" t="str">
        <f>IF(ISNA(MATCH(581,'Transfer Engine'!$C$2:$C$1199,0)),"",INDEX('Compliance Database'!$B$2:$B$1199,MATCH(581,'Transfer Engine'!$C$2:$C$1199,0)))</f>
        <v/>
      </c>
      <c r="C590" s="6" t="str">
        <f>IF(ISNA(MATCH(581,'Transfer Engine'!$C$2:$C$1199,0)),"",INDEX('Compliance Database'!$C$2:$C$1199,MATCH(581,'Transfer Engine'!$C$2:$C$1199,0)))</f>
        <v/>
      </c>
      <c r="D590" s="7" t="str">
        <f>IF(ISNA(MATCH(581,'Transfer Engine'!$C$2:$C$1199,0)),"",INDEX('Compliance Database'!$D$2:$D$1199,MATCH(581,'Transfer Engine'!$C$2:$C$1199,0)))</f>
        <v/>
      </c>
      <c r="E590" s="6" t="str">
        <f>IF(ISNA(MATCH(581,'Transfer Engine'!$C$2:$C$1199,0)),"",INDEX('Compliance Database'!$E$2:$E$1199,MATCH(581,'Transfer Engine'!$C$2:$C$1199,0)))</f>
        <v/>
      </c>
      <c r="F590" s="6" t="str">
        <f>IF(ISNA(MATCH(581,'Transfer Engine'!$C$2:$C$1199,0)),"",INDEX('Compliance Database'!$F$2:$F$1199,MATCH(581,'Transfer Engine'!$C$2:$C$1199,0)))</f>
        <v/>
      </c>
      <c r="G590" s="6" t="str">
        <f>IF(ISNA(MATCH(581,'Transfer Engine'!$C$2:$C$1199,0)),"",INDEX('Compliance Database'!$G$2:$G$1199,MATCH(581,'Transfer Engine'!$C$2:$C$1199,0)))</f>
        <v/>
      </c>
      <c r="H590" s="7" t="str">
        <f>IF(ISNA(MATCH(581,'Transfer Engine'!$C$2:$C$1199,0)),"",INDEX('Compliance Database'!$H$2:$H$1199,MATCH(581,'Transfer Engine'!$C$2:$C$1199,0)))</f>
        <v/>
      </c>
      <c r="I590" s="7" t="str">
        <f>IF(ISNA(MATCH(581,'Transfer Engine'!$C$2:$C$1199,0)),"",INDEX('Compliance Database'!$I$2:$I$1199,MATCH(581,'Transfer Engine'!$C$2:$C$1199,0)))</f>
        <v/>
      </c>
      <c r="J590" s="6" t="str">
        <f>IF(ISNA(MATCH(581,'Transfer Engine'!$C$2:$C$1199,0)),"",INDEX('Compliance Database'!$J$2:$J$1199,MATCH(581,'Transfer Engine'!$C$2:$C$1199,0)))</f>
        <v/>
      </c>
      <c r="K590" s="7" t="str">
        <f>IF(ISNA(MATCH(581,'Transfer Engine'!$C$2:$C$1199,0)),"",INDEX('Compliance Database'!$K$2:$K$1199,MATCH(581,'Transfer Engine'!$C$2:$C$1199,0)))</f>
        <v/>
      </c>
      <c r="L590" s="7" t="str">
        <f>IF(ISNA(MATCH(581,'Transfer Engine'!$C$2:$C$1199,0)),"",INDEX('Compliance Database'!$L$2:$L$1199,MATCH(581,'Transfer Engine'!$C$2:$C$1199,0)))</f>
        <v/>
      </c>
      <c r="M590" s="7" t="str">
        <f>IF(ISNA(MATCH(581,'Transfer Engine'!$C$2:$C$1199,0)),"",INDEX('Compliance Database'!$M$2:$M$1199,MATCH(581,'Transfer Engine'!$C$2:$C$1199,0)))</f>
        <v/>
      </c>
      <c r="N590" s="7" t="str">
        <f>IF(ISNA(MATCH(581,'Transfer Engine'!$C$2:$C$1199,0)),"",INDEX('Compliance Database'!$N$2:$N$1199,MATCH(581,'Transfer Engine'!$C$2:$C$1199,0)))</f>
        <v/>
      </c>
      <c r="O590" s="7" t="str">
        <f>IF(ISNA(MATCH(581,'Transfer Engine'!$C$2:$C$1199,0)),"",INDEX('Compliance Database'!$O$2:$O$1199,MATCH(581,'Transfer Engine'!$C$2:$C$1199,0)))</f>
        <v/>
      </c>
      <c r="P590" s="6" t="str">
        <f>IF(ISNA(MATCH(581,'Transfer Engine'!$C$2:$C$1199,0)),"",HYPERLINK("#Acts!A"&amp;INDEX('Compliance Database'!$P$2:$P$1199,MATCH(581,'Transfer Engine'!$C$2:$C$1199,0)),"Go to Act"))</f>
        <v/>
      </c>
    </row>
    <row r="591" spans="1:16" ht="172.95" customHeight="1" x14ac:dyDescent="0.3">
      <c r="A591" s="6" t="str">
        <f>IF(ISNA(MATCH(582,'Transfer Engine'!$C$2:$C$1199,0)),"",INDEX('Compliance Database'!$A$2:$A$1199,MATCH(582,'Transfer Engine'!$C$2:$C$1199,0)))</f>
        <v/>
      </c>
      <c r="B591" s="6" t="str">
        <f>IF(ISNA(MATCH(582,'Transfer Engine'!$C$2:$C$1199,0)),"",INDEX('Compliance Database'!$B$2:$B$1199,MATCH(582,'Transfer Engine'!$C$2:$C$1199,0)))</f>
        <v/>
      </c>
      <c r="C591" s="6" t="str">
        <f>IF(ISNA(MATCH(582,'Transfer Engine'!$C$2:$C$1199,0)),"",INDEX('Compliance Database'!$C$2:$C$1199,MATCH(582,'Transfer Engine'!$C$2:$C$1199,0)))</f>
        <v/>
      </c>
      <c r="D591" s="7" t="str">
        <f>IF(ISNA(MATCH(582,'Transfer Engine'!$C$2:$C$1199,0)),"",INDEX('Compliance Database'!$D$2:$D$1199,MATCH(582,'Transfer Engine'!$C$2:$C$1199,0)))</f>
        <v/>
      </c>
      <c r="E591" s="6" t="str">
        <f>IF(ISNA(MATCH(582,'Transfer Engine'!$C$2:$C$1199,0)),"",INDEX('Compliance Database'!$E$2:$E$1199,MATCH(582,'Transfer Engine'!$C$2:$C$1199,0)))</f>
        <v/>
      </c>
      <c r="F591" s="6" t="str">
        <f>IF(ISNA(MATCH(582,'Transfer Engine'!$C$2:$C$1199,0)),"",INDEX('Compliance Database'!$F$2:$F$1199,MATCH(582,'Transfer Engine'!$C$2:$C$1199,0)))</f>
        <v/>
      </c>
      <c r="G591" s="6" t="str">
        <f>IF(ISNA(MATCH(582,'Transfer Engine'!$C$2:$C$1199,0)),"",INDEX('Compliance Database'!$G$2:$G$1199,MATCH(582,'Transfer Engine'!$C$2:$C$1199,0)))</f>
        <v/>
      </c>
      <c r="H591" s="7" t="str">
        <f>IF(ISNA(MATCH(582,'Transfer Engine'!$C$2:$C$1199,0)),"",INDEX('Compliance Database'!$H$2:$H$1199,MATCH(582,'Transfer Engine'!$C$2:$C$1199,0)))</f>
        <v/>
      </c>
      <c r="I591" s="7" t="str">
        <f>IF(ISNA(MATCH(582,'Transfer Engine'!$C$2:$C$1199,0)),"",INDEX('Compliance Database'!$I$2:$I$1199,MATCH(582,'Transfer Engine'!$C$2:$C$1199,0)))</f>
        <v/>
      </c>
      <c r="J591" s="6" t="str">
        <f>IF(ISNA(MATCH(582,'Transfer Engine'!$C$2:$C$1199,0)),"",INDEX('Compliance Database'!$J$2:$J$1199,MATCH(582,'Transfer Engine'!$C$2:$C$1199,0)))</f>
        <v/>
      </c>
      <c r="K591" s="7" t="str">
        <f>IF(ISNA(MATCH(582,'Transfer Engine'!$C$2:$C$1199,0)),"",INDEX('Compliance Database'!$K$2:$K$1199,MATCH(582,'Transfer Engine'!$C$2:$C$1199,0)))</f>
        <v/>
      </c>
      <c r="L591" s="7" t="str">
        <f>IF(ISNA(MATCH(582,'Transfer Engine'!$C$2:$C$1199,0)),"",INDEX('Compliance Database'!$L$2:$L$1199,MATCH(582,'Transfer Engine'!$C$2:$C$1199,0)))</f>
        <v/>
      </c>
      <c r="M591" s="7" t="str">
        <f>IF(ISNA(MATCH(582,'Transfer Engine'!$C$2:$C$1199,0)),"",INDEX('Compliance Database'!$M$2:$M$1199,MATCH(582,'Transfer Engine'!$C$2:$C$1199,0)))</f>
        <v/>
      </c>
      <c r="N591" s="7" t="str">
        <f>IF(ISNA(MATCH(582,'Transfer Engine'!$C$2:$C$1199,0)),"",INDEX('Compliance Database'!$N$2:$N$1199,MATCH(582,'Transfer Engine'!$C$2:$C$1199,0)))</f>
        <v/>
      </c>
      <c r="O591" s="7" t="str">
        <f>IF(ISNA(MATCH(582,'Transfer Engine'!$C$2:$C$1199,0)),"",INDEX('Compliance Database'!$O$2:$O$1199,MATCH(582,'Transfer Engine'!$C$2:$C$1199,0)))</f>
        <v/>
      </c>
      <c r="P591" s="6" t="str">
        <f>IF(ISNA(MATCH(582,'Transfer Engine'!$C$2:$C$1199,0)),"",HYPERLINK("#Acts!A"&amp;INDEX('Compliance Database'!$P$2:$P$1199,MATCH(582,'Transfer Engine'!$C$2:$C$1199,0)),"Go to Act"))</f>
        <v/>
      </c>
    </row>
    <row r="592" spans="1:16" ht="172.95" customHeight="1" x14ac:dyDescent="0.3">
      <c r="A592" s="6" t="str">
        <f>IF(ISNA(MATCH(583,'Transfer Engine'!$C$2:$C$1199,0)),"",INDEX('Compliance Database'!$A$2:$A$1199,MATCH(583,'Transfer Engine'!$C$2:$C$1199,0)))</f>
        <v/>
      </c>
      <c r="B592" s="6" t="str">
        <f>IF(ISNA(MATCH(583,'Transfer Engine'!$C$2:$C$1199,0)),"",INDEX('Compliance Database'!$B$2:$B$1199,MATCH(583,'Transfer Engine'!$C$2:$C$1199,0)))</f>
        <v/>
      </c>
      <c r="C592" s="6" t="str">
        <f>IF(ISNA(MATCH(583,'Transfer Engine'!$C$2:$C$1199,0)),"",INDEX('Compliance Database'!$C$2:$C$1199,MATCH(583,'Transfer Engine'!$C$2:$C$1199,0)))</f>
        <v/>
      </c>
      <c r="D592" s="7" t="str">
        <f>IF(ISNA(MATCH(583,'Transfer Engine'!$C$2:$C$1199,0)),"",INDEX('Compliance Database'!$D$2:$D$1199,MATCH(583,'Transfer Engine'!$C$2:$C$1199,0)))</f>
        <v/>
      </c>
      <c r="E592" s="6" t="str">
        <f>IF(ISNA(MATCH(583,'Transfer Engine'!$C$2:$C$1199,0)),"",INDEX('Compliance Database'!$E$2:$E$1199,MATCH(583,'Transfer Engine'!$C$2:$C$1199,0)))</f>
        <v/>
      </c>
      <c r="F592" s="6" t="str">
        <f>IF(ISNA(MATCH(583,'Transfer Engine'!$C$2:$C$1199,0)),"",INDEX('Compliance Database'!$F$2:$F$1199,MATCH(583,'Transfer Engine'!$C$2:$C$1199,0)))</f>
        <v/>
      </c>
      <c r="G592" s="6" t="str">
        <f>IF(ISNA(MATCH(583,'Transfer Engine'!$C$2:$C$1199,0)),"",INDEX('Compliance Database'!$G$2:$G$1199,MATCH(583,'Transfer Engine'!$C$2:$C$1199,0)))</f>
        <v/>
      </c>
      <c r="H592" s="7" t="str">
        <f>IF(ISNA(MATCH(583,'Transfer Engine'!$C$2:$C$1199,0)),"",INDEX('Compliance Database'!$H$2:$H$1199,MATCH(583,'Transfer Engine'!$C$2:$C$1199,0)))</f>
        <v/>
      </c>
      <c r="I592" s="7" t="str">
        <f>IF(ISNA(MATCH(583,'Transfer Engine'!$C$2:$C$1199,0)),"",INDEX('Compliance Database'!$I$2:$I$1199,MATCH(583,'Transfer Engine'!$C$2:$C$1199,0)))</f>
        <v/>
      </c>
      <c r="J592" s="6" t="str">
        <f>IF(ISNA(MATCH(583,'Transfer Engine'!$C$2:$C$1199,0)),"",INDEX('Compliance Database'!$J$2:$J$1199,MATCH(583,'Transfer Engine'!$C$2:$C$1199,0)))</f>
        <v/>
      </c>
      <c r="K592" s="7" t="str">
        <f>IF(ISNA(MATCH(583,'Transfer Engine'!$C$2:$C$1199,0)),"",INDEX('Compliance Database'!$K$2:$K$1199,MATCH(583,'Transfer Engine'!$C$2:$C$1199,0)))</f>
        <v/>
      </c>
      <c r="L592" s="7" t="str">
        <f>IF(ISNA(MATCH(583,'Transfer Engine'!$C$2:$C$1199,0)),"",INDEX('Compliance Database'!$L$2:$L$1199,MATCH(583,'Transfer Engine'!$C$2:$C$1199,0)))</f>
        <v/>
      </c>
      <c r="M592" s="7" t="str">
        <f>IF(ISNA(MATCH(583,'Transfer Engine'!$C$2:$C$1199,0)),"",INDEX('Compliance Database'!$M$2:$M$1199,MATCH(583,'Transfer Engine'!$C$2:$C$1199,0)))</f>
        <v/>
      </c>
      <c r="N592" s="7" t="str">
        <f>IF(ISNA(MATCH(583,'Transfer Engine'!$C$2:$C$1199,0)),"",INDEX('Compliance Database'!$N$2:$N$1199,MATCH(583,'Transfer Engine'!$C$2:$C$1199,0)))</f>
        <v/>
      </c>
      <c r="O592" s="7" t="str">
        <f>IF(ISNA(MATCH(583,'Transfer Engine'!$C$2:$C$1199,0)),"",INDEX('Compliance Database'!$O$2:$O$1199,MATCH(583,'Transfer Engine'!$C$2:$C$1199,0)))</f>
        <v/>
      </c>
      <c r="P592" s="6" t="str">
        <f>IF(ISNA(MATCH(583,'Transfer Engine'!$C$2:$C$1199,0)),"",HYPERLINK("#Acts!A"&amp;INDEX('Compliance Database'!$P$2:$P$1199,MATCH(583,'Transfer Engine'!$C$2:$C$1199,0)),"Go to Act"))</f>
        <v/>
      </c>
    </row>
    <row r="593" spans="1:16" ht="172.95" customHeight="1" x14ac:dyDescent="0.3">
      <c r="A593" s="6" t="str">
        <f>IF(ISNA(MATCH(584,'Transfer Engine'!$C$2:$C$1199,0)),"",INDEX('Compliance Database'!$A$2:$A$1199,MATCH(584,'Transfer Engine'!$C$2:$C$1199,0)))</f>
        <v/>
      </c>
      <c r="B593" s="6" t="str">
        <f>IF(ISNA(MATCH(584,'Transfer Engine'!$C$2:$C$1199,0)),"",INDEX('Compliance Database'!$B$2:$B$1199,MATCH(584,'Transfer Engine'!$C$2:$C$1199,0)))</f>
        <v/>
      </c>
      <c r="C593" s="6" t="str">
        <f>IF(ISNA(MATCH(584,'Transfer Engine'!$C$2:$C$1199,0)),"",INDEX('Compliance Database'!$C$2:$C$1199,MATCH(584,'Transfer Engine'!$C$2:$C$1199,0)))</f>
        <v/>
      </c>
      <c r="D593" s="7" t="str">
        <f>IF(ISNA(MATCH(584,'Transfer Engine'!$C$2:$C$1199,0)),"",INDEX('Compliance Database'!$D$2:$D$1199,MATCH(584,'Transfer Engine'!$C$2:$C$1199,0)))</f>
        <v/>
      </c>
      <c r="E593" s="6" t="str">
        <f>IF(ISNA(MATCH(584,'Transfer Engine'!$C$2:$C$1199,0)),"",INDEX('Compliance Database'!$E$2:$E$1199,MATCH(584,'Transfer Engine'!$C$2:$C$1199,0)))</f>
        <v/>
      </c>
      <c r="F593" s="6" t="str">
        <f>IF(ISNA(MATCH(584,'Transfer Engine'!$C$2:$C$1199,0)),"",INDEX('Compliance Database'!$F$2:$F$1199,MATCH(584,'Transfer Engine'!$C$2:$C$1199,0)))</f>
        <v/>
      </c>
      <c r="G593" s="6" t="str">
        <f>IF(ISNA(MATCH(584,'Transfer Engine'!$C$2:$C$1199,0)),"",INDEX('Compliance Database'!$G$2:$G$1199,MATCH(584,'Transfer Engine'!$C$2:$C$1199,0)))</f>
        <v/>
      </c>
      <c r="H593" s="7" t="str">
        <f>IF(ISNA(MATCH(584,'Transfer Engine'!$C$2:$C$1199,0)),"",INDEX('Compliance Database'!$H$2:$H$1199,MATCH(584,'Transfer Engine'!$C$2:$C$1199,0)))</f>
        <v/>
      </c>
      <c r="I593" s="7" t="str">
        <f>IF(ISNA(MATCH(584,'Transfer Engine'!$C$2:$C$1199,0)),"",INDEX('Compliance Database'!$I$2:$I$1199,MATCH(584,'Transfer Engine'!$C$2:$C$1199,0)))</f>
        <v/>
      </c>
      <c r="J593" s="6" t="str">
        <f>IF(ISNA(MATCH(584,'Transfer Engine'!$C$2:$C$1199,0)),"",INDEX('Compliance Database'!$J$2:$J$1199,MATCH(584,'Transfer Engine'!$C$2:$C$1199,0)))</f>
        <v/>
      </c>
      <c r="K593" s="7" t="str">
        <f>IF(ISNA(MATCH(584,'Transfer Engine'!$C$2:$C$1199,0)),"",INDEX('Compliance Database'!$K$2:$K$1199,MATCH(584,'Transfer Engine'!$C$2:$C$1199,0)))</f>
        <v/>
      </c>
      <c r="L593" s="7" t="str">
        <f>IF(ISNA(MATCH(584,'Transfer Engine'!$C$2:$C$1199,0)),"",INDEX('Compliance Database'!$L$2:$L$1199,MATCH(584,'Transfer Engine'!$C$2:$C$1199,0)))</f>
        <v/>
      </c>
      <c r="M593" s="7" t="str">
        <f>IF(ISNA(MATCH(584,'Transfer Engine'!$C$2:$C$1199,0)),"",INDEX('Compliance Database'!$M$2:$M$1199,MATCH(584,'Transfer Engine'!$C$2:$C$1199,0)))</f>
        <v/>
      </c>
      <c r="N593" s="7" t="str">
        <f>IF(ISNA(MATCH(584,'Transfer Engine'!$C$2:$C$1199,0)),"",INDEX('Compliance Database'!$N$2:$N$1199,MATCH(584,'Transfer Engine'!$C$2:$C$1199,0)))</f>
        <v/>
      </c>
      <c r="O593" s="7" t="str">
        <f>IF(ISNA(MATCH(584,'Transfer Engine'!$C$2:$C$1199,0)),"",INDEX('Compliance Database'!$O$2:$O$1199,MATCH(584,'Transfer Engine'!$C$2:$C$1199,0)))</f>
        <v/>
      </c>
      <c r="P593" s="6" t="str">
        <f>IF(ISNA(MATCH(584,'Transfer Engine'!$C$2:$C$1199,0)),"",HYPERLINK("#Acts!A"&amp;INDEX('Compliance Database'!$P$2:$P$1199,MATCH(584,'Transfer Engine'!$C$2:$C$1199,0)),"Go to Act"))</f>
        <v/>
      </c>
    </row>
    <row r="594" spans="1:16" ht="172.95" customHeight="1" x14ac:dyDescent="0.3">
      <c r="A594" s="6" t="str">
        <f>IF(ISNA(MATCH(585,'Transfer Engine'!$C$2:$C$1199,0)),"",INDEX('Compliance Database'!$A$2:$A$1199,MATCH(585,'Transfer Engine'!$C$2:$C$1199,0)))</f>
        <v/>
      </c>
      <c r="B594" s="6" t="str">
        <f>IF(ISNA(MATCH(585,'Transfer Engine'!$C$2:$C$1199,0)),"",INDEX('Compliance Database'!$B$2:$B$1199,MATCH(585,'Transfer Engine'!$C$2:$C$1199,0)))</f>
        <v/>
      </c>
      <c r="C594" s="6" t="str">
        <f>IF(ISNA(MATCH(585,'Transfer Engine'!$C$2:$C$1199,0)),"",INDEX('Compliance Database'!$C$2:$C$1199,MATCH(585,'Transfer Engine'!$C$2:$C$1199,0)))</f>
        <v/>
      </c>
      <c r="D594" s="7" t="str">
        <f>IF(ISNA(MATCH(585,'Transfer Engine'!$C$2:$C$1199,0)),"",INDEX('Compliance Database'!$D$2:$D$1199,MATCH(585,'Transfer Engine'!$C$2:$C$1199,0)))</f>
        <v/>
      </c>
      <c r="E594" s="6" t="str">
        <f>IF(ISNA(MATCH(585,'Transfer Engine'!$C$2:$C$1199,0)),"",INDEX('Compliance Database'!$E$2:$E$1199,MATCH(585,'Transfer Engine'!$C$2:$C$1199,0)))</f>
        <v/>
      </c>
      <c r="F594" s="6" t="str">
        <f>IF(ISNA(MATCH(585,'Transfer Engine'!$C$2:$C$1199,0)),"",INDEX('Compliance Database'!$F$2:$F$1199,MATCH(585,'Transfer Engine'!$C$2:$C$1199,0)))</f>
        <v/>
      </c>
      <c r="G594" s="6" t="str">
        <f>IF(ISNA(MATCH(585,'Transfer Engine'!$C$2:$C$1199,0)),"",INDEX('Compliance Database'!$G$2:$G$1199,MATCH(585,'Transfer Engine'!$C$2:$C$1199,0)))</f>
        <v/>
      </c>
      <c r="H594" s="7" t="str">
        <f>IF(ISNA(MATCH(585,'Transfer Engine'!$C$2:$C$1199,0)),"",INDEX('Compliance Database'!$H$2:$H$1199,MATCH(585,'Transfer Engine'!$C$2:$C$1199,0)))</f>
        <v/>
      </c>
      <c r="I594" s="7" t="str">
        <f>IF(ISNA(MATCH(585,'Transfer Engine'!$C$2:$C$1199,0)),"",INDEX('Compliance Database'!$I$2:$I$1199,MATCH(585,'Transfer Engine'!$C$2:$C$1199,0)))</f>
        <v/>
      </c>
      <c r="J594" s="6" t="str">
        <f>IF(ISNA(MATCH(585,'Transfer Engine'!$C$2:$C$1199,0)),"",INDEX('Compliance Database'!$J$2:$J$1199,MATCH(585,'Transfer Engine'!$C$2:$C$1199,0)))</f>
        <v/>
      </c>
      <c r="K594" s="7" t="str">
        <f>IF(ISNA(MATCH(585,'Transfer Engine'!$C$2:$C$1199,0)),"",INDEX('Compliance Database'!$K$2:$K$1199,MATCH(585,'Transfer Engine'!$C$2:$C$1199,0)))</f>
        <v/>
      </c>
      <c r="L594" s="7" t="str">
        <f>IF(ISNA(MATCH(585,'Transfer Engine'!$C$2:$C$1199,0)),"",INDEX('Compliance Database'!$L$2:$L$1199,MATCH(585,'Transfer Engine'!$C$2:$C$1199,0)))</f>
        <v/>
      </c>
      <c r="M594" s="7" t="str">
        <f>IF(ISNA(MATCH(585,'Transfer Engine'!$C$2:$C$1199,0)),"",INDEX('Compliance Database'!$M$2:$M$1199,MATCH(585,'Transfer Engine'!$C$2:$C$1199,0)))</f>
        <v/>
      </c>
      <c r="N594" s="7" t="str">
        <f>IF(ISNA(MATCH(585,'Transfer Engine'!$C$2:$C$1199,0)),"",INDEX('Compliance Database'!$N$2:$N$1199,MATCH(585,'Transfer Engine'!$C$2:$C$1199,0)))</f>
        <v/>
      </c>
      <c r="O594" s="7" t="str">
        <f>IF(ISNA(MATCH(585,'Transfer Engine'!$C$2:$C$1199,0)),"",INDEX('Compliance Database'!$O$2:$O$1199,MATCH(585,'Transfer Engine'!$C$2:$C$1199,0)))</f>
        <v/>
      </c>
      <c r="P594" s="6" t="str">
        <f>IF(ISNA(MATCH(585,'Transfer Engine'!$C$2:$C$1199,0)),"",HYPERLINK("#Acts!A"&amp;INDEX('Compliance Database'!$P$2:$P$1199,MATCH(585,'Transfer Engine'!$C$2:$C$1199,0)),"Go to Act"))</f>
        <v/>
      </c>
    </row>
    <row r="595" spans="1:16" ht="172.95" customHeight="1" x14ac:dyDescent="0.3">
      <c r="A595" s="6" t="str">
        <f>IF(ISNA(MATCH(586,'Transfer Engine'!$C$2:$C$1199,0)),"",INDEX('Compliance Database'!$A$2:$A$1199,MATCH(586,'Transfer Engine'!$C$2:$C$1199,0)))</f>
        <v/>
      </c>
      <c r="B595" s="6" t="str">
        <f>IF(ISNA(MATCH(586,'Transfer Engine'!$C$2:$C$1199,0)),"",INDEX('Compliance Database'!$B$2:$B$1199,MATCH(586,'Transfer Engine'!$C$2:$C$1199,0)))</f>
        <v/>
      </c>
      <c r="C595" s="6" t="str">
        <f>IF(ISNA(MATCH(586,'Transfer Engine'!$C$2:$C$1199,0)),"",INDEX('Compliance Database'!$C$2:$C$1199,MATCH(586,'Transfer Engine'!$C$2:$C$1199,0)))</f>
        <v/>
      </c>
      <c r="D595" s="7" t="str">
        <f>IF(ISNA(MATCH(586,'Transfer Engine'!$C$2:$C$1199,0)),"",INDEX('Compliance Database'!$D$2:$D$1199,MATCH(586,'Transfer Engine'!$C$2:$C$1199,0)))</f>
        <v/>
      </c>
      <c r="E595" s="6" t="str">
        <f>IF(ISNA(MATCH(586,'Transfer Engine'!$C$2:$C$1199,0)),"",INDEX('Compliance Database'!$E$2:$E$1199,MATCH(586,'Transfer Engine'!$C$2:$C$1199,0)))</f>
        <v/>
      </c>
      <c r="F595" s="6" t="str">
        <f>IF(ISNA(MATCH(586,'Transfer Engine'!$C$2:$C$1199,0)),"",INDEX('Compliance Database'!$F$2:$F$1199,MATCH(586,'Transfer Engine'!$C$2:$C$1199,0)))</f>
        <v/>
      </c>
      <c r="G595" s="6" t="str">
        <f>IF(ISNA(MATCH(586,'Transfer Engine'!$C$2:$C$1199,0)),"",INDEX('Compliance Database'!$G$2:$G$1199,MATCH(586,'Transfer Engine'!$C$2:$C$1199,0)))</f>
        <v/>
      </c>
      <c r="H595" s="7" t="str">
        <f>IF(ISNA(MATCH(586,'Transfer Engine'!$C$2:$C$1199,0)),"",INDEX('Compliance Database'!$H$2:$H$1199,MATCH(586,'Transfer Engine'!$C$2:$C$1199,0)))</f>
        <v/>
      </c>
      <c r="I595" s="7" t="str">
        <f>IF(ISNA(MATCH(586,'Transfer Engine'!$C$2:$C$1199,0)),"",INDEX('Compliance Database'!$I$2:$I$1199,MATCH(586,'Transfer Engine'!$C$2:$C$1199,0)))</f>
        <v/>
      </c>
      <c r="J595" s="6" t="str">
        <f>IF(ISNA(MATCH(586,'Transfer Engine'!$C$2:$C$1199,0)),"",INDEX('Compliance Database'!$J$2:$J$1199,MATCH(586,'Transfer Engine'!$C$2:$C$1199,0)))</f>
        <v/>
      </c>
      <c r="K595" s="7" t="str">
        <f>IF(ISNA(MATCH(586,'Transfer Engine'!$C$2:$C$1199,0)),"",INDEX('Compliance Database'!$K$2:$K$1199,MATCH(586,'Transfer Engine'!$C$2:$C$1199,0)))</f>
        <v/>
      </c>
      <c r="L595" s="7" t="str">
        <f>IF(ISNA(MATCH(586,'Transfer Engine'!$C$2:$C$1199,0)),"",INDEX('Compliance Database'!$L$2:$L$1199,MATCH(586,'Transfer Engine'!$C$2:$C$1199,0)))</f>
        <v/>
      </c>
      <c r="M595" s="7" t="str">
        <f>IF(ISNA(MATCH(586,'Transfer Engine'!$C$2:$C$1199,0)),"",INDEX('Compliance Database'!$M$2:$M$1199,MATCH(586,'Transfer Engine'!$C$2:$C$1199,0)))</f>
        <v/>
      </c>
      <c r="N595" s="7" t="str">
        <f>IF(ISNA(MATCH(586,'Transfer Engine'!$C$2:$C$1199,0)),"",INDEX('Compliance Database'!$N$2:$N$1199,MATCH(586,'Transfer Engine'!$C$2:$C$1199,0)))</f>
        <v/>
      </c>
      <c r="O595" s="7" t="str">
        <f>IF(ISNA(MATCH(586,'Transfer Engine'!$C$2:$C$1199,0)),"",INDEX('Compliance Database'!$O$2:$O$1199,MATCH(586,'Transfer Engine'!$C$2:$C$1199,0)))</f>
        <v/>
      </c>
      <c r="P595" s="6" t="str">
        <f>IF(ISNA(MATCH(586,'Transfer Engine'!$C$2:$C$1199,0)),"",HYPERLINK("#Acts!A"&amp;INDEX('Compliance Database'!$P$2:$P$1199,MATCH(586,'Transfer Engine'!$C$2:$C$1199,0)),"Go to Act"))</f>
        <v/>
      </c>
    </row>
    <row r="596" spans="1:16" ht="172.95" customHeight="1" x14ac:dyDescent="0.3">
      <c r="A596" s="6" t="str">
        <f>IF(ISNA(MATCH(587,'Transfer Engine'!$C$2:$C$1199,0)),"",INDEX('Compliance Database'!$A$2:$A$1199,MATCH(587,'Transfer Engine'!$C$2:$C$1199,0)))</f>
        <v/>
      </c>
      <c r="B596" s="6" t="str">
        <f>IF(ISNA(MATCH(587,'Transfer Engine'!$C$2:$C$1199,0)),"",INDEX('Compliance Database'!$B$2:$B$1199,MATCH(587,'Transfer Engine'!$C$2:$C$1199,0)))</f>
        <v/>
      </c>
      <c r="C596" s="6" t="str">
        <f>IF(ISNA(MATCH(587,'Transfer Engine'!$C$2:$C$1199,0)),"",INDEX('Compliance Database'!$C$2:$C$1199,MATCH(587,'Transfer Engine'!$C$2:$C$1199,0)))</f>
        <v/>
      </c>
      <c r="D596" s="7" t="str">
        <f>IF(ISNA(MATCH(587,'Transfer Engine'!$C$2:$C$1199,0)),"",INDEX('Compliance Database'!$D$2:$D$1199,MATCH(587,'Transfer Engine'!$C$2:$C$1199,0)))</f>
        <v/>
      </c>
      <c r="E596" s="6" t="str">
        <f>IF(ISNA(MATCH(587,'Transfer Engine'!$C$2:$C$1199,0)),"",INDEX('Compliance Database'!$E$2:$E$1199,MATCH(587,'Transfer Engine'!$C$2:$C$1199,0)))</f>
        <v/>
      </c>
      <c r="F596" s="6" t="str">
        <f>IF(ISNA(MATCH(587,'Transfer Engine'!$C$2:$C$1199,0)),"",INDEX('Compliance Database'!$F$2:$F$1199,MATCH(587,'Transfer Engine'!$C$2:$C$1199,0)))</f>
        <v/>
      </c>
      <c r="G596" s="6" t="str">
        <f>IF(ISNA(MATCH(587,'Transfer Engine'!$C$2:$C$1199,0)),"",INDEX('Compliance Database'!$G$2:$G$1199,MATCH(587,'Transfer Engine'!$C$2:$C$1199,0)))</f>
        <v/>
      </c>
      <c r="H596" s="7" t="str">
        <f>IF(ISNA(MATCH(587,'Transfer Engine'!$C$2:$C$1199,0)),"",INDEX('Compliance Database'!$H$2:$H$1199,MATCH(587,'Transfer Engine'!$C$2:$C$1199,0)))</f>
        <v/>
      </c>
      <c r="I596" s="7" t="str">
        <f>IF(ISNA(MATCH(587,'Transfer Engine'!$C$2:$C$1199,0)),"",INDEX('Compliance Database'!$I$2:$I$1199,MATCH(587,'Transfer Engine'!$C$2:$C$1199,0)))</f>
        <v/>
      </c>
      <c r="J596" s="6" t="str">
        <f>IF(ISNA(MATCH(587,'Transfer Engine'!$C$2:$C$1199,0)),"",INDEX('Compliance Database'!$J$2:$J$1199,MATCH(587,'Transfer Engine'!$C$2:$C$1199,0)))</f>
        <v/>
      </c>
      <c r="K596" s="7" t="str">
        <f>IF(ISNA(MATCH(587,'Transfer Engine'!$C$2:$C$1199,0)),"",INDEX('Compliance Database'!$K$2:$K$1199,MATCH(587,'Transfer Engine'!$C$2:$C$1199,0)))</f>
        <v/>
      </c>
      <c r="L596" s="7" t="str">
        <f>IF(ISNA(MATCH(587,'Transfer Engine'!$C$2:$C$1199,0)),"",INDEX('Compliance Database'!$L$2:$L$1199,MATCH(587,'Transfer Engine'!$C$2:$C$1199,0)))</f>
        <v/>
      </c>
      <c r="M596" s="7" t="str">
        <f>IF(ISNA(MATCH(587,'Transfer Engine'!$C$2:$C$1199,0)),"",INDEX('Compliance Database'!$M$2:$M$1199,MATCH(587,'Transfer Engine'!$C$2:$C$1199,0)))</f>
        <v/>
      </c>
      <c r="N596" s="7" t="str">
        <f>IF(ISNA(MATCH(587,'Transfer Engine'!$C$2:$C$1199,0)),"",INDEX('Compliance Database'!$N$2:$N$1199,MATCH(587,'Transfer Engine'!$C$2:$C$1199,0)))</f>
        <v/>
      </c>
      <c r="O596" s="7" t="str">
        <f>IF(ISNA(MATCH(587,'Transfer Engine'!$C$2:$C$1199,0)),"",INDEX('Compliance Database'!$O$2:$O$1199,MATCH(587,'Transfer Engine'!$C$2:$C$1199,0)))</f>
        <v/>
      </c>
      <c r="P596" s="6" t="str">
        <f>IF(ISNA(MATCH(587,'Transfer Engine'!$C$2:$C$1199,0)),"",HYPERLINK("#Acts!A"&amp;INDEX('Compliance Database'!$P$2:$P$1199,MATCH(587,'Transfer Engine'!$C$2:$C$1199,0)),"Go to Act"))</f>
        <v/>
      </c>
    </row>
    <row r="597" spans="1:16" ht="172.95" customHeight="1" x14ac:dyDescent="0.3">
      <c r="A597" s="6" t="str">
        <f>IF(ISNA(MATCH(588,'Transfer Engine'!$C$2:$C$1199,0)),"",INDEX('Compliance Database'!$A$2:$A$1199,MATCH(588,'Transfer Engine'!$C$2:$C$1199,0)))</f>
        <v/>
      </c>
      <c r="B597" s="6" t="str">
        <f>IF(ISNA(MATCH(588,'Transfer Engine'!$C$2:$C$1199,0)),"",INDEX('Compliance Database'!$B$2:$B$1199,MATCH(588,'Transfer Engine'!$C$2:$C$1199,0)))</f>
        <v/>
      </c>
      <c r="C597" s="6" t="str">
        <f>IF(ISNA(MATCH(588,'Transfer Engine'!$C$2:$C$1199,0)),"",INDEX('Compliance Database'!$C$2:$C$1199,MATCH(588,'Transfer Engine'!$C$2:$C$1199,0)))</f>
        <v/>
      </c>
      <c r="D597" s="7" t="str">
        <f>IF(ISNA(MATCH(588,'Transfer Engine'!$C$2:$C$1199,0)),"",INDEX('Compliance Database'!$D$2:$D$1199,MATCH(588,'Transfer Engine'!$C$2:$C$1199,0)))</f>
        <v/>
      </c>
      <c r="E597" s="6" t="str">
        <f>IF(ISNA(MATCH(588,'Transfer Engine'!$C$2:$C$1199,0)),"",INDEX('Compliance Database'!$E$2:$E$1199,MATCH(588,'Transfer Engine'!$C$2:$C$1199,0)))</f>
        <v/>
      </c>
      <c r="F597" s="6" t="str">
        <f>IF(ISNA(MATCH(588,'Transfer Engine'!$C$2:$C$1199,0)),"",INDEX('Compliance Database'!$F$2:$F$1199,MATCH(588,'Transfer Engine'!$C$2:$C$1199,0)))</f>
        <v/>
      </c>
      <c r="G597" s="6" t="str">
        <f>IF(ISNA(MATCH(588,'Transfer Engine'!$C$2:$C$1199,0)),"",INDEX('Compliance Database'!$G$2:$G$1199,MATCH(588,'Transfer Engine'!$C$2:$C$1199,0)))</f>
        <v/>
      </c>
      <c r="H597" s="7" t="str">
        <f>IF(ISNA(MATCH(588,'Transfer Engine'!$C$2:$C$1199,0)),"",INDEX('Compliance Database'!$H$2:$H$1199,MATCH(588,'Transfer Engine'!$C$2:$C$1199,0)))</f>
        <v/>
      </c>
      <c r="I597" s="7" t="str">
        <f>IF(ISNA(MATCH(588,'Transfer Engine'!$C$2:$C$1199,0)),"",INDEX('Compliance Database'!$I$2:$I$1199,MATCH(588,'Transfer Engine'!$C$2:$C$1199,0)))</f>
        <v/>
      </c>
      <c r="J597" s="6" t="str">
        <f>IF(ISNA(MATCH(588,'Transfer Engine'!$C$2:$C$1199,0)),"",INDEX('Compliance Database'!$J$2:$J$1199,MATCH(588,'Transfer Engine'!$C$2:$C$1199,0)))</f>
        <v/>
      </c>
      <c r="K597" s="7" t="str">
        <f>IF(ISNA(MATCH(588,'Transfer Engine'!$C$2:$C$1199,0)),"",INDEX('Compliance Database'!$K$2:$K$1199,MATCH(588,'Transfer Engine'!$C$2:$C$1199,0)))</f>
        <v/>
      </c>
      <c r="L597" s="7" t="str">
        <f>IF(ISNA(MATCH(588,'Transfer Engine'!$C$2:$C$1199,0)),"",INDEX('Compliance Database'!$L$2:$L$1199,MATCH(588,'Transfer Engine'!$C$2:$C$1199,0)))</f>
        <v/>
      </c>
      <c r="M597" s="7" t="str">
        <f>IF(ISNA(MATCH(588,'Transfer Engine'!$C$2:$C$1199,0)),"",INDEX('Compliance Database'!$M$2:$M$1199,MATCH(588,'Transfer Engine'!$C$2:$C$1199,0)))</f>
        <v/>
      </c>
      <c r="N597" s="7" t="str">
        <f>IF(ISNA(MATCH(588,'Transfer Engine'!$C$2:$C$1199,0)),"",INDEX('Compliance Database'!$N$2:$N$1199,MATCH(588,'Transfer Engine'!$C$2:$C$1199,0)))</f>
        <v/>
      </c>
      <c r="O597" s="7" t="str">
        <f>IF(ISNA(MATCH(588,'Transfer Engine'!$C$2:$C$1199,0)),"",INDEX('Compliance Database'!$O$2:$O$1199,MATCH(588,'Transfer Engine'!$C$2:$C$1199,0)))</f>
        <v/>
      </c>
      <c r="P597" s="6" t="str">
        <f>IF(ISNA(MATCH(588,'Transfer Engine'!$C$2:$C$1199,0)),"",HYPERLINK("#Acts!A"&amp;INDEX('Compliance Database'!$P$2:$P$1199,MATCH(588,'Transfer Engine'!$C$2:$C$1199,0)),"Go to Act"))</f>
        <v/>
      </c>
    </row>
    <row r="598" spans="1:16" ht="172.95" customHeight="1" x14ac:dyDescent="0.3">
      <c r="A598" s="6" t="str">
        <f>IF(ISNA(MATCH(589,'Transfer Engine'!$C$2:$C$1199,0)),"",INDEX('Compliance Database'!$A$2:$A$1199,MATCH(589,'Transfer Engine'!$C$2:$C$1199,0)))</f>
        <v/>
      </c>
      <c r="B598" s="6" t="str">
        <f>IF(ISNA(MATCH(589,'Transfer Engine'!$C$2:$C$1199,0)),"",INDEX('Compliance Database'!$B$2:$B$1199,MATCH(589,'Transfer Engine'!$C$2:$C$1199,0)))</f>
        <v/>
      </c>
      <c r="C598" s="6" t="str">
        <f>IF(ISNA(MATCH(589,'Transfer Engine'!$C$2:$C$1199,0)),"",INDEX('Compliance Database'!$C$2:$C$1199,MATCH(589,'Transfer Engine'!$C$2:$C$1199,0)))</f>
        <v/>
      </c>
      <c r="D598" s="7" t="str">
        <f>IF(ISNA(MATCH(589,'Transfer Engine'!$C$2:$C$1199,0)),"",INDEX('Compliance Database'!$D$2:$D$1199,MATCH(589,'Transfer Engine'!$C$2:$C$1199,0)))</f>
        <v/>
      </c>
      <c r="E598" s="6" t="str">
        <f>IF(ISNA(MATCH(589,'Transfer Engine'!$C$2:$C$1199,0)),"",INDEX('Compliance Database'!$E$2:$E$1199,MATCH(589,'Transfer Engine'!$C$2:$C$1199,0)))</f>
        <v/>
      </c>
      <c r="F598" s="6" t="str">
        <f>IF(ISNA(MATCH(589,'Transfer Engine'!$C$2:$C$1199,0)),"",INDEX('Compliance Database'!$F$2:$F$1199,MATCH(589,'Transfer Engine'!$C$2:$C$1199,0)))</f>
        <v/>
      </c>
      <c r="G598" s="6" t="str">
        <f>IF(ISNA(MATCH(589,'Transfer Engine'!$C$2:$C$1199,0)),"",INDEX('Compliance Database'!$G$2:$G$1199,MATCH(589,'Transfer Engine'!$C$2:$C$1199,0)))</f>
        <v/>
      </c>
      <c r="H598" s="7" t="str">
        <f>IF(ISNA(MATCH(589,'Transfer Engine'!$C$2:$C$1199,0)),"",INDEX('Compliance Database'!$H$2:$H$1199,MATCH(589,'Transfer Engine'!$C$2:$C$1199,0)))</f>
        <v/>
      </c>
      <c r="I598" s="7" t="str">
        <f>IF(ISNA(MATCH(589,'Transfer Engine'!$C$2:$C$1199,0)),"",INDEX('Compliance Database'!$I$2:$I$1199,MATCH(589,'Transfer Engine'!$C$2:$C$1199,0)))</f>
        <v/>
      </c>
      <c r="J598" s="6" t="str">
        <f>IF(ISNA(MATCH(589,'Transfer Engine'!$C$2:$C$1199,0)),"",INDEX('Compliance Database'!$J$2:$J$1199,MATCH(589,'Transfer Engine'!$C$2:$C$1199,0)))</f>
        <v/>
      </c>
      <c r="K598" s="7" t="str">
        <f>IF(ISNA(MATCH(589,'Transfer Engine'!$C$2:$C$1199,0)),"",INDEX('Compliance Database'!$K$2:$K$1199,MATCH(589,'Transfer Engine'!$C$2:$C$1199,0)))</f>
        <v/>
      </c>
      <c r="L598" s="7" t="str">
        <f>IF(ISNA(MATCH(589,'Transfer Engine'!$C$2:$C$1199,0)),"",INDEX('Compliance Database'!$L$2:$L$1199,MATCH(589,'Transfer Engine'!$C$2:$C$1199,0)))</f>
        <v/>
      </c>
      <c r="M598" s="7" t="str">
        <f>IF(ISNA(MATCH(589,'Transfer Engine'!$C$2:$C$1199,0)),"",INDEX('Compliance Database'!$M$2:$M$1199,MATCH(589,'Transfer Engine'!$C$2:$C$1199,0)))</f>
        <v/>
      </c>
      <c r="N598" s="7" t="str">
        <f>IF(ISNA(MATCH(589,'Transfer Engine'!$C$2:$C$1199,0)),"",INDEX('Compliance Database'!$N$2:$N$1199,MATCH(589,'Transfer Engine'!$C$2:$C$1199,0)))</f>
        <v/>
      </c>
      <c r="O598" s="7" t="str">
        <f>IF(ISNA(MATCH(589,'Transfer Engine'!$C$2:$C$1199,0)),"",INDEX('Compliance Database'!$O$2:$O$1199,MATCH(589,'Transfer Engine'!$C$2:$C$1199,0)))</f>
        <v/>
      </c>
      <c r="P598" s="6" t="str">
        <f>IF(ISNA(MATCH(589,'Transfer Engine'!$C$2:$C$1199,0)),"",HYPERLINK("#Acts!A"&amp;INDEX('Compliance Database'!$P$2:$P$1199,MATCH(589,'Transfer Engine'!$C$2:$C$1199,0)),"Go to Act"))</f>
        <v/>
      </c>
    </row>
    <row r="599" spans="1:16" ht="172.95" customHeight="1" x14ac:dyDescent="0.3">
      <c r="A599" s="6" t="str">
        <f>IF(ISNA(MATCH(590,'Transfer Engine'!$C$2:$C$1199,0)),"",INDEX('Compliance Database'!$A$2:$A$1199,MATCH(590,'Transfer Engine'!$C$2:$C$1199,0)))</f>
        <v/>
      </c>
      <c r="B599" s="6" t="str">
        <f>IF(ISNA(MATCH(590,'Transfer Engine'!$C$2:$C$1199,0)),"",INDEX('Compliance Database'!$B$2:$B$1199,MATCH(590,'Transfer Engine'!$C$2:$C$1199,0)))</f>
        <v/>
      </c>
      <c r="C599" s="6" t="str">
        <f>IF(ISNA(MATCH(590,'Transfer Engine'!$C$2:$C$1199,0)),"",INDEX('Compliance Database'!$C$2:$C$1199,MATCH(590,'Transfer Engine'!$C$2:$C$1199,0)))</f>
        <v/>
      </c>
      <c r="D599" s="7" t="str">
        <f>IF(ISNA(MATCH(590,'Transfer Engine'!$C$2:$C$1199,0)),"",INDEX('Compliance Database'!$D$2:$D$1199,MATCH(590,'Transfer Engine'!$C$2:$C$1199,0)))</f>
        <v/>
      </c>
      <c r="E599" s="6" t="str">
        <f>IF(ISNA(MATCH(590,'Transfer Engine'!$C$2:$C$1199,0)),"",INDEX('Compliance Database'!$E$2:$E$1199,MATCH(590,'Transfer Engine'!$C$2:$C$1199,0)))</f>
        <v/>
      </c>
      <c r="F599" s="6" t="str">
        <f>IF(ISNA(MATCH(590,'Transfer Engine'!$C$2:$C$1199,0)),"",INDEX('Compliance Database'!$F$2:$F$1199,MATCH(590,'Transfer Engine'!$C$2:$C$1199,0)))</f>
        <v/>
      </c>
      <c r="G599" s="6" t="str">
        <f>IF(ISNA(MATCH(590,'Transfer Engine'!$C$2:$C$1199,0)),"",INDEX('Compliance Database'!$G$2:$G$1199,MATCH(590,'Transfer Engine'!$C$2:$C$1199,0)))</f>
        <v/>
      </c>
      <c r="H599" s="7" t="str">
        <f>IF(ISNA(MATCH(590,'Transfer Engine'!$C$2:$C$1199,0)),"",INDEX('Compliance Database'!$H$2:$H$1199,MATCH(590,'Transfer Engine'!$C$2:$C$1199,0)))</f>
        <v/>
      </c>
      <c r="I599" s="7" t="str">
        <f>IF(ISNA(MATCH(590,'Transfer Engine'!$C$2:$C$1199,0)),"",INDEX('Compliance Database'!$I$2:$I$1199,MATCH(590,'Transfer Engine'!$C$2:$C$1199,0)))</f>
        <v/>
      </c>
      <c r="J599" s="6" t="str">
        <f>IF(ISNA(MATCH(590,'Transfer Engine'!$C$2:$C$1199,0)),"",INDEX('Compliance Database'!$J$2:$J$1199,MATCH(590,'Transfer Engine'!$C$2:$C$1199,0)))</f>
        <v/>
      </c>
      <c r="K599" s="7" t="str">
        <f>IF(ISNA(MATCH(590,'Transfer Engine'!$C$2:$C$1199,0)),"",INDEX('Compliance Database'!$K$2:$K$1199,MATCH(590,'Transfer Engine'!$C$2:$C$1199,0)))</f>
        <v/>
      </c>
      <c r="L599" s="7" t="str">
        <f>IF(ISNA(MATCH(590,'Transfer Engine'!$C$2:$C$1199,0)),"",INDEX('Compliance Database'!$L$2:$L$1199,MATCH(590,'Transfer Engine'!$C$2:$C$1199,0)))</f>
        <v/>
      </c>
      <c r="M599" s="7" t="str">
        <f>IF(ISNA(MATCH(590,'Transfer Engine'!$C$2:$C$1199,0)),"",INDEX('Compliance Database'!$M$2:$M$1199,MATCH(590,'Transfer Engine'!$C$2:$C$1199,0)))</f>
        <v/>
      </c>
      <c r="N599" s="7" t="str">
        <f>IF(ISNA(MATCH(590,'Transfer Engine'!$C$2:$C$1199,0)),"",INDEX('Compliance Database'!$N$2:$N$1199,MATCH(590,'Transfer Engine'!$C$2:$C$1199,0)))</f>
        <v/>
      </c>
      <c r="O599" s="7" t="str">
        <f>IF(ISNA(MATCH(590,'Transfer Engine'!$C$2:$C$1199,0)),"",INDEX('Compliance Database'!$O$2:$O$1199,MATCH(590,'Transfer Engine'!$C$2:$C$1199,0)))</f>
        <v/>
      </c>
      <c r="P599" s="6" t="str">
        <f>IF(ISNA(MATCH(590,'Transfer Engine'!$C$2:$C$1199,0)),"",HYPERLINK("#Acts!A"&amp;INDEX('Compliance Database'!$P$2:$P$1199,MATCH(590,'Transfer Engine'!$C$2:$C$1199,0)),"Go to Act"))</f>
        <v/>
      </c>
    </row>
    <row r="600" spans="1:16" ht="172.95" customHeight="1" x14ac:dyDescent="0.3">
      <c r="A600" s="6" t="str">
        <f>IF(ISNA(MATCH(591,'Transfer Engine'!$C$2:$C$1199,0)),"",INDEX('Compliance Database'!$A$2:$A$1199,MATCH(591,'Transfer Engine'!$C$2:$C$1199,0)))</f>
        <v/>
      </c>
      <c r="B600" s="6" t="str">
        <f>IF(ISNA(MATCH(591,'Transfer Engine'!$C$2:$C$1199,0)),"",INDEX('Compliance Database'!$B$2:$B$1199,MATCH(591,'Transfer Engine'!$C$2:$C$1199,0)))</f>
        <v/>
      </c>
      <c r="C600" s="6" t="str">
        <f>IF(ISNA(MATCH(591,'Transfer Engine'!$C$2:$C$1199,0)),"",INDEX('Compliance Database'!$C$2:$C$1199,MATCH(591,'Transfer Engine'!$C$2:$C$1199,0)))</f>
        <v/>
      </c>
      <c r="D600" s="7" t="str">
        <f>IF(ISNA(MATCH(591,'Transfer Engine'!$C$2:$C$1199,0)),"",INDEX('Compliance Database'!$D$2:$D$1199,MATCH(591,'Transfer Engine'!$C$2:$C$1199,0)))</f>
        <v/>
      </c>
      <c r="E600" s="6" t="str">
        <f>IF(ISNA(MATCH(591,'Transfer Engine'!$C$2:$C$1199,0)),"",INDEX('Compliance Database'!$E$2:$E$1199,MATCH(591,'Transfer Engine'!$C$2:$C$1199,0)))</f>
        <v/>
      </c>
      <c r="F600" s="6" t="str">
        <f>IF(ISNA(MATCH(591,'Transfer Engine'!$C$2:$C$1199,0)),"",INDEX('Compliance Database'!$F$2:$F$1199,MATCH(591,'Transfer Engine'!$C$2:$C$1199,0)))</f>
        <v/>
      </c>
      <c r="G600" s="6" t="str">
        <f>IF(ISNA(MATCH(591,'Transfer Engine'!$C$2:$C$1199,0)),"",INDEX('Compliance Database'!$G$2:$G$1199,MATCH(591,'Transfer Engine'!$C$2:$C$1199,0)))</f>
        <v/>
      </c>
      <c r="H600" s="7" t="str">
        <f>IF(ISNA(MATCH(591,'Transfer Engine'!$C$2:$C$1199,0)),"",INDEX('Compliance Database'!$H$2:$H$1199,MATCH(591,'Transfer Engine'!$C$2:$C$1199,0)))</f>
        <v/>
      </c>
      <c r="I600" s="7" t="str">
        <f>IF(ISNA(MATCH(591,'Transfer Engine'!$C$2:$C$1199,0)),"",INDEX('Compliance Database'!$I$2:$I$1199,MATCH(591,'Transfer Engine'!$C$2:$C$1199,0)))</f>
        <v/>
      </c>
      <c r="J600" s="6" t="str">
        <f>IF(ISNA(MATCH(591,'Transfer Engine'!$C$2:$C$1199,0)),"",INDEX('Compliance Database'!$J$2:$J$1199,MATCH(591,'Transfer Engine'!$C$2:$C$1199,0)))</f>
        <v/>
      </c>
      <c r="K600" s="7" t="str">
        <f>IF(ISNA(MATCH(591,'Transfer Engine'!$C$2:$C$1199,0)),"",INDEX('Compliance Database'!$K$2:$K$1199,MATCH(591,'Transfer Engine'!$C$2:$C$1199,0)))</f>
        <v/>
      </c>
      <c r="L600" s="7" t="str">
        <f>IF(ISNA(MATCH(591,'Transfer Engine'!$C$2:$C$1199,0)),"",INDEX('Compliance Database'!$L$2:$L$1199,MATCH(591,'Transfer Engine'!$C$2:$C$1199,0)))</f>
        <v/>
      </c>
      <c r="M600" s="7" t="str">
        <f>IF(ISNA(MATCH(591,'Transfer Engine'!$C$2:$C$1199,0)),"",INDEX('Compliance Database'!$M$2:$M$1199,MATCH(591,'Transfer Engine'!$C$2:$C$1199,0)))</f>
        <v/>
      </c>
      <c r="N600" s="7" t="str">
        <f>IF(ISNA(MATCH(591,'Transfer Engine'!$C$2:$C$1199,0)),"",INDEX('Compliance Database'!$N$2:$N$1199,MATCH(591,'Transfer Engine'!$C$2:$C$1199,0)))</f>
        <v/>
      </c>
      <c r="O600" s="7" t="str">
        <f>IF(ISNA(MATCH(591,'Transfer Engine'!$C$2:$C$1199,0)),"",INDEX('Compliance Database'!$O$2:$O$1199,MATCH(591,'Transfer Engine'!$C$2:$C$1199,0)))</f>
        <v/>
      </c>
      <c r="P600" s="6" t="str">
        <f>IF(ISNA(MATCH(591,'Transfer Engine'!$C$2:$C$1199,0)),"",HYPERLINK("#Acts!A"&amp;INDEX('Compliance Database'!$P$2:$P$1199,MATCH(591,'Transfer Engine'!$C$2:$C$1199,0)),"Go to Act"))</f>
        <v/>
      </c>
    </row>
    <row r="601" spans="1:16" ht="172.95" customHeight="1" x14ac:dyDescent="0.3">
      <c r="A601" s="6" t="str">
        <f>IF(ISNA(MATCH(592,'Transfer Engine'!$C$2:$C$1199,0)),"",INDEX('Compliance Database'!$A$2:$A$1199,MATCH(592,'Transfer Engine'!$C$2:$C$1199,0)))</f>
        <v/>
      </c>
      <c r="B601" s="6" t="str">
        <f>IF(ISNA(MATCH(592,'Transfer Engine'!$C$2:$C$1199,0)),"",INDEX('Compliance Database'!$B$2:$B$1199,MATCH(592,'Transfer Engine'!$C$2:$C$1199,0)))</f>
        <v/>
      </c>
      <c r="C601" s="6" t="str">
        <f>IF(ISNA(MATCH(592,'Transfer Engine'!$C$2:$C$1199,0)),"",INDEX('Compliance Database'!$C$2:$C$1199,MATCH(592,'Transfer Engine'!$C$2:$C$1199,0)))</f>
        <v/>
      </c>
      <c r="D601" s="7" t="str">
        <f>IF(ISNA(MATCH(592,'Transfer Engine'!$C$2:$C$1199,0)),"",INDEX('Compliance Database'!$D$2:$D$1199,MATCH(592,'Transfer Engine'!$C$2:$C$1199,0)))</f>
        <v/>
      </c>
      <c r="E601" s="6" t="str">
        <f>IF(ISNA(MATCH(592,'Transfer Engine'!$C$2:$C$1199,0)),"",INDEX('Compliance Database'!$E$2:$E$1199,MATCH(592,'Transfer Engine'!$C$2:$C$1199,0)))</f>
        <v/>
      </c>
      <c r="F601" s="6" t="str">
        <f>IF(ISNA(MATCH(592,'Transfer Engine'!$C$2:$C$1199,0)),"",INDEX('Compliance Database'!$F$2:$F$1199,MATCH(592,'Transfer Engine'!$C$2:$C$1199,0)))</f>
        <v/>
      </c>
      <c r="G601" s="6" t="str">
        <f>IF(ISNA(MATCH(592,'Transfer Engine'!$C$2:$C$1199,0)),"",INDEX('Compliance Database'!$G$2:$G$1199,MATCH(592,'Transfer Engine'!$C$2:$C$1199,0)))</f>
        <v/>
      </c>
      <c r="H601" s="7" t="str">
        <f>IF(ISNA(MATCH(592,'Transfer Engine'!$C$2:$C$1199,0)),"",INDEX('Compliance Database'!$H$2:$H$1199,MATCH(592,'Transfer Engine'!$C$2:$C$1199,0)))</f>
        <v/>
      </c>
      <c r="I601" s="7" t="str">
        <f>IF(ISNA(MATCH(592,'Transfer Engine'!$C$2:$C$1199,0)),"",INDEX('Compliance Database'!$I$2:$I$1199,MATCH(592,'Transfer Engine'!$C$2:$C$1199,0)))</f>
        <v/>
      </c>
      <c r="J601" s="6" t="str">
        <f>IF(ISNA(MATCH(592,'Transfer Engine'!$C$2:$C$1199,0)),"",INDEX('Compliance Database'!$J$2:$J$1199,MATCH(592,'Transfer Engine'!$C$2:$C$1199,0)))</f>
        <v/>
      </c>
      <c r="K601" s="7" t="str">
        <f>IF(ISNA(MATCH(592,'Transfer Engine'!$C$2:$C$1199,0)),"",INDEX('Compliance Database'!$K$2:$K$1199,MATCH(592,'Transfer Engine'!$C$2:$C$1199,0)))</f>
        <v/>
      </c>
      <c r="L601" s="7" t="str">
        <f>IF(ISNA(MATCH(592,'Transfer Engine'!$C$2:$C$1199,0)),"",INDEX('Compliance Database'!$L$2:$L$1199,MATCH(592,'Transfer Engine'!$C$2:$C$1199,0)))</f>
        <v/>
      </c>
      <c r="M601" s="7" t="str">
        <f>IF(ISNA(MATCH(592,'Transfer Engine'!$C$2:$C$1199,0)),"",INDEX('Compliance Database'!$M$2:$M$1199,MATCH(592,'Transfer Engine'!$C$2:$C$1199,0)))</f>
        <v/>
      </c>
      <c r="N601" s="7" t="str">
        <f>IF(ISNA(MATCH(592,'Transfer Engine'!$C$2:$C$1199,0)),"",INDEX('Compliance Database'!$N$2:$N$1199,MATCH(592,'Transfer Engine'!$C$2:$C$1199,0)))</f>
        <v/>
      </c>
      <c r="O601" s="7" t="str">
        <f>IF(ISNA(MATCH(592,'Transfer Engine'!$C$2:$C$1199,0)),"",INDEX('Compliance Database'!$O$2:$O$1199,MATCH(592,'Transfer Engine'!$C$2:$C$1199,0)))</f>
        <v/>
      </c>
      <c r="P601" s="6" t="str">
        <f>IF(ISNA(MATCH(592,'Transfer Engine'!$C$2:$C$1199,0)),"",HYPERLINK("#Acts!A"&amp;INDEX('Compliance Database'!$P$2:$P$1199,MATCH(592,'Transfer Engine'!$C$2:$C$1199,0)),"Go to Act"))</f>
        <v/>
      </c>
    </row>
    <row r="602" spans="1:16" ht="172.95" customHeight="1" x14ac:dyDescent="0.3">
      <c r="A602" s="6" t="str">
        <f>IF(ISNA(MATCH(593,'Transfer Engine'!$C$2:$C$1199,0)),"",INDEX('Compliance Database'!$A$2:$A$1199,MATCH(593,'Transfer Engine'!$C$2:$C$1199,0)))</f>
        <v/>
      </c>
      <c r="B602" s="6" t="str">
        <f>IF(ISNA(MATCH(593,'Transfer Engine'!$C$2:$C$1199,0)),"",INDEX('Compliance Database'!$B$2:$B$1199,MATCH(593,'Transfer Engine'!$C$2:$C$1199,0)))</f>
        <v/>
      </c>
      <c r="C602" s="6" t="str">
        <f>IF(ISNA(MATCH(593,'Transfer Engine'!$C$2:$C$1199,0)),"",INDEX('Compliance Database'!$C$2:$C$1199,MATCH(593,'Transfer Engine'!$C$2:$C$1199,0)))</f>
        <v/>
      </c>
      <c r="D602" s="7" t="str">
        <f>IF(ISNA(MATCH(593,'Transfer Engine'!$C$2:$C$1199,0)),"",INDEX('Compliance Database'!$D$2:$D$1199,MATCH(593,'Transfer Engine'!$C$2:$C$1199,0)))</f>
        <v/>
      </c>
      <c r="E602" s="6" t="str">
        <f>IF(ISNA(MATCH(593,'Transfer Engine'!$C$2:$C$1199,0)),"",INDEX('Compliance Database'!$E$2:$E$1199,MATCH(593,'Transfer Engine'!$C$2:$C$1199,0)))</f>
        <v/>
      </c>
      <c r="F602" s="6" t="str">
        <f>IF(ISNA(MATCH(593,'Transfer Engine'!$C$2:$C$1199,0)),"",INDEX('Compliance Database'!$F$2:$F$1199,MATCH(593,'Transfer Engine'!$C$2:$C$1199,0)))</f>
        <v/>
      </c>
      <c r="G602" s="6" t="str">
        <f>IF(ISNA(MATCH(593,'Transfer Engine'!$C$2:$C$1199,0)),"",INDEX('Compliance Database'!$G$2:$G$1199,MATCH(593,'Transfer Engine'!$C$2:$C$1199,0)))</f>
        <v/>
      </c>
      <c r="H602" s="7" t="str">
        <f>IF(ISNA(MATCH(593,'Transfer Engine'!$C$2:$C$1199,0)),"",INDEX('Compliance Database'!$H$2:$H$1199,MATCH(593,'Transfer Engine'!$C$2:$C$1199,0)))</f>
        <v/>
      </c>
      <c r="I602" s="7" t="str">
        <f>IF(ISNA(MATCH(593,'Transfer Engine'!$C$2:$C$1199,0)),"",INDEX('Compliance Database'!$I$2:$I$1199,MATCH(593,'Transfer Engine'!$C$2:$C$1199,0)))</f>
        <v/>
      </c>
      <c r="J602" s="6" t="str">
        <f>IF(ISNA(MATCH(593,'Transfer Engine'!$C$2:$C$1199,0)),"",INDEX('Compliance Database'!$J$2:$J$1199,MATCH(593,'Transfer Engine'!$C$2:$C$1199,0)))</f>
        <v/>
      </c>
      <c r="K602" s="7" t="str">
        <f>IF(ISNA(MATCH(593,'Transfer Engine'!$C$2:$C$1199,0)),"",INDEX('Compliance Database'!$K$2:$K$1199,MATCH(593,'Transfer Engine'!$C$2:$C$1199,0)))</f>
        <v/>
      </c>
      <c r="L602" s="7" t="str">
        <f>IF(ISNA(MATCH(593,'Transfer Engine'!$C$2:$C$1199,0)),"",INDEX('Compliance Database'!$L$2:$L$1199,MATCH(593,'Transfer Engine'!$C$2:$C$1199,0)))</f>
        <v/>
      </c>
      <c r="M602" s="7" t="str">
        <f>IF(ISNA(MATCH(593,'Transfer Engine'!$C$2:$C$1199,0)),"",INDEX('Compliance Database'!$M$2:$M$1199,MATCH(593,'Transfer Engine'!$C$2:$C$1199,0)))</f>
        <v/>
      </c>
      <c r="N602" s="7" t="str">
        <f>IF(ISNA(MATCH(593,'Transfer Engine'!$C$2:$C$1199,0)),"",INDEX('Compliance Database'!$N$2:$N$1199,MATCH(593,'Transfer Engine'!$C$2:$C$1199,0)))</f>
        <v/>
      </c>
      <c r="O602" s="7" t="str">
        <f>IF(ISNA(MATCH(593,'Transfer Engine'!$C$2:$C$1199,0)),"",INDEX('Compliance Database'!$O$2:$O$1199,MATCH(593,'Transfer Engine'!$C$2:$C$1199,0)))</f>
        <v/>
      </c>
      <c r="P602" s="6" t="str">
        <f>IF(ISNA(MATCH(593,'Transfer Engine'!$C$2:$C$1199,0)),"",HYPERLINK("#Acts!A"&amp;INDEX('Compliance Database'!$P$2:$P$1199,MATCH(593,'Transfer Engine'!$C$2:$C$1199,0)),"Go to Act"))</f>
        <v/>
      </c>
    </row>
    <row r="603" spans="1:16" ht="172.95" customHeight="1" x14ac:dyDescent="0.3">
      <c r="A603" s="6" t="str">
        <f>IF(ISNA(MATCH(594,'Transfer Engine'!$C$2:$C$1199,0)),"",INDEX('Compliance Database'!$A$2:$A$1199,MATCH(594,'Transfer Engine'!$C$2:$C$1199,0)))</f>
        <v/>
      </c>
      <c r="B603" s="6" t="str">
        <f>IF(ISNA(MATCH(594,'Transfer Engine'!$C$2:$C$1199,0)),"",INDEX('Compliance Database'!$B$2:$B$1199,MATCH(594,'Transfer Engine'!$C$2:$C$1199,0)))</f>
        <v/>
      </c>
      <c r="C603" s="6" t="str">
        <f>IF(ISNA(MATCH(594,'Transfer Engine'!$C$2:$C$1199,0)),"",INDEX('Compliance Database'!$C$2:$C$1199,MATCH(594,'Transfer Engine'!$C$2:$C$1199,0)))</f>
        <v/>
      </c>
      <c r="D603" s="7" t="str">
        <f>IF(ISNA(MATCH(594,'Transfer Engine'!$C$2:$C$1199,0)),"",INDEX('Compliance Database'!$D$2:$D$1199,MATCH(594,'Transfer Engine'!$C$2:$C$1199,0)))</f>
        <v/>
      </c>
      <c r="E603" s="6" t="str">
        <f>IF(ISNA(MATCH(594,'Transfer Engine'!$C$2:$C$1199,0)),"",INDEX('Compliance Database'!$E$2:$E$1199,MATCH(594,'Transfer Engine'!$C$2:$C$1199,0)))</f>
        <v/>
      </c>
      <c r="F603" s="6" t="str">
        <f>IF(ISNA(MATCH(594,'Transfer Engine'!$C$2:$C$1199,0)),"",INDEX('Compliance Database'!$F$2:$F$1199,MATCH(594,'Transfer Engine'!$C$2:$C$1199,0)))</f>
        <v/>
      </c>
      <c r="G603" s="6" t="str">
        <f>IF(ISNA(MATCH(594,'Transfer Engine'!$C$2:$C$1199,0)),"",INDEX('Compliance Database'!$G$2:$G$1199,MATCH(594,'Transfer Engine'!$C$2:$C$1199,0)))</f>
        <v/>
      </c>
      <c r="H603" s="7" t="str">
        <f>IF(ISNA(MATCH(594,'Transfer Engine'!$C$2:$C$1199,0)),"",INDEX('Compliance Database'!$H$2:$H$1199,MATCH(594,'Transfer Engine'!$C$2:$C$1199,0)))</f>
        <v/>
      </c>
      <c r="I603" s="7" t="str">
        <f>IF(ISNA(MATCH(594,'Transfer Engine'!$C$2:$C$1199,0)),"",INDEX('Compliance Database'!$I$2:$I$1199,MATCH(594,'Transfer Engine'!$C$2:$C$1199,0)))</f>
        <v/>
      </c>
      <c r="J603" s="6" t="str">
        <f>IF(ISNA(MATCH(594,'Transfer Engine'!$C$2:$C$1199,0)),"",INDEX('Compliance Database'!$J$2:$J$1199,MATCH(594,'Transfer Engine'!$C$2:$C$1199,0)))</f>
        <v/>
      </c>
      <c r="K603" s="7" t="str">
        <f>IF(ISNA(MATCH(594,'Transfer Engine'!$C$2:$C$1199,0)),"",INDEX('Compliance Database'!$K$2:$K$1199,MATCH(594,'Transfer Engine'!$C$2:$C$1199,0)))</f>
        <v/>
      </c>
      <c r="L603" s="7" t="str">
        <f>IF(ISNA(MATCH(594,'Transfer Engine'!$C$2:$C$1199,0)),"",INDEX('Compliance Database'!$L$2:$L$1199,MATCH(594,'Transfer Engine'!$C$2:$C$1199,0)))</f>
        <v/>
      </c>
      <c r="M603" s="7" t="str">
        <f>IF(ISNA(MATCH(594,'Transfer Engine'!$C$2:$C$1199,0)),"",INDEX('Compliance Database'!$M$2:$M$1199,MATCH(594,'Transfer Engine'!$C$2:$C$1199,0)))</f>
        <v/>
      </c>
      <c r="N603" s="7" t="str">
        <f>IF(ISNA(MATCH(594,'Transfer Engine'!$C$2:$C$1199,0)),"",INDEX('Compliance Database'!$N$2:$N$1199,MATCH(594,'Transfer Engine'!$C$2:$C$1199,0)))</f>
        <v/>
      </c>
      <c r="O603" s="7" t="str">
        <f>IF(ISNA(MATCH(594,'Transfer Engine'!$C$2:$C$1199,0)),"",INDEX('Compliance Database'!$O$2:$O$1199,MATCH(594,'Transfer Engine'!$C$2:$C$1199,0)))</f>
        <v/>
      </c>
      <c r="P603" s="6" t="str">
        <f>IF(ISNA(MATCH(594,'Transfer Engine'!$C$2:$C$1199,0)),"",HYPERLINK("#Acts!A"&amp;INDEX('Compliance Database'!$P$2:$P$1199,MATCH(594,'Transfer Engine'!$C$2:$C$1199,0)),"Go to Act"))</f>
        <v/>
      </c>
    </row>
    <row r="604" spans="1:16" ht="172.95" customHeight="1" x14ac:dyDescent="0.3">
      <c r="A604" s="6" t="str">
        <f>IF(ISNA(MATCH(595,'Transfer Engine'!$C$2:$C$1199,0)),"",INDEX('Compliance Database'!$A$2:$A$1199,MATCH(595,'Transfer Engine'!$C$2:$C$1199,0)))</f>
        <v/>
      </c>
      <c r="B604" s="6" t="str">
        <f>IF(ISNA(MATCH(595,'Transfer Engine'!$C$2:$C$1199,0)),"",INDEX('Compliance Database'!$B$2:$B$1199,MATCH(595,'Transfer Engine'!$C$2:$C$1199,0)))</f>
        <v/>
      </c>
      <c r="C604" s="6" t="str">
        <f>IF(ISNA(MATCH(595,'Transfer Engine'!$C$2:$C$1199,0)),"",INDEX('Compliance Database'!$C$2:$C$1199,MATCH(595,'Transfer Engine'!$C$2:$C$1199,0)))</f>
        <v/>
      </c>
      <c r="D604" s="7" t="str">
        <f>IF(ISNA(MATCH(595,'Transfer Engine'!$C$2:$C$1199,0)),"",INDEX('Compliance Database'!$D$2:$D$1199,MATCH(595,'Transfer Engine'!$C$2:$C$1199,0)))</f>
        <v/>
      </c>
      <c r="E604" s="6" t="str">
        <f>IF(ISNA(MATCH(595,'Transfer Engine'!$C$2:$C$1199,0)),"",INDEX('Compliance Database'!$E$2:$E$1199,MATCH(595,'Transfer Engine'!$C$2:$C$1199,0)))</f>
        <v/>
      </c>
      <c r="F604" s="6" t="str">
        <f>IF(ISNA(MATCH(595,'Transfer Engine'!$C$2:$C$1199,0)),"",INDEX('Compliance Database'!$F$2:$F$1199,MATCH(595,'Transfer Engine'!$C$2:$C$1199,0)))</f>
        <v/>
      </c>
      <c r="G604" s="6" t="str">
        <f>IF(ISNA(MATCH(595,'Transfer Engine'!$C$2:$C$1199,0)),"",INDEX('Compliance Database'!$G$2:$G$1199,MATCH(595,'Transfer Engine'!$C$2:$C$1199,0)))</f>
        <v/>
      </c>
      <c r="H604" s="7" t="str">
        <f>IF(ISNA(MATCH(595,'Transfer Engine'!$C$2:$C$1199,0)),"",INDEX('Compliance Database'!$H$2:$H$1199,MATCH(595,'Transfer Engine'!$C$2:$C$1199,0)))</f>
        <v/>
      </c>
      <c r="I604" s="7" t="str">
        <f>IF(ISNA(MATCH(595,'Transfer Engine'!$C$2:$C$1199,0)),"",INDEX('Compliance Database'!$I$2:$I$1199,MATCH(595,'Transfer Engine'!$C$2:$C$1199,0)))</f>
        <v/>
      </c>
      <c r="J604" s="6" t="str">
        <f>IF(ISNA(MATCH(595,'Transfer Engine'!$C$2:$C$1199,0)),"",INDEX('Compliance Database'!$J$2:$J$1199,MATCH(595,'Transfer Engine'!$C$2:$C$1199,0)))</f>
        <v/>
      </c>
      <c r="K604" s="7" t="str">
        <f>IF(ISNA(MATCH(595,'Transfer Engine'!$C$2:$C$1199,0)),"",INDEX('Compliance Database'!$K$2:$K$1199,MATCH(595,'Transfer Engine'!$C$2:$C$1199,0)))</f>
        <v/>
      </c>
      <c r="L604" s="7" t="str">
        <f>IF(ISNA(MATCH(595,'Transfer Engine'!$C$2:$C$1199,0)),"",INDEX('Compliance Database'!$L$2:$L$1199,MATCH(595,'Transfer Engine'!$C$2:$C$1199,0)))</f>
        <v/>
      </c>
      <c r="M604" s="7" t="str">
        <f>IF(ISNA(MATCH(595,'Transfer Engine'!$C$2:$C$1199,0)),"",INDEX('Compliance Database'!$M$2:$M$1199,MATCH(595,'Transfer Engine'!$C$2:$C$1199,0)))</f>
        <v/>
      </c>
      <c r="N604" s="7" t="str">
        <f>IF(ISNA(MATCH(595,'Transfer Engine'!$C$2:$C$1199,0)),"",INDEX('Compliance Database'!$N$2:$N$1199,MATCH(595,'Transfer Engine'!$C$2:$C$1199,0)))</f>
        <v/>
      </c>
      <c r="O604" s="7" t="str">
        <f>IF(ISNA(MATCH(595,'Transfer Engine'!$C$2:$C$1199,0)),"",INDEX('Compliance Database'!$O$2:$O$1199,MATCH(595,'Transfer Engine'!$C$2:$C$1199,0)))</f>
        <v/>
      </c>
      <c r="P604" s="6" t="str">
        <f>IF(ISNA(MATCH(595,'Transfer Engine'!$C$2:$C$1199,0)),"",HYPERLINK("#Acts!A"&amp;INDEX('Compliance Database'!$P$2:$P$1199,MATCH(595,'Transfer Engine'!$C$2:$C$1199,0)),"Go to Act"))</f>
        <v/>
      </c>
    </row>
    <row r="605" spans="1:16" ht="172.95" customHeight="1" x14ac:dyDescent="0.3">
      <c r="A605" s="6" t="str">
        <f>IF(ISNA(MATCH(596,'Transfer Engine'!$C$2:$C$1199,0)),"",INDEX('Compliance Database'!$A$2:$A$1199,MATCH(596,'Transfer Engine'!$C$2:$C$1199,0)))</f>
        <v/>
      </c>
      <c r="B605" s="6" t="str">
        <f>IF(ISNA(MATCH(596,'Transfer Engine'!$C$2:$C$1199,0)),"",INDEX('Compliance Database'!$B$2:$B$1199,MATCH(596,'Transfer Engine'!$C$2:$C$1199,0)))</f>
        <v/>
      </c>
      <c r="C605" s="6" t="str">
        <f>IF(ISNA(MATCH(596,'Transfer Engine'!$C$2:$C$1199,0)),"",INDEX('Compliance Database'!$C$2:$C$1199,MATCH(596,'Transfer Engine'!$C$2:$C$1199,0)))</f>
        <v/>
      </c>
      <c r="D605" s="7" t="str">
        <f>IF(ISNA(MATCH(596,'Transfer Engine'!$C$2:$C$1199,0)),"",INDEX('Compliance Database'!$D$2:$D$1199,MATCH(596,'Transfer Engine'!$C$2:$C$1199,0)))</f>
        <v/>
      </c>
      <c r="E605" s="6" t="str">
        <f>IF(ISNA(MATCH(596,'Transfer Engine'!$C$2:$C$1199,0)),"",INDEX('Compliance Database'!$E$2:$E$1199,MATCH(596,'Transfer Engine'!$C$2:$C$1199,0)))</f>
        <v/>
      </c>
      <c r="F605" s="6" t="str">
        <f>IF(ISNA(MATCH(596,'Transfer Engine'!$C$2:$C$1199,0)),"",INDEX('Compliance Database'!$F$2:$F$1199,MATCH(596,'Transfer Engine'!$C$2:$C$1199,0)))</f>
        <v/>
      </c>
      <c r="G605" s="6" t="str">
        <f>IF(ISNA(MATCH(596,'Transfer Engine'!$C$2:$C$1199,0)),"",INDEX('Compliance Database'!$G$2:$G$1199,MATCH(596,'Transfer Engine'!$C$2:$C$1199,0)))</f>
        <v/>
      </c>
      <c r="H605" s="7" t="str">
        <f>IF(ISNA(MATCH(596,'Transfer Engine'!$C$2:$C$1199,0)),"",INDEX('Compliance Database'!$H$2:$H$1199,MATCH(596,'Transfer Engine'!$C$2:$C$1199,0)))</f>
        <v/>
      </c>
      <c r="I605" s="7" t="str">
        <f>IF(ISNA(MATCH(596,'Transfer Engine'!$C$2:$C$1199,0)),"",INDEX('Compliance Database'!$I$2:$I$1199,MATCH(596,'Transfer Engine'!$C$2:$C$1199,0)))</f>
        <v/>
      </c>
      <c r="J605" s="6" t="str">
        <f>IF(ISNA(MATCH(596,'Transfer Engine'!$C$2:$C$1199,0)),"",INDEX('Compliance Database'!$J$2:$J$1199,MATCH(596,'Transfer Engine'!$C$2:$C$1199,0)))</f>
        <v/>
      </c>
      <c r="K605" s="7" t="str">
        <f>IF(ISNA(MATCH(596,'Transfer Engine'!$C$2:$C$1199,0)),"",INDEX('Compliance Database'!$K$2:$K$1199,MATCH(596,'Transfer Engine'!$C$2:$C$1199,0)))</f>
        <v/>
      </c>
      <c r="L605" s="7" t="str">
        <f>IF(ISNA(MATCH(596,'Transfer Engine'!$C$2:$C$1199,0)),"",INDEX('Compliance Database'!$L$2:$L$1199,MATCH(596,'Transfer Engine'!$C$2:$C$1199,0)))</f>
        <v/>
      </c>
      <c r="M605" s="7" t="str">
        <f>IF(ISNA(MATCH(596,'Transfer Engine'!$C$2:$C$1199,0)),"",INDEX('Compliance Database'!$M$2:$M$1199,MATCH(596,'Transfer Engine'!$C$2:$C$1199,0)))</f>
        <v/>
      </c>
      <c r="N605" s="7" t="str">
        <f>IF(ISNA(MATCH(596,'Transfer Engine'!$C$2:$C$1199,0)),"",INDEX('Compliance Database'!$N$2:$N$1199,MATCH(596,'Transfer Engine'!$C$2:$C$1199,0)))</f>
        <v/>
      </c>
      <c r="O605" s="7" t="str">
        <f>IF(ISNA(MATCH(596,'Transfer Engine'!$C$2:$C$1199,0)),"",INDEX('Compliance Database'!$O$2:$O$1199,MATCH(596,'Transfer Engine'!$C$2:$C$1199,0)))</f>
        <v/>
      </c>
      <c r="P605" s="6" t="str">
        <f>IF(ISNA(MATCH(596,'Transfer Engine'!$C$2:$C$1199,0)),"",HYPERLINK("#Acts!A"&amp;INDEX('Compliance Database'!$P$2:$P$1199,MATCH(596,'Transfer Engine'!$C$2:$C$1199,0)),"Go to Act"))</f>
        <v/>
      </c>
    </row>
    <row r="606" spans="1:16" ht="172.95" customHeight="1" x14ac:dyDescent="0.3">
      <c r="A606" s="6" t="str">
        <f>IF(ISNA(MATCH(597,'Transfer Engine'!$C$2:$C$1199,0)),"",INDEX('Compliance Database'!$A$2:$A$1199,MATCH(597,'Transfer Engine'!$C$2:$C$1199,0)))</f>
        <v/>
      </c>
      <c r="B606" s="6" t="str">
        <f>IF(ISNA(MATCH(597,'Transfer Engine'!$C$2:$C$1199,0)),"",INDEX('Compliance Database'!$B$2:$B$1199,MATCH(597,'Transfer Engine'!$C$2:$C$1199,0)))</f>
        <v/>
      </c>
      <c r="C606" s="6" t="str">
        <f>IF(ISNA(MATCH(597,'Transfer Engine'!$C$2:$C$1199,0)),"",INDEX('Compliance Database'!$C$2:$C$1199,MATCH(597,'Transfer Engine'!$C$2:$C$1199,0)))</f>
        <v/>
      </c>
      <c r="D606" s="7" t="str">
        <f>IF(ISNA(MATCH(597,'Transfer Engine'!$C$2:$C$1199,0)),"",INDEX('Compliance Database'!$D$2:$D$1199,MATCH(597,'Transfer Engine'!$C$2:$C$1199,0)))</f>
        <v/>
      </c>
      <c r="E606" s="6" t="str">
        <f>IF(ISNA(MATCH(597,'Transfer Engine'!$C$2:$C$1199,0)),"",INDEX('Compliance Database'!$E$2:$E$1199,MATCH(597,'Transfer Engine'!$C$2:$C$1199,0)))</f>
        <v/>
      </c>
      <c r="F606" s="6" t="str">
        <f>IF(ISNA(MATCH(597,'Transfer Engine'!$C$2:$C$1199,0)),"",INDEX('Compliance Database'!$F$2:$F$1199,MATCH(597,'Transfer Engine'!$C$2:$C$1199,0)))</f>
        <v/>
      </c>
      <c r="G606" s="6" t="str">
        <f>IF(ISNA(MATCH(597,'Transfer Engine'!$C$2:$C$1199,0)),"",INDEX('Compliance Database'!$G$2:$G$1199,MATCH(597,'Transfer Engine'!$C$2:$C$1199,0)))</f>
        <v/>
      </c>
      <c r="H606" s="7" t="str">
        <f>IF(ISNA(MATCH(597,'Transfer Engine'!$C$2:$C$1199,0)),"",INDEX('Compliance Database'!$H$2:$H$1199,MATCH(597,'Transfer Engine'!$C$2:$C$1199,0)))</f>
        <v/>
      </c>
      <c r="I606" s="7" t="str">
        <f>IF(ISNA(MATCH(597,'Transfer Engine'!$C$2:$C$1199,0)),"",INDEX('Compliance Database'!$I$2:$I$1199,MATCH(597,'Transfer Engine'!$C$2:$C$1199,0)))</f>
        <v/>
      </c>
      <c r="J606" s="6" t="str">
        <f>IF(ISNA(MATCH(597,'Transfer Engine'!$C$2:$C$1199,0)),"",INDEX('Compliance Database'!$J$2:$J$1199,MATCH(597,'Transfer Engine'!$C$2:$C$1199,0)))</f>
        <v/>
      </c>
      <c r="K606" s="7" t="str">
        <f>IF(ISNA(MATCH(597,'Transfer Engine'!$C$2:$C$1199,0)),"",INDEX('Compliance Database'!$K$2:$K$1199,MATCH(597,'Transfer Engine'!$C$2:$C$1199,0)))</f>
        <v/>
      </c>
      <c r="L606" s="7" t="str">
        <f>IF(ISNA(MATCH(597,'Transfer Engine'!$C$2:$C$1199,0)),"",INDEX('Compliance Database'!$L$2:$L$1199,MATCH(597,'Transfer Engine'!$C$2:$C$1199,0)))</f>
        <v/>
      </c>
      <c r="M606" s="7" t="str">
        <f>IF(ISNA(MATCH(597,'Transfer Engine'!$C$2:$C$1199,0)),"",INDEX('Compliance Database'!$M$2:$M$1199,MATCH(597,'Transfer Engine'!$C$2:$C$1199,0)))</f>
        <v/>
      </c>
      <c r="N606" s="7" t="str">
        <f>IF(ISNA(MATCH(597,'Transfer Engine'!$C$2:$C$1199,0)),"",INDEX('Compliance Database'!$N$2:$N$1199,MATCH(597,'Transfer Engine'!$C$2:$C$1199,0)))</f>
        <v/>
      </c>
      <c r="O606" s="7" t="str">
        <f>IF(ISNA(MATCH(597,'Transfer Engine'!$C$2:$C$1199,0)),"",INDEX('Compliance Database'!$O$2:$O$1199,MATCH(597,'Transfer Engine'!$C$2:$C$1199,0)))</f>
        <v/>
      </c>
      <c r="P606" s="6" t="str">
        <f>IF(ISNA(MATCH(597,'Transfer Engine'!$C$2:$C$1199,0)),"",HYPERLINK("#Acts!A"&amp;INDEX('Compliance Database'!$P$2:$P$1199,MATCH(597,'Transfer Engine'!$C$2:$C$1199,0)),"Go to Act"))</f>
        <v/>
      </c>
    </row>
    <row r="607" spans="1:16" ht="172.95" customHeight="1" x14ac:dyDescent="0.3">
      <c r="A607" s="6" t="str">
        <f>IF(ISNA(MATCH(598,'Transfer Engine'!$C$2:$C$1199,0)),"",INDEX('Compliance Database'!$A$2:$A$1199,MATCH(598,'Transfer Engine'!$C$2:$C$1199,0)))</f>
        <v/>
      </c>
      <c r="B607" s="6" t="str">
        <f>IF(ISNA(MATCH(598,'Transfer Engine'!$C$2:$C$1199,0)),"",INDEX('Compliance Database'!$B$2:$B$1199,MATCH(598,'Transfer Engine'!$C$2:$C$1199,0)))</f>
        <v/>
      </c>
      <c r="C607" s="6" t="str">
        <f>IF(ISNA(MATCH(598,'Transfer Engine'!$C$2:$C$1199,0)),"",INDEX('Compliance Database'!$C$2:$C$1199,MATCH(598,'Transfer Engine'!$C$2:$C$1199,0)))</f>
        <v/>
      </c>
      <c r="D607" s="7" t="str">
        <f>IF(ISNA(MATCH(598,'Transfer Engine'!$C$2:$C$1199,0)),"",INDEX('Compliance Database'!$D$2:$D$1199,MATCH(598,'Transfer Engine'!$C$2:$C$1199,0)))</f>
        <v/>
      </c>
      <c r="E607" s="6" t="str">
        <f>IF(ISNA(MATCH(598,'Transfer Engine'!$C$2:$C$1199,0)),"",INDEX('Compliance Database'!$E$2:$E$1199,MATCH(598,'Transfer Engine'!$C$2:$C$1199,0)))</f>
        <v/>
      </c>
      <c r="F607" s="6" t="str">
        <f>IF(ISNA(MATCH(598,'Transfer Engine'!$C$2:$C$1199,0)),"",INDEX('Compliance Database'!$F$2:$F$1199,MATCH(598,'Transfer Engine'!$C$2:$C$1199,0)))</f>
        <v/>
      </c>
      <c r="G607" s="6" t="str">
        <f>IF(ISNA(MATCH(598,'Transfer Engine'!$C$2:$C$1199,0)),"",INDEX('Compliance Database'!$G$2:$G$1199,MATCH(598,'Transfer Engine'!$C$2:$C$1199,0)))</f>
        <v/>
      </c>
      <c r="H607" s="7" t="str">
        <f>IF(ISNA(MATCH(598,'Transfer Engine'!$C$2:$C$1199,0)),"",INDEX('Compliance Database'!$H$2:$H$1199,MATCH(598,'Transfer Engine'!$C$2:$C$1199,0)))</f>
        <v/>
      </c>
      <c r="I607" s="7" t="str">
        <f>IF(ISNA(MATCH(598,'Transfer Engine'!$C$2:$C$1199,0)),"",INDEX('Compliance Database'!$I$2:$I$1199,MATCH(598,'Transfer Engine'!$C$2:$C$1199,0)))</f>
        <v/>
      </c>
      <c r="J607" s="6" t="str">
        <f>IF(ISNA(MATCH(598,'Transfer Engine'!$C$2:$C$1199,0)),"",INDEX('Compliance Database'!$J$2:$J$1199,MATCH(598,'Transfer Engine'!$C$2:$C$1199,0)))</f>
        <v/>
      </c>
      <c r="K607" s="7" t="str">
        <f>IF(ISNA(MATCH(598,'Transfer Engine'!$C$2:$C$1199,0)),"",INDEX('Compliance Database'!$K$2:$K$1199,MATCH(598,'Transfer Engine'!$C$2:$C$1199,0)))</f>
        <v/>
      </c>
      <c r="L607" s="7" t="str">
        <f>IF(ISNA(MATCH(598,'Transfer Engine'!$C$2:$C$1199,0)),"",INDEX('Compliance Database'!$L$2:$L$1199,MATCH(598,'Transfer Engine'!$C$2:$C$1199,0)))</f>
        <v/>
      </c>
      <c r="M607" s="7" t="str">
        <f>IF(ISNA(MATCH(598,'Transfer Engine'!$C$2:$C$1199,0)),"",INDEX('Compliance Database'!$M$2:$M$1199,MATCH(598,'Transfer Engine'!$C$2:$C$1199,0)))</f>
        <v/>
      </c>
      <c r="N607" s="7" t="str">
        <f>IF(ISNA(MATCH(598,'Transfer Engine'!$C$2:$C$1199,0)),"",INDEX('Compliance Database'!$N$2:$N$1199,MATCH(598,'Transfer Engine'!$C$2:$C$1199,0)))</f>
        <v/>
      </c>
      <c r="O607" s="7" t="str">
        <f>IF(ISNA(MATCH(598,'Transfer Engine'!$C$2:$C$1199,0)),"",INDEX('Compliance Database'!$O$2:$O$1199,MATCH(598,'Transfer Engine'!$C$2:$C$1199,0)))</f>
        <v/>
      </c>
      <c r="P607" s="6" t="str">
        <f>IF(ISNA(MATCH(598,'Transfer Engine'!$C$2:$C$1199,0)),"",HYPERLINK("#Acts!A"&amp;INDEX('Compliance Database'!$P$2:$P$1199,MATCH(598,'Transfer Engine'!$C$2:$C$1199,0)),"Go to Act"))</f>
        <v/>
      </c>
    </row>
    <row r="608" spans="1:16" ht="172.95" customHeight="1" x14ac:dyDescent="0.3">
      <c r="A608" s="6" t="str">
        <f>IF(ISNA(MATCH(599,'Transfer Engine'!$C$2:$C$1199,0)),"",INDEX('Compliance Database'!$A$2:$A$1199,MATCH(599,'Transfer Engine'!$C$2:$C$1199,0)))</f>
        <v/>
      </c>
      <c r="B608" s="6" t="str">
        <f>IF(ISNA(MATCH(599,'Transfer Engine'!$C$2:$C$1199,0)),"",INDEX('Compliance Database'!$B$2:$B$1199,MATCH(599,'Transfer Engine'!$C$2:$C$1199,0)))</f>
        <v/>
      </c>
      <c r="C608" s="6" t="str">
        <f>IF(ISNA(MATCH(599,'Transfer Engine'!$C$2:$C$1199,0)),"",INDEX('Compliance Database'!$C$2:$C$1199,MATCH(599,'Transfer Engine'!$C$2:$C$1199,0)))</f>
        <v/>
      </c>
      <c r="D608" s="7" t="str">
        <f>IF(ISNA(MATCH(599,'Transfer Engine'!$C$2:$C$1199,0)),"",INDEX('Compliance Database'!$D$2:$D$1199,MATCH(599,'Transfer Engine'!$C$2:$C$1199,0)))</f>
        <v/>
      </c>
      <c r="E608" s="6" t="str">
        <f>IF(ISNA(MATCH(599,'Transfer Engine'!$C$2:$C$1199,0)),"",INDEX('Compliance Database'!$E$2:$E$1199,MATCH(599,'Transfer Engine'!$C$2:$C$1199,0)))</f>
        <v/>
      </c>
      <c r="F608" s="6" t="str">
        <f>IF(ISNA(MATCH(599,'Transfer Engine'!$C$2:$C$1199,0)),"",INDEX('Compliance Database'!$F$2:$F$1199,MATCH(599,'Transfer Engine'!$C$2:$C$1199,0)))</f>
        <v/>
      </c>
      <c r="G608" s="6" t="str">
        <f>IF(ISNA(MATCH(599,'Transfer Engine'!$C$2:$C$1199,0)),"",INDEX('Compliance Database'!$G$2:$G$1199,MATCH(599,'Transfer Engine'!$C$2:$C$1199,0)))</f>
        <v/>
      </c>
      <c r="H608" s="7" t="str">
        <f>IF(ISNA(MATCH(599,'Transfer Engine'!$C$2:$C$1199,0)),"",INDEX('Compliance Database'!$H$2:$H$1199,MATCH(599,'Transfer Engine'!$C$2:$C$1199,0)))</f>
        <v/>
      </c>
      <c r="I608" s="7" t="str">
        <f>IF(ISNA(MATCH(599,'Transfer Engine'!$C$2:$C$1199,0)),"",INDEX('Compliance Database'!$I$2:$I$1199,MATCH(599,'Transfer Engine'!$C$2:$C$1199,0)))</f>
        <v/>
      </c>
      <c r="J608" s="6" t="str">
        <f>IF(ISNA(MATCH(599,'Transfer Engine'!$C$2:$C$1199,0)),"",INDEX('Compliance Database'!$J$2:$J$1199,MATCH(599,'Transfer Engine'!$C$2:$C$1199,0)))</f>
        <v/>
      </c>
      <c r="K608" s="7" t="str">
        <f>IF(ISNA(MATCH(599,'Transfer Engine'!$C$2:$C$1199,0)),"",INDEX('Compliance Database'!$K$2:$K$1199,MATCH(599,'Transfer Engine'!$C$2:$C$1199,0)))</f>
        <v/>
      </c>
      <c r="L608" s="7" t="str">
        <f>IF(ISNA(MATCH(599,'Transfer Engine'!$C$2:$C$1199,0)),"",INDEX('Compliance Database'!$L$2:$L$1199,MATCH(599,'Transfer Engine'!$C$2:$C$1199,0)))</f>
        <v/>
      </c>
      <c r="M608" s="7" t="str">
        <f>IF(ISNA(MATCH(599,'Transfer Engine'!$C$2:$C$1199,0)),"",INDEX('Compliance Database'!$M$2:$M$1199,MATCH(599,'Transfer Engine'!$C$2:$C$1199,0)))</f>
        <v/>
      </c>
      <c r="N608" s="7" t="str">
        <f>IF(ISNA(MATCH(599,'Transfer Engine'!$C$2:$C$1199,0)),"",INDEX('Compliance Database'!$N$2:$N$1199,MATCH(599,'Transfer Engine'!$C$2:$C$1199,0)))</f>
        <v/>
      </c>
      <c r="O608" s="7" t="str">
        <f>IF(ISNA(MATCH(599,'Transfer Engine'!$C$2:$C$1199,0)),"",INDEX('Compliance Database'!$O$2:$O$1199,MATCH(599,'Transfer Engine'!$C$2:$C$1199,0)))</f>
        <v/>
      </c>
      <c r="P608" s="6" t="str">
        <f>IF(ISNA(MATCH(599,'Transfer Engine'!$C$2:$C$1199,0)),"",HYPERLINK("#Acts!A"&amp;INDEX('Compliance Database'!$P$2:$P$1199,MATCH(599,'Transfer Engine'!$C$2:$C$1199,0)),"Go to Act"))</f>
        <v/>
      </c>
    </row>
    <row r="609" spans="1:16" ht="172.95" customHeight="1" x14ac:dyDescent="0.3">
      <c r="A609" s="6" t="str">
        <f>IF(ISNA(MATCH(600,'Transfer Engine'!$C$2:$C$1199,0)),"",INDEX('Compliance Database'!$A$2:$A$1199,MATCH(600,'Transfer Engine'!$C$2:$C$1199,0)))</f>
        <v/>
      </c>
      <c r="B609" s="6" t="str">
        <f>IF(ISNA(MATCH(600,'Transfer Engine'!$C$2:$C$1199,0)),"",INDEX('Compliance Database'!$B$2:$B$1199,MATCH(600,'Transfer Engine'!$C$2:$C$1199,0)))</f>
        <v/>
      </c>
      <c r="C609" s="6" t="str">
        <f>IF(ISNA(MATCH(600,'Transfer Engine'!$C$2:$C$1199,0)),"",INDEX('Compliance Database'!$C$2:$C$1199,MATCH(600,'Transfer Engine'!$C$2:$C$1199,0)))</f>
        <v/>
      </c>
      <c r="D609" s="7" t="str">
        <f>IF(ISNA(MATCH(600,'Transfer Engine'!$C$2:$C$1199,0)),"",INDEX('Compliance Database'!$D$2:$D$1199,MATCH(600,'Transfer Engine'!$C$2:$C$1199,0)))</f>
        <v/>
      </c>
      <c r="E609" s="6" t="str">
        <f>IF(ISNA(MATCH(600,'Transfer Engine'!$C$2:$C$1199,0)),"",INDEX('Compliance Database'!$E$2:$E$1199,MATCH(600,'Transfer Engine'!$C$2:$C$1199,0)))</f>
        <v/>
      </c>
      <c r="F609" s="6" t="str">
        <f>IF(ISNA(MATCH(600,'Transfer Engine'!$C$2:$C$1199,0)),"",INDEX('Compliance Database'!$F$2:$F$1199,MATCH(600,'Transfer Engine'!$C$2:$C$1199,0)))</f>
        <v/>
      </c>
      <c r="G609" s="6" t="str">
        <f>IF(ISNA(MATCH(600,'Transfer Engine'!$C$2:$C$1199,0)),"",INDEX('Compliance Database'!$G$2:$G$1199,MATCH(600,'Transfer Engine'!$C$2:$C$1199,0)))</f>
        <v/>
      </c>
      <c r="H609" s="7" t="str">
        <f>IF(ISNA(MATCH(600,'Transfer Engine'!$C$2:$C$1199,0)),"",INDEX('Compliance Database'!$H$2:$H$1199,MATCH(600,'Transfer Engine'!$C$2:$C$1199,0)))</f>
        <v/>
      </c>
      <c r="I609" s="7" t="str">
        <f>IF(ISNA(MATCH(600,'Transfer Engine'!$C$2:$C$1199,0)),"",INDEX('Compliance Database'!$I$2:$I$1199,MATCH(600,'Transfer Engine'!$C$2:$C$1199,0)))</f>
        <v/>
      </c>
      <c r="J609" s="6" t="str">
        <f>IF(ISNA(MATCH(600,'Transfer Engine'!$C$2:$C$1199,0)),"",INDEX('Compliance Database'!$J$2:$J$1199,MATCH(600,'Transfer Engine'!$C$2:$C$1199,0)))</f>
        <v/>
      </c>
      <c r="K609" s="7" t="str">
        <f>IF(ISNA(MATCH(600,'Transfer Engine'!$C$2:$C$1199,0)),"",INDEX('Compliance Database'!$K$2:$K$1199,MATCH(600,'Transfer Engine'!$C$2:$C$1199,0)))</f>
        <v/>
      </c>
      <c r="L609" s="7" t="str">
        <f>IF(ISNA(MATCH(600,'Transfer Engine'!$C$2:$C$1199,0)),"",INDEX('Compliance Database'!$L$2:$L$1199,MATCH(600,'Transfer Engine'!$C$2:$C$1199,0)))</f>
        <v/>
      </c>
      <c r="M609" s="7" t="str">
        <f>IF(ISNA(MATCH(600,'Transfer Engine'!$C$2:$C$1199,0)),"",INDEX('Compliance Database'!$M$2:$M$1199,MATCH(600,'Transfer Engine'!$C$2:$C$1199,0)))</f>
        <v/>
      </c>
      <c r="N609" s="7" t="str">
        <f>IF(ISNA(MATCH(600,'Transfer Engine'!$C$2:$C$1199,0)),"",INDEX('Compliance Database'!$N$2:$N$1199,MATCH(600,'Transfer Engine'!$C$2:$C$1199,0)))</f>
        <v/>
      </c>
      <c r="O609" s="7" t="str">
        <f>IF(ISNA(MATCH(600,'Transfer Engine'!$C$2:$C$1199,0)),"",INDEX('Compliance Database'!$O$2:$O$1199,MATCH(600,'Transfer Engine'!$C$2:$C$1199,0)))</f>
        <v/>
      </c>
      <c r="P609" s="6" t="str">
        <f>IF(ISNA(MATCH(600,'Transfer Engine'!$C$2:$C$1199,0)),"",HYPERLINK("#Acts!A"&amp;INDEX('Compliance Database'!$P$2:$P$1199,MATCH(600,'Transfer Engine'!$C$2:$C$1199,0)),"Go to Act"))</f>
        <v/>
      </c>
    </row>
    <row r="610" spans="1:16" ht="172.95" customHeight="1" x14ac:dyDescent="0.3">
      <c r="A610" s="6" t="str">
        <f>IF(ISNA(MATCH(601,'Transfer Engine'!$C$2:$C$1199,0)),"",INDEX('Compliance Database'!$A$2:$A$1199,MATCH(601,'Transfer Engine'!$C$2:$C$1199,0)))</f>
        <v/>
      </c>
      <c r="B610" s="6" t="str">
        <f>IF(ISNA(MATCH(601,'Transfer Engine'!$C$2:$C$1199,0)),"",INDEX('Compliance Database'!$B$2:$B$1199,MATCH(601,'Transfer Engine'!$C$2:$C$1199,0)))</f>
        <v/>
      </c>
      <c r="C610" s="6" t="str">
        <f>IF(ISNA(MATCH(601,'Transfer Engine'!$C$2:$C$1199,0)),"",INDEX('Compliance Database'!$C$2:$C$1199,MATCH(601,'Transfer Engine'!$C$2:$C$1199,0)))</f>
        <v/>
      </c>
      <c r="D610" s="7" t="str">
        <f>IF(ISNA(MATCH(601,'Transfer Engine'!$C$2:$C$1199,0)),"",INDEX('Compliance Database'!$D$2:$D$1199,MATCH(601,'Transfer Engine'!$C$2:$C$1199,0)))</f>
        <v/>
      </c>
      <c r="E610" s="6" t="str">
        <f>IF(ISNA(MATCH(601,'Transfer Engine'!$C$2:$C$1199,0)),"",INDEX('Compliance Database'!$E$2:$E$1199,MATCH(601,'Transfer Engine'!$C$2:$C$1199,0)))</f>
        <v/>
      </c>
      <c r="F610" s="6" t="str">
        <f>IF(ISNA(MATCH(601,'Transfer Engine'!$C$2:$C$1199,0)),"",INDEX('Compliance Database'!$F$2:$F$1199,MATCH(601,'Transfer Engine'!$C$2:$C$1199,0)))</f>
        <v/>
      </c>
      <c r="G610" s="6" t="str">
        <f>IF(ISNA(MATCH(601,'Transfer Engine'!$C$2:$C$1199,0)),"",INDEX('Compliance Database'!$G$2:$G$1199,MATCH(601,'Transfer Engine'!$C$2:$C$1199,0)))</f>
        <v/>
      </c>
      <c r="H610" s="7" t="str">
        <f>IF(ISNA(MATCH(601,'Transfer Engine'!$C$2:$C$1199,0)),"",INDEX('Compliance Database'!$H$2:$H$1199,MATCH(601,'Transfer Engine'!$C$2:$C$1199,0)))</f>
        <v/>
      </c>
      <c r="I610" s="7" t="str">
        <f>IF(ISNA(MATCH(601,'Transfer Engine'!$C$2:$C$1199,0)),"",INDEX('Compliance Database'!$I$2:$I$1199,MATCH(601,'Transfer Engine'!$C$2:$C$1199,0)))</f>
        <v/>
      </c>
      <c r="J610" s="6" t="str">
        <f>IF(ISNA(MATCH(601,'Transfer Engine'!$C$2:$C$1199,0)),"",INDEX('Compliance Database'!$J$2:$J$1199,MATCH(601,'Transfer Engine'!$C$2:$C$1199,0)))</f>
        <v/>
      </c>
      <c r="K610" s="7" t="str">
        <f>IF(ISNA(MATCH(601,'Transfer Engine'!$C$2:$C$1199,0)),"",INDEX('Compliance Database'!$K$2:$K$1199,MATCH(601,'Transfer Engine'!$C$2:$C$1199,0)))</f>
        <v/>
      </c>
      <c r="L610" s="7" t="str">
        <f>IF(ISNA(MATCH(601,'Transfer Engine'!$C$2:$C$1199,0)),"",INDEX('Compliance Database'!$L$2:$L$1199,MATCH(601,'Transfer Engine'!$C$2:$C$1199,0)))</f>
        <v/>
      </c>
      <c r="M610" s="7" t="str">
        <f>IF(ISNA(MATCH(601,'Transfer Engine'!$C$2:$C$1199,0)),"",INDEX('Compliance Database'!$M$2:$M$1199,MATCH(601,'Transfer Engine'!$C$2:$C$1199,0)))</f>
        <v/>
      </c>
      <c r="N610" s="7" t="str">
        <f>IF(ISNA(MATCH(601,'Transfer Engine'!$C$2:$C$1199,0)),"",INDEX('Compliance Database'!$N$2:$N$1199,MATCH(601,'Transfer Engine'!$C$2:$C$1199,0)))</f>
        <v/>
      </c>
      <c r="O610" s="7" t="str">
        <f>IF(ISNA(MATCH(601,'Transfer Engine'!$C$2:$C$1199,0)),"",INDEX('Compliance Database'!$O$2:$O$1199,MATCH(601,'Transfer Engine'!$C$2:$C$1199,0)))</f>
        <v/>
      </c>
      <c r="P610" s="6" t="str">
        <f>IF(ISNA(MATCH(601,'Transfer Engine'!$C$2:$C$1199,0)),"",HYPERLINK("#Acts!A"&amp;INDEX('Compliance Database'!$P$2:$P$1199,MATCH(601,'Transfer Engine'!$C$2:$C$1199,0)),"Go to Act"))</f>
        <v/>
      </c>
    </row>
    <row r="611" spans="1:16" ht="172.95" customHeight="1" x14ac:dyDescent="0.3">
      <c r="A611" s="6" t="str">
        <f>IF(ISNA(MATCH(602,'Transfer Engine'!$C$2:$C$1199,0)),"",INDEX('Compliance Database'!$A$2:$A$1199,MATCH(602,'Transfer Engine'!$C$2:$C$1199,0)))</f>
        <v/>
      </c>
      <c r="B611" s="6" t="str">
        <f>IF(ISNA(MATCH(602,'Transfer Engine'!$C$2:$C$1199,0)),"",INDEX('Compliance Database'!$B$2:$B$1199,MATCH(602,'Transfer Engine'!$C$2:$C$1199,0)))</f>
        <v/>
      </c>
      <c r="C611" s="6" t="str">
        <f>IF(ISNA(MATCH(602,'Transfer Engine'!$C$2:$C$1199,0)),"",INDEX('Compliance Database'!$C$2:$C$1199,MATCH(602,'Transfer Engine'!$C$2:$C$1199,0)))</f>
        <v/>
      </c>
      <c r="D611" s="7" t="str">
        <f>IF(ISNA(MATCH(602,'Transfer Engine'!$C$2:$C$1199,0)),"",INDEX('Compliance Database'!$D$2:$D$1199,MATCH(602,'Transfer Engine'!$C$2:$C$1199,0)))</f>
        <v/>
      </c>
      <c r="E611" s="6" t="str">
        <f>IF(ISNA(MATCH(602,'Transfer Engine'!$C$2:$C$1199,0)),"",INDEX('Compliance Database'!$E$2:$E$1199,MATCH(602,'Transfer Engine'!$C$2:$C$1199,0)))</f>
        <v/>
      </c>
      <c r="F611" s="6" t="str">
        <f>IF(ISNA(MATCH(602,'Transfer Engine'!$C$2:$C$1199,0)),"",INDEX('Compliance Database'!$F$2:$F$1199,MATCH(602,'Transfer Engine'!$C$2:$C$1199,0)))</f>
        <v/>
      </c>
      <c r="G611" s="6" t="str">
        <f>IF(ISNA(MATCH(602,'Transfer Engine'!$C$2:$C$1199,0)),"",INDEX('Compliance Database'!$G$2:$G$1199,MATCH(602,'Transfer Engine'!$C$2:$C$1199,0)))</f>
        <v/>
      </c>
      <c r="H611" s="7" t="str">
        <f>IF(ISNA(MATCH(602,'Transfer Engine'!$C$2:$C$1199,0)),"",INDEX('Compliance Database'!$H$2:$H$1199,MATCH(602,'Transfer Engine'!$C$2:$C$1199,0)))</f>
        <v/>
      </c>
      <c r="I611" s="7" t="str">
        <f>IF(ISNA(MATCH(602,'Transfer Engine'!$C$2:$C$1199,0)),"",INDEX('Compliance Database'!$I$2:$I$1199,MATCH(602,'Transfer Engine'!$C$2:$C$1199,0)))</f>
        <v/>
      </c>
      <c r="J611" s="6" t="str">
        <f>IF(ISNA(MATCH(602,'Transfer Engine'!$C$2:$C$1199,0)),"",INDEX('Compliance Database'!$J$2:$J$1199,MATCH(602,'Transfer Engine'!$C$2:$C$1199,0)))</f>
        <v/>
      </c>
      <c r="K611" s="7" t="str">
        <f>IF(ISNA(MATCH(602,'Transfer Engine'!$C$2:$C$1199,0)),"",INDEX('Compliance Database'!$K$2:$K$1199,MATCH(602,'Transfer Engine'!$C$2:$C$1199,0)))</f>
        <v/>
      </c>
      <c r="L611" s="7" t="str">
        <f>IF(ISNA(MATCH(602,'Transfer Engine'!$C$2:$C$1199,0)),"",INDEX('Compliance Database'!$L$2:$L$1199,MATCH(602,'Transfer Engine'!$C$2:$C$1199,0)))</f>
        <v/>
      </c>
      <c r="M611" s="7" t="str">
        <f>IF(ISNA(MATCH(602,'Transfer Engine'!$C$2:$C$1199,0)),"",INDEX('Compliance Database'!$M$2:$M$1199,MATCH(602,'Transfer Engine'!$C$2:$C$1199,0)))</f>
        <v/>
      </c>
      <c r="N611" s="7" t="str">
        <f>IF(ISNA(MATCH(602,'Transfer Engine'!$C$2:$C$1199,0)),"",INDEX('Compliance Database'!$N$2:$N$1199,MATCH(602,'Transfer Engine'!$C$2:$C$1199,0)))</f>
        <v/>
      </c>
      <c r="O611" s="7" t="str">
        <f>IF(ISNA(MATCH(602,'Transfer Engine'!$C$2:$C$1199,0)),"",INDEX('Compliance Database'!$O$2:$O$1199,MATCH(602,'Transfer Engine'!$C$2:$C$1199,0)))</f>
        <v/>
      </c>
      <c r="P611" s="6" t="str">
        <f>IF(ISNA(MATCH(602,'Transfer Engine'!$C$2:$C$1199,0)),"",HYPERLINK("#Acts!A"&amp;INDEX('Compliance Database'!$P$2:$P$1199,MATCH(602,'Transfer Engine'!$C$2:$C$1199,0)),"Go to Act"))</f>
        <v/>
      </c>
    </row>
    <row r="612" spans="1:16" ht="172.95" customHeight="1" x14ac:dyDescent="0.3">
      <c r="A612" s="6" t="str">
        <f>IF(ISNA(MATCH(603,'Transfer Engine'!$C$2:$C$1199,0)),"",INDEX('Compliance Database'!$A$2:$A$1199,MATCH(603,'Transfer Engine'!$C$2:$C$1199,0)))</f>
        <v/>
      </c>
      <c r="B612" s="6" t="str">
        <f>IF(ISNA(MATCH(603,'Transfer Engine'!$C$2:$C$1199,0)),"",INDEX('Compliance Database'!$B$2:$B$1199,MATCH(603,'Transfer Engine'!$C$2:$C$1199,0)))</f>
        <v/>
      </c>
      <c r="C612" s="6" t="str">
        <f>IF(ISNA(MATCH(603,'Transfer Engine'!$C$2:$C$1199,0)),"",INDEX('Compliance Database'!$C$2:$C$1199,MATCH(603,'Transfer Engine'!$C$2:$C$1199,0)))</f>
        <v/>
      </c>
      <c r="D612" s="7" t="str">
        <f>IF(ISNA(MATCH(603,'Transfer Engine'!$C$2:$C$1199,0)),"",INDEX('Compliance Database'!$D$2:$D$1199,MATCH(603,'Transfer Engine'!$C$2:$C$1199,0)))</f>
        <v/>
      </c>
      <c r="E612" s="6" t="str">
        <f>IF(ISNA(MATCH(603,'Transfer Engine'!$C$2:$C$1199,0)),"",INDEX('Compliance Database'!$E$2:$E$1199,MATCH(603,'Transfer Engine'!$C$2:$C$1199,0)))</f>
        <v/>
      </c>
      <c r="F612" s="6" t="str">
        <f>IF(ISNA(MATCH(603,'Transfer Engine'!$C$2:$C$1199,0)),"",INDEX('Compliance Database'!$F$2:$F$1199,MATCH(603,'Transfer Engine'!$C$2:$C$1199,0)))</f>
        <v/>
      </c>
      <c r="G612" s="6" t="str">
        <f>IF(ISNA(MATCH(603,'Transfer Engine'!$C$2:$C$1199,0)),"",INDEX('Compliance Database'!$G$2:$G$1199,MATCH(603,'Transfer Engine'!$C$2:$C$1199,0)))</f>
        <v/>
      </c>
      <c r="H612" s="7" t="str">
        <f>IF(ISNA(MATCH(603,'Transfer Engine'!$C$2:$C$1199,0)),"",INDEX('Compliance Database'!$H$2:$H$1199,MATCH(603,'Transfer Engine'!$C$2:$C$1199,0)))</f>
        <v/>
      </c>
      <c r="I612" s="7" t="str">
        <f>IF(ISNA(MATCH(603,'Transfer Engine'!$C$2:$C$1199,0)),"",INDEX('Compliance Database'!$I$2:$I$1199,MATCH(603,'Transfer Engine'!$C$2:$C$1199,0)))</f>
        <v/>
      </c>
      <c r="J612" s="6" t="str">
        <f>IF(ISNA(MATCH(603,'Transfer Engine'!$C$2:$C$1199,0)),"",INDEX('Compliance Database'!$J$2:$J$1199,MATCH(603,'Transfer Engine'!$C$2:$C$1199,0)))</f>
        <v/>
      </c>
      <c r="K612" s="7" t="str">
        <f>IF(ISNA(MATCH(603,'Transfer Engine'!$C$2:$C$1199,0)),"",INDEX('Compliance Database'!$K$2:$K$1199,MATCH(603,'Transfer Engine'!$C$2:$C$1199,0)))</f>
        <v/>
      </c>
      <c r="L612" s="7" t="str">
        <f>IF(ISNA(MATCH(603,'Transfer Engine'!$C$2:$C$1199,0)),"",INDEX('Compliance Database'!$L$2:$L$1199,MATCH(603,'Transfer Engine'!$C$2:$C$1199,0)))</f>
        <v/>
      </c>
      <c r="M612" s="7" t="str">
        <f>IF(ISNA(MATCH(603,'Transfer Engine'!$C$2:$C$1199,0)),"",INDEX('Compliance Database'!$M$2:$M$1199,MATCH(603,'Transfer Engine'!$C$2:$C$1199,0)))</f>
        <v/>
      </c>
      <c r="N612" s="7" t="str">
        <f>IF(ISNA(MATCH(603,'Transfer Engine'!$C$2:$C$1199,0)),"",INDEX('Compliance Database'!$N$2:$N$1199,MATCH(603,'Transfer Engine'!$C$2:$C$1199,0)))</f>
        <v/>
      </c>
      <c r="O612" s="7" t="str">
        <f>IF(ISNA(MATCH(603,'Transfer Engine'!$C$2:$C$1199,0)),"",INDEX('Compliance Database'!$O$2:$O$1199,MATCH(603,'Transfer Engine'!$C$2:$C$1199,0)))</f>
        <v/>
      </c>
      <c r="P612" s="6" t="str">
        <f>IF(ISNA(MATCH(603,'Transfer Engine'!$C$2:$C$1199,0)),"",HYPERLINK("#Acts!A"&amp;INDEX('Compliance Database'!$P$2:$P$1199,MATCH(603,'Transfer Engine'!$C$2:$C$1199,0)),"Go to Act"))</f>
        <v/>
      </c>
    </row>
    <row r="613" spans="1:16" ht="172.95" customHeight="1" x14ac:dyDescent="0.3">
      <c r="A613" s="6" t="str">
        <f>IF(ISNA(MATCH(604,'Transfer Engine'!$C$2:$C$1199,0)),"",INDEX('Compliance Database'!$A$2:$A$1199,MATCH(604,'Transfer Engine'!$C$2:$C$1199,0)))</f>
        <v/>
      </c>
      <c r="B613" s="6" t="str">
        <f>IF(ISNA(MATCH(604,'Transfer Engine'!$C$2:$C$1199,0)),"",INDEX('Compliance Database'!$B$2:$B$1199,MATCH(604,'Transfer Engine'!$C$2:$C$1199,0)))</f>
        <v/>
      </c>
      <c r="C613" s="6" t="str">
        <f>IF(ISNA(MATCH(604,'Transfer Engine'!$C$2:$C$1199,0)),"",INDEX('Compliance Database'!$C$2:$C$1199,MATCH(604,'Transfer Engine'!$C$2:$C$1199,0)))</f>
        <v/>
      </c>
      <c r="D613" s="7" t="str">
        <f>IF(ISNA(MATCH(604,'Transfer Engine'!$C$2:$C$1199,0)),"",INDEX('Compliance Database'!$D$2:$D$1199,MATCH(604,'Transfer Engine'!$C$2:$C$1199,0)))</f>
        <v/>
      </c>
      <c r="E613" s="6" t="str">
        <f>IF(ISNA(MATCH(604,'Transfer Engine'!$C$2:$C$1199,0)),"",INDEX('Compliance Database'!$E$2:$E$1199,MATCH(604,'Transfer Engine'!$C$2:$C$1199,0)))</f>
        <v/>
      </c>
      <c r="F613" s="6" t="str">
        <f>IF(ISNA(MATCH(604,'Transfer Engine'!$C$2:$C$1199,0)),"",INDEX('Compliance Database'!$F$2:$F$1199,MATCH(604,'Transfer Engine'!$C$2:$C$1199,0)))</f>
        <v/>
      </c>
      <c r="G613" s="6" t="str">
        <f>IF(ISNA(MATCH(604,'Transfer Engine'!$C$2:$C$1199,0)),"",INDEX('Compliance Database'!$G$2:$G$1199,MATCH(604,'Transfer Engine'!$C$2:$C$1199,0)))</f>
        <v/>
      </c>
      <c r="H613" s="7" t="str">
        <f>IF(ISNA(MATCH(604,'Transfer Engine'!$C$2:$C$1199,0)),"",INDEX('Compliance Database'!$H$2:$H$1199,MATCH(604,'Transfer Engine'!$C$2:$C$1199,0)))</f>
        <v/>
      </c>
      <c r="I613" s="7" t="str">
        <f>IF(ISNA(MATCH(604,'Transfer Engine'!$C$2:$C$1199,0)),"",INDEX('Compliance Database'!$I$2:$I$1199,MATCH(604,'Transfer Engine'!$C$2:$C$1199,0)))</f>
        <v/>
      </c>
      <c r="J613" s="6" t="str">
        <f>IF(ISNA(MATCH(604,'Transfer Engine'!$C$2:$C$1199,0)),"",INDEX('Compliance Database'!$J$2:$J$1199,MATCH(604,'Transfer Engine'!$C$2:$C$1199,0)))</f>
        <v/>
      </c>
      <c r="K613" s="7" t="str">
        <f>IF(ISNA(MATCH(604,'Transfer Engine'!$C$2:$C$1199,0)),"",INDEX('Compliance Database'!$K$2:$K$1199,MATCH(604,'Transfer Engine'!$C$2:$C$1199,0)))</f>
        <v/>
      </c>
      <c r="L613" s="7" t="str">
        <f>IF(ISNA(MATCH(604,'Transfer Engine'!$C$2:$C$1199,0)),"",INDEX('Compliance Database'!$L$2:$L$1199,MATCH(604,'Transfer Engine'!$C$2:$C$1199,0)))</f>
        <v/>
      </c>
      <c r="M613" s="7" t="str">
        <f>IF(ISNA(MATCH(604,'Transfer Engine'!$C$2:$C$1199,0)),"",INDEX('Compliance Database'!$M$2:$M$1199,MATCH(604,'Transfer Engine'!$C$2:$C$1199,0)))</f>
        <v/>
      </c>
      <c r="N613" s="7" t="str">
        <f>IF(ISNA(MATCH(604,'Transfer Engine'!$C$2:$C$1199,0)),"",INDEX('Compliance Database'!$N$2:$N$1199,MATCH(604,'Transfer Engine'!$C$2:$C$1199,0)))</f>
        <v/>
      </c>
      <c r="O613" s="7" t="str">
        <f>IF(ISNA(MATCH(604,'Transfer Engine'!$C$2:$C$1199,0)),"",INDEX('Compliance Database'!$O$2:$O$1199,MATCH(604,'Transfer Engine'!$C$2:$C$1199,0)))</f>
        <v/>
      </c>
      <c r="P613" s="6" t="str">
        <f>IF(ISNA(MATCH(604,'Transfer Engine'!$C$2:$C$1199,0)),"",HYPERLINK("#Acts!A"&amp;INDEX('Compliance Database'!$P$2:$P$1199,MATCH(604,'Transfer Engine'!$C$2:$C$1199,0)),"Go to Act"))</f>
        <v/>
      </c>
    </row>
    <row r="614" spans="1:16" ht="172.95" customHeight="1" x14ac:dyDescent="0.3">
      <c r="A614" s="6" t="str">
        <f>IF(ISNA(MATCH(605,'Transfer Engine'!$C$2:$C$1199,0)),"",INDEX('Compliance Database'!$A$2:$A$1199,MATCH(605,'Transfer Engine'!$C$2:$C$1199,0)))</f>
        <v/>
      </c>
      <c r="B614" s="6" t="str">
        <f>IF(ISNA(MATCH(605,'Transfer Engine'!$C$2:$C$1199,0)),"",INDEX('Compliance Database'!$B$2:$B$1199,MATCH(605,'Transfer Engine'!$C$2:$C$1199,0)))</f>
        <v/>
      </c>
      <c r="C614" s="6" t="str">
        <f>IF(ISNA(MATCH(605,'Transfer Engine'!$C$2:$C$1199,0)),"",INDEX('Compliance Database'!$C$2:$C$1199,MATCH(605,'Transfer Engine'!$C$2:$C$1199,0)))</f>
        <v/>
      </c>
      <c r="D614" s="7" t="str">
        <f>IF(ISNA(MATCH(605,'Transfer Engine'!$C$2:$C$1199,0)),"",INDEX('Compliance Database'!$D$2:$D$1199,MATCH(605,'Transfer Engine'!$C$2:$C$1199,0)))</f>
        <v/>
      </c>
      <c r="E614" s="6" t="str">
        <f>IF(ISNA(MATCH(605,'Transfer Engine'!$C$2:$C$1199,0)),"",INDEX('Compliance Database'!$E$2:$E$1199,MATCH(605,'Transfer Engine'!$C$2:$C$1199,0)))</f>
        <v/>
      </c>
      <c r="F614" s="6" t="str">
        <f>IF(ISNA(MATCH(605,'Transfer Engine'!$C$2:$C$1199,0)),"",INDEX('Compliance Database'!$F$2:$F$1199,MATCH(605,'Transfer Engine'!$C$2:$C$1199,0)))</f>
        <v/>
      </c>
      <c r="G614" s="6" t="str">
        <f>IF(ISNA(MATCH(605,'Transfer Engine'!$C$2:$C$1199,0)),"",INDEX('Compliance Database'!$G$2:$G$1199,MATCH(605,'Transfer Engine'!$C$2:$C$1199,0)))</f>
        <v/>
      </c>
      <c r="H614" s="7" t="str">
        <f>IF(ISNA(MATCH(605,'Transfer Engine'!$C$2:$C$1199,0)),"",INDEX('Compliance Database'!$H$2:$H$1199,MATCH(605,'Transfer Engine'!$C$2:$C$1199,0)))</f>
        <v/>
      </c>
      <c r="I614" s="7" t="str">
        <f>IF(ISNA(MATCH(605,'Transfer Engine'!$C$2:$C$1199,0)),"",INDEX('Compliance Database'!$I$2:$I$1199,MATCH(605,'Transfer Engine'!$C$2:$C$1199,0)))</f>
        <v/>
      </c>
      <c r="J614" s="6" t="str">
        <f>IF(ISNA(MATCH(605,'Transfer Engine'!$C$2:$C$1199,0)),"",INDEX('Compliance Database'!$J$2:$J$1199,MATCH(605,'Transfer Engine'!$C$2:$C$1199,0)))</f>
        <v/>
      </c>
      <c r="K614" s="7" t="str">
        <f>IF(ISNA(MATCH(605,'Transfer Engine'!$C$2:$C$1199,0)),"",INDEX('Compliance Database'!$K$2:$K$1199,MATCH(605,'Transfer Engine'!$C$2:$C$1199,0)))</f>
        <v/>
      </c>
      <c r="L614" s="7" t="str">
        <f>IF(ISNA(MATCH(605,'Transfer Engine'!$C$2:$C$1199,0)),"",INDEX('Compliance Database'!$L$2:$L$1199,MATCH(605,'Transfer Engine'!$C$2:$C$1199,0)))</f>
        <v/>
      </c>
      <c r="M614" s="7" t="str">
        <f>IF(ISNA(MATCH(605,'Transfer Engine'!$C$2:$C$1199,0)),"",INDEX('Compliance Database'!$M$2:$M$1199,MATCH(605,'Transfer Engine'!$C$2:$C$1199,0)))</f>
        <v/>
      </c>
      <c r="N614" s="7" t="str">
        <f>IF(ISNA(MATCH(605,'Transfer Engine'!$C$2:$C$1199,0)),"",INDEX('Compliance Database'!$N$2:$N$1199,MATCH(605,'Transfer Engine'!$C$2:$C$1199,0)))</f>
        <v/>
      </c>
      <c r="O614" s="7" t="str">
        <f>IF(ISNA(MATCH(605,'Transfer Engine'!$C$2:$C$1199,0)),"",INDEX('Compliance Database'!$O$2:$O$1199,MATCH(605,'Transfer Engine'!$C$2:$C$1199,0)))</f>
        <v/>
      </c>
      <c r="P614" s="6" t="str">
        <f>IF(ISNA(MATCH(605,'Transfer Engine'!$C$2:$C$1199,0)),"",HYPERLINK("#Acts!A"&amp;INDEX('Compliance Database'!$P$2:$P$1199,MATCH(605,'Transfer Engine'!$C$2:$C$1199,0)),"Go to Act"))</f>
        <v/>
      </c>
    </row>
    <row r="615" spans="1:16" ht="172.95" customHeight="1" x14ac:dyDescent="0.3">
      <c r="A615" s="6" t="str">
        <f>IF(ISNA(MATCH(606,'Transfer Engine'!$C$2:$C$1199,0)),"",INDEX('Compliance Database'!$A$2:$A$1199,MATCH(606,'Transfer Engine'!$C$2:$C$1199,0)))</f>
        <v/>
      </c>
      <c r="B615" s="6" t="str">
        <f>IF(ISNA(MATCH(606,'Transfer Engine'!$C$2:$C$1199,0)),"",INDEX('Compliance Database'!$B$2:$B$1199,MATCH(606,'Transfer Engine'!$C$2:$C$1199,0)))</f>
        <v/>
      </c>
      <c r="C615" s="6" t="str">
        <f>IF(ISNA(MATCH(606,'Transfer Engine'!$C$2:$C$1199,0)),"",INDEX('Compliance Database'!$C$2:$C$1199,MATCH(606,'Transfer Engine'!$C$2:$C$1199,0)))</f>
        <v/>
      </c>
      <c r="D615" s="7" t="str">
        <f>IF(ISNA(MATCH(606,'Transfer Engine'!$C$2:$C$1199,0)),"",INDEX('Compliance Database'!$D$2:$D$1199,MATCH(606,'Transfer Engine'!$C$2:$C$1199,0)))</f>
        <v/>
      </c>
      <c r="E615" s="6" t="str">
        <f>IF(ISNA(MATCH(606,'Transfer Engine'!$C$2:$C$1199,0)),"",INDEX('Compliance Database'!$E$2:$E$1199,MATCH(606,'Transfer Engine'!$C$2:$C$1199,0)))</f>
        <v/>
      </c>
      <c r="F615" s="6" t="str">
        <f>IF(ISNA(MATCH(606,'Transfer Engine'!$C$2:$C$1199,0)),"",INDEX('Compliance Database'!$F$2:$F$1199,MATCH(606,'Transfer Engine'!$C$2:$C$1199,0)))</f>
        <v/>
      </c>
      <c r="G615" s="6" t="str">
        <f>IF(ISNA(MATCH(606,'Transfer Engine'!$C$2:$C$1199,0)),"",INDEX('Compliance Database'!$G$2:$G$1199,MATCH(606,'Transfer Engine'!$C$2:$C$1199,0)))</f>
        <v/>
      </c>
      <c r="H615" s="7" t="str">
        <f>IF(ISNA(MATCH(606,'Transfer Engine'!$C$2:$C$1199,0)),"",INDEX('Compliance Database'!$H$2:$H$1199,MATCH(606,'Transfer Engine'!$C$2:$C$1199,0)))</f>
        <v/>
      </c>
      <c r="I615" s="7" t="str">
        <f>IF(ISNA(MATCH(606,'Transfer Engine'!$C$2:$C$1199,0)),"",INDEX('Compliance Database'!$I$2:$I$1199,MATCH(606,'Transfer Engine'!$C$2:$C$1199,0)))</f>
        <v/>
      </c>
      <c r="J615" s="6" t="str">
        <f>IF(ISNA(MATCH(606,'Transfer Engine'!$C$2:$C$1199,0)),"",INDEX('Compliance Database'!$J$2:$J$1199,MATCH(606,'Transfer Engine'!$C$2:$C$1199,0)))</f>
        <v/>
      </c>
      <c r="K615" s="7" t="str">
        <f>IF(ISNA(MATCH(606,'Transfer Engine'!$C$2:$C$1199,0)),"",INDEX('Compliance Database'!$K$2:$K$1199,MATCH(606,'Transfer Engine'!$C$2:$C$1199,0)))</f>
        <v/>
      </c>
      <c r="L615" s="7" t="str">
        <f>IF(ISNA(MATCH(606,'Transfer Engine'!$C$2:$C$1199,0)),"",INDEX('Compliance Database'!$L$2:$L$1199,MATCH(606,'Transfer Engine'!$C$2:$C$1199,0)))</f>
        <v/>
      </c>
      <c r="M615" s="7" t="str">
        <f>IF(ISNA(MATCH(606,'Transfer Engine'!$C$2:$C$1199,0)),"",INDEX('Compliance Database'!$M$2:$M$1199,MATCH(606,'Transfer Engine'!$C$2:$C$1199,0)))</f>
        <v/>
      </c>
      <c r="N615" s="7" t="str">
        <f>IF(ISNA(MATCH(606,'Transfer Engine'!$C$2:$C$1199,0)),"",INDEX('Compliance Database'!$N$2:$N$1199,MATCH(606,'Transfer Engine'!$C$2:$C$1199,0)))</f>
        <v/>
      </c>
      <c r="O615" s="7" t="str">
        <f>IF(ISNA(MATCH(606,'Transfer Engine'!$C$2:$C$1199,0)),"",INDEX('Compliance Database'!$O$2:$O$1199,MATCH(606,'Transfer Engine'!$C$2:$C$1199,0)))</f>
        <v/>
      </c>
      <c r="P615" s="6" t="str">
        <f>IF(ISNA(MATCH(606,'Transfer Engine'!$C$2:$C$1199,0)),"",HYPERLINK("#Acts!A"&amp;INDEX('Compliance Database'!$P$2:$P$1199,MATCH(606,'Transfer Engine'!$C$2:$C$1199,0)),"Go to Act"))</f>
        <v/>
      </c>
    </row>
    <row r="616" spans="1:16" ht="172.95" customHeight="1" x14ac:dyDescent="0.3">
      <c r="A616" s="6" t="str">
        <f>IF(ISNA(MATCH(607,'Transfer Engine'!$C$2:$C$1199,0)),"",INDEX('Compliance Database'!$A$2:$A$1199,MATCH(607,'Transfer Engine'!$C$2:$C$1199,0)))</f>
        <v/>
      </c>
      <c r="B616" s="6" t="str">
        <f>IF(ISNA(MATCH(607,'Transfer Engine'!$C$2:$C$1199,0)),"",INDEX('Compliance Database'!$B$2:$B$1199,MATCH(607,'Transfer Engine'!$C$2:$C$1199,0)))</f>
        <v/>
      </c>
      <c r="C616" s="6" t="str">
        <f>IF(ISNA(MATCH(607,'Transfer Engine'!$C$2:$C$1199,0)),"",INDEX('Compliance Database'!$C$2:$C$1199,MATCH(607,'Transfer Engine'!$C$2:$C$1199,0)))</f>
        <v/>
      </c>
      <c r="D616" s="7" t="str">
        <f>IF(ISNA(MATCH(607,'Transfer Engine'!$C$2:$C$1199,0)),"",INDEX('Compliance Database'!$D$2:$D$1199,MATCH(607,'Transfer Engine'!$C$2:$C$1199,0)))</f>
        <v/>
      </c>
      <c r="E616" s="6" t="str">
        <f>IF(ISNA(MATCH(607,'Transfer Engine'!$C$2:$C$1199,0)),"",INDEX('Compliance Database'!$E$2:$E$1199,MATCH(607,'Transfer Engine'!$C$2:$C$1199,0)))</f>
        <v/>
      </c>
      <c r="F616" s="6" t="str">
        <f>IF(ISNA(MATCH(607,'Transfer Engine'!$C$2:$C$1199,0)),"",INDEX('Compliance Database'!$F$2:$F$1199,MATCH(607,'Transfer Engine'!$C$2:$C$1199,0)))</f>
        <v/>
      </c>
      <c r="G616" s="6" t="str">
        <f>IF(ISNA(MATCH(607,'Transfer Engine'!$C$2:$C$1199,0)),"",INDEX('Compliance Database'!$G$2:$G$1199,MATCH(607,'Transfer Engine'!$C$2:$C$1199,0)))</f>
        <v/>
      </c>
      <c r="H616" s="7" t="str">
        <f>IF(ISNA(MATCH(607,'Transfer Engine'!$C$2:$C$1199,0)),"",INDEX('Compliance Database'!$H$2:$H$1199,MATCH(607,'Transfer Engine'!$C$2:$C$1199,0)))</f>
        <v/>
      </c>
      <c r="I616" s="7" t="str">
        <f>IF(ISNA(MATCH(607,'Transfer Engine'!$C$2:$C$1199,0)),"",INDEX('Compliance Database'!$I$2:$I$1199,MATCH(607,'Transfer Engine'!$C$2:$C$1199,0)))</f>
        <v/>
      </c>
      <c r="J616" s="6" t="str">
        <f>IF(ISNA(MATCH(607,'Transfer Engine'!$C$2:$C$1199,0)),"",INDEX('Compliance Database'!$J$2:$J$1199,MATCH(607,'Transfer Engine'!$C$2:$C$1199,0)))</f>
        <v/>
      </c>
      <c r="K616" s="7" t="str">
        <f>IF(ISNA(MATCH(607,'Transfer Engine'!$C$2:$C$1199,0)),"",INDEX('Compliance Database'!$K$2:$K$1199,MATCH(607,'Transfer Engine'!$C$2:$C$1199,0)))</f>
        <v/>
      </c>
      <c r="L616" s="7" t="str">
        <f>IF(ISNA(MATCH(607,'Transfer Engine'!$C$2:$C$1199,0)),"",INDEX('Compliance Database'!$L$2:$L$1199,MATCH(607,'Transfer Engine'!$C$2:$C$1199,0)))</f>
        <v/>
      </c>
      <c r="M616" s="7" t="str">
        <f>IF(ISNA(MATCH(607,'Transfer Engine'!$C$2:$C$1199,0)),"",INDEX('Compliance Database'!$M$2:$M$1199,MATCH(607,'Transfer Engine'!$C$2:$C$1199,0)))</f>
        <v/>
      </c>
      <c r="N616" s="7" t="str">
        <f>IF(ISNA(MATCH(607,'Transfer Engine'!$C$2:$C$1199,0)),"",INDEX('Compliance Database'!$N$2:$N$1199,MATCH(607,'Transfer Engine'!$C$2:$C$1199,0)))</f>
        <v/>
      </c>
      <c r="O616" s="7" t="str">
        <f>IF(ISNA(MATCH(607,'Transfer Engine'!$C$2:$C$1199,0)),"",INDEX('Compliance Database'!$O$2:$O$1199,MATCH(607,'Transfer Engine'!$C$2:$C$1199,0)))</f>
        <v/>
      </c>
      <c r="P616" s="6" t="str">
        <f>IF(ISNA(MATCH(607,'Transfer Engine'!$C$2:$C$1199,0)),"",HYPERLINK("#Acts!A"&amp;INDEX('Compliance Database'!$P$2:$P$1199,MATCH(607,'Transfer Engine'!$C$2:$C$1199,0)),"Go to Act"))</f>
        <v/>
      </c>
    </row>
    <row r="617" spans="1:16" ht="172.95" customHeight="1" x14ac:dyDescent="0.3">
      <c r="A617" s="6" t="str">
        <f>IF(ISNA(MATCH(608,'Transfer Engine'!$C$2:$C$1199,0)),"",INDEX('Compliance Database'!$A$2:$A$1199,MATCH(608,'Transfer Engine'!$C$2:$C$1199,0)))</f>
        <v/>
      </c>
      <c r="B617" s="6" t="str">
        <f>IF(ISNA(MATCH(608,'Transfer Engine'!$C$2:$C$1199,0)),"",INDEX('Compliance Database'!$B$2:$B$1199,MATCH(608,'Transfer Engine'!$C$2:$C$1199,0)))</f>
        <v/>
      </c>
      <c r="C617" s="6" t="str">
        <f>IF(ISNA(MATCH(608,'Transfer Engine'!$C$2:$C$1199,0)),"",INDEX('Compliance Database'!$C$2:$C$1199,MATCH(608,'Transfer Engine'!$C$2:$C$1199,0)))</f>
        <v/>
      </c>
      <c r="D617" s="7" t="str">
        <f>IF(ISNA(MATCH(608,'Transfer Engine'!$C$2:$C$1199,0)),"",INDEX('Compliance Database'!$D$2:$D$1199,MATCH(608,'Transfer Engine'!$C$2:$C$1199,0)))</f>
        <v/>
      </c>
      <c r="E617" s="6" t="str">
        <f>IF(ISNA(MATCH(608,'Transfer Engine'!$C$2:$C$1199,0)),"",INDEX('Compliance Database'!$E$2:$E$1199,MATCH(608,'Transfer Engine'!$C$2:$C$1199,0)))</f>
        <v/>
      </c>
      <c r="F617" s="6" t="str">
        <f>IF(ISNA(MATCH(608,'Transfer Engine'!$C$2:$C$1199,0)),"",INDEX('Compliance Database'!$F$2:$F$1199,MATCH(608,'Transfer Engine'!$C$2:$C$1199,0)))</f>
        <v/>
      </c>
      <c r="G617" s="6" t="str">
        <f>IF(ISNA(MATCH(608,'Transfer Engine'!$C$2:$C$1199,0)),"",INDEX('Compliance Database'!$G$2:$G$1199,MATCH(608,'Transfer Engine'!$C$2:$C$1199,0)))</f>
        <v/>
      </c>
      <c r="H617" s="7" t="str">
        <f>IF(ISNA(MATCH(608,'Transfer Engine'!$C$2:$C$1199,0)),"",INDEX('Compliance Database'!$H$2:$H$1199,MATCH(608,'Transfer Engine'!$C$2:$C$1199,0)))</f>
        <v/>
      </c>
      <c r="I617" s="7" t="str">
        <f>IF(ISNA(MATCH(608,'Transfer Engine'!$C$2:$C$1199,0)),"",INDEX('Compliance Database'!$I$2:$I$1199,MATCH(608,'Transfer Engine'!$C$2:$C$1199,0)))</f>
        <v/>
      </c>
      <c r="J617" s="6" t="str">
        <f>IF(ISNA(MATCH(608,'Transfer Engine'!$C$2:$C$1199,0)),"",INDEX('Compliance Database'!$J$2:$J$1199,MATCH(608,'Transfer Engine'!$C$2:$C$1199,0)))</f>
        <v/>
      </c>
      <c r="K617" s="7" t="str">
        <f>IF(ISNA(MATCH(608,'Transfer Engine'!$C$2:$C$1199,0)),"",INDEX('Compliance Database'!$K$2:$K$1199,MATCH(608,'Transfer Engine'!$C$2:$C$1199,0)))</f>
        <v/>
      </c>
      <c r="L617" s="7" t="str">
        <f>IF(ISNA(MATCH(608,'Transfer Engine'!$C$2:$C$1199,0)),"",INDEX('Compliance Database'!$L$2:$L$1199,MATCH(608,'Transfer Engine'!$C$2:$C$1199,0)))</f>
        <v/>
      </c>
      <c r="M617" s="7" t="str">
        <f>IF(ISNA(MATCH(608,'Transfer Engine'!$C$2:$C$1199,0)),"",INDEX('Compliance Database'!$M$2:$M$1199,MATCH(608,'Transfer Engine'!$C$2:$C$1199,0)))</f>
        <v/>
      </c>
      <c r="N617" s="7" t="str">
        <f>IF(ISNA(MATCH(608,'Transfer Engine'!$C$2:$C$1199,0)),"",INDEX('Compliance Database'!$N$2:$N$1199,MATCH(608,'Transfer Engine'!$C$2:$C$1199,0)))</f>
        <v/>
      </c>
      <c r="O617" s="7" t="str">
        <f>IF(ISNA(MATCH(608,'Transfer Engine'!$C$2:$C$1199,0)),"",INDEX('Compliance Database'!$O$2:$O$1199,MATCH(608,'Transfer Engine'!$C$2:$C$1199,0)))</f>
        <v/>
      </c>
      <c r="P617" s="6" t="str">
        <f>IF(ISNA(MATCH(608,'Transfer Engine'!$C$2:$C$1199,0)),"",HYPERLINK("#Acts!A"&amp;INDEX('Compliance Database'!$P$2:$P$1199,MATCH(608,'Transfer Engine'!$C$2:$C$1199,0)),"Go to Act"))</f>
        <v/>
      </c>
    </row>
    <row r="618" spans="1:16" ht="172.95" customHeight="1" x14ac:dyDescent="0.3">
      <c r="A618" s="6" t="str">
        <f>IF(ISNA(MATCH(609,'Transfer Engine'!$C$2:$C$1199,0)),"",INDEX('Compliance Database'!$A$2:$A$1199,MATCH(609,'Transfer Engine'!$C$2:$C$1199,0)))</f>
        <v/>
      </c>
      <c r="B618" s="6" t="str">
        <f>IF(ISNA(MATCH(609,'Transfer Engine'!$C$2:$C$1199,0)),"",INDEX('Compliance Database'!$B$2:$B$1199,MATCH(609,'Transfer Engine'!$C$2:$C$1199,0)))</f>
        <v/>
      </c>
      <c r="C618" s="6" t="str">
        <f>IF(ISNA(MATCH(609,'Transfer Engine'!$C$2:$C$1199,0)),"",INDEX('Compliance Database'!$C$2:$C$1199,MATCH(609,'Transfer Engine'!$C$2:$C$1199,0)))</f>
        <v/>
      </c>
      <c r="D618" s="7" t="str">
        <f>IF(ISNA(MATCH(609,'Transfer Engine'!$C$2:$C$1199,0)),"",INDEX('Compliance Database'!$D$2:$D$1199,MATCH(609,'Transfer Engine'!$C$2:$C$1199,0)))</f>
        <v/>
      </c>
      <c r="E618" s="6" t="str">
        <f>IF(ISNA(MATCH(609,'Transfer Engine'!$C$2:$C$1199,0)),"",INDEX('Compliance Database'!$E$2:$E$1199,MATCH(609,'Transfer Engine'!$C$2:$C$1199,0)))</f>
        <v/>
      </c>
      <c r="F618" s="6" t="str">
        <f>IF(ISNA(MATCH(609,'Transfer Engine'!$C$2:$C$1199,0)),"",INDEX('Compliance Database'!$F$2:$F$1199,MATCH(609,'Transfer Engine'!$C$2:$C$1199,0)))</f>
        <v/>
      </c>
      <c r="G618" s="6" t="str">
        <f>IF(ISNA(MATCH(609,'Transfer Engine'!$C$2:$C$1199,0)),"",INDEX('Compliance Database'!$G$2:$G$1199,MATCH(609,'Transfer Engine'!$C$2:$C$1199,0)))</f>
        <v/>
      </c>
      <c r="H618" s="7" t="str">
        <f>IF(ISNA(MATCH(609,'Transfer Engine'!$C$2:$C$1199,0)),"",INDEX('Compliance Database'!$H$2:$H$1199,MATCH(609,'Transfer Engine'!$C$2:$C$1199,0)))</f>
        <v/>
      </c>
      <c r="I618" s="7" t="str">
        <f>IF(ISNA(MATCH(609,'Transfer Engine'!$C$2:$C$1199,0)),"",INDEX('Compliance Database'!$I$2:$I$1199,MATCH(609,'Transfer Engine'!$C$2:$C$1199,0)))</f>
        <v/>
      </c>
      <c r="J618" s="6" t="str">
        <f>IF(ISNA(MATCH(609,'Transfer Engine'!$C$2:$C$1199,0)),"",INDEX('Compliance Database'!$J$2:$J$1199,MATCH(609,'Transfer Engine'!$C$2:$C$1199,0)))</f>
        <v/>
      </c>
      <c r="K618" s="7" t="str">
        <f>IF(ISNA(MATCH(609,'Transfer Engine'!$C$2:$C$1199,0)),"",INDEX('Compliance Database'!$K$2:$K$1199,MATCH(609,'Transfer Engine'!$C$2:$C$1199,0)))</f>
        <v/>
      </c>
      <c r="L618" s="7" t="str">
        <f>IF(ISNA(MATCH(609,'Transfer Engine'!$C$2:$C$1199,0)),"",INDEX('Compliance Database'!$L$2:$L$1199,MATCH(609,'Transfer Engine'!$C$2:$C$1199,0)))</f>
        <v/>
      </c>
      <c r="M618" s="7" t="str">
        <f>IF(ISNA(MATCH(609,'Transfer Engine'!$C$2:$C$1199,0)),"",INDEX('Compliance Database'!$M$2:$M$1199,MATCH(609,'Transfer Engine'!$C$2:$C$1199,0)))</f>
        <v/>
      </c>
      <c r="N618" s="7" t="str">
        <f>IF(ISNA(MATCH(609,'Transfer Engine'!$C$2:$C$1199,0)),"",INDEX('Compliance Database'!$N$2:$N$1199,MATCH(609,'Transfer Engine'!$C$2:$C$1199,0)))</f>
        <v/>
      </c>
      <c r="O618" s="7" t="str">
        <f>IF(ISNA(MATCH(609,'Transfer Engine'!$C$2:$C$1199,0)),"",INDEX('Compliance Database'!$O$2:$O$1199,MATCH(609,'Transfer Engine'!$C$2:$C$1199,0)))</f>
        <v/>
      </c>
      <c r="P618" s="6" t="str">
        <f>IF(ISNA(MATCH(609,'Transfer Engine'!$C$2:$C$1199,0)),"",HYPERLINK("#Acts!A"&amp;INDEX('Compliance Database'!$P$2:$P$1199,MATCH(609,'Transfer Engine'!$C$2:$C$1199,0)),"Go to Act"))</f>
        <v/>
      </c>
    </row>
    <row r="619" spans="1:16" ht="172.95" customHeight="1" x14ac:dyDescent="0.3">
      <c r="A619" s="6" t="str">
        <f>IF(ISNA(MATCH(610,'Transfer Engine'!$C$2:$C$1199,0)),"",INDEX('Compliance Database'!$A$2:$A$1199,MATCH(610,'Transfer Engine'!$C$2:$C$1199,0)))</f>
        <v/>
      </c>
      <c r="B619" s="6" t="str">
        <f>IF(ISNA(MATCH(610,'Transfer Engine'!$C$2:$C$1199,0)),"",INDEX('Compliance Database'!$B$2:$B$1199,MATCH(610,'Transfer Engine'!$C$2:$C$1199,0)))</f>
        <v/>
      </c>
      <c r="C619" s="6" t="str">
        <f>IF(ISNA(MATCH(610,'Transfer Engine'!$C$2:$C$1199,0)),"",INDEX('Compliance Database'!$C$2:$C$1199,MATCH(610,'Transfer Engine'!$C$2:$C$1199,0)))</f>
        <v/>
      </c>
      <c r="D619" s="7" t="str">
        <f>IF(ISNA(MATCH(610,'Transfer Engine'!$C$2:$C$1199,0)),"",INDEX('Compliance Database'!$D$2:$D$1199,MATCH(610,'Transfer Engine'!$C$2:$C$1199,0)))</f>
        <v/>
      </c>
      <c r="E619" s="6" t="str">
        <f>IF(ISNA(MATCH(610,'Transfer Engine'!$C$2:$C$1199,0)),"",INDEX('Compliance Database'!$E$2:$E$1199,MATCH(610,'Transfer Engine'!$C$2:$C$1199,0)))</f>
        <v/>
      </c>
      <c r="F619" s="6" t="str">
        <f>IF(ISNA(MATCH(610,'Transfer Engine'!$C$2:$C$1199,0)),"",INDEX('Compliance Database'!$F$2:$F$1199,MATCH(610,'Transfer Engine'!$C$2:$C$1199,0)))</f>
        <v/>
      </c>
      <c r="G619" s="6" t="str">
        <f>IF(ISNA(MATCH(610,'Transfer Engine'!$C$2:$C$1199,0)),"",INDEX('Compliance Database'!$G$2:$G$1199,MATCH(610,'Transfer Engine'!$C$2:$C$1199,0)))</f>
        <v/>
      </c>
      <c r="H619" s="7" t="str">
        <f>IF(ISNA(MATCH(610,'Transfer Engine'!$C$2:$C$1199,0)),"",INDEX('Compliance Database'!$H$2:$H$1199,MATCH(610,'Transfer Engine'!$C$2:$C$1199,0)))</f>
        <v/>
      </c>
      <c r="I619" s="7" t="str">
        <f>IF(ISNA(MATCH(610,'Transfer Engine'!$C$2:$C$1199,0)),"",INDEX('Compliance Database'!$I$2:$I$1199,MATCH(610,'Transfer Engine'!$C$2:$C$1199,0)))</f>
        <v/>
      </c>
      <c r="J619" s="6" t="str">
        <f>IF(ISNA(MATCH(610,'Transfer Engine'!$C$2:$C$1199,0)),"",INDEX('Compliance Database'!$J$2:$J$1199,MATCH(610,'Transfer Engine'!$C$2:$C$1199,0)))</f>
        <v/>
      </c>
      <c r="K619" s="7" t="str">
        <f>IF(ISNA(MATCH(610,'Transfer Engine'!$C$2:$C$1199,0)),"",INDEX('Compliance Database'!$K$2:$K$1199,MATCH(610,'Transfer Engine'!$C$2:$C$1199,0)))</f>
        <v/>
      </c>
      <c r="L619" s="7" t="str">
        <f>IF(ISNA(MATCH(610,'Transfer Engine'!$C$2:$C$1199,0)),"",INDEX('Compliance Database'!$L$2:$L$1199,MATCH(610,'Transfer Engine'!$C$2:$C$1199,0)))</f>
        <v/>
      </c>
      <c r="M619" s="7" t="str">
        <f>IF(ISNA(MATCH(610,'Transfer Engine'!$C$2:$C$1199,0)),"",INDEX('Compliance Database'!$M$2:$M$1199,MATCH(610,'Transfer Engine'!$C$2:$C$1199,0)))</f>
        <v/>
      </c>
      <c r="N619" s="7" t="str">
        <f>IF(ISNA(MATCH(610,'Transfer Engine'!$C$2:$C$1199,0)),"",INDEX('Compliance Database'!$N$2:$N$1199,MATCH(610,'Transfer Engine'!$C$2:$C$1199,0)))</f>
        <v/>
      </c>
      <c r="O619" s="7" t="str">
        <f>IF(ISNA(MATCH(610,'Transfer Engine'!$C$2:$C$1199,0)),"",INDEX('Compliance Database'!$O$2:$O$1199,MATCH(610,'Transfer Engine'!$C$2:$C$1199,0)))</f>
        <v/>
      </c>
      <c r="P619" s="6" t="str">
        <f>IF(ISNA(MATCH(610,'Transfer Engine'!$C$2:$C$1199,0)),"",HYPERLINK("#Acts!A"&amp;INDEX('Compliance Database'!$P$2:$P$1199,MATCH(610,'Transfer Engine'!$C$2:$C$1199,0)),"Go to Act"))</f>
        <v/>
      </c>
    </row>
    <row r="620" spans="1:16" ht="172.95" customHeight="1" x14ac:dyDescent="0.3">
      <c r="A620" s="6" t="str">
        <f>IF(ISNA(MATCH(611,'Transfer Engine'!$C$2:$C$1199,0)),"",INDEX('Compliance Database'!$A$2:$A$1199,MATCH(611,'Transfer Engine'!$C$2:$C$1199,0)))</f>
        <v/>
      </c>
      <c r="B620" s="6" t="str">
        <f>IF(ISNA(MATCH(611,'Transfer Engine'!$C$2:$C$1199,0)),"",INDEX('Compliance Database'!$B$2:$B$1199,MATCH(611,'Transfer Engine'!$C$2:$C$1199,0)))</f>
        <v/>
      </c>
      <c r="C620" s="6" t="str">
        <f>IF(ISNA(MATCH(611,'Transfer Engine'!$C$2:$C$1199,0)),"",INDEX('Compliance Database'!$C$2:$C$1199,MATCH(611,'Transfer Engine'!$C$2:$C$1199,0)))</f>
        <v/>
      </c>
      <c r="D620" s="7" t="str">
        <f>IF(ISNA(MATCH(611,'Transfer Engine'!$C$2:$C$1199,0)),"",INDEX('Compliance Database'!$D$2:$D$1199,MATCH(611,'Transfer Engine'!$C$2:$C$1199,0)))</f>
        <v/>
      </c>
      <c r="E620" s="6" t="str">
        <f>IF(ISNA(MATCH(611,'Transfer Engine'!$C$2:$C$1199,0)),"",INDEX('Compliance Database'!$E$2:$E$1199,MATCH(611,'Transfer Engine'!$C$2:$C$1199,0)))</f>
        <v/>
      </c>
      <c r="F620" s="6" t="str">
        <f>IF(ISNA(MATCH(611,'Transfer Engine'!$C$2:$C$1199,0)),"",INDEX('Compliance Database'!$F$2:$F$1199,MATCH(611,'Transfer Engine'!$C$2:$C$1199,0)))</f>
        <v/>
      </c>
      <c r="G620" s="6" t="str">
        <f>IF(ISNA(MATCH(611,'Transfer Engine'!$C$2:$C$1199,0)),"",INDEX('Compliance Database'!$G$2:$G$1199,MATCH(611,'Transfer Engine'!$C$2:$C$1199,0)))</f>
        <v/>
      </c>
      <c r="H620" s="7" t="str">
        <f>IF(ISNA(MATCH(611,'Transfer Engine'!$C$2:$C$1199,0)),"",INDEX('Compliance Database'!$H$2:$H$1199,MATCH(611,'Transfer Engine'!$C$2:$C$1199,0)))</f>
        <v/>
      </c>
      <c r="I620" s="7" t="str">
        <f>IF(ISNA(MATCH(611,'Transfer Engine'!$C$2:$C$1199,0)),"",INDEX('Compliance Database'!$I$2:$I$1199,MATCH(611,'Transfer Engine'!$C$2:$C$1199,0)))</f>
        <v/>
      </c>
      <c r="J620" s="6" t="str">
        <f>IF(ISNA(MATCH(611,'Transfer Engine'!$C$2:$C$1199,0)),"",INDEX('Compliance Database'!$J$2:$J$1199,MATCH(611,'Transfer Engine'!$C$2:$C$1199,0)))</f>
        <v/>
      </c>
      <c r="K620" s="7" t="str">
        <f>IF(ISNA(MATCH(611,'Transfer Engine'!$C$2:$C$1199,0)),"",INDEX('Compliance Database'!$K$2:$K$1199,MATCH(611,'Transfer Engine'!$C$2:$C$1199,0)))</f>
        <v/>
      </c>
      <c r="L620" s="7" t="str">
        <f>IF(ISNA(MATCH(611,'Transfer Engine'!$C$2:$C$1199,0)),"",INDEX('Compliance Database'!$L$2:$L$1199,MATCH(611,'Transfer Engine'!$C$2:$C$1199,0)))</f>
        <v/>
      </c>
      <c r="M620" s="7" t="str">
        <f>IF(ISNA(MATCH(611,'Transfer Engine'!$C$2:$C$1199,0)),"",INDEX('Compliance Database'!$M$2:$M$1199,MATCH(611,'Transfer Engine'!$C$2:$C$1199,0)))</f>
        <v/>
      </c>
      <c r="N620" s="7" t="str">
        <f>IF(ISNA(MATCH(611,'Transfer Engine'!$C$2:$C$1199,0)),"",INDEX('Compliance Database'!$N$2:$N$1199,MATCH(611,'Transfer Engine'!$C$2:$C$1199,0)))</f>
        <v/>
      </c>
      <c r="O620" s="7" t="str">
        <f>IF(ISNA(MATCH(611,'Transfer Engine'!$C$2:$C$1199,0)),"",INDEX('Compliance Database'!$O$2:$O$1199,MATCH(611,'Transfer Engine'!$C$2:$C$1199,0)))</f>
        <v/>
      </c>
      <c r="P620" s="6" t="str">
        <f>IF(ISNA(MATCH(611,'Transfer Engine'!$C$2:$C$1199,0)),"",HYPERLINK("#Acts!A"&amp;INDEX('Compliance Database'!$P$2:$P$1199,MATCH(611,'Transfer Engine'!$C$2:$C$1199,0)),"Go to Act"))</f>
        <v/>
      </c>
    </row>
    <row r="621" spans="1:16" ht="172.95" customHeight="1" x14ac:dyDescent="0.3">
      <c r="A621" s="6" t="str">
        <f>IF(ISNA(MATCH(612,'Transfer Engine'!$C$2:$C$1199,0)),"",INDEX('Compliance Database'!$A$2:$A$1199,MATCH(612,'Transfer Engine'!$C$2:$C$1199,0)))</f>
        <v/>
      </c>
      <c r="B621" s="6" t="str">
        <f>IF(ISNA(MATCH(612,'Transfer Engine'!$C$2:$C$1199,0)),"",INDEX('Compliance Database'!$B$2:$B$1199,MATCH(612,'Transfer Engine'!$C$2:$C$1199,0)))</f>
        <v/>
      </c>
      <c r="C621" s="6" t="str">
        <f>IF(ISNA(MATCH(612,'Transfer Engine'!$C$2:$C$1199,0)),"",INDEX('Compliance Database'!$C$2:$C$1199,MATCH(612,'Transfer Engine'!$C$2:$C$1199,0)))</f>
        <v/>
      </c>
      <c r="D621" s="7" t="str">
        <f>IF(ISNA(MATCH(612,'Transfer Engine'!$C$2:$C$1199,0)),"",INDEX('Compliance Database'!$D$2:$D$1199,MATCH(612,'Transfer Engine'!$C$2:$C$1199,0)))</f>
        <v/>
      </c>
      <c r="E621" s="6" t="str">
        <f>IF(ISNA(MATCH(612,'Transfer Engine'!$C$2:$C$1199,0)),"",INDEX('Compliance Database'!$E$2:$E$1199,MATCH(612,'Transfer Engine'!$C$2:$C$1199,0)))</f>
        <v/>
      </c>
      <c r="F621" s="6" t="str">
        <f>IF(ISNA(MATCH(612,'Transfer Engine'!$C$2:$C$1199,0)),"",INDEX('Compliance Database'!$F$2:$F$1199,MATCH(612,'Transfer Engine'!$C$2:$C$1199,0)))</f>
        <v/>
      </c>
      <c r="G621" s="6" t="str">
        <f>IF(ISNA(MATCH(612,'Transfer Engine'!$C$2:$C$1199,0)),"",INDEX('Compliance Database'!$G$2:$G$1199,MATCH(612,'Transfer Engine'!$C$2:$C$1199,0)))</f>
        <v/>
      </c>
      <c r="H621" s="7" t="str">
        <f>IF(ISNA(MATCH(612,'Transfer Engine'!$C$2:$C$1199,0)),"",INDEX('Compliance Database'!$H$2:$H$1199,MATCH(612,'Transfer Engine'!$C$2:$C$1199,0)))</f>
        <v/>
      </c>
      <c r="I621" s="7" t="str">
        <f>IF(ISNA(MATCH(612,'Transfer Engine'!$C$2:$C$1199,0)),"",INDEX('Compliance Database'!$I$2:$I$1199,MATCH(612,'Transfer Engine'!$C$2:$C$1199,0)))</f>
        <v/>
      </c>
      <c r="J621" s="6" t="str">
        <f>IF(ISNA(MATCH(612,'Transfer Engine'!$C$2:$C$1199,0)),"",INDEX('Compliance Database'!$J$2:$J$1199,MATCH(612,'Transfer Engine'!$C$2:$C$1199,0)))</f>
        <v/>
      </c>
      <c r="K621" s="7" t="str">
        <f>IF(ISNA(MATCH(612,'Transfer Engine'!$C$2:$C$1199,0)),"",INDEX('Compliance Database'!$K$2:$K$1199,MATCH(612,'Transfer Engine'!$C$2:$C$1199,0)))</f>
        <v/>
      </c>
      <c r="L621" s="7" t="str">
        <f>IF(ISNA(MATCH(612,'Transfer Engine'!$C$2:$C$1199,0)),"",INDEX('Compliance Database'!$L$2:$L$1199,MATCH(612,'Transfer Engine'!$C$2:$C$1199,0)))</f>
        <v/>
      </c>
      <c r="M621" s="7" t="str">
        <f>IF(ISNA(MATCH(612,'Transfer Engine'!$C$2:$C$1199,0)),"",INDEX('Compliance Database'!$M$2:$M$1199,MATCH(612,'Transfer Engine'!$C$2:$C$1199,0)))</f>
        <v/>
      </c>
      <c r="N621" s="7" t="str">
        <f>IF(ISNA(MATCH(612,'Transfer Engine'!$C$2:$C$1199,0)),"",INDEX('Compliance Database'!$N$2:$N$1199,MATCH(612,'Transfer Engine'!$C$2:$C$1199,0)))</f>
        <v/>
      </c>
      <c r="O621" s="7" t="str">
        <f>IF(ISNA(MATCH(612,'Transfer Engine'!$C$2:$C$1199,0)),"",INDEX('Compliance Database'!$O$2:$O$1199,MATCH(612,'Transfer Engine'!$C$2:$C$1199,0)))</f>
        <v/>
      </c>
      <c r="P621" s="6" t="str">
        <f>IF(ISNA(MATCH(612,'Transfer Engine'!$C$2:$C$1199,0)),"",HYPERLINK("#Acts!A"&amp;INDEX('Compliance Database'!$P$2:$P$1199,MATCH(612,'Transfer Engine'!$C$2:$C$1199,0)),"Go to Act"))</f>
        <v/>
      </c>
    </row>
    <row r="622" spans="1:16" ht="172.95" customHeight="1" x14ac:dyDescent="0.3">
      <c r="A622" s="6" t="str">
        <f>IF(ISNA(MATCH(613,'Transfer Engine'!$C$2:$C$1199,0)),"",INDEX('Compliance Database'!$A$2:$A$1199,MATCH(613,'Transfer Engine'!$C$2:$C$1199,0)))</f>
        <v/>
      </c>
      <c r="B622" s="6" t="str">
        <f>IF(ISNA(MATCH(613,'Transfer Engine'!$C$2:$C$1199,0)),"",INDEX('Compliance Database'!$B$2:$B$1199,MATCH(613,'Transfer Engine'!$C$2:$C$1199,0)))</f>
        <v/>
      </c>
      <c r="C622" s="6" t="str">
        <f>IF(ISNA(MATCH(613,'Transfer Engine'!$C$2:$C$1199,0)),"",INDEX('Compliance Database'!$C$2:$C$1199,MATCH(613,'Transfer Engine'!$C$2:$C$1199,0)))</f>
        <v/>
      </c>
      <c r="D622" s="7" t="str">
        <f>IF(ISNA(MATCH(613,'Transfer Engine'!$C$2:$C$1199,0)),"",INDEX('Compliance Database'!$D$2:$D$1199,MATCH(613,'Transfer Engine'!$C$2:$C$1199,0)))</f>
        <v/>
      </c>
      <c r="E622" s="6" t="str">
        <f>IF(ISNA(MATCH(613,'Transfer Engine'!$C$2:$C$1199,0)),"",INDEX('Compliance Database'!$E$2:$E$1199,MATCH(613,'Transfer Engine'!$C$2:$C$1199,0)))</f>
        <v/>
      </c>
      <c r="F622" s="6" t="str">
        <f>IF(ISNA(MATCH(613,'Transfer Engine'!$C$2:$C$1199,0)),"",INDEX('Compliance Database'!$F$2:$F$1199,MATCH(613,'Transfer Engine'!$C$2:$C$1199,0)))</f>
        <v/>
      </c>
      <c r="G622" s="6" t="str">
        <f>IF(ISNA(MATCH(613,'Transfer Engine'!$C$2:$C$1199,0)),"",INDEX('Compliance Database'!$G$2:$G$1199,MATCH(613,'Transfer Engine'!$C$2:$C$1199,0)))</f>
        <v/>
      </c>
      <c r="H622" s="7" t="str">
        <f>IF(ISNA(MATCH(613,'Transfer Engine'!$C$2:$C$1199,0)),"",INDEX('Compliance Database'!$H$2:$H$1199,MATCH(613,'Transfer Engine'!$C$2:$C$1199,0)))</f>
        <v/>
      </c>
      <c r="I622" s="7" t="str">
        <f>IF(ISNA(MATCH(613,'Transfer Engine'!$C$2:$C$1199,0)),"",INDEX('Compliance Database'!$I$2:$I$1199,MATCH(613,'Transfer Engine'!$C$2:$C$1199,0)))</f>
        <v/>
      </c>
      <c r="J622" s="6" t="str">
        <f>IF(ISNA(MATCH(613,'Transfer Engine'!$C$2:$C$1199,0)),"",INDEX('Compliance Database'!$J$2:$J$1199,MATCH(613,'Transfer Engine'!$C$2:$C$1199,0)))</f>
        <v/>
      </c>
      <c r="K622" s="7" t="str">
        <f>IF(ISNA(MATCH(613,'Transfer Engine'!$C$2:$C$1199,0)),"",INDEX('Compliance Database'!$K$2:$K$1199,MATCH(613,'Transfer Engine'!$C$2:$C$1199,0)))</f>
        <v/>
      </c>
      <c r="L622" s="7" t="str">
        <f>IF(ISNA(MATCH(613,'Transfer Engine'!$C$2:$C$1199,0)),"",INDEX('Compliance Database'!$L$2:$L$1199,MATCH(613,'Transfer Engine'!$C$2:$C$1199,0)))</f>
        <v/>
      </c>
      <c r="M622" s="7" t="str">
        <f>IF(ISNA(MATCH(613,'Transfer Engine'!$C$2:$C$1199,0)),"",INDEX('Compliance Database'!$M$2:$M$1199,MATCH(613,'Transfer Engine'!$C$2:$C$1199,0)))</f>
        <v/>
      </c>
      <c r="N622" s="7" t="str">
        <f>IF(ISNA(MATCH(613,'Transfer Engine'!$C$2:$C$1199,0)),"",INDEX('Compliance Database'!$N$2:$N$1199,MATCH(613,'Transfer Engine'!$C$2:$C$1199,0)))</f>
        <v/>
      </c>
      <c r="O622" s="7" t="str">
        <f>IF(ISNA(MATCH(613,'Transfer Engine'!$C$2:$C$1199,0)),"",INDEX('Compliance Database'!$O$2:$O$1199,MATCH(613,'Transfer Engine'!$C$2:$C$1199,0)))</f>
        <v/>
      </c>
      <c r="P622" s="6" t="str">
        <f>IF(ISNA(MATCH(613,'Transfer Engine'!$C$2:$C$1199,0)),"",HYPERLINK("#Acts!A"&amp;INDEX('Compliance Database'!$P$2:$P$1199,MATCH(613,'Transfer Engine'!$C$2:$C$1199,0)),"Go to Act"))</f>
        <v/>
      </c>
    </row>
    <row r="623" spans="1:16" ht="172.95" customHeight="1" x14ac:dyDescent="0.3">
      <c r="A623" s="6" t="str">
        <f>IF(ISNA(MATCH(614,'Transfer Engine'!$C$2:$C$1199,0)),"",INDEX('Compliance Database'!$A$2:$A$1199,MATCH(614,'Transfer Engine'!$C$2:$C$1199,0)))</f>
        <v/>
      </c>
      <c r="B623" s="6" t="str">
        <f>IF(ISNA(MATCH(614,'Transfer Engine'!$C$2:$C$1199,0)),"",INDEX('Compliance Database'!$B$2:$B$1199,MATCH(614,'Transfer Engine'!$C$2:$C$1199,0)))</f>
        <v/>
      </c>
      <c r="C623" s="6" t="str">
        <f>IF(ISNA(MATCH(614,'Transfer Engine'!$C$2:$C$1199,0)),"",INDEX('Compliance Database'!$C$2:$C$1199,MATCH(614,'Transfer Engine'!$C$2:$C$1199,0)))</f>
        <v/>
      </c>
      <c r="D623" s="7" t="str">
        <f>IF(ISNA(MATCH(614,'Transfer Engine'!$C$2:$C$1199,0)),"",INDEX('Compliance Database'!$D$2:$D$1199,MATCH(614,'Transfer Engine'!$C$2:$C$1199,0)))</f>
        <v/>
      </c>
      <c r="E623" s="6" t="str">
        <f>IF(ISNA(MATCH(614,'Transfer Engine'!$C$2:$C$1199,0)),"",INDEX('Compliance Database'!$E$2:$E$1199,MATCH(614,'Transfer Engine'!$C$2:$C$1199,0)))</f>
        <v/>
      </c>
      <c r="F623" s="6" t="str">
        <f>IF(ISNA(MATCH(614,'Transfer Engine'!$C$2:$C$1199,0)),"",INDEX('Compliance Database'!$F$2:$F$1199,MATCH(614,'Transfer Engine'!$C$2:$C$1199,0)))</f>
        <v/>
      </c>
      <c r="G623" s="6" t="str">
        <f>IF(ISNA(MATCH(614,'Transfer Engine'!$C$2:$C$1199,0)),"",INDEX('Compliance Database'!$G$2:$G$1199,MATCH(614,'Transfer Engine'!$C$2:$C$1199,0)))</f>
        <v/>
      </c>
      <c r="H623" s="7" t="str">
        <f>IF(ISNA(MATCH(614,'Transfer Engine'!$C$2:$C$1199,0)),"",INDEX('Compliance Database'!$H$2:$H$1199,MATCH(614,'Transfer Engine'!$C$2:$C$1199,0)))</f>
        <v/>
      </c>
      <c r="I623" s="7" t="str">
        <f>IF(ISNA(MATCH(614,'Transfer Engine'!$C$2:$C$1199,0)),"",INDEX('Compliance Database'!$I$2:$I$1199,MATCH(614,'Transfer Engine'!$C$2:$C$1199,0)))</f>
        <v/>
      </c>
      <c r="J623" s="6" t="str">
        <f>IF(ISNA(MATCH(614,'Transfer Engine'!$C$2:$C$1199,0)),"",INDEX('Compliance Database'!$J$2:$J$1199,MATCH(614,'Transfer Engine'!$C$2:$C$1199,0)))</f>
        <v/>
      </c>
      <c r="K623" s="7" t="str">
        <f>IF(ISNA(MATCH(614,'Transfer Engine'!$C$2:$C$1199,0)),"",INDEX('Compliance Database'!$K$2:$K$1199,MATCH(614,'Transfer Engine'!$C$2:$C$1199,0)))</f>
        <v/>
      </c>
      <c r="L623" s="7" t="str">
        <f>IF(ISNA(MATCH(614,'Transfer Engine'!$C$2:$C$1199,0)),"",INDEX('Compliance Database'!$L$2:$L$1199,MATCH(614,'Transfer Engine'!$C$2:$C$1199,0)))</f>
        <v/>
      </c>
      <c r="M623" s="7" t="str">
        <f>IF(ISNA(MATCH(614,'Transfer Engine'!$C$2:$C$1199,0)),"",INDEX('Compliance Database'!$M$2:$M$1199,MATCH(614,'Transfer Engine'!$C$2:$C$1199,0)))</f>
        <v/>
      </c>
      <c r="N623" s="7" t="str">
        <f>IF(ISNA(MATCH(614,'Transfer Engine'!$C$2:$C$1199,0)),"",INDEX('Compliance Database'!$N$2:$N$1199,MATCH(614,'Transfer Engine'!$C$2:$C$1199,0)))</f>
        <v/>
      </c>
      <c r="O623" s="7" t="str">
        <f>IF(ISNA(MATCH(614,'Transfer Engine'!$C$2:$C$1199,0)),"",INDEX('Compliance Database'!$O$2:$O$1199,MATCH(614,'Transfer Engine'!$C$2:$C$1199,0)))</f>
        <v/>
      </c>
      <c r="P623" s="6" t="str">
        <f>IF(ISNA(MATCH(614,'Transfer Engine'!$C$2:$C$1199,0)),"",HYPERLINK("#Acts!A"&amp;INDEX('Compliance Database'!$P$2:$P$1199,MATCH(614,'Transfer Engine'!$C$2:$C$1199,0)),"Go to Act"))</f>
        <v/>
      </c>
    </row>
    <row r="624" spans="1:16" ht="172.95" customHeight="1" x14ac:dyDescent="0.3">
      <c r="A624" s="6" t="str">
        <f>IF(ISNA(MATCH(615,'Transfer Engine'!$C$2:$C$1199,0)),"",INDEX('Compliance Database'!$A$2:$A$1199,MATCH(615,'Transfer Engine'!$C$2:$C$1199,0)))</f>
        <v/>
      </c>
      <c r="B624" s="6" t="str">
        <f>IF(ISNA(MATCH(615,'Transfer Engine'!$C$2:$C$1199,0)),"",INDEX('Compliance Database'!$B$2:$B$1199,MATCH(615,'Transfer Engine'!$C$2:$C$1199,0)))</f>
        <v/>
      </c>
      <c r="C624" s="6" t="str">
        <f>IF(ISNA(MATCH(615,'Transfer Engine'!$C$2:$C$1199,0)),"",INDEX('Compliance Database'!$C$2:$C$1199,MATCH(615,'Transfer Engine'!$C$2:$C$1199,0)))</f>
        <v/>
      </c>
      <c r="D624" s="7" t="str">
        <f>IF(ISNA(MATCH(615,'Transfer Engine'!$C$2:$C$1199,0)),"",INDEX('Compliance Database'!$D$2:$D$1199,MATCH(615,'Transfer Engine'!$C$2:$C$1199,0)))</f>
        <v/>
      </c>
      <c r="E624" s="6" t="str">
        <f>IF(ISNA(MATCH(615,'Transfer Engine'!$C$2:$C$1199,0)),"",INDEX('Compliance Database'!$E$2:$E$1199,MATCH(615,'Transfer Engine'!$C$2:$C$1199,0)))</f>
        <v/>
      </c>
      <c r="F624" s="6" t="str">
        <f>IF(ISNA(MATCH(615,'Transfer Engine'!$C$2:$C$1199,0)),"",INDEX('Compliance Database'!$F$2:$F$1199,MATCH(615,'Transfer Engine'!$C$2:$C$1199,0)))</f>
        <v/>
      </c>
      <c r="G624" s="6" t="str">
        <f>IF(ISNA(MATCH(615,'Transfer Engine'!$C$2:$C$1199,0)),"",INDEX('Compliance Database'!$G$2:$G$1199,MATCH(615,'Transfer Engine'!$C$2:$C$1199,0)))</f>
        <v/>
      </c>
      <c r="H624" s="7" t="str">
        <f>IF(ISNA(MATCH(615,'Transfer Engine'!$C$2:$C$1199,0)),"",INDEX('Compliance Database'!$H$2:$H$1199,MATCH(615,'Transfer Engine'!$C$2:$C$1199,0)))</f>
        <v/>
      </c>
      <c r="I624" s="7" t="str">
        <f>IF(ISNA(MATCH(615,'Transfer Engine'!$C$2:$C$1199,0)),"",INDEX('Compliance Database'!$I$2:$I$1199,MATCH(615,'Transfer Engine'!$C$2:$C$1199,0)))</f>
        <v/>
      </c>
      <c r="J624" s="6" t="str">
        <f>IF(ISNA(MATCH(615,'Transfer Engine'!$C$2:$C$1199,0)),"",INDEX('Compliance Database'!$J$2:$J$1199,MATCH(615,'Transfer Engine'!$C$2:$C$1199,0)))</f>
        <v/>
      </c>
      <c r="K624" s="7" t="str">
        <f>IF(ISNA(MATCH(615,'Transfer Engine'!$C$2:$C$1199,0)),"",INDEX('Compliance Database'!$K$2:$K$1199,MATCH(615,'Transfer Engine'!$C$2:$C$1199,0)))</f>
        <v/>
      </c>
      <c r="L624" s="7" t="str">
        <f>IF(ISNA(MATCH(615,'Transfer Engine'!$C$2:$C$1199,0)),"",INDEX('Compliance Database'!$L$2:$L$1199,MATCH(615,'Transfer Engine'!$C$2:$C$1199,0)))</f>
        <v/>
      </c>
      <c r="M624" s="7" t="str">
        <f>IF(ISNA(MATCH(615,'Transfer Engine'!$C$2:$C$1199,0)),"",INDEX('Compliance Database'!$M$2:$M$1199,MATCH(615,'Transfer Engine'!$C$2:$C$1199,0)))</f>
        <v/>
      </c>
      <c r="N624" s="7" t="str">
        <f>IF(ISNA(MATCH(615,'Transfer Engine'!$C$2:$C$1199,0)),"",INDEX('Compliance Database'!$N$2:$N$1199,MATCH(615,'Transfer Engine'!$C$2:$C$1199,0)))</f>
        <v/>
      </c>
      <c r="O624" s="7" t="str">
        <f>IF(ISNA(MATCH(615,'Transfer Engine'!$C$2:$C$1199,0)),"",INDEX('Compliance Database'!$O$2:$O$1199,MATCH(615,'Transfer Engine'!$C$2:$C$1199,0)))</f>
        <v/>
      </c>
      <c r="P624" s="6" t="str">
        <f>IF(ISNA(MATCH(615,'Transfer Engine'!$C$2:$C$1199,0)),"",HYPERLINK("#Acts!A"&amp;INDEX('Compliance Database'!$P$2:$P$1199,MATCH(615,'Transfer Engine'!$C$2:$C$1199,0)),"Go to Act"))</f>
        <v/>
      </c>
    </row>
    <row r="625" spans="1:16" ht="172.95" customHeight="1" x14ac:dyDescent="0.3">
      <c r="A625" s="6" t="str">
        <f>IF(ISNA(MATCH(616,'Transfer Engine'!$C$2:$C$1199,0)),"",INDEX('Compliance Database'!$A$2:$A$1199,MATCH(616,'Transfer Engine'!$C$2:$C$1199,0)))</f>
        <v/>
      </c>
      <c r="B625" s="6" t="str">
        <f>IF(ISNA(MATCH(616,'Transfer Engine'!$C$2:$C$1199,0)),"",INDEX('Compliance Database'!$B$2:$B$1199,MATCH(616,'Transfer Engine'!$C$2:$C$1199,0)))</f>
        <v/>
      </c>
      <c r="C625" s="6" t="str">
        <f>IF(ISNA(MATCH(616,'Transfer Engine'!$C$2:$C$1199,0)),"",INDEX('Compliance Database'!$C$2:$C$1199,MATCH(616,'Transfer Engine'!$C$2:$C$1199,0)))</f>
        <v/>
      </c>
      <c r="D625" s="7" t="str">
        <f>IF(ISNA(MATCH(616,'Transfer Engine'!$C$2:$C$1199,0)),"",INDEX('Compliance Database'!$D$2:$D$1199,MATCH(616,'Transfer Engine'!$C$2:$C$1199,0)))</f>
        <v/>
      </c>
      <c r="E625" s="6" t="str">
        <f>IF(ISNA(MATCH(616,'Transfer Engine'!$C$2:$C$1199,0)),"",INDEX('Compliance Database'!$E$2:$E$1199,MATCH(616,'Transfer Engine'!$C$2:$C$1199,0)))</f>
        <v/>
      </c>
      <c r="F625" s="6" t="str">
        <f>IF(ISNA(MATCH(616,'Transfer Engine'!$C$2:$C$1199,0)),"",INDEX('Compliance Database'!$F$2:$F$1199,MATCH(616,'Transfer Engine'!$C$2:$C$1199,0)))</f>
        <v/>
      </c>
      <c r="G625" s="6" t="str">
        <f>IF(ISNA(MATCH(616,'Transfer Engine'!$C$2:$C$1199,0)),"",INDEX('Compliance Database'!$G$2:$G$1199,MATCH(616,'Transfer Engine'!$C$2:$C$1199,0)))</f>
        <v/>
      </c>
      <c r="H625" s="7" t="str">
        <f>IF(ISNA(MATCH(616,'Transfer Engine'!$C$2:$C$1199,0)),"",INDEX('Compliance Database'!$H$2:$H$1199,MATCH(616,'Transfer Engine'!$C$2:$C$1199,0)))</f>
        <v/>
      </c>
      <c r="I625" s="7" t="str">
        <f>IF(ISNA(MATCH(616,'Transfer Engine'!$C$2:$C$1199,0)),"",INDEX('Compliance Database'!$I$2:$I$1199,MATCH(616,'Transfer Engine'!$C$2:$C$1199,0)))</f>
        <v/>
      </c>
      <c r="J625" s="6" t="str">
        <f>IF(ISNA(MATCH(616,'Transfer Engine'!$C$2:$C$1199,0)),"",INDEX('Compliance Database'!$J$2:$J$1199,MATCH(616,'Transfer Engine'!$C$2:$C$1199,0)))</f>
        <v/>
      </c>
      <c r="K625" s="7" t="str">
        <f>IF(ISNA(MATCH(616,'Transfer Engine'!$C$2:$C$1199,0)),"",INDEX('Compliance Database'!$K$2:$K$1199,MATCH(616,'Transfer Engine'!$C$2:$C$1199,0)))</f>
        <v/>
      </c>
      <c r="L625" s="7" t="str">
        <f>IF(ISNA(MATCH(616,'Transfer Engine'!$C$2:$C$1199,0)),"",INDEX('Compliance Database'!$L$2:$L$1199,MATCH(616,'Transfer Engine'!$C$2:$C$1199,0)))</f>
        <v/>
      </c>
      <c r="M625" s="7" t="str">
        <f>IF(ISNA(MATCH(616,'Transfer Engine'!$C$2:$C$1199,0)),"",INDEX('Compliance Database'!$M$2:$M$1199,MATCH(616,'Transfer Engine'!$C$2:$C$1199,0)))</f>
        <v/>
      </c>
      <c r="N625" s="7" t="str">
        <f>IF(ISNA(MATCH(616,'Transfer Engine'!$C$2:$C$1199,0)),"",INDEX('Compliance Database'!$N$2:$N$1199,MATCH(616,'Transfer Engine'!$C$2:$C$1199,0)))</f>
        <v/>
      </c>
      <c r="O625" s="7" t="str">
        <f>IF(ISNA(MATCH(616,'Transfer Engine'!$C$2:$C$1199,0)),"",INDEX('Compliance Database'!$O$2:$O$1199,MATCH(616,'Transfer Engine'!$C$2:$C$1199,0)))</f>
        <v/>
      </c>
      <c r="P625" s="6" t="str">
        <f>IF(ISNA(MATCH(616,'Transfer Engine'!$C$2:$C$1199,0)),"",HYPERLINK("#Acts!A"&amp;INDEX('Compliance Database'!$P$2:$P$1199,MATCH(616,'Transfer Engine'!$C$2:$C$1199,0)),"Go to Act"))</f>
        <v/>
      </c>
    </row>
    <row r="626" spans="1:16" ht="172.95" customHeight="1" x14ac:dyDescent="0.3">
      <c r="A626" s="6" t="str">
        <f>IF(ISNA(MATCH(617,'Transfer Engine'!$C$2:$C$1199,0)),"",INDEX('Compliance Database'!$A$2:$A$1199,MATCH(617,'Transfer Engine'!$C$2:$C$1199,0)))</f>
        <v/>
      </c>
      <c r="B626" s="6" t="str">
        <f>IF(ISNA(MATCH(617,'Transfer Engine'!$C$2:$C$1199,0)),"",INDEX('Compliance Database'!$B$2:$B$1199,MATCH(617,'Transfer Engine'!$C$2:$C$1199,0)))</f>
        <v/>
      </c>
      <c r="C626" s="6" t="str">
        <f>IF(ISNA(MATCH(617,'Transfer Engine'!$C$2:$C$1199,0)),"",INDEX('Compliance Database'!$C$2:$C$1199,MATCH(617,'Transfer Engine'!$C$2:$C$1199,0)))</f>
        <v/>
      </c>
      <c r="D626" s="7" t="str">
        <f>IF(ISNA(MATCH(617,'Transfer Engine'!$C$2:$C$1199,0)),"",INDEX('Compliance Database'!$D$2:$D$1199,MATCH(617,'Transfer Engine'!$C$2:$C$1199,0)))</f>
        <v/>
      </c>
      <c r="E626" s="6" t="str">
        <f>IF(ISNA(MATCH(617,'Transfer Engine'!$C$2:$C$1199,0)),"",INDEX('Compliance Database'!$E$2:$E$1199,MATCH(617,'Transfer Engine'!$C$2:$C$1199,0)))</f>
        <v/>
      </c>
      <c r="F626" s="6" t="str">
        <f>IF(ISNA(MATCH(617,'Transfer Engine'!$C$2:$C$1199,0)),"",INDEX('Compliance Database'!$F$2:$F$1199,MATCH(617,'Transfer Engine'!$C$2:$C$1199,0)))</f>
        <v/>
      </c>
      <c r="G626" s="6" t="str">
        <f>IF(ISNA(MATCH(617,'Transfer Engine'!$C$2:$C$1199,0)),"",INDEX('Compliance Database'!$G$2:$G$1199,MATCH(617,'Transfer Engine'!$C$2:$C$1199,0)))</f>
        <v/>
      </c>
      <c r="H626" s="7" t="str">
        <f>IF(ISNA(MATCH(617,'Transfer Engine'!$C$2:$C$1199,0)),"",INDEX('Compliance Database'!$H$2:$H$1199,MATCH(617,'Transfer Engine'!$C$2:$C$1199,0)))</f>
        <v/>
      </c>
      <c r="I626" s="7" t="str">
        <f>IF(ISNA(MATCH(617,'Transfer Engine'!$C$2:$C$1199,0)),"",INDEX('Compliance Database'!$I$2:$I$1199,MATCH(617,'Transfer Engine'!$C$2:$C$1199,0)))</f>
        <v/>
      </c>
      <c r="J626" s="6" t="str">
        <f>IF(ISNA(MATCH(617,'Transfer Engine'!$C$2:$C$1199,0)),"",INDEX('Compliance Database'!$J$2:$J$1199,MATCH(617,'Transfer Engine'!$C$2:$C$1199,0)))</f>
        <v/>
      </c>
      <c r="K626" s="7" t="str">
        <f>IF(ISNA(MATCH(617,'Transfer Engine'!$C$2:$C$1199,0)),"",INDEX('Compliance Database'!$K$2:$K$1199,MATCH(617,'Transfer Engine'!$C$2:$C$1199,0)))</f>
        <v/>
      </c>
      <c r="L626" s="7" t="str">
        <f>IF(ISNA(MATCH(617,'Transfer Engine'!$C$2:$C$1199,0)),"",INDEX('Compliance Database'!$L$2:$L$1199,MATCH(617,'Transfer Engine'!$C$2:$C$1199,0)))</f>
        <v/>
      </c>
      <c r="M626" s="7" t="str">
        <f>IF(ISNA(MATCH(617,'Transfer Engine'!$C$2:$C$1199,0)),"",INDEX('Compliance Database'!$M$2:$M$1199,MATCH(617,'Transfer Engine'!$C$2:$C$1199,0)))</f>
        <v/>
      </c>
      <c r="N626" s="7" t="str">
        <f>IF(ISNA(MATCH(617,'Transfer Engine'!$C$2:$C$1199,0)),"",INDEX('Compliance Database'!$N$2:$N$1199,MATCH(617,'Transfer Engine'!$C$2:$C$1199,0)))</f>
        <v/>
      </c>
      <c r="O626" s="7" t="str">
        <f>IF(ISNA(MATCH(617,'Transfer Engine'!$C$2:$C$1199,0)),"",INDEX('Compliance Database'!$O$2:$O$1199,MATCH(617,'Transfer Engine'!$C$2:$C$1199,0)))</f>
        <v/>
      </c>
      <c r="P626" s="6" t="str">
        <f>IF(ISNA(MATCH(617,'Transfer Engine'!$C$2:$C$1199,0)),"",HYPERLINK("#Acts!A"&amp;INDEX('Compliance Database'!$P$2:$P$1199,MATCH(617,'Transfer Engine'!$C$2:$C$1199,0)),"Go to Act"))</f>
        <v/>
      </c>
    </row>
    <row r="627" spans="1:16" ht="172.95" customHeight="1" x14ac:dyDescent="0.3">
      <c r="A627" s="6" t="str">
        <f>IF(ISNA(MATCH(618,'Transfer Engine'!$C$2:$C$1199,0)),"",INDEX('Compliance Database'!$A$2:$A$1199,MATCH(618,'Transfer Engine'!$C$2:$C$1199,0)))</f>
        <v/>
      </c>
      <c r="B627" s="6" t="str">
        <f>IF(ISNA(MATCH(618,'Transfer Engine'!$C$2:$C$1199,0)),"",INDEX('Compliance Database'!$B$2:$B$1199,MATCH(618,'Transfer Engine'!$C$2:$C$1199,0)))</f>
        <v/>
      </c>
      <c r="C627" s="6" t="str">
        <f>IF(ISNA(MATCH(618,'Transfer Engine'!$C$2:$C$1199,0)),"",INDEX('Compliance Database'!$C$2:$C$1199,MATCH(618,'Transfer Engine'!$C$2:$C$1199,0)))</f>
        <v/>
      </c>
      <c r="D627" s="7" t="str">
        <f>IF(ISNA(MATCH(618,'Transfer Engine'!$C$2:$C$1199,0)),"",INDEX('Compliance Database'!$D$2:$D$1199,MATCH(618,'Transfer Engine'!$C$2:$C$1199,0)))</f>
        <v/>
      </c>
      <c r="E627" s="6" t="str">
        <f>IF(ISNA(MATCH(618,'Transfer Engine'!$C$2:$C$1199,0)),"",INDEX('Compliance Database'!$E$2:$E$1199,MATCH(618,'Transfer Engine'!$C$2:$C$1199,0)))</f>
        <v/>
      </c>
      <c r="F627" s="6" t="str">
        <f>IF(ISNA(MATCH(618,'Transfer Engine'!$C$2:$C$1199,0)),"",INDEX('Compliance Database'!$F$2:$F$1199,MATCH(618,'Transfer Engine'!$C$2:$C$1199,0)))</f>
        <v/>
      </c>
      <c r="G627" s="6" t="str">
        <f>IF(ISNA(MATCH(618,'Transfer Engine'!$C$2:$C$1199,0)),"",INDEX('Compliance Database'!$G$2:$G$1199,MATCH(618,'Transfer Engine'!$C$2:$C$1199,0)))</f>
        <v/>
      </c>
      <c r="H627" s="7" t="str">
        <f>IF(ISNA(MATCH(618,'Transfer Engine'!$C$2:$C$1199,0)),"",INDEX('Compliance Database'!$H$2:$H$1199,MATCH(618,'Transfer Engine'!$C$2:$C$1199,0)))</f>
        <v/>
      </c>
      <c r="I627" s="7" t="str">
        <f>IF(ISNA(MATCH(618,'Transfer Engine'!$C$2:$C$1199,0)),"",INDEX('Compliance Database'!$I$2:$I$1199,MATCH(618,'Transfer Engine'!$C$2:$C$1199,0)))</f>
        <v/>
      </c>
      <c r="J627" s="6" t="str">
        <f>IF(ISNA(MATCH(618,'Transfer Engine'!$C$2:$C$1199,0)),"",INDEX('Compliance Database'!$J$2:$J$1199,MATCH(618,'Transfer Engine'!$C$2:$C$1199,0)))</f>
        <v/>
      </c>
      <c r="K627" s="7" t="str">
        <f>IF(ISNA(MATCH(618,'Transfer Engine'!$C$2:$C$1199,0)),"",INDEX('Compliance Database'!$K$2:$K$1199,MATCH(618,'Transfer Engine'!$C$2:$C$1199,0)))</f>
        <v/>
      </c>
      <c r="L627" s="7" t="str">
        <f>IF(ISNA(MATCH(618,'Transfer Engine'!$C$2:$C$1199,0)),"",INDEX('Compliance Database'!$L$2:$L$1199,MATCH(618,'Transfer Engine'!$C$2:$C$1199,0)))</f>
        <v/>
      </c>
      <c r="M627" s="7" t="str">
        <f>IF(ISNA(MATCH(618,'Transfer Engine'!$C$2:$C$1199,0)),"",INDEX('Compliance Database'!$M$2:$M$1199,MATCH(618,'Transfer Engine'!$C$2:$C$1199,0)))</f>
        <v/>
      </c>
      <c r="N627" s="7" t="str">
        <f>IF(ISNA(MATCH(618,'Transfer Engine'!$C$2:$C$1199,0)),"",INDEX('Compliance Database'!$N$2:$N$1199,MATCH(618,'Transfer Engine'!$C$2:$C$1199,0)))</f>
        <v/>
      </c>
      <c r="O627" s="7" t="str">
        <f>IF(ISNA(MATCH(618,'Transfer Engine'!$C$2:$C$1199,0)),"",INDEX('Compliance Database'!$O$2:$O$1199,MATCH(618,'Transfer Engine'!$C$2:$C$1199,0)))</f>
        <v/>
      </c>
      <c r="P627" s="6" t="str">
        <f>IF(ISNA(MATCH(618,'Transfer Engine'!$C$2:$C$1199,0)),"",HYPERLINK("#Acts!A"&amp;INDEX('Compliance Database'!$P$2:$P$1199,MATCH(618,'Transfer Engine'!$C$2:$C$1199,0)),"Go to Act"))</f>
        <v/>
      </c>
    </row>
    <row r="628" spans="1:16" ht="172.95" customHeight="1" x14ac:dyDescent="0.3">
      <c r="A628" s="6" t="str">
        <f>IF(ISNA(MATCH(619,'Transfer Engine'!$C$2:$C$1199,0)),"",INDEX('Compliance Database'!$A$2:$A$1199,MATCH(619,'Transfer Engine'!$C$2:$C$1199,0)))</f>
        <v/>
      </c>
      <c r="B628" s="6" t="str">
        <f>IF(ISNA(MATCH(619,'Transfer Engine'!$C$2:$C$1199,0)),"",INDEX('Compliance Database'!$B$2:$B$1199,MATCH(619,'Transfer Engine'!$C$2:$C$1199,0)))</f>
        <v/>
      </c>
      <c r="C628" s="6" t="str">
        <f>IF(ISNA(MATCH(619,'Transfer Engine'!$C$2:$C$1199,0)),"",INDEX('Compliance Database'!$C$2:$C$1199,MATCH(619,'Transfer Engine'!$C$2:$C$1199,0)))</f>
        <v/>
      </c>
      <c r="D628" s="7" t="str">
        <f>IF(ISNA(MATCH(619,'Transfer Engine'!$C$2:$C$1199,0)),"",INDEX('Compliance Database'!$D$2:$D$1199,MATCH(619,'Transfer Engine'!$C$2:$C$1199,0)))</f>
        <v/>
      </c>
      <c r="E628" s="6" t="str">
        <f>IF(ISNA(MATCH(619,'Transfer Engine'!$C$2:$C$1199,0)),"",INDEX('Compliance Database'!$E$2:$E$1199,MATCH(619,'Transfer Engine'!$C$2:$C$1199,0)))</f>
        <v/>
      </c>
      <c r="F628" s="6" t="str">
        <f>IF(ISNA(MATCH(619,'Transfer Engine'!$C$2:$C$1199,0)),"",INDEX('Compliance Database'!$F$2:$F$1199,MATCH(619,'Transfer Engine'!$C$2:$C$1199,0)))</f>
        <v/>
      </c>
      <c r="G628" s="6" t="str">
        <f>IF(ISNA(MATCH(619,'Transfer Engine'!$C$2:$C$1199,0)),"",INDEX('Compliance Database'!$G$2:$G$1199,MATCH(619,'Transfer Engine'!$C$2:$C$1199,0)))</f>
        <v/>
      </c>
      <c r="H628" s="7" t="str">
        <f>IF(ISNA(MATCH(619,'Transfer Engine'!$C$2:$C$1199,0)),"",INDEX('Compliance Database'!$H$2:$H$1199,MATCH(619,'Transfer Engine'!$C$2:$C$1199,0)))</f>
        <v/>
      </c>
      <c r="I628" s="7" t="str">
        <f>IF(ISNA(MATCH(619,'Transfer Engine'!$C$2:$C$1199,0)),"",INDEX('Compliance Database'!$I$2:$I$1199,MATCH(619,'Transfer Engine'!$C$2:$C$1199,0)))</f>
        <v/>
      </c>
      <c r="J628" s="6" t="str">
        <f>IF(ISNA(MATCH(619,'Transfer Engine'!$C$2:$C$1199,0)),"",INDEX('Compliance Database'!$J$2:$J$1199,MATCH(619,'Transfer Engine'!$C$2:$C$1199,0)))</f>
        <v/>
      </c>
      <c r="K628" s="7" t="str">
        <f>IF(ISNA(MATCH(619,'Transfer Engine'!$C$2:$C$1199,0)),"",INDEX('Compliance Database'!$K$2:$K$1199,MATCH(619,'Transfer Engine'!$C$2:$C$1199,0)))</f>
        <v/>
      </c>
      <c r="L628" s="7" t="str">
        <f>IF(ISNA(MATCH(619,'Transfer Engine'!$C$2:$C$1199,0)),"",INDEX('Compliance Database'!$L$2:$L$1199,MATCH(619,'Transfer Engine'!$C$2:$C$1199,0)))</f>
        <v/>
      </c>
      <c r="M628" s="7" t="str">
        <f>IF(ISNA(MATCH(619,'Transfer Engine'!$C$2:$C$1199,0)),"",INDEX('Compliance Database'!$M$2:$M$1199,MATCH(619,'Transfer Engine'!$C$2:$C$1199,0)))</f>
        <v/>
      </c>
      <c r="N628" s="7" t="str">
        <f>IF(ISNA(MATCH(619,'Transfer Engine'!$C$2:$C$1199,0)),"",INDEX('Compliance Database'!$N$2:$N$1199,MATCH(619,'Transfer Engine'!$C$2:$C$1199,0)))</f>
        <v/>
      </c>
      <c r="O628" s="7" t="str">
        <f>IF(ISNA(MATCH(619,'Transfer Engine'!$C$2:$C$1199,0)),"",INDEX('Compliance Database'!$O$2:$O$1199,MATCH(619,'Transfer Engine'!$C$2:$C$1199,0)))</f>
        <v/>
      </c>
      <c r="P628" s="6" t="str">
        <f>IF(ISNA(MATCH(619,'Transfer Engine'!$C$2:$C$1199,0)),"",HYPERLINK("#Acts!A"&amp;INDEX('Compliance Database'!$P$2:$P$1199,MATCH(619,'Transfer Engine'!$C$2:$C$1199,0)),"Go to Act"))</f>
        <v/>
      </c>
    </row>
    <row r="629" spans="1:16" ht="172.95" customHeight="1" x14ac:dyDescent="0.3">
      <c r="A629" s="6" t="str">
        <f>IF(ISNA(MATCH(620,'Transfer Engine'!$C$2:$C$1199,0)),"",INDEX('Compliance Database'!$A$2:$A$1199,MATCH(620,'Transfer Engine'!$C$2:$C$1199,0)))</f>
        <v/>
      </c>
      <c r="B629" s="6" t="str">
        <f>IF(ISNA(MATCH(620,'Transfer Engine'!$C$2:$C$1199,0)),"",INDEX('Compliance Database'!$B$2:$B$1199,MATCH(620,'Transfer Engine'!$C$2:$C$1199,0)))</f>
        <v/>
      </c>
      <c r="C629" s="6" t="str">
        <f>IF(ISNA(MATCH(620,'Transfer Engine'!$C$2:$C$1199,0)),"",INDEX('Compliance Database'!$C$2:$C$1199,MATCH(620,'Transfer Engine'!$C$2:$C$1199,0)))</f>
        <v/>
      </c>
      <c r="D629" s="7" t="str">
        <f>IF(ISNA(MATCH(620,'Transfer Engine'!$C$2:$C$1199,0)),"",INDEX('Compliance Database'!$D$2:$D$1199,MATCH(620,'Transfer Engine'!$C$2:$C$1199,0)))</f>
        <v/>
      </c>
      <c r="E629" s="6" t="str">
        <f>IF(ISNA(MATCH(620,'Transfer Engine'!$C$2:$C$1199,0)),"",INDEX('Compliance Database'!$E$2:$E$1199,MATCH(620,'Transfer Engine'!$C$2:$C$1199,0)))</f>
        <v/>
      </c>
      <c r="F629" s="6" t="str">
        <f>IF(ISNA(MATCH(620,'Transfer Engine'!$C$2:$C$1199,0)),"",INDEX('Compliance Database'!$F$2:$F$1199,MATCH(620,'Transfer Engine'!$C$2:$C$1199,0)))</f>
        <v/>
      </c>
      <c r="G629" s="6" t="str">
        <f>IF(ISNA(MATCH(620,'Transfer Engine'!$C$2:$C$1199,0)),"",INDEX('Compliance Database'!$G$2:$G$1199,MATCH(620,'Transfer Engine'!$C$2:$C$1199,0)))</f>
        <v/>
      </c>
      <c r="H629" s="7" t="str">
        <f>IF(ISNA(MATCH(620,'Transfer Engine'!$C$2:$C$1199,0)),"",INDEX('Compliance Database'!$H$2:$H$1199,MATCH(620,'Transfer Engine'!$C$2:$C$1199,0)))</f>
        <v/>
      </c>
      <c r="I629" s="7" t="str">
        <f>IF(ISNA(MATCH(620,'Transfer Engine'!$C$2:$C$1199,0)),"",INDEX('Compliance Database'!$I$2:$I$1199,MATCH(620,'Transfer Engine'!$C$2:$C$1199,0)))</f>
        <v/>
      </c>
      <c r="J629" s="6" t="str">
        <f>IF(ISNA(MATCH(620,'Transfer Engine'!$C$2:$C$1199,0)),"",INDEX('Compliance Database'!$J$2:$J$1199,MATCH(620,'Transfer Engine'!$C$2:$C$1199,0)))</f>
        <v/>
      </c>
      <c r="K629" s="7" t="str">
        <f>IF(ISNA(MATCH(620,'Transfer Engine'!$C$2:$C$1199,0)),"",INDEX('Compliance Database'!$K$2:$K$1199,MATCH(620,'Transfer Engine'!$C$2:$C$1199,0)))</f>
        <v/>
      </c>
      <c r="L629" s="7" t="str">
        <f>IF(ISNA(MATCH(620,'Transfer Engine'!$C$2:$C$1199,0)),"",INDEX('Compliance Database'!$L$2:$L$1199,MATCH(620,'Transfer Engine'!$C$2:$C$1199,0)))</f>
        <v/>
      </c>
      <c r="M629" s="7" t="str">
        <f>IF(ISNA(MATCH(620,'Transfer Engine'!$C$2:$C$1199,0)),"",INDEX('Compliance Database'!$M$2:$M$1199,MATCH(620,'Transfer Engine'!$C$2:$C$1199,0)))</f>
        <v/>
      </c>
      <c r="N629" s="7" t="str">
        <f>IF(ISNA(MATCH(620,'Transfer Engine'!$C$2:$C$1199,0)),"",INDEX('Compliance Database'!$N$2:$N$1199,MATCH(620,'Transfer Engine'!$C$2:$C$1199,0)))</f>
        <v/>
      </c>
      <c r="O629" s="7" t="str">
        <f>IF(ISNA(MATCH(620,'Transfer Engine'!$C$2:$C$1199,0)),"",INDEX('Compliance Database'!$O$2:$O$1199,MATCH(620,'Transfer Engine'!$C$2:$C$1199,0)))</f>
        <v/>
      </c>
      <c r="P629" s="6" t="str">
        <f>IF(ISNA(MATCH(620,'Transfer Engine'!$C$2:$C$1199,0)),"",HYPERLINK("#Acts!A"&amp;INDEX('Compliance Database'!$P$2:$P$1199,MATCH(620,'Transfer Engine'!$C$2:$C$1199,0)),"Go to Act"))</f>
        <v/>
      </c>
    </row>
    <row r="630" spans="1:16" ht="172.95" customHeight="1" x14ac:dyDescent="0.3">
      <c r="A630" s="6" t="str">
        <f>IF(ISNA(MATCH(621,'Transfer Engine'!$C$2:$C$1199,0)),"",INDEX('Compliance Database'!$A$2:$A$1199,MATCH(621,'Transfer Engine'!$C$2:$C$1199,0)))</f>
        <v/>
      </c>
      <c r="B630" s="6" t="str">
        <f>IF(ISNA(MATCH(621,'Transfer Engine'!$C$2:$C$1199,0)),"",INDEX('Compliance Database'!$B$2:$B$1199,MATCH(621,'Transfer Engine'!$C$2:$C$1199,0)))</f>
        <v/>
      </c>
      <c r="C630" s="6" t="str">
        <f>IF(ISNA(MATCH(621,'Transfer Engine'!$C$2:$C$1199,0)),"",INDEX('Compliance Database'!$C$2:$C$1199,MATCH(621,'Transfer Engine'!$C$2:$C$1199,0)))</f>
        <v/>
      </c>
      <c r="D630" s="7" t="str">
        <f>IF(ISNA(MATCH(621,'Transfer Engine'!$C$2:$C$1199,0)),"",INDEX('Compliance Database'!$D$2:$D$1199,MATCH(621,'Transfer Engine'!$C$2:$C$1199,0)))</f>
        <v/>
      </c>
      <c r="E630" s="6" t="str">
        <f>IF(ISNA(MATCH(621,'Transfer Engine'!$C$2:$C$1199,0)),"",INDEX('Compliance Database'!$E$2:$E$1199,MATCH(621,'Transfer Engine'!$C$2:$C$1199,0)))</f>
        <v/>
      </c>
      <c r="F630" s="6" t="str">
        <f>IF(ISNA(MATCH(621,'Transfer Engine'!$C$2:$C$1199,0)),"",INDEX('Compliance Database'!$F$2:$F$1199,MATCH(621,'Transfer Engine'!$C$2:$C$1199,0)))</f>
        <v/>
      </c>
      <c r="G630" s="6" t="str">
        <f>IF(ISNA(MATCH(621,'Transfer Engine'!$C$2:$C$1199,0)),"",INDEX('Compliance Database'!$G$2:$G$1199,MATCH(621,'Transfer Engine'!$C$2:$C$1199,0)))</f>
        <v/>
      </c>
      <c r="H630" s="7" t="str">
        <f>IF(ISNA(MATCH(621,'Transfer Engine'!$C$2:$C$1199,0)),"",INDEX('Compliance Database'!$H$2:$H$1199,MATCH(621,'Transfer Engine'!$C$2:$C$1199,0)))</f>
        <v/>
      </c>
      <c r="I630" s="7" t="str">
        <f>IF(ISNA(MATCH(621,'Transfer Engine'!$C$2:$C$1199,0)),"",INDEX('Compliance Database'!$I$2:$I$1199,MATCH(621,'Transfer Engine'!$C$2:$C$1199,0)))</f>
        <v/>
      </c>
      <c r="J630" s="6" t="str">
        <f>IF(ISNA(MATCH(621,'Transfer Engine'!$C$2:$C$1199,0)),"",INDEX('Compliance Database'!$J$2:$J$1199,MATCH(621,'Transfer Engine'!$C$2:$C$1199,0)))</f>
        <v/>
      </c>
      <c r="K630" s="7" t="str">
        <f>IF(ISNA(MATCH(621,'Transfer Engine'!$C$2:$C$1199,0)),"",INDEX('Compliance Database'!$K$2:$K$1199,MATCH(621,'Transfer Engine'!$C$2:$C$1199,0)))</f>
        <v/>
      </c>
      <c r="L630" s="7" t="str">
        <f>IF(ISNA(MATCH(621,'Transfer Engine'!$C$2:$C$1199,0)),"",INDEX('Compliance Database'!$L$2:$L$1199,MATCH(621,'Transfer Engine'!$C$2:$C$1199,0)))</f>
        <v/>
      </c>
      <c r="M630" s="7" t="str">
        <f>IF(ISNA(MATCH(621,'Transfer Engine'!$C$2:$C$1199,0)),"",INDEX('Compliance Database'!$M$2:$M$1199,MATCH(621,'Transfer Engine'!$C$2:$C$1199,0)))</f>
        <v/>
      </c>
      <c r="N630" s="7" t="str">
        <f>IF(ISNA(MATCH(621,'Transfer Engine'!$C$2:$C$1199,0)),"",INDEX('Compliance Database'!$N$2:$N$1199,MATCH(621,'Transfer Engine'!$C$2:$C$1199,0)))</f>
        <v/>
      </c>
      <c r="O630" s="7" t="str">
        <f>IF(ISNA(MATCH(621,'Transfer Engine'!$C$2:$C$1199,0)),"",INDEX('Compliance Database'!$O$2:$O$1199,MATCH(621,'Transfer Engine'!$C$2:$C$1199,0)))</f>
        <v/>
      </c>
      <c r="P630" s="6" t="str">
        <f>IF(ISNA(MATCH(621,'Transfer Engine'!$C$2:$C$1199,0)),"",HYPERLINK("#Acts!A"&amp;INDEX('Compliance Database'!$P$2:$P$1199,MATCH(621,'Transfer Engine'!$C$2:$C$1199,0)),"Go to Act"))</f>
        <v/>
      </c>
    </row>
    <row r="631" spans="1:16" ht="172.95" customHeight="1" x14ac:dyDescent="0.3">
      <c r="A631" s="6" t="str">
        <f>IF(ISNA(MATCH(622,'Transfer Engine'!$C$2:$C$1199,0)),"",INDEX('Compliance Database'!$A$2:$A$1199,MATCH(622,'Transfer Engine'!$C$2:$C$1199,0)))</f>
        <v/>
      </c>
      <c r="B631" s="6" t="str">
        <f>IF(ISNA(MATCH(622,'Transfer Engine'!$C$2:$C$1199,0)),"",INDEX('Compliance Database'!$B$2:$B$1199,MATCH(622,'Transfer Engine'!$C$2:$C$1199,0)))</f>
        <v/>
      </c>
      <c r="C631" s="6" t="str">
        <f>IF(ISNA(MATCH(622,'Transfer Engine'!$C$2:$C$1199,0)),"",INDEX('Compliance Database'!$C$2:$C$1199,MATCH(622,'Transfer Engine'!$C$2:$C$1199,0)))</f>
        <v/>
      </c>
      <c r="D631" s="7" t="str">
        <f>IF(ISNA(MATCH(622,'Transfer Engine'!$C$2:$C$1199,0)),"",INDEX('Compliance Database'!$D$2:$D$1199,MATCH(622,'Transfer Engine'!$C$2:$C$1199,0)))</f>
        <v/>
      </c>
      <c r="E631" s="6" t="str">
        <f>IF(ISNA(MATCH(622,'Transfer Engine'!$C$2:$C$1199,0)),"",INDEX('Compliance Database'!$E$2:$E$1199,MATCH(622,'Transfer Engine'!$C$2:$C$1199,0)))</f>
        <v/>
      </c>
      <c r="F631" s="6" t="str">
        <f>IF(ISNA(MATCH(622,'Transfer Engine'!$C$2:$C$1199,0)),"",INDEX('Compliance Database'!$F$2:$F$1199,MATCH(622,'Transfer Engine'!$C$2:$C$1199,0)))</f>
        <v/>
      </c>
      <c r="G631" s="6" t="str">
        <f>IF(ISNA(MATCH(622,'Transfer Engine'!$C$2:$C$1199,0)),"",INDEX('Compliance Database'!$G$2:$G$1199,MATCH(622,'Transfer Engine'!$C$2:$C$1199,0)))</f>
        <v/>
      </c>
      <c r="H631" s="7" t="str">
        <f>IF(ISNA(MATCH(622,'Transfer Engine'!$C$2:$C$1199,0)),"",INDEX('Compliance Database'!$H$2:$H$1199,MATCH(622,'Transfer Engine'!$C$2:$C$1199,0)))</f>
        <v/>
      </c>
      <c r="I631" s="7" t="str">
        <f>IF(ISNA(MATCH(622,'Transfer Engine'!$C$2:$C$1199,0)),"",INDEX('Compliance Database'!$I$2:$I$1199,MATCH(622,'Transfer Engine'!$C$2:$C$1199,0)))</f>
        <v/>
      </c>
      <c r="J631" s="6" t="str">
        <f>IF(ISNA(MATCH(622,'Transfer Engine'!$C$2:$C$1199,0)),"",INDEX('Compliance Database'!$J$2:$J$1199,MATCH(622,'Transfer Engine'!$C$2:$C$1199,0)))</f>
        <v/>
      </c>
      <c r="K631" s="7" t="str">
        <f>IF(ISNA(MATCH(622,'Transfer Engine'!$C$2:$C$1199,0)),"",INDEX('Compliance Database'!$K$2:$K$1199,MATCH(622,'Transfer Engine'!$C$2:$C$1199,0)))</f>
        <v/>
      </c>
      <c r="L631" s="7" t="str">
        <f>IF(ISNA(MATCH(622,'Transfer Engine'!$C$2:$C$1199,0)),"",INDEX('Compliance Database'!$L$2:$L$1199,MATCH(622,'Transfer Engine'!$C$2:$C$1199,0)))</f>
        <v/>
      </c>
      <c r="M631" s="7" t="str">
        <f>IF(ISNA(MATCH(622,'Transfer Engine'!$C$2:$C$1199,0)),"",INDEX('Compliance Database'!$M$2:$M$1199,MATCH(622,'Transfer Engine'!$C$2:$C$1199,0)))</f>
        <v/>
      </c>
      <c r="N631" s="7" t="str">
        <f>IF(ISNA(MATCH(622,'Transfer Engine'!$C$2:$C$1199,0)),"",INDEX('Compliance Database'!$N$2:$N$1199,MATCH(622,'Transfer Engine'!$C$2:$C$1199,0)))</f>
        <v/>
      </c>
      <c r="O631" s="7" t="str">
        <f>IF(ISNA(MATCH(622,'Transfer Engine'!$C$2:$C$1199,0)),"",INDEX('Compliance Database'!$O$2:$O$1199,MATCH(622,'Transfer Engine'!$C$2:$C$1199,0)))</f>
        <v/>
      </c>
      <c r="P631" s="6" t="str">
        <f>IF(ISNA(MATCH(622,'Transfer Engine'!$C$2:$C$1199,0)),"",HYPERLINK("#Acts!A"&amp;INDEX('Compliance Database'!$P$2:$P$1199,MATCH(622,'Transfer Engine'!$C$2:$C$1199,0)),"Go to Act"))</f>
        <v/>
      </c>
    </row>
    <row r="632" spans="1:16" ht="172.95" customHeight="1" x14ac:dyDescent="0.3">
      <c r="A632" s="6" t="str">
        <f>IF(ISNA(MATCH(623,'Transfer Engine'!$C$2:$C$1199,0)),"",INDEX('Compliance Database'!$A$2:$A$1199,MATCH(623,'Transfer Engine'!$C$2:$C$1199,0)))</f>
        <v/>
      </c>
      <c r="B632" s="6" t="str">
        <f>IF(ISNA(MATCH(623,'Transfer Engine'!$C$2:$C$1199,0)),"",INDEX('Compliance Database'!$B$2:$B$1199,MATCH(623,'Transfer Engine'!$C$2:$C$1199,0)))</f>
        <v/>
      </c>
      <c r="C632" s="6" t="str">
        <f>IF(ISNA(MATCH(623,'Transfer Engine'!$C$2:$C$1199,0)),"",INDEX('Compliance Database'!$C$2:$C$1199,MATCH(623,'Transfer Engine'!$C$2:$C$1199,0)))</f>
        <v/>
      </c>
      <c r="D632" s="7" t="str">
        <f>IF(ISNA(MATCH(623,'Transfer Engine'!$C$2:$C$1199,0)),"",INDEX('Compliance Database'!$D$2:$D$1199,MATCH(623,'Transfer Engine'!$C$2:$C$1199,0)))</f>
        <v/>
      </c>
      <c r="E632" s="6" t="str">
        <f>IF(ISNA(MATCH(623,'Transfer Engine'!$C$2:$C$1199,0)),"",INDEX('Compliance Database'!$E$2:$E$1199,MATCH(623,'Transfer Engine'!$C$2:$C$1199,0)))</f>
        <v/>
      </c>
      <c r="F632" s="6" t="str">
        <f>IF(ISNA(MATCH(623,'Transfer Engine'!$C$2:$C$1199,0)),"",INDEX('Compliance Database'!$F$2:$F$1199,MATCH(623,'Transfer Engine'!$C$2:$C$1199,0)))</f>
        <v/>
      </c>
      <c r="G632" s="6" t="str">
        <f>IF(ISNA(MATCH(623,'Transfer Engine'!$C$2:$C$1199,0)),"",INDEX('Compliance Database'!$G$2:$G$1199,MATCH(623,'Transfer Engine'!$C$2:$C$1199,0)))</f>
        <v/>
      </c>
      <c r="H632" s="7" t="str">
        <f>IF(ISNA(MATCH(623,'Transfer Engine'!$C$2:$C$1199,0)),"",INDEX('Compliance Database'!$H$2:$H$1199,MATCH(623,'Transfer Engine'!$C$2:$C$1199,0)))</f>
        <v/>
      </c>
      <c r="I632" s="7" t="str">
        <f>IF(ISNA(MATCH(623,'Transfer Engine'!$C$2:$C$1199,0)),"",INDEX('Compliance Database'!$I$2:$I$1199,MATCH(623,'Transfer Engine'!$C$2:$C$1199,0)))</f>
        <v/>
      </c>
      <c r="J632" s="6" t="str">
        <f>IF(ISNA(MATCH(623,'Transfer Engine'!$C$2:$C$1199,0)),"",INDEX('Compliance Database'!$J$2:$J$1199,MATCH(623,'Transfer Engine'!$C$2:$C$1199,0)))</f>
        <v/>
      </c>
      <c r="K632" s="7" t="str">
        <f>IF(ISNA(MATCH(623,'Transfer Engine'!$C$2:$C$1199,0)),"",INDEX('Compliance Database'!$K$2:$K$1199,MATCH(623,'Transfer Engine'!$C$2:$C$1199,0)))</f>
        <v/>
      </c>
      <c r="L632" s="7" t="str">
        <f>IF(ISNA(MATCH(623,'Transfer Engine'!$C$2:$C$1199,0)),"",INDEX('Compliance Database'!$L$2:$L$1199,MATCH(623,'Transfer Engine'!$C$2:$C$1199,0)))</f>
        <v/>
      </c>
      <c r="M632" s="7" t="str">
        <f>IF(ISNA(MATCH(623,'Transfer Engine'!$C$2:$C$1199,0)),"",INDEX('Compliance Database'!$M$2:$M$1199,MATCH(623,'Transfer Engine'!$C$2:$C$1199,0)))</f>
        <v/>
      </c>
      <c r="N632" s="7" t="str">
        <f>IF(ISNA(MATCH(623,'Transfer Engine'!$C$2:$C$1199,0)),"",INDEX('Compliance Database'!$N$2:$N$1199,MATCH(623,'Transfer Engine'!$C$2:$C$1199,0)))</f>
        <v/>
      </c>
      <c r="O632" s="7" t="str">
        <f>IF(ISNA(MATCH(623,'Transfer Engine'!$C$2:$C$1199,0)),"",INDEX('Compliance Database'!$O$2:$O$1199,MATCH(623,'Transfer Engine'!$C$2:$C$1199,0)))</f>
        <v/>
      </c>
      <c r="P632" s="6" t="str">
        <f>IF(ISNA(MATCH(623,'Transfer Engine'!$C$2:$C$1199,0)),"",HYPERLINK("#Acts!A"&amp;INDEX('Compliance Database'!$P$2:$P$1199,MATCH(623,'Transfer Engine'!$C$2:$C$1199,0)),"Go to Act"))</f>
        <v/>
      </c>
    </row>
    <row r="633" spans="1:16" ht="172.95" customHeight="1" x14ac:dyDescent="0.3">
      <c r="A633" s="6" t="str">
        <f>IF(ISNA(MATCH(624,'Transfer Engine'!$C$2:$C$1199,0)),"",INDEX('Compliance Database'!$A$2:$A$1199,MATCH(624,'Transfer Engine'!$C$2:$C$1199,0)))</f>
        <v/>
      </c>
      <c r="B633" s="6" t="str">
        <f>IF(ISNA(MATCH(624,'Transfer Engine'!$C$2:$C$1199,0)),"",INDEX('Compliance Database'!$B$2:$B$1199,MATCH(624,'Transfer Engine'!$C$2:$C$1199,0)))</f>
        <v/>
      </c>
      <c r="C633" s="6" t="str">
        <f>IF(ISNA(MATCH(624,'Transfer Engine'!$C$2:$C$1199,0)),"",INDEX('Compliance Database'!$C$2:$C$1199,MATCH(624,'Transfer Engine'!$C$2:$C$1199,0)))</f>
        <v/>
      </c>
      <c r="D633" s="7" t="str">
        <f>IF(ISNA(MATCH(624,'Transfer Engine'!$C$2:$C$1199,0)),"",INDEX('Compliance Database'!$D$2:$D$1199,MATCH(624,'Transfer Engine'!$C$2:$C$1199,0)))</f>
        <v/>
      </c>
      <c r="E633" s="6" t="str">
        <f>IF(ISNA(MATCH(624,'Transfer Engine'!$C$2:$C$1199,0)),"",INDEX('Compliance Database'!$E$2:$E$1199,MATCH(624,'Transfer Engine'!$C$2:$C$1199,0)))</f>
        <v/>
      </c>
      <c r="F633" s="6" t="str">
        <f>IF(ISNA(MATCH(624,'Transfer Engine'!$C$2:$C$1199,0)),"",INDEX('Compliance Database'!$F$2:$F$1199,MATCH(624,'Transfer Engine'!$C$2:$C$1199,0)))</f>
        <v/>
      </c>
      <c r="G633" s="6" t="str">
        <f>IF(ISNA(MATCH(624,'Transfer Engine'!$C$2:$C$1199,0)),"",INDEX('Compliance Database'!$G$2:$G$1199,MATCH(624,'Transfer Engine'!$C$2:$C$1199,0)))</f>
        <v/>
      </c>
      <c r="H633" s="7" t="str">
        <f>IF(ISNA(MATCH(624,'Transfer Engine'!$C$2:$C$1199,0)),"",INDEX('Compliance Database'!$H$2:$H$1199,MATCH(624,'Transfer Engine'!$C$2:$C$1199,0)))</f>
        <v/>
      </c>
      <c r="I633" s="7" t="str">
        <f>IF(ISNA(MATCH(624,'Transfer Engine'!$C$2:$C$1199,0)),"",INDEX('Compliance Database'!$I$2:$I$1199,MATCH(624,'Transfer Engine'!$C$2:$C$1199,0)))</f>
        <v/>
      </c>
      <c r="J633" s="6" t="str">
        <f>IF(ISNA(MATCH(624,'Transfer Engine'!$C$2:$C$1199,0)),"",INDEX('Compliance Database'!$J$2:$J$1199,MATCH(624,'Transfer Engine'!$C$2:$C$1199,0)))</f>
        <v/>
      </c>
      <c r="K633" s="7" t="str">
        <f>IF(ISNA(MATCH(624,'Transfer Engine'!$C$2:$C$1199,0)),"",INDEX('Compliance Database'!$K$2:$K$1199,MATCH(624,'Transfer Engine'!$C$2:$C$1199,0)))</f>
        <v/>
      </c>
      <c r="L633" s="7" t="str">
        <f>IF(ISNA(MATCH(624,'Transfer Engine'!$C$2:$C$1199,0)),"",INDEX('Compliance Database'!$L$2:$L$1199,MATCH(624,'Transfer Engine'!$C$2:$C$1199,0)))</f>
        <v/>
      </c>
      <c r="M633" s="7" t="str">
        <f>IF(ISNA(MATCH(624,'Transfer Engine'!$C$2:$C$1199,0)),"",INDEX('Compliance Database'!$M$2:$M$1199,MATCH(624,'Transfer Engine'!$C$2:$C$1199,0)))</f>
        <v/>
      </c>
      <c r="N633" s="7" t="str">
        <f>IF(ISNA(MATCH(624,'Transfer Engine'!$C$2:$C$1199,0)),"",INDEX('Compliance Database'!$N$2:$N$1199,MATCH(624,'Transfer Engine'!$C$2:$C$1199,0)))</f>
        <v/>
      </c>
      <c r="O633" s="7" t="str">
        <f>IF(ISNA(MATCH(624,'Transfer Engine'!$C$2:$C$1199,0)),"",INDEX('Compliance Database'!$O$2:$O$1199,MATCH(624,'Transfer Engine'!$C$2:$C$1199,0)))</f>
        <v/>
      </c>
      <c r="P633" s="6" t="str">
        <f>IF(ISNA(MATCH(624,'Transfer Engine'!$C$2:$C$1199,0)),"",HYPERLINK("#Acts!A"&amp;INDEX('Compliance Database'!$P$2:$P$1199,MATCH(624,'Transfer Engine'!$C$2:$C$1199,0)),"Go to Act"))</f>
        <v/>
      </c>
    </row>
    <row r="634" spans="1:16" ht="172.95" customHeight="1" x14ac:dyDescent="0.3">
      <c r="A634" s="6" t="str">
        <f>IF(ISNA(MATCH(625,'Transfer Engine'!$C$2:$C$1199,0)),"",INDEX('Compliance Database'!$A$2:$A$1199,MATCH(625,'Transfer Engine'!$C$2:$C$1199,0)))</f>
        <v/>
      </c>
      <c r="B634" s="6" t="str">
        <f>IF(ISNA(MATCH(625,'Transfer Engine'!$C$2:$C$1199,0)),"",INDEX('Compliance Database'!$B$2:$B$1199,MATCH(625,'Transfer Engine'!$C$2:$C$1199,0)))</f>
        <v/>
      </c>
      <c r="C634" s="6" t="str">
        <f>IF(ISNA(MATCH(625,'Transfer Engine'!$C$2:$C$1199,0)),"",INDEX('Compliance Database'!$C$2:$C$1199,MATCH(625,'Transfer Engine'!$C$2:$C$1199,0)))</f>
        <v/>
      </c>
      <c r="D634" s="7" t="str">
        <f>IF(ISNA(MATCH(625,'Transfer Engine'!$C$2:$C$1199,0)),"",INDEX('Compliance Database'!$D$2:$D$1199,MATCH(625,'Transfer Engine'!$C$2:$C$1199,0)))</f>
        <v/>
      </c>
      <c r="E634" s="6" t="str">
        <f>IF(ISNA(MATCH(625,'Transfer Engine'!$C$2:$C$1199,0)),"",INDEX('Compliance Database'!$E$2:$E$1199,MATCH(625,'Transfer Engine'!$C$2:$C$1199,0)))</f>
        <v/>
      </c>
      <c r="F634" s="6" t="str">
        <f>IF(ISNA(MATCH(625,'Transfer Engine'!$C$2:$C$1199,0)),"",INDEX('Compliance Database'!$F$2:$F$1199,MATCH(625,'Transfer Engine'!$C$2:$C$1199,0)))</f>
        <v/>
      </c>
      <c r="G634" s="6" t="str">
        <f>IF(ISNA(MATCH(625,'Transfer Engine'!$C$2:$C$1199,0)),"",INDEX('Compliance Database'!$G$2:$G$1199,MATCH(625,'Transfer Engine'!$C$2:$C$1199,0)))</f>
        <v/>
      </c>
      <c r="H634" s="7" t="str">
        <f>IF(ISNA(MATCH(625,'Transfer Engine'!$C$2:$C$1199,0)),"",INDEX('Compliance Database'!$H$2:$H$1199,MATCH(625,'Transfer Engine'!$C$2:$C$1199,0)))</f>
        <v/>
      </c>
      <c r="I634" s="7" t="str">
        <f>IF(ISNA(MATCH(625,'Transfer Engine'!$C$2:$C$1199,0)),"",INDEX('Compliance Database'!$I$2:$I$1199,MATCH(625,'Transfer Engine'!$C$2:$C$1199,0)))</f>
        <v/>
      </c>
      <c r="J634" s="6" t="str">
        <f>IF(ISNA(MATCH(625,'Transfer Engine'!$C$2:$C$1199,0)),"",INDEX('Compliance Database'!$J$2:$J$1199,MATCH(625,'Transfer Engine'!$C$2:$C$1199,0)))</f>
        <v/>
      </c>
      <c r="K634" s="7" t="str">
        <f>IF(ISNA(MATCH(625,'Transfer Engine'!$C$2:$C$1199,0)),"",INDEX('Compliance Database'!$K$2:$K$1199,MATCH(625,'Transfer Engine'!$C$2:$C$1199,0)))</f>
        <v/>
      </c>
      <c r="L634" s="7" t="str">
        <f>IF(ISNA(MATCH(625,'Transfer Engine'!$C$2:$C$1199,0)),"",INDEX('Compliance Database'!$L$2:$L$1199,MATCH(625,'Transfer Engine'!$C$2:$C$1199,0)))</f>
        <v/>
      </c>
      <c r="M634" s="7" t="str">
        <f>IF(ISNA(MATCH(625,'Transfer Engine'!$C$2:$C$1199,0)),"",INDEX('Compliance Database'!$M$2:$M$1199,MATCH(625,'Transfer Engine'!$C$2:$C$1199,0)))</f>
        <v/>
      </c>
      <c r="N634" s="7" t="str">
        <f>IF(ISNA(MATCH(625,'Transfer Engine'!$C$2:$C$1199,0)),"",INDEX('Compliance Database'!$N$2:$N$1199,MATCH(625,'Transfer Engine'!$C$2:$C$1199,0)))</f>
        <v/>
      </c>
      <c r="O634" s="7" t="str">
        <f>IF(ISNA(MATCH(625,'Transfer Engine'!$C$2:$C$1199,0)),"",INDEX('Compliance Database'!$O$2:$O$1199,MATCH(625,'Transfer Engine'!$C$2:$C$1199,0)))</f>
        <v/>
      </c>
      <c r="P634" s="6" t="str">
        <f>IF(ISNA(MATCH(625,'Transfer Engine'!$C$2:$C$1199,0)),"",HYPERLINK("#Acts!A"&amp;INDEX('Compliance Database'!$P$2:$P$1199,MATCH(625,'Transfer Engine'!$C$2:$C$1199,0)),"Go to Act"))</f>
        <v/>
      </c>
    </row>
    <row r="635" spans="1:16" ht="172.95" customHeight="1" x14ac:dyDescent="0.3">
      <c r="A635" s="6" t="str">
        <f>IF(ISNA(MATCH(626,'Transfer Engine'!$C$2:$C$1199,0)),"",INDEX('Compliance Database'!$A$2:$A$1199,MATCH(626,'Transfer Engine'!$C$2:$C$1199,0)))</f>
        <v/>
      </c>
      <c r="B635" s="6" t="str">
        <f>IF(ISNA(MATCH(626,'Transfer Engine'!$C$2:$C$1199,0)),"",INDEX('Compliance Database'!$B$2:$B$1199,MATCH(626,'Transfer Engine'!$C$2:$C$1199,0)))</f>
        <v/>
      </c>
      <c r="C635" s="6" t="str">
        <f>IF(ISNA(MATCH(626,'Transfer Engine'!$C$2:$C$1199,0)),"",INDEX('Compliance Database'!$C$2:$C$1199,MATCH(626,'Transfer Engine'!$C$2:$C$1199,0)))</f>
        <v/>
      </c>
      <c r="D635" s="7" t="str">
        <f>IF(ISNA(MATCH(626,'Transfer Engine'!$C$2:$C$1199,0)),"",INDEX('Compliance Database'!$D$2:$D$1199,MATCH(626,'Transfer Engine'!$C$2:$C$1199,0)))</f>
        <v/>
      </c>
      <c r="E635" s="6" t="str">
        <f>IF(ISNA(MATCH(626,'Transfer Engine'!$C$2:$C$1199,0)),"",INDEX('Compliance Database'!$E$2:$E$1199,MATCH(626,'Transfer Engine'!$C$2:$C$1199,0)))</f>
        <v/>
      </c>
      <c r="F635" s="6" t="str">
        <f>IF(ISNA(MATCH(626,'Transfer Engine'!$C$2:$C$1199,0)),"",INDEX('Compliance Database'!$F$2:$F$1199,MATCH(626,'Transfer Engine'!$C$2:$C$1199,0)))</f>
        <v/>
      </c>
      <c r="G635" s="6" t="str">
        <f>IF(ISNA(MATCH(626,'Transfer Engine'!$C$2:$C$1199,0)),"",INDEX('Compliance Database'!$G$2:$G$1199,MATCH(626,'Transfer Engine'!$C$2:$C$1199,0)))</f>
        <v/>
      </c>
      <c r="H635" s="7" t="str">
        <f>IF(ISNA(MATCH(626,'Transfer Engine'!$C$2:$C$1199,0)),"",INDEX('Compliance Database'!$H$2:$H$1199,MATCH(626,'Transfer Engine'!$C$2:$C$1199,0)))</f>
        <v/>
      </c>
      <c r="I635" s="7" t="str">
        <f>IF(ISNA(MATCH(626,'Transfer Engine'!$C$2:$C$1199,0)),"",INDEX('Compliance Database'!$I$2:$I$1199,MATCH(626,'Transfer Engine'!$C$2:$C$1199,0)))</f>
        <v/>
      </c>
      <c r="J635" s="6" t="str">
        <f>IF(ISNA(MATCH(626,'Transfer Engine'!$C$2:$C$1199,0)),"",INDEX('Compliance Database'!$J$2:$J$1199,MATCH(626,'Transfer Engine'!$C$2:$C$1199,0)))</f>
        <v/>
      </c>
      <c r="K635" s="7" t="str">
        <f>IF(ISNA(MATCH(626,'Transfer Engine'!$C$2:$C$1199,0)),"",INDEX('Compliance Database'!$K$2:$K$1199,MATCH(626,'Transfer Engine'!$C$2:$C$1199,0)))</f>
        <v/>
      </c>
      <c r="L635" s="7" t="str">
        <f>IF(ISNA(MATCH(626,'Transfer Engine'!$C$2:$C$1199,0)),"",INDEX('Compliance Database'!$L$2:$L$1199,MATCH(626,'Transfer Engine'!$C$2:$C$1199,0)))</f>
        <v/>
      </c>
      <c r="M635" s="7" t="str">
        <f>IF(ISNA(MATCH(626,'Transfer Engine'!$C$2:$C$1199,0)),"",INDEX('Compliance Database'!$M$2:$M$1199,MATCH(626,'Transfer Engine'!$C$2:$C$1199,0)))</f>
        <v/>
      </c>
      <c r="N635" s="7" t="str">
        <f>IF(ISNA(MATCH(626,'Transfer Engine'!$C$2:$C$1199,0)),"",INDEX('Compliance Database'!$N$2:$N$1199,MATCH(626,'Transfer Engine'!$C$2:$C$1199,0)))</f>
        <v/>
      </c>
      <c r="O635" s="7" t="str">
        <f>IF(ISNA(MATCH(626,'Transfer Engine'!$C$2:$C$1199,0)),"",INDEX('Compliance Database'!$O$2:$O$1199,MATCH(626,'Transfer Engine'!$C$2:$C$1199,0)))</f>
        <v/>
      </c>
      <c r="P635" s="6" t="str">
        <f>IF(ISNA(MATCH(626,'Transfer Engine'!$C$2:$C$1199,0)),"",HYPERLINK("#Acts!A"&amp;INDEX('Compliance Database'!$P$2:$P$1199,MATCH(626,'Transfer Engine'!$C$2:$C$1199,0)),"Go to Act"))</f>
        <v/>
      </c>
    </row>
    <row r="636" spans="1:16" ht="172.95" customHeight="1" x14ac:dyDescent="0.3">
      <c r="A636" s="6" t="str">
        <f>IF(ISNA(MATCH(627,'Transfer Engine'!$C$2:$C$1199,0)),"",INDEX('Compliance Database'!$A$2:$A$1199,MATCH(627,'Transfer Engine'!$C$2:$C$1199,0)))</f>
        <v/>
      </c>
      <c r="B636" s="6" t="str">
        <f>IF(ISNA(MATCH(627,'Transfer Engine'!$C$2:$C$1199,0)),"",INDEX('Compliance Database'!$B$2:$B$1199,MATCH(627,'Transfer Engine'!$C$2:$C$1199,0)))</f>
        <v/>
      </c>
      <c r="C636" s="6" t="str">
        <f>IF(ISNA(MATCH(627,'Transfer Engine'!$C$2:$C$1199,0)),"",INDEX('Compliance Database'!$C$2:$C$1199,MATCH(627,'Transfer Engine'!$C$2:$C$1199,0)))</f>
        <v/>
      </c>
      <c r="D636" s="7" t="str">
        <f>IF(ISNA(MATCH(627,'Transfer Engine'!$C$2:$C$1199,0)),"",INDEX('Compliance Database'!$D$2:$D$1199,MATCH(627,'Transfer Engine'!$C$2:$C$1199,0)))</f>
        <v/>
      </c>
      <c r="E636" s="6" t="str">
        <f>IF(ISNA(MATCH(627,'Transfer Engine'!$C$2:$C$1199,0)),"",INDEX('Compliance Database'!$E$2:$E$1199,MATCH(627,'Transfer Engine'!$C$2:$C$1199,0)))</f>
        <v/>
      </c>
      <c r="F636" s="6" t="str">
        <f>IF(ISNA(MATCH(627,'Transfer Engine'!$C$2:$C$1199,0)),"",INDEX('Compliance Database'!$F$2:$F$1199,MATCH(627,'Transfer Engine'!$C$2:$C$1199,0)))</f>
        <v/>
      </c>
      <c r="G636" s="6" t="str">
        <f>IF(ISNA(MATCH(627,'Transfer Engine'!$C$2:$C$1199,0)),"",INDEX('Compliance Database'!$G$2:$G$1199,MATCH(627,'Transfer Engine'!$C$2:$C$1199,0)))</f>
        <v/>
      </c>
      <c r="H636" s="7" t="str">
        <f>IF(ISNA(MATCH(627,'Transfer Engine'!$C$2:$C$1199,0)),"",INDEX('Compliance Database'!$H$2:$H$1199,MATCH(627,'Transfer Engine'!$C$2:$C$1199,0)))</f>
        <v/>
      </c>
      <c r="I636" s="7" t="str">
        <f>IF(ISNA(MATCH(627,'Transfer Engine'!$C$2:$C$1199,0)),"",INDEX('Compliance Database'!$I$2:$I$1199,MATCH(627,'Transfer Engine'!$C$2:$C$1199,0)))</f>
        <v/>
      </c>
      <c r="J636" s="6" t="str">
        <f>IF(ISNA(MATCH(627,'Transfer Engine'!$C$2:$C$1199,0)),"",INDEX('Compliance Database'!$J$2:$J$1199,MATCH(627,'Transfer Engine'!$C$2:$C$1199,0)))</f>
        <v/>
      </c>
      <c r="K636" s="7" t="str">
        <f>IF(ISNA(MATCH(627,'Transfer Engine'!$C$2:$C$1199,0)),"",INDEX('Compliance Database'!$K$2:$K$1199,MATCH(627,'Transfer Engine'!$C$2:$C$1199,0)))</f>
        <v/>
      </c>
      <c r="L636" s="7" t="str">
        <f>IF(ISNA(MATCH(627,'Transfer Engine'!$C$2:$C$1199,0)),"",INDEX('Compliance Database'!$L$2:$L$1199,MATCH(627,'Transfer Engine'!$C$2:$C$1199,0)))</f>
        <v/>
      </c>
      <c r="M636" s="7" t="str">
        <f>IF(ISNA(MATCH(627,'Transfer Engine'!$C$2:$C$1199,0)),"",INDEX('Compliance Database'!$M$2:$M$1199,MATCH(627,'Transfer Engine'!$C$2:$C$1199,0)))</f>
        <v/>
      </c>
      <c r="N636" s="7" t="str">
        <f>IF(ISNA(MATCH(627,'Transfer Engine'!$C$2:$C$1199,0)),"",INDEX('Compliance Database'!$N$2:$N$1199,MATCH(627,'Transfer Engine'!$C$2:$C$1199,0)))</f>
        <v/>
      </c>
      <c r="O636" s="7" t="str">
        <f>IF(ISNA(MATCH(627,'Transfer Engine'!$C$2:$C$1199,0)),"",INDEX('Compliance Database'!$O$2:$O$1199,MATCH(627,'Transfer Engine'!$C$2:$C$1199,0)))</f>
        <v/>
      </c>
      <c r="P636" s="6" t="str">
        <f>IF(ISNA(MATCH(627,'Transfer Engine'!$C$2:$C$1199,0)),"",HYPERLINK("#Acts!A"&amp;INDEX('Compliance Database'!$P$2:$P$1199,MATCH(627,'Transfer Engine'!$C$2:$C$1199,0)),"Go to Act"))</f>
        <v/>
      </c>
    </row>
    <row r="637" spans="1:16" ht="172.95" customHeight="1" x14ac:dyDescent="0.3">
      <c r="A637" s="6" t="str">
        <f>IF(ISNA(MATCH(628,'Transfer Engine'!$C$2:$C$1199,0)),"",INDEX('Compliance Database'!$A$2:$A$1199,MATCH(628,'Transfer Engine'!$C$2:$C$1199,0)))</f>
        <v/>
      </c>
      <c r="B637" s="6" t="str">
        <f>IF(ISNA(MATCH(628,'Transfer Engine'!$C$2:$C$1199,0)),"",INDEX('Compliance Database'!$B$2:$B$1199,MATCH(628,'Transfer Engine'!$C$2:$C$1199,0)))</f>
        <v/>
      </c>
      <c r="C637" s="6" t="str">
        <f>IF(ISNA(MATCH(628,'Transfer Engine'!$C$2:$C$1199,0)),"",INDEX('Compliance Database'!$C$2:$C$1199,MATCH(628,'Transfer Engine'!$C$2:$C$1199,0)))</f>
        <v/>
      </c>
      <c r="D637" s="7" t="str">
        <f>IF(ISNA(MATCH(628,'Transfer Engine'!$C$2:$C$1199,0)),"",INDEX('Compliance Database'!$D$2:$D$1199,MATCH(628,'Transfer Engine'!$C$2:$C$1199,0)))</f>
        <v/>
      </c>
      <c r="E637" s="6" t="str">
        <f>IF(ISNA(MATCH(628,'Transfer Engine'!$C$2:$C$1199,0)),"",INDEX('Compliance Database'!$E$2:$E$1199,MATCH(628,'Transfer Engine'!$C$2:$C$1199,0)))</f>
        <v/>
      </c>
      <c r="F637" s="6" t="str">
        <f>IF(ISNA(MATCH(628,'Transfer Engine'!$C$2:$C$1199,0)),"",INDEX('Compliance Database'!$F$2:$F$1199,MATCH(628,'Transfer Engine'!$C$2:$C$1199,0)))</f>
        <v/>
      </c>
      <c r="G637" s="6" t="str">
        <f>IF(ISNA(MATCH(628,'Transfer Engine'!$C$2:$C$1199,0)),"",INDEX('Compliance Database'!$G$2:$G$1199,MATCH(628,'Transfer Engine'!$C$2:$C$1199,0)))</f>
        <v/>
      </c>
      <c r="H637" s="7" t="str">
        <f>IF(ISNA(MATCH(628,'Transfer Engine'!$C$2:$C$1199,0)),"",INDEX('Compliance Database'!$H$2:$H$1199,MATCH(628,'Transfer Engine'!$C$2:$C$1199,0)))</f>
        <v/>
      </c>
      <c r="I637" s="7" t="str">
        <f>IF(ISNA(MATCH(628,'Transfer Engine'!$C$2:$C$1199,0)),"",INDEX('Compliance Database'!$I$2:$I$1199,MATCH(628,'Transfer Engine'!$C$2:$C$1199,0)))</f>
        <v/>
      </c>
      <c r="J637" s="6" t="str">
        <f>IF(ISNA(MATCH(628,'Transfer Engine'!$C$2:$C$1199,0)),"",INDEX('Compliance Database'!$J$2:$J$1199,MATCH(628,'Transfer Engine'!$C$2:$C$1199,0)))</f>
        <v/>
      </c>
      <c r="K637" s="7" t="str">
        <f>IF(ISNA(MATCH(628,'Transfer Engine'!$C$2:$C$1199,0)),"",INDEX('Compliance Database'!$K$2:$K$1199,MATCH(628,'Transfer Engine'!$C$2:$C$1199,0)))</f>
        <v/>
      </c>
      <c r="L637" s="7" t="str">
        <f>IF(ISNA(MATCH(628,'Transfer Engine'!$C$2:$C$1199,0)),"",INDEX('Compliance Database'!$L$2:$L$1199,MATCH(628,'Transfer Engine'!$C$2:$C$1199,0)))</f>
        <v/>
      </c>
      <c r="M637" s="7" t="str">
        <f>IF(ISNA(MATCH(628,'Transfer Engine'!$C$2:$C$1199,0)),"",INDEX('Compliance Database'!$M$2:$M$1199,MATCH(628,'Transfer Engine'!$C$2:$C$1199,0)))</f>
        <v/>
      </c>
      <c r="N637" s="7" t="str">
        <f>IF(ISNA(MATCH(628,'Transfer Engine'!$C$2:$C$1199,0)),"",INDEX('Compliance Database'!$N$2:$N$1199,MATCH(628,'Transfer Engine'!$C$2:$C$1199,0)))</f>
        <v/>
      </c>
      <c r="O637" s="7" t="str">
        <f>IF(ISNA(MATCH(628,'Transfer Engine'!$C$2:$C$1199,0)),"",INDEX('Compliance Database'!$O$2:$O$1199,MATCH(628,'Transfer Engine'!$C$2:$C$1199,0)))</f>
        <v/>
      </c>
      <c r="P637" s="6" t="str">
        <f>IF(ISNA(MATCH(628,'Transfer Engine'!$C$2:$C$1199,0)),"",HYPERLINK("#Acts!A"&amp;INDEX('Compliance Database'!$P$2:$P$1199,MATCH(628,'Transfer Engine'!$C$2:$C$1199,0)),"Go to Act"))</f>
        <v/>
      </c>
    </row>
    <row r="638" spans="1:16" ht="172.95" customHeight="1" x14ac:dyDescent="0.3">
      <c r="A638" s="6" t="str">
        <f>IF(ISNA(MATCH(629,'Transfer Engine'!$C$2:$C$1199,0)),"",INDEX('Compliance Database'!$A$2:$A$1199,MATCH(629,'Transfer Engine'!$C$2:$C$1199,0)))</f>
        <v/>
      </c>
      <c r="B638" s="6" t="str">
        <f>IF(ISNA(MATCH(629,'Transfer Engine'!$C$2:$C$1199,0)),"",INDEX('Compliance Database'!$B$2:$B$1199,MATCH(629,'Transfer Engine'!$C$2:$C$1199,0)))</f>
        <v/>
      </c>
      <c r="C638" s="6" t="str">
        <f>IF(ISNA(MATCH(629,'Transfer Engine'!$C$2:$C$1199,0)),"",INDEX('Compliance Database'!$C$2:$C$1199,MATCH(629,'Transfer Engine'!$C$2:$C$1199,0)))</f>
        <v/>
      </c>
      <c r="D638" s="7" t="str">
        <f>IF(ISNA(MATCH(629,'Transfer Engine'!$C$2:$C$1199,0)),"",INDEX('Compliance Database'!$D$2:$D$1199,MATCH(629,'Transfer Engine'!$C$2:$C$1199,0)))</f>
        <v/>
      </c>
      <c r="E638" s="6" t="str">
        <f>IF(ISNA(MATCH(629,'Transfer Engine'!$C$2:$C$1199,0)),"",INDEX('Compliance Database'!$E$2:$E$1199,MATCH(629,'Transfer Engine'!$C$2:$C$1199,0)))</f>
        <v/>
      </c>
      <c r="F638" s="6" t="str">
        <f>IF(ISNA(MATCH(629,'Transfer Engine'!$C$2:$C$1199,0)),"",INDEX('Compliance Database'!$F$2:$F$1199,MATCH(629,'Transfer Engine'!$C$2:$C$1199,0)))</f>
        <v/>
      </c>
      <c r="G638" s="6" t="str">
        <f>IF(ISNA(MATCH(629,'Transfer Engine'!$C$2:$C$1199,0)),"",INDEX('Compliance Database'!$G$2:$G$1199,MATCH(629,'Transfer Engine'!$C$2:$C$1199,0)))</f>
        <v/>
      </c>
      <c r="H638" s="7" t="str">
        <f>IF(ISNA(MATCH(629,'Transfer Engine'!$C$2:$C$1199,0)),"",INDEX('Compliance Database'!$H$2:$H$1199,MATCH(629,'Transfer Engine'!$C$2:$C$1199,0)))</f>
        <v/>
      </c>
      <c r="I638" s="7" t="str">
        <f>IF(ISNA(MATCH(629,'Transfer Engine'!$C$2:$C$1199,0)),"",INDEX('Compliance Database'!$I$2:$I$1199,MATCH(629,'Transfer Engine'!$C$2:$C$1199,0)))</f>
        <v/>
      </c>
      <c r="J638" s="6" t="str">
        <f>IF(ISNA(MATCH(629,'Transfer Engine'!$C$2:$C$1199,0)),"",INDEX('Compliance Database'!$J$2:$J$1199,MATCH(629,'Transfer Engine'!$C$2:$C$1199,0)))</f>
        <v/>
      </c>
      <c r="K638" s="7" t="str">
        <f>IF(ISNA(MATCH(629,'Transfer Engine'!$C$2:$C$1199,0)),"",INDEX('Compliance Database'!$K$2:$K$1199,MATCH(629,'Transfer Engine'!$C$2:$C$1199,0)))</f>
        <v/>
      </c>
      <c r="L638" s="7" t="str">
        <f>IF(ISNA(MATCH(629,'Transfer Engine'!$C$2:$C$1199,0)),"",INDEX('Compliance Database'!$L$2:$L$1199,MATCH(629,'Transfer Engine'!$C$2:$C$1199,0)))</f>
        <v/>
      </c>
      <c r="M638" s="7" t="str">
        <f>IF(ISNA(MATCH(629,'Transfer Engine'!$C$2:$C$1199,0)),"",INDEX('Compliance Database'!$M$2:$M$1199,MATCH(629,'Transfer Engine'!$C$2:$C$1199,0)))</f>
        <v/>
      </c>
      <c r="N638" s="7" t="str">
        <f>IF(ISNA(MATCH(629,'Transfer Engine'!$C$2:$C$1199,0)),"",INDEX('Compliance Database'!$N$2:$N$1199,MATCH(629,'Transfer Engine'!$C$2:$C$1199,0)))</f>
        <v/>
      </c>
      <c r="O638" s="7" t="str">
        <f>IF(ISNA(MATCH(629,'Transfer Engine'!$C$2:$C$1199,0)),"",INDEX('Compliance Database'!$O$2:$O$1199,MATCH(629,'Transfer Engine'!$C$2:$C$1199,0)))</f>
        <v/>
      </c>
      <c r="P638" s="6" t="str">
        <f>IF(ISNA(MATCH(629,'Transfer Engine'!$C$2:$C$1199,0)),"",HYPERLINK("#Acts!A"&amp;INDEX('Compliance Database'!$P$2:$P$1199,MATCH(629,'Transfer Engine'!$C$2:$C$1199,0)),"Go to Act"))</f>
        <v/>
      </c>
    </row>
    <row r="639" spans="1:16" ht="172.95" customHeight="1" x14ac:dyDescent="0.3">
      <c r="A639" s="6" t="str">
        <f>IF(ISNA(MATCH(630,'Transfer Engine'!$C$2:$C$1199,0)),"",INDEX('Compliance Database'!$A$2:$A$1199,MATCH(630,'Transfer Engine'!$C$2:$C$1199,0)))</f>
        <v/>
      </c>
      <c r="B639" s="6" t="str">
        <f>IF(ISNA(MATCH(630,'Transfer Engine'!$C$2:$C$1199,0)),"",INDEX('Compliance Database'!$B$2:$B$1199,MATCH(630,'Transfer Engine'!$C$2:$C$1199,0)))</f>
        <v/>
      </c>
      <c r="C639" s="6" t="str">
        <f>IF(ISNA(MATCH(630,'Transfer Engine'!$C$2:$C$1199,0)),"",INDEX('Compliance Database'!$C$2:$C$1199,MATCH(630,'Transfer Engine'!$C$2:$C$1199,0)))</f>
        <v/>
      </c>
      <c r="D639" s="7" t="str">
        <f>IF(ISNA(MATCH(630,'Transfer Engine'!$C$2:$C$1199,0)),"",INDEX('Compliance Database'!$D$2:$D$1199,MATCH(630,'Transfer Engine'!$C$2:$C$1199,0)))</f>
        <v/>
      </c>
      <c r="E639" s="6" t="str">
        <f>IF(ISNA(MATCH(630,'Transfer Engine'!$C$2:$C$1199,0)),"",INDEX('Compliance Database'!$E$2:$E$1199,MATCH(630,'Transfer Engine'!$C$2:$C$1199,0)))</f>
        <v/>
      </c>
      <c r="F639" s="6" t="str">
        <f>IF(ISNA(MATCH(630,'Transfer Engine'!$C$2:$C$1199,0)),"",INDEX('Compliance Database'!$F$2:$F$1199,MATCH(630,'Transfer Engine'!$C$2:$C$1199,0)))</f>
        <v/>
      </c>
      <c r="G639" s="6" t="str">
        <f>IF(ISNA(MATCH(630,'Transfer Engine'!$C$2:$C$1199,0)),"",INDEX('Compliance Database'!$G$2:$G$1199,MATCH(630,'Transfer Engine'!$C$2:$C$1199,0)))</f>
        <v/>
      </c>
      <c r="H639" s="7" t="str">
        <f>IF(ISNA(MATCH(630,'Transfer Engine'!$C$2:$C$1199,0)),"",INDEX('Compliance Database'!$H$2:$H$1199,MATCH(630,'Transfer Engine'!$C$2:$C$1199,0)))</f>
        <v/>
      </c>
      <c r="I639" s="7" t="str">
        <f>IF(ISNA(MATCH(630,'Transfer Engine'!$C$2:$C$1199,0)),"",INDEX('Compliance Database'!$I$2:$I$1199,MATCH(630,'Transfer Engine'!$C$2:$C$1199,0)))</f>
        <v/>
      </c>
      <c r="J639" s="6" t="str">
        <f>IF(ISNA(MATCH(630,'Transfer Engine'!$C$2:$C$1199,0)),"",INDEX('Compliance Database'!$J$2:$J$1199,MATCH(630,'Transfer Engine'!$C$2:$C$1199,0)))</f>
        <v/>
      </c>
      <c r="K639" s="7" t="str">
        <f>IF(ISNA(MATCH(630,'Transfer Engine'!$C$2:$C$1199,0)),"",INDEX('Compliance Database'!$K$2:$K$1199,MATCH(630,'Transfer Engine'!$C$2:$C$1199,0)))</f>
        <v/>
      </c>
      <c r="L639" s="7" t="str">
        <f>IF(ISNA(MATCH(630,'Transfer Engine'!$C$2:$C$1199,0)),"",INDEX('Compliance Database'!$L$2:$L$1199,MATCH(630,'Transfer Engine'!$C$2:$C$1199,0)))</f>
        <v/>
      </c>
      <c r="M639" s="7" t="str">
        <f>IF(ISNA(MATCH(630,'Transfer Engine'!$C$2:$C$1199,0)),"",INDEX('Compliance Database'!$M$2:$M$1199,MATCH(630,'Transfer Engine'!$C$2:$C$1199,0)))</f>
        <v/>
      </c>
      <c r="N639" s="7" t="str">
        <f>IF(ISNA(MATCH(630,'Transfer Engine'!$C$2:$C$1199,0)),"",INDEX('Compliance Database'!$N$2:$N$1199,MATCH(630,'Transfer Engine'!$C$2:$C$1199,0)))</f>
        <v/>
      </c>
      <c r="O639" s="7" t="str">
        <f>IF(ISNA(MATCH(630,'Transfer Engine'!$C$2:$C$1199,0)),"",INDEX('Compliance Database'!$O$2:$O$1199,MATCH(630,'Transfer Engine'!$C$2:$C$1199,0)))</f>
        <v/>
      </c>
      <c r="P639" s="6" t="str">
        <f>IF(ISNA(MATCH(630,'Transfer Engine'!$C$2:$C$1199,0)),"",HYPERLINK("#Acts!A"&amp;INDEX('Compliance Database'!$P$2:$P$1199,MATCH(630,'Transfer Engine'!$C$2:$C$1199,0)),"Go to Act"))</f>
        <v/>
      </c>
    </row>
    <row r="640" spans="1:16" ht="172.95" customHeight="1" x14ac:dyDescent="0.3">
      <c r="A640" s="6" t="str">
        <f>IF(ISNA(MATCH(631,'Transfer Engine'!$C$2:$C$1199,0)),"",INDEX('Compliance Database'!$A$2:$A$1199,MATCH(631,'Transfer Engine'!$C$2:$C$1199,0)))</f>
        <v/>
      </c>
      <c r="B640" s="6" t="str">
        <f>IF(ISNA(MATCH(631,'Transfer Engine'!$C$2:$C$1199,0)),"",INDEX('Compliance Database'!$B$2:$B$1199,MATCH(631,'Transfer Engine'!$C$2:$C$1199,0)))</f>
        <v/>
      </c>
      <c r="C640" s="6" t="str">
        <f>IF(ISNA(MATCH(631,'Transfer Engine'!$C$2:$C$1199,0)),"",INDEX('Compliance Database'!$C$2:$C$1199,MATCH(631,'Transfer Engine'!$C$2:$C$1199,0)))</f>
        <v/>
      </c>
      <c r="D640" s="7" t="str">
        <f>IF(ISNA(MATCH(631,'Transfer Engine'!$C$2:$C$1199,0)),"",INDEX('Compliance Database'!$D$2:$D$1199,MATCH(631,'Transfer Engine'!$C$2:$C$1199,0)))</f>
        <v/>
      </c>
      <c r="E640" s="6" t="str">
        <f>IF(ISNA(MATCH(631,'Transfer Engine'!$C$2:$C$1199,0)),"",INDEX('Compliance Database'!$E$2:$E$1199,MATCH(631,'Transfer Engine'!$C$2:$C$1199,0)))</f>
        <v/>
      </c>
      <c r="F640" s="6" t="str">
        <f>IF(ISNA(MATCH(631,'Transfer Engine'!$C$2:$C$1199,0)),"",INDEX('Compliance Database'!$F$2:$F$1199,MATCH(631,'Transfer Engine'!$C$2:$C$1199,0)))</f>
        <v/>
      </c>
      <c r="G640" s="6" t="str">
        <f>IF(ISNA(MATCH(631,'Transfer Engine'!$C$2:$C$1199,0)),"",INDEX('Compliance Database'!$G$2:$G$1199,MATCH(631,'Transfer Engine'!$C$2:$C$1199,0)))</f>
        <v/>
      </c>
      <c r="H640" s="7" t="str">
        <f>IF(ISNA(MATCH(631,'Transfer Engine'!$C$2:$C$1199,0)),"",INDEX('Compliance Database'!$H$2:$H$1199,MATCH(631,'Transfer Engine'!$C$2:$C$1199,0)))</f>
        <v/>
      </c>
      <c r="I640" s="7" t="str">
        <f>IF(ISNA(MATCH(631,'Transfer Engine'!$C$2:$C$1199,0)),"",INDEX('Compliance Database'!$I$2:$I$1199,MATCH(631,'Transfer Engine'!$C$2:$C$1199,0)))</f>
        <v/>
      </c>
      <c r="J640" s="6" t="str">
        <f>IF(ISNA(MATCH(631,'Transfer Engine'!$C$2:$C$1199,0)),"",INDEX('Compliance Database'!$J$2:$J$1199,MATCH(631,'Transfer Engine'!$C$2:$C$1199,0)))</f>
        <v/>
      </c>
      <c r="K640" s="7" t="str">
        <f>IF(ISNA(MATCH(631,'Transfer Engine'!$C$2:$C$1199,0)),"",INDEX('Compliance Database'!$K$2:$K$1199,MATCH(631,'Transfer Engine'!$C$2:$C$1199,0)))</f>
        <v/>
      </c>
      <c r="L640" s="7" t="str">
        <f>IF(ISNA(MATCH(631,'Transfer Engine'!$C$2:$C$1199,0)),"",INDEX('Compliance Database'!$L$2:$L$1199,MATCH(631,'Transfer Engine'!$C$2:$C$1199,0)))</f>
        <v/>
      </c>
      <c r="M640" s="7" t="str">
        <f>IF(ISNA(MATCH(631,'Transfer Engine'!$C$2:$C$1199,0)),"",INDEX('Compliance Database'!$M$2:$M$1199,MATCH(631,'Transfer Engine'!$C$2:$C$1199,0)))</f>
        <v/>
      </c>
      <c r="N640" s="7" t="str">
        <f>IF(ISNA(MATCH(631,'Transfer Engine'!$C$2:$C$1199,0)),"",INDEX('Compliance Database'!$N$2:$N$1199,MATCH(631,'Transfer Engine'!$C$2:$C$1199,0)))</f>
        <v/>
      </c>
      <c r="O640" s="7" t="str">
        <f>IF(ISNA(MATCH(631,'Transfer Engine'!$C$2:$C$1199,0)),"",INDEX('Compliance Database'!$O$2:$O$1199,MATCH(631,'Transfer Engine'!$C$2:$C$1199,0)))</f>
        <v/>
      </c>
      <c r="P640" s="6" t="str">
        <f>IF(ISNA(MATCH(631,'Transfer Engine'!$C$2:$C$1199,0)),"",HYPERLINK("#Acts!A"&amp;INDEX('Compliance Database'!$P$2:$P$1199,MATCH(631,'Transfer Engine'!$C$2:$C$1199,0)),"Go to Act"))</f>
        <v/>
      </c>
    </row>
    <row r="641" spans="1:16" ht="172.95" customHeight="1" x14ac:dyDescent="0.3">
      <c r="A641" s="6" t="str">
        <f>IF(ISNA(MATCH(632,'Transfer Engine'!$C$2:$C$1199,0)),"",INDEX('Compliance Database'!$A$2:$A$1199,MATCH(632,'Transfer Engine'!$C$2:$C$1199,0)))</f>
        <v/>
      </c>
      <c r="B641" s="6" t="str">
        <f>IF(ISNA(MATCH(632,'Transfer Engine'!$C$2:$C$1199,0)),"",INDEX('Compliance Database'!$B$2:$B$1199,MATCH(632,'Transfer Engine'!$C$2:$C$1199,0)))</f>
        <v/>
      </c>
      <c r="C641" s="6" t="str">
        <f>IF(ISNA(MATCH(632,'Transfer Engine'!$C$2:$C$1199,0)),"",INDEX('Compliance Database'!$C$2:$C$1199,MATCH(632,'Transfer Engine'!$C$2:$C$1199,0)))</f>
        <v/>
      </c>
      <c r="D641" s="7" t="str">
        <f>IF(ISNA(MATCH(632,'Transfer Engine'!$C$2:$C$1199,0)),"",INDEX('Compliance Database'!$D$2:$D$1199,MATCH(632,'Transfer Engine'!$C$2:$C$1199,0)))</f>
        <v/>
      </c>
      <c r="E641" s="6" t="str">
        <f>IF(ISNA(MATCH(632,'Transfer Engine'!$C$2:$C$1199,0)),"",INDEX('Compliance Database'!$E$2:$E$1199,MATCH(632,'Transfer Engine'!$C$2:$C$1199,0)))</f>
        <v/>
      </c>
      <c r="F641" s="6" t="str">
        <f>IF(ISNA(MATCH(632,'Transfer Engine'!$C$2:$C$1199,0)),"",INDEX('Compliance Database'!$F$2:$F$1199,MATCH(632,'Transfer Engine'!$C$2:$C$1199,0)))</f>
        <v/>
      </c>
      <c r="G641" s="6" t="str">
        <f>IF(ISNA(MATCH(632,'Transfer Engine'!$C$2:$C$1199,0)),"",INDEX('Compliance Database'!$G$2:$G$1199,MATCH(632,'Transfer Engine'!$C$2:$C$1199,0)))</f>
        <v/>
      </c>
      <c r="H641" s="7" t="str">
        <f>IF(ISNA(MATCH(632,'Transfer Engine'!$C$2:$C$1199,0)),"",INDEX('Compliance Database'!$H$2:$H$1199,MATCH(632,'Transfer Engine'!$C$2:$C$1199,0)))</f>
        <v/>
      </c>
      <c r="I641" s="7" t="str">
        <f>IF(ISNA(MATCH(632,'Transfer Engine'!$C$2:$C$1199,0)),"",INDEX('Compliance Database'!$I$2:$I$1199,MATCH(632,'Transfer Engine'!$C$2:$C$1199,0)))</f>
        <v/>
      </c>
      <c r="J641" s="6" t="str">
        <f>IF(ISNA(MATCH(632,'Transfer Engine'!$C$2:$C$1199,0)),"",INDEX('Compliance Database'!$J$2:$J$1199,MATCH(632,'Transfer Engine'!$C$2:$C$1199,0)))</f>
        <v/>
      </c>
      <c r="K641" s="7" t="str">
        <f>IF(ISNA(MATCH(632,'Transfer Engine'!$C$2:$C$1199,0)),"",INDEX('Compliance Database'!$K$2:$K$1199,MATCH(632,'Transfer Engine'!$C$2:$C$1199,0)))</f>
        <v/>
      </c>
      <c r="L641" s="7" t="str">
        <f>IF(ISNA(MATCH(632,'Transfer Engine'!$C$2:$C$1199,0)),"",INDEX('Compliance Database'!$L$2:$L$1199,MATCH(632,'Transfer Engine'!$C$2:$C$1199,0)))</f>
        <v/>
      </c>
      <c r="M641" s="7" t="str">
        <f>IF(ISNA(MATCH(632,'Transfer Engine'!$C$2:$C$1199,0)),"",INDEX('Compliance Database'!$M$2:$M$1199,MATCH(632,'Transfer Engine'!$C$2:$C$1199,0)))</f>
        <v/>
      </c>
      <c r="N641" s="7" t="str">
        <f>IF(ISNA(MATCH(632,'Transfer Engine'!$C$2:$C$1199,0)),"",INDEX('Compliance Database'!$N$2:$N$1199,MATCH(632,'Transfer Engine'!$C$2:$C$1199,0)))</f>
        <v/>
      </c>
      <c r="O641" s="7" t="str">
        <f>IF(ISNA(MATCH(632,'Transfer Engine'!$C$2:$C$1199,0)),"",INDEX('Compliance Database'!$O$2:$O$1199,MATCH(632,'Transfer Engine'!$C$2:$C$1199,0)))</f>
        <v/>
      </c>
      <c r="P641" s="6" t="str">
        <f>IF(ISNA(MATCH(632,'Transfer Engine'!$C$2:$C$1199,0)),"",HYPERLINK("#Acts!A"&amp;INDEX('Compliance Database'!$P$2:$P$1199,MATCH(632,'Transfer Engine'!$C$2:$C$1199,0)),"Go to Act"))</f>
        <v/>
      </c>
    </row>
    <row r="642" spans="1:16" ht="172.95" customHeight="1" x14ac:dyDescent="0.3">
      <c r="A642" s="6" t="str">
        <f>IF(ISNA(MATCH(633,'Transfer Engine'!$C$2:$C$1199,0)),"",INDEX('Compliance Database'!$A$2:$A$1199,MATCH(633,'Transfer Engine'!$C$2:$C$1199,0)))</f>
        <v/>
      </c>
      <c r="B642" s="6" t="str">
        <f>IF(ISNA(MATCH(633,'Transfer Engine'!$C$2:$C$1199,0)),"",INDEX('Compliance Database'!$B$2:$B$1199,MATCH(633,'Transfer Engine'!$C$2:$C$1199,0)))</f>
        <v/>
      </c>
      <c r="C642" s="6" t="str">
        <f>IF(ISNA(MATCH(633,'Transfer Engine'!$C$2:$C$1199,0)),"",INDEX('Compliance Database'!$C$2:$C$1199,MATCH(633,'Transfer Engine'!$C$2:$C$1199,0)))</f>
        <v/>
      </c>
      <c r="D642" s="7" t="str">
        <f>IF(ISNA(MATCH(633,'Transfer Engine'!$C$2:$C$1199,0)),"",INDEX('Compliance Database'!$D$2:$D$1199,MATCH(633,'Transfer Engine'!$C$2:$C$1199,0)))</f>
        <v/>
      </c>
      <c r="E642" s="6" t="str">
        <f>IF(ISNA(MATCH(633,'Transfer Engine'!$C$2:$C$1199,0)),"",INDEX('Compliance Database'!$E$2:$E$1199,MATCH(633,'Transfer Engine'!$C$2:$C$1199,0)))</f>
        <v/>
      </c>
      <c r="F642" s="6" t="str">
        <f>IF(ISNA(MATCH(633,'Transfer Engine'!$C$2:$C$1199,0)),"",INDEX('Compliance Database'!$F$2:$F$1199,MATCH(633,'Transfer Engine'!$C$2:$C$1199,0)))</f>
        <v/>
      </c>
      <c r="G642" s="6" t="str">
        <f>IF(ISNA(MATCH(633,'Transfer Engine'!$C$2:$C$1199,0)),"",INDEX('Compliance Database'!$G$2:$G$1199,MATCH(633,'Transfer Engine'!$C$2:$C$1199,0)))</f>
        <v/>
      </c>
      <c r="H642" s="7" t="str">
        <f>IF(ISNA(MATCH(633,'Transfer Engine'!$C$2:$C$1199,0)),"",INDEX('Compliance Database'!$H$2:$H$1199,MATCH(633,'Transfer Engine'!$C$2:$C$1199,0)))</f>
        <v/>
      </c>
      <c r="I642" s="7" t="str">
        <f>IF(ISNA(MATCH(633,'Transfer Engine'!$C$2:$C$1199,0)),"",INDEX('Compliance Database'!$I$2:$I$1199,MATCH(633,'Transfer Engine'!$C$2:$C$1199,0)))</f>
        <v/>
      </c>
      <c r="J642" s="6" t="str">
        <f>IF(ISNA(MATCH(633,'Transfer Engine'!$C$2:$C$1199,0)),"",INDEX('Compliance Database'!$J$2:$J$1199,MATCH(633,'Transfer Engine'!$C$2:$C$1199,0)))</f>
        <v/>
      </c>
      <c r="K642" s="7" t="str">
        <f>IF(ISNA(MATCH(633,'Transfer Engine'!$C$2:$C$1199,0)),"",INDEX('Compliance Database'!$K$2:$K$1199,MATCH(633,'Transfer Engine'!$C$2:$C$1199,0)))</f>
        <v/>
      </c>
      <c r="L642" s="7" t="str">
        <f>IF(ISNA(MATCH(633,'Transfer Engine'!$C$2:$C$1199,0)),"",INDEX('Compliance Database'!$L$2:$L$1199,MATCH(633,'Transfer Engine'!$C$2:$C$1199,0)))</f>
        <v/>
      </c>
      <c r="M642" s="7" t="str">
        <f>IF(ISNA(MATCH(633,'Transfer Engine'!$C$2:$C$1199,0)),"",INDEX('Compliance Database'!$M$2:$M$1199,MATCH(633,'Transfer Engine'!$C$2:$C$1199,0)))</f>
        <v/>
      </c>
      <c r="N642" s="7" t="str">
        <f>IF(ISNA(MATCH(633,'Transfer Engine'!$C$2:$C$1199,0)),"",INDEX('Compliance Database'!$N$2:$N$1199,MATCH(633,'Transfer Engine'!$C$2:$C$1199,0)))</f>
        <v/>
      </c>
      <c r="O642" s="7" t="str">
        <f>IF(ISNA(MATCH(633,'Transfer Engine'!$C$2:$C$1199,0)),"",INDEX('Compliance Database'!$O$2:$O$1199,MATCH(633,'Transfer Engine'!$C$2:$C$1199,0)))</f>
        <v/>
      </c>
      <c r="P642" s="6" t="str">
        <f>IF(ISNA(MATCH(633,'Transfer Engine'!$C$2:$C$1199,0)),"",HYPERLINK("#Acts!A"&amp;INDEX('Compliance Database'!$P$2:$P$1199,MATCH(633,'Transfer Engine'!$C$2:$C$1199,0)),"Go to Act"))</f>
        <v/>
      </c>
    </row>
    <row r="643" spans="1:16" ht="172.95" customHeight="1" x14ac:dyDescent="0.3">
      <c r="A643" s="6" t="str">
        <f>IF(ISNA(MATCH(634,'Transfer Engine'!$C$2:$C$1199,0)),"",INDEX('Compliance Database'!$A$2:$A$1199,MATCH(634,'Transfer Engine'!$C$2:$C$1199,0)))</f>
        <v/>
      </c>
      <c r="B643" s="6" t="str">
        <f>IF(ISNA(MATCH(634,'Transfer Engine'!$C$2:$C$1199,0)),"",INDEX('Compliance Database'!$B$2:$B$1199,MATCH(634,'Transfer Engine'!$C$2:$C$1199,0)))</f>
        <v/>
      </c>
      <c r="C643" s="6" t="str">
        <f>IF(ISNA(MATCH(634,'Transfer Engine'!$C$2:$C$1199,0)),"",INDEX('Compliance Database'!$C$2:$C$1199,MATCH(634,'Transfer Engine'!$C$2:$C$1199,0)))</f>
        <v/>
      </c>
      <c r="D643" s="7" t="str">
        <f>IF(ISNA(MATCH(634,'Transfer Engine'!$C$2:$C$1199,0)),"",INDEX('Compliance Database'!$D$2:$D$1199,MATCH(634,'Transfer Engine'!$C$2:$C$1199,0)))</f>
        <v/>
      </c>
      <c r="E643" s="6" t="str">
        <f>IF(ISNA(MATCH(634,'Transfer Engine'!$C$2:$C$1199,0)),"",INDEX('Compliance Database'!$E$2:$E$1199,MATCH(634,'Transfer Engine'!$C$2:$C$1199,0)))</f>
        <v/>
      </c>
      <c r="F643" s="6" t="str">
        <f>IF(ISNA(MATCH(634,'Transfer Engine'!$C$2:$C$1199,0)),"",INDEX('Compliance Database'!$F$2:$F$1199,MATCH(634,'Transfer Engine'!$C$2:$C$1199,0)))</f>
        <v/>
      </c>
      <c r="G643" s="6" t="str">
        <f>IF(ISNA(MATCH(634,'Transfer Engine'!$C$2:$C$1199,0)),"",INDEX('Compliance Database'!$G$2:$G$1199,MATCH(634,'Transfer Engine'!$C$2:$C$1199,0)))</f>
        <v/>
      </c>
      <c r="H643" s="7" t="str">
        <f>IF(ISNA(MATCH(634,'Transfer Engine'!$C$2:$C$1199,0)),"",INDEX('Compliance Database'!$H$2:$H$1199,MATCH(634,'Transfer Engine'!$C$2:$C$1199,0)))</f>
        <v/>
      </c>
      <c r="I643" s="7" t="str">
        <f>IF(ISNA(MATCH(634,'Transfer Engine'!$C$2:$C$1199,0)),"",INDEX('Compliance Database'!$I$2:$I$1199,MATCH(634,'Transfer Engine'!$C$2:$C$1199,0)))</f>
        <v/>
      </c>
      <c r="J643" s="6" t="str">
        <f>IF(ISNA(MATCH(634,'Transfer Engine'!$C$2:$C$1199,0)),"",INDEX('Compliance Database'!$J$2:$J$1199,MATCH(634,'Transfer Engine'!$C$2:$C$1199,0)))</f>
        <v/>
      </c>
      <c r="K643" s="7" t="str">
        <f>IF(ISNA(MATCH(634,'Transfer Engine'!$C$2:$C$1199,0)),"",INDEX('Compliance Database'!$K$2:$K$1199,MATCH(634,'Transfer Engine'!$C$2:$C$1199,0)))</f>
        <v/>
      </c>
      <c r="L643" s="7" t="str">
        <f>IF(ISNA(MATCH(634,'Transfer Engine'!$C$2:$C$1199,0)),"",INDEX('Compliance Database'!$L$2:$L$1199,MATCH(634,'Transfer Engine'!$C$2:$C$1199,0)))</f>
        <v/>
      </c>
      <c r="M643" s="7" t="str">
        <f>IF(ISNA(MATCH(634,'Transfer Engine'!$C$2:$C$1199,0)),"",INDEX('Compliance Database'!$M$2:$M$1199,MATCH(634,'Transfer Engine'!$C$2:$C$1199,0)))</f>
        <v/>
      </c>
      <c r="N643" s="7" t="str">
        <f>IF(ISNA(MATCH(634,'Transfer Engine'!$C$2:$C$1199,0)),"",INDEX('Compliance Database'!$N$2:$N$1199,MATCH(634,'Transfer Engine'!$C$2:$C$1199,0)))</f>
        <v/>
      </c>
      <c r="O643" s="7" t="str">
        <f>IF(ISNA(MATCH(634,'Transfer Engine'!$C$2:$C$1199,0)),"",INDEX('Compliance Database'!$O$2:$O$1199,MATCH(634,'Transfer Engine'!$C$2:$C$1199,0)))</f>
        <v/>
      </c>
      <c r="P643" s="6" t="str">
        <f>IF(ISNA(MATCH(634,'Transfer Engine'!$C$2:$C$1199,0)),"",HYPERLINK("#Acts!A"&amp;INDEX('Compliance Database'!$P$2:$P$1199,MATCH(634,'Transfer Engine'!$C$2:$C$1199,0)),"Go to Act"))</f>
        <v/>
      </c>
    </row>
    <row r="644" spans="1:16" ht="172.95" customHeight="1" x14ac:dyDescent="0.3">
      <c r="A644" s="6" t="str">
        <f>IF(ISNA(MATCH(635,'Transfer Engine'!$C$2:$C$1199,0)),"",INDEX('Compliance Database'!$A$2:$A$1199,MATCH(635,'Transfer Engine'!$C$2:$C$1199,0)))</f>
        <v/>
      </c>
      <c r="B644" s="6" t="str">
        <f>IF(ISNA(MATCH(635,'Transfer Engine'!$C$2:$C$1199,0)),"",INDEX('Compliance Database'!$B$2:$B$1199,MATCH(635,'Transfer Engine'!$C$2:$C$1199,0)))</f>
        <v/>
      </c>
      <c r="C644" s="6" t="str">
        <f>IF(ISNA(MATCH(635,'Transfer Engine'!$C$2:$C$1199,0)),"",INDEX('Compliance Database'!$C$2:$C$1199,MATCH(635,'Transfer Engine'!$C$2:$C$1199,0)))</f>
        <v/>
      </c>
      <c r="D644" s="7" t="str">
        <f>IF(ISNA(MATCH(635,'Transfer Engine'!$C$2:$C$1199,0)),"",INDEX('Compliance Database'!$D$2:$D$1199,MATCH(635,'Transfer Engine'!$C$2:$C$1199,0)))</f>
        <v/>
      </c>
      <c r="E644" s="6" t="str">
        <f>IF(ISNA(MATCH(635,'Transfer Engine'!$C$2:$C$1199,0)),"",INDEX('Compliance Database'!$E$2:$E$1199,MATCH(635,'Transfer Engine'!$C$2:$C$1199,0)))</f>
        <v/>
      </c>
      <c r="F644" s="6" t="str">
        <f>IF(ISNA(MATCH(635,'Transfer Engine'!$C$2:$C$1199,0)),"",INDEX('Compliance Database'!$F$2:$F$1199,MATCH(635,'Transfer Engine'!$C$2:$C$1199,0)))</f>
        <v/>
      </c>
      <c r="G644" s="6" t="str">
        <f>IF(ISNA(MATCH(635,'Transfer Engine'!$C$2:$C$1199,0)),"",INDEX('Compliance Database'!$G$2:$G$1199,MATCH(635,'Transfer Engine'!$C$2:$C$1199,0)))</f>
        <v/>
      </c>
      <c r="H644" s="7" t="str">
        <f>IF(ISNA(MATCH(635,'Transfer Engine'!$C$2:$C$1199,0)),"",INDEX('Compliance Database'!$H$2:$H$1199,MATCH(635,'Transfer Engine'!$C$2:$C$1199,0)))</f>
        <v/>
      </c>
      <c r="I644" s="7" t="str">
        <f>IF(ISNA(MATCH(635,'Transfer Engine'!$C$2:$C$1199,0)),"",INDEX('Compliance Database'!$I$2:$I$1199,MATCH(635,'Transfer Engine'!$C$2:$C$1199,0)))</f>
        <v/>
      </c>
      <c r="J644" s="6" t="str">
        <f>IF(ISNA(MATCH(635,'Transfer Engine'!$C$2:$C$1199,0)),"",INDEX('Compliance Database'!$J$2:$J$1199,MATCH(635,'Transfer Engine'!$C$2:$C$1199,0)))</f>
        <v/>
      </c>
      <c r="K644" s="7" t="str">
        <f>IF(ISNA(MATCH(635,'Transfer Engine'!$C$2:$C$1199,0)),"",INDEX('Compliance Database'!$K$2:$K$1199,MATCH(635,'Transfer Engine'!$C$2:$C$1199,0)))</f>
        <v/>
      </c>
      <c r="L644" s="7" t="str">
        <f>IF(ISNA(MATCH(635,'Transfer Engine'!$C$2:$C$1199,0)),"",INDEX('Compliance Database'!$L$2:$L$1199,MATCH(635,'Transfer Engine'!$C$2:$C$1199,0)))</f>
        <v/>
      </c>
      <c r="M644" s="7" t="str">
        <f>IF(ISNA(MATCH(635,'Transfer Engine'!$C$2:$C$1199,0)),"",INDEX('Compliance Database'!$M$2:$M$1199,MATCH(635,'Transfer Engine'!$C$2:$C$1199,0)))</f>
        <v/>
      </c>
      <c r="N644" s="7" t="str">
        <f>IF(ISNA(MATCH(635,'Transfer Engine'!$C$2:$C$1199,0)),"",INDEX('Compliance Database'!$N$2:$N$1199,MATCH(635,'Transfer Engine'!$C$2:$C$1199,0)))</f>
        <v/>
      </c>
      <c r="O644" s="7" t="str">
        <f>IF(ISNA(MATCH(635,'Transfer Engine'!$C$2:$C$1199,0)),"",INDEX('Compliance Database'!$O$2:$O$1199,MATCH(635,'Transfer Engine'!$C$2:$C$1199,0)))</f>
        <v/>
      </c>
      <c r="P644" s="6" t="str">
        <f>IF(ISNA(MATCH(635,'Transfer Engine'!$C$2:$C$1199,0)),"",HYPERLINK("#Acts!A"&amp;INDEX('Compliance Database'!$P$2:$P$1199,MATCH(635,'Transfer Engine'!$C$2:$C$1199,0)),"Go to Act"))</f>
        <v/>
      </c>
    </row>
    <row r="645" spans="1:16" ht="172.95" customHeight="1" x14ac:dyDescent="0.3">
      <c r="A645" s="6" t="str">
        <f>IF(ISNA(MATCH(636,'Transfer Engine'!$C$2:$C$1199,0)),"",INDEX('Compliance Database'!$A$2:$A$1199,MATCH(636,'Transfer Engine'!$C$2:$C$1199,0)))</f>
        <v/>
      </c>
      <c r="B645" s="6" t="str">
        <f>IF(ISNA(MATCH(636,'Transfer Engine'!$C$2:$C$1199,0)),"",INDEX('Compliance Database'!$B$2:$B$1199,MATCH(636,'Transfer Engine'!$C$2:$C$1199,0)))</f>
        <v/>
      </c>
      <c r="C645" s="6" t="str">
        <f>IF(ISNA(MATCH(636,'Transfer Engine'!$C$2:$C$1199,0)),"",INDEX('Compliance Database'!$C$2:$C$1199,MATCH(636,'Transfer Engine'!$C$2:$C$1199,0)))</f>
        <v/>
      </c>
      <c r="D645" s="7" t="str">
        <f>IF(ISNA(MATCH(636,'Transfer Engine'!$C$2:$C$1199,0)),"",INDEX('Compliance Database'!$D$2:$D$1199,MATCH(636,'Transfer Engine'!$C$2:$C$1199,0)))</f>
        <v/>
      </c>
      <c r="E645" s="6" t="str">
        <f>IF(ISNA(MATCH(636,'Transfer Engine'!$C$2:$C$1199,0)),"",INDEX('Compliance Database'!$E$2:$E$1199,MATCH(636,'Transfer Engine'!$C$2:$C$1199,0)))</f>
        <v/>
      </c>
      <c r="F645" s="6" t="str">
        <f>IF(ISNA(MATCH(636,'Transfer Engine'!$C$2:$C$1199,0)),"",INDEX('Compliance Database'!$F$2:$F$1199,MATCH(636,'Transfer Engine'!$C$2:$C$1199,0)))</f>
        <v/>
      </c>
      <c r="G645" s="6" t="str">
        <f>IF(ISNA(MATCH(636,'Transfer Engine'!$C$2:$C$1199,0)),"",INDEX('Compliance Database'!$G$2:$G$1199,MATCH(636,'Transfer Engine'!$C$2:$C$1199,0)))</f>
        <v/>
      </c>
      <c r="H645" s="7" t="str">
        <f>IF(ISNA(MATCH(636,'Transfer Engine'!$C$2:$C$1199,0)),"",INDEX('Compliance Database'!$H$2:$H$1199,MATCH(636,'Transfer Engine'!$C$2:$C$1199,0)))</f>
        <v/>
      </c>
      <c r="I645" s="7" t="str">
        <f>IF(ISNA(MATCH(636,'Transfer Engine'!$C$2:$C$1199,0)),"",INDEX('Compliance Database'!$I$2:$I$1199,MATCH(636,'Transfer Engine'!$C$2:$C$1199,0)))</f>
        <v/>
      </c>
      <c r="J645" s="6" t="str">
        <f>IF(ISNA(MATCH(636,'Transfer Engine'!$C$2:$C$1199,0)),"",INDEX('Compliance Database'!$J$2:$J$1199,MATCH(636,'Transfer Engine'!$C$2:$C$1199,0)))</f>
        <v/>
      </c>
      <c r="K645" s="7" t="str">
        <f>IF(ISNA(MATCH(636,'Transfer Engine'!$C$2:$C$1199,0)),"",INDEX('Compliance Database'!$K$2:$K$1199,MATCH(636,'Transfer Engine'!$C$2:$C$1199,0)))</f>
        <v/>
      </c>
      <c r="L645" s="7" t="str">
        <f>IF(ISNA(MATCH(636,'Transfer Engine'!$C$2:$C$1199,0)),"",INDEX('Compliance Database'!$L$2:$L$1199,MATCH(636,'Transfer Engine'!$C$2:$C$1199,0)))</f>
        <v/>
      </c>
      <c r="M645" s="7" t="str">
        <f>IF(ISNA(MATCH(636,'Transfer Engine'!$C$2:$C$1199,0)),"",INDEX('Compliance Database'!$M$2:$M$1199,MATCH(636,'Transfer Engine'!$C$2:$C$1199,0)))</f>
        <v/>
      </c>
      <c r="N645" s="7" t="str">
        <f>IF(ISNA(MATCH(636,'Transfer Engine'!$C$2:$C$1199,0)),"",INDEX('Compliance Database'!$N$2:$N$1199,MATCH(636,'Transfer Engine'!$C$2:$C$1199,0)))</f>
        <v/>
      </c>
      <c r="O645" s="7" t="str">
        <f>IF(ISNA(MATCH(636,'Transfer Engine'!$C$2:$C$1199,0)),"",INDEX('Compliance Database'!$O$2:$O$1199,MATCH(636,'Transfer Engine'!$C$2:$C$1199,0)))</f>
        <v/>
      </c>
      <c r="P645" s="6" t="str">
        <f>IF(ISNA(MATCH(636,'Transfer Engine'!$C$2:$C$1199,0)),"",HYPERLINK("#Acts!A"&amp;INDEX('Compliance Database'!$P$2:$P$1199,MATCH(636,'Transfer Engine'!$C$2:$C$1199,0)),"Go to Act"))</f>
        <v/>
      </c>
    </row>
    <row r="646" spans="1:16" ht="172.95" customHeight="1" x14ac:dyDescent="0.3">
      <c r="A646" s="6" t="str">
        <f>IF(ISNA(MATCH(637,'Transfer Engine'!$C$2:$C$1199,0)),"",INDEX('Compliance Database'!$A$2:$A$1199,MATCH(637,'Transfer Engine'!$C$2:$C$1199,0)))</f>
        <v/>
      </c>
      <c r="B646" s="6" t="str">
        <f>IF(ISNA(MATCH(637,'Transfer Engine'!$C$2:$C$1199,0)),"",INDEX('Compliance Database'!$B$2:$B$1199,MATCH(637,'Transfer Engine'!$C$2:$C$1199,0)))</f>
        <v/>
      </c>
      <c r="C646" s="6" t="str">
        <f>IF(ISNA(MATCH(637,'Transfer Engine'!$C$2:$C$1199,0)),"",INDEX('Compliance Database'!$C$2:$C$1199,MATCH(637,'Transfer Engine'!$C$2:$C$1199,0)))</f>
        <v/>
      </c>
      <c r="D646" s="7" t="str">
        <f>IF(ISNA(MATCH(637,'Transfer Engine'!$C$2:$C$1199,0)),"",INDEX('Compliance Database'!$D$2:$D$1199,MATCH(637,'Transfer Engine'!$C$2:$C$1199,0)))</f>
        <v/>
      </c>
      <c r="E646" s="6" t="str">
        <f>IF(ISNA(MATCH(637,'Transfer Engine'!$C$2:$C$1199,0)),"",INDEX('Compliance Database'!$E$2:$E$1199,MATCH(637,'Transfer Engine'!$C$2:$C$1199,0)))</f>
        <v/>
      </c>
      <c r="F646" s="6" t="str">
        <f>IF(ISNA(MATCH(637,'Transfer Engine'!$C$2:$C$1199,0)),"",INDEX('Compliance Database'!$F$2:$F$1199,MATCH(637,'Transfer Engine'!$C$2:$C$1199,0)))</f>
        <v/>
      </c>
      <c r="G646" s="6" t="str">
        <f>IF(ISNA(MATCH(637,'Transfer Engine'!$C$2:$C$1199,0)),"",INDEX('Compliance Database'!$G$2:$G$1199,MATCH(637,'Transfer Engine'!$C$2:$C$1199,0)))</f>
        <v/>
      </c>
      <c r="H646" s="7" t="str">
        <f>IF(ISNA(MATCH(637,'Transfer Engine'!$C$2:$C$1199,0)),"",INDEX('Compliance Database'!$H$2:$H$1199,MATCH(637,'Transfer Engine'!$C$2:$C$1199,0)))</f>
        <v/>
      </c>
      <c r="I646" s="7" t="str">
        <f>IF(ISNA(MATCH(637,'Transfer Engine'!$C$2:$C$1199,0)),"",INDEX('Compliance Database'!$I$2:$I$1199,MATCH(637,'Transfer Engine'!$C$2:$C$1199,0)))</f>
        <v/>
      </c>
      <c r="J646" s="6" t="str">
        <f>IF(ISNA(MATCH(637,'Transfer Engine'!$C$2:$C$1199,0)),"",INDEX('Compliance Database'!$J$2:$J$1199,MATCH(637,'Transfer Engine'!$C$2:$C$1199,0)))</f>
        <v/>
      </c>
      <c r="K646" s="7" t="str">
        <f>IF(ISNA(MATCH(637,'Transfer Engine'!$C$2:$C$1199,0)),"",INDEX('Compliance Database'!$K$2:$K$1199,MATCH(637,'Transfer Engine'!$C$2:$C$1199,0)))</f>
        <v/>
      </c>
      <c r="L646" s="7" t="str">
        <f>IF(ISNA(MATCH(637,'Transfer Engine'!$C$2:$C$1199,0)),"",INDEX('Compliance Database'!$L$2:$L$1199,MATCH(637,'Transfer Engine'!$C$2:$C$1199,0)))</f>
        <v/>
      </c>
      <c r="M646" s="7" t="str">
        <f>IF(ISNA(MATCH(637,'Transfer Engine'!$C$2:$C$1199,0)),"",INDEX('Compliance Database'!$M$2:$M$1199,MATCH(637,'Transfer Engine'!$C$2:$C$1199,0)))</f>
        <v/>
      </c>
      <c r="N646" s="7" t="str">
        <f>IF(ISNA(MATCH(637,'Transfer Engine'!$C$2:$C$1199,0)),"",INDEX('Compliance Database'!$N$2:$N$1199,MATCH(637,'Transfer Engine'!$C$2:$C$1199,0)))</f>
        <v/>
      </c>
      <c r="O646" s="7" t="str">
        <f>IF(ISNA(MATCH(637,'Transfer Engine'!$C$2:$C$1199,0)),"",INDEX('Compliance Database'!$O$2:$O$1199,MATCH(637,'Transfer Engine'!$C$2:$C$1199,0)))</f>
        <v/>
      </c>
      <c r="P646" s="6" t="str">
        <f>IF(ISNA(MATCH(637,'Transfer Engine'!$C$2:$C$1199,0)),"",HYPERLINK("#Acts!A"&amp;INDEX('Compliance Database'!$P$2:$P$1199,MATCH(637,'Transfer Engine'!$C$2:$C$1199,0)),"Go to Act"))</f>
        <v/>
      </c>
    </row>
    <row r="647" spans="1:16" ht="172.95" customHeight="1" x14ac:dyDescent="0.3">
      <c r="A647" s="6" t="str">
        <f>IF(ISNA(MATCH(638,'Transfer Engine'!$C$2:$C$1199,0)),"",INDEX('Compliance Database'!$A$2:$A$1199,MATCH(638,'Transfer Engine'!$C$2:$C$1199,0)))</f>
        <v/>
      </c>
      <c r="B647" s="6" t="str">
        <f>IF(ISNA(MATCH(638,'Transfer Engine'!$C$2:$C$1199,0)),"",INDEX('Compliance Database'!$B$2:$B$1199,MATCH(638,'Transfer Engine'!$C$2:$C$1199,0)))</f>
        <v/>
      </c>
      <c r="C647" s="6" t="str">
        <f>IF(ISNA(MATCH(638,'Transfer Engine'!$C$2:$C$1199,0)),"",INDEX('Compliance Database'!$C$2:$C$1199,MATCH(638,'Transfer Engine'!$C$2:$C$1199,0)))</f>
        <v/>
      </c>
      <c r="D647" s="7" t="str">
        <f>IF(ISNA(MATCH(638,'Transfer Engine'!$C$2:$C$1199,0)),"",INDEX('Compliance Database'!$D$2:$D$1199,MATCH(638,'Transfer Engine'!$C$2:$C$1199,0)))</f>
        <v/>
      </c>
      <c r="E647" s="6" t="str">
        <f>IF(ISNA(MATCH(638,'Transfer Engine'!$C$2:$C$1199,0)),"",INDEX('Compliance Database'!$E$2:$E$1199,MATCH(638,'Transfer Engine'!$C$2:$C$1199,0)))</f>
        <v/>
      </c>
      <c r="F647" s="6" t="str">
        <f>IF(ISNA(MATCH(638,'Transfer Engine'!$C$2:$C$1199,0)),"",INDEX('Compliance Database'!$F$2:$F$1199,MATCH(638,'Transfer Engine'!$C$2:$C$1199,0)))</f>
        <v/>
      </c>
      <c r="G647" s="6" t="str">
        <f>IF(ISNA(MATCH(638,'Transfer Engine'!$C$2:$C$1199,0)),"",INDEX('Compliance Database'!$G$2:$G$1199,MATCH(638,'Transfer Engine'!$C$2:$C$1199,0)))</f>
        <v/>
      </c>
      <c r="H647" s="7" t="str">
        <f>IF(ISNA(MATCH(638,'Transfer Engine'!$C$2:$C$1199,0)),"",INDEX('Compliance Database'!$H$2:$H$1199,MATCH(638,'Transfer Engine'!$C$2:$C$1199,0)))</f>
        <v/>
      </c>
      <c r="I647" s="7" t="str">
        <f>IF(ISNA(MATCH(638,'Transfer Engine'!$C$2:$C$1199,0)),"",INDEX('Compliance Database'!$I$2:$I$1199,MATCH(638,'Transfer Engine'!$C$2:$C$1199,0)))</f>
        <v/>
      </c>
      <c r="J647" s="6" t="str">
        <f>IF(ISNA(MATCH(638,'Transfer Engine'!$C$2:$C$1199,0)),"",INDEX('Compliance Database'!$J$2:$J$1199,MATCH(638,'Transfer Engine'!$C$2:$C$1199,0)))</f>
        <v/>
      </c>
      <c r="K647" s="7" t="str">
        <f>IF(ISNA(MATCH(638,'Transfer Engine'!$C$2:$C$1199,0)),"",INDEX('Compliance Database'!$K$2:$K$1199,MATCH(638,'Transfer Engine'!$C$2:$C$1199,0)))</f>
        <v/>
      </c>
      <c r="L647" s="7" t="str">
        <f>IF(ISNA(MATCH(638,'Transfer Engine'!$C$2:$C$1199,0)),"",INDEX('Compliance Database'!$L$2:$L$1199,MATCH(638,'Transfer Engine'!$C$2:$C$1199,0)))</f>
        <v/>
      </c>
      <c r="M647" s="7" t="str">
        <f>IF(ISNA(MATCH(638,'Transfer Engine'!$C$2:$C$1199,0)),"",INDEX('Compliance Database'!$M$2:$M$1199,MATCH(638,'Transfer Engine'!$C$2:$C$1199,0)))</f>
        <v/>
      </c>
      <c r="N647" s="7" t="str">
        <f>IF(ISNA(MATCH(638,'Transfer Engine'!$C$2:$C$1199,0)),"",INDEX('Compliance Database'!$N$2:$N$1199,MATCH(638,'Transfer Engine'!$C$2:$C$1199,0)))</f>
        <v/>
      </c>
      <c r="O647" s="7" t="str">
        <f>IF(ISNA(MATCH(638,'Transfer Engine'!$C$2:$C$1199,0)),"",INDEX('Compliance Database'!$O$2:$O$1199,MATCH(638,'Transfer Engine'!$C$2:$C$1199,0)))</f>
        <v/>
      </c>
      <c r="P647" s="6" t="str">
        <f>IF(ISNA(MATCH(638,'Transfer Engine'!$C$2:$C$1199,0)),"",HYPERLINK("#Acts!A"&amp;INDEX('Compliance Database'!$P$2:$P$1199,MATCH(638,'Transfer Engine'!$C$2:$C$1199,0)),"Go to Act"))</f>
        <v/>
      </c>
    </row>
    <row r="648" spans="1:16" ht="172.95" customHeight="1" x14ac:dyDescent="0.3">
      <c r="A648" s="6" t="str">
        <f>IF(ISNA(MATCH(639,'Transfer Engine'!$C$2:$C$1199,0)),"",INDEX('Compliance Database'!$A$2:$A$1199,MATCH(639,'Transfer Engine'!$C$2:$C$1199,0)))</f>
        <v/>
      </c>
      <c r="B648" s="6" t="str">
        <f>IF(ISNA(MATCH(639,'Transfer Engine'!$C$2:$C$1199,0)),"",INDEX('Compliance Database'!$B$2:$B$1199,MATCH(639,'Transfer Engine'!$C$2:$C$1199,0)))</f>
        <v/>
      </c>
      <c r="C648" s="6" t="str">
        <f>IF(ISNA(MATCH(639,'Transfer Engine'!$C$2:$C$1199,0)),"",INDEX('Compliance Database'!$C$2:$C$1199,MATCH(639,'Transfer Engine'!$C$2:$C$1199,0)))</f>
        <v/>
      </c>
      <c r="D648" s="7" t="str">
        <f>IF(ISNA(MATCH(639,'Transfer Engine'!$C$2:$C$1199,0)),"",INDEX('Compliance Database'!$D$2:$D$1199,MATCH(639,'Transfer Engine'!$C$2:$C$1199,0)))</f>
        <v/>
      </c>
      <c r="E648" s="6" t="str">
        <f>IF(ISNA(MATCH(639,'Transfer Engine'!$C$2:$C$1199,0)),"",INDEX('Compliance Database'!$E$2:$E$1199,MATCH(639,'Transfer Engine'!$C$2:$C$1199,0)))</f>
        <v/>
      </c>
      <c r="F648" s="6" t="str">
        <f>IF(ISNA(MATCH(639,'Transfer Engine'!$C$2:$C$1199,0)),"",INDEX('Compliance Database'!$F$2:$F$1199,MATCH(639,'Transfer Engine'!$C$2:$C$1199,0)))</f>
        <v/>
      </c>
      <c r="G648" s="6" t="str">
        <f>IF(ISNA(MATCH(639,'Transfer Engine'!$C$2:$C$1199,0)),"",INDEX('Compliance Database'!$G$2:$G$1199,MATCH(639,'Transfer Engine'!$C$2:$C$1199,0)))</f>
        <v/>
      </c>
      <c r="H648" s="7" t="str">
        <f>IF(ISNA(MATCH(639,'Transfer Engine'!$C$2:$C$1199,0)),"",INDEX('Compliance Database'!$H$2:$H$1199,MATCH(639,'Transfer Engine'!$C$2:$C$1199,0)))</f>
        <v/>
      </c>
      <c r="I648" s="7" t="str">
        <f>IF(ISNA(MATCH(639,'Transfer Engine'!$C$2:$C$1199,0)),"",INDEX('Compliance Database'!$I$2:$I$1199,MATCH(639,'Transfer Engine'!$C$2:$C$1199,0)))</f>
        <v/>
      </c>
      <c r="J648" s="6" t="str">
        <f>IF(ISNA(MATCH(639,'Transfer Engine'!$C$2:$C$1199,0)),"",INDEX('Compliance Database'!$J$2:$J$1199,MATCH(639,'Transfer Engine'!$C$2:$C$1199,0)))</f>
        <v/>
      </c>
      <c r="K648" s="7" t="str">
        <f>IF(ISNA(MATCH(639,'Transfer Engine'!$C$2:$C$1199,0)),"",INDEX('Compliance Database'!$K$2:$K$1199,MATCH(639,'Transfer Engine'!$C$2:$C$1199,0)))</f>
        <v/>
      </c>
      <c r="L648" s="7" t="str">
        <f>IF(ISNA(MATCH(639,'Transfer Engine'!$C$2:$C$1199,0)),"",INDEX('Compliance Database'!$L$2:$L$1199,MATCH(639,'Transfer Engine'!$C$2:$C$1199,0)))</f>
        <v/>
      </c>
      <c r="M648" s="7" t="str">
        <f>IF(ISNA(MATCH(639,'Transfer Engine'!$C$2:$C$1199,0)),"",INDEX('Compliance Database'!$M$2:$M$1199,MATCH(639,'Transfer Engine'!$C$2:$C$1199,0)))</f>
        <v/>
      </c>
      <c r="N648" s="7" t="str">
        <f>IF(ISNA(MATCH(639,'Transfer Engine'!$C$2:$C$1199,0)),"",INDEX('Compliance Database'!$N$2:$N$1199,MATCH(639,'Transfer Engine'!$C$2:$C$1199,0)))</f>
        <v/>
      </c>
      <c r="O648" s="7" t="str">
        <f>IF(ISNA(MATCH(639,'Transfer Engine'!$C$2:$C$1199,0)),"",INDEX('Compliance Database'!$O$2:$O$1199,MATCH(639,'Transfer Engine'!$C$2:$C$1199,0)))</f>
        <v/>
      </c>
      <c r="P648" s="6" t="str">
        <f>IF(ISNA(MATCH(639,'Transfer Engine'!$C$2:$C$1199,0)),"",HYPERLINK("#Acts!A"&amp;INDEX('Compliance Database'!$P$2:$P$1199,MATCH(639,'Transfer Engine'!$C$2:$C$1199,0)),"Go to Act"))</f>
        <v/>
      </c>
    </row>
    <row r="649" spans="1:16" ht="172.95" customHeight="1" x14ac:dyDescent="0.3">
      <c r="A649" s="6" t="str">
        <f>IF(ISNA(MATCH(640,'Transfer Engine'!$C$2:$C$1199,0)),"",INDEX('Compliance Database'!$A$2:$A$1199,MATCH(640,'Transfer Engine'!$C$2:$C$1199,0)))</f>
        <v/>
      </c>
      <c r="B649" s="6" t="str">
        <f>IF(ISNA(MATCH(640,'Transfer Engine'!$C$2:$C$1199,0)),"",INDEX('Compliance Database'!$B$2:$B$1199,MATCH(640,'Transfer Engine'!$C$2:$C$1199,0)))</f>
        <v/>
      </c>
      <c r="C649" s="6" t="str">
        <f>IF(ISNA(MATCH(640,'Transfer Engine'!$C$2:$C$1199,0)),"",INDEX('Compliance Database'!$C$2:$C$1199,MATCH(640,'Transfer Engine'!$C$2:$C$1199,0)))</f>
        <v/>
      </c>
      <c r="D649" s="7" t="str">
        <f>IF(ISNA(MATCH(640,'Transfer Engine'!$C$2:$C$1199,0)),"",INDEX('Compliance Database'!$D$2:$D$1199,MATCH(640,'Transfer Engine'!$C$2:$C$1199,0)))</f>
        <v/>
      </c>
      <c r="E649" s="6" t="str">
        <f>IF(ISNA(MATCH(640,'Transfer Engine'!$C$2:$C$1199,0)),"",INDEX('Compliance Database'!$E$2:$E$1199,MATCH(640,'Transfer Engine'!$C$2:$C$1199,0)))</f>
        <v/>
      </c>
      <c r="F649" s="6" t="str">
        <f>IF(ISNA(MATCH(640,'Transfer Engine'!$C$2:$C$1199,0)),"",INDEX('Compliance Database'!$F$2:$F$1199,MATCH(640,'Transfer Engine'!$C$2:$C$1199,0)))</f>
        <v/>
      </c>
      <c r="G649" s="6" t="str">
        <f>IF(ISNA(MATCH(640,'Transfer Engine'!$C$2:$C$1199,0)),"",INDEX('Compliance Database'!$G$2:$G$1199,MATCH(640,'Transfer Engine'!$C$2:$C$1199,0)))</f>
        <v/>
      </c>
      <c r="H649" s="7" t="str">
        <f>IF(ISNA(MATCH(640,'Transfer Engine'!$C$2:$C$1199,0)),"",INDEX('Compliance Database'!$H$2:$H$1199,MATCH(640,'Transfer Engine'!$C$2:$C$1199,0)))</f>
        <v/>
      </c>
      <c r="I649" s="7" t="str">
        <f>IF(ISNA(MATCH(640,'Transfer Engine'!$C$2:$C$1199,0)),"",INDEX('Compliance Database'!$I$2:$I$1199,MATCH(640,'Transfer Engine'!$C$2:$C$1199,0)))</f>
        <v/>
      </c>
      <c r="J649" s="6" t="str">
        <f>IF(ISNA(MATCH(640,'Transfer Engine'!$C$2:$C$1199,0)),"",INDEX('Compliance Database'!$J$2:$J$1199,MATCH(640,'Transfer Engine'!$C$2:$C$1199,0)))</f>
        <v/>
      </c>
      <c r="K649" s="7" t="str">
        <f>IF(ISNA(MATCH(640,'Transfer Engine'!$C$2:$C$1199,0)),"",INDEX('Compliance Database'!$K$2:$K$1199,MATCH(640,'Transfer Engine'!$C$2:$C$1199,0)))</f>
        <v/>
      </c>
      <c r="L649" s="7" t="str">
        <f>IF(ISNA(MATCH(640,'Transfer Engine'!$C$2:$C$1199,0)),"",INDEX('Compliance Database'!$L$2:$L$1199,MATCH(640,'Transfer Engine'!$C$2:$C$1199,0)))</f>
        <v/>
      </c>
      <c r="M649" s="7" t="str">
        <f>IF(ISNA(MATCH(640,'Transfer Engine'!$C$2:$C$1199,0)),"",INDEX('Compliance Database'!$M$2:$M$1199,MATCH(640,'Transfer Engine'!$C$2:$C$1199,0)))</f>
        <v/>
      </c>
      <c r="N649" s="7" t="str">
        <f>IF(ISNA(MATCH(640,'Transfer Engine'!$C$2:$C$1199,0)),"",INDEX('Compliance Database'!$N$2:$N$1199,MATCH(640,'Transfer Engine'!$C$2:$C$1199,0)))</f>
        <v/>
      </c>
      <c r="O649" s="7" t="str">
        <f>IF(ISNA(MATCH(640,'Transfer Engine'!$C$2:$C$1199,0)),"",INDEX('Compliance Database'!$O$2:$O$1199,MATCH(640,'Transfer Engine'!$C$2:$C$1199,0)))</f>
        <v/>
      </c>
      <c r="P649" s="6" t="str">
        <f>IF(ISNA(MATCH(640,'Transfer Engine'!$C$2:$C$1199,0)),"",HYPERLINK("#Acts!A"&amp;INDEX('Compliance Database'!$P$2:$P$1199,MATCH(640,'Transfer Engine'!$C$2:$C$1199,0)),"Go to Act"))</f>
        <v/>
      </c>
    </row>
    <row r="650" spans="1:16" ht="172.95" customHeight="1" x14ac:dyDescent="0.3">
      <c r="A650" s="6" t="str">
        <f>IF(ISNA(MATCH(641,'Transfer Engine'!$C$2:$C$1199,0)),"",INDEX('Compliance Database'!$A$2:$A$1199,MATCH(641,'Transfer Engine'!$C$2:$C$1199,0)))</f>
        <v/>
      </c>
      <c r="B650" s="6" t="str">
        <f>IF(ISNA(MATCH(641,'Transfer Engine'!$C$2:$C$1199,0)),"",INDEX('Compliance Database'!$B$2:$B$1199,MATCH(641,'Transfer Engine'!$C$2:$C$1199,0)))</f>
        <v/>
      </c>
      <c r="C650" s="6" t="str">
        <f>IF(ISNA(MATCH(641,'Transfer Engine'!$C$2:$C$1199,0)),"",INDEX('Compliance Database'!$C$2:$C$1199,MATCH(641,'Transfer Engine'!$C$2:$C$1199,0)))</f>
        <v/>
      </c>
      <c r="D650" s="7" t="str">
        <f>IF(ISNA(MATCH(641,'Transfer Engine'!$C$2:$C$1199,0)),"",INDEX('Compliance Database'!$D$2:$D$1199,MATCH(641,'Transfer Engine'!$C$2:$C$1199,0)))</f>
        <v/>
      </c>
      <c r="E650" s="6" t="str">
        <f>IF(ISNA(MATCH(641,'Transfer Engine'!$C$2:$C$1199,0)),"",INDEX('Compliance Database'!$E$2:$E$1199,MATCH(641,'Transfer Engine'!$C$2:$C$1199,0)))</f>
        <v/>
      </c>
      <c r="F650" s="6" t="str">
        <f>IF(ISNA(MATCH(641,'Transfer Engine'!$C$2:$C$1199,0)),"",INDEX('Compliance Database'!$F$2:$F$1199,MATCH(641,'Transfer Engine'!$C$2:$C$1199,0)))</f>
        <v/>
      </c>
      <c r="G650" s="6" t="str">
        <f>IF(ISNA(MATCH(641,'Transfer Engine'!$C$2:$C$1199,0)),"",INDEX('Compliance Database'!$G$2:$G$1199,MATCH(641,'Transfer Engine'!$C$2:$C$1199,0)))</f>
        <v/>
      </c>
      <c r="H650" s="7" t="str">
        <f>IF(ISNA(MATCH(641,'Transfer Engine'!$C$2:$C$1199,0)),"",INDEX('Compliance Database'!$H$2:$H$1199,MATCH(641,'Transfer Engine'!$C$2:$C$1199,0)))</f>
        <v/>
      </c>
      <c r="I650" s="7" t="str">
        <f>IF(ISNA(MATCH(641,'Transfer Engine'!$C$2:$C$1199,0)),"",INDEX('Compliance Database'!$I$2:$I$1199,MATCH(641,'Transfer Engine'!$C$2:$C$1199,0)))</f>
        <v/>
      </c>
      <c r="J650" s="6" t="str">
        <f>IF(ISNA(MATCH(641,'Transfer Engine'!$C$2:$C$1199,0)),"",INDEX('Compliance Database'!$J$2:$J$1199,MATCH(641,'Transfer Engine'!$C$2:$C$1199,0)))</f>
        <v/>
      </c>
      <c r="K650" s="7" t="str">
        <f>IF(ISNA(MATCH(641,'Transfer Engine'!$C$2:$C$1199,0)),"",INDEX('Compliance Database'!$K$2:$K$1199,MATCH(641,'Transfer Engine'!$C$2:$C$1199,0)))</f>
        <v/>
      </c>
      <c r="L650" s="7" t="str">
        <f>IF(ISNA(MATCH(641,'Transfer Engine'!$C$2:$C$1199,0)),"",INDEX('Compliance Database'!$L$2:$L$1199,MATCH(641,'Transfer Engine'!$C$2:$C$1199,0)))</f>
        <v/>
      </c>
      <c r="M650" s="7" t="str">
        <f>IF(ISNA(MATCH(641,'Transfer Engine'!$C$2:$C$1199,0)),"",INDEX('Compliance Database'!$M$2:$M$1199,MATCH(641,'Transfer Engine'!$C$2:$C$1199,0)))</f>
        <v/>
      </c>
      <c r="N650" s="7" t="str">
        <f>IF(ISNA(MATCH(641,'Transfer Engine'!$C$2:$C$1199,0)),"",INDEX('Compliance Database'!$N$2:$N$1199,MATCH(641,'Transfer Engine'!$C$2:$C$1199,0)))</f>
        <v/>
      </c>
      <c r="O650" s="7" t="str">
        <f>IF(ISNA(MATCH(641,'Transfer Engine'!$C$2:$C$1199,0)),"",INDEX('Compliance Database'!$O$2:$O$1199,MATCH(641,'Transfer Engine'!$C$2:$C$1199,0)))</f>
        <v/>
      </c>
      <c r="P650" s="6" t="str">
        <f>IF(ISNA(MATCH(641,'Transfer Engine'!$C$2:$C$1199,0)),"",HYPERLINK("#Acts!A"&amp;INDEX('Compliance Database'!$P$2:$P$1199,MATCH(641,'Transfer Engine'!$C$2:$C$1199,0)),"Go to Act"))</f>
        <v/>
      </c>
    </row>
    <row r="651" spans="1:16" ht="172.95" customHeight="1" x14ac:dyDescent="0.3">
      <c r="A651" s="6" t="str">
        <f>IF(ISNA(MATCH(642,'Transfer Engine'!$C$2:$C$1199,0)),"",INDEX('Compliance Database'!$A$2:$A$1199,MATCH(642,'Transfer Engine'!$C$2:$C$1199,0)))</f>
        <v/>
      </c>
      <c r="B651" s="6" t="str">
        <f>IF(ISNA(MATCH(642,'Transfer Engine'!$C$2:$C$1199,0)),"",INDEX('Compliance Database'!$B$2:$B$1199,MATCH(642,'Transfer Engine'!$C$2:$C$1199,0)))</f>
        <v/>
      </c>
      <c r="C651" s="6" t="str">
        <f>IF(ISNA(MATCH(642,'Transfer Engine'!$C$2:$C$1199,0)),"",INDEX('Compliance Database'!$C$2:$C$1199,MATCH(642,'Transfer Engine'!$C$2:$C$1199,0)))</f>
        <v/>
      </c>
      <c r="D651" s="7" t="str">
        <f>IF(ISNA(MATCH(642,'Transfer Engine'!$C$2:$C$1199,0)),"",INDEX('Compliance Database'!$D$2:$D$1199,MATCH(642,'Transfer Engine'!$C$2:$C$1199,0)))</f>
        <v/>
      </c>
      <c r="E651" s="6" t="str">
        <f>IF(ISNA(MATCH(642,'Transfer Engine'!$C$2:$C$1199,0)),"",INDEX('Compliance Database'!$E$2:$E$1199,MATCH(642,'Transfer Engine'!$C$2:$C$1199,0)))</f>
        <v/>
      </c>
      <c r="F651" s="6" t="str">
        <f>IF(ISNA(MATCH(642,'Transfer Engine'!$C$2:$C$1199,0)),"",INDEX('Compliance Database'!$F$2:$F$1199,MATCH(642,'Transfer Engine'!$C$2:$C$1199,0)))</f>
        <v/>
      </c>
      <c r="G651" s="6" t="str">
        <f>IF(ISNA(MATCH(642,'Transfer Engine'!$C$2:$C$1199,0)),"",INDEX('Compliance Database'!$G$2:$G$1199,MATCH(642,'Transfer Engine'!$C$2:$C$1199,0)))</f>
        <v/>
      </c>
      <c r="H651" s="7" t="str">
        <f>IF(ISNA(MATCH(642,'Transfer Engine'!$C$2:$C$1199,0)),"",INDEX('Compliance Database'!$H$2:$H$1199,MATCH(642,'Transfer Engine'!$C$2:$C$1199,0)))</f>
        <v/>
      </c>
      <c r="I651" s="7" t="str">
        <f>IF(ISNA(MATCH(642,'Transfer Engine'!$C$2:$C$1199,0)),"",INDEX('Compliance Database'!$I$2:$I$1199,MATCH(642,'Transfer Engine'!$C$2:$C$1199,0)))</f>
        <v/>
      </c>
      <c r="J651" s="6" t="str">
        <f>IF(ISNA(MATCH(642,'Transfer Engine'!$C$2:$C$1199,0)),"",INDEX('Compliance Database'!$J$2:$J$1199,MATCH(642,'Transfer Engine'!$C$2:$C$1199,0)))</f>
        <v/>
      </c>
      <c r="K651" s="7" t="str">
        <f>IF(ISNA(MATCH(642,'Transfer Engine'!$C$2:$C$1199,0)),"",INDEX('Compliance Database'!$K$2:$K$1199,MATCH(642,'Transfer Engine'!$C$2:$C$1199,0)))</f>
        <v/>
      </c>
      <c r="L651" s="7" t="str">
        <f>IF(ISNA(MATCH(642,'Transfer Engine'!$C$2:$C$1199,0)),"",INDEX('Compliance Database'!$L$2:$L$1199,MATCH(642,'Transfer Engine'!$C$2:$C$1199,0)))</f>
        <v/>
      </c>
      <c r="M651" s="7" t="str">
        <f>IF(ISNA(MATCH(642,'Transfer Engine'!$C$2:$C$1199,0)),"",INDEX('Compliance Database'!$M$2:$M$1199,MATCH(642,'Transfer Engine'!$C$2:$C$1199,0)))</f>
        <v/>
      </c>
      <c r="N651" s="7" t="str">
        <f>IF(ISNA(MATCH(642,'Transfer Engine'!$C$2:$C$1199,0)),"",INDEX('Compliance Database'!$N$2:$N$1199,MATCH(642,'Transfer Engine'!$C$2:$C$1199,0)))</f>
        <v/>
      </c>
      <c r="O651" s="7" t="str">
        <f>IF(ISNA(MATCH(642,'Transfer Engine'!$C$2:$C$1199,0)),"",INDEX('Compliance Database'!$O$2:$O$1199,MATCH(642,'Transfer Engine'!$C$2:$C$1199,0)))</f>
        <v/>
      </c>
      <c r="P651" s="6" t="str">
        <f>IF(ISNA(MATCH(642,'Transfer Engine'!$C$2:$C$1199,0)),"",HYPERLINK("#Acts!A"&amp;INDEX('Compliance Database'!$P$2:$P$1199,MATCH(642,'Transfer Engine'!$C$2:$C$1199,0)),"Go to Act"))</f>
        <v/>
      </c>
    </row>
    <row r="652" spans="1:16" ht="172.95" customHeight="1" x14ac:dyDescent="0.3">
      <c r="A652" s="6" t="str">
        <f>IF(ISNA(MATCH(643,'Transfer Engine'!$C$2:$C$1199,0)),"",INDEX('Compliance Database'!$A$2:$A$1199,MATCH(643,'Transfer Engine'!$C$2:$C$1199,0)))</f>
        <v/>
      </c>
      <c r="B652" s="6" t="str">
        <f>IF(ISNA(MATCH(643,'Transfer Engine'!$C$2:$C$1199,0)),"",INDEX('Compliance Database'!$B$2:$B$1199,MATCH(643,'Transfer Engine'!$C$2:$C$1199,0)))</f>
        <v/>
      </c>
      <c r="C652" s="6" t="str">
        <f>IF(ISNA(MATCH(643,'Transfer Engine'!$C$2:$C$1199,0)),"",INDEX('Compliance Database'!$C$2:$C$1199,MATCH(643,'Transfer Engine'!$C$2:$C$1199,0)))</f>
        <v/>
      </c>
      <c r="D652" s="7" t="str">
        <f>IF(ISNA(MATCH(643,'Transfer Engine'!$C$2:$C$1199,0)),"",INDEX('Compliance Database'!$D$2:$D$1199,MATCH(643,'Transfer Engine'!$C$2:$C$1199,0)))</f>
        <v/>
      </c>
      <c r="E652" s="6" t="str">
        <f>IF(ISNA(MATCH(643,'Transfer Engine'!$C$2:$C$1199,0)),"",INDEX('Compliance Database'!$E$2:$E$1199,MATCH(643,'Transfer Engine'!$C$2:$C$1199,0)))</f>
        <v/>
      </c>
      <c r="F652" s="6" t="str">
        <f>IF(ISNA(MATCH(643,'Transfer Engine'!$C$2:$C$1199,0)),"",INDEX('Compliance Database'!$F$2:$F$1199,MATCH(643,'Transfer Engine'!$C$2:$C$1199,0)))</f>
        <v/>
      </c>
      <c r="G652" s="6" t="str">
        <f>IF(ISNA(MATCH(643,'Transfer Engine'!$C$2:$C$1199,0)),"",INDEX('Compliance Database'!$G$2:$G$1199,MATCH(643,'Transfer Engine'!$C$2:$C$1199,0)))</f>
        <v/>
      </c>
      <c r="H652" s="7" t="str">
        <f>IF(ISNA(MATCH(643,'Transfer Engine'!$C$2:$C$1199,0)),"",INDEX('Compliance Database'!$H$2:$H$1199,MATCH(643,'Transfer Engine'!$C$2:$C$1199,0)))</f>
        <v/>
      </c>
      <c r="I652" s="7" t="str">
        <f>IF(ISNA(MATCH(643,'Transfer Engine'!$C$2:$C$1199,0)),"",INDEX('Compliance Database'!$I$2:$I$1199,MATCH(643,'Transfer Engine'!$C$2:$C$1199,0)))</f>
        <v/>
      </c>
      <c r="J652" s="6" t="str">
        <f>IF(ISNA(MATCH(643,'Transfer Engine'!$C$2:$C$1199,0)),"",INDEX('Compliance Database'!$J$2:$J$1199,MATCH(643,'Transfer Engine'!$C$2:$C$1199,0)))</f>
        <v/>
      </c>
      <c r="K652" s="7" t="str">
        <f>IF(ISNA(MATCH(643,'Transfer Engine'!$C$2:$C$1199,0)),"",INDEX('Compliance Database'!$K$2:$K$1199,MATCH(643,'Transfer Engine'!$C$2:$C$1199,0)))</f>
        <v/>
      </c>
      <c r="L652" s="7" t="str">
        <f>IF(ISNA(MATCH(643,'Transfer Engine'!$C$2:$C$1199,0)),"",INDEX('Compliance Database'!$L$2:$L$1199,MATCH(643,'Transfer Engine'!$C$2:$C$1199,0)))</f>
        <v/>
      </c>
      <c r="M652" s="7" t="str">
        <f>IF(ISNA(MATCH(643,'Transfer Engine'!$C$2:$C$1199,0)),"",INDEX('Compliance Database'!$M$2:$M$1199,MATCH(643,'Transfer Engine'!$C$2:$C$1199,0)))</f>
        <v/>
      </c>
      <c r="N652" s="7" t="str">
        <f>IF(ISNA(MATCH(643,'Transfer Engine'!$C$2:$C$1199,0)),"",INDEX('Compliance Database'!$N$2:$N$1199,MATCH(643,'Transfer Engine'!$C$2:$C$1199,0)))</f>
        <v/>
      </c>
      <c r="O652" s="7" t="str">
        <f>IF(ISNA(MATCH(643,'Transfer Engine'!$C$2:$C$1199,0)),"",INDEX('Compliance Database'!$O$2:$O$1199,MATCH(643,'Transfer Engine'!$C$2:$C$1199,0)))</f>
        <v/>
      </c>
      <c r="P652" s="6" t="str">
        <f>IF(ISNA(MATCH(643,'Transfer Engine'!$C$2:$C$1199,0)),"",HYPERLINK("#Acts!A"&amp;INDEX('Compliance Database'!$P$2:$P$1199,MATCH(643,'Transfer Engine'!$C$2:$C$1199,0)),"Go to Act"))</f>
        <v/>
      </c>
    </row>
    <row r="653" spans="1:16" ht="172.95" customHeight="1" x14ac:dyDescent="0.3">
      <c r="A653" s="6" t="str">
        <f>IF(ISNA(MATCH(644,'Transfer Engine'!$C$2:$C$1199,0)),"",INDEX('Compliance Database'!$A$2:$A$1199,MATCH(644,'Transfer Engine'!$C$2:$C$1199,0)))</f>
        <v/>
      </c>
      <c r="B653" s="6" t="str">
        <f>IF(ISNA(MATCH(644,'Transfer Engine'!$C$2:$C$1199,0)),"",INDEX('Compliance Database'!$B$2:$B$1199,MATCH(644,'Transfer Engine'!$C$2:$C$1199,0)))</f>
        <v/>
      </c>
      <c r="C653" s="6" t="str">
        <f>IF(ISNA(MATCH(644,'Transfer Engine'!$C$2:$C$1199,0)),"",INDEX('Compliance Database'!$C$2:$C$1199,MATCH(644,'Transfer Engine'!$C$2:$C$1199,0)))</f>
        <v/>
      </c>
      <c r="D653" s="7" t="str">
        <f>IF(ISNA(MATCH(644,'Transfer Engine'!$C$2:$C$1199,0)),"",INDEX('Compliance Database'!$D$2:$D$1199,MATCH(644,'Transfer Engine'!$C$2:$C$1199,0)))</f>
        <v/>
      </c>
      <c r="E653" s="6" t="str">
        <f>IF(ISNA(MATCH(644,'Transfer Engine'!$C$2:$C$1199,0)),"",INDEX('Compliance Database'!$E$2:$E$1199,MATCH(644,'Transfer Engine'!$C$2:$C$1199,0)))</f>
        <v/>
      </c>
      <c r="F653" s="6" t="str">
        <f>IF(ISNA(MATCH(644,'Transfer Engine'!$C$2:$C$1199,0)),"",INDEX('Compliance Database'!$F$2:$F$1199,MATCH(644,'Transfer Engine'!$C$2:$C$1199,0)))</f>
        <v/>
      </c>
      <c r="G653" s="6" t="str">
        <f>IF(ISNA(MATCH(644,'Transfer Engine'!$C$2:$C$1199,0)),"",INDEX('Compliance Database'!$G$2:$G$1199,MATCH(644,'Transfer Engine'!$C$2:$C$1199,0)))</f>
        <v/>
      </c>
      <c r="H653" s="7" t="str">
        <f>IF(ISNA(MATCH(644,'Transfer Engine'!$C$2:$C$1199,0)),"",INDEX('Compliance Database'!$H$2:$H$1199,MATCH(644,'Transfer Engine'!$C$2:$C$1199,0)))</f>
        <v/>
      </c>
      <c r="I653" s="7" t="str">
        <f>IF(ISNA(MATCH(644,'Transfer Engine'!$C$2:$C$1199,0)),"",INDEX('Compliance Database'!$I$2:$I$1199,MATCH(644,'Transfer Engine'!$C$2:$C$1199,0)))</f>
        <v/>
      </c>
      <c r="J653" s="6" t="str">
        <f>IF(ISNA(MATCH(644,'Transfer Engine'!$C$2:$C$1199,0)),"",INDEX('Compliance Database'!$J$2:$J$1199,MATCH(644,'Transfer Engine'!$C$2:$C$1199,0)))</f>
        <v/>
      </c>
      <c r="K653" s="7" t="str">
        <f>IF(ISNA(MATCH(644,'Transfer Engine'!$C$2:$C$1199,0)),"",INDEX('Compliance Database'!$K$2:$K$1199,MATCH(644,'Transfer Engine'!$C$2:$C$1199,0)))</f>
        <v/>
      </c>
      <c r="L653" s="7" t="str">
        <f>IF(ISNA(MATCH(644,'Transfer Engine'!$C$2:$C$1199,0)),"",INDEX('Compliance Database'!$L$2:$L$1199,MATCH(644,'Transfer Engine'!$C$2:$C$1199,0)))</f>
        <v/>
      </c>
      <c r="M653" s="7" t="str">
        <f>IF(ISNA(MATCH(644,'Transfer Engine'!$C$2:$C$1199,0)),"",INDEX('Compliance Database'!$M$2:$M$1199,MATCH(644,'Transfer Engine'!$C$2:$C$1199,0)))</f>
        <v/>
      </c>
      <c r="N653" s="7" t="str">
        <f>IF(ISNA(MATCH(644,'Transfer Engine'!$C$2:$C$1199,0)),"",INDEX('Compliance Database'!$N$2:$N$1199,MATCH(644,'Transfer Engine'!$C$2:$C$1199,0)))</f>
        <v/>
      </c>
      <c r="O653" s="7" t="str">
        <f>IF(ISNA(MATCH(644,'Transfer Engine'!$C$2:$C$1199,0)),"",INDEX('Compliance Database'!$O$2:$O$1199,MATCH(644,'Transfer Engine'!$C$2:$C$1199,0)))</f>
        <v/>
      </c>
      <c r="P653" s="6" t="str">
        <f>IF(ISNA(MATCH(644,'Transfer Engine'!$C$2:$C$1199,0)),"",HYPERLINK("#Acts!A"&amp;INDEX('Compliance Database'!$P$2:$P$1199,MATCH(644,'Transfer Engine'!$C$2:$C$1199,0)),"Go to Act"))</f>
        <v/>
      </c>
    </row>
    <row r="654" spans="1:16" ht="172.95" customHeight="1" x14ac:dyDescent="0.3">
      <c r="A654" s="6" t="str">
        <f>IF(ISNA(MATCH(645,'Transfer Engine'!$C$2:$C$1199,0)),"",INDEX('Compliance Database'!$A$2:$A$1199,MATCH(645,'Transfer Engine'!$C$2:$C$1199,0)))</f>
        <v/>
      </c>
      <c r="B654" s="6" t="str">
        <f>IF(ISNA(MATCH(645,'Transfer Engine'!$C$2:$C$1199,0)),"",INDEX('Compliance Database'!$B$2:$B$1199,MATCH(645,'Transfer Engine'!$C$2:$C$1199,0)))</f>
        <v/>
      </c>
      <c r="C654" s="6" t="str">
        <f>IF(ISNA(MATCH(645,'Transfer Engine'!$C$2:$C$1199,0)),"",INDEX('Compliance Database'!$C$2:$C$1199,MATCH(645,'Transfer Engine'!$C$2:$C$1199,0)))</f>
        <v/>
      </c>
      <c r="D654" s="7" t="str">
        <f>IF(ISNA(MATCH(645,'Transfer Engine'!$C$2:$C$1199,0)),"",INDEX('Compliance Database'!$D$2:$D$1199,MATCH(645,'Transfer Engine'!$C$2:$C$1199,0)))</f>
        <v/>
      </c>
      <c r="E654" s="6" t="str">
        <f>IF(ISNA(MATCH(645,'Transfer Engine'!$C$2:$C$1199,0)),"",INDEX('Compliance Database'!$E$2:$E$1199,MATCH(645,'Transfer Engine'!$C$2:$C$1199,0)))</f>
        <v/>
      </c>
      <c r="F654" s="6" t="str">
        <f>IF(ISNA(MATCH(645,'Transfer Engine'!$C$2:$C$1199,0)),"",INDEX('Compliance Database'!$F$2:$F$1199,MATCH(645,'Transfer Engine'!$C$2:$C$1199,0)))</f>
        <v/>
      </c>
      <c r="G654" s="6" t="str">
        <f>IF(ISNA(MATCH(645,'Transfer Engine'!$C$2:$C$1199,0)),"",INDEX('Compliance Database'!$G$2:$G$1199,MATCH(645,'Transfer Engine'!$C$2:$C$1199,0)))</f>
        <v/>
      </c>
      <c r="H654" s="7" t="str">
        <f>IF(ISNA(MATCH(645,'Transfer Engine'!$C$2:$C$1199,0)),"",INDEX('Compliance Database'!$H$2:$H$1199,MATCH(645,'Transfer Engine'!$C$2:$C$1199,0)))</f>
        <v/>
      </c>
      <c r="I654" s="7" t="str">
        <f>IF(ISNA(MATCH(645,'Transfer Engine'!$C$2:$C$1199,0)),"",INDEX('Compliance Database'!$I$2:$I$1199,MATCH(645,'Transfer Engine'!$C$2:$C$1199,0)))</f>
        <v/>
      </c>
      <c r="J654" s="6" t="str">
        <f>IF(ISNA(MATCH(645,'Transfer Engine'!$C$2:$C$1199,0)),"",INDEX('Compliance Database'!$J$2:$J$1199,MATCH(645,'Transfer Engine'!$C$2:$C$1199,0)))</f>
        <v/>
      </c>
      <c r="K654" s="7" t="str">
        <f>IF(ISNA(MATCH(645,'Transfer Engine'!$C$2:$C$1199,0)),"",INDEX('Compliance Database'!$K$2:$K$1199,MATCH(645,'Transfer Engine'!$C$2:$C$1199,0)))</f>
        <v/>
      </c>
      <c r="L654" s="7" t="str">
        <f>IF(ISNA(MATCH(645,'Transfer Engine'!$C$2:$C$1199,0)),"",INDEX('Compliance Database'!$L$2:$L$1199,MATCH(645,'Transfer Engine'!$C$2:$C$1199,0)))</f>
        <v/>
      </c>
      <c r="M654" s="7" t="str">
        <f>IF(ISNA(MATCH(645,'Transfer Engine'!$C$2:$C$1199,0)),"",INDEX('Compliance Database'!$M$2:$M$1199,MATCH(645,'Transfer Engine'!$C$2:$C$1199,0)))</f>
        <v/>
      </c>
      <c r="N654" s="7" t="str">
        <f>IF(ISNA(MATCH(645,'Transfer Engine'!$C$2:$C$1199,0)),"",INDEX('Compliance Database'!$N$2:$N$1199,MATCH(645,'Transfer Engine'!$C$2:$C$1199,0)))</f>
        <v/>
      </c>
      <c r="O654" s="7" t="str">
        <f>IF(ISNA(MATCH(645,'Transfer Engine'!$C$2:$C$1199,0)),"",INDEX('Compliance Database'!$O$2:$O$1199,MATCH(645,'Transfer Engine'!$C$2:$C$1199,0)))</f>
        <v/>
      </c>
      <c r="P654" s="6" t="str">
        <f>IF(ISNA(MATCH(645,'Transfer Engine'!$C$2:$C$1199,0)),"",HYPERLINK("#Acts!A"&amp;INDEX('Compliance Database'!$P$2:$P$1199,MATCH(645,'Transfer Engine'!$C$2:$C$1199,0)),"Go to Act"))</f>
        <v/>
      </c>
    </row>
    <row r="655" spans="1:16" ht="172.95" customHeight="1" x14ac:dyDescent="0.3">
      <c r="A655" s="6" t="str">
        <f>IF(ISNA(MATCH(646,'Transfer Engine'!$C$2:$C$1199,0)),"",INDEX('Compliance Database'!$A$2:$A$1199,MATCH(646,'Transfer Engine'!$C$2:$C$1199,0)))</f>
        <v/>
      </c>
      <c r="B655" s="6" t="str">
        <f>IF(ISNA(MATCH(646,'Transfer Engine'!$C$2:$C$1199,0)),"",INDEX('Compliance Database'!$B$2:$B$1199,MATCH(646,'Transfer Engine'!$C$2:$C$1199,0)))</f>
        <v/>
      </c>
      <c r="C655" s="6" t="str">
        <f>IF(ISNA(MATCH(646,'Transfer Engine'!$C$2:$C$1199,0)),"",INDEX('Compliance Database'!$C$2:$C$1199,MATCH(646,'Transfer Engine'!$C$2:$C$1199,0)))</f>
        <v/>
      </c>
      <c r="D655" s="7" t="str">
        <f>IF(ISNA(MATCH(646,'Transfer Engine'!$C$2:$C$1199,0)),"",INDEX('Compliance Database'!$D$2:$D$1199,MATCH(646,'Transfer Engine'!$C$2:$C$1199,0)))</f>
        <v/>
      </c>
      <c r="E655" s="6" t="str">
        <f>IF(ISNA(MATCH(646,'Transfer Engine'!$C$2:$C$1199,0)),"",INDEX('Compliance Database'!$E$2:$E$1199,MATCH(646,'Transfer Engine'!$C$2:$C$1199,0)))</f>
        <v/>
      </c>
      <c r="F655" s="6" t="str">
        <f>IF(ISNA(MATCH(646,'Transfer Engine'!$C$2:$C$1199,0)),"",INDEX('Compliance Database'!$F$2:$F$1199,MATCH(646,'Transfer Engine'!$C$2:$C$1199,0)))</f>
        <v/>
      </c>
      <c r="G655" s="6" t="str">
        <f>IF(ISNA(MATCH(646,'Transfer Engine'!$C$2:$C$1199,0)),"",INDEX('Compliance Database'!$G$2:$G$1199,MATCH(646,'Transfer Engine'!$C$2:$C$1199,0)))</f>
        <v/>
      </c>
      <c r="H655" s="7" t="str">
        <f>IF(ISNA(MATCH(646,'Transfer Engine'!$C$2:$C$1199,0)),"",INDEX('Compliance Database'!$H$2:$H$1199,MATCH(646,'Transfer Engine'!$C$2:$C$1199,0)))</f>
        <v/>
      </c>
      <c r="I655" s="7" t="str">
        <f>IF(ISNA(MATCH(646,'Transfer Engine'!$C$2:$C$1199,0)),"",INDEX('Compliance Database'!$I$2:$I$1199,MATCH(646,'Transfer Engine'!$C$2:$C$1199,0)))</f>
        <v/>
      </c>
      <c r="J655" s="6" t="str">
        <f>IF(ISNA(MATCH(646,'Transfer Engine'!$C$2:$C$1199,0)),"",INDEX('Compliance Database'!$J$2:$J$1199,MATCH(646,'Transfer Engine'!$C$2:$C$1199,0)))</f>
        <v/>
      </c>
      <c r="K655" s="7" t="str">
        <f>IF(ISNA(MATCH(646,'Transfer Engine'!$C$2:$C$1199,0)),"",INDEX('Compliance Database'!$K$2:$K$1199,MATCH(646,'Transfer Engine'!$C$2:$C$1199,0)))</f>
        <v/>
      </c>
      <c r="L655" s="7" t="str">
        <f>IF(ISNA(MATCH(646,'Transfer Engine'!$C$2:$C$1199,0)),"",INDEX('Compliance Database'!$L$2:$L$1199,MATCH(646,'Transfer Engine'!$C$2:$C$1199,0)))</f>
        <v/>
      </c>
      <c r="M655" s="7" t="str">
        <f>IF(ISNA(MATCH(646,'Transfer Engine'!$C$2:$C$1199,0)),"",INDEX('Compliance Database'!$M$2:$M$1199,MATCH(646,'Transfer Engine'!$C$2:$C$1199,0)))</f>
        <v/>
      </c>
      <c r="N655" s="7" t="str">
        <f>IF(ISNA(MATCH(646,'Transfer Engine'!$C$2:$C$1199,0)),"",INDEX('Compliance Database'!$N$2:$N$1199,MATCH(646,'Transfer Engine'!$C$2:$C$1199,0)))</f>
        <v/>
      </c>
      <c r="O655" s="7" t="str">
        <f>IF(ISNA(MATCH(646,'Transfer Engine'!$C$2:$C$1199,0)),"",INDEX('Compliance Database'!$O$2:$O$1199,MATCH(646,'Transfer Engine'!$C$2:$C$1199,0)))</f>
        <v/>
      </c>
      <c r="P655" s="6" t="str">
        <f>IF(ISNA(MATCH(646,'Transfer Engine'!$C$2:$C$1199,0)),"",HYPERLINK("#Acts!A"&amp;INDEX('Compliance Database'!$P$2:$P$1199,MATCH(646,'Transfer Engine'!$C$2:$C$1199,0)),"Go to Act"))</f>
        <v/>
      </c>
    </row>
    <row r="656" spans="1:16" ht="172.95" customHeight="1" x14ac:dyDescent="0.3">
      <c r="A656" s="6" t="str">
        <f>IF(ISNA(MATCH(647,'Transfer Engine'!$C$2:$C$1199,0)),"",INDEX('Compliance Database'!$A$2:$A$1199,MATCH(647,'Transfer Engine'!$C$2:$C$1199,0)))</f>
        <v/>
      </c>
      <c r="B656" s="6" t="str">
        <f>IF(ISNA(MATCH(647,'Transfer Engine'!$C$2:$C$1199,0)),"",INDEX('Compliance Database'!$B$2:$B$1199,MATCH(647,'Transfer Engine'!$C$2:$C$1199,0)))</f>
        <v/>
      </c>
      <c r="C656" s="6" t="str">
        <f>IF(ISNA(MATCH(647,'Transfer Engine'!$C$2:$C$1199,0)),"",INDEX('Compliance Database'!$C$2:$C$1199,MATCH(647,'Transfer Engine'!$C$2:$C$1199,0)))</f>
        <v/>
      </c>
      <c r="D656" s="7" t="str">
        <f>IF(ISNA(MATCH(647,'Transfer Engine'!$C$2:$C$1199,0)),"",INDEX('Compliance Database'!$D$2:$D$1199,MATCH(647,'Transfer Engine'!$C$2:$C$1199,0)))</f>
        <v/>
      </c>
      <c r="E656" s="6" t="str">
        <f>IF(ISNA(MATCH(647,'Transfer Engine'!$C$2:$C$1199,0)),"",INDEX('Compliance Database'!$E$2:$E$1199,MATCH(647,'Transfer Engine'!$C$2:$C$1199,0)))</f>
        <v/>
      </c>
      <c r="F656" s="6" t="str">
        <f>IF(ISNA(MATCH(647,'Transfer Engine'!$C$2:$C$1199,0)),"",INDEX('Compliance Database'!$F$2:$F$1199,MATCH(647,'Transfer Engine'!$C$2:$C$1199,0)))</f>
        <v/>
      </c>
      <c r="G656" s="6" t="str">
        <f>IF(ISNA(MATCH(647,'Transfer Engine'!$C$2:$C$1199,0)),"",INDEX('Compliance Database'!$G$2:$G$1199,MATCH(647,'Transfer Engine'!$C$2:$C$1199,0)))</f>
        <v/>
      </c>
      <c r="H656" s="7" t="str">
        <f>IF(ISNA(MATCH(647,'Transfer Engine'!$C$2:$C$1199,0)),"",INDEX('Compliance Database'!$H$2:$H$1199,MATCH(647,'Transfer Engine'!$C$2:$C$1199,0)))</f>
        <v/>
      </c>
      <c r="I656" s="7" t="str">
        <f>IF(ISNA(MATCH(647,'Transfer Engine'!$C$2:$C$1199,0)),"",INDEX('Compliance Database'!$I$2:$I$1199,MATCH(647,'Transfer Engine'!$C$2:$C$1199,0)))</f>
        <v/>
      </c>
      <c r="J656" s="6" t="str">
        <f>IF(ISNA(MATCH(647,'Transfer Engine'!$C$2:$C$1199,0)),"",INDEX('Compliance Database'!$J$2:$J$1199,MATCH(647,'Transfer Engine'!$C$2:$C$1199,0)))</f>
        <v/>
      </c>
      <c r="K656" s="7" t="str">
        <f>IF(ISNA(MATCH(647,'Transfer Engine'!$C$2:$C$1199,0)),"",INDEX('Compliance Database'!$K$2:$K$1199,MATCH(647,'Transfer Engine'!$C$2:$C$1199,0)))</f>
        <v/>
      </c>
      <c r="L656" s="7" t="str">
        <f>IF(ISNA(MATCH(647,'Transfer Engine'!$C$2:$C$1199,0)),"",INDEX('Compliance Database'!$L$2:$L$1199,MATCH(647,'Transfer Engine'!$C$2:$C$1199,0)))</f>
        <v/>
      </c>
      <c r="M656" s="7" t="str">
        <f>IF(ISNA(MATCH(647,'Transfer Engine'!$C$2:$C$1199,0)),"",INDEX('Compliance Database'!$M$2:$M$1199,MATCH(647,'Transfer Engine'!$C$2:$C$1199,0)))</f>
        <v/>
      </c>
      <c r="N656" s="7" t="str">
        <f>IF(ISNA(MATCH(647,'Transfer Engine'!$C$2:$C$1199,0)),"",INDEX('Compliance Database'!$N$2:$N$1199,MATCH(647,'Transfer Engine'!$C$2:$C$1199,0)))</f>
        <v/>
      </c>
      <c r="O656" s="7" t="str">
        <f>IF(ISNA(MATCH(647,'Transfer Engine'!$C$2:$C$1199,0)),"",INDEX('Compliance Database'!$O$2:$O$1199,MATCH(647,'Transfer Engine'!$C$2:$C$1199,0)))</f>
        <v/>
      </c>
      <c r="P656" s="6" t="str">
        <f>IF(ISNA(MATCH(647,'Transfer Engine'!$C$2:$C$1199,0)),"",HYPERLINK("#Acts!A"&amp;INDEX('Compliance Database'!$P$2:$P$1199,MATCH(647,'Transfer Engine'!$C$2:$C$1199,0)),"Go to Act"))</f>
        <v/>
      </c>
    </row>
    <row r="657" spans="1:16" ht="172.95" customHeight="1" x14ac:dyDescent="0.3">
      <c r="A657" s="6" t="str">
        <f>IF(ISNA(MATCH(648,'Transfer Engine'!$C$2:$C$1199,0)),"",INDEX('Compliance Database'!$A$2:$A$1199,MATCH(648,'Transfer Engine'!$C$2:$C$1199,0)))</f>
        <v/>
      </c>
      <c r="B657" s="6" t="str">
        <f>IF(ISNA(MATCH(648,'Transfer Engine'!$C$2:$C$1199,0)),"",INDEX('Compliance Database'!$B$2:$B$1199,MATCH(648,'Transfer Engine'!$C$2:$C$1199,0)))</f>
        <v/>
      </c>
      <c r="C657" s="6" t="str">
        <f>IF(ISNA(MATCH(648,'Transfer Engine'!$C$2:$C$1199,0)),"",INDEX('Compliance Database'!$C$2:$C$1199,MATCH(648,'Transfer Engine'!$C$2:$C$1199,0)))</f>
        <v/>
      </c>
      <c r="D657" s="7" t="str">
        <f>IF(ISNA(MATCH(648,'Transfer Engine'!$C$2:$C$1199,0)),"",INDEX('Compliance Database'!$D$2:$D$1199,MATCH(648,'Transfer Engine'!$C$2:$C$1199,0)))</f>
        <v/>
      </c>
      <c r="E657" s="6" t="str">
        <f>IF(ISNA(MATCH(648,'Transfer Engine'!$C$2:$C$1199,0)),"",INDEX('Compliance Database'!$E$2:$E$1199,MATCH(648,'Transfer Engine'!$C$2:$C$1199,0)))</f>
        <v/>
      </c>
      <c r="F657" s="6" t="str">
        <f>IF(ISNA(MATCH(648,'Transfer Engine'!$C$2:$C$1199,0)),"",INDEX('Compliance Database'!$F$2:$F$1199,MATCH(648,'Transfer Engine'!$C$2:$C$1199,0)))</f>
        <v/>
      </c>
      <c r="G657" s="6" t="str">
        <f>IF(ISNA(MATCH(648,'Transfer Engine'!$C$2:$C$1199,0)),"",INDEX('Compliance Database'!$G$2:$G$1199,MATCH(648,'Transfer Engine'!$C$2:$C$1199,0)))</f>
        <v/>
      </c>
      <c r="H657" s="7" t="str">
        <f>IF(ISNA(MATCH(648,'Transfer Engine'!$C$2:$C$1199,0)),"",INDEX('Compliance Database'!$H$2:$H$1199,MATCH(648,'Transfer Engine'!$C$2:$C$1199,0)))</f>
        <v/>
      </c>
      <c r="I657" s="7" t="str">
        <f>IF(ISNA(MATCH(648,'Transfer Engine'!$C$2:$C$1199,0)),"",INDEX('Compliance Database'!$I$2:$I$1199,MATCH(648,'Transfer Engine'!$C$2:$C$1199,0)))</f>
        <v/>
      </c>
      <c r="J657" s="6" t="str">
        <f>IF(ISNA(MATCH(648,'Transfer Engine'!$C$2:$C$1199,0)),"",INDEX('Compliance Database'!$J$2:$J$1199,MATCH(648,'Transfer Engine'!$C$2:$C$1199,0)))</f>
        <v/>
      </c>
      <c r="K657" s="7" t="str">
        <f>IF(ISNA(MATCH(648,'Transfer Engine'!$C$2:$C$1199,0)),"",INDEX('Compliance Database'!$K$2:$K$1199,MATCH(648,'Transfer Engine'!$C$2:$C$1199,0)))</f>
        <v/>
      </c>
      <c r="L657" s="7" t="str">
        <f>IF(ISNA(MATCH(648,'Transfer Engine'!$C$2:$C$1199,0)),"",INDEX('Compliance Database'!$L$2:$L$1199,MATCH(648,'Transfer Engine'!$C$2:$C$1199,0)))</f>
        <v/>
      </c>
      <c r="M657" s="7" t="str">
        <f>IF(ISNA(MATCH(648,'Transfer Engine'!$C$2:$C$1199,0)),"",INDEX('Compliance Database'!$M$2:$M$1199,MATCH(648,'Transfer Engine'!$C$2:$C$1199,0)))</f>
        <v/>
      </c>
      <c r="N657" s="7" t="str">
        <f>IF(ISNA(MATCH(648,'Transfer Engine'!$C$2:$C$1199,0)),"",INDEX('Compliance Database'!$N$2:$N$1199,MATCH(648,'Transfer Engine'!$C$2:$C$1199,0)))</f>
        <v/>
      </c>
      <c r="O657" s="7" t="str">
        <f>IF(ISNA(MATCH(648,'Transfer Engine'!$C$2:$C$1199,0)),"",INDEX('Compliance Database'!$O$2:$O$1199,MATCH(648,'Transfer Engine'!$C$2:$C$1199,0)))</f>
        <v/>
      </c>
      <c r="P657" s="6" t="str">
        <f>IF(ISNA(MATCH(648,'Transfer Engine'!$C$2:$C$1199,0)),"",HYPERLINK("#Acts!A"&amp;INDEX('Compliance Database'!$P$2:$P$1199,MATCH(648,'Transfer Engine'!$C$2:$C$1199,0)),"Go to Act"))</f>
        <v/>
      </c>
    </row>
    <row r="658" spans="1:16" ht="172.95" customHeight="1" x14ac:dyDescent="0.3">
      <c r="A658" s="6" t="str">
        <f>IF(ISNA(MATCH(649,'Transfer Engine'!$C$2:$C$1199,0)),"",INDEX('Compliance Database'!$A$2:$A$1199,MATCH(649,'Transfer Engine'!$C$2:$C$1199,0)))</f>
        <v/>
      </c>
      <c r="B658" s="6" t="str">
        <f>IF(ISNA(MATCH(649,'Transfer Engine'!$C$2:$C$1199,0)),"",INDEX('Compliance Database'!$B$2:$B$1199,MATCH(649,'Transfer Engine'!$C$2:$C$1199,0)))</f>
        <v/>
      </c>
      <c r="C658" s="6" t="str">
        <f>IF(ISNA(MATCH(649,'Transfer Engine'!$C$2:$C$1199,0)),"",INDEX('Compliance Database'!$C$2:$C$1199,MATCH(649,'Transfer Engine'!$C$2:$C$1199,0)))</f>
        <v/>
      </c>
      <c r="D658" s="7" t="str">
        <f>IF(ISNA(MATCH(649,'Transfer Engine'!$C$2:$C$1199,0)),"",INDEX('Compliance Database'!$D$2:$D$1199,MATCH(649,'Transfer Engine'!$C$2:$C$1199,0)))</f>
        <v/>
      </c>
      <c r="E658" s="6" t="str">
        <f>IF(ISNA(MATCH(649,'Transfer Engine'!$C$2:$C$1199,0)),"",INDEX('Compliance Database'!$E$2:$E$1199,MATCH(649,'Transfer Engine'!$C$2:$C$1199,0)))</f>
        <v/>
      </c>
      <c r="F658" s="6" t="str">
        <f>IF(ISNA(MATCH(649,'Transfer Engine'!$C$2:$C$1199,0)),"",INDEX('Compliance Database'!$F$2:$F$1199,MATCH(649,'Transfer Engine'!$C$2:$C$1199,0)))</f>
        <v/>
      </c>
      <c r="G658" s="6" t="str">
        <f>IF(ISNA(MATCH(649,'Transfer Engine'!$C$2:$C$1199,0)),"",INDEX('Compliance Database'!$G$2:$G$1199,MATCH(649,'Transfer Engine'!$C$2:$C$1199,0)))</f>
        <v/>
      </c>
      <c r="H658" s="7" t="str">
        <f>IF(ISNA(MATCH(649,'Transfer Engine'!$C$2:$C$1199,0)),"",INDEX('Compliance Database'!$H$2:$H$1199,MATCH(649,'Transfer Engine'!$C$2:$C$1199,0)))</f>
        <v/>
      </c>
      <c r="I658" s="7" t="str">
        <f>IF(ISNA(MATCH(649,'Transfer Engine'!$C$2:$C$1199,0)),"",INDEX('Compliance Database'!$I$2:$I$1199,MATCH(649,'Transfer Engine'!$C$2:$C$1199,0)))</f>
        <v/>
      </c>
      <c r="J658" s="6" t="str">
        <f>IF(ISNA(MATCH(649,'Transfer Engine'!$C$2:$C$1199,0)),"",INDEX('Compliance Database'!$J$2:$J$1199,MATCH(649,'Transfer Engine'!$C$2:$C$1199,0)))</f>
        <v/>
      </c>
      <c r="K658" s="7" t="str">
        <f>IF(ISNA(MATCH(649,'Transfer Engine'!$C$2:$C$1199,0)),"",INDEX('Compliance Database'!$K$2:$K$1199,MATCH(649,'Transfer Engine'!$C$2:$C$1199,0)))</f>
        <v/>
      </c>
      <c r="L658" s="7" t="str">
        <f>IF(ISNA(MATCH(649,'Transfer Engine'!$C$2:$C$1199,0)),"",INDEX('Compliance Database'!$L$2:$L$1199,MATCH(649,'Transfer Engine'!$C$2:$C$1199,0)))</f>
        <v/>
      </c>
      <c r="M658" s="7" t="str">
        <f>IF(ISNA(MATCH(649,'Transfer Engine'!$C$2:$C$1199,0)),"",INDEX('Compliance Database'!$M$2:$M$1199,MATCH(649,'Transfer Engine'!$C$2:$C$1199,0)))</f>
        <v/>
      </c>
      <c r="N658" s="7" t="str">
        <f>IF(ISNA(MATCH(649,'Transfer Engine'!$C$2:$C$1199,0)),"",INDEX('Compliance Database'!$N$2:$N$1199,MATCH(649,'Transfer Engine'!$C$2:$C$1199,0)))</f>
        <v/>
      </c>
      <c r="O658" s="7" t="str">
        <f>IF(ISNA(MATCH(649,'Transfer Engine'!$C$2:$C$1199,0)),"",INDEX('Compliance Database'!$O$2:$O$1199,MATCH(649,'Transfer Engine'!$C$2:$C$1199,0)))</f>
        <v/>
      </c>
      <c r="P658" s="6" t="str">
        <f>IF(ISNA(MATCH(649,'Transfer Engine'!$C$2:$C$1199,0)),"",HYPERLINK("#Acts!A"&amp;INDEX('Compliance Database'!$P$2:$P$1199,MATCH(649,'Transfer Engine'!$C$2:$C$1199,0)),"Go to Act"))</f>
        <v/>
      </c>
    </row>
    <row r="659" spans="1:16" ht="172.95" customHeight="1" x14ac:dyDescent="0.3">
      <c r="A659" s="6" t="str">
        <f>IF(ISNA(MATCH(650,'Transfer Engine'!$C$2:$C$1199,0)),"",INDEX('Compliance Database'!$A$2:$A$1199,MATCH(650,'Transfer Engine'!$C$2:$C$1199,0)))</f>
        <v/>
      </c>
      <c r="B659" s="6" t="str">
        <f>IF(ISNA(MATCH(650,'Transfer Engine'!$C$2:$C$1199,0)),"",INDEX('Compliance Database'!$B$2:$B$1199,MATCH(650,'Transfer Engine'!$C$2:$C$1199,0)))</f>
        <v/>
      </c>
      <c r="C659" s="6" t="str">
        <f>IF(ISNA(MATCH(650,'Transfer Engine'!$C$2:$C$1199,0)),"",INDEX('Compliance Database'!$C$2:$C$1199,MATCH(650,'Transfer Engine'!$C$2:$C$1199,0)))</f>
        <v/>
      </c>
      <c r="D659" s="7" t="str">
        <f>IF(ISNA(MATCH(650,'Transfer Engine'!$C$2:$C$1199,0)),"",INDEX('Compliance Database'!$D$2:$D$1199,MATCH(650,'Transfer Engine'!$C$2:$C$1199,0)))</f>
        <v/>
      </c>
      <c r="E659" s="6" t="str">
        <f>IF(ISNA(MATCH(650,'Transfer Engine'!$C$2:$C$1199,0)),"",INDEX('Compliance Database'!$E$2:$E$1199,MATCH(650,'Transfer Engine'!$C$2:$C$1199,0)))</f>
        <v/>
      </c>
      <c r="F659" s="6" t="str">
        <f>IF(ISNA(MATCH(650,'Transfer Engine'!$C$2:$C$1199,0)),"",INDEX('Compliance Database'!$F$2:$F$1199,MATCH(650,'Transfer Engine'!$C$2:$C$1199,0)))</f>
        <v/>
      </c>
      <c r="G659" s="6" t="str">
        <f>IF(ISNA(MATCH(650,'Transfer Engine'!$C$2:$C$1199,0)),"",INDEX('Compliance Database'!$G$2:$G$1199,MATCH(650,'Transfer Engine'!$C$2:$C$1199,0)))</f>
        <v/>
      </c>
      <c r="H659" s="7" t="str">
        <f>IF(ISNA(MATCH(650,'Transfer Engine'!$C$2:$C$1199,0)),"",INDEX('Compliance Database'!$H$2:$H$1199,MATCH(650,'Transfer Engine'!$C$2:$C$1199,0)))</f>
        <v/>
      </c>
      <c r="I659" s="7" t="str">
        <f>IF(ISNA(MATCH(650,'Transfer Engine'!$C$2:$C$1199,0)),"",INDEX('Compliance Database'!$I$2:$I$1199,MATCH(650,'Transfer Engine'!$C$2:$C$1199,0)))</f>
        <v/>
      </c>
      <c r="J659" s="6" t="str">
        <f>IF(ISNA(MATCH(650,'Transfer Engine'!$C$2:$C$1199,0)),"",INDEX('Compliance Database'!$J$2:$J$1199,MATCH(650,'Transfer Engine'!$C$2:$C$1199,0)))</f>
        <v/>
      </c>
      <c r="K659" s="7" t="str">
        <f>IF(ISNA(MATCH(650,'Transfer Engine'!$C$2:$C$1199,0)),"",INDEX('Compliance Database'!$K$2:$K$1199,MATCH(650,'Transfer Engine'!$C$2:$C$1199,0)))</f>
        <v/>
      </c>
      <c r="L659" s="7" t="str">
        <f>IF(ISNA(MATCH(650,'Transfer Engine'!$C$2:$C$1199,0)),"",INDEX('Compliance Database'!$L$2:$L$1199,MATCH(650,'Transfer Engine'!$C$2:$C$1199,0)))</f>
        <v/>
      </c>
      <c r="M659" s="7" t="str">
        <f>IF(ISNA(MATCH(650,'Transfer Engine'!$C$2:$C$1199,0)),"",INDEX('Compliance Database'!$M$2:$M$1199,MATCH(650,'Transfer Engine'!$C$2:$C$1199,0)))</f>
        <v/>
      </c>
      <c r="N659" s="7" t="str">
        <f>IF(ISNA(MATCH(650,'Transfer Engine'!$C$2:$C$1199,0)),"",INDEX('Compliance Database'!$N$2:$N$1199,MATCH(650,'Transfer Engine'!$C$2:$C$1199,0)))</f>
        <v/>
      </c>
      <c r="O659" s="7" t="str">
        <f>IF(ISNA(MATCH(650,'Transfer Engine'!$C$2:$C$1199,0)),"",INDEX('Compliance Database'!$O$2:$O$1199,MATCH(650,'Transfer Engine'!$C$2:$C$1199,0)))</f>
        <v/>
      </c>
      <c r="P659" s="6" t="str">
        <f>IF(ISNA(MATCH(650,'Transfer Engine'!$C$2:$C$1199,0)),"",HYPERLINK("#Acts!A"&amp;INDEX('Compliance Database'!$P$2:$P$1199,MATCH(650,'Transfer Engine'!$C$2:$C$1199,0)),"Go to Act"))</f>
        <v/>
      </c>
    </row>
    <row r="660" spans="1:16" ht="172.95" customHeight="1" x14ac:dyDescent="0.3">
      <c r="A660" s="6" t="str">
        <f>IF(ISNA(MATCH(651,'Transfer Engine'!$C$2:$C$1199,0)),"",INDEX('Compliance Database'!$A$2:$A$1199,MATCH(651,'Transfer Engine'!$C$2:$C$1199,0)))</f>
        <v/>
      </c>
      <c r="B660" s="6" t="str">
        <f>IF(ISNA(MATCH(651,'Transfer Engine'!$C$2:$C$1199,0)),"",INDEX('Compliance Database'!$B$2:$B$1199,MATCH(651,'Transfer Engine'!$C$2:$C$1199,0)))</f>
        <v/>
      </c>
      <c r="C660" s="6" t="str">
        <f>IF(ISNA(MATCH(651,'Transfer Engine'!$C$2:$C$1199,0)),"",INDEX('Compliance Database'!$C$2:$C$1199,MATCH(651,'Transfer Engine'!$C$2:$C$1199,0)))</f>
        <v/>
      </c>
      <c r="D660" s="7" t="str">
        <f>IF(ISNA(MATCH(651,'Transfer Engine'!$C$2:$C$1199,0)),"",INDEX('Compliance Database'!$D$2:$D$1199,MATCH(651,'Transfer Engine'!$C$2:$C$1199,0)))</f>
        <v/>
      </c>
      <c r="E660" s="6" t="str">
        <f>IF(ISNA(MATCH(651,'Transfer Engine'!$C$2:$C$1199,0)),"",INDEX('Compliance Database'!$E$2:$E$1199,MATCH(651,'Transfer Engine'!$C$2:$C$1199,0)))</f>
        <v/>
      </c>
      <c r="F660" s="6" t="str">
        <f>IF(ISNA(MATCH(651,'Transfer Engine'!$C$2:$C$1199,0)),"",INDEX('Compliance Database'!$F$2:$F$1199,MATCH(651,'Transfer Engine'!$C$2:$C$1199,0)))</f>
        <v/>
      </c>
      <c r="G660" s="6" t="str">
        <f>IF(ISNA(MATCH(651,'Transfer Engine'!$C$2:$C$1199,0)),"",INDEX('Compliance Database'!$G$2:$G$1199,MATCH(651,'Transfer Engine'!$C$2:$C$1199,0)))</f>
        <v/>
      </c>
      <c r="H660" s="7" t="str">
        <f>IF(ISNA(MATCH(651,'Transfer Engine'!$C$2:$C$1199,0)),"",INDEX('Compliance Database'!$H$2:$H$1199,MATCH(651,'Transfer Engine'!$C$2:$C$1199,0)))</f>
        <v/>
      </c>
      <c r="I660" s="7" t="str">
        <f>IF(ISNA(MATCH(651,'Transfer Engine'!$C$2:$C$1199,0)),"",INDEX('Compliance Database'!$I$2:$I$1199,MATCH(651,'Transfer Engine'!$C$2:$C$1199,0)))</f>
        <v/>
      </c>
      <c r="J660" s="6" t="str">
        <f>IF(ISNA(MATCH(651,'Transfer Engine'!$C$2:$C$1199,0)),"",INDEX('Compliance Database'!$J$2:$J$1199,MATCH(651,'Transfer Engine'!$C$2:$C$1199,0)))</f>
        <v/>
      </c>
      <c r="K660" s="7" t="str">
        <f>IF(ISNA(MATCH(651,'Transfer Engine'!$C$2:$C$1199,0)),"",INDEX('Compliance Database'!$K$2:$K$1199,MATCH(651,'Transfer Engine'!$C$2:$C$1199,0)))</f>
        <v/>
      </c>
      <c r="L660" s="7" t="str">
        <f>IF(ISNA(MATCH(651,'Transfer Engine'!$C$2:$C$1199,0)),"",INDEX('Compliance Database'!$L$2:$L$1199,MATCH(651,'Transfer Engine'!$C$2:$C$1199,0)))</f>
        <v/>
      </c>
      <c r="M660" s="7" t="str">
        <f>IF(ISNA(MATCH(651,'Transfer Engine'!$C$2:$C$1199,0)),"",INDEX('Compliance Database'!$M$2:$M$1199,MATCH(651,'Transfer Engine'!$C$2:$C$1199,0)))</f>
        <v/>
      </c>
      <c r="N660" s="7" t="str">
        <f>IF(ISNA(MATCH(651,'Transfer Engine'!$C$2:$C$1199,0)),"",INDEX('Compliance Database'!$N$2:$N$1199,MATCH(651,'Transfer Engine'!$C$2:$C$1199,0)))</f>
        <v/>
      </c>
      <c r="O660" s="7" t="str">
        <f>IF(ISNA(MATCH(651,'Transfer Engine'!$C$2:$C$1199,0)),"",INDEX('Compliance Database'!$O$2:$O$1199,MATCH(651,'Transfer Engine'!$C$2:$C$1199,0)))</f>
        <v/>
      </c>
      <c r="P660" s="6" t="str">
        <f>IF(ISNA(MATCH(651,'Transfer Engine'!$C$2:$C$1199,0)),"",HYPERLINK("#Acts!A"&amp;INDEX('Compliance Database'!$P$2:$P$1199,MATCH(651,'Transfer Engine'!$C$2:$C$1199,0)),"Go to Act"))</f>
        <v/>
      </c>
    </row>
    <row r="661" spans="1:16" ht="172.95" customHeight="1" x14ac:dyDescent="0.3">
      <c r="A661" s="6" t="str">
        <f>IF(ISNA(MATCH(652,'Transfer Engine'!$C$2:$C$1199,0)),"",INDEX('Compliance Database'!$A$2:$A$1199,MATCH(652,'Transfer Engine'!$C$2:$C$1199,0)))</f>
        <v/>
      </c>
      <c r="B661" s="6" t="str">
        <f>IF(ISNA(MATCH(652,'Transfer Engine'!$C$2:$C$1199,0)),"",INDEX('Compliance Database'!$B$2:$B$1199,MATCH(652,'Transfer Engine'!$C$2:$C$1199,0)))</f>
        <v/>
      </c>
      <c r="C661" s="6" t="str">
        <f>IF(ISNA(MATCH(652,'Transfer Engine'!$C$2:$C$1199,0)),"",INDEX('Compliance Database'!$C$2:$C$1199,MATCH(652,'Transfer Engine'!$C$2:$C$1199,0)))</f>
        <v/>
      </c>
      <c r="D661" s="7" t="str">
        <f>IF(ISNA(MATCH(652,'Transfer Engine'!$C$2:$C$1199,0)),"",INDEX('Compliance Database'!$D$2:$D$1199,MATCH(652,'Transfer Engine'!$C$2:$C$1199,0)))</f>
        <v/>
      </c>
      <c r="E661" s="6" t="str">
        <f>IF(ISNA(MATCH(652,'Transfer Engine'!$C$2:$C$1199,0)),"",INDEX('Compliance Database'!$E$2:$E$1199,MATCH(652,'Transfer Engine'!$C$2:$C$1199,0)))</f>
        <v/>
      </c>
      <c r="F661" s="6" t="str">
        <f>IF(ISNA(MATCH(652,'Transfer Engine'!$C$2:$C$1199,0)),"",INDEX('Compliance Database'!$F$2:$F$1199,MATCH(652,'Transfer Engine'!$C$2:$C$1199,0)))</f>
        <v/>
      </c>
      <c r="G661" s="6" t="str">
        <f>IF(ISNA(MATCH(652,'Transfer Engine'!$C$2:$C$1199,0)),"",INDEX('Compliance Database'!$G$2:$G$1199,MATCH(652,'Transfer Engine'!$C$2:$C$1199,0)))</f>
        <v/>
      </c>
      <c r="H661" s="7" t="str">
        <f>IF(ISNA(MATCH(652,'Transfer Engine'!$C$2:$C$1199,0)),"",INDEX('Compliance Database'!$H$2:$H$1199,MATCH(652,'Transfer Engine'!$C$2:$C$1199,0)))</f>
        <v/>
      </c>
      <c r="I661" s="7" t="str">
        <f>IF(ISNA(MATCH(652,'Transfer Engine'!$C$2:$C$1199,0)),"",INDEX('Compliance Database'!$I$2:$I$1199,MATCH(652,'Transfer Engine'!$C$2:$C$1199,0)))</f>
        <v/>
      </c>
      <c r="J661" s="6" t="str">
        <f>IF(ISNA(MATCH(652,'Transfer Engine'!$C$2:$C$1199,0)),"",INDEX('Compliance Database'!$J$2:$J$1199,MATCH(652,'Transfer Engine'!$C$2:$C$1199,0)))</f>
        <v/>
      </c>
      <c r="K661" s="7" t="str">
        <f>IF(ISNA(MATCH(652,'Transfer Engine'!$C$2:$C$1199,0)),"",INDEX('Compliance Database'!$K$2:$K$1199,MATCH(652,'Transfer Engine'!$C$2:$C$1199,0)))</f>
        <v/>
      </c>
      <c r="L661" s="7" t="str">
        <f>IF(ISNA(MATCH(652,'Transfer Engine'!$C$2:$C$1199,0)),"",INDEX('Compliance Database'!$L$2:$L$1199,MATCH(652,'Transfer Engine'!$C$2:$C$1199,0)))</f>
        <v/>
      </c>
      <c r="M661" s="7" t="str">
        <f>IF(ISNA(MATCH(652,'Transfer Engine'!$C$2:$C$1199,0)),"",INDEX('Compliance Database'!$M$2:$M$1199,MATCH(652,'Transfer Engine'!$C$2:$C$1199,0)))</f>
        <v/>
      </c>
      <c r="N661" s="7" t="str">
        <f>IF(ISNA(MATCH(652,'Transfer Engine'!$C$2:$C$1199,0)),"",INDEX('Compliance Database'!$N$2:$N$1199,MATCH(652,'Transfer Engine'!$C$2:$C$1199,0)))</f>
        <v/>
      </c>
      <c r="O661" s="7" t="str">
        <f>IF(ISNA(MATCH(652,'Transfer Engine'!$C$2:$C$1199,0)),"",INDEX('Compliance Database'!$O$2:$O$1199,MATCH(652,'Transfer Engine'!$C$2:$C$1199,0)))</f>
        <v/>
      </c>
      <c r="P661" s="6" t="str">
        <f>IF(ISNA(MATCH(652,'Transfer Engine'!$C$2:$C$1199,0)),"",HYPERLINK("#Acts!A"&amp;INDEX('Compliance Database'!$P$2:$P$1199,MATCH(652,'Transfer Engine'!$C$2:$C$1199,0)),"Go to Act"))</f>
        <v/>
      </c>
    </row>
    <row r="662" spans="1:16" ht="172.95" customHeight="1" x14ac:dyDescent="0.3">
      <c r="A662" s="6" t="str">
        <f>IF(ISNA(MATCH(653,'Transfer Engine'!$C$2:$C$1199,0)),"",INDEX('Compliance Database'!$A$2:$A$1199,MATCH(653,'Transfer Engine'!$C$2:$C$1199,0)))</f>
        <v/>
      </c>
      <c r="B662" s="6" t="str">
        <f>IF(ISNA(MATCH(653,'Transfer Engine'!$C$2:$C$1199,0)),"",INDEX('Compliance Database'!$B$2:$B$1199,MATCH(653,'Transfer Engine'!$C$2:$C$1199,0)))</f>
        <v/>
      </c>
      <c r="C662" s="6" t="str">
        <f>IF(ISNA(MATCH(653,'Transfer Engine'!$C$2:$C$1199,0)),"",INDEX('Compliance Database'!$C$2:$C$1199,MATCH(653,'Transfer Engine'!$C$2:$C$1199,0)))</f>
        <v/>
      </c>
      <c r="D662" s="7" t="str">
        <f>IF(ISNA(MATCH(653,'Transfer Engine'!$C$2:$C$1199,0)),"",INDEX('Compliance Database'!$D$2:$D$1199,MATCH(653,'Transfer Engine'!$C$2:$C$1199,0)))</f>
        <v/>
      </c>
      <c r="E662" s="6" t="str">
        <f>IF(ISNA(MATCH(653,'Transfer Engine'!$C$2:$C$1199,0)),"",INDEX('Compliance Database'!$E$2:$E$1199,MATCH(653,'Transfer Engine'!$C$2:$C$1199,0)))</f>
        <v/>
      </c>
      <c r="F662" s="6" t="str">
        <f>IF(ISNA(MATCH(653,'Transfer Engine'!$C$2:$C$1199,0)),"",INDEX('Compliance Database'!$F$2:$F$1199,MATCH(653,'Transfer Engine'!$C$2:$C$1199,0)))</f>
        <v/>
      </c>
      <c r="G662" s="6" t="str">
        <f>IF(ISNA(MATCH(653,'Transfer Engine'!$C$2:$C$1199,0)),"",INDEX('Compliance Database'!$G$2:$G$1199,MATCH(653,'Transfer Engine'!$C$2:$C$1199,0)))</f>
        <v/>
      </c>
      <c r="H662" s="7" t="str">
        <f>IF(ISNA(MATCH(653,'Transfer Engine'!$C$2:$C$1199,0)),"",INDEX('Compliance Database'!$H$2:$H$1199,MATCH(653,'Transfer Engine'!$C$2:$C$1199,0)))</f>
        <v/>
      </c>
      <c r="I662" s="7" t="str">
        <f>IF(ISNA(MATCH(653,'Transfer Engine'!$C$2:$C$1199,0)),"",INDEX('Compliance Database'!$I$2:$I$1199,MATCH(653,'Transfer Engine'!$C$2:$C$1199,0)))</f>
        <v/>
      </c>
      <c r="J662" s="6" t="str">
        <f>IF(ISNA(MATCH(653,'Transfer Engine'!$C$2:$C$1199,0)),"",INDEX('Compliance Database'!$J$2:$J$1199,MATCH(653,'Transfer Engine'!$C$2:$C$1199,0)))</f>
        <v/>
      </c>
      <c r="K662" s="7" t="str">
        <f>IF(ISNA(MATCH(653,'Transfer Engine'!$C$2:$C$1199,0)),"",INDEX('Compliance Database'!$K$2:$K$1199,MATCH(653,'Transfer Engine'!$C$2:$C$1199,0)))</f>
        <v/>
      </c>
      <c r="L662" s="7" t="str">
        <f>IF(ISNA(MATCH(653,'Transfer Engine'!$C$2:$C$1199,0)),"",INDEX('Compliance Database'!$L$2:$L$1199,MATCH(653,'Transfer Engine'!$C$2:$C$1199,0)))</f>
        <v/>
      </c>
      <c r="M662" s="7" t="str">
        <f>IF(ISNA(MATCH(653,'Transfer Engine'!$C$2:$C$1199,0)),"",INDEX('Compliance Database'!$M$2:$M$1199,MATCH(653,'Transfer Engine'!$C$2:$C$1199,0)))</f>
        <v/>
      </c>
      <c r="N662" s="7" t="str">
        <f>IF(ISNA(MATCH(653,'Transfer Engine'!$C$2:$C$1199,0)),"",INDEX('Compliance Database'!$N$2:$N$1199,MATCH(653,'Transfer Engine'!$C$2:$C$1199,0)))</f>
        <v/>
      </c>
      <c r="O662" s="7" t="str">
        <f>IF(ISNA(MATCH(653,'Transfer Engine'!$C$2:$C$1199,0)),"",INDEX('Compliance Database'!$O$2:$O$1199,MATCH(653,'Transfer Engine'!$C$2:$C$1199,0)))</f>
        <v/>
      </c>
      <c r="P662" s="6" t="str">
        <f>IF(ISNA(MATCH(653,'Transfer Engine'!$C$2:$C$1199,0)),"",HYPERLINK("#Acts!A"&amp;INDEX('Compliance Database'!$P$2:$P$1199,MATCH(653,'Transfer Engine'!$C$2:$C$1199,0)),"Go to Act"))</f>
        <v/>
      </c>
    </row>
    <row r="663" spans="1:16" ht="172.95" customHeight="1" x14ac:dyDescent="0.3">
      <c r="A663" s="6" t="str">
        <f>IF(ISNA(MATCH(654,'Transfer Engine'!$C$2:$C$1199,0)),"",INDEX('Compliance Database'!$A$2:$A$1199,MATCH(654,'Transfer Engine'!$C$2:$C$1199,0)))</f>
        <v/>
      </c>
      <c r="B663" s="6" t="str">
        <f>IF(ISNA(MATCH(654,'Transfer Engine'!$C$2:$C$1199,0)),"",INDEX('Compliance Database'!$B$2:$B$1199,MATCH(654,'Transfer Engine'!$C$2:$C$1199,0)))</f>
        <v/>
      </c>
      <c r="C663" s="6" t="str">
        <f>IF(ISNA(MATCH(654,'Transfer Engine'!$C$2:$C$1199,0)),"",INDEX('Compliance Database'!$C$2:$C$1199,MATCH(654,'Transfer Engine'!$C$2:$C$1199,0)))</f>
        <v/>
      </c>
      <c r="D663" s="7" t="str">
        <f>IF(ISNA(MATCH(654,'Transfer Engine'!$C$2:$C$1199,0)),"",INDEX('Compliance Database'!$D$2:$D$1199,MATCH(654,'Transfer Engine'!$C$2:$C$1199,0)))</f>
        <v/>
      </c>
      <c r="E663" s="6" t="str">
        <f>IF(ISNA(MATCH(654,'Transfer Engine'!$C$2:$C$1199,0)),"",INDEX('Compliance Database'!$E$2:$E$1199,MATCH(654,'Transfer Engine'!$C$2:$C$1199,0)))</f>
        <v/>
      </c>
      <c r="F663" s="6" t="str">
        <f>IF(ISNA(MATCH(654,'Transfer Engine'!$C$2:$C$1199,0)),"",INDEX('Compliance Database'!$F$2:$F$1199,MATCH(654,'Transfer Engine'!$C$2:$C$1199,0)))</f>
        <v/>
      </c>
      <c r="G663" s="6" t="str">
        <f>IF(ISNA(MATCH(654,'Transfer Engine'!$C$2:$C$1199,0)),"",INDEX('Compliance Database'!$G$2:$G$1199,MATCH(654,'Transfer Engine'!$C$2:$C$1199,0)))</f>
        <v/>
      </c>
      <c r="H663" s="7" t="str">
        <f>IF(ISNA(MATCH(654,'Transfer Engine'!$C$2:$C$1199,0)),"",INDEX('Compliance Database'!$H$2:$H$1199,MATCH(654,'Transfer Engine'!$C$2:$C$1199,0)))</f>
        <v/>
      </c>
      <c r="I663" s="7" t="str">
        <f>IF(ISNA(MATCH(654,'Transfer Engine'!$C$2:$C$1199,0)),"",INDEX('Compliance Database'!$I$2:$I$1199,MATCH(654,'Transfer Engine'!$C$2:$C$1199,0)))</f>
        <v/>
      </c>
      <c r="J663" s="6" t="str">
        <f>IF(ISNA(MATCH(654,'Transfer Engine'!$C$2:$C$1199,0)),"",INDEX('Compliance Database'!$J$2:$J$1199,MATCH(654,'Transfer Engine'!$C$2:$C$1199,0)))</f>
        <v/>
      </c>
      <c r="K663" s="7" t="str">
        <f>IF(ISNA(MATCH(654,'Transfer Engine'!$C$2:$C$1199,0)),"",INDEX('Compliance Database'!$K$2:$K$1199,MATCH(654,'Transfer Engine'!$C$2:$C$1199,0)))</f>
        <v/>
      </c>
      <c r="L663" s="7" t="str">
        <f>IF(ISNA(MATCH(654,'Transfer Engine'!$C$2:$C$1199,0)),"",INDEX('Compliance Database'!$L$2:$L$1199,MATCH(654,'Transfer Engine'!$C$2:$C$1199,0)))</f>
        <v/>
      </c>
      <c r="M663" s="7" t="str">
        <f>IF(ISNA(MATCH(654,'Transfer Engine'!$C$2:$C$1199,0)),"",INDEX('Compliance Database'!$M$2:$M$1199,MATCH(654,'Transfer Engine'!$C$2:$C$1199,0)))</f>
        <v/>
      </c>
      <c r="N663" s="7" t="str">
        <f>IF(ISNA(MATCH(654,'Transfer Engine'!$C$2:$C$1199,0)),"",INDEX('Compliance Database'!$N$2:$N$1199,MATCH(654,'Transfer Engine'!$C$2:$C$1199,0)))</f>
        <v/>
      </c>
      <c r="O663" s="7" t="str">
        <f>IF(ISNA(MATCH(654,'Transfer Engine'!$C$2:$C$1199,0)),"",INDEX('Compliance Database'!$O$2:$O$1199,MATCH(654,'Transfer Engine'!$C$2:$C$1199,0)))</f>
        <v/>
      </c>
      <c r="P663" s="6" t="str">
        <f>IF(ISNA(MATCH(654,'Transfer Engine'!$C$2:$C$1199,0)),"",HYPERLINK("#Acts!A"&amp;INDEX('Compliance Database'!$P$2:$P$1199,MATCH(654,'Transfer Engine'!$C$2:$C$1199,0)),"Go to Act"))</f>
        <v/>
      </c>
    </row>
    <row r="664" spans="1:16" ht="172.95" customHeight="1" x14ac:dyDescent="0.3">
      <c r="A664" s="6" t="str">
        <f>IF(ISNA(MATCH(655,'Transfer Engine'!$C$2:$C$1199,0)),"",INDEX('Compliance Database'!$A$2:$A$1199,MATCH(655,'Transfer Engine'!$C$2:$C$1199,0)))</f>
        <v/>
      </c>
      <c r="B664" s="6" t="str">
        <f>IF(ISNA(MATCH(655,'Transfer Engine'!$C$2:$C$1199,0)),"",INDEX('Compliance Database'!$B$2:$B$1199,MATCH(655,'Transfer Engine'!$C$2:$C$1199,0)))</f>
        <v/>
      </c>
      <c r="C664" s="6" t="str">
        <f>IF(ISNA(MATCH(655,'Transfer Engine'!$C$2:$C$1199,0)),"",INDEX('Compliance Database'!$C$2:$C$1199,MATCH(655,'Transfer Engine'!$C$2:$C$1199,0)))</f>
        <v/>
      </c>
      <c r="D664" s="7" t="str">
        <f>IF(ISNA(MATCH(655,'Transfer Engine'!$C$2:$C$1199,0)),"",INDEX('Compliance Database'!$D$2:$D$1199,MATCH(655,'Transfer Engine'!$C$2:$C$1199,0)))</f>
        <v/>
      </c>
      <c r="E664" s="6" t="str">
        <f>IF(ISNA(MATCH(655,'Transfer Engine'!$C$2:$C$1199,0)),"",INDEX('Compliance Database'!$E$2:$E$1199,MATCH(655,'Transfer Engine'!$C$2:$C$1199,0)))</f>
        <v/>
      </c>
      <c r="F664" s="6" t="str">
        <f>IF(ISNA(MATCH(655,'Transfer Engine'!$C$2:$C$1199,0)),"",INDEX('Compliance Database'!$F$2:$F$1199,MATCH(655,'Transfer Engine'!$C$2:$C$1199,0)))</f>
        <v/>
      </c>
      <c r="G664" s="6" t="str">
        <f>IF(ISNA(MATCH(655,'Transfer Engine'!$C$2:$C$1199,0)),"",INDEX('Compliance Database'!$G$2:$G$1199,MATCH(655,'Transfer Engine'!$C$2:$C$1199,0)))</f>
        <v/>
      </c>
      <c r="H664" s="7" t="str">
        <f>IF(ISNA(MATCH(655,'Transfer Engine'!$C$2:$C$1199,0)),"",INDEX('Compliance Database'!$H$2:$H$1199,MATCH(655,'Transfer Engine'!$C$2:$C$1199,0)))</f>
        <v/>
      </c>
      <c r="I664" s="7" t="str">
        <f>IF(ISNA(MATCH(655,'Transfer Engine'!$C$2:$C$1199,0)),"",INDEX('Compliance Database'!$I$2:$I$1199,MATCH(655,'Transfer Engine'!$C$2:$C$1199,0)))</f>
        <v/>
      </c>
      <c r="J664" s="6" t="str">
        <f>IF(ISNA(MATCH(655,'Transfer Engine'!$C$2:$C$1199,0)),"",INDEX('Compliance Database'!$J$2:$J$1199,MATCH(655,'Transfer Engine'!$C$2:$C$1199,0)))</f>
        <v/>
      </c>
      <c r="K664" s="7" t="str">
        <f>IF(ISNA(MATCH(655,'Transfer Engine'!$C$2:$C$1199,0)),"",INDEX('Compliance Database'!$K$2:$K$1199,MATCH(655,'Transfer Engine'!$C$2:$C$1199,0)))</f>
        <v/>
      </c>
      <c r="L664" s="7" t="str">
        <f>IF(ISNA(MATCH(655,'Transfer Engine'!$C$2:$C$1199,0)),"",INDEX('Compliance Database'!$L$2:$L$1199,MATCH(655,'Transfer Engine'!$C$2:$C$1199,0)))</f>
        <v/>
      </c>
      <c r="M664" s="7" t="str">
        <f>IF(ISNA(MATCH(655,'Transfer Engine'!$C$2:$C$1199,0)),"",INDEX('Compliance Database'!$M$2:$M$1199,MATCH(655,'Transfer Engine'!$C$2:$C$1199,0)))</f>
        <v/>
      </c>
      <c r="N664" s="7" t="str">
        <f>IF(ISNA(MATCH(655,'Transfer Engine'!$C$2:$C$1199,0)),"",INDEX('Compliance Database'!$N$2:$N$1199,MATCH(655,'Transfer Engine'!$C$2:$C$1199,0)))</f>
        <v/>
      </c>
      <c r="O664" s="7" t="str">
        <f>IF(ISNA(MATCH(655,'Transfer Engine'!$C$2:$C$1199,0)),"",INDEX('Compliance Database'!$O$2:$O$1199,MATCH(655,'Transfer Engine'!$C$2:$C$1199,0)))</f>
        <v/>
      </c>
      <c r="P664" s="6" t="str">
        <f>IF(ISNA(MATCH(655,'Transfer Engine'!$C$2:$C$1199,0)),"",HYPERLINK("#Acts!A"&amp;INDEX('Compliance Database'!$P$2:$P$1199,MATCH(655,'Transfer Engine'!$C$2:$C$1199,0)),"Go to Act"))</f>
        <v/>
      </c>
    </row>
    <row r="665" spans="1:16" ht="172.95" customHeight="1" x14ac:dyDescent="0.3">
      <c r="A665" s="6" t="str">
        <f>IF(ISNA(MATCH(656,'Transfer Engine'!$C$2:$C$1199,0)),"",INDEX('Compliance Database'!$A$2:$A$1199,MATCH(656,'Transfer Engine'!$C$2:$C$1199,0)))</f>
        <v/>
      </c>
      <c r="B665" s="6" t="str">
        <f>IF(ISNA(MATCH(656,'Transfer Engine'!$C$2:$C$1199,0)),"",INDEX('Compliance Database'!$B$2:$B$1199,MATCH(656,'Transfer Engine'!$C$2:$C$1199,0)))</f>
        <v/>
      </c>
      <c r="C665" s="6" t="str">
        <f>IF(ISNA(MATCH(656,'Transfer Engine'!$C$2:$C$1199,0)),"",INDEX('Compliance Database'!$C$2:$C$1199,MATCH(656,'Transfer Engine'!$C$2:$C$1199,0)))</f>
        <v/>
      </c>
      <c r="D665" s="7" t="str">
        <f>IF(ISNA(MATCH(656,'Transfer Engine'!$C$2:$C$1199,0)),"",INDEX('Compliance Database'!$D$2:$D$1199,MATCH(656,'Transfer Engine'!$C$2:$C$1199,0)))</f>
        <v/>
      </c>
      <c r="E665" s="6" t="str">
        <f>IF(ISNA(MATCH(656,'Transfer Engine'!$C$2:$C$1199,0)),"",INDEX('Compliance Database'!$E$2:$E$1199,MATCH(656,'Transfer Engine'!$C$2:$C$1199,0)))</f>
        <v/>
      </c>
      <c r="F665" s="6" t="str">
        <f>IF(ISNA(MATCH(656,'Transfer Engine'!$C$2:$C$1199,0)),"",INDEX('Compliance Database'!$F$2:$F$1199,MATCH(656,'Transfer Engine'!$C$2:$C$1199,0)))</f>
        <v/>
      </c>
      <c r="G665" s="6" t="str">
        <f>IF(ISNA(MATCH(656,'Transfer Engine'!$C$2:$C$1199,0)),"",INDEX('Compliance Database'!$G$2:$G$1199,MATCH(656,'Transfer Engine'!$C$2:$C$1199,0)))</f>
        <v/>
      </c>
      <c r="H665" s="7" t="str">
        <f>IF(ISNA(MATCH(656,'Transfer Engine'!$C$2:$C$1199,0)),"",INDEX('Compliance Database'!$H$2:$H$1199,MATCH(656,'Transfer Engine'!$C$2:$C$1199,0)))</f>
        <v/>
      </c>
      <c r="I665" s="7" t="str">
        <f>IF(ISNA(MATCH(656,'Transfer Engine'!$C$2:$C$1199,0)),"",INDEX('Compliance Database'!$I$2:$I$1199,MATCH(656,'Transfer Engine'!$C$2:$C$1199,0)))</f>
        <v/>
      </c>
      <c r="J665" s="6" t="str">
        <f>IF(ISNA(MATCH(656,'Transfer Engine'!$C$2:$C$1199,0)),"",INDEX('Compliance Database'!$J$2:$J$1199,MATCH(656,'Transfer Engine'!$C$2:$C$1199,0)))</f>
        <v/>
      </c>
      <c r="K665" s="7" t="str">
        <f>IF(ISNA(MATCH(656,'Transfer Engine'!$C$2:$C$1199,0)),"",INDEX('Compliance Database'!$K$2:$K$1199,MATCH(656,'Transfer Engine'!$C$2:$C$1199,0)))</f>
        <v/>
      </c>
      <c r="L665" s="7" t="str">
        <f>IF(ISNA(MATCH(656,'Transfer Engine'!$C$2:$C$1199,0)),"",INDEX('Compliance Database'!$L$2:$L$1199,MATCH(656,'Transfer Engine'!$C$2:$C$1199,0)))</f>
        <v/>
      </c>
      <c r="M665" s="7" t="str">
        <f>IF(ISNA(MATCH(656,'Transfer Engine'!$C$2:$C$1199,0)),"",INDEX('Compliance Database'!$M$2:$M$1199,MATCH(656,'Transfer Engine'!$C$2:$C$1199,0)))</f>
        <v/>
      </c>
      <c r="N665" s="7" t="str">
        <f>IF(ISNA(MATCH(656,'Transfer Engine'!$C$2:$C$1199,0)),"",INDEX('Compliance Database'!$N$2:$N$1199,MATCH(656,'Transfer Engine'!$C$2:$C$1199,0)))</f>
        <v/>
      </c>
      <c r="O665" s="7" t="str">
        <f>IF(ISNA(MATCH(656,'Transfer Engine'!$C$2:$C$1199,0)),"",INDEX('Compliance Database'!$O$2:$O$1199,MATCH(656,'Transfer Engine'!$C$2:$C$1199,0)))</f>
        <v/>
      </c>
      <c r="P665" s="6" t="str">
        <f>IF(ISNA(MATCH(656,'Transfer Engine'!$C$2:$C$1199,0)),"",HYPERLINK("#Acts!A"&amp;INDEX('Compliance Database'!$P$2:$P$1199,MATCH(656,'Transfer Engine'!$C$2:$C$1199,0)),"Go to Act"))</f>
        <v/>
      </c>
    </row>
    <row r="666" spans="1:16" ht="172.95" customHeight="1" x14ac:dyDescent="0.3">
      <c r="A666" s="6" t="str">
        <f>IF(ISNA(MATCH(657,'Transfer Engine'!$C$2:$C$1199,0)),"",INDEX('Compliance Database'!$A$2:$A$1199,MATCH(657,'Transfer Engine'!$C$2:$C$1199,0)))</f>
        <v/>
      </c>
      <c r="B666" s="6" t="str">
        <f>IF(ISNA(MATCH(657,'Transfer Engine'!$C$2:$C$1199,0)),"",INDEX('Compliance Database'!$B$2:$B$1199,MATCH(657,'Transfer Engine'!$C$2:$C$1199,0)))</f>
        <v/>
      </c>
      <c r="C666" s="6" t="str">
        <f>IF(ISNA(MATCH(657,'Transfer Engine'!$C$2:$C$1199,0)),"",INDEX('Compliance Database'!$C$2:$C$1199,MATCH(657,'Transfer Engine'!$C$2:$C$1199,0)))</f>
        <v/>
      </c>
      <c r="D666" s="7" t="str">
        <f>IF(ISNA(MATCH(657,'Transfer Engine'!$C$2:$C$1199,0)),"",INDEX('Compliance Database'!$D$2:$D$1199,MATCH(657,'Transfer Engine'!$C$2:$C$1199,0)))</f>
        <v/>
      </c>
      <c r="E666" s="6" t="str">
        <f>IF(ISNA(MATCH(657,'Transfer Engine'!$C$2:$C$1199,0)),"",INDEX('Compliance Database'!$E$2:$E$1199,MATCH(657,'Transfer Engine'!$C$2:$C$1199,0)))</f>
        <v/>
      </c>
      <c r="F666" s="6" t="str">
        <f>IF(ISNA(MATCH(657,'Transfer Engine'!$C$2:$C$1199,0)),"",INDEX('Compliance Database'!$F$2:$F$1199,MATCH(657,'Transfer Engine'!$C$2:$C$1199,0)))</f>
        <v/>
      </c>
      <c r="G666" s="6" t="str">
        <f>IF(ISNA(MATCH(657,'Transfer Engine'!$C$2:$C$1199,0)),"",INDEX('Compliance Database'!$G$2:$G$1199,MATCH(657,'Transfer Engine'!$C$2:$C$1199,0)))</f>
        <v/>
      </c>
      <c r="H666" s="7" t="str">
        <f>IF(ISNA(MATCH(657,'Transfer Engine'!$C$2:$C$1199,0)),"",INDEX('Compliance Database'!$H$2:$H$1199,MATCH(657,'Transfer Engine'!$C$2:$C$1199,0)))</f>
        <v/>
      </c>
      <c r="I666" s="7" t="str">
        <f>IF(ISNA(MATCH(657,'Transfer Engine'!$C$2:$C$1199,0)),"",INDEX('Compliance Database'!$I$2:$I$1199,MATCH(657,'Transfer Engine'!$C$2:$C$1199,0)))</f>
        <v/>
      </c>
      <c r="J666" s="6" t="str">
        <f>IF(ISNA(MATCH(657,'Transfer Engine'!$C$2:$C$1199,0)),"",INDEX('Compliance Database'!$J$2:$J$1199,MATCH(657,'Transfer Engine'!$C$2:$C$1199,0)))</f>
        <v/>
      </c>
      <c r="K666" s="7" t="str">
        <f>IF(ISNA(MATCH(657,'Transfer Engine'!$C$2:$C$1199,0)),"",INDEX('Compliance Database'!$K$2:$K$1199,MATCH(657,'Transfer Engine'!$C$2:$C$1199,0)))</f>
        <v/>
      </c>
      <c r="L666" s="7" t="str">
        <f>IF(ISNA(MATCH(657,'Transfer Engine'!$C$2:$C$1199,0)),"",INDEX('Compliance Database'!$L$2:$L$1199,MATCH(657,'Transfer Engine'!$C$2:$C$1199,0)))</f>
        <v/>
      </c>
      <c r="M666" s="7" t="str">
        <f>IF(ISNA(MATCH(657,'Transfer Engine'!$C$2:$C$1199,0)),"",INDEX('Compliance Database'!$M$2:$M$1199,MATCH(657,'Transfer Engine'!$C$2:$C$1199,0)))</f>
        <v/>
      </c>
      <c r="N666" s="7" t="str">
        <f>IF(ISNA(MATCH(657,'Transfer Engine'!$C$2:$C$1199,0)),"",INDEX('Compliance Database'!$N$2:$N$1199,MATCH(657,'Transfer Engine'!$C$2:$C$1199,0)))</f>
        <v/>
      </c>
      <c r="O666" s="7" t="str">
        <f>IF(ISNA(MATCH(657,'Transfer Engine'!$C$2:$C$1199,0)),"",INDEX('Compliance Database'!$O$2:$O$1199,MATCH(657,'Transfer Engine'!$C$2:$C$1199,0)))</f>
        <v/>
      </c>
      <c r="P666" s="6" t="str">
        <f>IF(ISNA(MATCH(657,'Transfer Engine'!$C$2:$C$1199,0)),"",HYPERLINK("#Acts!A"&amp;INDEX('Compliance Database'!$P$2:$P$1199,MATCH(657,'Transfer Engine'!$C$2:$C$1199,0)),"Go to Act"))</f>
        <v/>
      </c>
    </row>
    <row r="667" spans="1:16" ht="172.95" customHeight="1" x14ac:dyDescent="0.3">
      <c r="A667" s="6" t="str">
        <f>IF(ISNA(MATCH(658,'Transfer Engine'!$C$2:$C$1199,0)),"",INDEX('Compliance Database'!$A$2:$A$1199,MATCH(658,'Transfer Engine'!$C$2:$C$1199,0)))</f>
        <v/>
      </c>
      <c r="B667" s="6" t="str">
        <f>IF(ISNA(MATCH(658,'Transfer Engine'!$C$2:$C$1199,0)),"",INDEX('Compliance Database'!$B$2:$B$1199,MATCH(658,'Transfer Engine'!$C$2:$C$1199,0)))</f>
        <v/>
      </c>
      <c r="C667" s="6" t="str">
        <f>IF(ISNA(MATCH(658,'Transfer Engine'!$C$2:$C$1199,0)),"",INDEX('Compliance Database'!$C$2:$C$1199,MATCH(658,'Transfer Engine'!$C$2:$C$1199,0)))</f>
        <v/>
      </c>
      <c r="D667" s="7" t="str">
        <f>IF(ISNA(MATCH(658,'Transfer Engine'!$C$2:$C$1199,0)),"",INDEX('Compliance Database'!$D$2:$D$1199,MATCH(658,'Transfer Engine'!$C$2:$C$1199,0)))</f>
        <v/>
      </c>
      <c r="E667" s="6" t="str">
        <f>IF(ISNA(MATCH(658,'Transfer Engine'!$C$2:$C$1199,0)),"",INDEX('Compliance Database'!$E$2:$E$1199,MATCH(658,'Transfer Engine'!$C$2:$C$1199,0)))</f>
        <v/>
      </c>
      <c r="F667" s="6" t="str">
        <f>IF(ISNA(MATCH(658,'Transfer Engine'!$C$2:$C$1199,0)),"",INDEX('Compliance Database'!$F$2:$F$1199,MATCH(658,'Transfer Engine'!$C$2:$C$1199,0)))</f>
        <v/>
      </c>
      <c r="G667" s="6" t="str">
        <f>IF(ISNA(MATCH(658,'Transfer Engine'!$C$2:$C$1199,0)),"",INDEX('Compliance Database'!$G$2:$G$1199,MATCH(658,'Transfer Engine'!$C$2:$C$1199,0)))</f>
        <v/>
      </c>
      <c r="H667" s="7" t="str">
        <f>IF(ISNA(MATCH(658,'Transfer Engine'!$C$2:$C$1199,0)),"",INDEX('Compliance Database'!$H$2:$H$1199,MATCH(658,'Transfer Engine'!$C$2:$C$1199,0)))</f>
        <v/>
      </c>
      <c r="I667" s="7" t="str">
        <f>IF(ISNA(MATCH(658,'Transfer Engine'!$C$2:$C$1199,0)),"",INDEX('Compliance Database'!$I$2:$I$1199,MATCH(658,'Transfer Engine'!$C$2:$C$1199,0)))</f>
        <v/>
      </c>
      <c r="J667" s="6" t="str">
        <f>IF(ISNA(MATCH(658,'Transfer Engine'!$C$2:$C$1199,0)),"",INDEX('Compliance Database'!$J$2:$J$1199,MATCH(658,'Transfer Engine'!$C$2:$C$1199,0)))</f>
        <v/>
      </c>
      <c r="K667" s="7" t="str">
        <f>IF(ISNA(MATCH(658,'Transfer Engine'!$C$2:$C$1199,0)),"",INDEX('Compliance Database'!$K$2:$K$1199,MATCH(658,'Transfer Engine'!$C$2:$C$1199,0)))</f>
        <v/>
      </c>
      <c r="L667" s="7" t="str">
        <f>IF(ISNA(MATCH(658,'Transfer Engine'!$C$2:$C$1199,0)),"",INDEX('Compliance Database'!$L$2:$L$1199,MATCH(658,'Transfer Engine'!$C$2:$C$1199,0)))</f>
        <v/>
      </c>
      <c r="M667" s="7" t="str">
        <f>IF(ISNA(MATCH(658,'Transfer Engine'!$C$2:$C$1199,0)),"",INDEX('Compliance Database'!$M$2:$M$1199,MATCH(658,'Transfer Engine'!$C$2:$C$1199,0)))</f>
        <v/>
      </c>
      <c r="N667" s="7" t="str">
        <f>IF(ISNA(MATCH(658,'Transfer Engine'!$C$2:$C$1199,0)),"",INDEX('Compliance Database'!$N$2:$N$1199,MATCH(658,'Transfer Engine'!$C$2:$C$1199,0)))</f>
        <v/>
      </c>
      <c r="O667" s="7" t="str">
        <f>IF(ISNA(MATCH(658,'Transfer Engine'!$C$2:$C$1199,0)),"",INDEX('Compliance Database'!$O$2:$O$1199,MATCH(658,'Transfer Engine'!$C$2:$C$1199,0)))</f>
        <v/>
      </c>
      <c r="P667" s="6" t="str">
        <f>IF(ISNA(MATCH(658,'Transfer Engine'!$C$2:$C$1199,0)),"",HYPERLINK("#Acts!A"&amp;INDEX('Compliance Database'!$P$2:$P$1199,MATCH(658,'Transfer Engine'!$C$2:$C$1199,0)),"Go to Act"))</f>
        <v/>
      </c>
    </row>
    <row r="668" spans="1:16" ht="172.95" customHeight="1" x14ac:dyDescent="0.3">
      <c r="A668" s="6" t="str">
        <f>IF(ISNA(MATCH(659,'Transfer Engine'!$C$2:$C$1199,0)),"",INDEX('Compliance Database'!$A$2:$A$1199,MATCH(659,'Transfer Engine'!$C$2:$C$1199,0)))</f>
        <v/>
      </c>
      <c r="B668" s="6" t="str">
        <f>IF(ISNA(MATCH(659,'Transfer Engine'!$C$2:$C$1199,0)),"",INDEX('Compliance Database'!$B$2:$B$1199,MATCH(659,'Transfer Engine'!$C$2:$C$1199,0)))</f>
        <v/>
      </c>
      <c r="C668" s="6" t="str">
        <f>IF(ISNA(MATCH(659,'Transfer Engine'!$C$2:$C$1199,0)),"",INDEX('Compliance Database'!$C$2:$C$1199,MATCH(659,'Transfer Engine'!$C$2:$C$1199,0)))</f>
        <v/>
      </c>
      <c r="D668" s="7" t="str">
        <f>IF(ISNA(MATCH(659,'Transfer Engine'!$C$2:$C$1199,0)),"",INDEX('Compliance Database'!$D$2:$D$1199,MATCH(659,'Transfer Engine'!$C$2:$C$1199,0)))</f>
        <v/>
      </c>
      <c r="E668" s="6" t="str">
        <f>IF(ISNA(MATCH(659,'Transfer Engine'!$C$2:$C$1199,0)),"",INDEX('Compliance Database'!$E$2:$E$1199,MATCH(659,'Transfer Engine'!$C$2:$C$1199,0)))</f>
        <v/>
      </c>
      <c r="F668" s="6" t="str">
        <f>IF(ISNA(MATCH(659,'Transfer Engine'!$C$2:$C$1199,0)),"",INDEX('Compliance Database'!$F$2:$F$1199,MATCH(659,'Transfer Engine'!$C$2:$C$1199,0)))</f>
        <v/>
      </c>
      <c r="G668" s="6" t="str">
        <f>IF(ISNA(MATCH(659,'Transfer Engine'!$C$2:$C$1199,0)),"",INDEX('Compliance Database'!$G$2:$G$1199,MATCH(659,'Transfer Engine'!$C$2:$C$1199,0)))</f>
        <v/>
      </c>
      <c r="H668" s="7" t="str">
        <f>IF(ISNA(MATCH(659,'Transfer Engine'!$C$2:$C$1199,0)),"",INDEX('Compliance Database'!$H$2:$H$1199,MATCH(659,'Transfer Engine'!$C$2:$C$1199,0)))</f>
        <v/>
      </c>
      <c r="I668" s="7" t="str">
        <f>IF(ISNA(MATCH(659,'Transfer Engine'!$C$2:$C$1199,0)),"",INDEX('Compliance Database'!$I$2:$I$1199,MATCH(659,'Transfer Engine'!$C$2:$C$1199,0)))</f>
        <v/>
      </c>
      <c r="J668" s="6" t="str">
        <f>IF(ISNA(MATCH(659,'Transfer Engine'!$C$2:$C$1199,0)),"",INDEX('Compliance Database'!$J$2:$J$1199,MATCH(659,'Transfer Engine'!$C$2:$C$1199,0)))</f>
        <v/>
      </c>
      <c r="K668" s="7" t="str">
        <f>IF(ISNA(MATCH(659,'Transfer Engine'!$C$2:$C$1199,0)),"",INDEX('Compliance Database'!$K$2:$K$1199,MATCH(659,'Transfer Engine'!$C$2:$C$1199,0)))</f>
        <v/>
      </c>
      <c r="L668" s="7" t="str">
        <f>IF(ISNA(MATCH(659,'Transfer Engine'!$C$2:$C$1199,0)),"",INDEX('Compliance Database'!$L$2:$L$1199,MATCH(659,'Transfer Engine'!$C$2:$C$1199,0)))</f>
        <v/>
      </c>
      <c r="M668" s="7" t="str">
        <f>IF(ISNA(MATCH(659,'Transfer Engine'!$C$2:$C$1199,0)),"",INDEX('Compliance Database'!$M$2:$M$1199,MATCH(659,'Transfer Engine'!$C$2:$C$1199,0)))</f>
        <v/>
      </c>
      <c r="N668" s="7" t="str">
        <f>IF(ISNA(MATCH(659,'Transfer Engine'!$C$2:$C$1199,0)),"",INDEX('Compliance Database'!$N$2:$N$1199,MATCH(659,'Transfer Engine'!$C$2:$C$1199,0)))</f>
        <v/>
      </c>
      <c r="O668" s="7" t="str">
        <f>IF(ISNA(MATCH(659,'Transfer Engine'!$C$2:$C$1199,0)),"",INDEX('Compliance Database'!$O$2:$O$1199,MATCH(659,'Transfer Engine'!$C$2:$C$1199,0)))</f>
        <v/>
      </c>
      <c r="P668" s="6" t="str">
        <f>IF(ISNA(MATCH(659,'Transfer Engine'!$C$2:$C$1199,0)),"",HYPERLINK("#Acts!A"&amp;INDEX('Compliance Database'!$P$2:$P$1199,MATCH(659,'Transfer Engine'!$C$2:$C$1199,0)),"Go to Act"))</f>
        <v/>
      </c>
    </row>
    <row r="669" spans="1:16" ht="172.95" customHeight="1" x14ac:dyDescent="0.3">
      <c r="A669" s="6" t="str">
        <f>IF(ISNA(MATCH(660,'Transfer Engine'!$C$2:$C$1199,0)),"",INDEX('Compliance Database'!$A$2:$A$1199,MATCH(660,'Transfer Engine'!$C$2:$C$1199,0)))</f>
        <v/>
      </c>
      <c r="B669" s="6" t="str">
        <f>IF(ISNA(MATCH(660,'Transfer Engine'!$C$2:$C$1199,0)),"",INDEX('Compliance Database'!$B$2:$B$1199,MATCH(660,'Transfer Engine'!$C$2:$C$1199,0)))</f>
        <v/>
      </c>
      <c r="C669" s="6" t="str">
        <f>IF(ISNA(MATCH(660,'Transfer Engine'!$C$2:$C$1199,0)),"",INDEX('Compliance Database'!$C$2:$C$1199,MATCH(660,'Transfer Engine'!$C$2:$C$1199,0)))</f>
        <v/>
      </c>
      <c r="D669" s="7" t="str">
        <f>IF(ISNA(MATCH(660,'Transfer Engine'!$C$2:$C$1199,0)),"",INDEX('Compliance Database'!$D$2:$D$1199,MATCH(660,'Transfer Engine'!$C$2:$C$1199,0)))</f>
        <v/>
      </c>
      <c r="E669" s="6" t="str">
        <f>IF(ISNA(MATCH(660,'Transfer Engine'!$C$2:$C$1199,0)),"",INDEX('Compliance Database'!$E$2:$E$1199,MATCH(660,'Transfer Engine'!$C$2:$C$1199,0)))</f>
        <v/>
      </c>
      <c r="F669" s="6" t="str">
        <f>IF(ISNA(MATCH(660,'Transfer Engine'!$C$2:$C$1199,0)),"",INDEX('Compliance Database'!$F$2:$F$1199,MATCH(660,'Transfer Engine'!$C$2:$C$1199,0)))</f>
        <v/>
      </c>
      <c r="G669" s="6" t="str">
        <f>IF(ISNA(MATCH(660,'Transfer Engine'!$C$2:$C$1199,0)),"",INDEX('Compliance Database'!$G$2:$G$1199,MATCH(660,'Transfer Engine'!$C$2:$C$1199,0)))</f>
        <v/>
      </c>
      <c r="H669" s="7" t="str">
        <f>IF(ISNA(MATCH(660,'Transfer Engine'!$C$2:$C$1199,0)),"",INDEX('Compliance Database'!$H$2:$H$1199,MATCH(660,'Transfer Engine'!$C$2:$C$1199,0)))</f>
        <v/>
      </c>
      <c r="I669" s="7" t="str">
        <f>IF(ISNA(MATCH(660,'Transfer Engine'!$C$2:$C$1199,0)),"",INDEX('Compliance Database'!$I$2:$I$1199,MATCH(660,'Transfer Engine'!$C$2:$C$1199,0)))</f>
        <v/>
      </c>
      <c r="J669" s="6" t="str">
        <f>IF(ISNA(MATCH(660,'Transfer Engine'!$C$2:$C$1199,0)),"",INDEX('Compliance Database'!$J$2:$J$1199,MATCH(660,'Transfer Engine'!$C$2:$C$1199,0)))</f>
        <v/>
      </c>
      <c r="K669" s="7" t="str">
        <f>IF(ISNA(MATCH(660,'Transfer Engine'!$C$2:$C$1199,0)),"",INDEX('Compliance Database'!$K$2:$K$1199,MATCH(660,'Transfer Engine'!$C$2:$C$1199,0)))</f>
        <v/>
      </c>
      <c r="L669" s="7" t="str">
        <f>IF(ISNA(MATCH(660,'Transfer Engine'!$C$2:$C$1199,0)),"",INDEX('Compliance Database'!$L$2:$L$1199,MATCH(660,'Transfer Engine'!$C$2:$C$1199,0)))</f>
        <v/>
      </c>
      <c r="M669" s="7" t="str">
        <f>IF(ISNA(MATCH(660,'Transfer Engine'!$C$2:$C$1199,0)),"",INDEX('Compliance Database'!$M$2:$M$1199,MATCH(660,'Transfer Engine'!$C$2:$C$1199,0)))</f>
        <v/>
      </c>
      <c r="N669" s="7" t="str">
        <f>IF(ISNA(MATCH(660,'Transfer Engine'!$C$2:$C$1199,0)),"",INDEX('Compliance Database'!$N$2:$N$1199,MATCH(660,'Transfer Engine'!$C$2:$C$1199,0)))</f>
        <v/>
      </c>
      <c r="O669" s="7" t="str">
        <f>IF(ISNA(MATCH(660,'Transfer Engine'!$C$2:$C$1199,0)),"",INDEX('Compliance Database'!$O$2:$O$1199,MATCH(660,'Transfer Engine'!$C$2:$C$1199,0)))</f>
        <v/>
      </c>
      <c r="P669" s="6" t="str">
        <f>IF(ISNA(MATCH(660,'Transfer Engine'!$C$2:$C$1199,0)),"",HYPERLINK("#Acts!A"&amp;INDEX('Compliance Database'!$P$2:$P$1199,MATCH(660,'Transfer Engine'!$C$2:$C$1199,0)),"Go to Act"))</f>
        <v/>
      </c>
    </row>
    <row r="670" spans="1:16" ht="172.95" customHeight="1" x14ac:dyDescent="0.3">
      <c r="A670" s="6" t="str">
        <f>IF(ISNA(MATCH(661,'Transfer Engine'!$C$2:$C$1199,0)),"",INDEX('Compliance Database'!$A$2:$A$1199,MATCH(661,'Transfer Engine'!$C$2:$C$1199,0)))</f>
        <v/>
      </c>
      <c r="B670" s="6" t="str">
        <f>IF(ISNA(MATCH(661,'Transfer Engine'!$C$2:$C$1199,0)),"",INDEX('Compliance Database'!$B$2:$B$1199,MATCH(661,'Transfer Engine'!$C$2:$C$1199,0)))</f>
        <v/>
      </c>
      <c r="C670" s="6" t="str">
        <f>IF(ISNA(MATCH(661,'Transfer Engine'!$C$2:$C$1199,0)),"",INDEX('Compliance Database'!$C$2:$C$1199,MATCH(661,'Transfer Engine'!$C$2:$C$1199,0)))</f>
        <v/>
      </c>
      <c r="D670" s="7" t="str">
        <f>IF(ISNA(MATCH(661,'Transfer Engine'!$C$2:$C$1199,0)),"",INDEX('Compliance Database'!$D$2:$D$1199,MATCH(661,'Transfer Engine'!$C$2:$C$1199,0)))</f>
        <v/>
      </c>
      <c r="E670" s="6" t="str">
        <f>IF(ISNA(MATCH(661,'Transfer Engine'!$C$2:$C$1199,0)),"",INDEX('Compliance Database'!$E$2:$E$1199,MATCH(661,'Transfer Engine'!$C$2:$C$1199,0)))</f>
        <v/>
      </c>
      <c r="F670" s="6" t="str">
        <f>IF(ISNA(MATCH(661,'Transfer Engine'!$C$2:$C$1199,0)),"",INDEX('Compliance Database'!$F$2:$F$1199,MATCH(661,'Transfer Engine'!$C$2:$C$1199,0)))</f>
        <v/>
      </c>
      <c r="G670" s="6" t="str">
        <f>IF(ISNA(MATCH(661,'Transfer Engine'!$C$2:$C$1199,0)),"",INDEX('Compliance Database'!$G$2:$G$1199,MATCH(661,'Transfer Engine'!$C$2:$C$1199,0)))</f>
        <v/>
      </c>
      <c r="H670" s="7" t="str">
        <f>IF(ISNA(MATCH(661,'Transfer Engine'!$C$2:$C$1199,0)),"",INDEX('Compliance Database'!$H$2:$H$1199,MATCH(661,'Transfer Engine'!$C$2:$C$1199,0)))</f>
        <v/>
      </c>
      <c r="I670" s="7" t="str">
        <f>IF(ISNA(MATCH(661,'Transfer Engine'!$C$2:$C$1199,0)),"",INDEX('Compliance Database'!$I$2:$I$1199,MATCH(661,'Transfer Engine'!$C$2:$C$1199,0)))</f>
        <v/>
      </c>
      <c r="J670" s="6" t="str">
        <f>IF(ISNA(MATCH(661,'Transfer Engine'!$C$2:$C$1199,0)),"",INDEX('Compliance Database'!$J$2:$J$1199,MATCH(661,'Transfer Engine'!$C$2:$C$1199,0)))</f>
        <v/>
      </c>
      <c r="K670" s="7" t="str">
        <f>IF(ISNA(MATCH(661,'Transfer Engine'!$C$2:$C$1199,0)),"",INDEX('Compliance Database'!$K$2:$K$1199,MATCH(661,'Transfer Engine'!$C$2:$C$1199,0)))</f>
        <v/>
      </c>
      <c r="L670" s="7" t="str">
        <f>IF(ISNA(MATCH(661,'Transfer Engine'!$C$2:$C$1199,0)),"",INDEX('Compliance Database'!$L$2:$L$1199,MATCH(661,'Transfer Engine'!$C$2:$C$1199,0)))</f>
        <v/>
      </c>
      <c r="M670" s="7" t="str">
        <f>IF(ISNA(MATCH(661,'Transfer Engine'!$C$2:$C$1199,0)),"",INDEX('Compliance Database'!$M$2:$M$1199,MATCH(661,'Transfer Engine'!$C$2:$C$1199,0)))</f>
        <v/>
      </c>
      <c r="N670" s="7" t="str">
        <f>IF(ISNA(MATCH(661,'Transfer Engine'!$C$2:$C$1199,0)),"",INDEX('Compliance Database'!$N$2:$N$1199,MATCH(661,'Transfer Engine'!$C$2:$C$1199,0)))</f>
        <v/>
      </c>
      <c r="O670" s="7" t="str">
        <f>IF(ISNA(MATCH(661,'Transfer Engine'!$C$2:$C$1199,0)),"",INDEX('Compliance Database'!$O$2:$O$1199,MATCH(661,'Transfer Engine'!$C$2:$C$1199,0)))</f>
        <v/>
      </c>
      <c r="P670" s="6" t="str">
        <f>IF(ISNA(MATCH(661,'Transfer Engine'!$C$2:$C$1199,0)),"",HYPERLINK("#Acts!A"&amp;INDEX('Compliance Database'!$P$2:$P$1199,MATCH(661,'Transfer Engine'!$C$2:$C$1199,0)),"Go to Act"))</f>
        <v/>
      </c>
    </row>
    <row r="671" spans="1:16" ht="172.95" customHeight="1" x14ac:dyDescent="0.3">
      <c r="A671" s="6" t="str">
        <f>IF(ISNA(MATCH(662,'Transfer Engine'!$C$2:$C$1199,0)),"",INDEX('Compliance Database'!$A$2:$A$1199,MATCH(662,'Transfer Engine'!$C$2:$C$1199,0)))</f>
        <v/>
      </c>
      <c r="B671" s="6" t="str">
        <f>IF(ISNA(MATCH(662,'Transfer Engine'!$C$2:$C$1199,0)),"",INDEX('Compliance Database'!$B$2:$B$1199,MATCH(662,'Transfer Engine'!$C$2:$C$1199,0)))</f>
        <v/>
      </c>
      <c r="C671" s="6" t="str">
        <f>IF(ISNA(MATCH(662,'Transfer Engine'!$C$2:$C$1199,0)),"",INDEX('Compliance Database'!$C$2:$C$1199,MATCH(662,'Transfer Engine'!$C$2:$C$1199,0)))</f>
        <v/>
      </c>
      <c r="D671" s="7" t="str">
        <f>IF(ISNA(MATCH(662,'Transfer Engine'!$C$2:$C$1199,0)),"",INDEX('Compliance Database'!$D$2:$D$1199,MATCH(662,'Transfer Engine'!$C$2:$C$1199,0)))</f>
        <v/>
      </c>
      <c r="E671" s="6" t="str">
        <f>IF(ISNA(MATCH(662,'Transfer Engine'!$C$2:$C$1199,0)),"",INDEX('Compliance Database'!$E$2:$E$1199,MATCH(662,'Transfer Engine'!$C$2:$C$1199,0)))</f>
        <v/>
      </c>
      <c r="F671" s="6" t="str">
        <f>IF(ISNA(MATCH(662,'Transfer Engine'!$C$2:$C$1199,0)),"",INDEX('Compliance Database'!$F$2:$F$1199,MATCH(662,'Transfer Engine'!$C$2:$C$1199,0)))</f>
        <v/>
      </c>
      <c r="G671" s="6" t="str">
        <f>IF(ISNA(MATCH(662,'Transfer Engine'!$C$2:$C$1199,0)),"",INDEX('Compliance Database'!$G$2:$G$1199,MATCH(662,'Transfer Engine'!$C$2:$C$1199,0)))</f>
        <v/>
      </c>
      <c r="H671" s="7" t="str">
        <f>IF(ISNA(MATCH(662,'Transfer Engine'!$C$2:$C$1199,0)),"",INDEX('Compliance Database'!$H$2:$H$1199,MATCH(662,'Transfer Engine'!$C$2:$C$1199,0)))</f>
        <v/>
      </c>
      <c r="I671" s="7" t="str">
        <f>IF(ISNA(MATCH(662,'Transfer Engine'!$C$2:$C$1199,0)),"",INDEX('Compliance Database'!$I$2:$I$1199,MATCH(662,'Transfer Engine'!$C$2:$C$1199,0)))</f>
        <v/>
      </c>
      <c r="J671" s="6" t="str">
        <f>IF(ISNA(MATCH(662,'Transfer Engine'!$C$2:$C$1199,0)),"",INDEX('Compliance Database'!$J$2:$J$1199,MATCH(662,'Transfer Engine'!$C$2:$C$1199,0)))</f>
        <v/>
      </c>
      <c r="K671" s="7" t="str">
        <f>IF(ISNA(MATCH(662,'Transfer Engine'!$C$2:$C$1199,0)),"",INDEX('Compliance Database'!$K$2:$K$1199,MATCH(662,'Transfer Engine'!$C$2:$C$1199,0)))</f>
        <v/>
      </c>
      <c r="L671" s="7" t="str">
        <f>IF(ISNA(MATCH(662,'Transfer Engine'!$C$2:$C$1199,0)),"",INDEX('Compliance Database'!$L$2:$L$1199,MATCH(662,'Transfer Engine'!$C$2:$C$1199,0)))</f>
        <v/>
      </c>
      <c r="M671" s="7" t="str">
        <f>IF(ISNA(MATCH(662,'Transfer Engine'!$C$2:$C$1199,0)),"",INDEX('Compliance Database'!$M$2:$M$1199,MATCH(662,'Transfer Engine'!$C$2:$C$1199,0)))</f>
        <v/>
      </c>
      <c r="N671" s="7" t="str">
        <f>IF(ISNA(MATCH(662,'Transfer Engine'!$C$2:$C$1199,0)),"",INDEX('Compliance Database'!$N$2:$N$1199,MATCH(662,'Transfer Engine'!$C$2:$C$1199,0)))</f>
        <v/>
      </c>
      <c r="O671" s="7" t="str">
        <f>IF(ISNA(MATCH(662,'Transfer Engine'!$C$2:$C$1199,0)),"",INDEX('Compliance Database'!$O$2:$O$1199,MATCH(662,'Transfer Engine'!$C$2:$C$1199,0)))</f>
        <v/>
      </c>
      <c r="P671" s="6" t="str">
        <f>IF(ISNA(MATCH(662,'Transfer Engine'!$C$2:$C$1199,0)),"",HYPERLINK("#Acts!A"&amp;INDEX('Compliance Database'!$P$2:$P$1199,MATCH(662,'Transfer Engine'!$C$2:$C$1199,0)),"Go to Act"))</f>
        <v/>
      </c>
    </row>
    <row r="672" spans="1:16" ht="172.95" customHeight="1" x14ac:dyDescent="0.3">
      <c r="A672" s="6" t="str">
        <f>IF(ISNA(MATCH(663,'Transfer Engine'!$C$2:$C$1199,0)),"",INDEX('Compliance Database'!$A$2:$A$1199,MATCH(663,'Transfer Engine'!$C$2:$C$1199,0)))</f>
        <v/>
      </c>
      <c r="B672" s="6" t="str">
        <f>IF(ISNA(MATCH(663,'Transfer Engine'!$C$2:$C$1199,0)),"",INDEX('Compliance Database'!$B$2:$B$1199,MATCH(663,'Transfer Engine'!$C$2:$C$1199,0)))</f>
        <v/>
      </c>
      <c r="C672" s="6" t="str">
        <f>IF(ISNA(MATCH(663,'Transfer Engine'!$C$2:$C$1199,0)),"",INDEX('Compliance Database'!$C$2:$C$1199,MATCH(663,'Transfer Engine'!$C$2:$C$1199,0)))</f>
        <v/>
      </c>
      <c r="D672" s="7" t="str">
        <f>IF(ISNA(MATCH(663,'Transfer Engine'!$C$2:$C$1199,0)),"",INDEX('Compliance Database'!$D$2:$D$1199,MATCH(663,'Transfer Engine'!$C$2:$C$1199,0)))</f>
        <v/>
      </c>
      <c r="E672" s="6" t="str">
        <f>IF(ISNA(MATCH(663,'Transfer Engine'!$C$2:$C$1199,0)),"",INDEX('Compliance Database'!$E$2:$E$1199,MATCH(663,'Transfer Engine'!$C$2:$C$1199,0)))</f>
        <v/>
      </c>
      <c r="F672" s="6" t="str">
        <f>IF(ISNA(MATCH(663,'Transfer Engine'!$C$2:$C$1199,0)),"",INDEX('Compliance Database'!$F$2:$F$1199,MATCH(663,'Transfer Engine'!$C$2:$C$1199,0)))</f>
        <v/>
      </c>
      <c r="G672" s="6" t="str">
        <f>IF(ISNA(MATCH(663,'Transfer Engine'!$C$2:$C$1199,0)),"",INDEX('Compliance Database'!$G$2:$G$1199,MATCH(663,'Transfer Engine'!$C$2:$C$1199,0)))</f>
        <v/>
      </c>
      <c r="H672" s="7" t="str">
        <f>IF(ISNA(MATCH(663,'Transfer Engine'!$C$2:$C$1199,0)),"",INDEX('Compliance Database'!$H$2:$H$1199,MATCH(663,'Transfer Engine'!$C$2:$C$1199,0)))</f>
        <v/>
      </c>
      <c r="I672" s="7" t="str">
        <f>IF(ISNA(MATCH(663,'Transfer Engine'!$C$2:$C$1199,0)),"",INDEX('Compliance Database'!$I$2:$I$1199,MATCH(663,'Transfer Engine'!$C$2:$C$1199,0)))</f>
        <v/>
      </c>
      <c r="J672" s="6" t="str">
        <f>IF(ISNA(MATCH(663,'Transfer Engine'!$C$2:$C$1199,0)),"",INDEX('Compliance Database'!$J$2:$J$1199,MATCH(663,'Transfer Engine'!$C$2:$C$1199,0)))</f>
        <v/>
      </c>
      <c r="K672" s="7" t="str">
        <f>IF(ISNA(MATCH(663,'Transfer Engine'!$C$2:$C$1199,0)),"",INDEX('Compliance Database'!$K$2:$K$1199,MATCH(663,'Transfer Engine'!$C$2:$C$1199,0)))</f>
        <v/>
      </c>
      <c r="L672" s="7" t="str">
        <f>IF(ISNA(MATCH(663,'Transfer Engine'!$C$2:$C$1199,0)),"",INDEX('Compliance Database'!$L$2:$L$1199,MATCH(663,'Transfer Engine'!$C$2:$C$1199,0)))</f>
        <v/>
      </c>
      <c r="M672" s="7" t="str">
        <f>IF(ISNA(MATCH(663,'Transfer Engine'!$C$2:$C$1199,0)),"",INDEX('Compliance Database'!$M$2:$M$1199,MATCH(663,'Transfer Engine'!$C$2:$C$1199,0)))</f>
        <v/>
      </c>
      <c r="N672" s="7" t="str">
        <f>IF(ISNA(MATCH(663,'Transfer Engine'!$C$2:$C$1199,0)),"",INDEX('Compliance Database'!$N$2:$N$1199,MATCH(663,'Transfer Engine'!$C$2:$C$1199,0)))</f>
        <v/>
      </c>
      <c r="O672" s="7" t="str">
        <f>IF(ISNA(MATCH(663,'Transfer Engine'!$C$2:$C$1199,0)),"",INDEX('Compliance Database'!$O$2:$O$1199,MATCH(663,'Transfer Engine'!$C$2:$C$1199,0)))</f>
        <v/>
      </c>
      <c r="P672" s="6" t="str">
        <f>IF(ISNA(MATCH(663,'Transfer Engine'!$C$2:$C$1199,0)),"",HYPERLINK("#Acts!A"&amp;INDEX('Compliance Database'!$P$2:$P$1199,MATCH(663,'Transfer Engine'!$C$2:$C$1199,0)),"Go to Act"))</f>
        <v/>
      </c>
    </row>
    <row r="673" spans="1:16" ht="172.95" customHeight="1" x14ac:dyDescent="0.3">
      <c r="A673" s="6" t="str">
        <f>IF(ISNA(MATCH(664,'Transfer Engine'!$C$2:$C$1199,0)),"",INDEX('Compliance Database'!$A$2:$A$1199,MATCH(664,'Transfer Engine'!$C$2:$C$1199,0)))</f>
        <v/>
      </c>
      <c r="B673" s="6" t="str">
        <f>IF(ISNA(MATCH(664,'Transfer Engine'!$C$2:$C$1199,0)),"",INDEX('Compliance Database'!$B$2:$B$1199,MATCH(664,'Transfer Engine'!$C$2:$C$1199,0)))</f>
        <v/>
      </c>
      <c r="C673" s="6" t="str">
        <f>IF(ISNA(MATCH(664,'Transfer Engine'!$C$2:$C$1199,0)),"",INDEX('Compliance Database'!$C$2:$C$1199,MATCH(664,'Transfer Engine'!$C$2:$C$1199,0)))</f>
        <v/>
      </c>
      <c r="D673" s="7" t="str">
        <f>IF(ISNA(MATCH(664,'Transfer Engine'!$C$2:$C$1199,0)),"",INDEX('Compliance Database'!$D$2:$D$1199,MATCH(664,'Transfer Engine'!$C$2:$C$1199,0)))</f>
        <v/>
      </c>
      <c r="E673" s="6" t="str">
        <f>IF(ISNA(MATCH(664,'Transfer Engine'!$C$2:$C$1199,0)),"",INDEX('Compliance Database'!$E$2:$E$1199,MATCH(664,'Transfer Engine'!$C$2:$C$1199,0)))</f>
        <v/>
      </c>
      <c r="F673" s="6" t="str">
        <f>IF(ISNA(MATCH(664,'Transfer Engine'!$C$2:$C$1199,0)),"",INDEX('Compliance Database'!$F$2:$F$1199,MATCH(664,'Transfer Engine'!$C$2:$C$1199,0)))</f>
        <v/>
      </c>
      <c r="G673" s="6" t="str">
        <f>IF(ISNA(MATCH(664,'Transfer Engine'!$C$2:$C$1199,0)),"",INDEX('Compliance Database'!$G$2:$G$1199,MATCH(664,'Transfer Engine'!$C$2:$C$1199,0)))</f>
        <v/>
      </c>
      <c r="H673" s="7" t="str">
        <f>IF(ISNA(MATCH(664,'Transfer Engine'!$C$2:$C$1199,0)),"",INDEX('Compliance Database'!$H$2:$H$1199,MATCH(664,'Transfer Engine'!$C$2:$C$1199,0)))</f>
        <v/>
      </c>
      <c r="I673" s="7" t="str">
        <f>IF(ISNA(MATCH(664,'Transfer Engine'!$C$2:$C$1199,0)),"",INDEX('Compliance Database'!$I$2:$I$1199,MATCH(664,'Transfer Engine'!$C$2:$C$1199,0)))</f>
        <v/>
      </c>
      <c r="J673" s="6" t="str">
        <f>IF(ISNA(MATCH(664,'Transfer Engine'!$C$2:$C$1199,0)),"",INDEX('Compliance Database'!$J$2:$J$1199,MATCH(664,'Transfer Engine'!$C$2:$C$1199,0)))</f>
        <v/>
      </c>
      <c r="K673" s="7" t="str">
        <f>IF(ISNA(MATCH(664,'Transfer Engine'!$C$2:$C$1199,0)),"",INDEX('Compliance Database'!$K$2:$K$1199,MATCH(664,'Transfer Engine'!$C$2:$C$1199,0)))</f>
        <v/>
      </c>
      <c r="L673" s="7" t="str">
        <f>IF(ISNA(MATCH(664,'Transfer Engine'!$C$2:$C$1199,0)),"",INDEX('Compliance Database'!$L$2:$L$1199,MATCH(664,'Transfer Engine'!$C$2:$C$1199,0)))</f>
        <v/>
      </c>
      <c r="M673" s="7" t="str">
        <f>IF(ISNA(MATCH(664,'Transfer Engine'!$C$2:$C$1199,0)),"",INDEX('Compliance Database'!$M$2:$M$1199,MATCH(664,'Transfer Engine'!$C$2:$C$1199,0)))</f>
        <v/>
      </c>
      <c r="N673" s="7" t="str">
        <f>IF(ISNA(MATCH(664,'Transfer Engine'!$C$2:$C$1199,0)),"",INDEX('Compliance Database'!$N$2:$N$1199,MATCH(664,'Transfer Engine'!$C$2:$C$1199,0)))</f>
        <v/>
      </c>
      <c r="O673" s="7" t="str">
        <f>IF(ISNA(MATCH(664,'Transfer Engine'!$C$2:$C$1199,0)),"",INDEX('Compliance Database'!$O$2:$O$1199,MATCH(664,'Transfer Engine'!$C$2:$C$1199,0)))</f>
        <v/>
      </c>
      <c r="P673" s="6" t="str">
        <f>IF(ISNA(MATCH(664,'Transfer Engine'!$C$2:$C$1199,0)),"",HYPERLINK("#Acts!A"&amp;INDEX('Compliance Database'!$P$2:$P$1199,MATCH(664,'Transfer Engine'!$C$2:$C$1199,0)),"Go to Act"))</f>
        <v/>
      </c>
    </row>
    <row r="674" spans="1:16" ht="172.95" customHeight="1" x14ac:dyDescent="0.3">
      <c r="A674" s="6" t="str">
        <f>IF(ISNA(MATCH(665,'Transfer Engine'!$C$2:$C$1199,0)),"",INDEX('Compliance Database'!$A$2:$A$1199,MATCH(665,'Transfer Engine'!$C$2:$C$1199,0)))</f>
        <v/>
      </c>
      <c r="B674" s="6" t="str">
        <f>IF(ISNA(MATCH(665,'Transfer Engine'!$C$2:$C$1199,0)),"",INDEX('Compliance Database'!$B$2:$B$1199,MATCH(665,'Transfer Engine'!$C$2:$C$1199,0)))</f>
        <v/>
      </c>
      <c r="C674" s="6" t="str">
        <f>IF(ISNA(MATCH(665,'Transfer Engine'!$C$2:$C$1199,0)),"",INDEX('Compliance Database'!$C$2:$C$1199,MATCH(665,'Transfer Engine'!$C$2:$C$1199,0)))</f>
        <v/>
      </c>
      <c r="D674" s="7" t="str">
        <f>IF(ISNA(MATCH(665,'Transfer Engine'!$C$2:$C$1199,0)),"",INDEX('Compliance Database'!$D$2:$D$1199,MATCH(665,'Transfer Engine'!$C$2:$C$1199,0)))</f>
        <v/>
      </c>
      <c r="E674" s="6" t="str">
        <f>IF(ISNA(MATCH(665,'Transfer Engine'!$C$2:$C$1199,0)),"",INDEX('Compliance Database'!$E$2:$E$1199,MATCH(665,'Transfer Engine'!$C$2:$C$1199,0)))</f>
        <v/>
      </c>
      <c r="F674" s="6" t="str">
        <f>IF(ISNA(MATCH(665,'Transfer Engine'!$C$2:$C$1199,0)),"",INDEX('Compliance Database'!$F$2:$F$1199,MATCH(665,'Transfer Engine'!$C$2:$C$1199,0)))</f>
        <v/>
      </c>
      <c r="G674" s="6" t="str">
        <f>IF(ISNA(MATCH(665,'Transfer Engine'!$C$2:$C$1199,0)),"",INDEX('Compliance Database'!$G$2:$G$1199,MATCH(665,'Transfer Engine'!$C$2:$C$1199,0)))</f>
        <v/>
      </c>
      <c r="H674" s="7" t="str">
        <f>IF(ISNA(MATCH(665,'Transfer Engine'!$C$2:$C$1199,0)),"",INDEX('Compliance Database'!$H$2:$H$1199,MATCH(665,'Transfer Engine'!$C$2:$C$1199,0)))</f>
        <v/>
      </c>
      <c r="I674" s="7" t="str">
        <f>IF(ISNA(MATCH(665,'Transfer Engine'!$C$2:$C$1199,0)),"",INDEX('Compliance Database'!$I$2:$I$1199,MATCH(665,'Transfer Engine'!$C$2:$C$1199,0)))</f>
        <v/>
      </c>
      <c r="J674" s="6" t="str">
        <f>IF(ISNA(MATCH(665,'Transfer Engine'!$C$2:$C$1199,0)),"",INDEX('Compliance Database'!$J$2:$J$1199,MATCH(665,'Transfer Engine'!$C$2:$C$1199,0)))</f>
        <v/>
      </c>
      <c r="K674" s="7" t="str">
        <f>IF(ISNA(MATCH(665,'Transfer Engine'!$C$2:$C$1199,0)),"",INDEX('Compliance Database'!$K$2:$K$1199,MATCH(665,'Transfer Engine'!$C$2:$C$1199,0)))</f>
        <v/>
      </c>
      <c r="L674" s="7" t="str">
        <f>IF(ISNA(MATCH(665,'Transfer Engine'!$C$2:$C$1199,0)),"",INDEX('Compliance Database'!$L$2:$L$1199,MATCH(665,'Transfer Engine'!$C$2:$C$1199,0)))</f>
        <v/>
      </c>
      <c r="M674" s="7" t="str">
        <f>IF(ISNA(MATCH(665,'Transfer Engine'!$C$2:$C$1199,0)),"",INDEX('Compliance Database'!$M$2:$M$1199,MATCH(665,'Transfer Engine'!$C$2:$C$1199,0)))</f>
        <v/>
      </c>
      <c r="N674" s="7" t="str">
        <f>IF(ISNA(MATCH(665,'Transfer Engine'!$C$2:$C$1199,0)),"",INDEX('Compliance Database'!$N$2:$N$1199,MATCH(665,'Transfer Engine'!$C$2:$C$1199,0)))</f>
        <v/>
      </c>
      <c r="O674" s="7" t="str">
        <f>IF(ISNA(MATCH(665,'Transfer Engine'!$C$2:$C$1199,0)),"",INDEX('Compliance Database'!$O$2:$O$1199,MATCH(665,'Transfer Engine'!$C$2:$C$1199,0)))</f>
        <v/>
      </c>
      <c r="P674" s="6" t="str">
        <f>IF(ISNA(MATCH(665,'Transfer Engine'!$C$2:$C$1199,0)),"",HYPERLINK("#Acts!A"&amp;INDEX('Compliance Database'!$P$2:$P$1199,MATCH(665,'Transfer Engine'!$C$2:$C$1199,0)),"Go to Act"))</f>
        <v/>
      </c>
    </row>
    <row r="675" spans="1:16" ht="172.95" customHeight="1" x14ac:dyDescent="0.3">
      <c r="A675" s="6" t="str">
        <f>IF(ISNA(MATCH(666,'Transfer Engine'!$C$2:$C$1199,0)),"",INDEX('Compliance Database'!$A$2:$A$1199,MATCH(666,'Transfer Engine'!$C$2:$C$1199,0)))</f>
        <v/>
      </c>
      <c r="B675" s="6" t="str">
        <f>IF(ISNA(MATCH(666,'Transfer Engine'!$C$2:$C$1199,0)),"",INDEX('Compliance Database'!$B$2:$B$1199,MATCH(666,'Transfer Engine'!$C$2:$C$1199,0)))</f>
        <v/>
      </c>
      <c r="C675" s="6" t="str">
        <f>IF(ISNA(MATCH(666,'Transfer Engine'!$C$2:$C$1199,0)),"",INDEX('Compliance Database'!$C$2:$C$1199,MATCH(666,'Transfer Engine'!$C$2:$C$1199,0)))</f>
        <v/>
      </c>
      <c r="D675" s="7" t="str">
        <f>IF(ISNA(MATCH(666,'Transfer Engine'!$C$2:$C$1199,0)),"",INDEX('Compliance Database'!$D$2:$D$1199,MATCH(666,'Transfer Engine'!$C$2:$C$1199,0)))</f>
        <v/>
      </c>
      <c r="E675" s="6" t="str">
        <f>IF(ISNA(MATCH(666,'Transfer Engine'!$C$2:$C$1199,0)),"",INDEX('Compliance Database'!$E$2:$E$1199,MATCH(666,'Transfer Engine'!$C$2:$C$1199,0)))</f>
        <v/>
      </c>
      <c r="F675" s="6" t="str">
        <f>IF(ISNA(MATCH(666,'Transfer Engine'!$C$2:$C$1199,0)),"",INDEX('Compliance Database'!$F$2:$F$1199,MATCH(666,'Transfer Engine'!$C$2:$C$1199,0)))</f>
        <v/>
      </c>
      <c r="G675" s="6" t="str">
        <f>IF(ISNA(MATCH(666,'Transfer Engine'!$C$2:$C$1199,0)),"",INDEX('Compliance Database'!$G$2:$G$1199,MATCH(666,'Transfer Engine'!$C$2:$C$1199,0)))</f>
        <v/>
      </c>
      <c r="H675" s="7" t="str">
        <f>IF(ISNA(MATCH(666,'Transfer Engine'!$C$2:$C$1199,0)),"",INDEX('Compliance Database'!$H$2:$H$1199,MATCH(666,'Transfer Engine'!$C$2:$C$1199,0)))</f>
        <v/>
      </c>
      <c r="I675" s="7" t="str">
        <f>IF(ISNA(MATCH(666,'Transfer Engine'!$C$2:$C$1199,0)),"",INDEX('Compliance Database'!$I$2:$I$1199,MATCH(666,'Transfer Engine'!$C$2:$C$1199,0)))</f>
        <v/>
      </c>
      <c r="J675" s="6" t="str">
        <f>IF(ISNA(MATCH(666,'Transfer Engine'!$C$2:$C$1199,0)),"",INDEX('Compliance Database'!$J$2:$J$1199,MATCH(666,'Transfer Engine'!$C$2:$C$1199,0)))</f>
        <v/>
      </c>
      <c r="K675" s="7" t="str">
        <f>IF(ISNA(MATCH(666,'Transfer Engine'!$C$2:$C$1199,0)),"",INDEX('Compliance Database'!$K$2:$K$1199,MATCH(666,'Transfer Engine'!$C$2:$C$1199,0)))</f>
        <v/>
      </c>
      <c r="L675" s="7" t="str">
        <f>IF(ISNA(MATCH(666,'Transfer Engine'!$C$2:$C$1199,0)),"",INDEX('Compliance Database'!$L$2:$L$1199,MATCH(666,'Transfer Engine'!$C$2:$C$1199,0)))</f>
        <v/>
      </c>
      <c r="M675" s="7" t="str">
        <f>IF(ISNA(MATCH(666,'Transfer Engine'!$C$2:$C$1199,0)),"",INDEX('Compliance Database'!$M$2:$M$1199,MATCH(666,'Transfer Engine'!$C$2:$C$1199,0)))</f>
        <v/>
      </c>
      <c r="N675" s="7" t="str">
        <f>IF(ISNA(MATCH(666,'Transfer Engine'!$C$2:$C$1199,0)),"",INDEX('Compliance Database'!$N$2:$N$1199,MATCH(666,'Transfer Engine'!$C$2:$C$1199,0)))</f>
        <v/>
      </c>
      <c r="O675" s="7" t="str">
        <f>IF(ISNA(MATCH(666,'Transfer Engine'!$C$2:$C$1199,0)),"",INDEX('Compliance Database'!$O$2:$O$1199,MATCH(666,'Transfer Engine'!$C$2:$C$1199,0)))</f>
        <v/>
      </c>
      <c r="P675" s="6" t="str">
        <f>IF(ISNA(MATCH(666,'Transfer Engine'!$C$2:$C$1199,0)),"",HYPERLINK("#Acts!A"&amp;INDEX('Compliance Database'!$P$2:$P$1199,MATCH(666,'Transfer Engine'!$C$2:$C$1199,0)),"Go to Act"))</f>
        <v/>
      </c>
    </row>
    <row r="676" spans="1:16" ht="172.95" customHeight="1" x14ac:dyDescent="0.3">
      <c r="A676" s="6" t="str">
        <f>IF(ISNA(MATCH(667,'Transfer Engine'!$C$2:$C$1199,0)),"",INDEX('Compliance Database'!$A$2:$A$1199,MATCH(667,'Transfer Engine'!$C$2:$C$1199,0)))</f>
        <v/>
      </c>
      <c r="B676" s="6" t="str">
        <f>IF(ISNA(MATCH(667,'Transfer Engine'!$C$2:$C$1199,0)),"",INDEX('Compliance Database'!$B$2:$B$1199,MATCH(667,'Transfer Engine'!$C$2:$C$1199,0)))</f>
        <v/>
      </c>
      <c r="C676" s="6" t="str">
        <f>IF(ISNA(MATCH(667,'Transfer Engine'!$C$2:$C$1199,0)),"",INDEX('Compliance Database'!$C$2:$C$1199,MATCH(667,'Transfer Engine'!$C$2:$C$1199,0)))</f>
        <v/>
      </c>
      <c r="D676" s="7" t="str">
        <f>IF(ISNA(MATCH(667,'Transfer Engine'!$C$2:$C$1199,0)),"",INDEX('Compliance Database'!$D$2:$D$1199,MATCH(667,'Transfer Engine'!$C$2:$C$1199,0)))</f>
        <v/>
      </c>
      <c r="E676" s="6" t="str">
        <f>IF(ISNA(MATCH(667,'Transfer Engine'!$C$2:$C$1199,0)),"",INDEX('Compliance Database'!$E$2:$E$1199,MATCH(667,'Transfer Engine'!$C$2:$C$1199,0)))</f>
        <v/>
      </c>
      <c r="F676" s="6" t="str">
        <f>IF(ISNA(MATCH(667,'Transfer Engine'!$C$2:$C$1199,0)),"",INDEX('Compliance Database'!$F$2:$F$1199,MATCH(667,'Transfer Engine'!$C$2:$C$1199,0)))</f>
        <v/>
      </c>
      <c r="G676" s="6" t="str">
        <f>IF(ISNA(MATCH(667,'Transfer Engine'!$C$2:$C$1199,0)),"",INDEX('Compliance Database'!$G$2:$G$1199,MATCH(667,'Transfer Engine'!$C$2:$C$1199,0)))</f>
        <v/>
      </c>
      <c r="H676" s="7" t="str">
        <f>IF(ISNA(MATCH(667,'Transfer Engine'!$C$2:$C$1199,0)),"",INDEX('Compliance Database'!$H$2:$H$1199,MATCH(667,'Transfer Engine'!$C$2:$C$1199,0)))</f>
        <v/>
      </c>
      <c r="I676" s="7" t="str">
        <f>IF(ISNA(MATCH(667,'Transfer Engine'!$C$2:$C$1199,0)),"",INDEX('Compliance Database'!$I$2:$I$1199,MATCH(667,'Transfer Engine'!$C$2:$C$1199,0)))</f>
        <v/>
      </c>
      <c r="J676" s="6" t="str">
        <f>IF(ISNA(MATCH(667,'Transfer Engine'!$C$2:$C$1199,0)),"",INDEX('Compliance Database'!$J$2:$J$1199,MATCH(667,'Transfer Engine'!$C$2:$C$1199,0)))</f>
        <v/>
      </c>
      <c r="K676" s="7" t="str">
        <f>IF(ISNA(MATCH(667,'Transfer Engine'!$C$2:$C$1199,0)),"",INDEX('Compliance Database'!$K$2:$K$1199,MATCH(667,'Transfer Engine'!$C$2:$C$1199,0)))</f>
        <v/>
      </c>
      <c r="L676" s="7" t="str">
        <f>IF(ISNA(MATCH(667,'Transfer Engine'!$C$2:$C$1199,0)),"",INDEX('Compliance Database'!$L$2:$L$1199,MATCH(667,'Transfer Engine'!$C$2:$C$1199,0)))</f>
        <v/>
      </c>
      <c r="M676" s="7" t="str">
        <f>IF(ISNA(MATCH(667,'Transfer Engine'!$C$2:$C$1199,0)),"",INDEX('Compliance Database'!$M$2:$M$1199,MATCH(667,'Transfer Engine'!$C$2:$C$1199,0)))</f>
        <v/>
      </c>
      <c r="N676" s="7" t="str">
        <f>IF(ISNA(MATCH(667,'Transfer Engine'!$C$2:$C$1199,0)),"",INDEX('Compliance Database'!$N$2:$N$1199,MATCH(667,'Transfer Engine'!$C$2:$C$1199,0)))</f>
        <v/>
      </c>
      <c r="O676" s="7" t="str">
        <f>IF(ISNA(MATCH(667,'Transfer Engine'!$C$2:$C$1199,0)),"",INDEX('Compliance Database'!$O$2:$O$1199,MATCH(667,'Transfer Engine'!$C$2:$C$1199,0)))</f>
        <v/>
      </c>
      <c r="P676" s="6" t="str">
        <f>IF(ISNA(MATCH(667,'Transfer Engine'!$C$2:$C$1199,0)),"",HYPERLINK("#Acts!A"&amp;INDEX('Compliance Database'!$P$2:$P$1199,MATCH(667,'Transfer Engine'!$C$2:$C$1199,0)),"Go to Act"))</f>
        <v/>
      </c>
    </row>
    <row r="677" spans="1:16" ht="172.95" customHeight="1" x14ac:dyDescent="0.3">
      <c r="A677" s="6" t="str">
        <f>IF(ISNA(MATCH(668,'Transfer Engine'!$C$2:$C$1199,0)),"",INDEX('Compliance Database'!$A$2:$A$1199,MATCH(668,'Transfer Engine'!$C$2:$C$1199,0)))</f>
        <v/>
      </c>
      <c r="B677" s="6" t="str">
        <f>IF(ISNA(MATCH(668,'Transfer Engine'!$C$2:$C$1199,0)),"",INDEX('Compliance Database'!$B$2:$B$1199,MATCH(668,'Transfer Engine'!$C$2:$C$1199,0)))</f>
        <v/>
      </c>
      <c r="C677" s="6" t="str">
        <f>IF(ISNA(MATCH(668,'Transfer Engine'!$C$2:$C$1199,0)),"",INDEX('Compliance Database'!$C$2:$C$1199,MATCH(668,'Transfer Engine'!$C$2:$C$1199,0)))</f>
        <v/>
      </c>
      <c r="D677" s="7" t="str">
        <f>IF(ISNA(MATCH(668,'Transfer Engine'!$C$2:$C$1199,0)),"",INDEX('Compliance Database'!$D$2:$D$1199,MATCH(668,'Transfer Engine'!$C$2:$C$1199,0)))</f>
        <v/>
      </c>
      <c r="E677" s="6" t="str">
        <f>IF(ISNA(MATCH(668,'Transfer Engine'!$C$2:$C$1199,0)),"",INDEX('Compliance Database'!$E$2:$E$1199,MATCH(668,'Transfer Engine'!$C$2:$C$1199,0)))</f>
        <v/>
      </c>
      <c r="F677" s="6" t="str">
        <f>IF(ISNA(MATCH(668,'Transfer Engine'!$C$2:$C$1199,0)),"",INDEX('Compliance Database'!$F$2:$F$1199,MATCH(668,'Transfer Engine'!$C$2:$C$1199,0)))</f>
        <v/>
      </c>
      <c r="G677" s="6" t="str">
        <f>IF(ISNA(MATCH(668,'Transfer Engine'!$C$2:$C$1199,0)),"",INDEX('Compliance Database'!$G$2:$G$1199,MATCH(668,'Transfer Engine'!$C$2:$C$1199,0)))</f>
        <v/>
      </c>
      <c r="H677" s="7" t="str">
        <f>IF(ISNA(MATCH(668,'Transfer Engine'!$C$2:$C$1199,0)),"",INDEX('Compliance Database'!$H$2:$H$1199,MATCH(668,'Transfer Engine'!$C$2:$C$1199,0)))</f>
        <v/>
      </c>
      <c r="I677" s="7" t="str">
        <f>IF(ISNA(MATCH(668,'Transfer Engine'!$C$2:$C$1199,0)),"",INDEX('Compliance Database'!$I$2:$I$1199,MATCH(668,'Transfer Engine'!$C$2:$C$1199,0)))</f>
        <v/>
      </c>
      <c r="J677" s="6" t="str">
        <f>IF(ISNA(MATCH(668,'Transfer Engine'!$C$2:$C$1199,0)),"",INDEX('Compliance Database'!$J$2:$J$1199,MATCH(668,'Transfer Engine'!$C$2:$C$1199,0)))</f>
        <v/>
      </c>
      <c r="K677" s="7" t="str">
        <f>IF(ISNA(MATCH(668,'Transfer Engine'!$C$2:$C$1199,0)),"",INDEX('Compliance Database'!$K$2:$K$1199,MATCH(668,'Transfer Engine'!$C$2:$C$1199,0)))</f>
        <v/>
      </c>
      <c r="L677" s="7" t="str">
        <f>IF(ISNA(MATCH(668,'Transfer Engine'!$C$2:$C$1199,0)),"",INDEX('Compliance Database'!$L$2:$L$1199,MATCH(668,'Transfer Engine'!$C$2:$C$1199,0)))</f>
        <v/>
      </c>
      <c r="M677" s="7" t="str">
        <f>IF(ISNA(MATCH(668,'Transfer Engine'!$C$2:$C$1199,0)),"",INDEX('Compliance Database'!$M$2:$M$1199,MATCH(668,'Transfer Engine'!$C$2:$C$1199,0)))</f>
        <v/>
      </c>
      <c r="N677" s="7" t="str">
        <f>IF(ISNA(MATCH(668,'Transfer Engine'!$C$2:$C$1199,0)),"",INDEX('Compliance Database'!$N$2:$N$1199,MATCH(668,'Transfer Engine'!$C$2:$C$1199,0)))</f>
        <v/>
      </c>
      <c r="O677" s="7" t="str">
        <f>IF(ISNA(MATCH(668,'Transfer Engine'!$C$2:$C$1199,0)),"",INDEX('Compliance Database'!$O$2:$O$1199,MATCH(668,'Transfer Engine'!$C$2:$C$1199,0)))</f>
        <v/>
      </c>
      <c r="P677" s="6" t="str">
        <f>IF(ISNA(MATCH(668,'Transfer Engine'!$C$2:$C$1199,0)),"",HYPERLINK("#Acts!A"&amp;INDEX('Compliance Database'!$P$2:$P$1199,MATCH(668,'Transfer Engine'!$C$2:$C$1199,0)),"Go to Act"))</f>
        <v/>
      </c>
    </row>
    <row r="678" spans="1:16" ht="172.95" customHeight="1" x14ac:dyDescent="0.3">
      <c r="A678" s="6" t="str">
        <f>IF(ISNA(MATCH(669,'Transfer Engine'!$C$2:$C$1199,0)),"",INDEX('Compliance Database'!$A$2:$A$1199,MATCH(669,'Transfer Engine'!$C$2:$C$1199,0)))</f>
        <v/>
      </c>
      <c r="B678" s="6" t="str">
        <f>IF(ISNA(MATCH(669,'Transfer Engine'!$C$2:$C$1199,0)),"",INDEX('Compliance Database'!$B$2:$B$1199,MATCH(669,'Transfer Engine'!$C$2:$C$1199,0)))</f>
        <v/>
      </c>
      <c r="C678" s="6" t="str">
        <f>IF(ISNA(MATCH(669,'Transfer Engine'!$C$2:$C$1199,0)),"",INDEX('Compliance Database'!$C$2:$C$1199,MATCH(669,'Transfer Engine'!$C$2:$C$1199,0)))</f>
        <v/>
      </c>
      <c r="D678" s="7" t="str">
        <f>IF(ISNA(MATCH(669,'Transfer Engine'!$C$2:$C$1199,0)),"",INDEX('Compliance Database'!$D$2:$D$1199,MATCH(669,'Transfer Engine'!$C$2:$C$1199,0)))</f>
        <v/>
      </c>
      <c r="E678" s="6" t="str">
        <f>IF(ISNA(MATCH(669,'Transfer Engine'!$C$2:$C$1199,0)),"",INDEX('Compliance Database'!$E$2:$E$1199,MATCH(669,'Transfer Engine'!$C$2:$C$1199,0)))</f>
        <v/>
      </c>
      <c r="F678" s="6" t="str">
        <f>IF(ISNA(MATCH(669,'Transfer Engine'!$C$2:$C$1199,0)),"",INDEX('Compliance Database'!$F$2:$F$1199,MATCH(669,'Transfer Engine'!$C$2:$C$1199,0)))</f>
        <v/>
      </c>
      <c r="G678" s="6" t="str">
        <f>IF(ISNA(MATCH(669,'Transfer Engine'!$C$2:$C$1199,0)),"",INDEX('Compliance Database'!$G$2:$G$1199,MATCH(669,'Transfer Engine'!$C$2:$C$1199,0)))</f>
        <v/>
      </c>
      <c r="H678" s="7" t="str">
        <f>IF(ISNA(MATCH(669,'Transfer Engine'!$C$2:$C$1199,0)),"",INDEX('Compliance Database'!$H$2:$H$1199,MATCH(669,'Transfer Engine'!$C$2:$C$1199,0)))</f>
        <v/>
      </c>
      <c r="I678" s="7" t="str">
        <f>IF(ISNA(MATCH(669,'Transfer Engine'!$C$2:$C$1199,0)),"",INDEX('Compliance Database'!$I$2:$I$1199,MATCH(669,'Transfer Engine'!$C$2:$C$1199,0)))</f>
        <v/>
      </c>
      <c r="J678" s="6" t="str">
        <f>IF(ISNA(MATCH(669,'Transfer Engine'!$C$2:$C$1199,0)),"",INDEX('Compliance Database'!$J$2:$J$1199,MATCH(669,'Transfer Engine'!$C$2:$C$1199,0)))</f>
        <v/>
      </c>
      <c r="K678" s="7" t="str">
        <f>IF(ISNA(MATCH(669,'Transfer Engine'!$C$2:$C$1199,0)),"",INDEX('Compliance Database'!$K$2:$K$1199,MATCH(669,'Transfer Engine'!$C$2:$C$1199,0)))</f>
        <v/>
      </c>
      <c r="L678" s="7" t="str">
        <f>IF(ISNA(MATCH(669,'Transfer Engine'!$C$2:$C$1199,0)),"",INDEX('Compliance Database'!$L$2:$L$1199,MATCH(669,'Transfer Engine'!$C$2:$C$1199,0)))</f>
        <v/>
      </c>
      <c r="M678" s="7" t="str">
        <f>IF(ISNA(MATCH(669,'Transfer Engine'!$C$2:$C$1199,0)),"",INDEX('Compliance Database'!$M$2:$M$1199,MATCH(669,'Transfer Engine'!$C$2:$C$1199,0)))</f>
        <v/>
      </c>
      <c r="N678" s="7" t="str">
        <f>IF(ISNA(MATCH(669,'Transfer Engine'!$C$2:$C$1199,0)),"",INDEX('Compliance Database'!$N$2:$N$1199,MATCH(669,'Transfer Engine'!$C$2:$C$1199,0)))</f>
        <v/>
      </c>
      <c r="O678" s="7" t="str">
        <f>IF(ISNA(MATCH(669,'Transfer Engine'!$C$2:$C$1199,0)),"",INDEX('Compliance Database'!$O$2:$O$1199,MATCH(669,'Transfer Engine'!$C$2:$C$1199,0)))</f>
        <v/>
      </c>
      <c r="P678" s="6" t="str">
        <f>IF(ISNA(MATCH(669,'Transfer Engine'!$C$2:$C$1199,0)),"",HYPERLINK("#Acts!A"&amp;INDEX('Compliance Database'!$P$2:$P$1199,MATCH(669,'Transfer Engine'!$C$2:$C$1199,0)),"Go to Act"))</f>
        <v/>
      </c>
    </row>
    <row r="679" spans="1:16" ht="172.95" customHeight="1" x14ac:dyDescent="0.3">
      <c r="A679" s="6" t="str">
        <f>IF(ISNA(MATCH(670,'Transfer Engine'!$C$2:$C$1199,0)),"",INDEX('Compliance Database'!$A$2:$A$1199,MATCH(670,'Transfer Engine'!$C$2:$C$1199,0)))</f>
        <v/>
      </c>
      <c r="B679" s="6" t="str">
        <f>IF(ISNA(MATCH(670,'Transfer Engine'!$C$2:$C$1199,0)),"",INDEX('Compliance Database'!$B$2:$B$1199,MATCH(670,'Transfer Engine'!$C$2:$C$1199,0)))</f>
        <v/>
      </c>
      <c r="C679" s="6" t="str">
        <f>IF(ISNA(MATCH(670,'Transfer Engine'!$C$2:$C$1199,0)),"",INDEX('Compliance Database'!$C$2:$C$1199,MATCH(670,'Transfer Engine'!$C$2:$C$1199,0)))</f>
        <v/>
      </c>
      <c r="D679" s="7" t="str">
        <f>IF(ISNA(MATCH(670,'Transfer Engine'!$C$2:$C$1199,0)),"",INDEX('Compliance Database'!$D$2:$D$1199,MATCH(670,'Transfer Engine'!$C$2:$C$1199,0)))</f>
        <v/>
      </c>
      <c r="E679" s="6" t="str">
        <f>IF(ISNA(MATCH(670,'Transfer Engine'!$C$2:$C$1199,0)),"",INDEX('Compliance Database'!$E$2:$E$1199,MATCH(670,'Transfer Engine'!$C$2:$C$1199,0)))</f>
        <v/>
      </c>
      <c r="F679" s="6" t="str">
        <f>IF(ISNA(MATCH(670,'Transfer Engine'!$C$2:$C$1199,0)),"",INDEX('Compliance Database'!$F$2:$F$1199,MATCH(670,'Transfer Engine'!$C$2:$C$1199,0)))</f>
        <v/>
      </c>
      <c r="G679" s="6" t="str">
        <f>IF(ISNA(MATCH(670,'Transfer Engine'!$C$2:$C$1199,0)),"",INDEX('Compliance Database'!$G$2:$G$1199,MATCH(670,'Transfer Engine'!$C$2:$C$1199,0)))</f>
        <v/>
      </c>
      <c r="H679" s="7" t="str">
        <f>IF(ISNA(MATCH(670,'Transfer Engine'!$C$2:$C$1199,0)),"",INDEX('Compliance Database'!$H$2:$H$1199,MATCH(670,'Transfer Engine'!$C$2:$C$1199,0)))</f>
        <v/>
      </c>
      <c r="I679" s="7" t="str">
        <f>IF(ISNA(MATCH(670,'Transfer Engine'!$C$2:$C$1199,0)),"",INDEX('Compliance Database'!$I$2:$I$1199,MATCH(670,'Transfer Engine'!$C$2:$C$1199,0)))</f>
        <v/>
      </c>
      <c r="J679" s="6" t="str">
        <f>IF(ISNA(MATCH(670,'Transfer Engine'!$C$2:$C$1199,0)),"",INDEX('Compliance Database'!$J$2:$J$1199,MATCH(670,'Transfer Engine'!$C$2:$C$1199,0)))</f>
        <v/>
      </c>
      <c r="K679" s="7" t="str">
        <f>IF(ISNA(MATCH(670,'Transfer Engine'!$C$2:$C$1199,0)),"",INDEX('Compliance Database'!$K$2:$K$1199,MATCH(670,'Transfer Engine'!$C$2:$C$1199,0)))</f>
        <v/>
      </c>
      <c r="L679" s="7" t="str">
        <f>IF(ISNA(MATCH(670,'Transfer Engine'!$C$2:$C$1199,0)),"",INDEX('Compliance Database'!$L$2:$L$1199,MATCH(670,'Transfer Engine'!$C$2:$C$1199,0)))</f>
        <v/>
      </c>
      <c r="M679" s="7" t="str">
        <f>IF(ISNA(MATCH(670,'Transfer Engine'!$C$2:$C$1199,0)),"",INDEX('Compliance Database'!$M$2:$M$1199,MATCH(670,'Transfer Engine'!$C$2:$C$1199,0)))</f>
        <v/>
      </c>
      <c r="N679" s="7" t="str">
        <f>IF(ISNA(MATCH(670,'Transfer Engine'!$C$2:$C$1199,0)),"",INDEX('Compliance Database'!$N$2:$N$1199,MATCH(670,'Transfer Engine'!$C$2:$C$1199,0)))</f>
        <v/>
      </c>
      <c r="O679" s="7" t="str">
        <f>IF(ISNA(MATCH(670,'Transfer Engine'!$C$2:$C$1199,0)),"",INDEX('Compliance Database'!$O$2:$O$1199,MATCH(670,'Transfer Engine'!$C$2:$C$1199,0)))</f>
        <v/>
      </c>
      <c r="P679" s="6" t="str">
        <f>IF(ISNA(MATCH(670,'Transfer Engine'!$C$2:$C$1199,0)),"",HYPERLINK("#Acts!A"&amp;INDEX('Compliance Database'!$P$2:$P$1199,MATCH(670,'Transfer Engine'!$C$2:$C$1199,0)),"Go to Act"))</f>
        <v/>
      </c>
    </row>
    <row r="680" spans="1:16" ht="172.95" customHeight="1" x14ac:dyDescent="0.3">
      <c r="A680" s="6" t="str">
        <f>IF(ISNA(MATCH(671,'Transfer Engine'!$C$2:$C$1199,0)),"",INDEX('Compliance Database'!$A$2:$A$1199,MATCH(671,'Transfer Engine'!$C$2:$C$1199,0)))</f>
        <v/>
      </c>
      <c r="B680" s="6" t="str">
        <f>IF(ISNA(MATCH(671,'Transfer Engine'!$C$2:$C$1199,0)),"",INDEX('Compliance Database'!$B$2:$B$1199,MATCH(671,'Transfer Engine'!$C$2:$C$1199,0)))</f>
        <v/>
      </c>
      <c r="C680" s="6" t="str">
        <f>IF(ISNA(MATCH(671,'Transfer Engine'!$C$2:$C$1199,0)),"",INDEX('Compliance Database'!$C$2:$C$1199,MATCH(671,'Transfer Engine'!$C$2:$C$1199,0)))</f>
        <v/>
      </c>
      <c r="D680" s="7" t="str">
        <f>IF(ISNA(MATCH(671,'Transfer Engine'!$C$2:$C$1199,0)),"",INDEX('Compliance Database'!$D$2:$D$1199,MATCH(671,'Transfer Engine'!$C$2:$C$1199,0)))</f>
        <v/>
      </c>
      <c r="E680" s="6" t="str">
        <f>IF(ISNA(MATCH(671,'Transfer Engine'!$C$2:$C$1199,0)),"",INDEX('Compliance Database'!$E$2:$E$1199,MATCH(671,'Transfer Engine'!$C$2:$C$1199,0)))</f>
        <v/>
      </c>
      <c r="F680" s="6" t="str">
        <f>IF(ISNA(MATCH(671,'Transfer Engine'!$C$2:$C$1199,0)),"",INDEX('Compliance Database'!$F$2:$F$1199,MATCH(671,'Transfer Engine'!$C$2:$C$1199,0)))</f>
        <v/>
      </c>
      <c r="G680" s="6" t="str">
        <f>IF(ISNA(MATCH(671,'Transfer Engine'!$C$2:$C$1199,0)),"",INDEX('Compliance Database'!$G$2:$G$1199,MATCH(671,'Transfer Engine'!$C$2:$C$1199,0)))</f>
        <v/>
      </c>
      <c r="H680" s="7" t="str">
        <f>IF(ISNA(MATCH(671,'Transfer Engine'!$C$2:$C$1199,0)),"",INDEX('Compliance Database'!$H$2:$H$1199,MATCH(671,'Transfer Engine'!$C$2:$C$1199,0)))</f>
        <v/>
      </c>
      <c r="I680" s="7" t="str">
        <f>IF(ISNA(MATCH(671,'Transfer Engine'!$C$2:$C$1199,0)),"",INDEX('Compliance Database'!$I$2:$I$1199,MATCH(671,'Transfer Engine'!$C$2:$C$1199,0)))</f>
        <v/>
      </c>
      <c r="J680" s="6" t="str">
        <f>IF(ISNA(MATCH(671,'Transfer Engine'!$C$2:$C$1199,0)),"",INDEX('Compliance Database'!$J$2:$J$1199,MATCH(671,'Transfer Engine'!$C$2:$C$1199,0)))</f>
        <v/>
      </c>
      <c r="K680" s="7" t="str">
        <f>IF(ISNA(MATCH(671,'Transfer Engine'!$C$2:$C$1199,0)),"",INDEX('Compliance Database'!$K$2:$K$1199,MATCH(671,'Transfer Engine'!$C$2:$C$1199,0)))</f>
        <v/>
      </c>
      <c r="L680" s="7" t="str">
        <f>IF(ISNA(MATCH(671,'Transfer Engine'!$C$2:$C$1199,0)),"",INDEX('Compliance Database'!$L$2:$L$1199,MATCH(671,'Transfer Engine'!$C$2:$C$1199,0)))</f>
        <v/>
      </c>
      <c r="M680" s="7" t="str">
        <f>IF(ISNA(MATCH(671,'Transfer Engine'!$C$2:$C$1199,0)),"",INDEX('Compliance Database'!$M$2:$M$1199,MATCH(671,'Transfer Engine'!$C$2:$C$1199,0)))</f>
        <v/>
      </c>
      <c r="N680" s="7" t="str">
        <f>IF(ISNA(MATCH(671,'Transfer Engine'!$C$2:$C$1199,0)),"",INDEX('Compliance Database'!$N$2:$N$1199,MATCH(671,'Transfer Engine'!$C$2:$C$1199,0)))</f>
        <v/>
      </c>
      <c r="O680" s="7" t="str">
        <f>IF(ISNA(MATCH(671,'Transfer Engine'!$C$2:$C$1199,0)),"",INDEX('Compliance Database'!$O$2:$O$1199,MATCH(671,'Transfer Engine'!$C$2:$C$1199,0)))</f>
        <v/>
      </c>
      <c r="P680" s="6" t="str">
        <f>IF(ISNA(MATCH(671,'Transfer Engine'!$C$2:$C$1199,0)),"",HYPERLINK("#Acts!A"&amp;INDEX('Compliance Database'!$P$2:$P$1199,MATCH(671,'Transfer Engine'!$C$2:$C$1199,0)),"Go to Act"))</f>
        <v/>
      </c>
    </row>
    <row r="681" spans="1:16" ht="172.95" customHeight="1" x14ac:dyDescent="0.3">
      <c r="A681" s="6" t="str">
        <f>IF(ISNA(MATCH(672,'Transfer Engine'!$C$2:$C$1199,0)),"",INDEX('Compliance Database'!$A$2:$A$1199,MATCH(672,'Transfer Engine'!$C$2:$C$1199,0)))</f>
        <v/>
      </c>
      <c r="B681" s="6" t="str">
        <f>IF(ISNA(MATCH(672,'Transfer Engine'!$C$2:$C$1199,0)),"",INDEX('Compliance Database'!$B$2:$B$1199,MATCH(672,'Transfer Engine'!$C$2:$C$1199,0)))</f>
        <v/>
      </c>
      <c r="C681" s="6" t="str">
        <f>IF(ISNA(MATCH(672,'Transfer Engine'!$C$2:$C$1199,0)),"",INDEX('Compliance Database'!$C$2:$C$1199,MATCH(672,'Transfer Engine'!$C$2:$C$1199,0)))</f>
        <v/>
      </c>
      <c r="D681" s="7" t="str">
        <f>IF(ISNA(MATCH(672,'Transfer Engine'!$C$2:$C$1199,0)),"",INDEX('Compliance Database'!$D$2:$D$1199,MATCH(672,'Transfer Engine'!$C$2:$C$1199,0)))</f>
        <v/>
      </c>
      <c r="E681" s="6" t="str">
        <f>IF(ISNA(MATCH(672,'Transfer Engine'!$C$2:$C$1199,0)),"",INDEX('Compliance Database'!$E$2:$E$1199,MATCH(672,'Transfer Engine'!$C$2:$C$1199,0)))</f>
        <v/>
      </c>
      <c r="F681" s="6" t="str">
        <f>IF(ISNA(MATCH(672,'Transfer Engine'!$C$2:$C$1199,0)),"",INDEX('Compliance Database'!$F$2:$F$1199,MATCH(672,'Transfer Engine'!$C$2:$C$1199,0)))</f>
        <v/>
      </c>
      <c r="G681" s="6" t="str">
        <f>IF(ISNA(MATCH(672,'Transfer Engine'!$C$2:$C$1199,0)),"",INDEX('Compliance Database'!$G$2:$G$1199,MATCH(672,'Transfer Engine'!$C$2:$C$1199,0)))</f>
        <v/>
      </c>
      <c r="H681" s="7" t="str">
        <f>IF(ISNA(MATCH(672,'Transfer Engine'!$C$2:$C$1199,0)),"",INDEX('Compliance Database'!$H$2:$H$1199,MATCH(672,'Transfer Engine'!$C$2:$C$1199,0)))</f>
        <v/>
      </c>
      <c r="I681" s="7" t="str">
        <f>IF(ISNA(MATCH(672,'Transfer Engine'!$C$2:$C$1199,0)),"",INDEX('Compliance Database'!$I$2:$I$1199,MATCH(672,'Transfer Engine'!$C$2:$C$1199,0)))</f>
        <v/>
      </c>
      <c r="J681" s="6" t="str">
        <f>IF(ISNA(MATCH(672,'Transfer Engine'!$C$2:$C$1199,0)),"",INDEX('Compliance Database'!$J$2:$J$1199,MATCH(672,'Transfer Engine'!$C$2:$C$1199,0)))</f>
        <v/>
      </c>
      <c r="K681" s="7" t="str">
        <f>IF(ISNA(MATCH(672,'Transfer Engine'!$C$2:$C$1199,0)),"",INDEX('Compliance Database'!$K$2:$K$1199,MATCH(672,'Transfer Engine'!$C$2:$C$1199,0)))</f>
        <v/>
      </c>
      <c r="L681" s="7" t="str">
        <f>IF(ISNA(MATCH(672,'Transfer Engine'!$C$2:$C$1199,0)),"",INDEX('Compliance Database'!$L$2:$L$1199,MATCH(672,'Transfer Engine'!$C$2:$C$1199,0)))</f>
        <v/>
      </c>
      <c r="M681" s="7" t="str">
        <f>IF(ISNA(MATCH(672,'Transfer Engine'!$C$2:$C$1199,0)),"",INDEX('Compliance Database'!$M$2:$M$1199,MATCH(672,'Transfer Engine'!$C$2:$C$1199,0)))</f>
        <v/>
      </c>
      <c r="N681" s="7" t="str">
        <f>IF(ISNA(MATCH(672,'Transfer Engine'!$C$2:$C$1199,0)),"",INDEX('Compliance Database'!$N$2:$N$1199,MATCH(672,'Transfer Engine'!$C$2:$C$1199,0)))</f>
        <v/>
      </c>
      <c r="O681" s="7" t="str">
        <f>IF(ISNA(MATCH(672,'Transfer Engine'!$C$2:$C$1199,0)),"",INDEX('Compliance Database'!$O$2:$O$1199,MATCH(672,'Transfer Engine'!$C$2:$C$1199,0)))</f>
        <v/>
      </c>
      <c r="P681" s="6" t="str">
        <f>IF(ISNA(MATCH(672,'Transfer Engine'!$C$2:$C$1199,0)),"",HYPERLINK("#Acts!A"&amp;INDEX('Compliance Database'!$P$2:$P$1199,MATCH(672,'Transfer Engine'!$C$2:$C$1199,0)),"Go to Act"))</f>
        <v/>
      </c>
    </row>
    <row r="682" spans="1:16" ht="172.95" customHeight="1" x14ac:dyDescent="0.3">
      <c r="A682" s="6" t="str">
        <f>IF(ISNA(MATCH(673,'Transfer Engine'!$C$2:$C$1199,0)),"",INDEX('Compliance Database'!$A$2:$A$1199,MATCH(673,'Transfer Engine'!$C$2:$C$1199,0)))</f>
        <v/>
      </c>
      <c r="B682" s="6" t="str">
        <f>IF(ISNA(MATCH(673,'Transfer Engine'!$C$2:$C$1199,0)),"",INDEX('Compliance Database'!$B$2:$B$1199,MATCH(673,'Transfer Engine'!$C$2:$C$1199,0)))</f>
        <v/>
      </c>
      <c r="C682" s="6" t="str">
        <f>IF(ISNA(MATCH(673,'Transfer Engine'!$C$2:$C$1199,0)),"",INDEX('Compliance Database'!$C$2:$C$1199,MATCH(673,'Transfer Engine'!$C$2:$C$1199,0)))</f>
        <v/>
      </c>
      <c r="D682" s="7" t="str">
        <f>IF(ISNA(MATCH(673,'Transfer Engine'!$C$2:$C$1199,0)),"",INDEX('Compliance Database'!$D$2:$D$1199,MATCH(673,'Transfer Engine'!$C$2:$C$1199,0)))</f>
        <v/>
      </c>
      <c r="E682" s="6" t="str">
        <f>IF(ISNA(MATCH(673,'Transfer Engine'!$C$2:$C$1199,0)),"",INDEX('Compliance Database'!$E$2:$E$1199,MATCH(673,'Transfer Engine'!$C$2:$C$1199,0)))</f>
        <v/>
      </c>
      <c r="F682" s="6" t="str">
        <f>IF(ISNA(MATCH(673,'Transfer Engine'!$C$2:$C$1199,0)),"",INDEX('Compliance Database'!$F$2:$F$1199,MATCH(673,'Transfer Engine'!$C$2:$C$1199,0)))</f>
        <v/>
      </c>
      <c r="G682" s="6" t="str">
        <f>IF(ISNA(MATCH(673,'Transfer Engine'!$C$2:$C$1199,0)),"",INDEX('Compliance Database'!$G$2:$G$1199,MATCH(673,'Transfer Engine'!$C$2:$C$1199,0)))</f>
        <v/>
      </c>
      <c r="H682" s="7" t="str">
        <f>IF(ISNA(MATCH(673,'Transfer Engine'!$C$2:$C$1199,0)),"",INDEX('Compliance Database'!$H$2:$H$1199,MATCH(673,'Transfer Engine'!$C$2:$C$1199,0)))</f>
        <v/>
      </c>
      <c r="I682" s="7" t="str">
        <f>IF(ISNA(MATCH(673,'Transfer Engine'!$C$2:$C$1199,0)),"",INDEX('Compliance Database'!$I$2:$I$1199,MATCH(673,'Transfer Engine'!$C$2:$C$1199,0)))</f>
        <v/>
      </c>
      <c r="J682" s="6" t="str">
        <f>IF(ISNA(MATCH(673,'Transfer Engine'!$C$2:$C$1199,0)),"",INDEX('Compliance Database'!$J$2:$J$1199,MATCH(673,'Transfer Engine'!$C$2:$C$1199,0)))</f>
        <v/>
      </c>
      <c r="K682" s="7" t="str">
        <f>IF(ISNA(MATCH(673,'Transfer Engine'!$C$2:$C$1199,0)),"",INDEX('Compliance Database'!$K$2:$K$1199,MATCH(673,'Transfer Engine'!$C$2:$C$1199,0)))</f>
        <v/>
      </c>
      <c r="L682" s="7" t="str">
        <f>IF(ISNA(MATCH(673,'Transfer Engine'!$C$2:$C$1199,0)),"",INDEX('Compliance Database'!$L$2:$L$1199,MATCH(673,'Transfer Engine'!$C$2:$C$1199,0)))</f>
        <v/>
      </c>
      <c r="M682" s="7" t="str">
        <f>IF(ISNA(MATCH(673,'Transfer Engine'!$C$2:$C$1199,0)),"",INDEX('Compliance Database'!$M$2:$M$1199,MATCH(673,'Transfer Engine'!$C$2:$C$1199,0)))</f>
        <v/>
      </c>
      <c r="N682" s="7" t="str">
        <f>IF(ISNA(MATCH(673,'Transfer Engine'!$C$2:$C$1199,0)),"",INDEX('Compliance Database'!$N$2:$N$1199,MATCH(673,'Transfer Engine'!$C$2:$C$1199,0)))</f>
        <v/>
      </c>
      <c r="O682" s="7" t="str">
        <f>IF(ISNA(MATCH(673,'Transfer Engine'!$C$2:$C$1199,0)),"",INDEX('Compliance Database'!$O$2:$O$1199,MATCH(673,'Transfer Engine'!$C$2:$C$1199,0)))</f>
        <v/>
      </c>
      <c r="P682" s="6" t="str">
        <f>IF(ISNA(MATCH(673,'Transfer Engine'!$C$2:$C$1199,0)),"",HYPERLINK("#Acts!A"&amp;INDEX('Compliance Database'!$P$2:$P$1199,MATCH(673,'Transfer Engine'!$C$2:$C$1199,0)),"Go to Act"))</f>
        <v/>
      </c>
    </row>
    <row r="683" spans="1:16" ht="172.95" customHeight="1" x14ac:dyDescent="0.3">
      <c r="A683" s="6" t="str">
        <f>IF(ISNA(MATCH(674,'Transfer Engine'!$C$2:$C$1199,0)),"",INDEX('Compliance Database'!$A$2:$A$1199,MATCH(674,'Transfer Engine'!$C$2:$C$1199,0)))</f>
        <v/>
      </c>
      <c r="B683" s="6" t="str">
        <f>IF(ISNA(MATCH(674,'Transfer Engine'!$C$2:$C$1199,0)),"",INDEX('Compliance Database'!$B$2:$B$1199,MATCH(674,'Transfer Engine'!$C$2:$C$1199,0)))</f>
        <v/>
      </c>
      <c r="C683" s="6" t="str">
        <f>IF(ISNA(MATCH(674,'Transfer Engine'!$C$2:$C$1199,0)),"",INDEX('Compliance Database'!$C$2:$C$1199,MATCH(674,'Transfer Engine'!$C$2:$C$1199,0)))</f>
        <v/>
      </c>
      <c r="D683" s="7" t="str">
        <f>IF(ISNA(MATCH(674,'Transfer Engine'!$C$2:$C$1199,0)),"",INDEX('Compliance Database'!$D$2:$D$1199,MATCH(674,'Transfer Engine'!$C$2:$C$1199,0)))</f>
        <v/>
      </c>
      <c r="E683" s="6" t="str">
        <f>IF(ISNA(MATCH(674,'Transfer Engine'!$C$2:$C$1199,0)),"",INDEX('Compliance Database'!$E$2:$E$1199,MATCH(674,'Transfer Engine'!$C$2:$C$1199,0)))</f>
        <v/>
      </c>
      <c r="F683" s="6" t="str">
        <f>IF(ISNA(MATCH(674,'Transfer Engine'!$C$2:$C$1199,0)),"",INDEX('Compliance Database'!$F$2:$F$1199,MATCH(674,'Transfer Engine'!$C$2:$C$1199,0)))</f>
        <v/>
      </c>
      <c r="G683" s="6" t="str">
        <f>IF(ISNA(MATCH(674,'Transfer Engine'!$C$2:$C$1199,0)),"",INDEX('Compliance Database'!$G$2:$G$1199,MATCH(674,'Transfer Engine'!$C$2:$C$1199,0)))</f>
        <v/>
      </c>
      <c r="H683" s="7" t="str">
        <f>IF(ISNA(MATCH(674,'Transfer Engine'!$C$2:$C$1199,0)),"",INDEX('Compliance Database'!$H$2:$H$1199,MATCH(674,'Transfer Engine'!$C$2:$C$1199,0)))</f>
        <v/>
      </c>
      <c r="I683" s="7" t="str">
        <f>IF(ISNA(MATCH(674,'Transfer Engine'!$C$2:$C$1199,0)),"",INDEX('Compliance Database'!$I$2:$I$1199,MATCH(674,'Transfer Engine'!$C$2:$C$1199,0)))</f>
        <v/>
      </c>
      <c r="J683" s="6" t="str">
        <f>IF(ISNA(MATCH(674,'Transfer Engine'!$C$2:$C$1199,0)),"",INDEX('Compliance Database'!$J$2:$J$1199,MATCH(674,'Transfer Engine'!$C$2:$C$1199,0)))</f>
        <v/>
      </c>
      <c r="K683" s="7" t="str">
        <f>IF(ISNA(MATCH(674,'Transfer Engine'!$C$2:$C$1199,0)),"",INDEX('Compliance Database'!$K$2:$K$1199,MATCH(674,'Transfer Engine'!$C$2:$C$1199,0)))</f>
        <v/>
      </c>
      <c r="L683" s="7" t="str">
        <f>IF(ISNA(MATCH(674,'Transfer Engine'!$C$2:$C$1199,0)),"",INDEX('Compliance Database'!$L$2:$L$1199,MATCH(674,'Transfer Engine'!$C$2:$C$1199,0)))</f>
        <v/>
      </c>
      <c r="M683" s="7" t="str">
        <f>IF(ISNA(MATCH(674,'Transfer Engine'!$C$2:$C$1199,0)),"",INDEX('Compliance Database'!$M$2:$M$1199,MATCH(674,'Transfer Engine'!$C$2:$C$1199,0)))</f>
        <v/>
      </c>
      <c r="N683" s="7" t="str">
        <f>IF(ISNA(MATCH(674,'Transfer Engine'!$C$2:$C$1199,0)),"",INDEX('Compliance Database'!$N$2:$N$1199,MATCH(674,'Transfer Engine'!$C$2:$C$1199,0)))</f>
        <v/>
      </c>
      <c r="O683" s="7" t="str">
        <f>IF(ISNA(MATCH(674,'Transfer Engine'!$C$2:$C$1199,0)),"",INDEX('Compliance Database'!$O$2:$O$1199,MATCH(674,'Transfer Engine'!$C$2:$C$1199,0)))</f>
        <v/>
      </c>
      <c r="P683" s="6" t="str">
        <f>IF(ISNA(MATCH(674,'Transfer Engine'!$C$2:$C$1199,0)),"",HYPERLINK("#Acts!A"&amp;INDEX('Compliance Database'!$P$2:$P$1199,MATCH(674,'Transfer Engine'!$C$2:$C$1199,0)),"Go to Act"))</f>
        <v/>
      </c>
    </row>
    <row r="684" spans="1:16" ht="172.95" customHeight="1" x14ac:dyDescent="0.3">
      <c r="A684" s="6" t="str">
        <f>IF(ISNA(MATCH(675,'Transfer Engine'!$C$2:$C$1199,0)),"",INDEX('Compliance Database'!$A$2:$A$1199,MATCH(675,'Transfer Engine'!$C$2:$C$1199,0)))</f>
        <v/>
      </c>
      <c r="B684" s="6" t="str">
        <f>IF(ISNA(MATCH(675,'Transfer Engine'!$C$2:$C$1199,0)),"",INDEX('Compliance Database'!$B$2:$B$1199,MATCH(675,'Transfer Engine'!$C$2:$C$1199,0)))</f>
        <v/>
      </c>
      <c r="C684" s="6" t="str">
        <f>IF(ISNA(MATCH(675,'Transfer Engine'!$C$2:$C$1199,0)),"",INDEX('Compliance Database'!$C$2:$C$1199,MATCH(675,'Transfer Engine'!$C$2:$C$1199,0)))</f>
        <v/>
      </c>
      <c r="D684" s="7" t="str">
        <f>IF(ISNA(MATCH(675,'Transfer Engine'!$C$2:$C$1199,0)),"",INDEX('Compliance Database'!$D$2:$D$1199,MATCH(675,'Transfer Engine'!$C$2:$C$1199,0)))</f>
        <v/>
      </c>
      <c r="E684" s="6" t="str">
        <f>IF(ISNA(MATCH(675,'Transfer Engine'!$C$2:$C$1199,0)),"",INDEX('Compliance Database'!$E$2:$E$1199,MATCH(675,'Transfer Engine'!$C$2:$C$1199,0)))</f>
        <v/>
      </c>
      <c r="F684" s="6" t="str">
        <f>IF(ISNA(MATCH(675,'Transfer Engine'!$C$2:$C$1199,0)),"",INDEX('Compliance Database'!$F$2:$F$1199,MATCH(675,'Transfer Engine'!$C$2:$C$1199,0)))</f>
        <v/>
      </c>
      <c r="G684" s="6" t="str">
        <f>IF(ISNA(MATCH(675,'Transfer Engine'!$C$2:$C$1199,0)),"",INDEX('Compliance Database'!$G$2:$G$1199,MATCH(675,'Transfer Engine'!$C$2:$C$1199,0)))</f>
        <v/>
      </c>
      <c r="H684" s="7" t="str">
        <f>IF(ISNA(MATCH(675,'Transfer Engine'!$C$2:$C$1199,0)),"",INDEX('Compliance Database'!$H$2:$H$1199,MATCH(675,'Transfer Engine'!$C$2:$C$1199,0)))</f>
        <v/>
      </c>
      <c r="I684" s="7" t="str">
        <f>IF(ISNA(MATCH(675,'Transfer Engine'!$C$2:$C$1199,0)),"",INDEX('Compliance Database'!$I$2:$I$1199,MATCH(675,'Transfer Engine'!$C$2:$C$1199,0)))</f>
        <v/>
      </c>
      <c r="J684" s="6" t="str">
        <f>IF(ISNA(MATCH(675,'Transfer Engine'!$C$2:$C$1199,0)),"",INDEX('Compliance Database'!$J$2:$J$1199,MATCH(675,'Transfer Engine'!$C$2:$C$1199,0)))</f>
        <v/>
      </c>
      <c r="K684" s="7" t="str">
        <f>IF(ISNA(MATCH(675,'Transfer Engine'!$C$2:$C$1199,0)),"",INDEX('Compliance Database'!$K$2:$K$1199,MATCH(675,'Transfer Engine'!$C$2:$C$1199,0)))</f>
        <v/>
      </c>
      <c r="L684" s="7" t="str">
        <f>IF(ISNA(MATCH(675,'Transfer Engine'!$C$2:$C$1199,0)),"",INDEX('Compliance Database'!$L$2:$L$1199,MATCH(675,'Transfer Engine'!$C$2:$C$1199,0)))</f>
        <v/>
      </c>
      <c r="M684" s="7" t="str">
        <f>IF(ISNA(MATCH(675,'Transfer Engine'!$C$2:$C$1199,0)),"",INDEX('Compliance Database'!$M$2:$M$1199,MATCH(675,'Transfer Engine'!$C$2:$C$1199,0)))</f>
        <v/>
      </c>
      <c r="N684" s="7" t="str">
        <f>IF(ISNA(MATCH(675,'Transfer Engine'!$C$2:$C$1199,0)),"",INDEX('Compliance Database'!$N$2:$N$1199,MATCH(675,'Transfer Engine'!$C$2:$C$1199,0)))</f>
        <v/>
      </c>
      <c r="O684" s="7" t="str">
        <f>IF(ISNA(MATCH(675,'Transfer Engine'!$C$2:$C$1199,0)),"",INDEX('Compliance Database'!$O$2:$O$1199,MATCH(675,'Transfer Engine'!$C$2:$C$1199,0)))</f>
        <v/>
      </c>
      <c r="P684" s="6" t="str">
        <f>IF(ISNA(MATCH(675,'Transfer Engine'!$C$2:$C$1199,0)),"",HYPERLINK("#Acts!A"&amp;INDEX('Compliance Database'!$P$2:$P$1199,MATCH(675,'Transfer Engine'!$C$2:$C$1199,0)),"Go to Act"))</f>
        <v/>
      </c>
    </row>
    <row r="685" spans="1:16" ht="172.95" customHeight="1" x14ac:dyDescent="0.3">
      <c r="A685" s="6" t="str">
        <f>IF(ISNA(MATCH(676,'Transfer Engine'!$C$2:$C$1199,0)),"",INDEX('Compliance Database'!$A$2:$A$1199,MATCH(676,'Transfer Engine'!$C$2:$C$1199,0)))</f>
        <v/>
      </c>
      <c r="B685" s="6" t="str">
        <f>IF(ISNA(MATCH(676,'Transfer Engine'!$C$2:$C$1199,0)),"",INDEX('Compliance Database'!$B$2:$B$1199,MATCH(676,'Transfer Engine'!$C$2:$C$1199,0)))</f>
        <v/>
      </c>
      <c r="C685" s="6" t="str">
        <f>IF(ISNA(MATCH(676,'Transfer Engine'!$C$2:$C$1199,0)),"",INDEX('Compliance Database'!$C$2:$C$1199,MATCH(676,'Transfer Engine'!$C$2:$C$1199,0)))</f>
        <v/>
      </c>
      <c r="D685" s="7" t="str">
        <f>IF(ISNA(MATCH(676,'Transfer Engine'!$C$2:$C$1199,0)),"",INDEX('Compliance Database'!$D$2:$D$1199,MATCH(676,'Transfer Engine'!$C$2:$C$1199,0)))</f>
        <v/>
      </c>
      <c r="E685" s="6" t="str">
        <f>IF(ISNA(MATCH(676,'Transfer Engine'!$C$2:$C$1199,0)),"",INDEX('Compliance Database'!$E$2:$E$1199,MATCH(676,'Transfer Engine'!$C$2:$C$1199,0)))</f>
        <v/>
      </c>
      <c r="F685" s="6" t="str">
        <f>IF(ISNA(MATCH(676,'Transfer Engine'!$C$2:$C$1199,0)),"",INDEX('Compliance Database'!$F$2:$F$1199,MATCH(676,'Transfer Engine'!$C$2:$C$1199,0)))</f>
        <v/>
      </c>
      <c r="G685" s="6" t="str">
        <f>IF(ISNA(MATCH(676,'Transfer Engine'!$C$2:$C$1199,0)),"",INDEX('Compliance Database'!$G$2:$G$1199,MATCH(676,'Transfer Engine'!$C$2:$C$1199,0)))</f>
        <v/>
      </c>
      <c r="H685" s="7" t="str">
        <f>IF(ISNA(MATCH(676,'Transfer Engine'!$C$2:$C$1199,0)),"",INDEX('Compliance Database'!$H$2:$H$1199,MATCH(676,'Transfer Engine'!$C$2:$C$1199,0)))</f>
        <v/>
      </c>
      <c r="I685" s="7" t="str">
        <f>IF(ISNA(MATCH(676,'Transfer Engine'!$C$2:$C$1199,0)),"",INDEX('Compliance Database'!$I$2:$I$1199,MATCH(676,'Transfer Engine'!$C$2:$C$1199,0)))</f>
        <v/>
      </c>
      <c r="J685" s="6" t="str">
        <f>IF(ISNA(MATCH(676,'Transfer Engine'!$C$2:$C$1199,0)),"",INDEX('Compliance Database'!$J$2:$J$1199,MATCH(676,'Transfer Engine'!$C$2:$C$1199,0)))</f>
        <v/>
      </c>
      <c r="K685" s="7" t="str">
        <f>IF(ISNA(MATCH(676,'Transfer Engine'!$C$2:$C$1199,0)),"",INDEX('Compliance Database'!$K$2:$K$1199,MATCH(676,'Transfer Engine'!$C$2:$C$1199,0)))</f>
        <v/>
      </c>
      <c r="L685" s="7" t="str">
        <f>IF(ISNA(MATCH(676,'Transfer Engine'!$C$2:$C$1199,0)),"",INDEX('Compliance Database'!$L$2:$L$1199,MATCH(676,'Transfer Engine'!$C$2:$C$1199,0)))</f>
        <v/>
      </c>
      <c r="M685" s="7" t="str">
        <f>IF(ISNA(MATCH(676,'Transfer Engine'!$C$2:$C$1199,0)),"",INDEX('Compliance Database'!$M$2:$M$1199,MATCH(676,'Transfer Engine'!$C$2:$C$1199,0)))</f>
        <v/>
      </c>
      <c r="N685" s="7" t="str">
        <f>IF(ISNA(MATCH(676,'Transfer Engine'!$C$2:$C$1199,0)),"",INDEX('Compliance Database'!$N$2:$N$1199,MATCH(676,'Transfer Engine'!$C$2:$C$1199,0)))</f>
        <v/>
      </c>
      <c r="O685" s="7" t="str">
        <f>IF(ISNA(MATCH(676,'Transfer Engine'!$C$2:$C$1199,0)),"",INDEX('Compliance Database'!$O$2:$O$1199,MATCH(676,'Transfer Engine'!$C$2:$C$1199,0)))</f>
        <v/>
      </c>
      <c r="P685" s="6" t="str">
        <f>IF(ISNA(MATCH(676,'Transfer Engine'!$C$2:$C$1199,0)),"",HYPERLINK("#Acts!A"&amp;INDEX('Compliance Database'!$P$2:$P$1199,MATCH(676,'Transfer Engine'!$C$2:$C$1199,0)),"Go to Act"))</f>
        <v/>
      </c>
    </row>
    <row r="686" spans="1:16" ht="172.95" customHeight="1" x14ac:dyDescent="0.3">
      <c r="A686" s="6" t="str">
        <f>IF(ISNA(MATCH(677,'Transfer Engine'!$C$2:$C$1199,0)),"",INDEX('Compliance Database'!$A$2:$A$1199,MATCH(677,'Transfer Engine'!$C$2:$C$1199,0)))</f>
        <v/>
      </c>
      <c r="B686" s="6" t="str">
        <f>IF(ISNA(MATCH(677,'Transfer Engine'!$C$2:$C$1199,0)),"",INDEX('Compliance Database'!$B$2:$B$1199,MATCH(677,'Transfer Engine'!$C$2:$C$1199,0)))</f>
        <v/>
      </c>
      <c r="C686" s="6" t="str">
        <f>IF(ISNA(MATCH(677,'Transfer Engine'!$C$2:$C$1199,0)),"",INDEX('Compliance Database'!$C$2:$C$1199,MATCH(677,'Transfer Engine'!$C$2:$C$1199,0)))</f>
        <v/>
      </c>
      <c r="D686" s="7" t="str">
        <f>IF(ISNA(MATCH(677,'Transfer Engine'!$C$2:$C$1199,0)),"",INDEX('Compliance Database'!$D$2:$D$1199,MATCH(677,'Transfer Engine'!$C$2:$C$1199,0)))</f>
        <v/>
      </c>
      <c r="E686" s="6" t="str">
        <f>IF(ISNA(MATCH(677,'Transfer Engine'!$C$2:$C$1199,0)),"",INDEX('Compliance Database'!$E$2:$E$1199,MATCH(677,'Transfer Engine'!$C$2:$C$1199,0)))</f>
        <v/>
      </c>
      <c r="F686" s="6" t="str">
        <f>IF(ISNA(MATCH(677,'Transfer Engine'!$C$2:$C$1199,0)),"",INDEX('Compliance Database'!$F$2:$F$1199,MATCH(677,'Transfer Engine'!$C$2:$C$1199,0)))</f>
        <v/>
      </c>
      <c r="G686" s="6" t="str">
        <f>IF(ISNA(MATCH(677,'Transfer Engine'!$C$2:$C$1199,0)),"",INDEX('Compliance Database'!$G$2:$G$1199,MATCH(677,'Transfer Engine'!$C$2:$C$1199,0)))</f>
        <v/>
      </c>
      <c r="H686" s="7" t="str">
        <f>IF(ISNA(MATCH(677,'Transfer Engine'!$C$2:$C$1199,0)),"",INDEX('Compliance Database'!$H$2:$H$1199,MATCH(677,'Transfer Engine'!$C$2:$C$1199,0)))</f>
        <v/>
      </c>
      <c r="I686" s="7" t="str">
        <f>IF(ISNA(MATCH(677,'Transfer Engine'!$C$2:$C$1199,0)),"",INDEX('Compliance Database'!$I$2:$I$1199,MATCH(677,'Transfer Engine'!$C$2:$C$1199,0)))</f>
        <v/>
      </c>
      <c r="J686" s="6" t="str">
        <f>IF(ISNA(MATCH(677,'Transfer Engine'!$C$2:$C$1199,0)),"",INDEX('Compliance Database'!$J$2:$J$1199,MATCH(677,'Transfer Engine'!$C$2:$C$1199,0)))</f>
        <v/>
      </c>
      <c r="K686" s="7" t="str">
        <f>IF(ISNA(MATCH(677,'Transfer Engine'!$C$2:$C$1199,0)),"",INDEX('Compliance Database'!$K$2:$K$1199,MATCH(677,'Transfer Engine'!$C$2:$C$1199,0)))</f>
        <v/>
      </c>
      <c r="L686" s="7" t="str">
        <f>IF(ISNA(MATCH(677,'Transfer Engine'!$C$2:$C$1199,0)),"",INDEX('Compliance Database'!$L$2:$L$1199,MATCH(677,'Transfer Engine'!$C$2:$C$1199,0)))</f>
        <v/>
      </c>
      <c r="M686" s="7" t="str">
        <f>IF(ISNA(MATCH(677,'Transfer Engine'!$C$2:$C$1199,0)),"",INDEX('Compliance Database'!$M$2:$M$1199,MATCH(677,'Transfer Engine'!$C$2:$C$1199,0)))</f>
        <v/>
      </c>
      <c r="N686" s="7" t="str">
        <f>IF(ISNA(MATCH(677,'Transfer Engine'!$C$2:$C$1199,0)),"",INDEX('Compliance Database'!$N$2:$N$1199,MATCH(677,'Transfer Engine'!$C$2:$C$1199,0)))</f>
        <v/>
      </c>
      <c r="O686" s="7" t="str">
        <f>IF(ISNA(MATCH(677,'Transfer Engine'!$C$2:$C$1199,0)),"",INDEX('Compliance Database'!$O$2:$O$1199,MATCH(677,'Transfer Engine'!$C$2:$C$1199,0)))</f>
        <v/>
      </c>
      <c r="P686" s="6" t="str">
        <f>IF(ISNA(MATCH(677,'Transfer Engine'!$C$2:$C$1199,0)),"",HYPERLINK("#Acts!A"&amp;INDEX('Compliance Database'!$P$2:$P$1199,MATCH(677,'Transfer Engine'!$C$2:$C$1199,0)),"Go to Act"))</f>
        <v/>
      </c>
    </row>
    <row r="687" spans="1:16" ht="172.95" customHeight="1" x14ac:dyDescent="0.3">
      <c r="A687" s="6" t="str">
        <f>IF(ISNA(MATCH(678,'Transfer Engine'!$C$2:$C$1199,0)),"",INDEX('Compliance Database'!$A$2:$A$1199,MATCH(678,'Transfer Engine'!$C$2:$C$1199,0)))</f>
        <v/>
      </c>
      <c r="B687" s="6" t="str">
        <f>IF(ISNA(MATCH(678,'Transfer Engine'!$C$2:$C$1199,0)),"",INDEX('Compliance Database'!$B$2:$B$1199,MATCH(678,'Transfer Engine'!$C$2:$C$1199,0)))</f>
        <v/>
      </c>
      <c r="C687" s="6" t="str">
        <f>IF(ISNA(MATCH(678,'Transfer Engine'!$C$2:$C$1199,0)),"",INDEX('Compliance Database'!$C$2:$C$1199,MATCH(678,'Transfer Engine'!$C$2:$C$1199,0)))</f>
        <v/>
      </c>
      <c r="D687" s="7" t="str">
        <f>IF(ISNA(MATCH(678,'Transfer Engine'!$C$2:$C$1199,0)),"",INDEX('Compliance Database'!$D$2:$D$1199,MATCH(678,'Transfer Engine'!$C$2:$C$1199,0)))</f>
        <v/>
      </c>
      <c r="E687" s="6" t="str">
        <f>IF(ISNA(MATCH(678,'Transfer Engine'!$C$2:$C$1199,0)),"",INDEX('Compliance Database'!$E$2:$E$1199,MATCH(678,'Transfer Engine'!$C$2:$C$1199,0)))</f>
        <v/>
      </c>
      <c r="F687" s="6" t="str">
        <f>IF(ISNA(MATCH(678,'Transfer Engine'!$C$2:$C$1199,0)),"",INDEX('Compliance Database'!$F$2:$F$1199,MATCH(678,'Transfer Engine'!$C$2:$C$1199,0)))</f>
        <v/>
      </c>
      <c r="G687" s="6" t="str">
        <f>IF(ISNA(MATCH(678,'Transfer Engine'!$C$2:$C$1199,0)),"",INDEX('Compliance Database'!$G$2:$G$1199,MATCH(678,'Transfer Engine'!$C$2:$C$1199,0)))</f>
        <v/>
      </c>
      <c r="H687" s="7" t="str">
        <f>IF(ISNA(MATCH(678,'Transfer Engine'!$C$2:$C$1199,0)),"",INDEX('Compliance Database'!$H$2:$H$1199,MATCH(678,'Transfer Engine'!$C$2:$C$1199,0)))</f>
        <v/>
      </c>
      <c r="I687" s="7" t="str">
        <f>IF(ISNA(MATCH(678,'Transfer Engine'!$C$2:$C$1199,0)),"",INDEX('Compliance Database'!$I$2:$I$1199,MATCH(678,'Transfer Engine'!$C$2:$C$1199,0)))</f>
        <v/>
      </c>
      <c r="J687" s="6" t="str">
        <f>IF(ISNA(MATCH(678,'Transfer Engine'!$C$2:$C$1199,0)),"",INDEX('Compliance Database'!$J$2:$J$1199,MATCH(678,'Transfer Engine'!$C$2:$C$1199,0)))</f>
        <v/>
      </c>
      <c r="K687" s="7" t="str">
        <f>IF(ISNA(MATCH(678,'Transfer Engine'!$C$2:$C$1199,0)),"",INDEX('Compliance Database'!$K$2:$K$1199,MATCH(678,'Transfer Engine'!$C$2:$C$1199,0)))</f>
        <v/>
      </c>
      <c r="L687" s="7" t="str">
        <f>IF(ISNA(MATCH(678,'Transfer Engine'!$C$2:$C$1199,0)),"",INDEX('Compliance Database'!$L$2:$L$1199,MATCH(678,'Transfer Engine'!$C$2:$C$1199,0)))</f>
        <v/>
      </c>
      <c r="M687" s="7" t="str">
        <f>IF(ISNA(MATCH(678,'Transfer Engine'!$C$2:$C$1199,0)),"",INDEX('Compliance Database'!$M$2:$M$1199,MATCH(678,'Transfer Engine'!$C$2:$C$1199,0)))</f>
        <v/>
      </c>
      <c r="N687" s="7" t="str">
        <f>IF(ISNA(MATCH(678,'Transfer Engine'!$C$2:$C$1199,0)),"",INDEX('Compliance Database'!$N$2:$N$1199,MATCH(678,'Transfer Engine'!$C$2:$C$1199,0)))</f>
        <v/>
      </c>
      <c r="O687" s="7" t="str">
        <f>IF(ISNA(MATCH(678,'Transfer Engine'!$C$2:$C$1199,0)),"",INDEX('Compliance Database'!$O$2:$O$1199,MATCH(678,'Transfer Engine'!$C$2:$C$1199,0)))</f>
        <v/>
      </c>
      <c r="P687" s="6" t="str">
        <f>IF(ISNA(MATCH(678,'Transfer Engine'!$C$2:$C$1199,0)),"",HYPERLINK("#Acts!A"&amp;INDEX('Compliance Database'!$P$2:$P$1199,MATCH(678,'Transfer Engine'!$C$2:$C$1199,0)),"Go to Act"))</f>
        <v/>
      </c>
    </row>
    <row r="688" spans="1:16" ht="172.95" customHeight="1" x14ac:dyDescent="0.3">
      <c r="A688" s="6" t="str">
        <f>IF(ISNA(MATCH(679,'Transfer Engine'!$C$2:$C$1199,0)),"",INDEX('Compliance Database'!$A$2:$A$1199,MATCH(679,'Transfer Engine'!$C$2:$C$1199,0)))</f>
        <v/>
      </c>
      <c r="B688" s="6" t="str">
        <f>IF(ISNA(MATCH(679,'Transfer Engine'!$C$2:$C$1199,0)),"",INDEX('Compliance Database'!$B$2:$B$1199,MATCH(679,'Transfer Engine'!$C$2:$C$1199,0)))</f>
        <v/>
      </c>
      <c r="C688" s="6" t="str">
        <f>IF(ISNA(MATCH(679,'Transfer Engine'!$C$2:$C$1199,0)),"",INDEX('Compliance Database'!$C$2:$C$1199,MATCH(679,'Transfer Engine'!$C$2:$C$1199,0)))</f>
        <v/>
      </c>
      <c r="D688" s="7" t="str">
        <f>IF(ISNA(MATCH(679,'Transfer Engine'!$C$2:$C$1199,0)),"",INDEX('Compliance Database'!$D$2:$D$1199,MATCH(679,'Transfer Engine'!$C$2:$C$1199,0)))</f>
        <v/>
      </c>
      <c r="E688" s="6" t="str">
        <f>IF(ISNA(MATCH(679,'Transfer Engine'!$C$2:$C$1199,0)),"",INDEX('Compliance Database'!$E$2:$E$1199,MATCH(679,'Transfer Engine'!$C$2:$C$1199,0)))</f>
        <v/>
      </c>
      <c r="F688" s="6" t="str">
        <f>IF(ISNA(MATCH(679,'Transfer Engine'!$C$2:$C$1199,0)),"",INDEX('Compliance Database'!$F$2:$F$1199,MATCH(679,'Transfer Engine'!$C$2:$C$1199,0)))</f>
        <v/>
      </c>
      <c r="G688" s="6" t="str">
        <f>IF(ISNA(MATCH(679,'Transfer Engine'!$C$2:$C$1199,0)),"",INDEX('Compliance Database'!$G$2:$G$1199,MATCH(679,'Transfer Engine'!$C$2:$C$1199,0)))</f>
        <v/>
      </c>
      <c r="H688" s="7" t="str">
        <f>IF(ISNA(MATCH(679,'Transfer Engine'!$C$2:$C$1199,0)),"",INDEX('Compliance Database'!$H$2:$H$1199,MATCH(679,'Transfer Engine'!$C$2:$C$1199,0)))</f>
        <v/>
      </c>
      <c r="I688" s="7" t="str">
        <f>IF(ISNA(MATCH(679,'Transfer Engine'!$C$2:$C$1199,0)),"",INDEX('Compliance Database'!$I$2:$I$1199,MATCH(679,'Transfer Engine'!$C$2:$C$1199,0)))</f>
        <v/>
      </c>
      <c r="J688" s="6" t="str">
        <f>IF(ISNA(MATCH(679,'Transfer Engine'!$C$2:$C$1199,0)),"",INDEX('Compliance Database'!$J$2:$J$1199,MATCH(679,'Transfer Engine'!$C$2:$C$1199,0)))</f>
        <v/>
      </c>
      <c r="K688" s="7" t="str">
        <f>IF(ISNA(MATCH(679,'Transfer Engine'!$C$2:$C$1199,0)),"",INDEX('Compliance Database'!$K$2:$K$1199,MATCH(679,'Transfer Engine'!$C$2:$C$1199,0)))</f>
        <v/>
      </c>
      <c r="L688" s="7" t="str">
        <f>IF(ISNA(MATCH(679,'Transfer Engine'!$C$2:$C$1199,0)),"",INDEX('Compliance Database'!$L$2:$L$1199,MATCH(679,'Transfer Engine'!$C$2:$C$1199,0)))</f>
        <v/>
      </c>
      <c r="M688" s="7" t="str">
        <f>IF(ISNA(MATCH(679,'Transfer Engine'!$C$2:$C$1199,0)),"",INDEX('Compliance Database'!$M$2:$M$1199,MATCH(679,'Transfer Engine'!$C$2:$C$1199,0)))</f>
        <v/>
      </c>
      <c r="N688" s="7" t="str">
        <f>IF(ISNA(MATCH(679,'Transfer Engine'!$C$2:$C$1199,0)),"",INDEX('Compliance Database'!$N$2:$N$1199,MATCH(679,'Transfer Engine'!$C$2:$C$1199,0)))</f>
        <v/>
      </c>
      <c r="O688" s="7" t="str">
        <f>IF(ISNA(MATCH(679,'Transfer Engine'!$C$2:$C$1199,0)),"",INDEX('Compliance Database'!$O$2:$O$1199,MATCH(679,'Transfer Engine'!$C$2:$C$1199,0)))</f>
        <v/>
      </c>
      <c r="P688" s="6" t="str">
        <f>IF(ISNA(MATCH(679,'Transfer Engine'!$C$2:$C$1199,0)),"",HYPERLINK("#Acts!A"&amp;INDEX('Compliance Database'!$P$2:$P$1199,MATCH(679,'Transfer Engine'!$C$2:$C$1199,0)),"Go to Act"))</f>
        <v/>
      </c>
    </row>
    <row r="689" spans="1:16" ht="172.95" customHeight="1" x14ac:dyDescent="0.3">
      <c r="A689" s="6" t="str">
        <f>IF(ISNA(MATCH(680,'Transfer Engine'!$C$2:$C$1199,0)),"",INDEX('Compliance Database'!$A$2:$A$1199,MATCH(680,'Transfer Engine'!$C$2:$C$1199,0)))</f>
        <v/>
      </c>
      <c r="B689" s="6" t="str">
        <f>IF(ISNA(MATCH(680,'Transfer Engine'!$C$2:$C$1199,0)),"",INDEX('Compliance Database'!$B$2:$B$1199,MATCH(680,'Transfer Engine'!$C$2:$C$1199,0)))</f>
        <v/>
      </c>
      <c r="C689" s="6" t="str">
        <f>IF(ISNA(MATCH(680,'Transfer Engine'!$C$2:$C$1199,0)),"",INDEX('Compliance Database'!$C$2:$C$1199,MATCH(680,'Transfer Engine'!$C$2:$C$1199,0)))</f>
        <v/>
      </c>
      <c r="D689" s="7" t="str">
        <f>IF(ISNA(MATCH(680,'Transfer Engine'!$C$2:$C$1199,0)),"",INDEX('Compliance Database'!$D$2:$D$1199,MATCH(680,'Transfer Engine'!$C$2:$C$1199,0)))</f>
        <v/>
      </c>
      <c r="E689" s="6" t="str">
        <f>IF(ISNA(MATCH(680,'Transfer Engine'!$C$2:$C$1199,0)),"",INDEX('Compliance Database'!$E$2:$E$1199,MATCH(680,'Transfer Engine'!$C$2:$C$1199,0)))</f>
        <v/>
      </c>
      <c r="F689" s="6" t="str">
        <f>IF(ISNA(MATCH(680,'Transfer Engine'!$C$2:$C$1199,0)),"",INDEX('Compliance Database'!$F$2:$F$1199,MATCH(680,'Transfer Engine'!$C$2:$C$1199,0)))</f>
        <v/>
      </c>
      <c r="G689" s="6" t="str">
        <f>IF(ISNA(MATCH(680,'Transfer Engine'!$C$2:$C$1199,0)),"",INDEX('Compliance Database'!$G$2:$G$1199,MATCH(680,'Transfer Engine'!$C$2:$C$1199,0)))</f>
        <v/>
      </c>
      <c r="H689" s="7" t="str">
        <f>IF(ISNA(MATCH(680,'Transfer Engine'!$C$2:$C$1199,0)),"",INDEX('Compliance Database'!$H$2:$H$1199,MATCH(680,'Transfer Engine'!$C$2:$C$1199,0)))</f>
        <v/>
      </c>
      <c r="I689" s="7" t="str">
        <f>IF(ISNA(MATCH(680,'Transfer Engine'!$C$2:$C$1199,0)),"",INDEX('Compliance Database'!$I$2:$I$1199,MATCH(680,'Transfer Engine'!$C$2:$C$1199,0)))</f>
        <v/>
      </c>
      <c r="J689" s="6" t="str">
        <f>IF(ISNA(MATCH(680,'Transfer Engine'!$C$2:$C$1199,0)),"",INDEX('Compliance Database'!$J$2:$J$1199,MATCH(680,'Transfer Engine'!$C$2:$C$1199,0)))</f>
        <v/>
      </c>
      <c r="K689" s="7" t="str">
        <f>IF(ISNA(MATCH(680,'Transfer Engine'!$C$2:$C$1199,0)),"",INDEX('Compliance Database'!$K$2:$K$1199,MATCH(680,'Transfer Engine'!$C$2:$C$1199,0)))</f>
        <v/>
      </c>
      <c r="L689" s="7" t="str">
        <f>IF(ISNA(MATCH(680,'Transfer Engine'!$C$2:$C$1199,0)),"",INDEX('Compliance Database'!$L$2:$L$1199,MATCH(680,'Transfer Engine'!$C$2:$C$1199,0)))</f>
        <v/>
      </c>
      <c r="M689" s="7" t="str">
        <f>IF(ISNA(MATCH(680,'Transfer Engine'!$C$2:$C$1199,0)),"",INDEX('Compliance Database'!$M$2:$M$1199,MATCH(680,'Transfer Engine'!$C$2:$C$1199,0)))</f>
        <v/>
      </c>
      <c r="N689" s="7" t="str">
        <f>IF(ISNA(MATCH(680,'Transfer Engine'!$C$2:$C$1199,0)),"",INDEX('Compliance Database'!$N$2:$N$1199,MATCH(680,'Transfer Engine'!$C$2:$C$1199,0)))</f>
        <v/>
      </c>
      <c r="O689" s="7" t="str">
        <f>IF(ISNA(MATCH(680,'Transfer Engine'!$C$2:$C$1199,0)),"",INDEX('Compliance Database'!$O$2:$O$1199,MATCH(680,'Transfer Engine'!$C$2:$C$1199,0)))</f>
        <v/>
      </c>
      <c r="P689" s="6" t="str">
        <f>IF(ISNA(MATCH(680,'Transfer Engine'!$C$2:$C$1199,0)),"",HYPERLINK("#Acts!A"&amp;INDEX('Compliance Database'!$P$2:$P$1199,MATCH(680,'Transfer Engine'!$C$2:$C$1199,0)),"Go to Act"))</f>
        <v/>
      </c>
    </row>
    <row r="690" spans="1:16" ht="172.95" customHeight="1" x14ac:dyDescent="0.3">
      <c r="A690" s="6" t="str">
        <f>IF(ISNA(MATCH(681,'Transfer Engine'!$C$2:$C$1199,0)),"",INDEX('Compliance Database'!$A$2:$A$1199,MATCH(681,'Transfer Engine'!$C$2:$C$1199,0)))</f>
        <v/>
      </c>
      <c r="B690" s="6" t="str">
        <f>IF(ISNA(MATCH(681,'Transfer Engine'!$C$2:$C$1199,0)),"",INDEX('Compliance Database'!$B$2:$B$1199,MATCH(681,'Transfer Engine'!$C$2:$C$1199,0)))</f>
        <v/>
      </c>
      <c r="C690" s="6" t="str">
        <f>IF(ISNA(MATCH(681,'Transfer Engine'!$C$2:$C$1199,0)),"",INDEX('Compliance Database'!$C$2:$C$1199,MATCH(681,'Transfer Engine'!$C$2:$C$1199,0)))</f>
        <v/>
      </c>
      <c r="D690" s="7" t="str">
        <f>IF(ISNA(MATCH(681,'Transfer Engine'!$C$2:$C$1199,0)),"",INDEX('Compliance Database'!$D$2:$D$1199,MATCH(681,'Transfer Engine'!$C$2:$C$1199,0)))</f>
        <v/>
      </c>
      <c r="E690" s="6" t="str">
        <f>IF(ISNA(MATCH(681,'Transfer Engine'!$C$2:$C$1199,0)),"",INDEX('Compliance Database'!$E$2:$E$1199,MATCH(681,'Transfer Engine'!$C$2:$C$1199,0)))</f>
        <v/>
      </c>
      <c r="F690" s="6" t="str">
        <f>IF(ISNA(MATCH(681,'Transfer Engine'!$C$2:$C$1199,0)),"",INDEX('Compliance Database'!$F$2:$F$1199,MATCH(681,'Transfer Engine'!$C$2:$C$1199,0)))</f>
        <v/>
      </c>
      <c r="G690" s="6" t="str">
        <f>IF(ISNA(MATCH(681,'Transfer Engine'!$C$2:$C$1199,0)),"",INDEX('Compliance Database'!$G$2:$G$1199,MATCH(681,'Transfer Engine'!$C$2:$C$1199,0)))</f>
        <v/>
      </c>
      <c r="H690" s="7" t="str">
        <f>IF(ISNA(MATCH(681,'Transfer Engine'!$C$2:$C$1199,0)),"",INDEX('Compliance Database'!$H$2:$H$1199,MATCH(681,'Transfer Engine'!$C$2:$C$1199,0)))</f>
        <v/>
      </c>
      <c r="I690" s="7" t="str">
        <f>IF(ISNA(MATCH(681,'Transfer Engine'!$C$2:$C$1199,0)),"",INDEX('Compliance Database'!$I$2:$I$1199,MATCH(681,'Transfer Engine'!$C$2:$C$1199,0)))</f>
        <v/>
      </c>
      <c r="J690" s="6" t="str">
        <f>IF(ISNA(MATCH(681,'Transfer Engine'!$C$2:$C$1199,0)),"",INDEX('Compliance Database'!$J$2:$J$1199,MATCH(681,'Transfer Engine'!$C$2:$C$1199,0)))</f>
        <v/>
      </c>
      <c r="K690" s="7" t="str">
        <f>IF(ISNA(MATCH(681,'Transfer Engine'!$C$2:$C$1199,0)),"",INDEX('Compliance Database'!$K$2:$K$1199,MATCH(681,'Transfer Engine'!$C$2:$C$1199,0)))</f>
        <v/>
      </c>
      <c r="L690" s="7" t="str">
        <f>IF(ISNA(MATCH(681,'Transfer Engine'!$C$2:$C$1199,0)),"",INDEX('Compliance Database'!$L$2:$L$1199,MATCH(681,'Transfer Engine'!$C$2:$C$1199,0)))</f>
        <v/>
      </c>
      <c r="M690" s="7" t="str">
        <f>IF(ISNA(MATCH(681,'Transfer Engine'!$C$2:$C$1199,0)),"",INDEX('Compliance Database'!$M$2:$M$1199,MATCH(681,'Transfer Engine'!$C$2:$C$1199,0)))</f>
        <v/>
      </c>
      <c r="N690" s="7" t="str">
        <f>IF(ISNA(MATCH(681,'Transfer Engine'!$C$2:$C$1199,0)),"",INDEX('Compliance Database'!$N$2:$N$1199,MATCH(681,'Transfer Engine'!$C$2:$C$1199,0)))</f>
        <v/>
      </c>
      <c r="O690" s="7" t="str">
        <f>IF(ISNA(MATCH(681,'Transfer Engine'!$C$2:$C$1199,0)),"",INDEX('Compliance Database'!$O$2:$O$1199,MATCH(681,'Transfer Engine'!$C$2:$C$1199,0)))</f>
        <v/>
      </c>
      <c r="P690" s="6" t="str">
        <f>IF(ISNA(MATCH(681,'Transfer Engine'!$C$2:$C$1199,0)),"",HYPERLINK("#Acts!A"&amp;INDEX('Compliance Database'!$P$2:$P$1199,MATCH(681,'Transfer Engine'!$C$2:$C$1199,0)),"Go to Act"))</f>
        <v/>
      </c>
    </row>
    <row r="691" spans="1:16" ht="172.95" customHeight="1" x14ac:dyDescent="0.3">
      <c r="A691" s="6" t="str">
        <f>IF(ISNA(MATCH(682,'Transfer Engine'!$C$2:$C$1199,0)),"",INDEX('Compliance Database'!$A$2:$A$1199,MATCH(682,'Transfer Engine'!$C$2:$C$1199,0)))</f>
        <v/>
      </c>
      <c r="B691" s="6" t="str">
        <f>IF(ISNA(MATCH(682,'Transfer Engine'!$C$2:$C$1199,0)),"",INDEX('Compliance Database'!$B$2:$B$1199,MATCH(682,'Transfer Engine'!$C$2:$C$1199,0)))</f>
        <v/>
      </c>
      <c r="C691" s="6" t="str">
        <f>IF(ISNA(MATCH(682,'Transfer Engine'!$C$2:$C$1199,0)),"",INDEX('Compliance Database'!$C$2:$C$1199,MATCH(682,'Transfer Engine'!$C$2:$C$1199,0)))</f>
        <v/>
      </c>
      <c r="D691" s="7" t="str">
        <f>IF(ISNA(MATCH(682,'Transfer Engine'!$C$2:$C$1199,0)),"",INDEX('Compliance Database'!$D$2:$D$1199,MATCH(682,'Transfer Engine'!$C$2:$C$1199,0)))</f>
        <v/>
      </c>
      <c r="E691" s="6" t="str">
        <f>IF(ISNA(MATCH(682,'Transfer Engine'!$C$2:$C$1199,0)),"",INDEX('Compliance Database'!$E$2:$E$1199,MATCH(682,'Transfer Engine'!$C$2:$C$1199,0)))</f>
        <v/>
      </c>
      <c r="F691" s="6" t="str">
        <f>IF(ISNA(MATCH(682,'Transfer Engine'!$C$2:$C$1199,0)),"",INDEX('Compliance Database'!$F$2:$F$1199,MATCH(682,'Transfer Engine'!$C$2:$C$1199,0)))</f>
        <v/>
      </c>
      <c r="G691" s="6" t="str">
        <f>IF(ISNA(MATCH(682,'Transfer Engine'!$C$2:$C$1199,0)),"",INDEX('Compliance Database'!$G$2:$G$1199,MATCH(682,'Transfer Engine'!$C$2:$C$1199,0)))</f>
        <v/>
      </c>
      <c r="H691" s="7" t="str">
        <f>IF(ISNA(MATCH(682,'Transfer Engine'!$C$2:$C$1199,0)),"",INDEX('Compliance Database'!$H$2:$H$1199,MATCH(682,'Transfer Engine'!$C$2:$C$1199,0)))</f>
        <v/>
      </c>
      <c r="I691" s="7" t="str">
        <f>IF(ISNA(MATCH(682,'Transfer Engine'!$C$2:$C$1199,0)),"",INDEX('Compliance Database'!$I$2:$I$1199,MATCH(682,'Transfer Engine'!$C$2:$C$1199,0)))</f>
        <v/>
      </c>
      <c r="J691" s="6" t="str">
        <f>IF(ISNA(MATCH(682,'Transfer Engine'!$C$2:$C$1199,0)),"",INDEX('Compliance Database'!$J$2:$J$1199,MATCH(682,'Transfer Engine'!$C$2:$C$1199,0)))</f>
        <v/>
      </c>
      <c r="K691" s="7" t="str">
        <f>IF(ISNA(MATCH(682,'Transfer Engine'!$C$2:$C$1199,0)),"",INDEX('Compliance Database'!$K$2:$K$1199,MATCH(682,'Transfer Engine'!$C$2:$C$1199,0)))</f>
        <v/>
      </c>
      <c r="L691" s="7" t="str">
        <f>IF(ISNA(MATCH(682,'Transfer Engine'!$C$2:$C$1199,0)),"",INDEX('Compliance Database'!$L$2:$L$1199,MATCH(682,'Transfer Engine'!$C$2:$C$1199,0)))</f>
        <v/>
      </c>
      <c r="M691" s="7" t="str">
        <f>IF(ISNA(MATCH(682,'Transfer Engine'!$C$2:$C$1199,0)),"",INDEX('Compliance Database'!$M$2:$M$1199,MATCH(682,'Transfer Engine'!$C$2:$C$1199,0)))</f>
        <v/>
      </c>
      <c r="N691" s="7" t="str">
        <f>IF(ISNA(MATCH(682,'Transfer Engine'!$C$2:$C$1199,0)),"",INDEX('Compliance Database'!$N$2:$N$1199,MATCH(682,'Transfer Engine'!$C$2:$C$1199,0)))</f>
        <v/>
      </c>
      <c r="O691" s="7" t="str">
        <f>IF(ISNA(MATCH(682,'Transfer Engine'!$C$2:$C$1199,0)),"",INDEX('Compliance Database'!$O$2:$O$1199,MATCH(682,'Transfer Engine'!$C$2:$C$1199,0)))</f>
        <v/>
      </c>
      <c r="P691" s="6" t="str">
        <f>IF(ISNA(MATCH(682,'Transfer Engine'!$C$2:$C$1199,0)),"",HYPERLINK("#Acts!A"&amp;INDEX('Compliance Database'!$P$2:$P$1199,MATCH(682,'Transfer Engine'!$C$2:$C$1199,0)),"Go to Act"))</f>
        <v/>
      </c>
    </row>
    <row r="692" spans="1:16" ht="172.95" customHeight="1" x14ac:dyDescent="0.3">
      <c r="A692" s="6" t="str">
        <f>IF(ISNA(MATCH(683,'Transfer Engine'!$C$2:$C$1199,0)),"",INDEX('Compliance Database'!$A$2:$A$1199,MATCH(683,'Transfer Engine'!$C$2:$C$1199,0)))</f>
        <v/>
      </c>
      <c r="B692" s="6" t="str">
        <f>IF(ISNA(MATCH(683,'Transfer Engine'!$C$2:$C$1199,0)),"",INDEX('Compliance Database'!$B$2:$B$1199,MATCH(683,'Transfer Engine'!$C$2:$C$1199,0)))</f>
        <v/>
      </c>
      <c r="C692" s="6" t="str">
        <f>IF(ISNA(MATCH(683,'Transfer Engine'!$C$2:$C$1199,0)),"",INDEX('Compliance Database'!$C$2:$C$1199,MATCH(683,'Transfer Engine'!$C$2:$C$1199,0)))</f>
        <v/>
      </c>
      <c r="D692" s="7" t="str">
        <f>IF(ISNA(MATCH(683,'Transfer Engine'!$C$2:$C$1199,0)),"",INDEX('Compliance Database'!$D$2:$D$1199,MATCH(683,'Transfer Engine'!$C$2:$C$1199,0)))</f>
        <v/>
      </c>
      <c r="E692" s="6" t="str">
        <f>IF(ISNA(MATCH(683,'Transfer Engine'!$C$2:$C$1199,0)),"",INDEX('Compliance Database'!$E$2:$E$1199,MATCH(683,'Transfer Engine'!$C$2:$C$1199,0)))</f>
        <v/>
      </c>
      <c r="F692" s="6" t="str">
        <f>IF(ISNA(MATCH(683,'Transfer Engine'!$C$2:$C$1199,0)),"",INDEX('Compliance Database'!$F$2:$F$1199,MATCH(683,'Transfer Engine'!$C$2:$C$1199,0)))</f>
        <v/>
      </c>
      <c r="G692" s="6" t="str">
        <f>IF(ISNA(MATCH(683,'Transfer Engine'!$C$2:$C$1199,0)),"",INDEX('Compliance Database'!$G$2:$G$1199,MATCH(683,'Transfer Engine'!$C$2:$C$1199,0)))</f>
        <v/>
      </c>
      <c r="H692" s="7" t="str">
        <f>IF(ISNA(MATCH(683,'Transfer Engine'!$C$2:$C$1199,0)),"",INDEX('Compliance Database'!$H$2:$H$1199,MATCH(683,'Transfer Engine'!$C$2:$C$1199,0)))</f>
        <v/>
      </c>
      <c r="I692" s="7" t="str">
        <f>IF(ISNA(MATCH(683,'Transfer Engine'!$C$2:$C$1199,0)),"",INDEX('Compliance Database'!$I$2:$I$1199,MATCH(683,'Transfer Engine'!$C$2:$C$1199,0)))</f>
        <v/>
      </c>
      <c r="J692" s="6" t="str">
        <f>IF(ISNA(MATCH(683,'Transfer Engine'!$C$2:$C$1199,0)),"",INDEX('Compliance Database'!$J$2:$J$1199,MATCH(683,'Transfer Engine'!$C$2:$C$1199,0)))</f>
        <v/>
      </c>
      <c r="K692" s="7" t="str">
        <f>IF(ISNA(MATCH(683,'Transfer Engine'!$C$2:$C$1199,0)),"",INDEX('Compliance Database'!$K$2:$K$1199,MATCH(683,'Transfer Engine'!$C$2:$C$1199,0)))</f>
        <v/>
      </c>
      <c r="L692" s="7" t="str">
        <f>IF(ISNA(MATCH(683,'Transfer Engine'!$C$2:$C$1199,0)),"",INDEX('Compliance Database'!$L$2:$L$1199,MATCH(683,'Transfer Engine'!$C$2:$C$1199,0)))</f>
        <v/>
      </c>
      <c r="M692" s="7" t="str">
        <f>IF(ISNA(MATCH(683,'Transfer Engine'!$C$2:$C$1199,0)),"",INDEX('Compliance Database'!$M$2:$M$1199,MATCH(683,'Transfer Engine'!$C$2:$C$1199,0)))</f>
        <v/>
      </c>
      <c r="N692" s="7" t="str">
        <f>IF(ISNA(MATCH(683,'Transfer Engine'!$C$2:$C$1199,0)),"",INDEX('Compliance Database'!$N$2:$N$1199,MATCH(683,'Transfer Engine'!$C$2:$C$1199,0)))</f>
        <v/>
      </c>
      <c r="O692" s="7" t="str">
        <f>IF(ISNA(MATCH(683,'Transfer Engine'!$C$2:$C$1199,0)),"",INDEX('Compliance Database'!$O$2:$O$1199,MATCH(683,'Transfer Engine'!$C$2:$C$1199,0)))</f>
        <v/>
      </c>
      <c r="P692" s="6" t="str">
        <f>IF(ISNA(MATCH(683,'Transfer Engine'!$C$2:$C$1199,0)),"",HYPERLINK("#Acts!A"&amp;INDEX('Compliance Database'!$P$2:$P$1199,MATCH(683,'Transfer Engine'!$C$2:$C$1199,0)),"Go to Act"))</f>
        <v/>
      </c>
    </row>
    <row r="693" spans="1:16" ht="172.95" customHeight="1" x14ac:dyDescent="0.3">
      <c r="A693" s="6" t="str">
        <f>IF(ISNA(MATCH(684,'Transfer Engine'!$C$2:$C$1199,0)),"",INDEX('Compliance Database'!$A$2:$A$1199,MATCH(684,'Transfer Engine'!$C$2:$C$1199,0)))</f>
        <v/>
      </c>
      <c r="B693" s="6" t="str">
        <f>IF(ISNA(MATCH(684,'Transfer Engine'!$C$2:$C$1199,0)),"",INDEX('Compliance Database'!$B$2:$B$1199,MATCH(684,'Transfer Engine'!$C$2:$C$1199,0)))</f>
        <v/>
      </c>
      <c r="C693" s="6" t="str">
        <f>IF(ISNA(MATCH(684,'Transfer Engine'!$C$2:$C$1199,0)),"",INDEX('Compliance Database'!$C$2:$C$1199,MATCH(684,'Transfer Engine'!$C$2:$C$1199,0)))</f>
        <v/>
      </c>
      <c r="D693" s="7" t="str">
        <f>IF(ISNA(MATCH(684,'Transfer Engine'!$C$2:$C$1199,0)),"",INDEX('Compliance Database'!$D$2:$D$1199,MATCH(684,'Transfer Engine'!$C$2:$C$1199,0)))</f>
        <v/>
      </c>
      <c r="E693" s="6" t="str">
        <f>IF(ISNA(MATCH(684,'Transfer Engine'!$C$2:$C$1199,0)),"",INDEX('Compliance Database'!$E$2:$E$1199,MATCH(684,'Transfer Engine'!$C$2:$C$1199,0)))</f>
        <v/>
      </c>
      <c r="F693" s="6" t="str">
        <f>IF(ISNA(MATCH(684,'Transfer Engine'!$C$2:$C$1199,0)),"",INDEX('Compliance Database'!$F$2:$F$1199,MATCH(684,'Transfer Engine'!$C$2:$C$1199,0)))</f>
        <v/>
      </c>
      <c r="G693" s="6" t="str">
        <f>IF(ISNA(MATCH(684,'Transfer Engine'!$C$2:$C$1199,0)),"",INDEX('Compliance Database'!$G$2:$G$1199,MATCH(684,'Transfer Engine'!$C$2:$C$1199,0)))</f>
        <v/>
      </c>
      <c r="H693" s="7" t="str">
        <f>IF(ISNA(MATCH(684,'Transfer Engine'!$C$2:$C$1199,0)),"",INDEX('Compliance Database'!$H$2:$H$1199,MATCH(684,'Transfer Engine'!$C$2:$C$1199,0)))</f>
        <v/>
      </c>
      <c r="I693" s="7" t="str">
        <f>IF(ISNA(MATCH(684,'Transfer Engine'!$C$2:$C$1199,0)),"",INDEX('Compliance Database'!$I$2:$I$1199,MATCH(684,'Transfer Engine'!$C$2:$C$1199,0)))</f>
        <v/>
      </c>
      <c r="J693" s="6" t="str">
        <f>IF(ISNA(MATCH(684,'Transfer Engine'!$C$2:$C$1199,0)),"",INDEX('Compliance Database'!$J$2:$J$1199,MATCH(684,'Transfer Engine'!$C$2:$C$1199,0)))</f>
        <v/>
      </c>
      <c r="K693" s="7" t="str">
        <f>IF(ISNA(MATCH(684,'Transfer Engine'!$C$2:$C$1199,0)),"",INDEX('Compliance Database'!$K$2:$K$1199,MATCH(684,'Transfer Engine'!$C$2:$C$1199,0)))</f>
        <v/>
      </c>
      <c r="L693" s="7" t="str">
        <f>IF(ISNA(MATCH(684,'Transfer Engine'!$C$2:$C$1199,0)),"",INDEX('Compliance Database'!$L$2:$L$1199,MATCH(684,'Transfer Engine'!$C$2:$C$1199,0)))</f>
        <v/>
      </c>
      <c r="M693" s="7" t="str">
        <f>IF(ISNA(MATCH(684,'Transfer Engine'!$C$2:$C$1199,0)),"",INDEX('Compliance Database'!$M$2:$M$1199,MATCH(684,'Transfer Engine'!$C$2:$C$1199,0)))</f>
        <v/>
      </c>
      <c r="N693" s="7" t="str">
        <f>IF(ISNA(MATCH(684,'Transfer Engine'!$C$2:$C$1199,0)),"",INDEX('Compliance Database'!$N$2:$N$1199,MATCH(684,'Transfer Engine'!$C$2:$C$1199,0)))</f>
        <v/>
      </c>
      <c r="O693" s="7" t="str">
        <f>IF(ISNA(MATCH(684,'Transfer Engine'!$C$2:$C$1199,0)),"",INDEX('Compliance Database'!$O$2:$O$1199,MATCH(684,'Transfer Engine'!$C$2:$C$1199,0)))</f>
        <v/>
      </c>
      <c r="P693" s="6" t="str">
        <f>IF(ISNA(MATCH(684,'Transfer Engine'!$C$2:$C$1199,0)),"",HYPERLINK("#Acts!A"&amp;INDEX('Compliance Database'!$P$2:$P$1199,MATCH(684,'Transfer Engine'!$C$2:$C$1199,0)),"Go to Act"))</f>
        <v/>
      </c>
    </row>
    <row r="694" spans="1:16" ht="172.95" customHeight="1" x14ac:dyDescent="0.3">
      <c r="A694" s="6" t="str">
        <f>IF(ISNA(MATCH(685,'Transfer Engine'!$C$2:$C$1199,0)),"",INDEX('Compliance Database'!$A$2:$A$1199,MATCH(685,'Transfer Engine'!$C$2:$C$1199,0)))</f>
        <v/>
      </c>
      <c r="B694" s="6" t="str">
        <f>IF(ISNA(MATCH(685,'Transfer Engine'!$C$2:$C$1199,0)),"",INDEX('Compliance Database'!$B$2:$B$1199,MATCH(685,'Transfer Engine'!$C$2:$C$1199,0)))</f>
        <v/>
      </c>
      <c r="C694" s="6" t="str">
        <f>IF(ISNA(MATCH(685,'Transfer Engine'!$C$2:$C$1199,0)),"",INDEX('Compliance Database'!$C$2:$C$1199,MATCH(685,'Transfer Engine'!$C$2:$C$1199,0)))</f>
        <v/>
      </c>
      <c r="D694" s="7" t="str">
        <f>IF(ISNA(MATCH(685,'Transfer Engine'!$C$2:$C$1199,0)),"",INDEX('Compliance Database'!$D$2:$D$1199,MATCH(685,'Transfer Engine'!$C$2:$C$1199,0)))</f>
        <v/>
      </c>
      <c r="E694" s="6" t="str">
        <f>IF(ISNA(MATCH(685,'Transfer Engine'!$C$2:$C$1199,0)),"",INDEX('Compliance Database'!$E$2:$E$1199,MATCH(685,'Transfer Engine'!$C$2:$C$1199,0)))</f>
        <v/>
      </c>
      <c r="F694" s="6" t="str">
        <f>IF(ISNA(MATCH(685,'Transfer Engine'!$C$2:$C$1199,0)),"",INDEX('Compliance Database'!$F$2:$F$1199,MATCH(685,'Transfer Engine'!$C$2:$C$1199,0)))</f>
        <v/>
      </c>
      <c r="G694" s="6" t="str">
        <f>IF(ISNA(MATCH(685,'Transfer Engine'!$C$2:$C$1199,0)),"",INDEX('Compliance Database'!$G$2:$G$1199,MATCH(685,'Transfer Engine'!$C$2:$C$1199,0)))</f>
        <v/>
      </c>
      <c r="H694" s="7" t="str">
        <f>IF(ISNA(MATCH(685,'Transfer Engine'!$C$2:$C$1199,0)),"",INDEX('Compliance Database'!$H$2:$H$1199,MATCH(685,'Transfer Engine'!$C$2:$C$1199,0)))</f>
        <v/>
      </c>
      <c r="I694" s="7" t="str">
        <f>IF(ISNA(MATCH(685,'Transfer Engine'!$C$2:$C$1199,0)),"",INDEX('Compliance Database'!$I$2:$I$1199,MATCH(685,'Transfer Engine'!$C$2:$C$1199,0)))</f>
        <v/>
      </c>
      <c r="J694" s="6" t="str">
        <f>IF(ISNA(MATCH(685,'Transfer Engine'!$C$2:$C$1199,0)),"",INDEX('Compliance Database'!$J$2:$J$1199,MATCH(685,'Transfer Engine'!$C$2:$C$1199,0)))</f>
        <v/>
      </c>
      <c r="K694" s="7" t="str">
        <f>IF(ISNA(MATCH(685,'Transfer Engine'!$C$2:$C$1199,0)),"",INDEX('Compliance Database'!$K$2:$K$1199,MATCH(685,'Transfer Engine'!$C$2:$C$1199,0)))</f>
        <v/>
      </c>
      <c r="L694" s="7" t="str">
        <f>IF(ISNA(MATCH(685,'Transfer Engine'!$C$2:$C$1199,0)),"",INDEX('Compliance Database'!$L$2:$L$1199,MATCH(685,'Transfer Engine'!$C$2:$C$1199,0)))</f>
        <v/>
      </c>
      <c r="M694" s="7" t="str">
        <f>IF(ISNA(MATCH(685,'Transfer Engine'!$C$2:$C$1199,0)),"",INDEX('Compliance Database'!$M$2:$M$1199,MATCH(685,'Transfer Engine'!$C$2:$C$1199,0)))</f>
        <v/>
      </c>
      <c r="N694" s="7" t="str">
        <f>IF(ISNA(MATCH(685,'Transfer Engine'!$C$2:$C$1199,0)),"",INDEX('Compliance Database'!$N$2:$N$1199,MATCH(685,'Transfer Engine'!$C$2:$C$1199,0)))</f>
        <v/>
      </c>
      <c r="O694" s="7" t="str">
        <f>IF(ISNA(MATCH(685,'Transfer Engine'!$C$2:$C$1199,0)),"",INDEX('Compliance Database'!$O$2:$O$1199,MATCH(685,'Transfer Engine'!$C$2:$C$1199,0)))</f>
        <v/>
      </c>
      <c r="P694" s="6" t="str">
        <f>IF(ISNA(MATCH(685,'Transfer Engine'!$C$2:$C$1199,0)),"",HYPERLINK("#Acts!A"&amp;INDEX('Compliance Database'!$P$2:$P$1199,MATCH(685,'Transfer Engine'!$C$2:$C$1199,0)),"Go to Act"))</f>
        <v/>
      </c>
    </row>
    <row r="695" spans="1:16" ht="172.95" customHeight="1" x14ac:dyDescent="0.3">
      <c r="A695" s="6" t="str">
        <f>IF(ISNA(MATCH(686,'Transfer Engine'!$C$2:$C$1199,0)),"",INDEX('Compliance Database'!$A$2:$A$1199,MATCH(686,'Transfer Engine'!$C$2:$C$1199,0)))</f>
        <v/>
      </c>
      <c r="B695" s="6" t="str">
        <f>IF(ISNA(MATCH(686,'Transfer Engine'!$C$2:$C$1199,0)),"",INDEX('Compliance Database'!$B$2:$B$1199,MATCH(686,'Transfer Engine'!$C$2:$C$1199,0)))</f>
        <v/>
      </c>
      <c r="C695" s="6" t="str">
        <f>IF(ISNA(MATCH(686,'Transfer Engine'!$C$2:$C$1199,0)),"",INDEX('Compliance Database'!$C$2:$C$1199,MATCH(686,'Transfer Engine'!$C$2:$C$1199,0)))</f>
        <v/>
      </c>
      <c r="D695" s="7" t="str">
        <f>IF(ISNA(MATCH(686,'Transfer Engine'!$C$2:$C$1199,0)),"",INDEX('Compliance Database'!$D$2:$D$1199,MATCH(686,'Transfer Engine'!$C$2:$C$1199,0)))</f>
        <v/>
      </c>
      <c r="E695" s="6" t="str">
        <f>IF(ISNA(MATCH(686,'Transfer Engine'!$C$2:$C$1199,0)),"",INDEX('Compliance Database'!$E$2:$E$1199,MATCH(686,'Transfer Engine'!$C$2:$C$1199,0)))</f>
        <v/>
      </c>
      <c r="F695" s="6" t="str">
        <f>IF(ISNA(MATCH(686,'Transfer Engine'!$C$2:$C$1199,0)),"",INDEX('Compliance Database'!$F$2:$F$1199,MATCH(686,'Transfer Engine'!$C$2:$C$1199,0)))</f>
        <v/>
      </c>
      <c r="G695" s="6" t="str">
        <f>IF(ISNA(MATCH(686,'Transfer Engine'!$C$2:$C$1199,0)),"",INDEX('Compliance Database'!$G$2:$G$1199,MATCH(686,'Transfer Engine'!$C$2:$C$1199,0)))</f>
        <v/>
      </c>
      <c r="H695" s="7" t="str">
        <f>IF(ISNA(MATCH(686,'Transfer Engine'!$C$2:$C$1199,0)),"",INDEX('Compliance Database'!$H$2:$H$1199,MATCH(686,'Transfer Engine'!$C$2:$C$1199,0)))</f>
        <v/>
      </c>
      <c r="I695" s="7" t="str">
        <f>IF(ISNA(MATCH(686,'Transfer Engine'!$C$2:$C$1199,0)),"",INDEX('Compliance Database'!$I$2:$I$1199,MATCH(686,'Transfer Engine'!$C$2:$C$1199,0)))</f>
        <v/>
      </c>
      <c r="J695" s="6" t="str">
        <f>IF(ISNA(MATCH(686,'Transfer Engine'!$C$2:$C$1199,0)),"",INDEX('Compliance Database'!$J$2:$J$1199,MATCH(686,'Transfer Engine'!$C$2:$C$1199,0)))</f>
        <v/>
      </c>
      <c r="K695" s="7" t="str">
        <f>IF(ISNA(MATCH(686,'Transfer Engine'!$C$2:$C$1199,0)),"",INDEX('Compliance Database'!$K$2:$K$1199,MATCH(686,'Transfer Engine'!$C$2:$C$1199,0)))</f>
        <v/>
      </c>
      <c r="L695" s="7" t="str">
        <f>IF(ISNA(MATCH(686,'Transfer Engine'!$C$2:$C$1199,0)),"",INDEX('Compliance Database'!$L$2:$L$1199,MATCH(686,'Transfer Engine'!$C$2:$C$1199,0)))</f>
        <v/>
      </c>
      <c r="M695" s="7" t="str">
        <f>IF(ISNA(MATCH(686,'Transfer Engine'!$C$2:$C$1199,0)),"",INDEX('Compliance Database'!$M$2:$M$1199,MATCH(686,'Transfer Engine'!$C$2:$C$1199,0)))</f>
        <v/>
      </c>
      <c r="N695" s="7" t="str">
        <f>IF(ISNA(MATCH(686,'Transfer Engine'!$C$2:$C$1199,0)),"",INDEX('Compliance Database'!$N$2:$N$1199,MATCH(686,'Transfer Engine'!$C$2:$C$1199,0)))</f>
        <v/>
      </c>
      <c r="O695" s="7" t="str">
        <f>IF(ISNA(MATCH(686,'Transfer Engine'!$C$2:$C$1199,0)),"",INDEX('Compliance Database'!$O$2:$O$1199,MATCH(686,'Transfer Engine'!$C$2:$C$1199,0)))</f>
        <v/>
      </c>
      <c r="P695" s="6" t="str">
        <f>IF(ISNA(MATCH(686,'Transfer Engine'!$C$2:$C$1199,0)),"",HYPERLINK("#Acts!A"&amp;INDEX('Compliance Database'!$P$2:$P$1199,MATCH(686,'Transfer Engine'!$C$2:$C$1199,0)),"Go to Act"))</f>
        <v/>
      </c>
    </row>
    <row r="696" spans="1:16" ht="172.95" customHeight="1" x14ac:dyDescent="0.3">
      <c r="A696" s="6" t="str">
        <f>IF(ISNA(MATCH(687,'Transfer Engine'!$C$2:$C$1199,0)),"",INDEX('Compliance Database'!$A$2:$A$1199,MATCH(687,'Transfer Engine'!$C$2:$C$1199,0)))</f>
        <v/>
      </c>
      <c r="B696" s="6" t="str">
        <f>IF(ISNA(MATCH(687,'Transfer Engine'!$C$2:$C$1199,0)),"",INDEX('Compliance Database'!$B$2:$B$1199,MATCH(687,'Transfer Engine'!$C$2:$C$1199,0)))</f>
        <v/>
      </c>
      <c r="C696" s="6" t="str">
        <f>IF(ISNA(MATCH(687,'Transfer Engine'!$C$2:$C$1199,0)),"",INDEX('Compliance Database'!$C$2:$C$1199,MATCH(687,'Transfer Engine'!$C$2:$C$1199,0)))</f>
        <v/>
      </c>
      <c r="D696" s="7" t="str">
        <f>IF(ISNA(MATCH(687,'Transfer Engine'!$C$2:$C$1199,0)),"",INDEX('Compliance Database'!$D$2:$D$1199,MATCH(687,'Transfer Engine'!$C$2:$C$1199,0)))</f>
        <v/>
      </c>
      <c r="E696" s="6" t="str">
        <f>IF(ISNA(MATCH(687,'Transfer Engine'!$C$2:$C$1199,0)),"",INDEX('Compliance Database'!$E$2:$E$1199,MATCH(687,'Transfer Engine'!$C$2:$C$1199,0)))</f>
        <v/>
      </c>
      <c r="F696" s="6" t="str">
        <f>IF(ISNA(MATCH(687,'Transfer Engine'!$C$2:$C$1199,0)),"",INDEX('Compliance Database'!$F$2:$F$1199,MATCH(687,'Transfer Engine'!$C$2:$C$1199,0)))</f>
        <v/>
      </c>
      <c r="G696" s="6" t="str">
        <f>IF(ISNA(MATCH(687,'Transfer Engine'!$C$2:$C$1199,0)),"",INDEX('Compliance Database'!$G$2:$G$1199,MATCH(687,'Transfer Engine'!$C$2:$C$1199,0)))</f>
        <v/>
      </c>
      <c r="H696" s="7" t="str">
        <f>IF(ISNA(MATCH(687,'Transfer Engine'!$C$2:$C$1199,0)),"",INDEX('Compliance Database'!$H$2:$H$1199,MATCH(687,'Transfer Engine'!$C$2:$C$1199,0)))</f>
        <v/>
      </c>
      <c r="I696" s="7" t="str">
        <f>IF(ISNA(MATCH(687,'Transfer Engine'!$C$2:$C$1199,0)),"",INDEX('Compliance Database'!$I$2:$I$1199,MATCH(687,'Transfer Engine'!$C$2:$C$1199,0)))</f>
        <v/>
      </c>
      <c r="J696" s="6" t="str">
        <f>IF(ISNA(MATCH(687,'Transfer Engine'!$C$2:$C$1199,0)),"",INDEX('Compliance Database'!$J$2:$J$1199,MATCH(687,'Transfer Engine'!$C$2:$C$1199,0)))</f>
        <v/>
      </c>
      <c r="K696" s="7" t="str">
        <f>IF(ISNA(MATCH(687,'Transfer Engine'!$C$2:$C$1199,0)),"",INDEX('Compliance Database'!$K$2:$K$1199,MATCH(687,'Transfer Engine'!$C$2:$C$1199,0)))</f>
        <v/>
      </c>
      <c r="L696" s="7" t="str">
        <f>IF(ISNA(MATCH(687,'Transfer Engine'!$C$2:$C$1199,0)),"",INDEX('Compliance Database'!$L$2:$L$1199,MATCH(687,'Transfer Engine'!$C$2:$C$1199,0)))</f>
        <v/>
      </c>
      <c r="M696" s="7" t="str">
        <f>IF(ISNA(MATCH(687,'Transfer Engine'!$C$2:$C$1199,0)),"",INDEX('Compliance Database'!$M$2:$M$1199,MATCH(687,'Transfer Engine'!$C$2:$C$1199,0)))</f>
        <v/>
      </c>
      <c r="N696" s="7" t="str">
        <f>IF(ISNA(MATCH(687,'Transfer Engine'!$C$2:$C$1199,0)),"",INDEX('Compliance Database'!$N$2:$N$1199,MATCH(687,'Transfer Engine'!$C$2:$C$1199,0)))</f>
        <v/>
      </c>
      <c r="O696" s="7" t="str">
        <f>IF(ISNA(MATCH(687,'Transfer Engine'!$C$2:$C$1199,0)),"",INDEX('Compliance Database'!$O$2:$O$1199,MATCH(687,'Transfer Engine'!$C$2:$C$1199,0)))</f>
        <v/>
      </c>
      <c r="P696" s="6" t="str">
        <f>IF(ISNA(MATCH(687,'Transfer Engine'!$C$2:$C$1199,0)),"",HYPERLINK("#Acts!A"&amp;INDEX('Compliance Database'!$P$2:$P$1199,MATCH(687,'Transfer Engine'!$C$2:$C$1199,0)),"Go to Act"))</f>
        <v/>
      </c>
    </row>
    <row r="697" spans="1:16" ht="172.95" customHeight="1" x14ac:dyDescent="0.3">
      <c r="A697" s="6" t="str">
        <f>IF(ISNA(MATCH(688,'Transfer Engine'!$C$2:$C$1199,0)),"",INDEX('Compliance Database'!$A$2:$A$1199,MATCH(688,'Transfer Engine'!$C$2:$C$1199,0)))</f>
        <v/>
      </c>
      <c r="B697" s="6" t="str">
        <f>IF(ISNA(MATCH(688,'Transfer Engine'!$C$2:$C$1199,0)),"",INDEX('Compliance Database'!$B$2:$B$1199,MATCH(688,'Transfer Engine'!$C$2:$C$1199,0)))</f>
        <v/>
      </c>
      <c r="C697" s="6" t="str">
        <f>IF(ISNA(MATCH(688,'Transfer Engine'!$C$2:$C$1199,0)),"",INDEX('Compliance Database'!$C$2:$C$1199,MATCH(688,'Transfer Engine'!$C$2:$C$1199,0)))</f>
        <v/>
      </c>
      <c r="D697" s="7" t="str">
        <f>IF(ISNA(MATCH(688,'Transfer Engine'!$C$2:$C$1199,0)),"",INDEX('Compliance Database'!$D$2:$D$1199,MATCH(688,'Transfer Engine'!$C$2:$C$1199,0)))</f>
        <v/>
      </c>
      <c r="E697" s="6" t="str">
        <f>IF(ISNA(MATCH(688,'Transfer Engine'!$C$2:$C$1199,0)),"",INDEX('Compliance Database'!$E$2:$E$1199,MATCH(688,'Transfer Engine'!$C$2:$C$1199,0)))</f>
        <v/>
      </c>
      <c r="F697" s="6" t="str">
        <f>IF(ISNA(MATCH(688,'Transfer Engine'!$C$2:$C$1199,0)),"",INDEX('Compliance Database'!$F$2:$F$1199,MATCH(688,'Transfer Engine'!$C$2:$C$1199,0)))</f>
        <v/>
      </c>
      <c r="G697" s="6" t="str">
        <f>IF(ISNA(MATCH(688,'Transfer Engine'!$C$2:$C$1199,0)),"",INDEX('Compliance Database'!$G$2:$G$1199,MATCH(688,'Transfer Engine'!$C$2:$C$1199,0)))</f>
        <v/>
      </c>
      <c r="H697" s="7" t="str">
        <f>IF(ISNA(MATCH(688,'Transfer Engine'!$C$2:$C$1199,0)),"",INDEX('Compliance Database'!$H$2:$H$1199,MATCH(688,'Transfer Engine'!$C$2:$C$1199,0)))</f>
        <v/>
      </c>
      <c r="I697" s="7" t="str">
        <f>IF(ISNA(MATCH(688,'Transfer Engine'!$C$2:$C$1199,0)),"",INDEX('Compliance Database'!$I$2:$I$1199,MATCH(688,'Transfer Engine'!$C$2:$C$1199,0)))</f>
        <v/>
      </c>
      <c r="J697" s="6" t="str">
        <f>IF(ISNA(MATCH(688,'Transfer Engine'!$C$2:$C$1199,0)),"",INDEX('Compliance Database'!$J$2:$J$1199,MATCH(688,'Transfer Engine'!$C$2:$C$1199,0)))</f>
        <v/>
      </c>
      <c r="K697" s="7" t="str">
        <f>IF(ISNA(MATCH(688,'Transfer Engine'!$C$2:$C$1199,0)),"",INDEX('Compliance Database'!$K$2:$K$1199,MATCH(688,'Transfer Engine'!$C$2:$C$1199,0)))</f>
        <v/>
      </c>
      <c r="L697" s="7" t="str">
        <f>IF(ISNA(MATCH(688,'Transfer Engine'!$C$2:$C$1199,0)),"",INDEX('Compliance Database'!$L$2:$L$1199,MATCH(688,'Transfer Engine'!$C$2:$C$1199,0)))</f>
        <v/>
      </c>
      <c r="M697" s="7" t="str">
        <f>IF(ISNA(MATCH(688,'Transfer Engine'!$C$2:$C$1199,0)),"",INDEX('Compliance Database'!$M$2:$M$1199,MATCH(688,'Transfer Engine'!$C$2:$C$1199,0)))</f>
        <v/>
      </c>
      <c r="N697" s="7" t="str">
        <f>IF(ISNA(MATCH(688,'Transfer Engine'!$C$2:$C$1199,0)),"",INDEX('Compliance Database'!$N$2:$N$1199,MATCH(688,'Transfer Engine'!$C$2:$C$1199,0)))</f>
        <v/>
      </c>
      <c r="O697" s="7" t="str">
        <f>IF(ISNA(MATCH(688,'Transfer Engine'!$C$2:$C$1199,0)),"",INDEX('Compliance Database'!$O$2:$O$1199,MATCH(688,'Transfer Engine'!$C$2:$C$1199,0)))</f>
        <v/>
      </c>
      <c r="P697" s="6" t="str">
        <f>IF(ISNA(MATCH(688,'Transfer Engine'!$C$2:$C$1199,0)),"",HYPERLINK("#Acts!A"&amp;INDEX('Compliance Database'!$P$2:$P$1199,MATCH(688,'Transfer Engine'!$C$2:$C$1199,0)),"Go to Act"))</f>
        <v/>
      </c>
    </row>
    <row r="698" spans="1:16" ht="172.95" customHeight="1" x14ac:dyDescent="0.3">
      <c r="A698" s="6" t="str">
        <f>IF(ISNA(MATCH(689,'Transfer Engine'!$C$2:$C$1199,0)),"",INDEX('Compliance Database'!$A$2:$A$1199,MATCH(689,'Transfer Engine'!$C$2:$C$1199,0)))</f>
        <v/>
      </c>
      <c r="B698" s="6" t="str">
        <f>IF(ISNA(MATCH(689,'Transfer Engine'!$C$2:$C$1199,0)),"",INDEX('Compliance Database'!$B$2:$B$1199,MATCH(689,'Transfer Engine'!$C$2:$C$1199,0)))</f>
        <v/>
      </c>
      <c r="C698" s="6" t="str">
        <f>IF(ISNA(MATCH(689,'Transfer Engine'!$C$2:$C$1199,0)),"",INDEX('Compliance Database'!$C$2:$C$1199,MATCH(689,'Transfer Engine'!$C$2:$C$1199,0)))</f>
        <v/>
      </c>
      <c r="D698" s="7" t="str">
        <f>IF(ISNA(MATCH(689,'Transfer Engine'!$C$2:$C$1199,0)),"",INDEX('Compliance Database'!$D$2:$D$1199,MATCH(689,'Transfer Engine'!$C$2:$C$1199,0)))</f>
        <v/>
      </c>
      <c r="E698" s="6" t="str">
        <f>IF(ISNA(MATCH(689,'Transfer Engine'!$C$2:$C$1199,0)),"",INDEX('Compliance Database'!$E$2:$E$1199,MATCH(689,'Transfer Engine'!$C$2:$C$1199,0)))</f>
        <v/>
      </c>
      <c r="F698" s="6" t="str">
        <f>IF(ISNA(MATCH(689,'Transfer Engine'!$C$2:$C$1199,0)),"",INDEX('Compliance Database'!$F$2:$F$1199,MATCH(689,'Transfer Engine'!$C$2:$C$1199,0)))</f>
        <v/>
      </c>
      <c r="G698" s="6" t="str">
        <f>IF(ISNA(MATCH(689,'Transfer Engine'!$C$2:$C$1199,0)),"",INDEX('Compliance Database'!$G$2:$G$1199,MATCH(689,'Transfer Engine'!$C$2:$C$1199,0)))</f>
        <v/>
      </c>
      <c r="H698" s="7" t="str">
        <f>IF(ISNA(MATCH(689,'Transfer Engine'!$C$2:$C$1199,0)),"",INDEX('Compliance Database'!$H$2:$H$1199,MATCH(689,'Transfer Engine'!$C$2:$C$1199,0)))</f>
        <v/>
      </c>
      <c r="I698" s="7" t="str">
        <f>IF(ISNA(MATCH(689,'Transfer Engine'!$C$2:$C$1199,0)),"",INDEX('Compliance Database'!$I$2:$I$1199,MATCH(689,'Transfer Engine'!$C$2:$C$1199,0)))</f>
        <v/>
      </c>
      <c r="J698" s="6" t="str">
        <f>IF(ISNA(MATCH(689,'Transfer Engine'!$C$2:$C$1199,0)),"",INDEX('Compliance Database'!$J$2:$J$1199,MATCH(689,'Transfer Engine'!$C$2:$C$1199,0)))</f>
        <v/>
      </c>
      <c r="K698" s="7" t="str">
        <f>IF(ISNA(MATCH(689,'Transfer Engine'!$C$2:$C$1199,0)),"",INDEX('Compliance Database'!$K$2:$K$1199,MATCH(689,'Transfer Engine'!$C$2:$C$1199,0)))</f>
        <v/>
      </c>
      <c r="L698" s="7" t="str">
        <f>IF(ISNA(MATCH(689,'Transfer Engine'!$C$2:$C$1199,0)),"",INDEX('Compliance Database'!$L$2:$L$1199,MATCH(689,'Transfer Engine'!$C$2:$C$1199,0)))</f>
        <v/>
      </c>
      <c r="M698" s="7" t="str">
        <f>IF(ISNA(MATCH(689,'Transfer Engine'!$C$2:$C$1199,0)),"",INDEX('Compliance Database'!$M$2:$M$1199,MATCH(689,'Transfer Engine'!$C$2:$C$1199,0)))</f>
        <v/>
      </c>
      <c r="N698" s="7" t="str">
        <f>IF(ISNA(MATCH(689,'Transfer Engine'!$C$2:$C$1199,0)),"",INDEX('Compliance Database'!$N$2:$N$1199,MATCH(689,'Transfer Engine'!$C$2:$C$1199,0)))</f>
        <v/>
      </c>
      <c r="O698" s="7" t="str">
        <f>IF(ISNA(MATCH(689,'Transfer Engine'!$C$2:$C$1199,0)),"",INDEX('Compliance Database'!$O$2:$O$1199,MATCH(689,'Transfer Engine'!$C$2:$C$1199,0)))</f>
        <v/>
      </c>
      <c r="P698" s="6" t="str">
        <f>IF(ISNA(MATCH(689,'Transfer Engine'!$C$2:$C$1199,0)),"",HYPERLINK("#Acts!A"&amp;INDEX('Compliance Database'!$P$2:$P$1199,MATCH(689,'Transfer Engine'!$C$2:$C$1199,0)),"Go to Act"))</f>
        <v/>
      </c>
    </row>
    <row r="699" spans="1:16" ht="172.95" customHeight="1" x14ac:dyDescent="0.3">
      <c r="A699" s="6" t="str">
        <f>IF(ISNA(MATCH(690,'Transfer Engine'!$C$2:$C$1199,0)),"",INDEX('Compliance Database'!$A$2:$A$1199,MATCH(690,'Transfer Engine'!$C$2:$C$1199,0)))</f>
        <v/>
      </c>
      <c r="B699" s="6" t="str">
        <f>IF(ISNA(MATCH(690,'Transfer Engine'!$C$2:$C$1199,0)),"",INDEX('Compliance Database'!$B$2:$B$1199,MATCH(690,'Transfer Engine'!$C$2:$C$1199,0)))</f>
        <v/>
      </c>
      <c r="C699" s="6" t="str">
        <f>IF(ISNA(MATCH(690,'Transfer Engine'!$C$2:$C$1199,0)),"",INDEX('Compliance Database'!$C$2:$C$1199,MATCH(690,'Transfer Engine'!$C$2:$C$1199,0)))</f>
        <v/>
      </c>
      <c r="D699" s="7" t="str">
        <f>IF(ISNA(MATCH(690,'Transfer Engine'!$C$2:$C$1199,0)),"",INDEX('Compliance Database'!$D$2:$D$1199,MATCH(690,'Transfer Engine'!$C$2:$C$1199,0)))</f>
        <v/>
      </c>
      <c r="E699" s="6" t="str">
        <f>IF(ISNA(MATCH(690,'Transfer Engine'!$C$2:$C$1199,0)),"",INDEX('Compliance Database'!$E$2:$E$1199,MATCH(690,'Transfer Engine'!$C$2:$C$1199,0)))</f>
        <v/>
      </c>
      <c r="F699" s="6" t="str">
        <f>IF(ISNA(MATCH(690,'Transfer Engine'!$C$2:$C$1199,0)),"",INDEX('Compliance Database'!$F$2:$F$1199,MATCH(690,'Transfer Engine'!$C$2:$C$1199,0)))</f>
        <v/>
      </c>
      <c r="G699" s="6" t="str">
        <f>IF(ISNA(MATCH(690,'Transfer Engine'!$C$2:$C$1199,0)),"",INDEX('Compliance Database'!$G$2:$G$1199,MATCH(690,'Transfer Engine'!$C$2:$C$1199,0)))</f>
        <v/>
      </c>
      <c r="H699" s="7" t="str">
        <f>IF(ISNA(MATCH(690,'Transfer Engine'!$C$2:$C$1199,0)),"",INDEX('Compliance Database'!$H$2:$H$1199,MATCH(690,'Transfer Engine'!$C$2:$C$1199,0)))</f>
        <v/>
      </c>
      <c r="I699" s="7" t="str">
        <f>IF(ISNA(MATCH(690,'Transfer Engine'!$C$2:$C$1199,0)),"",INDEX('Compliance Database'!$I$2:$I$1199,MATCH(690,'Transfer Engine'!$C$2:$C$1199,0)))</f>
        <v/>
      </c>
      <c r="J699" s="6" t="str">
        <f>IF(ISNA(MATCH(690,'Transfer Engine'!$C$2:$C$1199,0)),"",INDEX('Compliance Database'!$J$2:$J$1199,MATCH(690,'Transfer Engine'!$C$2:$C$1199,0)))</f>
        <v/>
      </c>
      <c r="K699" s="7" t="str">
        <f>IF(ISNA(MATCH(690,'Transfer Engine'!$C$2:$C$1199,0)),"",INDEX('Compliance Database'!$K$2:$K$1199,MATCH(690,'Transfer Engine'!$C$2:$C$1199,0)))</f>
        <v/>
      </c>
      <c r="L699" s="7" t="str">
        <f>IF(ISNA(MATCH(690,'Transfer Engine'!$C$2:$C$1199,0)),"",INDEX('Compliance Database'!$L$2:$L$1199,MATCH(690,'Transfer Engine'!$C$2:$C$1199,0)))</f>
        <v/>
      </c>
      <c r="M699" s="7" t="str">
        <f>IF(ISNA(MATCH(690,'Transfer Engine'!$C$2:$C$1199,0)),"",INDEX('Compliance Database'!$M$2:$M$1199,MATCH(690,'Transfer Engine'!$C$2:$C$1199,0)))</f>
        <v/>
      </c>
      <c r="N699" s="7" t="str">
        <f>IF(ISNA(MATCH(690,'Transfer Engine'!$C$2:$C$1199,0)),"",INDEX('Compliance Database'!$N$2:$N$1199,MATCH(690,'Transfer Engine'!$C$2:$C$1199,0)))</f>
        <v/>
      </c>
      <c r="O699" s="7" t="str">
        <f>IF(ISNA(MATCH(690,'Transfer Engine'!$C$2:$C$1199,0)),"",INDEX('Compliance Database'!$O$2:$O$1199,MATCH(690,'Transfer Engine'!$C$2:$C$1199,0)))</f>
        <v/>
      </c>
      <c r="P699" s="6" t="str">
        <f>IF(ISNA(MATCH(690,'Transfer Engine'!$C$2:$C$1199,0)),"",HYPERLINK("#Acts!A"&amp;INDEX('Compliance Database'!$P$2:$P$1199,MATCH(690,'Transfer Engine'!$C$2:$C$1199,0)),"Go to Act"))</f>
        <v/>
      </c>
    </row>
    <row r="700" spans="1:16" ht="172.95" customHeight="1" x14ac:dyDescent="0.3">
      <c r="A700" s="6" t="str">
        <f>IF(ISNA(MATCH(691,'Transfer Engine'!$C$2:$C$1199,0)),"",INDEX('Compliance Database'!$A$2:$A$1199,MATCH(691,'Transfer Engine'!$C$2:$C$1199,0)))</f>
        <v/>
      </c>
      <c r="B700" s="6" t="str">
        <f>IF(ISNA(MATCH(691,'Transfer Engine'!$C$2:$C$1199,0)),"",INDEX('Compliance Database'!$B$2:$B$1199,MATCH(691,'Transfer Engine'!$C$2:$C$1199,0)))</f>
        <v/>
      </c>
      <c r="C700" s="6" t="str">
        <f>IF(ISNA(MATCH(691,'Transfer Engine'!$C$2:$C$1199,0)),"",INDEX('Compliance Database'!$C$2:$C$1199,MATCH(691,'Transfer Engine'!$C$2:$C$1199,0)))</f>
        <v/>
      </c>
      <c r="D700" s="7" t="str">
        <f>IF(ISNA(MATCH(691,'Transfer Engine'!$C$2:$C$1199,0)),"",INDEX('Compliance Database'!$D$2:$D$1199,MATCH(691,'Transfer Engine'!$C$2:$C$1199,0)))</f>
        <v/>
      </c>
      <c r="E700" s="6" t="str">
        <f>IF(ISNA(MATCH(691,'Transfer Engine'!$C$2:$C$1199,0)),"",INDEX('Compliance Database'!$E$2:$E$1199,MATCH(691,'Transfer Engine'!$C$2:$C$1199,0)))</f>
        <v/>
      </c>
      <c r="F700" s="6" t="str">
        <f>IF(ISNA(MATCH(691,'Transfer Engine'!$C$2:$C$1199,0)),"",INDEX('Compliance Database'!$F$2:$F$1199,MATCH(691,'Transfer Engine'!$C$2:$C$1199,0)))</f>
        <v/>
      </c>
      <c r="G700" s="6" t="str">
        <f>IF(ISNA(MATCH(691,'Transfer Engine'!$C$2:$C$1199,0)),"",INDEX('Compliance Database'!$G$2:$G$1199,MATCH(691,'Transfer Engine'!$C$2:$C$1199,0)))</f>
        <v/>
      </c>
      <c r="H700" s="7" t="str">
        <f>IF(ISNA(MATCH(691,'Transfer Engine'!$C$2:$C$1199,0)),"",INDEX('Compliance Database'!$H$2:$H$1199,MATCH(691,'Transfer Engine'!$C$2:$C$1199,0)))</f>
        <v/>
      </c>
      <c r="I700" s="7" t="str">
        <f>IF(ISNA(MATCH(691,'Transfer Engine'!$C$2:$C$1199,0)),"",INDEX('Compliance Database'!$I$2:$I$1199,MATCH(691,'Transfer Engine'!$C$2:$C$1199,0)))</f>
        <v/>
      </c>
      <c r="J700" s="6" t="str">
        <f>IF(ISNA(MATCH(691,'Transfer Engine'!$C$2:$C$1199,0)),"",INDEX('Compliance Database'!$J$2:$J$1199,MATCH(691,'Transfer Engine'!$C$2:$C$1199,0)))</f>
        <v/>
      </c>
      <c r="K700" s="7" t="str">
        <f>IF(ISNA(MATCH(691,'Transfer Engine'!$C$2:$C$1199,0)),"",INDEX('Compliance Database'!$K$2:$K$1199,MATCH(691,'Transfer Engine'!$C$2:$C$1199,0)))</f>
        <v/>
      </c>
      <c r="L700" s="7" t="str">
        <f>IF(ISNA(MATCH(691,'Transfer Engine'!$C$2:$C$1199,0)),"",INDEX('Compliance Database'!$L$2:$L$1199,MATCH(691,'Transfer Engine'!$C$2:$C$1199,0)))</f>
        <v/>
      </c>
      <c r="M700" s="7" t="str">
        <f>IF(ISNA(MATCH(691,'Transfer Engine'!$C$2:$C$1199,0)),"",INDEX('Compliance Database'!$M$2:$M$1199,MATCH(691,'Transfer Engine'!$C$2:$C$1199,0)))</f>
        <v/>
      </c>
      <c r="N700" s="7" t="str">
        <f>IF(ISNA(MATCH(691,'Transfer Engine'!$C$2:$C$1199,0)),"",INDEX('Compliance Database'!$N$2:$N$1199,MATCH(691,'Transfer Engine'!$C$2:$C$1199,0)))</f>
        <v/>
      </c>
      <c r="O700" s="7" t="str">
        <f>IF(ISNA(MATCH(691,'Transfer Engine'!$C$2:$C$1199,0)),"",INDEX('Compliance Database'!$O$2:$O$1199,MATCH(691,'Transfer Engine'!$C$2:$C$1199,0)))</f>
        <v/>
      </c>
      <c r="P700" s="6" t="str">
        <f>IF(ISNA(MATCH(691,'Transfer Engine'!$C$2:$C$1199,0)),"",HYPERLINK("#Acts!A"&amp;INDEX('Compliance Database'!$P$2:$P$1199,MATCH(691,'Transfer Engine'!$C$2:$C$1199,0)),"Go to Act"))</f>
        <v/>
      </c>
    </row>
    <row r="701" spans="1:16" ht="172.95" customHeight="1" x14ac:dyDescent="0.3">
      <c r="A701" s="6" t="str">
        <f>IF(ISNA(MATCH(692,'Transfer Engine'!$C$2:$C$1199,0)),"",INDEX('Compliance Database'!$A$2:$A$1199,MATCH(692,'Transfer Engine'!$C$2:$C$1199,0)))</f>
        <v/>
      </c>
      <c r="B701" s="6" t="str">
        <f>IF(ISNA(MATCH(692,'Transfer Engine'!$C$2:$C$1199,0)),"",INDEX('Compliance Database'!$B$2:$B$1199,MATCH(692,'Transfer Engine'!$C$2:$C$1199,0)))</f>
        <v/>
      </c>
      <c r="C701" s="6" t="str">
        <f>IF(ISNA(MATCH(692,'Transfer Engine'!$C$2:$C$1199,0)),"",INDEX('Compliance Database'!$C$2:$C$1199,MATCH(692,'Transfer Engine'!$C$2:$C$1199,0)))</f>
        <v/>
      </c>
      <c r="D701" s="7" t="str">
        <f>IF(ISNA(MATCH(692,'Transfer Engine'!$C$2:$C$1199,0)),"",INDEX('Compliance Database'!$D$2:$D$1199,MATCH(692,'Transfer Engine'!$C$2:$C$1199,0)))</f>
        <v/>
      </c>
      <c r="E701" s="6" t="str">
        <f>IF(ISNA(MATCH(692,'Transfer Engine'!$C$2:$C$1199,0)),"",INDEX('Compliance Database'!$E$2:$E$1199,MATCH(692,'Transfer Engine'!$C$2:$C$1199,0)))</f>
        <v/>
      </c>
      <c r="F701" s="6" t="str">
        <f>IF(ISNA(MATCH(692,'Transfer Engine'!$C$2:$C$1199,0)),"",INDEX('Compliance Database'!$F$2:$F$1199,MATCH(692,'Transfer Engine'!$C$2:$C$1199,0)))</f>
        <v/>
      </c>
      <c r="G701" s="6" t="str">
        <f>IF(ISNA(MATCH(692,'Transfer Engine'!$C$2:$C$1199,0)),"",INDEX('Compliance Database'!$G$2:$G$1199,MATCH(692,'Transfer Engine'!$C$2:$C$1199,0)))</f>
        <v/>
      </c>
      <c r="H701" s="7" t="str">
        <f>IF(ISNA(MATCH(692,'Transfer Engine'!$C$2:$C$1199,0)),"",INDEX('Compliance Database'!$H$2:$H$1199,MATCH(692,'Transfer Engine'!$C$2:$C$1199,0)))</f>
        <v/>
      </c>
      <c r="I701" s="7" t="str">
        <f>IF(ISNA(MATCH(692,'Transfer Engine'!$C$2:$C$1199,0)),"",INDEX('Compliance Database'!$I$2:$I$1199,MATCH(692,'Transfer Engine'!$C$2:$C$1199,0)))</f>
        <v/>
      </c>
      <c r="J701" s="6" t="str">
        <f>IF(ISNA(MATCH(692,'Transfer Engine'!$C$2:$C$1199,0)),"",INDEX('Compliance Database'!$J$2:$J$1199,MATCH(692,'Transfer Engine'!$C$2:$C$1199,0)))</f>
        <v/>
      </c>
      <c r="K701" s="7" t="str">
        <f>IF(ISNA(MATCH(692,'Transfer Engine'!$C$2:$C$1199,0)),"",INDEX('Compliance Database'!$K$2:$K$1199,MATCH(692,'Transfer Engine'!$C$2:$C$1199,0)))</f>
        <v/>
      </c>
      <c r="L701" s="7" t="str">
        <f>IF(ISNA(MATCH(692,'Transfer Engine'!$C$2:$C$1199,0)),"",INDEX('Compliance Database'!$L$2:$L$1199,MATCH(692,'Transfer Engine'!$C$2:$C$1199,0)))</f>
        <v/>
      </c>
      <c r="M701" s="7" t="str">
        <f>IF(ISNA(MATCH(692,'Transfer Engine'!$C$2:$C$1199,0)),"",INDEX('Compliance Database'!$M$2:$M$1199,MATCH(692,'Transfer Engine'!$C$2:$C$1199,0)))</f>
        <v/>
      </c>
      <c r="N701" s="7" t="str">
        <f>IF(ISNA(MATCH(692,'Transfer Engine'!$C$2:$C$1199,0)),"",INDEX('Compliance Database'!$N$2:$N$1199,MATCH(692,'Transfer Engine'!$C$2:$C$1199,0)))</f>
        <v/>
      </c>
      <c r="O701" s="7" t="str">
        <f>IF(ISNA(MATCH(692,'Transfer Engine'!$C$2:$C$1199,0)),"",INDEX('Compliance Database'!$O$2:$O$1199,MATCH(692,'Transfer Engine'!$C$2:$C$1199,0)))</f>
        <v/>
      </c>
      <c r="P701" s="6" t="str">
        <f>IF(ISNA(MATCH(692,'Transfer Engine'!$C$2:$C$1199,0)),"",HYPERLINK("#Acts!A"&amp;INDEX('Compliance Database'!$P$2:$P$1199,MATCH(692,'Transfer Engine'!$C$2:$C$1199,0)),"Go to Act"))</f>
        <v/>
      </c>
    </row>
    <row r="702" spans="1:16" ht="172.95" customHeight="1" x14ac:dyDescent="0.3">
      <c r="A702" s="6" t="str">
        <f>IF(ISNA(MATCH(693,'Transfer Engine'!$C$2:$C$1199,0)),"",INDEX('Compliance Database'!$A$2:$A$1199,MATCH(693,'Transfer Engine'!$C$2:$C$1199,0)))</f>
        <v/>
      </c>
      <c r="B702" s="6" t="str">
        <f>IF(ISNA(MATCH(693,'Transfer Engine'!$C$2:$C$1199,0)),"",INDEX('Compliance Database'!$B$2:$B$1199,MATCH(693,'Transfer Engine'!$C$2:$C$1199,0)))</f>
        <v/>
      </c>
      <c r="C702" s="6" t="str">
        <f>IF(ISNA(MATCH(693,'Transfer Engine'!$C$2:$C$1199,0)),"",INDEX('Compliance Database'!$C$2:$C$1199,MATCH(693,'Transfer Engine'!$C$2:$C$1199,0)))</f>
        <v/>
      </c>
      <c r="D702" s="7" t="str">
        <f>IF(ISNA(MATCH(693,'Transfer Engine'!$C$2:$C$1199,0)),"",INDEX('Compliance Database'!$D$2:$D$1199,MATCH(693,'Transfer Engine'!$C$2:$C$1199,0)))</f>
        <v/>
      </c>
      <c r="E702" s="6" t="str">
        <f>IF(ISNA(MATCH(693,'Transfer Engine'!$C$2:$C$1199,0)),"",INDEX('Compliance Database'!$E$2:$E$1199,MATCH(693,'Transfer Engine'!$C$2:$C$1199,0)))</f>
        <v/>
      </c>
      <c r="F702" s="6" t="str">
        <f>IF(ISNA(MATCH(693,'Transfer Engine'!$C$2:$C$1199,0)),"",INDEX('Compliance Database'!$F$2:$F$1199,MATCH(693,'Transfer Engine'!$C$2:$C$1199,0)))</f>
        <v/>
      </c>
      <c r="G702" s="6" t="str">
        <f>IF(ISNA(MATCH(693,'Transfer Engine'!$C$2:$C$1199,0)),"",INDEX('Compliance Database'!$G$2:$G$1199,MATCH(693,'Transfer Engine'!$C$2:$C$1199,0)))</f>
        <v/>
      </c>
      <c r="H702" s="7" t="str">
        <f>IF(ISNA(MATCH(693,'Transfer Engine'!$C$2:$C$1199,0)),"",INDEX('Compliance Database'!$H$2:$H$1199,MATCH(693,'Transfer Engine'!$C$2:$C$1199,0)))</f>
        <v/>
      </c>
      <c r="I702" s="7" t="str">
        <f>IF(ISNA(MATCH(693,'Transfer Engine'!$C$2:$C$1199,0)),"",INDEX('Compliance Database'!$I$2:$I$1199,MATCH(693,'Transfer Engine'!$C$2:$C$1199,0)))</f>
        <v/>
      </c>
      <c r="J702" s="6" t="str">
        <f>IF(ISNA(MATCH(693,'Transfer Engine'!$C$2:$C$1199,0)),"",INDEX('Compliance Database'!$J$2:$J$1199,MATCH(693,'Transfer Engine'!$C$2:$C$1199,0)))</f>
        <v/>
      </c>
      <c r="K702" s="7" t="str">
        <f>IF(ISNA(MATCH(693,'Transfer Engine'!$C$2:$C$1199,0)),"",INDEX('Compliance Database'!$K$2:$K$1199,MATCH(693,'Transfer Engine'!$C$2:$C$1199,0)))</f>
        <v/>
      </c>
      <c r="L702" s="7" t="str">
        <f>IF(ISNA(MATCH(693,'Transfer Engine'!$C$2:$C$1199,0)),"",INDEX('Compliance Database'!$L$2:$L$1199,MATCH(693,'Transfer Engine'!$C$2:$C$1199,0)))</f>
        <v/>
      </c>
      <c r="M702" s="7" t="str">
        <f>IF(ISNA(MATCH(693,'Transfer Engine'!$C$2:$C$1199,0)),"",INDEX('Compliance Database'!$M$2:$M$1199,MATCH(693,'Transfer Engine'!$C$2:$C$1199,0)))</f>
        <v/>
      </c>
      <c r="N702" s="7" t="str">
        <f>IF(ISNA(MATCH(693,'Transfer Engine'!$C$2:$C$1199,0)),"",INDEX('Compliance Database'!$N$2:$N$1199,MATCH(693,'Transfer Engine'!$C$2:$C$1199,0)))</f>
        <v/>
      </c>
      <c r="O702" s="7" t="str">
        <f>IF(ISNA(MATCH(693,'Transfer Engine'!$C$2:$C$1199,0)),"",INDEX('Compliance Database'!$O$2:$O$1199,MATCH(693,'Transfer Engine'!$C$2:$C$1199,0)))</f>
        <v/>
      </c>
      <c r="P702" s="6" t="str">
        <f>IF(ISNA(MATCH(693,'Transfer Engine'!$C$2:$C$1199,0)),"",HYPERLINK("#Acts!A"&amp;INDEX('Compliance Database'!$P$2:$P$1199,MATCH(693,'Transfer Engine'!$C$2:$C$1199,0)),"Go to Act"))</f>
        <v/>
      </c>
    </row>
    <row r="703" spans="1:16" ht="172.95" customHeight="1" x14ac:dyDescent="0.3">
      <c r="A703" s="6" t="str">
        <f>IF(ISNA(MATCH(694,'Transfer Engine'!$C$2:$C$1199,0)),"",INDEX('Compliance Database'!$A$2:$A$1199,MATCH(694,'Transfer Engine'!$C$2:$C$1199,0)))</f>
        <v/>
      </c>
      <c r="B703" s="6" t="str">
        <f>IF(ISNA(MATCH(694,'Transfer Engine'!$C$2:$C$1199,0)),"",INDEX('Compliance Database'!$B$2:$B$1199,MATCH(694,'Transfer Engine'!$C$2:$C$1199,0)))</f>
        <v/>
      </c>
      <c r="C703" s="6" t="str">
        <f>IF(ISNA(MATCH(694,'Transfer Engine'!$C$2:$C$1199,0)),"",INDEX('Compliance Database'!$C$2:$C$1199,MATCH(694,'Transfer Engine'!$C$2:$C$1199,0)))</f>
        <v/>
      </c>
      <c r="D703" s="7" t="str">
        <f>IF(ISNA(MATCH(694,'Transfer Engine'!$C$2:$C$1199,0)),"",INDEX('Compliance Database'!$D$2:$D$1199,MATCH(694,'Transfer Engine'!$C$2:$C$1199,0)))</f>
        <v/>
      </c>
      <c r="E703" s="6" t="str">
        <f>IF(ISNA(MATCH(694,'Transfer Engine'!$C$2:$C$1199,0)),"",INDEX('Compliance Database'!$E$2:$E$1199,MATCH(694,'Transfer Engine'!$C$2:$C$1199,0)))</f>
        <v/>
      </c>
      <c r="F703" s="6" t="str">
        <f>IF(ISNA(MATCH(694,'Transfer Engine'!$C$2:$C$1199,0)),"",INDEX('Compliance Database'!$F$2:$F$1199,MATCH(694,'Transfer Engine'!$C$2:$C$1199,0)))</f>
        <v/>
      </c>
      <c r="G703" s="6" t="str">
        <f>IF(ISNA(MATCH(694,'Transfer Engine'!$C$2:$C$1199,0)),"",INDEX('Compliance Database'!$G$2:$G$1199,MATCH(694,'Transfer Engine'!$C$2:$C$1199,0)))</f>
        <v/>
      </c>
      <c r="H703" s="7" t="str">
        <f>IF(ISNA(MATCH(694,'Transfer Engine'!$C$2:$C$1199,0)),"",INDEX('Compliance Database'!$H$2:$H$1199,MATCH(694,'Transfer Engine'!$C$2:$C$1199,0)))</f>
        <v/>
      </c>
      <c r="I703" s="7" t="str">
        <f>IF(ISNA(MATCH(694,'Transfer Engine'!$C$2:$C$1199,0)),"",INDEX('Compliance Database'!$I$2:$I$1199,MATCH(694,'Transfer Engine'!$C$2:$C$1199,0)))</f>
        <v/>
      </c>
      <c r="J703" s="6" t="str">
        <f>IF(ISNA(MATCH(694,'Transfer Engine'!$C$2:$C$1199,0)),"",INDEX('Compliance Database'!$J$2:$J$1199,MATCH(694,'Transfer Engine'!$C$2:$C$1199,0)))</f>
        <v/>
      </c>
      <c r="K703" s="7" t="str">
        <f>IF(ISNA(MATCH(694,'Transfer Engine'!$C$2:$C$1199,0)),"",INDEX('Compliance Database'!$K$2:$K$1199,MATCH(694,'Transfer Engine'!$C$2:$C$1199,0)))</f>
        <v/>
      </c>
      <c r="L703" s="7" t="str">
        <f>IF(ISNA(MATCH(694,'Transfer Engine'!$C$2:$C$1199,0)),"",INDEX('Compliance Database'!$L$2:$L$1199,MATCH(694,'Transfer Engine'!$C$2:$C$1199,0)))</f>
        <v/>
      </c>
      <c r="M703" s="7" t="str">
        <f>IF(ISNA(MATCH(694,'Transfer Engine'!$C$2:$C$1199,0)),"",INDEX('Compliance Database'!$M$2:$M$1199,MATCH(694,'Transfer Engine'!$C$2:$C$1199,0)))</f>
        <v/>
      </c>
      <c r="N703" s="7" t="str">
        <f>IF(ISNA(MATCH(694,'Transfer Engine'!$C$2:$C$1199,0)),"",INDEX('Compliance Database'!$N$2:$N$1199,MATCH(694,'Transfer Engine'!$C$2:$C$1199,0)))</f>
        <v/>
      </c>
      <c r="O703" s="7" t="str">
        <f>IF(ISNA(MATCH(694,'Transfer Engine'!$C$2:$C$1199,0)),"",INDEX('Compliance Database'!$O$2:$O$1199,MATCH(694,'Transfer Engine'!$C$2:$C$1199,0)))</f>
        <v/>
      </c>
      <c r="P703" s="6" t="str">
        <f>IF(ISNA(MATCH(694,'Transfer Engine'!$C$2:$C$1199,0)),"",HYPERLINK("#Acts!A"&amp;INDEX('Compliance Database'!$P$2:$P$1199,MATCH(694,'Transfer Engine'!$C$2:$C$1199,0)),"Go to Act"))</f>
        <v/>
      </c>
    </row>
    <row r="704" spans="1:16" ht="172.95" customHeight="1" x14ac:dyDescent="0.3">
      <c r="A704" s="6" t="str">
        <f>IF(ISNA(MATCH(695,'Transfer Engine'!$C$2:$C$1199,0)),"",INDEX('Compliance Database'!$A$2:$A$1199,MATCH(695,'Transfer Engine'!$C$2:$C$1199,0)))</f>
        <v/>
      </c>
      <c r="B704" s="6" t="str">
        <f>IF(ISNA(MATCH(695,'Transfer Engine'!$C$2:$C$1199,0)),"",INDEX('Compliance Database'!$B$2:$B$1199,MATCH(695,'Transfer Engine'!$C$2:$C$1199,0)))</f>
        <v/>
      </c>
      <c r="C704" s="6" t="str">
        <f>IF(ISNA(MATCH(695,'Transfer Engine'!$C$2:$C$1199,0)),"",INDEX('Compliance Database'!$C$2:$C$1199,MATCH(695,'Transfer Engine'!$C$2:$C$1199,0)))</f>
        <v/>
      </c>
      <c r="D704" s="7" t="str">
        <f>IF(ISNA(MATCH(695,'Transfer Engine'!$C$2:$C$1199,0)),"",INDEX('Compliance Database'!$D$2:$D$1199,MATCH(695,'Transfer Engine'!$C$2:$C$1199,0)))</f>
        <v/>
      </c>
      <c r="E704" s="6" t="str">
        <f>IF(ISNA(MATCH(695,'Transfer Engine'!$C$2:$C$1199,0)),"",INDEX('Compliance Database'!$E$2:$E$1199,MATCH(695,'Transfer Engine'!$C$2:$C$1199,0)))</f>
        <v/>
      </c>
      <c r="F704" s="6" t="str">
        <f>IF(ISNA(MATCH(695,'Transfer Engine'!$C$2:$C$1199,0)),"",INDEX('Compliance Database'!$F$2:$F$1199,MATCH(695,'Transfer Engine'!$C$2:$C$1199,0)))</f>
        <v/>
      </c>
      <c r="G704" s="6" t="str">
        <f>IF(ISNA(MATCH(695,'Transfer Engine'!$C$2:$C$1199,0)),"",INDEX('Compliance Database'!$G$2:$G$1199,MATCH(695,'Transfer Engine'!$C$2:$C$1199,0)))</f>
        <v/>
      </c>
      <c r="H704" s="7" t="str">
        <f>IF(ISNA(MATCH(695,'Transfer Engine'!$C$2:$C$1199,0)),"",INDEX('Compliance Database'!$H$2:$H$1199,MATCH(695,'Transfer Engine'!$C$2:$C$1199,0)))</f>
        <v/>
      </c>
      <c r="I704" s="7" t="str">
        <f>IF(ISNA(MATCH(695,'Transfer Engine'!$C$2:$C$1199,0)),"",INDEX('Compliance Database'!$I$2:$I$1199,MATCH(695,'Transfer Engine'!$C$2:$C$1199,0)))</f>
        <v/>
      </c>
      <c r="J704" s="6" t="str">
        <f>IF(ISNA(MATCH(695,'Transfer Engine'!$C$2:$C$1199,0)),"",INDEX('Compliance Database'!$J$2:$J$1199,MATCH(695,'Transfer Engine'!$C$2:$C$1199,0)))</f>
        <v/>
      </c>
      <c r="K704" s="7" t="str">
        <f>IF(ISNA(MATCH(695,'Transfer Engine'!$C$2:$C$1199,0)),"",INDEX('Compliance Database'!$K$2:$K$1199,MATCH(695,'Transfer Engine'!$C$2:$C$1199,0)))</f>
        <v/>
      </c>
      <c r="L704" s="7" t="str">
        <f>IF(ISNA(MATCH(695,'Transfer Engine'!$C$2:$C$1199,0)),"",INDEX('Compliance Database'!$L$2:$L$1199,MATCH(695,'Transfer Engine'!$C$2:$C$1199,0)))</f>
        <v/>
      </c>
      <c r="M704" s="7" t="str">
        <f>IF(ISNA(MATCH(695,'Transfer Engine'!$C$2:$C$1199,0)),"",INDEX('Compliance Database'!$M$2:$M$1199,MATCH(695,'Transfer Engine'!$C$2:$C$1199,0)))</f>
        <v/>
      </c>
      <c r="N704" s="7" t="str">
        <f>IF(ISNA(MATCH(695,'Transfer Engine'!$C$2:$C$1199,0)),"",INDEX('Compliance Database'!$N$2:$N$1199,MATCH(695,'Transfer Engine'!$C$2:$C$1199,0)))</f>
        <v/>
      </c>
      <c r="O704" s="7" t="str">
        <f>IF(ISNA(MATCH(695,'Transfer Engine'!$C$2:$C$1199,0)),"",INDEX('Compliance Database'!$O$2:$O$1199,MATCH(695,'Transfer Engine'!$C$2:$C$1199,0)))</f>
        <v/>
      </c>
      <c r="P704" s="6" t="str">
        <f>IF(ISNA(MATCH(695,'Transfer Engine'!$C$2:$C$1199,0)),"",HYPERLINK("#Acts!A"&amp;INDEX('Compliance Database'!$P$2:$P$1199,MATCH(695,'Transfer Engine'!$C$2:$C$1199,0)),"Go to Act"))</f>
        <v/>
      </c>
    </row>
    <row r="705" spans="1:16" ht="172.95" customHeight="1" x14ac:dyDescent="0.3">
      <c r="A705" s="6" t="str">
        <f>IF(ISNA(MATCH(696,'Transfer Engine'!$C$2:$C$1199,0)),"",INDEX('Compliance Database'!$A$2:$A$1199,MATCH(696,'Transfer Engine'!$C$2:$C$1199,0)))</f>
        <v/>
      </c>
      <c r="B705" s="6" t="str">
        <f>IF(ISNA(MATCH(696,'Transfer Engine'!$C$2:$C$1199,0)),"",INDEX('Compliance Database'!$B$2:$B$1199,MATCH(696,'Transfer Engine'!$C$2:$C$1199,0)))</f>
        <v/>
      </c>
      <c r="C705" s="6" t="str">
        <f>IF(ISNA(MATCH(696,'Transfer Engine'!$C$2:$C$1199,0)),"",INDEX('Compliance Database'!$C$2:$C$1199,MATCH(696,'Transfer Engine'!$C$2:$C$1199,0)))</f>
        <v/>
      </c>
      <c r="D705" s="7" t="str">
        <f>IF(ISNA(MATCH(696,'Transfer Engine'!$C$2:$C$1199,0)),"",INDEX('Compliance Database'!$D$2:$D$1199,MATCH(696,'Transfer Engine'!$C$2:$C$1199,0)))</f>
        <v/>
      </c>
      <c r="E705" s="6" t="str">
        <f>IF(ISNA(MATCH(696,'Transfer Engine'!$C$2:$C$1199,0)),"",INDEX('Compliance Database'!$E$2:$E$1199,MATCH(696,'Transfer Engine'!$C$2:$C$1199,0)))</f>
        <v/>
      </c>
      <c r="F705" s="6" t="str">
        <f>IF(ISNA(MATCH(696,'Transfer Engine'!$C$2:$C$1199,0)),"",INDEX('Compliance Database'!$F$2:$F$1199,MATCH(696,'Transfer Engine'!$C$2:$C$1199,0)))</f>
        <v/>
      </c>
      <c r="G705" s="6" t="str">
        <f>IF(ISNA(MATCH(696,'Transfer Engine'!$C$2:$C$1199,0)),"",INDEX('Compliance Database'!$G$2:$G$1199,MATCH(696,'Transfer Engine'!$C$2:$C$1199,0)))</f>
        <v/>
      </c>
      <c r="H705" s="7" t="str">
        <f>IF(ISNA(MATCH(696,'Transfer Engine'!$C$2:$C$1199,0)),"",INDEX('Compliance Database'!$H$2:$H$1199,MATCH(696,'Transfer Engine'!$C$2:$C$1199,0)))</f>
        <v/>
      </c>
      <c r="I705" s="7" t="str">
        <f>IF(ISNA(MATCH(696,'Transfer Engine'!$C$2:$C$1199,0)),"",INDEX('Compliance Database'!$I$2:$I$1199,MATCH(696,'Transfer Engine'!$C$2:$C$1199,0)))</f>
        <v/>
      </c>
      <c r="J705" s="6" t="str">
        <f>IF(ISNA(MATCH(696,'Transfer Engine'!$C$2:$C$1199,0)),"",INDEX('Compliance Database'!$J$2:$J$1199,MATCH(696,'Transfer Engine'!$C$2:$C$1199,0)))</f>
        <v/>
      </c>
      <c r="K705" s="7" t="str">
        <f>IF(ISNA(MATCH(696,'Transfer Engine'!$C$2:$C$1199,0)),"",INDEX('Compliance Database'!$K$2:$K$1199,MATCH(696,'Transfer Engine'!$C$2:$C$1199,0)))</f>
        <v/>
      </c>
      <c r="L705" s="7" t="str">
        <f>IF(ISNA(MATCH(696,'Transfer Engine'!$C$2:$C$1199,0)),"",INDEX('Compliance Database'!$L$2:$L$1199,MATCH(696,'Transfer Engine'!$C$2:$C$1199,0)))</f>
        <v/>
      </c>
      <c r="M705" s="7" t="str">
        <f>IF(ISNA(MATCH(696,'Transfer Engine'!$C$2:$C$1199,0)),"",INDEX('Compliance Database'!$M$2:$M$1199,MATCH(696,'Transfer Engine'!$C$2:$C$1199,0)))</f>
        <v/>
      </c>
      <c r="N705" s="7" t="str">
        <f>IF(ISNA(MATCH(696,'Transfer Engine'!$C$2:$C$1199,0)),"",INDEX('Compliance Database'!$N$2:$N$1199,MATCH(696,'Transfer Engine'!$C$2:$C$1199,0)))</f>
        <v/>
      </c>
      <c r="O705" s="7" t="str">
        <f>IF(ISNA(MATCH(696,'Transfer Engine'!$C$2:$C$1199,0)),"",INDEX('Compliance Database'!$O$2:$O$1199,MATCH(696,'Transfer Engine'!$C$2:$C$1199,0)))</f>
        <v/>
      </c>
      <c r="P705" s="6" t="str">
        <f>IF(ISNA(MATCH(696,'Transfer Engine'!$C$2:$C$1199,0)),"",HYPERLINK("#Acts!A"&amp;INDEX('Compliance Database'!$P$2:$P$1199,MATCH(696,'Transfer Engine'!$C$2:$C$1199,0)),"Go to Act"))</f>
        <v/>
      </c>
    </row>
    <row r="706" spans="1:16" ht="172.95" customHeight="1" x14ac:dyDescent="0.3">
      <c r="A706" s="6" t="str">
        <f>IF(ISNA(MATCH(697,'Transfer Engine'!$C$2:$C$1199,0)),"",INDEX('Compliance Database'!$A$2:$A$1199,MATCH(697,'Transfer Engine'!$C$2:$C$1199,0)))</f>
        <v/>
      </c>
      <c r="B706" s="6" t="str">
        <f>IF(ISNA(MATCH(697,'Transfer Engine'!$C$2:$C$1199,0)),"",INDEX('Compliance Database'!$B$2:$B$1199,MATCH(697,'Transfer Engine'!$C$2:$C$1199,0)))</f>
        <v/>
      </c>
      <c r="C706" s="6" t="str">
        <f>IF(ISNA(MATCH(697,'Transfer Engine'!$C$2:$C$1199,0)),"",INDEX('Compliance Database'!$C$2:$C$1199,MATCH(697,'Transfer Engine'!$C$2:$C$1199,0)))</f>
        <v/>
      </c>
      <c r="D706" s="7" t="str">
        <f>IF(ISNA(MATCH(697,'Transfer Engine'!$C$2:$C$1199,0)),"",INDEX('Compliance Database'!$D$2:$D$1199,MATCH(697,'Transfer Engine'!$C$2:$C$1199,0)))</f>
        <v/>
      </c>
      <c r="E706" s="6" t="str">
        <f>IF(ISNA(MATCH(697,'Transfer Engine'!$C$2:$C$1199,0)),"",INDEX('Compliance Database'!$E$2:$E$1199,MATCH(697,'Transfer Engine'!$C$2:$C$1199,0)))</f>
        <v/>
      </c>
      <c r="F706" s="6" t="str">
        <f>IF(ISNA(MATCH(697,'Transfer Engine'!$C$2:$C$1199,0)),"",INDEX('Compliance Database'!$F$2:$F$1199,MATCH(697,'Transfer Engine'!$C$2:$C$1199,0)))</f>
        <v/>
      </c>
      <c r="G706" s="6" t="str">
        <f>IF(ISNA(MATCH(697,'Transfer Engine'!$C$2:$C$1199,0)),"",INDEX('Compliance Database'!$G$2:$G$1199,MATCH(697,'Transfer Engine'!$C$2:$C$1199,0)))</f>
        <v/>
      </c>
      <c r="H706" s="7" t="str">
        <f>IF(ISNA(MATCH(697,'Transfer Engine'!$C$2:$C$1199,0)),"",INDEX('Compliance Database'!$H$2:$H$1199,MATCH(697,'Transfer Engine'!$C$2:$C$1199,0)))</f>
        <v/>
      </c>
      <c r="I706" s="7" t="str">
        <f>IF(ISNA(MATCH(697,'Transfer Engine'!$C$2:$C$1199,0)),"",INDEX('Compliance Database'!$I$2:$I$1199,MATCH(697,'Transfer Engine'!$C$2:$C$1199,0)))</f>
        <v/>
      </c>
      <c r="J706" s="6" t="str">
        <f>IF(ISNA(MATCH(697,'Transfer Engine'!$C$2:$C$1199,0)),"",INDEX('Compliance Database'!$J$2:$J$1199,MATCH(697,'Transfer Engine'!$C$2:$C$1199,0)))</f>
        <v/>
      </c>
      <c r="K706" s="7" t="str">
        <f>IF(ISNA(MATCH(697,'Transfer Engine'!$C$2:$C$1199,0)),"",INDEX('Compliance Database'!$K$2:$K$1199,MATCH(697,'Transfer Engine'!$C$2:$C$1199,0)))</f>
        <v/>
      </c>
      <c r="L706" s="7" t="str">
        <f>IF(ISNA(MATCH(697,'Transfer Engine'!$C$2:$C$1199,0)),"",INDEX('Compliance Database'!$L$2:$L$1199,MATCH(697,'Transfer Engine'!$C$2:$C$1199,0)))</f>
        <v/>
      </c>
      <c r="M706" s="7" t="str">
        <f>IF(ISNA(MATCH(697,'Transfer Engine'!$C$2:$C$1199,0)),"",INDEX('Compliance Database'!$M$2:$M$1199,MATCH(697,'Transfer Engine'!$C$2:$C$1199,0)))</f>
        <v/>
      </c>
      <c r="N706" s="7" t="str">
        <f>IF(ISNA(MATCH(697,'Transfer Engine'!$C$2:$C$1199,0)),"",INDEX('Compliance Database'!$N$2:$N$1199,MATCH(697,'Transfer Engine'!$C$2:$C$1199,0)))</f>
        <v/>
      </c>
      <c r="O706" s="7" t="str">
        <f>IF(ISNA(MATCH(697,'Transfer Engine'!$C$2:$C$1199,0)),"",INDEX('Compliance Database'!$O$2:$O$1199,MATCH(697,'Transfer Engine'!$C$2:$C$1199,0)))</f>
        <v/>
      </c>
      <c r="P706" s="6" t="str">
        <f>IF(ISNA(MATCH(697,'Transfer Engine'!$C$2:$C$1199,0)),"",HYPERLINK("#Acts!A"&amp;INDEX('Compliance Database'!$P$2:$P$1199,MATCH(697,'Transfer Engine'!$C$2:$C$1199,0)),"Go to Act"))</f>
        <v/>
      </c>
    </row>
    <row r="707" spans="1:16" ht="172.95" customHeight="1" x14ac:dyDescent="0.3">
      <c r="A707" s="6" t="str">
        <f>IF(ISNA(MATCH(698,'Transfer Engine'!$C$2:$C$1199,0)),"",INDEX('Compliance Database'!$A$2:$A$1199,MATCH(698,'Transfer Engine'!$C$2:$C$1199,0)))</f>
        <v/>
      </c>
      <c r="B707" s="6" t="str">
        <f>IF(ISNA(MATCH(698,'Transfer Engine'!$C$2:$C$1199,0)),"",INDEX('Compliance Database'!$B$2:$B$1199,MATCH(698,'Transfer Engine'!$C$2:$C$1199,0)))</f>
        <v/>
      </c>
      <c r="C707" s="6" t="str">
        <f>IF(ISNA(MATCH(698,'Transfer Engine'!$C$2:$C$1199,0)),"",INDEX('Compliance Database'!$C$2:$C$1199,MATCH(698,'Transfer Engine'!$C$2:$C$1199,0)))</f>
        <v/>
      </c>
      <c r="D707" s="7" t="str">
        <f>IF(ISNA(MATCH(698,'Transfer Engine'!$C$2:$C$1199,0)),"",INDEX('Compliance Database'!$D$2:$D$1199,MATCH(698,'Transfer Engine'!$C$2:$C$1199,0)))</f>
        <v/>
      </c>
      <c r="E707" s="6" t="str">
        <f>IF(ISNA(MATCH(698,'Transfer Engine'!$C$2:$C$1199,0)),"",INDEX('Compliance Database'!$E$2:$E$1199,MATCH(698,'Transfer Engine'!$C$2:$C$1199,0)))</f>
        <v/>
      </c>
      <c r="F707" s="6" t="str">
        <f>IF(ISNA(MATCH(698,'Transfer Engine'!$C$2:$C$1199,0)),"",INDEX('Compliance Database'!$F$2:$F$1199,MATCH(698,'Transfer Engine'!$C$2:$C$1199,0)))</f>
        <v/>
      </c>
      <c r="G707" s="6" t="str">
        <f>IF(ISNA(MATCH(698,'Transfer Engine'!$C$2:$C$1199,0)),"",INDEX('Compliance Database'!$G$2:$G$1199,MATCH(698,'Transfer Engine'!$C$2:$C$1199,0)))</f>
        <v/>
      </c>
      <c r="H707" s="7" t="str">
        <f>IF(ISNA(MATCH(698,'Transfer Engine'!$C$2:$C$1199,0)),"",INDEX('Compliance Database'!$H$2:$H$1199,MATCH(698,'Transfer Engine'!$C$2:$C$1199,0)))</f>
        <v/>
      </c>
      <c r="I707" s="7" t="str">
        <f>IF(ISNA(MATCH(698,'Transfer Engine'!$C$2:$C$1199,0)),"",INDEX('Compliance Database'!$I$2:$I$1199,MATCH(698,'Transfer Engine'!$C$2:$C$1199,0)))</f>
        <v/>
      </c>
      <c r="J707" s="6" t="str">
        <f>IF(ISNA(MATCH(698,'Transfer Engine'!$C$2:$C$1199,0)),"",INDEX('Compliance Database'!$J$2:$J$1199,MATCH(698,'Transfer Engine'!$C$2:$C$1199,0)))</f>
        <v/>
      </c>
      <c r="K707" s="7" t="str">
        <f>IF(ISNA(MATCH(698,'Transfer Engine'!$C$2:$C$1199,0)),"",INDEX('Compliance Database'!$K$2:$K$1199,MATCH(698,'Transfer Engine'!$C$2:$C$1199,0)))</f>
        <v/>
      </c>
      <c r="L707" s="7" t="str">
        <f>IF(ISNA(MATCH(698,'Transfer Engine'!$C$2:$C$1199,0)),"",INDEX('Compliance Database'!$L$2:$L$1199,MATCH(698,'Transfer Engine'!$C$2:$C$1199,0)))</f>
        <v/>
      </c>
      <c r="M707" s="7" t="str">
        <f>IF(ISNA(MATCH(698,'Transfer Engine'!$C$2:$C$1199,0)),"",INDEX('Compliance Database'!$M$2:$M$1199,MATCH(698,'Transfer Engine'!$C$2:$C$1199,0)))</f>
        <v/>
      </c>
      <c r="N707" s="7" t="str">
        <f>IF(ISNA(MATCH(698,'Transfer Engine'!$C$2:$C$1199,0)),"",INDEX('Compliance Database'!$N$2:$N$1199,MATCH(698,'Transfer Engine'!$C$2:$C$1199,0)))</f>
        <v/>
      </c>
      <c r="O707" s="7" t="str">
        <f>IF(ISNA(MATCH(698,'Transfer Engine'!$C$2:$C$1199,0)),"",INDEX('Compliance Database'!$O$2:$O$1199,MATCH(698,'Transfer Engine'!$C$2:$C$1199,0)))</f>
        <v/>
      </c>
      <c r="P707" s="6" t="str">
        <f>IF(ISNA(MATCH(698,'Transfer Engine'!$C$2:$C$1199,0)),"",HYPERLINK("#Acts!A"&amp;INDEX('Compliance Database'!$P$2:$P$1199,MATCH(698,'Transfer Engine'!$C$2:$C$1199,0)),"Go to Act"))</f>
        <v/>
      </c>
    </row>
    <row r="708" spans="1:16" ht="172.95" customHeight="1" x14ac:dyDescent="0.3">
      <c r="A708" s="6" t="str">
        <f>IF(ISNA(MATCH(699,'Transfer Engine'!$C$2:$C$1199,0)),"",INDEX('Compliance Database'!$A$2:$A$1199,MATCH(699,'Transfer Engine'!$C$2:$C$1199,0)))</f>
        <v/>
      </c>
      <c r="B708" s="6" t="str">
        <f>IF(ISNA(MATCH(699,'Transfer Engine'!$C$2:$C$1199,0)),"",INDEX('Compliance Database'!$B$2:$B$1199,MATCH(699,'Transfer Engine'!$C$2:$C$1199,0)))</f>
        <v/>
      </c>
      <c r="C708" s="6" t="str">
        <f>IF(ISNA(MATCH(699,'Transfer Engine'!$C$2:$C$1199,0)),"",INDEX('Compliance Database'!$C$2:$C$1199,MATCH(699,'Transfer Engine'!$C$2:$C$1199,0)))</f>
        <v/>
      </c>
      <c r="D708" s="7" t="str">
        <f>IF(ISNA(MATCH(699,'Transfer Engine'!$C$2:$C$1199,0)),"",INDEX('Compliance Database'!$D$2:$D$1199,MATCH(699,'Transfer Engine'!$C$2:$C$1199,0)))</f>
        <v/>
      </c>
      <c r="E708" s="6" t="str">
        <f>IF(ISNA(MATCH(699,'Transfer Engine'!$C$2:$C$1199,0)),"",INDEX('Compliance Database'!$E$2:$E$1199,MATCH(699,'Transfer Engine'!$C$2:$C$1199,0)))</f>
        <v/>
      </c>
      <c r="F708" s="6" t="str">
        <f>IF(ISNA(MATCH(699,'Transfer Engine'!$C$2:$C$1199,0)),"",INDEX('Compliance Database'!$F$2:$F$1199,MATCH(699,'Transfer Engine'!$C$2:$C$1199,0)))</f>
        <v/>
      </c>
      <c r="G708" s="6" t="str">
        <f>IF(ISNA(MATCH(699,'Transfer Engine'!$C$2:$C$1199,0)),"",INDEX('Compliance Database'!$G$2:$G$1199,MATCH(699,'Transfer Engine'!$C$2:$C$1199,0)))</f>
        <v/>
      </c>
      <c r="H708" s="7" t="str">
        <f>IF(ISNA(MATCH(699,'Transfer Engine'!$C$2:$C$1199,0)),"",INDEX('Compliance Database'!$H$2:$H$1199,MATCH(699,'Transfer Engine'!$C$2:$C$1199,0)))</f>
        <v/>
      </c>
      <c r="I708" s="7" t="str">
        <f>IF(ISNA(MATCH(699,'Transfer Engine'!$C$2:$C$1199,0)),"",INDEX('Compliance Database'!$I$2:$I$1199,MATCH(699,'Transfer Engine'!$C$2:$C$1199,0)))</f>
        <v/>
      </c>
      <c r="J708" s="6" t="str">
        <f>IF(ISNA(MATCH(699,'Transfer Engine'!$C$2:$C$1199,0)),"",INDEX('Compliance Database'!$J$2:$J$1199,MATCH(699,'Transfer Engine'!$C$2:$C$1199,0)))</f>
        <v/>
      </c>
      <c r="K708" s="7" t="str">
        <f>IF(ISNA(MATCH(699,'Transfer Engine'!$C$2:$C$1199,0)),"",INDEX('Compliance Database'!$K$2:$K$1199,MATCH(699,'Transfer Engine'!$C$2:$C$1199,0)))</f>
        <v/>
      </c>
      <c r="L708" s="7" t="str">
        <f>IF(ISNA(MATCH(699,'Transfer Engine'!$C$2:$C$1199,0)),"",INDEX('Compliance Database'!$L$2:$L$1199,MATCH(699,'Transfer Engine'!$C$2:$C$1199,0)))</f>
        <v/>
      </c>
      <c r="M708" s="7" t="str">
        <f>IF(ISNA(MATCH(699,'Transfer Engine'!$C$2:$C$1199,0)),"",INDEX('Compliance Database'!$M$2:$M$1199,MATCH(699,'Transfer Engine'!$C$2:$C$1199,0)))</f>
        <v/>
      </c>
      <c r="N708" s="7" t="str">
        <f>IF(ISNA(MATCH(699,'Transfer Engine'!$C$2:$C$1199,0)),"",INDEX('Compliance Database'!$N$2:$N$1199,MATCH(699,'Transfer Engine'!$C$2:$C$1199,0)))</f>
        <v/>
      </c>
      <c r="O708" s="7" t="str">
        <f>IF(ISNA(MATCH(699,'Transfer Engine'!$C$2:$C$1199,0)),"",INDEX('Compliance Database'!$O$2:$O$1199,MATCH(699,'Transfer Engine'!$C$2:$C$1199,0)))</f>
        <v/>
      </c>
      <c r="P708" s="6" t="str">
        <f>IF(ISNA(MATCH(699,'Transfer Engine'!$C$2:$C$1199,0)),"",HYPERLINK("#Acts!A"&amp;INDEX('Compliance Database'!$P$2:$P$1199,MATCH(699,'Transfer Engine'!$C$2:$C$1199,0)),"Go to Act"))</f>
        <v/>
      </c>
    </row>
    <row r="709" spans="1:16" ht="172.95" customHeight="1" x14ac:dyDescent="0.3">
      <c r="A709" s="6" t="str">
        <f>IF(ISNA(MATCH(700,'Transfer Engine'!$C$2:$C$1199,0)),"",INDEX('Compliance Database'!$A$2:$A$1199,MATCH(700,'Transfer Engine'!$C$2:$C$1199,0)))</f>
        <v/>
      </c>
      <c r="B709" s="6" t="str">
        <f>IF(ISNA(MATCH(700,'Transfer Engine'!$C$2:$C$1199,0)),"",INDEX('Compliance Database'!$B$2:$B$1199,MATCH(700,'Transfer Engine'!$C$2:$C$1199,0)))</f>
        <v/>
      </c>
      <c r="C709" s="6" t="str">
        <f>IF(ISNA(MATCH(700,'Transfer Engine'!$C$2:$C$1199,0)),"",INDEX('Compliance Database'!$C$2:$C$1199,MATCH(700,'Transfer Engine'!$C$2:$C$1199,0)))</f>
        <v/>
      </c>
      <c r="D709" s="7" t="str">
        <f>IF(ISNA(MATCH(700,'Transfer Engine'!$C$2:$C$1199,0)),"",INDEX('Compliance Database'!$D$2:$D$1199,MATCH(700,'Transfer Engine'!$C$2:$C$1199,0)))</f>
        <v/>
      </c>
      <c r="E709" s="6" t="str">
        <f>IF(ISNA(MATCH(700,'Transfer Engine'!$C$2:$C$1199,0)),"",INDEX('Compliance Database'!$E$2:$E$1199,MATCH(700,'Transfer Engine'!$C$2:$C$1199,0)))</f>
        <v/>
      </c>
      <c r="F709" s="6" t="str">
        <f>IF(ISNA(MATCH(700,'Transfer Engine'!$C$2:$C$1199,0)),"",INDEX('Compliance Database'!$F$2:$F$1199,MATCH(700,'Transfer Engine'!$C$2:$C$1199,0)))</f>
        <v/>
      </c>
      <c r="G709" s="6" t="str">
        <f>IF(ISNA(MATCH(700,'Transfer Engine'!$C$2:$C$1199,0)),"",INDEX('Compliance Database'!$G$2:$G$1199,MATCH(700,'Transfer Engine'!$C$2:$C$1199,0)))</f>
        <v/>
      </c>
      <c r="H709" s="7" t="str">
        <f>IF(ISNA(MATCH(700,'Transfer Engine'!$C$2:$C$1199,0)),"",INDEX('Compliance Database'!$H$2:$H$1199,MATCH(700,'Transfer Engine'!$C$2:$C$1199,0)))</f>
        <v/>
      </c>
      <c r="I709" s="7" t="str">
        <f>IF(ISNA(MATCH(700,'Transfer Engine'!$C$2:$C$1199,0)),"",INDEX('Compliance Database'!$I$2:$I$1199,MATCH(700,'Transfer Engine'!$C$2:$C$1199,0)))</f>
        <v/>
      </c>
      <c r="J709" s="6" t="str">
        <f>IF(ISNA(MATCH(700,'Transfer Engine'!$C$2:$C$1199,0)),"",INDEX('Compliance Database'!$J$2:$J$1199,MATCH(700,'Transfer Engine'!$C$2:$C$1199,0)))</f>
        <v/>
      </c>
      <c r="K709" s="7" t="str">
        <f>IF(ISNA(MATCH(700,'Transfer Engine'!$C$2:$C$1199,0)),"",INDEX('Compliance Database'!$K$2:$K$1199,MATCH(700,'Transfer Engine'!$C$2:$C$1199,0)))</f>
        <v/>
      </c>
      <c r="L709" s="7" t="str">
        <f>IF(ISNA(MATCH(700,'Transfer Engine'!$C$2:$C$1199,0)),"",INDEX('Compliance Database'!$L$2:$L$1199,MATCH(700,'Transfer Engine'!$C$2:$C$1199,0)))</f>
        <v/>
      </c>
      <c r="M709" s="7" t="str">
        <f>IF(ISNA(MATCH(700,'Transfer Engine'!$C$2:$C$1199,0)),"",INDEX('Compliance Database'!$M$2:$M$1199,MATCH(700,'Transfer Engine'!$C$2:$C$1199,0)))</f>
        <v/>
      </c>
      <c r="N709" s="7" t="str">
        <f>IF(ISNA(MATCH(700,'Transfer Engine'!$C$2:$C$1199,0)),"",INDEX('Compliance Database'!$N$2:$N$1199,MATCH(700,'Transfer Engine'!$C$2:$C$1199,0)))</f>
        <v/>
      </c>
      <c r="O709" s="7" t="str">
        <f>IF(ISNA(MATCH(700,'Transfer Engine'!$C$2:$C$1199,0)),"",INDEX('Compliance Database'!$O$2:$O$1199,MATCH(700,'Transfer Engine'!$C$2:$C$1199,0)))</f>
        <v/>
      </c>
      <c r="P709" s="6" t="str">
        <f>IF(ISNA(MATCH(700,'Transfer Engine'!$C$2:$C$1199,0)),"",HYPERLINK("#Acts!A"&amp;INDEX('Compliance Database'!$P$2:$P$1199,MATCH(700,'Transfer Engine'!$C$2:$C$1199,0)),"Go to Act"))</f>
        <v/>
      </c>
    </row>
    <row r="710" spans="1:16" ht="172.95" customHeight="1" x14ac:dyDescent="0.3">
      <c r="A710" s="6" t="str">
        <f>IF(ISNA(MATCH(701,'Transfer Engine'!$C$2:$C$1199,0)),"",INDEX('Compliance Database'!$A$2:$A$1199,MATCH(701,'Transfer Engine'!$C$2:$C$1199,0)))</f>
        <v/>
      </c>
      <c r="B710" s="6" t="str">
        <f>IF(ISNA(MATCH(701,'Transfer Engine'!$C$2:$C$1199,0)),"",INDEX('Compliance Database'!$B$2:$B$1199,MATCH(701,'Transfer Engine'!$C$2:$C$1199,0)))</f>
        <v/>
      </c>
      <c r="C710" s="6" t="str">
        <f>IF(ISNA(MATCH(701,'Transfer Engine'!$C$2:$C$1199,0)),"",INDEX('Compliance Database'!$C$2:$C$1199,MATCH(701,'Transfer Engine'!$C$2:$C$1199,0)))</f>
        <v/>
      </c>
      <c r="D710" s="7" t="str">
        <f>IF(ISNA(MATCH(701,'Transfer Engine'!$C$2:$C$1199,0)),"",INDEX('Compliance Database'!$D$2:$D$1199,MATCH(701,'Transfer Engine'!$C$2:$C$1199,0)))</f>
        <v/>
      </c>
      <c r="E710" s="6" t="str">
        <f>IF(ISNA(MATCH(701,'Transfer Engine'!$C$2:$C$1199,0)),"",INDEX('Compliance Database'!$E$2:$E$1199,MATCH(701,'Transfer Engine'!$C$2:$C$1199,0)))</f>
        <v/>
      </c>
      <c r="F710" s="6" t="str">
        <f>IF(ISNA(MATCH(701,'Transfer Engine'!$C$2:$C$1199,0)),"",INDEX('Compliance Database'!$F$2:$F$1199,MATCH(701,'Transfer Engine'!$C$2:$C$1199,0)))</f>
        <v/>
      </c>
      <c r="G710" s="6" t="str">
        <f>IF(ISNA(MATCH(701,'Transfer Engine'!$C$2:$C$1199,0)),"",INDEX('Compliance Database'!$G$2:$G$1199,MATCH(701,'Transfer Engine'!$C$2:$C$1199,0)))</f>
        <v/>
      </c>
      <c r="H710" s="7" t="str">
        <f>IF(ISNA(MATCH(701,'Transfer Engine'!$C$2:$C$1199,0)),"",INDEX('Compliance Database'!$H$2:$H$1199,MATCH(701,'Transfer Engine'!$C$2:$C$1199,0)))</f>
        <v/>
      </c>
      <c r="I710" s="7" t="str">
        <f>IF(ISNA(MATCH(701,'Transfer Engine'!$C$2:$C$1199,0)),"",INDEX('Compliance Database'!$I$2:$I$1199,MATCH(701,'Transfer Engine'!$C$2:$C$1199,0)))</f>
        <v/>
      </c>
      <c r="J710" s="6" t="str">
        <f>IF(ISNA(MATCH(701,'Transfer Engine'!$C$2:$C$1199,0)),"",INDEX('Compliance Database'!$J$2:$J$1199,MATCH(701,'Transfer Engine'!$C$2:$C$1199,0)))</f>
        <v/>
      </c>
      <c r="K710" s="7" t="str">
        <f>IF(ISNA(MATCH(701,'Transfer Engine'!$C$2:$C$1199,0)),"",INDEX('Compliance Database'!$K$2:$K$1199,MATCH(701,'Transfer Engine'!$C$2:$C$1199,0)))</f>
        <v/>
      </c>
      <c r="L710" s="7" t="str">
        <f>IF(ISNA(MATCH(701,'Transfer Engine'!$C$2:$C$1199,0)),"",INDEX('Compliance Database'!$L$2:$L$1199,MATCH(701,'Transfer Engine'!$C$2:$C$1199,0)))</f>
        <v/>
      </c>
      <c r="M710" s="7" t="str">
        <f>IF(ISNA(MATCH(701,'Transfer Engine'!$C$2:$C$1199,0)),"",INDEX('Compliance Database'!$M$2:$M$1199,MATCH(701,'Transfer Engine'!$C$2:$C$1199,0)))</f>
        <v/>
      </c>
      <c r="N710" s="7" t="str">
        <f>IF(ISNA(MATCH(701,'Transfer Engine'!$C$2:$C$1199,0)),"",INDEX('Compliance Database'!$N$2:$N$1199,MATCH(701,'Transfer Engine'!$C$2:$C$1199,0)))</f>
        <v/>
      </c>
      <c r="O710" s="7" t="str">
        <f>IF(ISNA(MATCH(701,'Transfer Engine'!$C$2:$C$1199,0)),"",INDEX('Compliance Database'!$O$2:$O$1199,MATCH(701,'Transfer Engine'!$C$2:$C$1199,0)))</f>
        <v/>
      </c>
      <c r="P710" s="6" t="str">
        <f>IF(ISNA(MATCH(701,'Transfer Engine'!$C$2:$C$1199,0)),"",HYPERLINK("#Acts!A"&amp;INDEX('Compliance Database'!$P$2:$P$1199,MATCH(701,'Transfer Engine'!$C$2:$C$1199,0)),"Go to Act"))</f>
        <v/>
      </c>
    </row>
    <row r="711" spans="1:16" ht="172.95" customHeight="1" x14ac:dyDescent="0.3">
      <c r="A711" s="6" t="str">
        <f>IF(ISNA(MATCH(702,'Transfer Engine'!$C$2:$C$1199,0)),"",INDEX('Compliance Database'!$A$2:$A$1199,MATCH(702,'Transfer Engine'!$C$2:$C$1199,0)))</f>
        <v/>
      </c>
      <c r="B711" s="6" t="str">
        <f>IF(ISNA(MATCH(702,'Transfer Engine'!$C$2:$C$1199,0)),"",INDEX('Compliance Database'!$B$2:$B$1199,MATCH(702,'Transfer Engine'!$C$2:$C$1199,0)))</f>
        <v/>
      </c>
      <c r="C711" s="6" t="str">
        <f>IF(ISNA(MATCH(702,'Transfer Engine'!$C$2:$C$1199,0)),"",INDEX('Compliance Database'!$C$2:$C$1199,MATCH(702,'Transfer Engine'!$C$2:$C$1199,0)))</f>
        <v/>
      </c>
      <c r="D711" s="7" t="str">
        <f>IF(ISNA(MATCH(702,'Transfer Engine'!$C$2:$C$1199,0)),"",INDEX('Compliance Database'!$D$2:$D$1199,MATCH(702,'Transfer Engine'!$C$2:$C$1199,0)))</f>
        <v/>
      </c>
      <c r="E711" s="6" t="str">
        <f>IF(ISNA(MATCH(702,'Transfer Engine'!$C$2:$C$1199,0)),"",INDEX('Compliance Database'!$E$2:$E$1199,MATCH(702,'Transfer Engine'!$C$2:$C$1199,0)))</f>
        <v/>
      </c>
      <c r="F711" s="6" t="str">
        <f>IF(ISNA(MATCH(702,'Transfer Engine'!$C$2:$C$1199,0)),"",INDEX('Compliance Database'!$F$2:$F$1199,MATCH(702,'Transfer Engine'!$C$2:$C$1199,0)))</f>
        <v/>
      </c>
      <c r="G711" s="6" t="str">
        <f>IF(ISNA(MATCH(702,'Transfer Engine'!$C$2:$C$1199,0)),"",INDEX('Compliance Database'!$G$2:$G$1199,MATCH(702,'Transfer Engine'!$C$2:$C$1199,0)))</f>
        <v/>
      </c>
      <c r="H711" s="7" t="str">
        <f>IF(ISNA(MATCH(702,'Transfer Engine'!$C$2:$C$1199,0)),"",INDEX('Compliance Database'!$H$2:$H$1199,MATCH(702,'Transfer Engine'!$C$2:$C$1199,0)))</f>
        <v/>
      </c>
      <c r="I711" s="7" t="str">
        <f>IF(ISNA(MATCH(702,'Transfer Engine'!$C$2:$C$1199,0)),"",INDEX('Compliance Database'!$I$2:$I$1199,MATCH(702,'Transfer Engine'!$C$2:$C$1199,0)))</f>
        <v/>
      </c>
      <c r="J711" s="6" t="str">
        <f>IF(ISNA(MATCH(702,'Transfer Engine'!$C$2:$C$1199,0)),"",INDEX('Compliance Database'!$J$2:$J$1199,MATCH(702,'Transfer Engine'!$C$2:$C$1199,0)))</f>
        <v/>
      </c>
      <c r="K711" s="7" t="str">
        <f>IF(ISNA(MATCH(702,'Transfer Engine'!$C$2:$C$1199,0)),"",INDEX('Compliance Database'!$K$2:$K$1199,MATCH(702,'Transfer Engine'!$C$2:$C$1199,0)))</f>
        <v/>
      </c>
      <c r="L711" s="7" t="str">
        <f>IF(ISNA(MATCH(702,'Transfer Engine'!$C$2:$C$1199,0)),"",INDEX('Compliance Database'!$L$2:$L$1199,MATCH(702,'Transfer Engine'!$C$2:$C$1199,0)))</f>
        <v/>
      </c>
      <c r="M711" s="7" t="str">
        <f>IF(ISNA(MATCH(702,'Transfer Engine'!$C$2:$C$1199,0)),"",INDEX('Compliance Database'!$M$2:$M$1199,MATCH(702,'Transfer Engine'!$C$2:$C$1199,0)))</f>
        <v/>
      </c>
      <c r="N711" s="7" t="str">
        <f>IF(ISNA(MATCH(702,'Transfer Engine'!$C$2:$C$1199,0)),"",INDEX('Compliance Database'!$N$2:$N$1199,MATCH(702,'Transfer Engine'!$C$2:$C$1199,0)))</f>
        <v/>
      </c>
      <c r="O711" s="7" t="str">
        <f>IF(ISNA(MATCH(702,'Transfer Engine'!$C$2:$C$1199,0)),"",INDEX('Compliance Database'!$O$2:$O$1199,MATCH(702,'Transfer Engine'!$C$2:$C$1199,0)))</f>
        <v/>
      </c>
      <c r="P711" s="6" t="str">
        <f>IF(ISNA(MATCH(702,'Transfer Engine'!$C$2:$C$1199,0)),"",HYPERLINK("#Acts!A"&amp;INDEX('Compliance Database'!$P$2:$P$1199,MATCH(702,'Transfer Engine'!$C$2:$C$1199,0)),"Go to Act"))</f>
        <v/>
      </c>
    </row>
    <row r="712" spans="1:16" ht="172.95" customHeight="1" x14ac:dyDescent="0.3">
      <c r="A712" s="6" t="str">
        <f>IF(ISNA(MATCH(703,'Transfer Engine'!$C$2:$C$1199,0)),"",INDEX('Compliance Database'!$A$2:$A$1199,MATCH(703,'Transfer Engine'!$C$2:$C$1199,0)))</f>
        <v/>
      </c>
      <c r="B712" s="6" t="str">
        <f>IF(ISNA(MATCH(703,'Transfer Engine'!$C$2:$C$1199,0)),"",INDEX('Compliance Database'!$B$2:$B$1199,MATCH(703,'Transfer Engine'!$C$2:$C$1199,0)))</f>
        <v/>
      </c>
      <c r="C712" s="6" t="str">
        <f>IF(ISNA(MATCH(703,'Transfer Engine'!$C$2:$C$1199,0)),"",INDEX('Compliance Database'!$C$2:$C$1199,MATCH(703,'Transfer Engine'!$C$2:$C$1199,0)))</f>
        <v/>
      </c>
      <c r="D712" s="7" t="str">
        <f>IF(ISNA(MATCH(703,'Transfer Engine'!$C$2:$C$1199,0)),"",INDEX('Compliance Database'!$D$2:$D$1199,MATCH(703,'Transfer Engine'!$C$2:$C$1199,0)))</f>
        <v/>
      </c>
      <c r="E712" s="6" t="str">
        <f>IF(ISNA(MATCH(703,'Transfer Engine'!$C$2:$C$1199,0)),"",INDEX('Compliance Database'!$E$2:$E$1199,MATCH(703,'Transfer Engine'!$C$2:$C$1199,0)))</f>
        <v/>
      </c>
      <c r="F712" s="6" t="str">
        <f>IF(ISNA(MATCH(703,'Transfer Engine'!$C$2:$C$1199,0)),"",INDEX('Compliance Database'!$F$2:$F$1199,MATCH(703,'Transfer Engine'!$C$2:$C$1199,0)))</f>
        <v/>
      </c>
      <c r="G712" s="6" t="str">
        <f>IF(ISNA(MATCH(703,'Transfer Engine'!$C$2:$C$1199,0)),"",INDEX('Compliance Database'!$G$2:$G$1199,MATCH(703,'Transfer Engine'!$C$2:$C$1199,0)))</f>
        <v/>
      </c>
      <c r="H712" s="7" t="str">
        <f>IF(ISNA(MATCH(703,'Transfer Engine'!$C$2:$C$1199,0)),"",INDEX('Compliance Database'!$H$2:$H$1199,MATCH(703,'Transfer Engine'!$C$2:$C$1199,0)))</f>
        <v/>
      </c>
      <c r="I712" s="7" t="str">
        <f>IF(ISNA(MATCH(703,'Transfer Engine'!$C$2:$C$1199,0)),"",INDEX('Compliance Database'!$I$2:$I$1199,MATCH(703,'Transfer Engine'!$C$2:$C$1199,0)))</f>
        <v/>
      </c>
      <c r="J712" s="6" t="str">
        <f>IF(ISNA(MATCH(703,'Transfer Engine'!$C$2:$C$1199,0)),"",INDEX('Compliance Database'!$J$2:$J$1199,MATCH(703,'Transfer Engine'!$C$2:$C$1199,0)))</f>
        <v/>
      </c>
      <c r="K712" s="7" t="str">
        <f>IF(ISNA(MATCH(703,'Transfer Engine'!$C$2:$C$1199,0)),"",INDEX('Compliance Database'!$K$2:$K$1199,MATCH(703,'Transfer Engine'!$C$2:$C$1199,0)))</f>
        <v/>
      </c>
      <c r="L712" s="7" t="str">
        <f>IF(ISNA(MATCH(703,'Transfer Engine'!$C$2:$C$1199,0)),"",INDEX('Compliance Database'!$L$2:$L$1199,MATCH(703,'Transfer Engine'!$C$2:$C$1199,0)))</f>
        <v/>
      </c>
      <c r="M712" s="7" t="str">
        <f>IF(ISNA(MATCH(703,'Transfer Engine'!$C$2:$C$1199,0)),"",INDEX('Compliance Database'!$M$2:$M$1199,MATCH(703,'Transfer Engine'!$C$2:$C$1199,0)))</f>
        <v/>
      </c>
      <c r="N712" s="7" t="str">
        <f>IF(ISNA(MATCH(703,'Transfer Engine'!$C$2:$C$1199,0)),"",INDEX('Compliance Database'!$N$2:$N$1199,MATCH(703,'Transfer Engine'!$C$2:$C$1199,0)))</f>
        <v/>
      </c>
      <c r="O712" s="7" t="str">
        <f>IF(ISNA(MATCH(703,'Transfer Engine'!$C$2:$C$1199,0)),"",INDEX('Compliance Database'!$O$2:$O$1199,MATCH(703,'Transfer Engine'!$C$2:$C$1199,0)))</f>
        <v/>
      </c>
      <c r="P712" s="6" t="str">
        <f>IF(ISNA(MATCH(703,'Transfer Engine'!$C$2:$C$1199,0)),"",HYPERLINK("#Acts!A"&amp;INDEX('Compliance Database'!$P$2:$P$1199,MATCH(703,'Transfer Engine'!$C$2:$C$1199,0)),"Go to Act"))</f>
        <v/>
      </c>
    </row>
    <row r="713" spans="1:16" ht="172.95" customHeight="1" x14ac:dyDescent="0.3">
      <c r="A713" s="6" t="str">
        <f>IF(ISNA(MATCH(704,'Transfer Engine'!$C$2:$C$1199,0)),"",INDEX('Compliance Database'!$A$2:$A$1199,MATCH(704,'Transfer Engine'!$C$2:$C$1199,0)))</f>
        <v/>
      </c>
      <c r="B713" s="6" t="str">
        <f>IF(ISNA(MATCH(704,'Transfer Engine'!$C$2:$C$1199,0)),"",INDEX('Compliance Database'!$B$2:$B$1199,MATCH(704,'Transfer Engine'!$C$2:$C$1199,0)))</f>
        <v/>
      </c>
      <c r="C713" s="6" t="str">
        <f>IF(ISNA(MATCH(704,'Transfer Engine'!$C$2:$C$1199,0)),"",INDEX('Compliance Database'!$C$2:$C$1199,MATCH(704,'Transfer Engine'!$C$2:$C$1199,0)))</f>
        <v/>
      </c>
      <c r="D713" s="7" t="str">
        <f>IF(ISNA(MATCH(704,'Transfer Engine'!$C$2:$C$1199,0)),"",INDEX('Compliance Database'!$D$2:$D$1199,MATCH(704,'Transfer Engine'!$C$2:$C$1199,0)))</f>
        <v/>
      </c>
      <c r="E713" s="6" t="str">
        <f>IF(ISNA(MATCH(704,'Transfer Engine'!$C$2:$C$1199,0)),"",INDEX('Compliance Database'!$E$2:$E$1199,MATCH(704,'Transfer Engine'!$C$2:$C$1199,0)))</f>
        <v/>
      </c>
      <c r="F713" s="6" t="str">
        <f>IF(ISNA(MATCH(704,'Transfer Engine'!$C$2:$C$1199,0)),"",INDEX('Compliance Database'!$F$2:$F$1199,MATCH(704,'Transfer Engine'!$C$2:$C$1199,0)))</f>
        <v/>
      </c>
      <c r="G713" s="6" t="str">
        <f>IF(ISNA(MATCH(704,'Transfer Engine'!$C$2:$C$1199,0)),"",INDEX('Compliance Database'!$G$2:$G$1199,MATCH(704,'Transfer Engine'!$C$2:$C$1199,0)))</f>
        <v/>
      </c>
      <c r="H713" s="7" t="str">
        <f>IF(ISNA(MATCH(704,'Transfer Engine'!$C$2:$C$1199,0)),"",INDEX('Compliance Database'!$H$2:$H$1199,MATCH(704,'Transfer Engine'!$C$2:$C$1199,0)))</f>
        <v/>
      </c>
      <c r="I713" s="7" t="str">
        <f>IF(ISNA(MATCH(704,'Transfer Engine'!$C$2:$C$1199,0)),"",INDEX('Compliance Database'!$I$2:$I$1199,MATCH(704,'Transfer Engine'!$C$2:$C$1199,0)))</f>
        <v/>
      </c>
      <c r="J713" s="6" t="str">
        <f>IF(ISNA(MATCH(704,'Transfer Engine'!$C$2:$C$1199,0)),"",INDEX('Compliance Database'!$J$2:$J$1199,MATCH(704,'Transfer Engine'!$C$2:$C$1199,0)))</f>
        <v/>
      </c>
      <c r="K713" s="7" t="str">
        <f>IF(ISNA(MATCH(704,'Transfer Engine'!$C$2:$C$1199,0)),"",INDEX('Compliance Database'!$K$2:$K$1199,MATCH(704,'Transfer Engine'!$C$2:$C$1199,0)))</f>
        <v/>
      </c>
      <c r="L713" s="7" t="str">
        <f>IF(ISNA(MATCH(704,'Transfer Engine'!$C$2:$C$1199,0)),"",INDEX('Compliance Database'!$L$2:$L$1199,MATCH(704,'Transfer Engine'!$C$2:$C$1199,0)))</f>
        <v/>
      </c>
      <c r="M713" s="7" t="str">
        <f>IF(ISNA(MATCH(704,'Transfer Engine'!$C$2:$C$1199,0)),"",INDEX('Compliance Database'!$M$2:$M$1199,MATCH(704,'Transfer Engine'!$C$2:$C$1199,0)))</f>
        <v/>
      </c>
      <c r="N713" s="7" t="str">
        <f>IF(ISNA(MATCH(704,'Transfer Engine'!$C$2:$C$1199,0)),"",INDEX('Compliance Database'!$N$2:$N$1199,MATCH(704,'Transfer Engine'!$C$2:$C$1199,0)))</f>
        <v/>
      </c>
      <c r="O713" s="7" t="str">
        <f>IF(ISNA(MATCH(704,'Transfer Engine'!$C$2:$C$1199,0)),"",INDEX('Compliance Database'!$O$2:$O$1199,MATCH(704,'Transfer Engine'!$C$2:$C$1199,0)))</f>
        <v/>
      </c>
      <c r="P713" s="6" t="str">
        <f>IF(ISNA(MATCH(704,'Transfer Engine'!$C$2:$C$1199,0)),"",HYPERLINK("#Acts!A"&amp;INDEX('Compliance Database'!$P$2:$P$1199,MATCH(704,'Transfer Engine'!$C$2:$C$1199,0)),"Go to Act"))</f>
        <v/>
      </c>
    </row>
    <row r="714" spans="1:16" ht="172.95" customHeight="1" x14ac:dyDescent="0.3">
      <c r="A714" s="6" t="str">
        <f>IF(ISNA(MATCH(705,'Transfer Engine'!$C$2:$C$1199,0)),"",INDEX('Compliance Database'!$A$2:$A$1199,MATCH(705,'Transfer Engine'!$C$2:$C$1199,0)))</f>
        <v/>
      </c>
      <c r="B714" s="6" t="str">
        <f>IF(ISNA(MATCH(705,'Transfer Engine'!$C$2:$C$1199,0)),"",INDEX('Compliance Database'!$B$2:$B$1199,MATCH(705,'Transfer Engine'!$C$2:$C$1199,0)))</f>
        <v/>
      </c>
      <c r="C714" s="6" t="str">
        <f>IF(ISNA(MATCH(705,'Transfer Engine'!$C$2:$C$1199,0)),"",INDEX('Compliance Database'!$C$2:$C$1199,MATCH(705,'Transfer Engine'!$C$2:$C$1199,0)))</f>
        <v/>
      </c>
      <c r="D714" s="7" t="str">
        <f>IF(ISNA(MATCH(705,'Transfer Engine'!$C$2:$C$1199,0)),"",INDEX('Compliance Database'!$D$2:$D$1199,MATCH(705,'Transfer Engine'!$C$2:$C$1199,0)))</f>
        <v/>
      </c>
      <c r="E714" s="6" t="str">
        <f>IF(ISNA(MATCH(705,'Transfer Engine'!$C$2:$C$1199,0)),"",INDEX('Compliance Database'!$E$2:$E$1199,MATCH(705,'Transfer Engine'!$C$2:$C$1199,0)))</f>
        <v/>
      </c>
      <c r="F714" s="6" t="str">
        <f>IF(ISNA(MATCH(705,'Transfer Engine'!$C$2:$C$1199,0)),"",INDEX('Compliance Database'!$F$2:$F$1199,MATCH(705,'Transfer Engine'!$C$2:$C$1199,0)))</f>
        <v/>
      </c>
      <c r="G714" s="6" t="str">
        <f>IF(ISNA(MATCH(705,'Transfer Engine'!$C$2:$C$1199,0)),"",INDEX('Compliance Database'!$G$2:$G$1199,MATCH(705,'Transfer Engine'!$C$2:$C$1199,0)))</f>
        <v/>
      </c>
      <c r="H714" s="7" t="str">
        <f>IF(ISNA(MATCH(705,'Transfer Engine'!$C$2:$C$1199,0)),"",INDEX('Compliance Database'!$H$2:$H$1199,MATCH(705,'Transfer Engine'!$C$2:$C$1199,0)))</f>
        <v/>
      </c>
      <c r="I714" s="7" t="str">
        <f>IF(ISNA(MATCH(705,'Transfer Engine'!$C$2:$C$1199,0)),"",INDEX('Compliance Database'!$I$2:$I$1199,MATCH(705,'Transfer Engine'!$C$2:$C$1199,0)))</f>
        <v/>
      </c>
      <c r="J714" s="6" t="str">
        <f>IF(ISNA(MATCH(705,'Transfer Engine'!$C$2:$C$1199,0)),"",INDEX('Compliance Database'!$J$2:$J$1199,MATCH(705,'Transfer Engine'!$C$2:$C$1199,0)))</f>
        <v/>
      </c>
      <c r="K714" s="7" t="str">
        <f>IF(ISNA(MATCH(705,'Transfer Engine'!$C$2:$C$1199,0)),"",INDEX('Compliance Database'!$K$2:$K$1199,MATCH(705,'Transfer Engine'!$C$2:$C$1199,0)))</f>
        <v/>
      </c>
      <c r="L714" s="7" t="str">
        <f>IF(ISNA(MATCH(705,'Transfer Engine'!$C$2:$C$1199,0)),"",INDEX('Compliance Database'!$L$2:$L$1199,MATCH(705,'Transfer Engine'!$C$2:$C$1199,0)))</f>
        <v/>
      </c>
      <c r="M714" s="7" t="str">
        <f>IF(ISNA(MATCH(705,'Transfer Engine'!$C$2:$C$1199,0)),"",INDEX('Compliance Database'!$M$2:$M$1199,MATCH(705,'Transfer Engine'!$C$2:$C$1199,0)))</f>
        <v/>
      </c>
      <c r="N714" s="7" t="str">
        <f>IF(ISNA(MATCH(705,'Transfer Engine'!$C$2:$C$1199,0)),"",INDEX('Compliance Database'!$N$2:$N$1199,MATCH(705,'Transfer Engine'!$C$2:$C$1199,0)))</f>
        <v/>
      </c>
      <c r="O714" s="7" t="str">
        <f>IF(ISNA(MATCH(705,'Transfer Engine'!$C$2:$C$1199,0)),"",INDEX('Compliance Database'!$O$2:$O$1199,MATCH(705,'Transfer Engine'!$C$2:$C$1199,0)))</f>
        <v/>
      </c>
      <c r="P714" s="6" t="str">
        <f>IF(ISNA(MATCH(705,'Transfer Engine'!$C$2:$C$1199,0)),"",HYPERLINK("#Acts!A"&amp;INDEX('Compliance Database'!$P$2:$P$1199,MATCH(705,'Transfer Engine'!$C$2:$C$1199,0)),"Go to Act"))</f>
        <v/>
      </c>
    </row>
    <row r="715" spans="1:16" ht="172.95" customHeight="1" x14ac:dyDescent="0.3">
      <c r="A715" s="6" t="str">
        <f>IF(ISNA(MATCH(706,'Transfer Engine'!$C$2:$C$1199,0)),"",INDEX('Compliance Database'!$A$2:$A$1199,MATCH(706,'Transfer Engine'!$C$2:$C$1199,0)))</f>
        <v/>
      </c>
      <c r="B715" s="6" t="str">
        <f>IF(ISNA(MATCH(706,'Transfer Engine'!$C$2:$C$1199,0)),"",INDEX('Compliance Database'!$B$2:$B$1199,MATCH(706,'Transfer Engine'!$C$2:$C$1199,0)))</f>
        <v/>
      </c>
      <c r="C715" s="6" t="str">
        <f>IF(ISNA(MATCH(706,'Transfer Engine'!$C$2:$C$1199,0)),"",INDEX('Compliance Database'!$C$2:$C$1199,MATCH(706,'Transfer Engine'!$C$2:$C$1199,0)))</f>
        <v/>
      </c>
      <c r="D715" s="7" t="str">
        <f>IF(ISNA(MATCH(706,'Transfer Engine'!$C$2:$C$1199,0)),"",INDEX('Compliance Database'!$D$2:$D$1199,MATCH(706,'Transfer Engine'!$C$2:$C$1199,0)))</f>
        <v/>
      </c>
      <c r="E715" s="6" t="str">
        <f>IF(ISNA(MATCH(706,'Transfer Engine'!$C$2:$C$1199,0)),"",INDEX('Compliance Database'!$E$2:$E$1199,MATCH(706,'Transfer Engine'!$C$2:$C$1199,0)))</f>
        <v/>
      </c>
      <c r="F715" s="6" t="str">
        <f>IF(ISNA(MATCH(706,'Transfer Engine'!$C$2:$C$1199,0)),"",INDEX('Compliance Database'!$F$2:$F$1199,MATCH(706,'Transfer Engine'!$C$2:$C$1199,0)))</f>
        <v/>
      </c>
      <c r="G715" s="6" t="str">
        <f>IF(ISNA(MATCH(706,'Transfer Engine'!$C$2:$C$1199,0)),"",INDEX('Compliance Database'!$G$2:$G$1199,MATCH(706,'Transfer Engine'!$C$2:$C$1199,0)))</f>
        <v/>
      </c>
      <c r="H715" s="7" t="str">
        <f>IF(ISNA(MATCH(706,'Transfer Engine'!$C$2:$C$1199,0)),"",INDEX('Compliance Database'!$H$2:$H$1199,MATCH(706,'Transfer Engine'!$C$2:$C$1199,0)))</f>
        <v/>
      </c>
      <c r="I715" s="7" t="str">
        <f>IF(ISNA(MATCH(706,'Transfer Engine'!$C$2:$C$1199,0)),"",INDEX('Compliance Database'!$I$2:$I$1199,MATCH(706,'Transfer Engine'!$C$2:$C$1199,0)))</f>
        <v/>
      </c>
      <c r="J715" s="6" t="str">
        <f>IF(ISNA(MATCH(706,'Transfer Engine'!$C$2:$C$1199,0)),"",INDEX('Compliance Database'!$J$2:$J$1199,MATCH(706,'Transfer Engine'!$C$2:$C$1199,0)))</f>
        <v/>
      </c>
      <c r="K715" s="7" t="str">
        <f>IF(ISNA(MATCH(706,'Transfer Engine'!$C$2:$C$1199,0)),"",INDEX('Compliance Database'!$K$2:$K$1199,MATCH(706,'Transfer Engine'!$C$2:$C$1199,0)))</f>
        <v/>
      </c>
      <c r="L715" s="7" t="str">
        <f>IF(ISNA(MATCH(706,'Transfer Engine'!$C$2:$C$1199,0)),"",INDEX('Compliance Database'!$L$2:$L$1199,MATCH(706,'Transfer Engine'!$C$2:$C$1199,0)))</f>
        <v/>
      </c>
      <c r="M715" s="7" t="str">
        <f>IF(ISNA(MATCH(706,'Transfer Engine'!$C$2:$C$1199,0)),"",INDEX('Compliance Database'!$M$2:$M$1199,MATCH(706,'Transfer Engine'!$C$2:$C$1199,0)))</f>
        <v/>
      </c>
      <c r="N715" s="7" t="str">
        <f>IF(ISNA(MATCH(706,'Transfer Engine'!$C$2:$C$1199,0)),"",INDEX('Compliance Database'!$N$2:$N$1199,MATCH(706,'Transfer Engine'!$C$2:$C$1199,0)))</f>
        <v/>
      </c>
      <c r="O715" s="7" t="str">
        <f>IF(ISNA(MATCH(706,'Transfer Engine'!$C$2:$C$1199,0)),"",INDEX('Compliance Database'!$O$2:$O$1199,MATCH(706,'Transfer Engine'!$C$2:$C$1199,0)))</f>
        <v/>
      </c>
      <c r="P715" s="6" t="str">
        <f>IF(ISNA(MATCH(706,'Transfer Engine'!$C$2:$C$1199,0)),"",HYPERLINK("#Acts!A"&amp;INDEX('Compliance Database'!$P$2:$P$1199,MATCH(706,'Transfer Engine'!$C$2:$C$1199,0)),"Go to Act"))</f>
        <v/>
      </c>
    </row>
    <row r="716" spans="1:16" ht="172.95" customHeight="1" x14ac:dyDescent="0.3">
      <c r="A716" s="6" t="str">
        <f>IF(ISNA(MATCH(707,'Transfer Engine'!$C$2:$C$1199,0)),"",INDEX('Compliance Database'!$A$2:$A$1199,MATCH(707,'Transfer Engine'!$C$2:$C$1199,0)))</f>
        <v/>
      </c>
      <c r="B716" s="6" t="str">
        <f>IF(ISNA(MATCH(707,'Transfer Engine'!$C$2:$C$1199,0)),"",INDEX('Compliance Database'!$B$2:$B$1199,MATCH(707,'Transfer Engine'!$C$2:$C$1199,0)))</f>
        <v/>
      </c>
      <c r="C716" s="6" t="str">
        <f>IF(ISNA(MATCH(707,'Transfer Engine'!$C$2:$C$1199,0)),"",INDEX('Compliance Database'!$C$2:$C$1199,MATCH(707,'Transfer Engine'!$C$2:$C$1199,0)))</f>
        <v/>
      </c>
      <c r="D716" s="7" t="str">
        <f>IF(ISNA(MATCH(707,'Transfer Engine'!$C$2:$C$1199,0)),"",INDEX('Compliance Database'!$D$2:$D$1199,MATCH(707,'Transfer Engine'!$C$2:$C$1199,0)))</f>
        <v/>
      </c>
      <c r="E716" s="6" t="str">
        <f>IF(ISNA(MATCH(707,'Transfer Engine'!$C$2:$C$1199,0)),"",INDEX('Compliance Database'!$E$2:$E$1199,MATCH(707,'Transfer Engine'!$C$2:$C$1199,0)))</f>
        <v/>
      </c>
      <c r="F716" s="6" t="str">
        <f>IF(ISNA(MATCH(707,'Transfer Engine'!$C$2:$C$1199,0)),"",INDEX('Compliance Database'!$F$2:$F$1199,MATCH(707,'Transfer Engine'!$C$2:$C$1199,0)))</f>
        <v/>
      </c>
      <c r="G716" s="6" t="str">
        <f>IF(ISNA(MATCH(707,'Transfer Engine'!$C$2:$C$1199,0)),"",INDEX('Compliance Database'!$G$2:$G$1199,MATCH(707,'Transfer Engine'!$C$2:$C$1199,0)))</f>
        <v/>
      </c>
      <c r="H716" s="7" t="str">
        <f>IF(ISNA(MATCH(707,'Transfer Engine'!$C$2:$C$1199,0)),"",INDEX('Compliance Database'!$H$2:$H$1199,MATCH(707,'Transfer Engine'!$C$2:$C$1199,0)))</f>
        <v/>
      </c>
      <c r="I716" s="7" t="str">
        <f>IF(ISNA(MATCH(707,'Transfer Engine'!$C$2:$C$1199,0)),"",INDEX('Compliance Database'!$I$2:$I$1199,MATCH(707,'Transfer Engine'!$C$2:$C$1199,0)))</f>
        <v/>
      </c>
      <c r="J716" s="6" t="str">
        <f>IF(ISNA(MATCH(707,'Transfer Engine'!$C$2:$C$1199,0)),"",INDEX('Compliance Database'!$J$2:$J$1199,MATCH(707,'Transfer Engine'!$C$2:$C$1199,0)))</f>
        <v/>
      </c>
      <c r="K716" s="7" t="str">
        <f>IF(ISNA(MATCH(707,'Transfer Engine'!$C$2:$C$1199,0)),"",INDEX('Compliance Database'!$K$2:$K$1199,MATCH(707,'Transfer Engine'!$C$2:$C$1199,0)))</f>
        <v/>
      </c>
      <c r="L716" s="7" t="str">
        <f>IF(ISNA(MATCH(707,'Transfer Engine'!$C$2:$C$1199,0)),"",INDEX('Compliance Database'!$L$2:$L$1199,MATCH(707,'Transfer Engine'!$C$2:$C$1199,0)))</f>
        <v/>
      </c>
      <c r="M716" s="7" t="str">
        <f>IF(ISNA(MATCH(707,'Transfer Engine'!$C$2:$C$1199,0)),"",INDEX('Compliance Database'!$M$2:$M$1199,MATCH(707,'Transfer Engine'!$C$2:$C$1199,0)))</f>
        <v/>
      </c>
      <c r="N716" s="7" t="str">
        <f>IF(ISNA(MATCH(707,'Transfer Engine'!$C$2:$C$1199,0)),"",INDEX('Compliance Database'!$N$2:$N$1199,MATCH(707,'Transfer Engine'!$C$2:$C$1199,0)))</f>
        <v/>
      </c>
      <c r="O716" s="7" t="str">
        <f>IF(ISNA(MATCH(707,'Transfer Engine'!$C$2:$C$1199,0)),"",INDEX('Compliance Database'!$O$2:$O$1199,MATCH(707,'Transfer Engine'!$C$2:$C$1199,0)))</f>
        <v/>
      </c>
      <c r="P716" s="6" t="str">
        <f>IF(ISNA(MATCH(707,'Transfer Engine'!$C$2:$C$1199,0)),"",HYPERLINK("#Acts!A"&amp;INDEX('Compliance Database'!$P$2:$P$1199,MATCH(707,'Transfer Engine'!$C$2:$C$1199,0)),"Go to Act"))</f>
        <v/>
      </c>
    </row>
    <row r="717" spans="1:16" ht="172.95" customHeight="1" x14ac:dyDescent="0.3">
      <c r="A717" s="6" t="str">
        <f>IF(ISNA(MATCH(708,'Transfer Engine'!$C$2:$C$1199,0)),"",INDEX('Compliance Database'!$A$2:$A$1199,MATCH(708,'Transfer Engine'!$C$2:$C$1199,0)))</f>
        <v/>
      </c>
      <c r="B717" s="6" t="str">
        <f>IF(ISNA(MATCH(708,'Transfer Engine'!$C$2:$C$1199,0)),"",INDEX('Compliance Database'!$B$2:$B$1199,MATCH(708,'Transfer Engine'!$C$2:$C$1199,0)))</f>
        <v/>
      </c>
      <c r="C717" s="6" t="str">
        <f>IF(ISNA(MATCH(708,'Transfer Engine'!$C$2:$C$1199,0)),"",INDEX('Compliance Database'!$C$2:$C$1199,MATCH(708,'Transfer Engine'!$C$2:$C$1199,0)))</f>
        <v/>
      </c>
      <c r="D717" s="7" t="str">
        <f>IF(ISNA(MATCH(708,'Transfer Engine'!$C$2:$C$1199,0)),"",INDEX('Compliance Database'!$D$2:$D$1199,MATCH(708,'Transfer Engine'!$C$2:$C$1199,0)))</f>
        <v/>
      </c>
      <c r="E717" s="6" t="str">
        <f>IF(ISNA(MATCH(708,'Transfer Engine'!$C$2:$C$1199,0)),"",INDEX('Compliance Database'!$E$2:$E$1199,MATCH(708,'Transfer Engine'!$C$2:$C$1199,0)))</f>
        <v/>
      </c>
      <c r="F717" s="6" t="str">
        <f>IF(ISNA(MATCH(708,'Transfer Engine'!$C$2:$C$1199,0)),"",INDEX('Compliance Database'!$F$2:$F$1199,MATCH(708,'Transfer Engine'!$C$2:$C$1199,0)))</f>
        <v/>
      </c>
      <c r="G717" s="6" t="str">
        <f>IF(ISNA(MATCH(708,'Transfer Engine'!$C$2:$C$1199,0)),"",INDEX('Compliance Database'!$G$2:$G$1199,MATCH(708,'Transfer Engine'!$C$2:$C$1199,0)))</f>
        <v/>
      </c>
      <c r="H717" s="7" t="str">
        <f>IF(ISNA(MATCH(708,'Transfer Engine'!$C$2:$C$1199,0)),"",INDEX('Compliance Database'!$H$2:$H$1199,MATCH(708,'Transfer Engine'!$C$2:$C$1199,0)))</f>
        <v/>
      </c>
      <c r="I717" s="7" t="str">
        <f>IF(ISNA(MATCH(708,'Transfer Engine'!$C$2:$C$1199,0)),"",INDEX('Compliance Database'!$I$2:$I$1199,MATCH(708,'Transfer Engine'!$C$2:$C$1199,0)))</f>
        <v/>
      </c>
      <c r="J717" s="6" t="str">
        <f>IF(ISNA(MATCH(708,'Transfer Engine'!$C$2:$C$1199,0)),"",INDEX('Compliance Database'!$J$2:$J$1199,MATCH(708,'Transfer Engine'!$C$2:$C$1199,0)))</f>
        <v/>
      </c>
      <c r="K717" s="7" t="str">
        <f>IF(ISNA(MATCH(708,'Transfer Engine'!$C$2:$C$1199,0)),"",INDEX('Compliance Database'!$K$2:$K$1199,MATCH(708,'Transfer Engine'!$C$2:$C$1199,0)))</f>
        <v/>
      </c>
      <c r="L717" s="7" t="str">
        <f>IF(ISNA(MATCH(708,'Transfer Engine'!$C$2:$C$1199,0)),"",INDEX('Compliance Database'!$L$2:$L$1199,MATCH(708,'Transfer Engine'!$C$2:$C$1199,0)))</f>
        <v/>
      </c>
      <c r="M717" s="7" t="str">
        <f>IF(ISNA(MATCH(708,'Transfer Engine'!$C$2:$C$1199,0)),"",INDEX('Compliance Database'!$M$2:$M$1199,MATCH(708,'Transfer Engine'!$C$2:$C$1199,0)))</f>
        <v/>
      </c>
      <c r="N717" s="7" t="str">
        <f>IF(ISNA(MATCH(708,'Transfer Engine'!$C$2:$C$1199,0)),"",INDEX('Compliance Database'!$N$2:$N$1199,MATCH(708,'Transfer Engine'!$C$2:$C$1199,0)))</f>
        <v/>
      </c>
      <c r="O717" s="7" t="str">
        <f>IF(ISNA(MATCH(708,'Transfer Engine'!$C$2:$C$1199,0)),"",INDEX('Compliance Database'!$O$2:$O$1199,MATCH(708,'Transfer Engine'!$C$2:$C$1199,0)))</f>
        <v/>
      </c>
      <c r="P717" s="6" t="str">
        <f>IF(ISNA(MATCH(708,'Transfer Engine'!$C$2:$C$1199,0)),"",HYPERLINK("#Acts!A"&amp;INDEX('Compliance Database'!$P$2:$P$1199,MATCH(708,'Transfer Engine'!$C$2:$C$1199,0)),"Go to Act"))</f>
        <v/>
      </c>
    </row>
    <row r="718" spans="1:16" ht="172.95" customHeight="1" x14ac:dyDescent="0.3">
      <c r="A718" s="6" t="str">
        <f>IF(ISNA(MATCH(709,'Transfer Engine'!$C$2:$C$1199,0)),"",INDEX('Compliance Database'!$A$2:$A$1199,MATCH(709,'Transfer Engine'!$C$2:$C$1199,0)))</f>
        <v/>
      </c>
      <c r="B718" s="6" t="str">
        <f>IF(ISNA(MATCH(709,'Transfer Engine'!$C$2:$C$1199,0)),"",INDEX('Compliance Database'!$B$2:$B$1199,MATCH(709,'Transfer Engine'!$C$2:$C$1199,0)))</f>
        <v/>
      </c>
      <c r="C718" s="6" t="str">
        <f>IF(ISNA(MATCH(709,'Transfer Engine'!$C$2:$C$1199,0)),"",INDEX('Compliance Database'!$C$2:$C$1199,MATCH(709,'Transfer Engine'!$C$2:$C$1199,0)))</f>
        <v/>
      </c>
      <c r="D718" s="7" t="str">
        <f>IF(ISNA(MATCH(709,'Transfer Engine'!$C$2:$C$1199,0)),"",INDEX('Compliance Database'!$D$2:$D$1199,MATCH(709,'Transfer Engine'!$C$2:$C$1199,0)))</f>
        <v/>
      </c>
      <c r="E718" s="6" t="str">
        <f>IF(ISNA(MATCH(709,'Transfer Engine'!$C$2:$C$1199,0)),"",INDEX('Compliance Database'!$E$2:$E$1199,MATCH(709,'Transfer Engine'!$C$2:$C$1199,0)))</f>
        <v/>
      </c>
      <c r="F718" s="6" t="str">
        <f>IF(ISNA(MATCH(709,'Transfer Engine'!$C$2:$C$1199,0)),"",INDEX('Compliance Database'!$F$2:$F$1199,MATCH(709,'Transfer Engine'!$C$2:$C$1199,0)))</f>
        <v/>
      </c>
      <c r="G718" s="6" t="str">
        <f>IF(ISNA(MATCH(709,'Transfer Engine'!$C$2:$C$1199,0)),"",INDEX('Compliance Database'!$G$2:$G$1199,MATCH(709,'Transfer Engine'!$C$2:$C$1199,0)))</f>
        <v/>
      </c>
      <c r="H718" s="7" t="str">
        <f>IF(ISNA(MATCH(709,'Transfer Engine'!$C$2:$C$1199,0)),"",INDEX('Compliance Database'!$H$2:$H$1199,MATCH(709,'Transfer Engine'!$C$2:$C$1199,0)))</f>
        <v/>
      </c>
      <c r="I718" s="7" t="str">
        <f>IF(ISNA(MATCH(709,'Transfer Engine'!$C$2:$C$1199,0)),"",INDEX('Compliance Database'!$I$2:$I$1199,MATCH(709,'Transfer Engine'!$C$2:$C$1199,0)))</f>
        <v/>
      </c>
      <c r="J718" s="6" t="str">
        <f>IF(ISNA(MATCH(709,'Transfer Engine'!$C$2:$C$1199,0)),"",INDEX('Compliance Database'!$J$2:$J$1199,MATCH(709,'Transfer Engine'!$C$2:$C$1199,0)))</f>
        <v/>
      </c>
      <c r="K718" s="7" t="str">
        <f>IF(ISNA(MATCH(709,'Transfer Engine'!$C$2:$C$1199,0)),"",INDEX('Compliance Database'!$K$2:$K$1199,MATCH(709,'Transfer Engine'!$C$2:$C$1199,0)))</f>
        <v/>
      </c>
      <c r="L718" s="7" t="str">
        <f>IF(ISNA(MATCH(709,'Transfer Engine'!$C$2:$C$1199,0)),"",INDEX('Compliance Database'!$L$2:$L$1199,MATCH(709,'Transfer Engine'!$C$2:$C$1199,0)))</f>
        <v/>
      </c>
      <c r="M718" s="7" t="str">
        <f>IF(ISNA(MATCH(709,'Transfer Engine'!$C$2:$C$1199,0)),"",INDEX('Compliance Database'!$M$2:$M$1199,MATCH(709,'Transfer Engine'!$C$2:$C$1199,0)))</f>
        <v/>
      </c>
      <c r="N718" s="7" t="str">
        <f>IF(ISNA(MATCH(709,'Transfer Engine'!$C$2:$C$1199,0)),"",INDEX('Compliance Database'!$N$2:$N$1199,MATCH(709,'Transfer Engine'!$C$2:$C$1199,0)))</f>
        <v/>
      </c>
      <c r="O718" s="7" t="str">
        <f>IF(ISNA(MATCH(709,'Transfer Engine'!$C$2:$C$1199,0)),"",INDEX('Compliance Database'!$O$2:$O$1199,MATCH(709,'Transfer Engine'!$C$2:$C$1199,0)))</f>
        <v/>
      </c>
      <c r="P718" s="6" t="str">
        <f>IF(ISNA(MATCH(709,'Transfer Engine'!$C$2:$C$1199,0)),"",HYPERLINK("#Acts!A"&amp;INDEX('Compliance Database'!$P$2:$P$1199,MATCH(709,'Transfer Engine'!$C$2:$C$1199,0)),"Go to Act"))</f>
        <v/>
      </c>
    </row>
    <row r="719" spans="1:16" ht="172.95" customHeight="1" x14ac:dyDescent="0.3">
      <c r="A719" s="6" t="str">
        <f>IF(ISNA(MATCH(710,'Transfer Engine'!$C$2:$C$1199,0)),"",INDEX('Compliance Database'!$A$2:$A$1199,MATCH(710,'Transfer Engine'!$C$2:$C$1199,0)))</f>
        <v/>
      </c>
      <c r="B719" s="6" t="str">
        <f>IF(ISNA(MATCH(710,'Transfer Engine'!$C$2:$C$1199,0)),"",INDEX('Compliance Database'!$B$2:$B$1199,MATCH(710,'Transfer Engine'!$C$2:$C$1199,0)))</f>
        <v/>
      </c>
      <c r="C719" s="6" t="str">
        <f>IF(ISNA(MATCH(710,'Transfer Engine'!$C$2:$C$1199,0)),"",INDEX('Compliance Database'!$C$2:$C$1199,MATCH(710,'Transfer Engine'!$C$2:$C$1199,0)))</f>
        <v/>
      </c>
      <c r="D719" s="7" t="str">
        <f>IF(ISNA(MATCH(710,'Transfer Engine'!$C$2:$C$1199,0)),"",INDEX('Compliance Database'!$D$2:$D$1199,MATCH(710,'Transfer Engine'!$C$2:$C$1199,0)))</f>
        <v/>
      </c>
      <c r="E719" s="6" t="str">
        <f>IF(ISNA(MATCH(710,'Transfer Engine'!$C$2:$C$1199,0)),"",INDEX('Compliance Database'!$E$2:$E$1199,MATCH(710,'Transfer Engine'!$C$2:$C$1199,0)))</f>
        <v/>
      </c>
      <c r="F719" s="6" t="str">
        <f>IF(ISNA(MATCH(710,'Transfer Engine'!$C$2:$C$1199,0)),"",INDEX('Compliance Database'!$F$2:$F$1199,MATCH(710,'Transfer Engine'!$C$2:$C$1199,0)))</f>
        <v/>
      </c>
      <c r="G719" s="6" t="str">
        <f>IF(ISNA(MATCH(710,'Transfer Engine'!$C$2:$C$1199,0)),"",INDEX('Compliance Database'!$G$2:$G$1199,MATCH(710,'Transfer Engine'!$C$2:$C$1199,0)))</f>
        <v/>
      </c>
      <c r="H719" s="7" t="str">
        <f>IF(ISNA(MATCH(710,'Transfer Engine'!$C$2:$C$1199,0)),"",INDEX('Compliance Database'!$H$2:$H$1199,MATCH(710,'Transfer Engine'!$C$2:$C$1199,0)))</f>
        <v/>
      </c>
      <c r="I719" s="7" t="str">
        <f>IF(ISNA(MATCH(710,'Transfer Engine'!$C$2:$C$1199,0)),"",INDEX('Compliance Database'!$I$2:$I$1199,MATCH(710,'Transfer Engine'!$C$2:$C$1199,0)))</f>
        <v/>
      </c>
      <c r="J719" s="6" t="str">
        <f>IF(ISNA(MATCH(710,'Transfer Engine'!$C$2:$C$1199,0)),"",INDEX('Compliance Database'!$J$2:$J$1199,MATCH(710,'Transfer Engine'!$C$2:$C$1199,0)))</f>
        <v/>
      </c>
      <c r="K719" s="7" t="str">
        <f>IF(ISNA(MATCH(710,'Transfer Engine'!$C$2:$C$1199,0)),"",INDEX('Compliance Database'!$K$2:$K$1199,MATCH(710,'Transfer Engine'!$C$2:$C$1199,0)))</f>
        <v/>
      </c>
      <c r="L719" s="7" t="str">
        <f>IF(ISNA(MATCH(710,'Transfer Engine'!$C$2:$C$1199,0)),"",INDEX('Compliance Database'!$L$2:$L$1199,MATCH(710,'Transfer Engine'!$C$2:$C$1199,0)))</f>
        <v/>
      </c>
      <c r="M719" s="7" t="str">
        <f>IF(ISNA(MATCH(710,'Transfer Engine'!$C$2:$C$1199,0)),"",INDEX('Compliance Database'!$M$2:$M$1199,MATCH(710,'Transfer Engine'!$C$2:$C$1199,0)))</f>
        <v/>
      </c>
      <c r="N719" s="7" t="str">
        <f>IF(ISNA(MATCH(710,'Transfer Engine'!$C$2:$C$1199,0)),"",INDEX('Compliance Database'!$N$2:$N$1199,MATCH(710,'Transfer Engine'!$C$2:$C$1199,0)))</f>
        <v/>
      </c>
      <c r="O719" s="7" t="str">
        <f>IF(ISNA(MATCH(710,'Transfer Engine'!$C$2:$C$1199,0)),"",INDEX('Compliance Database'!$O$2:$O$1199,MATCH(710,'Transfer Engine'!$C$2:$C$1199,0)))</f>
        <v/>
      </c>
      <c r="P719" s="6" t="str">
        <f>IF(ISNA(MATCH(710,'Transfer Engine'!$C$2:$C$1199,0)),"",HYPERLINK("#Acts!A"&amp;INDEX('Compliance Database'!$P$2:$P$1199,MATCH(710,'Transfer Engine'!$C$2:$C$1199,0)),"Go to Act"))</f>
        <v/>
      </c>
    </row>
    <row r="720" spans="1:16" ht="172.95" customHeight="1" x14ac:dyDescent="0.3">
      <c r="A720" s="6" t="str">
        <f>IF(ISNA(MATCH(711,'Transfer Engine'!$C$2:$C$1199,0)),"",INDEX('Compliance Database'!$A$2:$A$1199,MATCH(711,'Transfer Engine'!$C$2:$C$1199,0)))</f>
        <v/>
      </c>
      <c r="B720" s="6" t="str">
        <f>IF(ISNA(MATCH(711,'Transfer Engine'!$C$2:$C$1199,0)),"",INDEX('Compliance Database'!$B$2:$B$1199,MATCH(711,'Transfer Engine'!$C$2:$C$1199,0)))</f>
        <v/>
      </c>
      <c r="C720" s="6" t="str">
        <f>IF(ISNA(MATCH(711,'Transfer Engine'!$C$2:$C$1199,0)),"",INDEX('Compliance Database'!$C$2:$C$1199,MATCH(711,'Transfer Engine'!$C$2:$C$1199,0)))</f>
        <v/>
      </c>
      <c r="D720" s="7" t="str">
        <f>IF(ISNA(MATCH(711,'Transfer Engine'!$C$2:$C$1199,0)),"",INDEX('Compliance Database'!$D$2:$D$1199,MATCH(711,'Transfer Engine'!$C$2:$C$1199,0)))</f>
        <v/>
      </c>
      <c r="E720" s="6" t="str">
        <f>IF(ISNA(MATCH(711,'Transfer Engine'!$C$2:$C$1199,0)),"",INDEX('Compliance Database'!$E$2:$E$1199,MATCH(711,'Transfer Engine'!$C$2:$C$1199,0)))</f>
        <v/>
      </c>
      <c r="F720" s="6" t="str">
        <f>IF(ISNA(MATCH(711,'Transfer Engine'!$C$2:$C$1199,0)),"",INDEX('Compliance Database'!$F$2:$F$1199,MATCH(711,'Transfer Engine'!$C$2:$C$1199,0)))</f>
        <v/>
      </c>
      <c r="G720" s="6" t="str">
        <f>IF(ISNA(MATCH(711,'Transfer Engine'!$C$2:$C$1199,0)),"",INDEX('Compliance Database'!$G$2:$G$1199,MATCH(711,'Transfer Engine'!$C$2:$C$1199,0)))</f>
        <v/>
      </c>
      <c r="H720" s="7" t="str">
        <f>IF(ISNA(MATCH(711,'Transfer Engine'!$C$2:$C$1199,0)),"",INDEX('Compliance Database'!$H$2:$H$1199,MATCH(711,'Transfer Engine'!$C$2:$C$1199,0)))</f>
        <v/>
      </c>
      <c r="I720" s="7" t="str">
        <f>IF(ISNA(MATCH(711,'Transfer Engine'!$C$2:$C$1199,0)),"",INDEX('Compliance Database'!$I$2:$I$1199,MATCH(711,'Transfer Engine'!$C$2:$C$1199,0)))</f>
        <v/>
      </c>
      <c r="J720" s="6" t="str">
        <f>IF(ISNA(MATCH(711,'Transfer Engine'!$C$2:$C$1199,0)),"",INDEX('Compliance Database'!$J$2:$J$1199,MATCH(711,'Transfer Engine'!$C$2:$C$1199,0)))</f>
        <v/>
      </c>
      <c r="K720" s="7" t="str">
        <f>IF(ISNA(MATCH(711,'Transfer Engine'!$C$2:$C$1199,0)),"",INDEX('Compliance Database'!$K$2:$K$1199,MATCH(711,'Transfer Engine'!$C$2:$C$1199,0)))</f>
        <v/>
      </c>
      <c r="L720" s="7" t="str">
        <f>IF(ISNA(MATCH(711,'Transfer Engine'!$C$2:$C$1199,0)),"",INDEX('Compliance Database'!$L$2:$L$1199,MATCH(711,'Transfer Engine'!$C$2:$C$1199,0)))</f>
        <v/>
      </c>
      <c r="M720" s="7" t="str">
        <f>IF(ISNA(MATCH(711,'Transfer Engine'!$C$2:$C$1199,0)),"",INDEX('Compliance Database'!$M$2:$M$1199,MATCH(711,'Transfer Engine'!$C$2:$C$1199,0)))</f>
        <v/>
      </c>
      <c r="N720" s="7" t="str">
        <f>IF(ISNA(MATCH(711,'Transfer Engine'!$C$2:$C$1199,0)),"",INDEX('Compliance Database'!$N$2:$N$1199,MATCH(711,'Transfer Engine'!$C$2:$C$1199,0)))</f>
        <v/>
      </c>
      <c r="O720" s="7" t="str">
        <f>IF(ISNA(MATCH(711,'Transfer Engine'!$C$2:$C$1199,0)),"",INDEX('Compliance Database'!$O$2:$O$1199,MATCH(711,'Transfer Engine'!$C$2:$C$1199,0)))</f>
        <v/>
      </c>
      <c r="P720" s="6" t="str">
        <f>IF(ISNA(MATCH(711,'Transfer Engine'!$C$2:$C$1199,0)),"",HYPERLINK("#Acts!A"&amp;INDEX('Compliance Database'!$P$2:$P$1199,MATCH(711,'Transfer Engine'!$C$2:$C$1199,0)),"Go to Act"))</f>
        <v/>
      </c>
    </row>
    <row r="721" spans="1:16" ht="172.95" customHeight="1" x14ac:dyDescent="0.3">
      <c r="A721" s="6" t="str">
        <f>IF(ISNA(MATCH(712,'Transfer Engine'!$C$2:$C$1199,0)),"",INDEX('Compliance Database'!$A$2:$A$1199,MATCH(712,'Transfer Engine'!$C$2:$C$1199,0)))</f>
        <v/>
      </c>
      <c r="B721" s="6" t="str">
        <f>IF(ISNA(MATCH(712,'Transfer Engine'!$C$2:$C$1199,0)),"",INDEX('Compliance Database'!$B$2:$B$1199,MATCH(712,'Transfer Engine'!$C$2:$C$1199,0)))</f>
        <v/>
      </c>
      <c r="C721" s="6" t="str">
        <f>IF(ISNA(MATCH(712,'Transfer Engine'!$C$2:$C$1199,0)),"",INDEX('Compliance Database'!$C$2:$C$1199,MATCH(712,'Transfer Engine'!$C$2:$C$1199,0)))</f>
        <v/>
      </c>
      <c r="D721" s="7" t="str">
        <f>IF(ISNA(MATCH(712,'Transfer Engine'!$C$2:$C$1199,0)),"",INDEX('Compliance Database'!$D$2:$D$1199,MATCH(712,'Transfer Engine'!$C$2:$C$1199,0)))</f>
        <v/>
      </c>
      <c r="E721" s="6" t="str">
        <f>IF(ISNA(MATCH(712,'Transfer Engine'!$C$2:$C$1199,0)),"",INDEX('Compliance Database'!$E$2:$E$1199,MATCH(712,'Transfer Engine'!$C$2:$C$1199,0)))</f>
        <v/>
      </c>
      <c r="F721" s="6" t="str">
        <f>IF(ISNA(MATCH(712,'Transfer Engine'!$C$2:$C$1199,0)),"",INDEX('Compliance Database'!$F$2:$F$1199,MATCH(712,'Transfer Engine'!$C$2:$C$1199,0)))</f>
        <v/>
      </c>
      <c r="G721" s="6" t="str">
        <f>IF(ISNA(MATCH(712,'Transfer Engine'!$C$2:$C$1199,0)),"",INDEX('Compliance Database'!$G$2:$G$1199,MATCH(712,'Transfer Engine'!$C$2:$C$1199,0)))</f>
        <v/>
      </c>
      <c r="H721" s="7" t="str">
        <f>IF(ISNA(MATCH(712,'Transfer Engine'!$C$2:$C$1199,0)),"",INDEX('Compliance Database'!$H$2:$H$1199,MATCH(712,'Transfer Engine'!$C$2:$C$1199,0)))</f>
        <v/>
      </c>
      <c r="I721" s="7" t="str">
        <f>IF(ISNA(MATCH(712,'Transfer Engine'!$C$2:$C$1199,0)),"",INDEX('Compliance Database'!$I$2:$I$1199,MATCH(712,'Transfer Engine'!$C$2:$C$1199,0)))</f>
        <v/>
      </c>
      <c r="J721" s="6" t="str">
        <f>IF(ISNA(MATCH(712,'Transfer Engine'!$C$2:$C$1199,0)),"",INDEX('Compliance Database'!$J$2:$J$1199,MATCH(712,'Transfer Engine'!$C$2:$C$1199,0)))</f>
        <v/>
      </c>
      <c r="K721" s="7" t="str">
        <f>IF(ISNA(MATCH(712,'Transfer Engine'!$C$2:$C$1199,0)),"",INDEX('Compliance Database'!$K$2:$K$1199,MATCH(712,'Transfer Engine'!$C$2:$C$1199,0)))</f>
        <v/>
      </c>
      <c r="L721" s="7" t="str">
        <f>IF(ISNA(MATCH(712,'Transfer Engine'!$C$2:$C$1199,0)),"",INDEX('Compliance Database'!$L$2:$L$1199,MATCH(712,'Transfer Engine'!$C$2:$C$1199,0)))</f>
        <v/>
      </c>
      <c r="M721" s="7" t="str">
        <f>IF(ISNA(MATCH(712,'Transfer Engine'!$C$2:$C$1199,0)),"",INDEX('Compliance Database'!$M$2:$M$1199,MATCH(712,'Transfer Engine'!$C$2:$C$1199,0)))</f>
        <v/>
      </c>
      <c r="N721" s="7" t="str">
        <f>IF(ISNA(MATCH(712,'Transfer Engine'!$C$2:$C$1199,0)),"",INDEX('Compliance Database'!$N$2:$N$1199,MATCH(712,'Transfer Engine'!$C$2:$C$1199,0)))</f>
        <v/>
      </c>
      <c r="O721" s="7" t="str">
        <f>IF(ISNA(MATCH(712,'Transfer Engine'!$C$2:$C$1199,0)),"",INDEX('Compliance Database'!$O$2:$O$1199,MATCH(712,'Transfer Engine'!$C$2:$C$1199,0)))</f>
        <v/>
      </c>
      <c r="P721" s="6" t="str">
        <f>IF(ISNA(MATCH(712,'Transfer Engine'!$C$2:$C$1199,0)),"",HYPERLINK("#Acts!A"&amp;INDEX('Compliance Database'!$P$2:$P$1199,MATCH(712,'Transfer Engine'!$C$2:$C$1199,0)),"Go to Act"))</f>
        <v/>
      </c>
    </row>
    <row r="722" spans="1:16" ht="172.95" customHeight="1" x14ac:dyDescent="0.3">
      <c r="A722" s="6" t="str">
        <f>IF(ISNA(MATCH(713,'Transfer Engine'!$C$2:$C$1199,0)),"",INDEX('Compliance Database'!$A$2:$A$1199,MATCH(713,'Transfer Engine'!$C$2:$C$1199,0)))</f>
        <v/>
      </c>
      <c r="B722" s="6" t="str">
        <f>IF(ISNA(MATCH(713,'Transfer Engine'!$C$2:$C$1199,0)),"",INDEX('Compliance Database'!$B$2:$B$1199,MATCH(713,'Transfer Engine'!$C$2:$C$1199,0)))</f>
        <v/>
      </c>
      <c r="C722" s="6" t="str">
        <f>IF(ISNA(MATCH(713,'Transfer Engine'!$C$2:$C$1199,0)),"",INDEX('Compliance Database'!$C$2:$C$1199,MATCH(713,'Transfer Engine'!$C$2:$C$1199,0)))</f>
        <v/>
      </c>
      <c r="D722" s="7" t="str">
        <f>IF(ISNA(MATCH(713,'Transfer Engine'!$C$2:$C$1199,0)),"",INDEX('Compliance Database'!$D$2:$D$1199,MATCH(713,'Transfer Engine'!$C$2:$C$1199,0)))</f>
        <v/>
      </c>
      <c r="E722" s="6" t="str">
        <f>IF(ISNA(MATCH(713,'Transfer Engine'!$C$2:$C$1199,0)),"",INDEX('Compliance Database'!$E$2:$E$1199,MATCH(713,'Transfer Engine'!$C$2:$C$1199,0)))</f>
        <v/>
      </c>
      <c r="F722" s="6" t="str">
        <f>IF(ISNA(MATCH(713,'Transfer Engine'!$C$2:$C$1199,0)),"",INDEX('Compliance Database'!$F$2:$F$1199,MATCH(713,'Transfer Engine'!$C$2:$C$1199,0)))</f>
        <v/>
      </c>
      <c r="G722" s="6" t="str">
        <f>IF(ISNA(MATCH(713,'Transfer Engine'!$C$2:$C$1199,0)),"",INDEX('Compliance Database'!$G$2:$G$1199,MATCH(713,'Transfer Engine'!$C$2:$C$1199,0)))</f>
        <v/>
      </c>
      <c r="H722" s="7" t="str">
        <f>IF(ISNA(MATCH(713,'Transfer Engine'!$C$2:$C$1199,0)),"",INDEX('Compliance Database'!$H$2:$H$1199,MATCH(713,'Transfer Engine'!$C$2:$C$1199,0)))</f>
        <v/>
      </c>
      <c r="I722" s="7" t="str">
        <f>IF(ISNA(MATCH(713,'Transfer Engine'!$C$2:$C$1199,0)),"",INDEX('Compliance Database'!$I$2:$I$1199,MATCH(713,'Transfer Engine'!$C$2:$C$1199,0)))</f>
        <v/>
      </c>
      <c r="J722" s="6" t="str">
        <f>IF(ISNA(MATCH(713,'Transfer Engine'!$C$2:$C$1199,0)),"",INDEX('Compliance Database'!$J$2:$J$1199,MATCH(713,'Transfer Engine'!$C$2:$C$1199,0)))</f>
        <v/>
      </c>
      <c r="K722" s="7" t="str">
        <f>IF(ISNA(MATCH(713,'Transfer Engine'!$C$2:$C$1199,0)),"",INDEX('Compliance Database'!$K$2:$K$1199,MATCH(713,'Transfer Engine'!$C$2:$C$1199,0)))</f>
        <v/>
      </c>
      <c r="L722" s="7" t="str">
        <f>IF(ISNA(MATCH(713,'Transfer Engine'!$C$2:$C$1199,0)),"",INDEX('Compliance Database'!$L$2:$L$1199,MATCH(713,'Transfer Engine'!$C$2:$C$1199,0)))</f>
        <v/>
      </c>
      <c r="M722" s="7" t="str">
        <f>IF(ISNA(MATCH(713,'Transfer Engine'!$C$2:$C$1199,0)),"",INDEX('Compliance Database'!$M$2:$M$1199,MATCH(713,'Transfer Engine'!$C$2:$C$1199,0)))</f>
        <v/>
      </c>
      <c r="N722" s="7" t="str">
        <f>IF(ISNA(MATCH(713,'Transfer Engine'!$C$2:$C$1199,0)),"",INDEX('Compliance Database'!$N$2:$N$1199,MATCH(713,'Transfer Engine'!$C$2:$C$1199,0)))</f>
        <v/>
      </c>
      <c r="O722" s="7" t="str">
        <f>IF(ISNA(MATCH(713,'Transfer Engine'!$C$2:$C$1199,0)),"",INDEX('Compliance Database'!$O$2:$O$1199,MATCH(713,'Transfer Engine'!$C$2:$C$1199,0)))</f>
        <v/>
      </c>
      <c r="P722" s="6" t="str">
        <f>IF(ISNA(MATCH(713,'Transfer Engine'!$C$2:$C$1199,0)),"",HYPERLINK("#Acts!A"&amp;INDEX('Compliance Database'!$P$2:$P$1199,MATCH(713,'Transfer Engine'!$C$2:$C$1199,0)),"Go to Act"))</f>
        <v/>
      </c>
    </row>
    <row r="723" spans="1:16" ht="172.95" customHeight="1" x14ac:dyDescent="0.3">
      <c r="A723" s="6" t="str">
        <f>IF(ISNA(MATCH(714,'Transfer Engine'!$C$2:$C$1199,0)),"",INDEX('Compliance Database'!$A$2:$A$1199,MATCH(714,'Transfer Engine'!$C$2:$C$1199,0)))</f>
        <v/>
      </c>
      <c r="B723" s="6" t="str">
        <f>IF(ISNA(MATCH(714,'Transfer Engine'!$C$2:$C$1199,0)),"",INDEX('Compliance Database'!$B$2:$B$1199,MATCH(714,'Transfer Engine'!$C$2:$C$1199,0)))</f>
        <v/>
      </c>
      <c r="C723" s="6" t="str">
        <f>IF(ISNA(MATCH(714,'Transfer Engine'!$C$2:$C$1199,0)),"",INDEX('Compliance Database'!$C$2:$C$1199,MATCH(714,'Transfer Engine'!$C$2:$C$1199,0)))</f>
        <v/>
      </c>
      <c r="D723" s="7" t="str">
        <f>IF(ISNA(MATCH(714,'Transfer Engine'!$C$2:$C$1199,0)),"",INDEX('Compliance Database'!$D$2:$D$1199,MATCH(714,'Transfer Engine'!$C$2:$C$1199,0)))</f>
        <v/>
      </c>
      <c r="E723" s="6" t="str">
        <f>IF(ISNA(MATCH(714,'Transfer Engine'!$C$2:$C$1199,0)),"",INDEX('Compliance Database'!$E$2:$E$1199,MATCH(714,'Transfer Engine'!$C$2:$C$1199,0)))</f>
        <v/>
      </c>
      <c r="F723" s="6" t="str">
        <f>IF(ISNA(MATCH(714,'Transfer Engine'!$C$2:$C$1199,0)),"",INDEX('Compliance Database'!$F$2:$F$1199,MATCH(714,'Transfer Engine'!$C$2:$C$1199,0)))</f>
        <v/>
      </c>
      <c r="G723" s="6" t="str">
        <f>IF(ISNA(MATCH(714,'Transfer Engine'!$C$2:$C$1199,0)),"",INDEX('Compliance Database'!$G$2:$G$1199,MATCH(714,'Transfer Engine'!$C$2:$C$1199,0)))</f>
        <v/>
      </c>
      <c r="H723" s="7" t="str">
        <f>IF(ISNA(MATCH(714,'Transfer Engine'!$C$2:$C$1199,0)),"",INDEX('Compliance Database'!$H$2:$H$1199,MATCH(714,'Transfer Engine'!$C$2:$C$1199,0)))</f>
        <v/>
      </c>
      <c r="I723" s="7" t="str">
        <f>IF(ISNA(MATCH(714,'Transfer Engine'!$C$2:$C$1199,0)),"",INDEX('Compliance Database'!$I$2:$I$1199,MATCH(714,'Transfer Engine'!$C$2:$C$1199,0)))</f>
        <v/>
      </c>
      <c r="J723" s="6" t="str">
        <f>IF(ISNA(MATCH(714,'Transfer Engine'!$C$2:$C$1199,0)),"",INDEX('Compliance Database'!$J$2:$J$1199,MATCH(714,'Transfer Engine'!$C$2:$C$1199,0)))</f>
        <v/>
      </c>
      <c r="K723" s="7" t="str">
        <f>IF(ISNA(MATCH(714,'Transfer Engine'!$C$2:$C$1199,0)),"",INDEX('Compliance Database'!$K$2:$K$1199,MATCH(714,'Transfer Engine'!$C$2:$C$1199,0)))</f>
        <v/>
      </c>
      <c r="L723" s="7" t="str">
        <f>IF(ISNA(MATCH(714,'Transfer Engine'!$C$2:$C$1199,0)),"",INDEX('Compliance Database'!$L$2:$L$1199,MATCH(714,'Transfer Engine'!$C$2:$C$1199,0)))</f>
        <v/>
      </c>
      <c r="M723" s="7" t="str">
        <f>IF(ISNA(MATCH(714,'Transfer Engine'!$C$2:$C$1199,0)),"",INDEX('Compliance Database'!$M$2:$M$1199,MATCH(714,'Transfer Engine'!$C$2:$C$1199,0)))</f>
        <v/>
      </c>
      <c r="N723" s="7" t="str">
        <f>IF(ISNA(MATCH(714,'Transfer Engine'!$C$2:$C$1199,0)),"",INDEX('Compliance Database'!$N$2:$N$1199,MATCH(714,'Transfer Engine'!$C$2:$C$1199,0)))</f>
        <v/>
      </c>
      <c r="O723" s="7" t="str">
        <f>IF(ISNA(MATCH(714,'Transfer Engine'!$C$2:$C$1199,0)),"",INDEX('Compliance Database'!$O$2:$O$1199,MATCH(714,'Transfer Engine'!$C$2:$C$1199,0)))</f>
        <v/>
      </c>
      <c r="P723" s="6" t="str">
        <f>IF(ISNA(MATCH(714,'Transfer Engine'!$C$2:$C$1199,0)),"",HYPERLINK("#Acts!A"&amp;INDEX('Compliance Database'!$P$2:$P$1199,MATCH(714,'Transfer Engine'!$C$2:$C$1199,0)),"Go to Act"))</f>
        <v/>
      </c>
    </row>
    <row r="724" spans="1:16" ht="172.95" customHeight="1" x14ac:dyDescent="0.3">
      <c r="A724" s="6" t="str">
        <f>IF(ISNA(MATCH(715,'Transfer Engine'!$C$2:$C$1199,0)),"",INDEX('Compliance Database'!$A$2:$A$1199,MATCH(715,'Transfer Engine'!$C$2:$C$1199,0)))</f>
        <v/>
      </c>
      <c r="B724" s="6" t="str">
        <f>IF(ISNA(MATCH(715,'Transfer Engine'!$C$2:$C$1199,0)),"",INDEX('Compliance Database'!$B$2:$B$1199,MATCH(715,'Transfer Engine'!$C$2:$C$1199,0)))</f>
        <v/>
      </c>
      <c r="C724" s="6" t="str">
        <f>IF(ISNA(MATCH(715,'Transfer Engine'!$C$2:$C$1199,0)),"",INDEX('Compliance Database'!$C$2:$C$1199,MATCH(715,'Transfer Engine'!$C$2:$C$1199,0)))</f>
        <v/>
      </c>
      <c r="D724" s="7" t="str">
        <f>IF(ISNA(MATCH(715,'Transfer Engine'!$C$2:$C$1199,0)),"",INDEX('Compliance Database'!$D$2:$D$1199,MATCH(715,'Transfer Engine'!$C$2:$C$1199,0)))</f>
        <v/>
      </c>
      <c r="E724" s="6" t="str">
        <f>IF(ISNA(MATCH(715,'Transfer Engine'!$C$2:$C$1199,0)),"",INDEX('Compliance Database'!$E$2:$E$1199,MATCH(715,'Transfer Engine'!$C$2:$C$1199,0)))</f>
        <v/>
      </c>
      <c r="F724" s="6" t="str">
        <f>IF(ISNA(MATCH(715,'Transfer Engine'!$C$2:$C$1199,0)),"",INDEX('Compliance Database'!$F$2:$F$1199,MATCH(715,'Transfer Engine'!$C$2:$C$1199,0)))</f>
        <v/>
      </c>
      <c r="G724" s="6" t="str">
        <f>IF(ISNA(MATCH(715,'Transfer Engine'!$C$2:$C$1199,0)),"",INDEX('Compliance Database'!$G$2:$G$1199,MATCH(715,'Transfer Engine'!$C$2:$C$1199,0)))</f>
        <v/>
      </c>
      <c r="H724" s="7" t="str">
        <f>IF(ISNA(MATCH(715,'Transfer Engine'!$C$2:$C$1199,0)),"",INDEX('Compliance Database'!$H$2:$H$1199,MATCH(715,'Transfer Engine'!$C$2:$C$1199,0)))</f>
        <v/>
      </c>
      <c r="I724" s="7" t="str">
        <f>IF(ISNA(MATCH(715,'Transfer Engine'!$C$2:$C$1199,0)),"",INDEX('Compliance Database'!$I$2:$I$1199,MATCH(715,'Transfer Engine'!$C$2:$C$1199,0)))</f>
        <v/>
      </c>
      <c r="J724" s="6" t="str">
        <f>IF(ISNA(MATCH(715,'Transfer Engine'!$C$2:$C$1199,0)),"",INDEX('Compliance Database'!$J$2:$J$1199,MATCH(715,'Transfer Engine'!$C$2:$C$1199,0)))</f>
        <v/>
      </c>
      <c r="K724" s="7" t="str">
        <f>IF(ISNA(MATCH(715,'Transfer Engine'!$C$2:$C$1199,0)),"",INDEX('Compliance Database'!$K$2:$K$1199,MATCH(715,'Transfer Engine'!$C$2:$C$1199,0)))</f>
        <v/>
      </c>
      <c r="L724" s="7" t="str">
        <f>IF(ISNA(MATCH(715,'Transfer Engine'!$C$2:$C$1199,0)),"",INDEX('Compliance Database'!$L$2:$L$1199,MATCH(715,'Transfer Engine'!$C$2:$C$1199,0)))</f>
        <v/>
      </c>
      <c r="M724" s="7" t="str">
        <f>IF(ISNA(MATCH(715,'Transfer Engine'!$C$2:$C$1199,0)),"",INDEX('Compliance Database'!$M$2:$M$1199,MATCH(715,'Transfer Engine'!$C$2:$C$1199,0)))</f>
        <v/>
      </c>
      <c r="N724" s="7" t="str">
        <f>IF(ISNA(MATCH(715,'Transfer Engine'!$C$2:$C$1199,0)),"",INDEX('Compliance Database'!$N$2:$N$1199,MATCH(715,'Transfer Engine'!$C$2:$C$1199,0)))</f>
        <v/>
      </c>
      <c r="O724" s="7" t="str">
        <f>IF(ISNA(MATCH(715,'Transfer Engine'!$C$2:$C$1199,0)),"",INDEX('Compliance Database'!$O$2:$O$1199,MATCH(715,'Transfer Engine'!$C$2:$C$1199,0)))</f>
        <v/>
      </c>
      <c r="P724" s="6" t="str">
        <f>IF(ISNA(MATCH(715,'Transfer Engine'!$C$2:$C$1199,0)),"",HYPERLINK("#Acts!A"&amp;INDEX('Compliance Database'!$P$2:$P$1199,MATCH(715,'Transfer Engine'!$C$2:$C$1199,0)),"Go to Act"))</f>
        <v/>
      </c>
    </row>
    <row r="725" spans="1:16" ht="172.95" customHeight="1" x14ac:dyDescent="0.3">
      <c r="A725" s="6" t="str">
        <f>IF(ISNA(MATCH(716,'Transfer Engine'!$C$2:$C$1199,0)),"",INDEX('Compliance Database'!$A$2:$A$1199,MATCH(716,'Transfer Engine'!$C$2:$C$1199,0)))</f>
        <v/>
      </c>
      <c r="B725" s="6" t="str">
        <f>IF(ISNA(MATCH(716,'Transfer Engine'!$C$2:$C$1199,0)),"",INDEX('Compliance Database'!$B$2:$B$1199,MATCH(716,'Transfer Engine'!$C$2:$C$1199,0)))</f>
        <v/>
      </c>
      <c r="C725" s="6" t="str">
        <f>IF(ISNA(MATCH(716,'Transfer Engine'!$C$2:$C$1199,0)),"",INDEX('Compliance Database'!$C$2:$C$1199,MATCH(716,'Transfer Engine'!$C$2:$C$1199,0)))</f>
        <v/>
      </c>
      <c r="D725" s="7" t="str">
        <f>IF(ISNA(MATCH(716,'Transfer Engine'!$C$2:$C$1199,0)),"",INDEX('Compliance Database'!$D$2:$D$1199,MATCH(716,'Transfer Engine'!$C$2:$C$1199,0)))</f>
        <v/>
      </c>
      <c r="E725" s="6" t="str">
        <f>IF(ISNA(MATCH(716,'Transfer Engine'!$C$2:$C$1199,0)),"",INDEX('Compliance Database'!$E$2:$E$1199,MATCH(716,'Transfer Engine'!$C$2:$C$1199,0)))</f>
        <v/>
      </c>
      <c r="F725" s="6" t="str">
        <f>IF(ISNA(MATCH(716,'Transfer Engine'!$C$2:$C$1199,0)),"",INDEX('Compliance Database'!$F$2:$F$1199,MATCH(716,'Transfer Engine'!$C$2:$C$1199,0)))</f>
        <v/>
      </c>
      <c r="G725" s="6" t="str">
        <f>IF(ISNA(MATCH(716,'Transfer Engine'!$C$2:$C$1199,0)),"",INDEX('Compliance Database'!$G$2:$G$1199,MATCH(716,'Transfer Engine'!$C$2:$C$1199,0)))</f>
        <v/>
      </c>
      <c r="H725" s="7" t="str">
        <f>IF(ISNA(MATCH(716,'Transfer Engine'!$C$2:$C$1199,0)),"",INDEX('Compliance Database'!$H$2:$H$1199,MATCH(716,'Transfer Engine'!$C$2:$C$1199,0)))</f>
        <v/>
      </c>
      <c r="I725" s="7" t="str">
        <f>IF(ISNA(MATCH(716,'Transfer Engine'!$C$2:$C$1199,0)),"",INDEX('Compliance Database'!$I$2:$I$1199,MATCH(716,'Transfer Engine'!$C$2:$C$1199,0)))</f>
        <v/>
      </c>
      <c r="J725" s="6" t="str">
        <f>IF(ISNA(MATCH(716,'Transfer Engine'!$C$2:$C$1199,0)),"",INDEX('Compliance Database'!$J$2:$J$1199,MATCH(716,'Transfer Engine'!$C$2:$C$1199,0)))</f>
        <v/>
      </c>
      <c r="K725" s="7" t="str">
        <f>IF(ISNA(MATCH(716,'Transfer Engine'!$C$2:$C$1199,0)),"",INDEX('Compliance Database'!$K$2:$K$1199,MATCH(716,'Transfer Engine'!$C$2:$C$1199,0)))</f>
        <v/>
      </c>
      <c r="L725" s="7" t="str">
        <f>IF(ISNA(MATCH(716,'Transfer Engine'!$C$2:$C$1199,0)),"",INDEX('Compliance Database'!$L$2:$L$1199,MATCH(716,'Transfer Engine'!$C$2:$C$1199,0)))</f>
        <v/>
      </c>
      <c r="M725" s="7" t="str">
        <f>IF(ISNA(MATCH(716,'Transfer Engine'!$C$2:$C$1199,0)),"",INDEX('Compliance Database'!$M$2:$M$1199,MATCH(716,'Transfer Engine'!$C$2:$C$1199,0)))</f>
        <v/>
      </c>
      <c r="N725" s="7" t="str">
        <f>IF(ISNA(MATCH(716,'Transfer Engine'!$C$2:$C$1199,0)),"",INDEX('Compliance Database'!$N$2:$N$1199,MATCH(716,'Transfer Engine'!$C$2:$C$1199,0)))</f>
        <v/>
      </c>
      <c r="O725" s="7" t="str">
        <f>IF(ISNA(MATCH(716,'Transfer Engine'!$C$2:$C$1199,0)),"",INDEX('Compliance Database'!$O$2:$O$1199,MATCH(716,'Transfer Engine'!$C$2:$C$1199,0)))</f>
        <v/>
      </c>
      <c r="P725" s="6" t="str">
        <f>IF(ISNA(MATCH(716,'Transfer Engine'!$C$2:$C$1199,0)),"",HYPERLINK("#Acts!A"&amp;INDEX('Compliance Database'!$P$2:$P$1199,MATCH(716,'Transfer Engine'!$C$2:$C$1199,0)),"Go to Act"))</f>
        <v/>
      </c>
    </row>
    <row r="726" spans="1:16" ht="172.95" customHeight="1" x14ac:dyDescent="0.3">
      <c r="A726" s="6" t="str">
        <f>IF(ISNA(MATCH(717,'Transfer Engine'!$C$2:$C$1199,0)),"",INDEX('Compliance Database'!$A$2:$A$1199,MATCH(717,'Transfer Engine'!$C$2:$C$1199,0)))</f>
        <v/>
      </c>
      <c r="B726" s="6" t="str">
        <f>IF(ISNA(MATCH(717,'Transfer Engine'!$C$2:$C$1199,0)),"",INDEX('Compliance Database'!$B$2:$B$1199,MATCH(717,'Transfer Engine'!$C$2:$C$1199,0)))</f>
        <v/>
      </c>
      <c r="C726" s="6" t="str">
        <f>IF(ISNA(MATCH(717,'Transfer Engine'!$C$2:$C$1199,0)),"",INDEX('Compliance Database'!$C$2:$C$1199,MATCH(717,'Transfer Engine'!$C$2:$C$1199,0)))</f>
        <v/>
      </c>
      <c r="D726" s="7" t="str">
        <f>IF(ISNA(MATCH(717,'Transfer Engine'!$C$2:$C$1199,0)),"",INDEX('Compliance Database'!$D$2:$D$1199,MATCH(717,'Transfer Engine'!$C$2:$C$1199,0)))</f>
        <v/>
      </c>
      <c r="E726" s="6" t="str">
        <f>IF(ISNA(MATCH(717,'Transfer Engine'!$C$2:$C$1199,0)),"",INDEX('Compliance Database'!$E$2:$E$1199,MATCH(717,'Transfer Engine'!$C$2:$C$1199,0)))</f>
        <v/>
      </c>
      <c r="F726" s="6" t="str">
        <f>IF(ISNA(MATCH(717,'Transfer Engine'!$C$2:$C$1199,0)),"",INDEX('Compliance Database'!$F$2:$F$1199,MATCH(717,'Transfer Engine'!$C$2:$C$1199,0)))</f>
        <v/>
      </c>
      <c r="G726" s="6" t="str">
        <f>IF(ISNA(MATCH(717,'Transfer Engine'!$C$2:$C$1199,0)),"",INDEX('Compliance Database'!$G$2:$G$1199,MATCH(717,'Transfer Engine'!$C$2:$C$1199,0)))</f>
        <v/>
      </c>
      <c r="H726" s="7" t="str">
        <f>IF(ISNA(MATCH(717,'Transfer Engine'!$C$2:$C$1199,0)),"",INDEX('Compliance Database'!$H$2:$H$1199,MATCH(717,'Transfer Engine'!$C$2:$C$1199,0)))</f>
        <v/>
      </c>
      <c r="I726" s="7" t="str">
        <f>IF(ISNA(MATCH(717,'Transfer Engine'!$C$2:$C$1199,0)),"",INDEX('Compliance Database'!$I$2:$I$1199,MATCH(717,'Transfer Engine'!$C$2:$C$1199,0)))</f>
        <v/>
      </c>
      <c r="J726" s="6" t="str">
        <f>IF(ISNA(MATCH(717,'Transfer Engine'!$C$2:$C$1199,0)),"",INDEX('Compliance Database'!$J$2:$J$1199,MATCH(717,'Transfer Engine'!$C$2:$C$1199,0)))</f>
        <v/>
      </c>
      <c r="K726" s="7" t="str">
        <f>IF(ISNA(MATCH(717,'Transfer Engine'!$C$2:$C$1199,0)),"",INDEX('Compliance Database'!$K$2:$K$1199,MATCH(717,'Transfer Engine'!$C$2:$C$1199,0)))</f>
        <v/>
      </c>
      <c r="L726" s="7" t="str">
        <f>IF(ISNA(MATCH(717,'Transfer Engine'!$C$2:$C$1199,0)),"",INDEX('Compliance Database'!$L$2:$L$1199,MATCH(717,'Transfer Engine'!$C$2:$C$1199,0)))</f>
        <v/>
      </c>
      <c r="M726" s="7" t="str">
        <f>IF(ISNA(MATCH(717,'Transfer Engine'!$C$2:$C$1199,0)),"",INDEX('Compliance Database'!$M$2:$M$1199,MATCH(717,'Transfer Engine'!$C$2:$C$1199,0)))</f>
        <v/>
      </c>
      <c r="N726" s="7" t="str">
        <f>IF(ISNA(MATCH(717,'Transfer Engine'!$C$2:$C$1199,0)),"",INDEX('Compliance Database'!$N$2:$N$1199,MATCH(717,'Transfer Engine'!$C$2:$C$1199,0)))</f>
        <v/>
      </c>
      <c r="O726" s="7" t="str">
        <f>IF(ISNA(MATCH(717,'Transfer Engine'!$C$2:$C$1199,0)),"",INDEX('Compliance Database'!$O$2:$O$1199,MATCH(717,'Transfer Engine'!$C$2:$C$1199,0)))</f>
        <v/>
      </c>
      <c r="P726" s="6" t="str">
        <f>IF(ISNA(MATCH(717,'Transfer Engine'!$C$2:$C$1199,0)),"",HYPERLINK("#Acts!A"&amp;INDEX('Compliance Database'!$P$2:$P$1199,MATCH(717,'Transfer Engine'!$C$2:$C$1199,0)),"Go to Act"))</f>
        <v/>
      </c>
    </row>
    <row r="727" spans="1:16" ht="172.95" customHeight="1" x14ac:dyDescent="0.3">
      <c r="A727" s="6" t="str">
        <f>IF(ISNA(MATCH(718,'Transfer Engine'!$C$2:$C$1199,0)),"",INDEX('Compliance Database'!$A$2:$A$1199,MATCH(718,'Transfer Engine'!$C$2:$C$1199,0)))</f>
        <v/>
      </c>
      <c r="B727" s="6" t="str">
        <f>IF(ISNA(MATCH(718,'Transfer Engine'!$C$2:$C$1199,0)),"",INDEX('Compliance Database'!$B$2:$B$1199,MATCH(718,'Transfer Engine'!$C$2:$C$1199,0)))</f>
        <v/>
      </c>
      <c r="C727" s="6" t="str">
        <f>IF(ISNA(MATCH(718,'Transfer Engine'!$C$2:$C$1199,0)),"",INDEX('Compliance Database'!$C$2:$C$1199,MATCH(718,'Transfer Engine'!$C$2:$C$1199,0)))</f>
        <v/>
      </c>
      <c r="D727" s="7" t="str">
        <f>IF(ISNA(MATCH(718,'Transfer Engine'!$C$2:$C$1199,0)),"",INDEX('Compliance Database'!$D$2:$D$1199,MATCH(718,'Transfer Engine'!$C$2:$C$1199,0)))</f>
        <v/>
      </c>
      <c r="E727" s="6" t="str">
        <f>IF(ISNA(MATCH(718,'Transfer Engine'!$C$2:$C$1199,0)),"",INDEX('Compliance Database'!$E$2:$E$1199,MATCH(718,'Transfer Engine'!$C$2:$C$1199,0)))</f>
        <v/>
      </c>
      <c r="F727" s="6" t="str">
        <f>IF(ISNA(MATCH(718,'Transfer Engine'!$C$2:$C$1199,0)),"",INDEX('Compliance Database'!$F$2:$F$1199,MATCH(718,'Transfer Engine'!$C$2:$C$1199,0)))</f>
        <v/>
      </c>
      <c r="G727" s="6" t="str">
        <f>IF(ISNA(MATCH(718,'Transfer Engine'!$C$2:$C$1199,0)),"",INDEX('Compliance Database'!$G$2:$G$1199,MATCH(718,'Transfer Engine'!$C$2:$C$1199,0)))</f>
        <v/>
      </c>
      <c r="H727" s="7" t="str">
        <f>IF(ISNA(MATCH(718,'Transfer Engine'!$C$2:$C$1199,0)),"",INDEX('Compliance Database'!$H$2:$H$1199,MATCH(718,'Transfer Engine'!$C$2:$C$1199,0)))</f>
        <v/>
      </c>
      <c r="I727" s="7" t="str">
        <f>IF(ISNA(MATCH(718,'Transfer Engine'!$C$2:$C$1199,0)),"",INDEX('Compliance Database'!$I$2:$I$1199,MATCH(718,'Transfer Engine'!$C$2:$C$1199,0)))</f>
        <v/>
      </c>
      <c r="J727" s="6" t="str">
        <f>IF(ISNA(MATCH(718,'Transfer Engine'!$C$2:$C$1199,0)),"",INDEX('Compliance Database'!$J$2:$J$1199,MATCH(718,'Transfer Engine'!$C$2:$C$1199,0)))</f>
        <v/>
      </c>
      <c r="K727" s="7" t="str">
        <f>IF(ISNA(MATCH(718,'Transfer Engine'!$C$2:$C$1199,0)),"",INDEX('Compliance Database'!$K$2:$K$1199,MATCH(718,'Transfer Engine'!$C$2:$C$1199,0)))</f>
        <v/>
      </c>
      <c r="L727" s="7" t="str">
        <f>IF(ISNA(MATCH(718,'Transfer Engine'!$C$2:$C$1199,0)),"",INDEX('Compliance Database'!$L$2:$L$1199,MATCH(718,'Transfer Engine'!$C$2:$C$1199,0)))</f>
        <v/>
      </c>
      <c r="M727" s="7" t="str">
        <f>IF(ISNA(MATCH(718,'Transfer Engine'!$C$2:$C$1199,0)),"",INDEX('Compliance Database'!$M$2:$M$1199,MATCH(718,'Transfer Engine'!$C$2:$C$1199,0)))</f>
        <v/>
      </c>
      <c r="N727" s="7" t="str">
        <f>IF(ISNA(MATCH(718,'Transfer Engine'!$C$2:$C$1199,0)),"",INDEX('Compliance Database'!$N$2:$N$1199,MATCH(718,'Transfer Engine'!$C$2:$C$1199,0)))</f>
        <v/>
      </c>
      <c r="O727" s="7" t="str">
        <f>IF(ISNA(MATCH(718,'Transfer Engine'!$C$2:$C$1199,0)),"",INDEX('Compliance Database'!$O$2:$O$1199,MATCH(718,'Transfer Engine'!$C$2:$C$1199,0)))</f>
        <v/>
      </c>
      <c r="P727" s="6" t="str">
        <f>IF(ISNA(MATCH(718,'Transfer Engine'!$C$2:$C$1199,0)),"",HYPERLINK("#Acts!A"&amp;INDEX('Compliance Database'!$P$2:$P$1199,MATCH(718,'Transfer Engine'!$C$2:$C$1199,0)),"Go to Act"))</f>
        <v/>
      </c>
    </row>
    <row r="728" spans="1:16" ht="172.95" customHeight="1" x14ac:dyDescent="0.3">
      <c r="A728" s="6" t="str">
        <f>IF(ISNA(MATCH(719,'Transfer Engine'!$C$2:$C$1199,0)),"",INDEX('Compliance Database'!$A$2:$A$1199,MATCH(719,'Transfer Engine'!$C$2:$C$1199,0)))</f>
        <v/>
      </c>
      <c r="B728" s="6" t="str">
        <f>IF(ISNA(MATCH(719,'Transfer Engine'!$C$2:$C$1199,0)),"",INDEX('Compliance Database'!$B$2:$B$1199,MATCH(719,'Transfer Engine'!$C$2:$C$1199,0)))</f>
        <v/>
      </c>
      <c r="C728" s="6" t="str">
        <f>IF(ISNA(MATCH(719,'Transfer Engine'!$C$2:$C$1199,0)),"",INDEX('Compliance Database'!$C$2:$C$1199,MATCH(719,'Transfer Engine'!$C$2:$C$1199,0)))</f>
        <v/>
      </c>
      <c r="D728" s="7" t="str">
        <f>IF(ISNA(MATCH(719,'Transfer Engine'!$C$2:$C$1199,0)),"",INDEX('Compliance Database'!$D$2:$D$1199,MATCH(719,'Transfer Engine'!$C$2:$C$1199,0)))</f>
        <v/>
      </c>
      <c r="E728" s="6" t="str">
        <f>IF(ISNA(MATCH(719,'Transfer Engine'!$C$2:$C$1199,0)),"",INDEX('Compliance Database'!$E$2:$E$1199,MATCH(719,'Transfer Engine'!$C$2:$C$1199,0)))</f>
        <v/>
      </c>
      <c r="F728" s="6" t="str">
        <f>IF(ISNA(MATCH(719,'Transfer Engine'!$C$2:$C$1199,0)),"",INDEX('Compliance Database'!$F$2:$F$1199,MATCH(719,'Transfer Engine'!$C$2:$C$1199,0)))</f>
        <v/>
      </c>
      <c r="G728" s="6" t="str">
        <f>IF(ISNA(MATCH(719,'Transfer Engine'!$C$2:$C$1199,0)),"",INDEX('Compliance Database'!$G$2:$G$1199,MATCH(719,'Transfer Engine'!$C$2:$C$1199,0)))</f>
        <v/>
      </c>
      <c r="H728" s="7" t="str">
        <f>IF(ISNA(MATCH(719,'Transfer Engine'!$C$2:$C$1199,0)),"",INDEX('Compliance Database'!$H$2:$H$1199,MATCH(719,'Transfer Engine'!$C$2:$C$1199,0)))</f>
        <v/>
      </c>
      <c r="I728" s="7" t="str">
        <f>IF(ISNA(MATCH(719,'Transfer Engine'!$C$2:$C$1199,0)),"",INDEX('Compliance Database'!$I$2:$I$1199,MATCH(719,'Transfer Engine'!$C$2:$C$1199,0)))</f>
        <v/>
      </c>
      <c r="J728" s="6" t="str">
        <f>IF(ISNA(MATCH(719,'Transfer Engine'!$C$2:$C$1199,0)),"",INDEX('Compliance Database'!$J$2:$J$1199,MATCH(719,'Transfer Engine'!$C$2:$C$1199,0)))</f>
        <v/>
      </c>
      <c r="K728" s="7" t="str">
        <f>IF(ISNA(MATCH(719,'Transfer Engine'!$C$2:$C$1199,0)),"",INDEX('Compliance Database'!$K$2:$K$1199,MATCH(719,'Transfer Engine'!$C$2:$C$1199,0)))</f>
        <v/>
      </c>
      <c r="L728" s="7" t="str">
        <f>IF(ISNA(MATCH(719,'Transfer Engine'!$C$2:$C$1199,0)),"",INDEX('Compliance Database'!$L$2:$L$1199,MATCH(719,'Transfer Engine'!$C$2:$C$1199,0)))</f>
        <v/>
      </c>
      <c r="M728" s="7" t="str">
        <f>IF(ISNA(MATCH(719,'Transfer Engine'!$C$2:$C$1199,0)),"",INDEX('Compliance Database'!$M$2:$M$1199,MATCH(719,'Transfer Engine'!$C$2:$C$1199,0)))</f>
        <v/>
      </c>
      <c r="N728" s="7" t="str">
        <f>IF(ISNA(MATCH(719,'Transfer Engine'!$C$2:$C$1199,0)),"",INDEX('Compliance Database'!$N$2:$N$1199,MATCH(719,'Transfer Engine'!$C$2:$C$1199,0)))</f>
        <v/>
      </c>
      <c r="O728" s="7" t="str">
        <f>IF(ISNA(MATCH(719,'Transfer Engine'!$C$2:$C$1199,0)),"",INDEX('Compliance Database'!$O$2:$O$1199,MATCH(719,'Transfer Engine'!$C$2:$C$1199,0)))</f>
        <v/>
      </c>
      <c r="P728" s="6" t="str">
        <f>IF(ISNA(MATCH(719,'Transfer Engine'!$C$2:$C$1199,0)),"",HYPERLINK("#Acts!A"&amp;INDEX('Compliance Database'!$P$2:$P$1199,MATCH(719,'Transfer Engine'!$C$2:$C$1199,0)),"Go to Act"))</f>
        <v/>
      </c>
    </row>
    <row r="729" spans="1:16" ht="172.95" customHeight="1" x14ac:dyDescent="0.3">
      <c r="A729" s="6" t="str">
        <f>IF(ISNA(MATCH(720,'Transfer Engine'!$C$2:$C$1199,0)),"",INDEX('Compliance Database'!$A$2:$A$1199,MATCH(720,'Transfer Engine'!$C$2:$C$1199,0)))</f>
        <v/>
      </c>
      <c r="B729" s="6" t="str">
        <f>IF(ISNA(MATCH(720,'Transfer Engine'!$C$2:$C$1199,0)),"",INDEX('Compliance Database'!$B$2:$B$1199,MATCH(720,'Transfer Engine'!$C$2:$C$1199,0)))</f>
        <v/>
      </c>
      <c r="C729" s="6" t="str">
        <f>IF(ISNA(MATCH(720,'Transfer Engine'!$C$2:$C$1199,0)),"",INDEX('Compliance Database'!$C$2:$C$1199,MATCH(720,'Transfer Engine'!$C$2:$C$1199,0)))</f>
        <v/>
      </c>
      <c r="D729" s="7" t="str">
        <f>IF(ISNA(MATCH(720,'Transfer Engine'!$C$2:$C$1199,0)),"",INDEX('Compliance Database'!$D$2:$D$1199,MATCH(720,'Transfer Engine'!$C$2:$C$1199,0)))</f>
        <v/>
      </c>
      <c r="E729" s="6" t="str">
        <f>IF(ISNA(MATCH(720,'Transfer Engine'!$C$2:$C$1199,0)),"",INDEX('Compliance Database'!$E$2:$E$1199,MATCH(720,'Transfer Engine'!$C$2:$C$1199,0)))</f>
        <v/>
      </c>
      <c r="F729" s="6" t="str">
        <f>IF(ISNA(MATCH(720,'Transfer Engine'!$C$2:$C$1199,0)),"",INDEX('Compliance Database'!$F$2:$F$1199,MATCH(720,'Transfer Engine'!$C$2:$C$1199,0)))</f>
        <v/>
      </c>
      <c r="G729" s="6" t="str">
        <f>IF(ISNA(MATCH(720,'Transfer Engine'!$C$2:$C$1199,0)),"",INDEX('Compliance Database'!$G$2:$G$1199,MATCH(720,'Transfer Engine'!$C$2:$C$1199,0)))</f>
        <v/>
      </c>
      <c r="H729" s="7" t="str">
        <f>IF(ISNA(MATCH(720,'Transfer Engine'!$C$2:$C$1199,0)),"",INDEX('Compliance Database'!$H$2:$H$1199,MATCH(720,'Transfer Engine'!$C$2:$C$1199,0)))</f>
        <v/>
      </c>
      <c r="I729" s="7" t="str">
        <f>IF(ISNA(MATCH(720,'Transfer Engine'!$C$2:$C$1199,0)),"",INDEX('Compliance Database'!$I$2:$I$1199,MATCH(720,'Transfer Engine'!$C$2:$C$1199,0)))</f>
        <v/>
      </c>
      <c r="J729" s="6" t="str">
        <f>IF(ISNA(MATCH(720,'Transfer Engine'!$C$2:$C$1199,0)),"",INDEX('Compliance Database'!$J$2:$J$1199,MATCH(720,'Transfer Engine'!$C$2:$C$1199,0)))</f>
        <v/>
      </c>
      <c r="K729" s="7" t="str">
        <f>IF(ISNA(MATCH(720,'Transfer Engine'!$C$2:$C$1199,0)),"",INDEX('Compliance Database'!$K$2:$K$1199,MATCH(720,'Transfer Engine'!$C$2:$C$1199,0)))</f>
        <v/>
      </c>
      <c r="L729" s="7" t="str">
        <f>IF(ISNA(MATCH(720,'Transfer Engine'!$C$2:$C$1199,0)),"",INDEX('Compliance Database'!$L$2:$L$1199,MATCH(720,'Transfer Engine'!$C$2:$C$1199,0)))</f>
        <v/>
      </c>
      <c r="M729" s="7" t="str">
        <f>IF(ISNA(MATCH(720,'Transfer Engine'!$C$2:$C$1199,0)),"",INDEX('Compliance Database'!$M$2:$M$1199,MATCH(720,'Transfer Engine'!$C$2:$C$1199,0)))</f>
        <v/>
      </c>
      <c r="N729" s="7" t="str">
        <f>IF(ISNA(MATCH(720,'Transfer Engine'!$C$2:$C$1199,0)),"",INDEX('Compliance Database'!$N$2:$N$1199,MATCH(720,'Transfer Engine'!$C$2:$C$1199,0)))</f>
        <v/>
      </c>
      <c r="O729" s="7" t="str">
        <f>IF(ISNA(MATCH(720,'Transfer Engine'!$C$2:$C$1199,0)),"",INDEX('Compliance Database'!$O$2:$O$1199,MATCH(720,'Transfer Engine'!$C$2:$C$1199,0)))</f>
        <v/>
      </c>
      <c r="P729" s="6" t="str">
        <f>IF(ISNA(MATCH(720,'Transfer Engine'!$C$2:$C$1199,0)),"",HYPERLINK("#Acts!A"&amp;INDEX('Compliance Database'!$P$2:$P$1199,MATCH(720,'Transfer Engine'!$C$2:$C$1199,0)),"Go to Act"))</f>
        <v/>
      </c>
    </row>
    <row r="730" spans="1:16" ht="172.95" customHeight="1" x14ac:dyDescent="0.3">
      <c r="A730" s="6" t="str">
        <f>IF(ISNA(MATCH(721,'Transfer Engine'!$C$2:$C$1199,0)),"",INDEX('Compliance Database'!$A$2:$A$1199,MATCH(721,'Transfer Engine'!$C$2:$C$1199,0)))</f>
        <v/>
      </c>
      <c r="B730" s="6" t="str">
        <f>IF(ISNA(MATCH(721,'Transfer Engine'!$C$2:$C$1199,0)),"",INDEX('Compliance Database'!$B$2:$B$1199,MATCH(721,'Transfer Engine'!$C$2:$C$1199,0)))</f>
        <v/>
      </c>
      <c r="C730" s="6" t="str">
        <f>IF(ISNA(MATCH(721,'Transfer Engine'!$C$2:$C$1199,0)),"",INDEX('Compliance Database'!$C$2:$C$1199,MATCH(721,'Transfer Engine'!$C$2:$C$1199,0)))</f>
        <v/>
      </c>
      <c r="D730" s="7" t="str">
        <f>IF(ISNA(MATCH(721,'Transfer Engine'!$C$2:$C$1199,0)),"",INDEX('Compliance Database'!$D$2:$D$1199,MATCH(721,'Transfer Engine'!$C$2:$C$1199,0)))</f>
        <v/>
      </c>
      <c r="E730" s="6" t="str">
        <f>IF(ISNA(MATCH(721,'Transfer Engine'!$C$2:$C$1199,0)),"",INDEX('Compliance Database'!$E$2:$E$1199,MATCH(721,'Transfer Engine'!$C$2:$C$1199,0)))</f>
        <v/>
      </c>
      <c r="F730" s="6" t="str">
        <f>IF(ISNA(MATCH(721,'Transfer Engine'!$C$2:$C$1199,0)),"",INDEX('Compliance Database'!$F$2:$F$1199,MATCH(721,'Transfer Engine'!$C$2:$C$1199,0)))</f>
        <v/>
      </c>
      <c r="G730" s="6" t="str">
        <f>IF(ISNA(MATCH(721,'Transfer Engine'!$C$2:$C$1199,0)),"",INDEX('Compliance Database'!$G$2:$G$1199,MATCH(721,'Transfer Engine'!$C$2:$C$1199,0)))</f>
        <v/>
      </c>
      <c r="H730" s="7" t="str">
        <f>IF(ISNA(MATCH(721,'Transfer Engine'!$C$2:$C$1199,0)),"",INDEX('Compliance Database'!$H$2:$H$1199,MATCH(721,'Transfer Engine'!$C$2:$C$1199,0)))</f>
        <v/>
      </c>
      <c r="I730" s="7" t="str">
        <f>IF(ISNA(MATCH(721,'Transfer Engine'!$C$2:$C$1199,0)),"",INDEX('Compliance Database'!$I$2:$I$1199,MATCH(721,'Transfer Engine'!$C$2:$C$1199,0)))</f>
        <v/>
      </c>
      <c r="J730" s="6" t="str">
        <f>IF(ISNA(MATCH(721,'Transfer Engine'!$C$2:$C$1199,0)),"",INDEX('Compliance Database'!$J$2:$J$1199,MATCH(721,'Transfer Engine'!$C$2:$C$1199,0)))</f>
        <v/>
      </c>
      <c r="K730" s="7" t="str">
        <f>IF(ISNA(MATCH(721,'Transfer Engine'!$C$2:$C$1199,0)),"",INDEX('Compliance Database'!$K$2:$K$1199,MATCH(721,'Transfer Engine'!$C$2:$C$1199,0)))</f>
        <v/>
      </c>
      <c r="L730" s="7" t="str">
        <f>IF(ISNA(MATCH(721,'Transfer Engine'!$C$2:$C$1199,0)),"",INDEX('Compliance Database'!$L$2:$L$1199,MATCH(721,'Transfer Engine'!$C$2:$C$1199,0)))</f>
        <v/>
      </c>
      <c r="M730" s="7" t="str">
        <f>IF(ISNA(MATCH(721,'Transfer Engine'!$C$2:$C$1199,0)),"",INDEX('Compliance Database'!$M$2:$M$1199,MATCH(721,'Transfer Engine'!$C$2:$C$1199,0)))</f>
        <v/>
      </c>
      <c r="N730" s="7" t="str">
        <f>IF(ISNA(MATCH(721,'Transfer Engine'!$C$2:$C$1199,0)),"",INDEX('Compliance Database'!$N$2:$N$1199,MATCH(721,'Transfer Engine'!$C$2:$C$1199,0)))</f>
        <v/>
      </c>
      <c r="O730" s="7" t="str">
        <f>IF(ISNA(MATCH(721,'Transfer Engine'!$C$2:$C$1199,0)),"",INDEX('Compliance Database'!$O$2:$O$1199,MATCH(721,'Transfer Engine'!$C$2:$C$1199,0)))</f>
        <v/>
      </c>
      <c r="P730" s="6" t="str">
        <f>IF(ISNA(MATCH(721,'Transfer Engine'!$C$2:$C$1199,0)),"",HYPERLINK("#Acts!A"&amp;INDEX('Compliance Database'!$P$2:$P$1199,MATCH(721,'Transfer Engine'!$C$2:$C$1199,0)),"Go to Act"))</f>
        <v/>
      </c>
    </row>
    <row r="731" spans="1:16" ht="172.95" customHeight="1" x14ac:dyDescent="0.3">
      <c r="A731" s="6" t="str">
        <f>IF(ISNA(MATCH(722,'Transfer Engine'!$C$2:$C$1199,0)),"",INDEX('Compliance Database'!$A$2:$A$1199,MATCH(722,'Transfer Engine'!$C$2:$C$1199,0)))</f>
        <v/>
      </c>
      <c r="B731" s="6" t="str">
        <f>IF(ISNA(MATCH(722,'Transfer Engine'!$C$2:$C$1199,0)),"",INDEX('Compliance Database'!$B$2:$B$1199,MATCH(722,'Transfer Engine'!$C$2:$C$1199,0)))</f>
        <v/>
      </c>
      <c r="C731" s="6" t="str">
        <f>IF(ISNA(MATCH(722,'Transfer Engine'!$C$2:$C$1199,0)),"",INDEX('Compliance Database'!$C$2:$C$1199,MATCH(722,'Transfer Engine'!$C$2:$C$1199,0)))</f>
        <v/>
      </c>
      <c r="D731" s="7" t="str">
        <f>IF(ISNA(MATCH(722,'Transfer Engine'!$C$2:$C$1199,0)),"",INDEX('Compliance Database'!$D$2:$D$1199,MATCH(722,'Transfer Engine'!$C$2:$C$1199,0)))</f>
        <v/>
      </c>
      <c r="E731" s="6" t="str">
        <f>IF(ISNA(MATCH(722,'Transfer Engine'!$C$2:$C$1199,0)),"",INDEX('Compliance Database'!$E$2:$E$1199,MATCH(722,'Transfer Engine'!$C$2:$C$1199,0)))</f>
        <v/>
      </c>
      <c r="F731" s="6" t="str">
        <f>IF(ISNA(MATCH(722,'Transfer Engine'!$C$2:$C$1199,0)),"",INDEX('Compliance Database'!$F$2:$F$1199,MATCH(722,'Transfer Engine'!$C$2:$C$1199,0)))</f>
        <v/>
      </c>
      <c r="G731" s="6" t="str">
        <f>IF(ISNA(MATCH(722,'Transfer Engine'!$C$2:$C$1199,0)),"",INDEX('Compliance Database'!$G$2:$G$1199,MATCH(722,'Transfer Engine'!$C$2:$C$1199,0)))</f>
        <v/>
      </c>
      <c r="H731" s="7" t="str">
        <f>IF(ISNA(MATCH(722,'Transfer Engine'!$C$2:$C$1199,0)),"",INDEX('Compliance Database'!$H$2:$H$1199,MATCH(722,'Transfer Engine'!$C$2:$C$1199,0)))</f>
        <v/>
      </c>
      <c r="I731" s="7" t="str">
        <f>IF(ISNA(MATCH(722,'Transfer Engine'!$C$2:$C$1199,0)),"",INDEX('Compliance Database'!$I$2:$I$1199,MATCH(722,'Transfer Engine'!$C$2:$C$1199,0)))</f>
        <v/>
      </c>
      <c r="J731" s="6" t="str">
        <f>IF(ISNA(MATCH(722,'Transfer Engine'!$C$2:$C$1199,0)),"",INDEX('Compliance Database'!$J$2:$J$1199,MATCH(722,'Transfer Engine'!$C$2:$C$1199,0)))</f>
        <v/>
      </c>
      <c r="K731" s="7" t="str">
        <f>IF(ISNA(MATCH(722,'Transfer Engine'!$C$2:$C$1199,0)),"",INDEX('Compliance Database'!$K$2:$K$1199,MATCH(722,'Transfer Engine'!$C$2:$C$1199,0)))</f>
        <v/>
      </c>
      <c r="L731" s="7" t="str">
        <f>IF(ISNA(MATCH(722,'Transfer Engine'!$C$2:$C$1199,0)),"",INDEX('Compliance Database'!$L$2:$L$1199,MATCH(722,'Transfer Engine'!$C$2:$C$1199,0)))</f>
        <v/>
      </c>
      <c r="M731" s="7" t="str">
        <f>IF(ISNA(MATCH(722,'Transfer Engine'!$C$2:$C$1199,0)),"",INDEX('Compliance Database'!$M$2:$M$1199,MATCH(722,'Transfer Engine'!$C$2:$C$1199,0)))</f>
        <v/>
      </c>
      <c r="N731" s="7" t="str">
        <f>IF(ISNA(MATCH(722,'Transfer Engine'!$C$2:$C$1199,0)),"",INDEX('Compliance Database'!$N$2:$N$1199,MATCH(722,'Transfer Engine'!$C$2:$C$1199,0)))</f>
        <v/>
      </c>
      <c r="O731" s="7" t="str">
        <f>IF(ISNA(MATCH(722,'Transfer Engine'!$C$2:$C$1199,0)),"",INDEX('Compliance Database'!$O$2:$O$1199,MATCH(722,'Transfer Engine'!$C$2:$C$1199,0)))</f>
        <v/>
      </c>
      <c r="P731" s="6" t="str">
        <f>IF(ISNA(MATCH(722,'Transfer Engine'!$C$2:$C$1199,0)),"",HYPERLINK("#Acts!A"&amp;INDEX('Compliance Database'!$P$2:$P$1199,MATCH(722,'Transfer Engine'!$C$2:$C$1199,0)),"Go to Act"))</f>
        <v/>
      </c>
    </row>
    <row r="732" spans="1:16" ht="172.95" customHeight="1" x14ac:dyDescent="0.3">
      <c r="A732" s="6" t="str">
        <f>IF(ISNA(MATCH(723,'Transfer Engine'!$C$2:$C$1199,0)),"",INDEX('Compliance Database'!$A$2:$A$1199,MATCH(723,'Transfer Engine'!$C$2:$C$1199,0)))</f>
        <v/>
      </c>
      <c r="B732" s="6" t="str">
        <f>IF(ISNA(MATCH(723,'Transfer Engine'!$C$2:$C$1199,0)),"",INDEX('Compliance Database'!$B$2:$B$1199,MATCH(723,'Transfer Engine'!$C$2:$C$1199,0)))</f>
        <v/>
      </c>
      <c r="C732" s="6" t="str">
        <f>IF(ISNA(MATCH(723,'Transfer Engine'!$C$2:$C$1199,0)),"",INDEX('Compliance Database'!$C$2:$C$1199,MATCH(723,'Transfer Engine'!$C$2:$C$1199,0)))</f>
        <v/>
      </c>
      <c r="D732" s="7" t="str">
        <f>IF(ISNA(MATCH(723,'Transfer Engine'!$C$2:$C$1199,0)),"",INDEX('Compliance Database'!$D$2:$D$1199,MATCH(723,'Transfer Engine'!$C$2:$C$1199,0)))</f>
        <v/>
      </c>
      <c r="E732" s="6" t="str">
        <f>IF(ISNA(MATCH(723,'Transfer Engine'!$C$2:$C$1199,0)),"",INDEX('Compliance Database'!$E$2:$E$1199,MATCH(723,'Transfer Engine'!$C$2:$C$1199,0)))</f>
        <v/>
      </c>
      <c r="F732" s="6" t="str">
        <f>IF(ISNA(MATCH(723,'Transfer Engine'!$C$2:$C$1199,0)),"",INDEX('Compliance Database'!$F$2:$F$1199,MATCH(723,'Transfer Engine'!$C$2:$C$1199,0)))</f>
        <v/>
      </c>
      <c r="G732" s="6" t="str">
        <f>IF(ISNA(MATCH(723,'Transfer Engine'!$C$2:$C$1199,0)),"",INDEX('Compliance Database'!$G$2:$G$1199,MATCH(723,'Transfer Engine'!$C$2:$C$1199,0)))</f>
        <v/>
      </c>
      <c r="H732" s="7" t="str">
        <f>IF(ISNA(MATCH(723,'Transfer Engine'!$C$2:$C$1199,0)),"",INDEX('Compliance Database'!$H$2:$H$1199,MATCH(723,'Transfer Engine'!$C$2:$C$1199,0)))</f>
        <v/>
      </c>
      <c r="I732" s="7" t="str">
        <f>IF(ISNA(MATCH(723,'Transfer Engine'!$C$2:$C$1199,0)),"",INDEX('Compliance Database'!$I$2:$I$1199,MATCH(723,'Transfer Engine'!$C$2:$C$1199,0)))</f>
        <v/>
      </c>
      <c r="J732" s="6" t="str">
        <f>IF(ISNA(MATCH(723,'Transfer Engine'!$C$2:$C$1199,0)),"",INDEX('Compliance Database'!$J$2:$J$1199,MATCH(723,'Transfer Engine'!$C$2:$C$1199,0)))</f>
        <v/>
      </c>
      <c r="K732" s="7" t="str">
        <f>IF(ISNA(MATCH(723,'Transfer Engine'!$C$2:$C$1199,0)),"",INDEX('Compliance Database'!$K$2:$K$1199,MATCH(723,'Transfer Engine'!$C$2:$C$1199,0)))</f>
        <v/>
      </c>
      <c r="L732" s="7" t="str">
        <f>IF(ISNA(MATCH(723,'Transfer Engine'!$C$2:$C$1199,0)),"",INDEX('Compliance Database'!$L$2:$L$1199,MATCH(723,'Transfer Engine'!$C$2:$C$1199,0)))</f>
        <v/>
      </c>
      <c r="M732" s="7" t="str">
        <f>IF(ISNA(MATCH(723,'Transfer Engine'!$C$2:$C$1199,0)),"",INDEX('Compliance Database'!$M$2:$M$1199,MATCH(723,'Transfer Engine'!$C$2:$C$1199,0)))</f>
        <v/>
      </c>
      <c r="N732" s="7" t="str">
        <f>IF(ISNA(MATCH(723,'Transfer Engine'!$C$2:$C$1199,0)),"",INDEX('Compliance Database'!$N$2:$N$1199,MATCH(723,'Transfer Engine'!$C$2:$C$1199,0)))</f>
        <v/>
      </c>
      <c r="O732" s="7" t="str">
        <f>IF(ISNA(MATCH(723,'Transfer Engine'!$C$2:$C$1199,0)),"",INDEX('Compliance Database'!$O$2:$O$1199,MATCH(723,'Transfer Engine'!$C$2:$C$1199,0)))</f>
        <v/>
      </c>
      <c r="P732" s="6" t="str">
        <f>IF(ISNA(MATCH(723,'Transfer Engine'!$C$2:$C$1199,0)),"",HYPERLINK("#Acts!A"&amp;INDEX('Compliance Database'!$P$2:$P$1199,MATCH(723,'Transfer Engine'!$C$2:$C$1199,0)),"Go to Act"))</f>
        <v/>
      </c>
    </row>
    <row r="733" spans="1:16" ht="172.95" customHeight="1" x14ac:dyDescent="0.3">
      <c r="A733" s="6" t="str">
        <f>IF(ISNA(MATCH(724,'Transfer Engine'!$C$2:$C$1199,0)),"",INDEX('Compliance Database'!$A$2:$A$1199,MATCH(724,'Transfer Engine'!$C$2:$C$1199,0)))</f>
        <v/>
      </c>
      <c r="B733" s="6" t="str">
        <f>IF(ISNA(MATCH(724,'Transfer Engine'!$C$2:$C$1199,0)),"",INDEX('Compliance Database'!$B$2:$B$1199,MATCH(724,'Transfer Engine'!$C$2:$C$1199,0)))</f>
        <v/>
      </c>
      <c r="C733" s="6" t="str">
        <f>IF(ISNA(MATCH(724,'Transfer Engine'!$C$2:$C$1199,0)),"",INDEX('Compliance Database'!$C$2:$C$1199,MATCH(724,'Transfer Engine'!$C$2:$C$1199,0)))</f>
        <v/>
      </c>
      <c r="D733" s="7" t="str">
        <f>IF(ISNA(MATCH(724,'Transfer Engine'!$C$2:$C$1199,0)),"",INDEX('Compliance Database'!$D$2:$D$1199,MATCH(724,'Transfer Engine'!$C$2:$C$1199,0)))</f>
        <v/>
      </c>
      <c r="E733" s="6" t="str">
        <f>IF(ISNA(MATCH(724,'Transfer Engine'!$C$2:$C$1199,0)),"",INDEX('Compliance Database'!$E$2:$E$1199,MATCH(724,'Transfer Engine'!$C$2:$C$1199,0)))</f>
        <v/>
      </c>
      <c r="F733" s="6" t="str">
        <f>IF(ISNA(MATCH(724,'Transfer Engine'!$C$2:$C$1199,0)),"",INDEX('Compliance Database'!$F$2:$F$1199,MATCH(724,'Transfer Engine'!$C$2:$C$1199,0)))</f>
        <v/>
      </c>
      <c r="G733" s="6" t="str">
        <f>IF(ISNA(MATCH(724,'Transfer Engine'!$C$2:$C$1199,0)),"",INDEX('Compliance Database'!$G$2:$G$1199,MATCH(724,'Transfer Engine'!$C$2:$C$1199,0)))</f>
        <v/>
      </c>
      <c r="H733" s="7" t="str">
        <f>IF(ISNA(MATCH(724,'Transfer Engine'!$C$2:$C$1199,0)),"",INDEX('Compliance Database'!$H$2:$H$1199,MATCH(724,'Transfer Engine'!$C$2:$C$1199,0)))</f>
        <v/>
      </c>
      <c r="I733" s="7" t="str">
        <f>IF(ISNA(MATCH(724,'Transfer Engine'!$C$2:$C$1199,0)),"",INDEX('Compliance Database'!$I$2:$I$1199,MATCH(724,'Transfer Engine'!$C$2:$C$1199,0)))</f>
        <v/>
      </c>
      <c r="J733" s="6" t="str">
        <f>IF(ISNA(MATCH(724,'Transfer Engine'!$C$2:$C$1199,0)),"",INDEX('Compliance Database'!$J$2:$J$1199,MATCH(724,'Transfer Engine'!$C$2:$C$1199,0)))</f>
        <v/>
      </c>
      <c r="K733" s="7" t="str">
        <f>IF(ISNA(MATCH(724,'Transfer Engine'!$C$2:$C$1199,0)),"",INDEX('Compliance Database'!$K$2:$K$1199,MATCH(724,'Transfer Engine'!$C$2:$C$1199,0)))</f>
        <v/>
      </c>
      <c r="L733" s="7" t="str">
        <f>IF(ISNA(MATCH(724,'Transfer Engine'!$C$2:$C$1199,0)),"",INDEX('Compliance Database'!$L$2:$L$1199,MATCH(724,'Transfer Engine'!$C$2:$C$1199,0)))</f>
        <v/>
      </c>
      <c r="M733" s="7" t="str">
        <f>IF(ISNA(MATCH(724,'Transfer Engine'!$C$2:$C$1199,0)),"",INDEX('Compliance Database'!$M$2:$M$1199,MATCH(724,'Transfer Engine'!$C$2:$C$1199,0)))</f>
        <v/>
      </c>
      <c r="N733" s="7" t="str">
        <f>IF(ISNA(MATCH(724,'Transfer Engine'!$C$2:$C$1199,0)),"",INDEX('Compliance Database'!$N$2:$N$1199,MATCH(724,'Transfer Engine'!$C$2:$C$1199,0)))</f>
        <v/>
      </c>
      <c r="O733" s="7" t="str">
        <f>IF(ISNA(MATCH(724,'Transfer Engine'!$C$2:$C$1199,0)),"",INDEX('Compliance Database'!$O$2:$O$1199,MATCH(724,'Transfer Engine'!$C$2:$C$1199,0)))</f>
        <v/>
      </c>
      <c r="P733" s="6" t="str">
        <f>IF(ISNA(MATCH(724,'Transfer Engine'!$C$2:$C$1199,0)),"",HYPERLINK("#Acts!A"&amp;INDEX('Compliance Database'!$P$2:$P$1199,MATCH(724,'Transfer Engine'!$C$2:$C$1199,0)),"Go to Act"))</f>
        <v/>
      </c>
    </row>
    <row r="734" spans="1:16" ht="172.95" customHeight="1" x14ac:dyDescent="0.3">
      <c r="A734" s="6" t="str">
        <f>IF(ISNA(MATCH(725,'Transfer Engine'!$C$2:$C$1199,0)),"",INDEX('Compliance Database'!$A$2:$A$1199,MATCH(725,'Transfer Engine'!$C$2:$C$1199,0)))</f>
        <v/>
      </c>
      <c r="B734" s="6" t="str">
        <f>IF(ISNA(MATCH(725,'Transfer Engine'!$C$2:$C$1199,0)),"",INDEX('Compliance Database'!$B$2:$B$1199,MATCH(725,'Transfer Engine'!$C$2:$C$1199,0)))</f>
        <v/>
      </c>
      <c r="C734" s="6" t="str">
        <f>IF(ISNA(MATCH(725,'Transfer Engine'!$C$2:$C$1199,0)),"",INDEX('Compliance Database'!$C$2:$C$1199,MATCH(725,'Transfer Engine'!$C$2:$C$1199,0)))</f>
        <v/>
      </c>
      <c r="D734" s="7" t="str">
        <f>IF(ISNA(MATCH(725,'Transfer Engine'!$C$2:$C$1199,0)),"",INDEX('Compliance Database'!$D$2:$D$1199,MATCH(725,'Transfer Engine'!$C$2:$C$1199,0)))</f>
        <v/>
      </c>
      <c r="E734" s="6" t="str">
        <f>IF(ISNA(MATCH(725,'Transfer Engine'!$C$2:$C$1199,0)),"",INDEX('Compliance Database'!$E$2:$E$1199,MATCH(725,'Transfer Engine'!$C$2:$C$1199,0)))</f>
        <v/>
      </c>
      <c r="F734" s="6" t="str">
        <f>IF(ISNA(MATCH(725,'Transfer Engine'!$C$2:$C$1199,0)),"",INDEX('Compliance Database'!$F$2:$F$1199,MATCH(725,'Transfer Engine'!$C$2:$C$1199,0)))</f>
        <v/>
      </c>
      <c r="G734" s="6" t="str">
        <f>IF(ISNA(MATCH(725,'Transfer Engine'!$C$2:$C$1199,0)),"",INDEX('Compliance Database'!$G$2:$G$1199,MATCH(725,'Transfer Engine'!$C$2:$C$1199,0)))</f>
        <v/>
      </c>
      <c r="H734" s="7" t="str">
        <f>IF(ISNA(MATCH(725,'Transfer Engine'!$C$2:$C$1199,0)),"",INDEX('Compliance Database'!$H$2:$H$1199,MATCH(725,'Transfer Engine'!$C$2:$C$1199,0)))</f>
        <v/>
      </c>
      <c r="I734" s="7" t="str">
        <f>IF(ISNA(MATCH(725,'Transfer Engine'!$C$2:$C$1199,0)),"",INDEX('Compliance Database'!$I$2:$I$1199,MATCH(725,'Transfer Engine'!$C$2:$C$1199,0)))</f>
        <v/>
      </c>
      <c r="J734" s="6" t="str">
        <f>IF(ISNA(MATCH(725,'Transfer Engine'!$C$2:$C$1199,0)),"",INDEX('Compliance Database'!$J$2:$J$1199,MATCH(725,'Transfer Engine'!$C$2:$C$1199,0)))</f>
        <v/>
      </c>
      <c r="K734" s="7" t="str">
        <f>IF(ISNA(MATCH(725,'Transfer Engine'!$C$2:$C$1199,0)),"",INDEX('Compliance Database'!$K$2:$K$1199,MATCH(725,'Transfer Engine'!$C$2:$C$1199,0)))</f>
        <v/>
      </c>
      <c r="L734" s="7" t="str">
        <f>IF(ISNA(MATCH(725,'Transfer Engine'!$C$2:$C$1199,0)),"",INDEX('Compliance Database'!$L$2:$L$1199,MATCH(725,'Transfer Engine'!$C$2:$C$1199,0)))</f>
        <v/>
      </c>
      <c r="M734" s="7" t="str">
        <f>IF(ISNA(MATCH(725,'Transfer Engine'!$C$2:$C$1199,0)),"",INDEX('Compliance Database'!$M$2:$M$1199,MATCH(725,'Transfer Engine'!$C$2:$C$1199,0)))</f>
        <v/>
      </c>
      <c r="N734" s="7" t="str">
        <f>IF(ISNA(MATCH(725,'Transfer Engine'!$C$2:$C$1199,0)),"",INDEX('Compliance Database'!$N$2:$N$1199,MATCH(725,'Transfer Engine'!$C$2:$C$1199,0)))</f>
        <v/>
      </c>
      <c r="O734" s="7" t="str">
        <f>IF(ISNA(MATCH(725,'Transfer Engine'!$C$2:$C$1199,0)),"",INDEX('Compliance Database'!$O$2:$O$1199,MATCH(725,'Transfer Engine'!$C$2:$C$1199,0)))</f>
        <v/>
      </c>
      <c r="P734" s="6" t="str">
        <f>IF(ISNA(MATCH(725,'Transfer Engine'!$C$2:$C$1199,0)),"",HYPERLINK("#Acts!A"&amp;INDEX('Compliance Database'!$P$2:$P$1199,MATCH(725,'Transfer Engine'!$C$2:$C$1199,0)),"Go to Act"))</f>
        <v/>
      </c>
    </row>
    <row r="735" spans="1:16" ht="172.95" customHeight="1" x14ac:dyDescent="0.3">
      <c r="A735" s="6" t="str">
        <f>IF(ISNA(MATCH(726,'Transfer Engine'!$C$2:$C$1199,0)),"",INDEX('Compliance Database'!$A$2:$A$1199,MATCH(726,'Transfer Engine'!$C$2:$C$1199,0)))</f>
        <v/>
      </c>
      <c r="B735" s="6" t="str">
        <f>IF(ISNA(MATCH(726,'Transfer Engine'!$C$2:$C$1199,0)),"",INDEX('Compliance Database'!$B$2:$B$1199,MATCH(726,'Transfer Engine'!$C$2:$C$1199,0)))</f>
        <v/>
      </c>
      <c r="C735" s="6" t="str">
        <f>IF(ISNA(MATCH(726,'Transfer Engine'!$C$2:$C$1199,0)),"",INDEX('Compliance Database'!$C$2:$C$1199,MATCH(726,'Transfer Engine'!$C$2:$C$1199,0)))</f>
        <v/>
      </c>
      <c r="D735" s="7" t="str">
        <f>IF(ISNA(MATCH(726,'Transfer Engine'!$C$2:$C$1199,0)),"",INDEX('Compliance Database'!$D$2:$D$1199,MATCH(726,'Transfer Engine'!$C$2:$C$1199,0)))</f>
        <v/>
      </c>
      <c r="E735" s="6" t="str">
        <f>IF(ISNA(MATCH(726,'Transfer Engine'!$C$2:$C$1199,0)),"",INDEX('Compliance Database'!$E$2:$E$1199,MATCH(726,'Transfer Engine'!$C$2:$C$1199,0)))</f>
        <v/>
      </c>
      <c r="F735" s="6" t="str">
        <f>IF(ISNA(MATCH(726,'Transfer Engine'!$C$2:$C$1199,0)),"",INDEX('Compliance Database'!$F$2:$F$1199,MATCH(726,'Transfer Engine'!$C$2:$C$1199,0)))</f>
        <v/>
      </c>
      <c r="G735" s="6" t="str">
        <f>IF(ISNA(MATCH(726,'Transfer Engine'!$C$2:$C$1199,0)),"",INDEX('Compliance Database'!$G$2:$G$1199,MATCH(726,'Transfer Engine'!$C$2:$C$1199,0)))</f>
        <v/>
      </c>
      <c r="H735" s="7" t="str">
        <f>IF(ISNA(MATCH(726,'Transfer Engine'!$C$2:$C$1199,0)),"",INDEX('Compliance Database'!$H$2:$H$1199,MATCH(726,'Transfer Engine'!$C$2:$C$1199,0)))</f>
        <v/>
      </c>
      <c r="I735" s="7" t="str">
        <f>IF(ISNA(MATCH(726,'Transfer Engine'!$C$2:$C$1199,0)),"",INDEX('Compliance Database'!$I$2:$I$1199,MATCH(726,'Transfer Engine'!$C$2:$C$1199,0)))</f>
        <v/>
      </c>
      <c r="J735" s="6" t="str">
        <f>IF(ISNA(MATCH(726,'Transfer Engine'!$C$2:$C$1199,0)),"",INDEX('Compliance Database'!$J$2:$J$1199,MATCH(726,'Transfer Engine'!$C$2:$C$1199,0)))</f>
        <v/>
      </c>
      <c r="K735" s="7" t="str">
        <f>IF(ISNA(MATCH(726,'Transfer Engine'!$C$2:$C$1199,0)),"",INDEX('Compliance Database'!$K$2:$K$1199,MATCH(726,'Transfer Engine'!$C$2:$C$1199,0)))</f>
        <v/>
      </c>
      <c r="L735" s="7" t="str">
        <f>IF(ISNA(MATCH(726,'Transfer Engine'!$C$2:$C$1199,0)),"",INDEX('Compliance Database'!$L$2:$L$1199,MATCH(726,'Transfer Engine'!$C$2:$C$1199,0)))</f>
        <v/>
      </c>
      <c r="M735" s="7" t="str">
        <f>IF(ISNA(MATCH(726,'Transfer Engine'!$C$2:$C$1199,0)),"",INDEX('Compliance Database'!$M$2:$M$1199,MATCH(726,'Transfer Engine'!$C$2:$C$1199,0)))</f>
        <v/>
      </c>
      <c r="N735" s="7" t="str">
        <f>IF(ISNA(MATCH(726,'Transfer Engine'!$C$2:$C$1199,0)),"",INDEX('Compliance Database'!$N$2:$N$1199,MATCH(726,'Transfer Engine'!$C$2:$C$1199,0)))</f>
        <v/>
      </c>
      <c r="O735" s="7" t="str">
        <f>IF(ISNA(MATCH(726,'Transfer Engine'!$C$2:$C$1199,0)),"",INDEX('Compliance Database'!$O$2:$O$1199,MATCH(726,'Transfer Engine'!$C$2:$C$1199,0)))</f>
        <v/>
      </c>
      <c r="P735" s="6" t="str">
        <f>IF(ISNA(MATCH(726,'Transfer Engine'!$C$2:$C$1199,0)),"",HYPERLINK("#Acts!A"&amp;INDEX('Compliance Database'!$P$2:$P$1199,MATCH(726,'Transfer Engine'!$C$2:$C$1199,0)),"Go to Act"))</f>
        <v/>
      </c>
    </row>
    <row r="736" spans="1:16" ht="172.95" customHeight="1" x14ac:dyDescent="0.3">
      <c r="A736" s="6" t="str">
        <f>IF(ISNA(MATCH(727,'Transfer Engine'!$C$2:$C$1199,0)),"",INDEX('Compliance Database'!$A$2:$A$1199,MATCH(727,'Transfer Engine'!$C$2:$C$1199,0)))</f>
        <v/>
      </c>
      <c r="B736" s="6" t="str">
        <f>IF(ISNA(MATCH(727,'Transfer Engine'!$C$2:$C$1199,0)),"",INDEX('Compliance Database'!$B$2:$B$1199,MATCH(727,'Transfer Engine'!$C$2:$C$1199,0)))</f>
        <v/>
      </c>
      <c r="C736" s="6" t="str">
        <f>IF(ISNA(MATCH(727,'Transfer Engine'!$C$2:$C$1199,0)),"",INDEX('Compliance Database'!$C$2:$C$1199,MATCH(727,'Transfer Engine'!$C$2:$C$1199,0)))</f>
        <v/>
      </c>
      <c r="D736" s="7" t="str">
        <f>IF(ISNA(MATCH(727,'Transfer Engine'!$C$2:$C$1199,0)),"",INDEX('Compliance Database'!$D$2:$D$1199,MATCH(727,'Transfer Engine'!$C$2:$C$1199,0)))</f>
        <v/>
      </c>
      <c r="E736" s="6" t="str">
        <f>IF(ISNA(MATCH(727,'Transfer Engine'!$C$2:$C$1199,0)),"",INDEX('Compliance Database'!$E$2:$E$1199,MATCH(727,'Transfer Engine'!$C$2:$C$1199,0)))</f>
        <v/>
      </c>
      <c r="F736" s="6" t="str">
        <f>IF(ISNA(MATCH(727,'Transfer Engine'!$C$2:$C$1199,0)),"",INDEX('Compliance Database'!$F$2:$F$1199,MATCH(727,'Transfer Engine'!$C$2:$C$1199,0)))</f>
        <v/>
      </c>
      <c r="G736" s="6" t="str">
        <f>IF(ISNA(MATCH(727,'Transfer Engine'!$C$2:$C$1199,0)),"",INDEX('Compliance Database'!$G$2:$G$1199,MATCH(727,'Transfer Engine'!$C$2:$C$1199,0)))</f>
        <v/>
      </c>
      <c r="H736" s="7" t="str">
        <f>IF(ISNA(MATCH(727,'Transfer Engine'!$C$2:$C$1199,0)),"",INDEX('Compliance Database'!$H$2:$H$1199,MATCH(727,'Transfer Engine'!$C$2:$C$1199,0)))</f>
        <v/>
      </c>
      <c r="I736" s="7" t="str">
        <f>IF(ISNA(MATCH(727,'Transfer Engine'!$C$2:$C$1199,0)),"",INDEX('Compliance Database'!$I$2:$I$1199,MATCH(727,'Transfer Engine'!$C$2:$C$1199,0)))</f>
        <v/>
      </c>
      <c r="J736" s="6" t="str">
        <f>IF(ISNA(MATCH(727,'Transfer Engine'!$C$2:$C$1199,0)),"",INDEX('Compliance Database'!$J$2:$J$1199,MATCH(727,'Transfer Engine'!$C$2:$C$1199,0)))</f>
        <v/>
      </c>
      <c r="K736" s="7" t="str">
        <f>IF(ISNA(MATCH(727,'Transfer Engine'!$C$2:$C$1199,0)),"",INDEX('Compliance Database'!$K$2:$K$1199,MATCH(727,'Transfer Engine'!$C$2:$C$1199,0)))</f>
        <v/>
      </c>
      <c r="L736" s="7" t="str">
        <f>IF(ISNA(MATCH(727,'Transfer Engine'!$C$2:$C$1199,0)),"",INDEX('Compliance Database'!$L$2:$L$1199,MATCH(727,'Transfer Engine'!$C$2:$C$1199,0)))</f>
        <v/>
      </c>
      <c r="M736" s="7" t="str">
        <f>IF(ISNA(MATCH(727,'Transfer Engine'!$C$2:$C$1199,0)),"",INDEX('Compliance Database'!$M$2:$M$1199,MATCH(727,'Transfer Engine'!$C$2:$C$1199,0)))</f>
        <v/>
      </c>
      <c r="N736" s="7" t="str">
        <f>IF(ISNA(MATCH(727,'Transfer Engine'!$C$2:$C$1199,0)),"",INDEX('Compliance Database'!$N$2:$N$1199,MATCH(727,'Transfer Engine'!$C$2:$C$1199,0)))</f>
        <v/>
      </c>
      <c r="O736" s="7" t="str">
        <f>IF(ISNA(MATCH(727,'Transfer Engine'!$C$2:$C$1199,0)),"",INDEX('Compliance Database'!$O$2:$O$1199,MATCH(727,'Transfer Engine'!$C$2:$C$1199,0)))</f>
        <v/>
      </c>
      <c r="P736" s="6" t="str">
        <f>IF(ISNA(MATCH(727,'Transfer Engine'!$C$2:$C$1199,0)),"",HYPERLINK("#Acts!A"&amp;INDEX('Compliance Database'!$P$2:$P$1199,MATCH(727,'Transfer Engine'!$C$2:$C$1199,0)),"Go to Act"))</f>
        <v/>
      </c>
    </row>
    <row r="737" spans="1:16" ht="172.95" customHeight="1" x14ac:dyDescent="0.3">
      <c r="A737" s="6" t="str">
        <f>IF(ISNA(MATCH(728,'Transfer Engine'!$C$2:$C$1199,0)),"",INDEX('Compliance Database'!$A$2:$A$1199,MATCH(728,'Transfer Engine'!$C$2:$C$1199,0)))</f>
        <v/>
      </c>
      <c r="B737" s="6" t="str">
        <f>IF(ISNA(MATCH(728,'Transfer Engine'!$C$2:$C$1199,0)),"",INDEX('Compliance Database'!$B$2:$B$1199,MATCH(728,'Transfer Engine'!$C$2:$C$1199,0)))</f>
        <v/>
      </c>
      <c r="C737" s="6" t="str">
        <f>IF(ISNA(MATCH(728,'Transfer Engine'!$C$2:$C$1199,0)),"",INDEX('Compliance Database'!$C$2:$C$1199,MATCH(728,'Transfer Engine'!$C$2:$C$1199,0)))</f>
        <v/>
      </c>
      <c r="D737" s="7" t="str">
        <f>IF(ISNA(MATCH(728,'Transfer Engine'!$C$2:$C$1199,0)),"",INDEX('Compliance Database'!$D$2:$D$1199,MATCH(728,'Transfer Engine'!$C$2:$C$1199,0)))</f>
        <v/>
      </c>
      <c r="E737" s="6" t="str">
        <f>IF(ISNA(MATCH(728,'Transfer Engine'!$C$2:$C$1199,0)),"",INDEX('Compliance Database'!$E$2:$E$1199,MATCH(728,'Transfer Engine'!$C$2:$C$1199,0)))</f>
        <v/>
      </c>
      <c r="F737" s="6" t="str">
        <f>IF(ISNA(MATCH(728,'Transfer Engine'!$C$2:$C$1199,0)),"",INDEX('Compliance Database'!$F$2:$F$1199,MATCH(728,'Transfer Engine'!$C$2:$C$1199,0)))</f>
        <v/>
      </c>
      <c r="G737" s="6" t="str">
        <f>IF(ISNA(MATCH(728,'Transfer Engine'!$C$2:$C$1199,0)),"",INDEX('Compliance Database'!$G$2:$G$1199,MATCH(728,'Transfer Engine'!$C$2:$C$1199,0)))</f>
        <v/>
      </c>
      <c r="H737" s="7" t="str">
        <f>IF(ISNA(MATCH(728,'Transfer Engine'!$C$2:$C$1199,0)),"",INDEX('Compliance Database'!$H$2:$H$1199,MATCH(728,'Transfer Engine'!$C$2:$C$1199,0)))</f>
        <v/>
      </c>
      <c r="I737" s="7" t="str">
        <f>IF(ISNA(MATCH(728,'Transfer Engine'!$C$2:$C$1199,0)),"",INDEX('Compliance Database'!$I$2:$I$1199,MATCH(728,'Transfer Engine'!$C$2:$C$1199,0)))</f>
        <v/>
      </c>
      <c r="J737" s="6" t="str">
        <f>IF(ISNA(MATCH(728,'Transfer Engine'!$C$2:$C$1199,0)),"",INDEX('Compliance Database'!$J$2:$J$1199,MATCH(728,'Transfer Engine'!$C$2:$C$1199,0)))</f>
        <v/>
      </c>
      <c r="K737" s="7" t="str">
        <f>IF(ISNA(MATCH(728,'Transfer Engine'!$C$2:$C$1199,0)),"",INDEX('Compliance Database'!$K$2:$K$1199,MATCH(728,'Transfer Engine'!$C$2:$C$1199,0)))</f>
        <v/>
      </c>
      <c r="L737" s="7" t="str">
        <f>IF(ISNA(MATCH(728,'Transfer Engine'!$C$2:$C$1199,0)),"",INDEX('Compliance Database'!$L$2:$L$1199,MATCH(728,'Transfer Engine'!$C$2:$C$1199,0)))</f>
        <v/>
      </c>
      <c r="M737" s="7" t="str">
        <f>IF(ISNA(MATCH(728,'Transfer Engine'!$C$2:$C$1199,0)),"",INDEX('Compliance Database'!$M$2:$M$1199,MATCH(728,'Transfer Engine'!$C$2:$C$1199,0)))</f>
        <v/>
      </c>
      <c r="N737" s="7" t="str">
        <f>IF(ISNA(MATCH(728,'Transfer Engine'!$C$2:$C$1199,0)),"",INDEX('Compliance Database'!$N$2:$N$1199,MATCH(728,'Transfer Engine'!$C$2:$C$1199,0)))</f>
        <v/>
      </c>
      <c r="O737" s="7" t="str">
        <f>IF(ISNA(MATCH(728,'Transfer Engine'!$C$2:$C$1199,0)),"",INDEX('Compliance Database'!$O$2:$O$1199,MATCH(728,'Transfer Engine'!$C$2:$C$1199,0)))</f>
        <v/>
      </c>
      <c r="P737" s="6" t="str">
        <f>IF(ISNA(MATCH(728,'Transfer Engine'!$C$2:$C$1199,0)),"",HYPERLINK("#Acts!A"&amp;INDEX('Compliance Database'!$P$2:$P$1199,MATCH(728,'Transfer Engine'!$C$2:$C$1199,0)),"Go to Act"))</f>
        <v/>
      </c>
    </row>
    <row r="738" spans="1:16" ht="172.95" customHeight="1" x14ac:dyDescent="0.3">
      <c r="A738" s="6" t="str">
        <f>IF(ISNA(MATCH(729,'Transfer Engine'!$C$2:$C$1199,0)),"",INDEX('Compliance Database'!$A$2:$A$1199,MATCH(729,'Transfer Engine'!$C$2:$C$1199,0)))</f>
        <v/>
      </c>
      <c r="B738" s="6" t="str">
        <f>IF(ISNA(MATCH(729,'Transfer Engine'!$C$2:$C$1199,0)),"",INDEX('Compliance Database'!$B$2:$B$1199,MATCH(729,'Transfer Engine'!$C$2:$C$1199,0)))</f>
        <v/>
      </c>
      <c r="C738" s="6" t="str">
        <f>IF(ISNA(MATCH(729,'Transfer Engine'!$C$2:$C$1199,0)),"",INDEX('Compliance Database'!$C$2:$C$1199,MATCH(729,'Transfer Engine'!$C$2:$C$1199,0)))</f>
        <v/>
      </c>
      <c r="D738" s="7" t="str">
        <f>IF(ISNA(MATCH(729,'Transfer Engine'!$C$2:$C$1199,0)),"",INDEX('Compliance Database'!$D$2:$D$1199,MATCH(729,'Transfer Engine'!$C$2:$C$1199,0)))</f>
        <v/>
      </c>
      <c r="E738" s="6" t="str">
        <f>IF(ISNA(MATCH(729,'Transfer Engine'!$C$2:$C$1199,0)),"",INDEX('Compliance Database'!$E$2:$E$1199,MATCH(729,'Transfer Engine'!$C$2:$C$1199,0)))</f>
        <v/>
      </c>
      <c r="F738" s="6" t="str">
        <f>IF(ISNA(MATCH(729,'Transfer Engine'!$C$2:$C$1199,0)),"",INDEX('Compliance Database'!$F$2:$F$1199,MATCH(729,'Transfer Engine'!$C$2:$C$1199,0)))</f>
        <v/>
      </c>
      <c r="G738" s="6" t="str">
        <f>IF(ISNA(MATCH(729,'Transfer Engine'!$C$2:$C$1199,0)),"",INDEX('Compliance Database'!$G$2:$G$1199,MATCH(729,'Transfer Engine'!$C$2:$C$1199,0)))</f>
        <v/>
      </c>
      <c r="H738" s="7" t="str">
        <f>IF(ISNA(MATCH(729,'Transfer Engine'!$C$2:$C$1199,0)),"",INDEX('Compliance Database'!$H$2:$H$1199,MATCH(729,'Transfer Engine'!$C$2:$C$1199,0)))</f>
        <v/>
      </c>
      <c r="I738" s="7" t="str">
        <f>IF(ISNA(MATCH(729,'Transfer Engine'!$C$2:$C$1199,0)),"",INDEX('Compliance Database'!$I$2:$I$1199,MATCH(729,'Transfer Engine'!$C$2:$C$1199,0)))</f>
        <v/>
      </c>
      <c r="J738" s="6" t="str">
        <f>IF(ISNA(MATCH(729,'Transfer Engine'!$C$2:$C$1199,0)),"",INDEX('Compliance Database'!$J$2:$J$1199,MATCH(729,'Transfer Engine'!$C$2:$C$1199,0)))</f>
        <v/>
      </c>
      <c r="K738" s="7" t="str">
        <f>IF(ISNA(MATCH(729,'Transfer Engine'!$C$2:$C$1199,0)),"",INDEX('Compliance Database'!$K$2:$K$1199,MATCH(729,'Transfer Engine'!$C$2:$C$1199,0)))</f>
        <v/>
      </c>
      <c r="L738" s="7" t="str">
        <f>IF(ISNA(MATCH(729,'Transfer Engine'!$C$2:$C$1199,0)),"",INDEX('Compliance Database'!$L$2:$L$1199,MATCH(729,'Transfer Engine'!$C$2:$C$1199,0)))</f>
        <v/>
      </c>
      <c r="M738" s="7" t="str">
        <f>IF(ISNA(MATCH(729,'Transfer Engine'!$C$2:$C$1199,0)),"",INDEX('Compliance Database'!$M$2:$M$1199,MATCH(729,'Transfer Engine'!$C$2:$C$1199,0)))</f>
        <v/>
      </c>
      <c r="N738" s="7" t="str">
        <f>IF(ISNA(MATCH(729,'Transfer Engine'!$C$2:$C$1199,0)),"",INDEX('Compliance Database'!$N$2:$N$1199,MATCH(729,'Transfer Engine'!$C$2:$C$1199,0)))</f>
        <v/>
      </c>
      <c r="O738" s="7" t="str">
        <f>IF(ISNA(MATCH(729,'Transfer Engine'!$C$2:$C$1199,0)),"",INDEX('Compliance Database'!$O$2:$O$1199,MATCH(729,'Transfer Engine'!$C$2:$C$1199,0)))</f>
        <v/>
      </c>
      <c r="P738" s="6" t="str">
        <f>IF(ISNA(MATCH(729,'Transfer Engine'!$C$2:$C$1199,0)),"",HYPERLINK("#Acts!A"&amp;INDEX('Compliance Database'!$P$2:$P$1199,MATCH(729,'Transfer Engine'!$C$2:$C$1199,0)),"Go to Act"))</f>
        <v/>
      </c>
    </row>
    <row r="739" spans="1:16" ht="172.95" customHeight="1" x14ac:dyDescent="0.3">
      <c r="A739" s="6" t="str">
        <f>IF(ISNA(MATCH(730,'Transfer Engine'!$C$2:$C$1199,0)),"",INDEX('Compliance Database'!$A$2:$A$1199,MATCH(730,'Transfer Engine'!$C$2:$C$1199,0)))</f>
        <v/>
      </c>
      <c r="B739" s="6" t="str">
        <f>IF(ISNA(MATCH(730,'Transfer Engine'!$C$2:$C$1199,0)),"",INDEX('Compliance Database'!$B$2:$B$1199,MATCH(730,'Transfer Engine'!$C$2:$C$1199,0)))</f>
        <v/>
      </c>
      <c r="C739" s="6" t="str">
        <f>IF(ISNA(MATCH(730,'Transfer Engine'!$C$2:$C$1199,0)),"",INDEX('Compliance Database'!$C$2:$C$1199,MATCH(730,'Transfer Engine'!$C$2:$C$1199,0)))</f>
        <v/>
      </c>
      <c r="D739" s="7" t="str">
        <f>IF(ISNA(MATCH(730,'Transfer Engine'!$C$2:$C$1199,0)),"",INDEX('Compliance Database'!$D$2:$D$1199,MATCH(730,'Transfer Engine'!$C$2:$C$1199,0)))</f>
        <v/>
      </c>
      <c r="E739" s="6" t="str">
        <f>IF(ISNA(MATCH(730,'Transfer Engine'!$C$2:$C$1199,0)),"",INDEX('Compliance Database'!$E$2:$E$1199,MATCH(730,'Transfer Engine'!$C$2:$C$1199,0)))</f>
        <v/>
      </c>
      <c r="F739" s="6" t="str">
        <f>IF(ISNA(MATCH(730,'Transfer Engine'!$C$2:$C$1199,0)),"",INDEX('Compliance Database'!$F$2:$F$1199,MATCH(730,'Transfer Engine'!$C$2:$C$1199,0)))</f>
        <v/>
      </c>
      <c r="G739" s="6" t="str">
        <f>IF(ISNA(MATCH(730,'Transfer Engine'!$C$2:$C$1199,0)),"",INDEX('Compliance Database'!$G$2:$G$1199,MATCH(730,'Transfer Engine'!$C$2:$C$1199,0)))</f>
        <v/>
      </c>
      <c r="H739" s="7" t="str">
        <f>IF(ISNA(MATCH(730,'Transfer Engine'!$C$2:$C$1199,0)),"",INDEX('Compliance Database'!$H$2:$H$1199,MATCH(730,'Transfer Engine'!$C$2:$C$1199,0)))</f>
        <v/>
      </c>
      <c r="I739" s="7" t="str">
        <f>IF(ISNA(MATCH(730,'Transfer Engine'!$C$2:$C$1199,0)),"",INDEX('Compliance Database'!$I$2:$I$1199,MATCH(730,'Transfer Engine'!$C$2:$C$1199,0)))</f>
        <v/>
      </c>
      <c r="J739" s="6" t="str">
        <f>IF(ISNA(MATCH(730,'Transfer Engine'!$C$2:$C$1199,0)),"",INDEX('Compliance Database'!$J$2:$J$1199,MATCH(730,'Transfer Engine'!$C$2:$C$1199,0)))</f>
        <v/>
      </c>
      <c r="K739" s="7" t="str">
        <f>IF(ISNA(MATCH(730,'Transfer Engine'!$C$2:$C$1199,0)),"",INDEX('Compliance Database'!$K$2:$K$1199,MATCH(730,'Transfer Engine'!$C$2:$C$1199,0)))</f>
        <v/>
      </c>
      <c r="L739" s="7" t="str">
        <f>IF(ISNA(MATCH(730,'Transfer Engine'!$C$2:$C$1199,0)),"",INDEX('Compliance Database'!$L$2:$L$1199,MATCH(730,'Transfer Engine'!$C$2:$C$1199,0)))</f>
        <v/>
      </c>
      <c r="M739" s="7" t="str">
        <f>IF(ISNA(MATCH(730,'Transfer Engine'!$C$2:$C$1199,0)),"",INDEX('Compliance Database'!$M$2:$M$1199,MATCH(730,'Transfer Engine'!$C$2:$C$1199,0)))</f>
        <v/>
      </c>
      <c r="N739" s="7" t="str">
        <f>IF(ISNA(MATCH(730,'Transfer Engine'!$C$2:$C$1199,0)),"",INDEX('Compliance Database'!$N$2:$N$1199,MATCH(730,'Transfer Engine'!$C$2:$C$1199,0)))</f>
        <v/>
      </c>
      <c r="O739" s="7" t="str">
        <f>IF(ISNA(MATCH(730,'Transfer Engine'!$C$2:$C$1199,0)),"",INDEX('Compliance Database'!$O$2:$O$1199,MATCH(730,'Transfer Engine'!$C$2:$C$1199,0)))</f>
        <v/>
      </c>
      <c r="P739" s="6" t="str">
        <f>IF(ISNA(MATCH(730,'Transfer Engine'!$C$2:$C$1199,0)),"",HYPERLINK("#Acts!A"&amp;INDEX('Compliance Database'!$P$2:$P$1199,MATCH(730,'Transfer Engine'!$C$2:$C$1199,0)),"Go to Act"))</f>
        <v/>
      </c>
    </row>
    <row r="740" spans="1:16" ht="172.95" customHeight="1" x14ac:dyDescent="0.3">
      <c r="A740" s="6" t="str">
        <f>IF(ISNA(MATCH(731,'Transfer Engine'!$C$2:$C$1199,0)),"",INDEX('Compliance Database'!$A$2:$A$1199,MATCH(731,'Transfer Engine'!$C$2:$C$1199,0)))</f>
        <v/>
      </c>
      <c r="B740" s="6" t="str">
        <f>IF(ISNA(MATCH(731,'Transfer Engine'!$C$2:$C$1199,0)),"",INDEX('Compliance Database'!$B$2:$B$1199,MATCH(731,'Transfer Engine'!$C$2:$C$1199,0)))</f>
        <v/>
      </c>
      <c r="C740" s="6" t="str">
        <f>IF(ISNA(MATCH(731,'Transfer Engine'!$C$2:$C$1199,0)),"",INDEX('Compliance Database'!$C$2:$C$1199,MATCH(731,'Transfer Engine'!$C$2:$C$1199,0)))</f>
        <v/>
      </c>
      <c r="D740" s="7" t="str">
        <f>IF(ISNA(MATCH(731,'Transfer Engine'!$C$2:$C$1199,0)),"",INDEX('Compliance Database'!$D$2:$D$1199,MATCH(731,'Transfer Engine'!$C$2:$C$1199,0)))</f>
        <v/>
      </c>
      <c r="E740" s="6" t="str">
        <f>IF(ISNA(MATCH(731,'Transfer Engine'!$C$2:$C$1199,0)),"",INDEX('Compliance Database'!$E$2:$E$1199,MATCH(731,'Transfer Engine'!$C$2:$C$1199,0)))</f>
        <v/>
      </c>
      <c r="F740" s="6" t="str">
        <f>IF(ISNA(MATCH(731,'Transfer Engine'!$C$2:$C$1199,0)),"",INDEX('Compliance Database'!$F$2:$F$1199,MATCH(731,'Transfer Engine'!$C$2:$C$1199,0)))</f>
        <v/>
      </c>
      <c r="G740" s="6" t="str">
        <f>IF(ISNA(MATCH(731,'Transfer Engine'!$C$2:$C$1199,0)),"",INDEX('Compliance Database'!$G$2:$G$1199,MATCH(731,'Transfer Engine'!$C$2:$C$1199,0)))</f>
        <v/>
      </c>
      <c r="H740" s="7" t="str">
        <f>IF(ISNA(MATCH(731,'Transfer Engine'!$C$2:$C$1199,0)),"",INDEX('Compliance Database'!$H$2:$H$1199,MATCH(731,'Transfer Engine'!$C$2:$C$1199,0)))</f>
        <v/>
      </c>
      <c r="I740" s="7" t="str">
        <f>IF(ISNA(MATCH(731,'Transfer Engine'!$C$2:$C$1199,0)),"",INDEX('Compliance Database'!$I$2:$I$1199,MATCH(731,'Transfer Engine'!$C$2:$C$1199,0)))</f>
        <v/>
      </c>
      <c r="J740" s="6" t="str">
        <f>IF(ISNA(MATCH(731,'Transfer Engine'!$C$2:$C$1199,0)),"",INDEX('Compliance Database'!$J$2:$J$1199,MATCH(731,'Transfer Engine'!$C$2:$C$1199,0)))</f>
        <v/>
      </c>
      <c r="K740" s="7" t="str">
        <f>IF(ISNA(MATCH(731,'Transfer Engine'!$C$2:$C$1199,0)),"",INDEX('Compliance Database'!$K$2:$K$1199,MATCH(731,'Transfer Engine'!$C$2:$C$1199,0)))</f>
        <v/>
      </c>
      <c r="L740" s="7" t="str">
        <f>IF(ISNA(MATCH(731,'Transfer Engine'!$C$2:$C$1199,0)),"",INDEX('Compliance Database'!$L$2:$L$1199,MATCH(731,'Transfer Engine'!$C$2:$C$1199,0)))</f>
        <v/>
      </c>
      <c r="M740" s="7" t="str">
        <f>IF(ISNA(MATCH(731,'Transfer Engine'!$C$2:$C$1199,0)),"",INDEX('Compliance Database'!$M$2:$M$1199,MATCH(731,'Transfer Engine'!$C$2:$C$1199,0)))</f>
        <v/>
      </c>
      <c r="N740" s="7" t="str">
        <f>IF(ISNA(MATCH(731,'Transfer Engine'!$C$2:$C$1199,0)),"",INDEX('Compliance Database'!$N$2:$N$1199,MATCH(731,'Transfer Engine'!$C$2:$C$1199,0)))</f>
        <v/>
      </c>
      <c r="O740" s="7" t="str">
        <f>IF(ISNA(MATCH(731,'Transfer Engine'!$C$2:$C$1199,0)),"",INDEX('Compliance Database'!$O$2:$O$1199,MATCH(731,'Transfer Engine'!$C$2:$C$1199,0)))</f>
        <v/>
      </c>
      <c r="P740" s="6" t="str">
        <f>IF(ISNA(MATCH(731,'Transfer Engine'!$C$2:$C$1199,0)),"",HYPERLINK("#Acts!A"&amp;INDEX('Compliance Database'!$P$2:$P$1199,MATCH(731,'Transfer Engine'!$C$2:$C$1199,0)),"Go to Act"))</f>
        <v/>
      </c>
    </row>
    <row r="741" spans="1:16" ht="172.95" customHeight="1" x14ac:dyDescent="0.3">
      <c r="A741" s="6" t="str">
        <f>IF(ISNA(MATCH(732,'Transfer Engine'!$C$2:$C$1199,0)),"",INDEX('Compliance Database'!$A$2:$A$1199,MATCH(732,'Transfer Engine'!$C$2:$C$1199,0)))</f>
        <v/>
      </c>
      <c r="B741" s="6" t="str">
        <f>IF(ISNA(MATCH(732,'Transfer Engine'!$C$2:$C$1199,0)),"",INDEX('Compliance Database'!$B$2:$B$1199,MATCH(732,'Transfer Engine'!$C$2:$C$1199,0)))</f>
        <v/>
      </c>
      <c r="C741" s="6" t="str">
        <f>IF(ISNA(MATCH(732,'Transfer Engine'!$C$2:$C$1199,0)),"",INDEX('Compliance Database'!$C$2:$C$1199,MATCH(732,'Transfer Engine'!$C$2:$C$1199,0)))</f>
        <v/>
      </c>
      <c r="D741" s="7" t="str">
        <f>IF(ISNA(MATCH(732,'Transfer Engine'!$C$2:$C$1199,0)),"",INDEX('Compliance Database'!$D$2:$D$1199,MATCH(732,'Transfer Engine'!$C$2:$C$1199,0)))</f>
        <v/>
      </c>
      <c r="E741" s="6" t="str">
        <f>IF(ISNA(MATCH(732,'Transfer Engine'!$C$2:$C$1199,0)),"",INDEX('Compliance Database'!$E$2:$E$1199,MATCH(732,'Transfer Engine'!$C$2:$C$1199,0)))</f>
        <v/>
      </c>
      <c r="F741" s="6" t="str">
        <f>IF(ISNA(MATCH(732,'Transfer Engine'!$C$2:$C$1199,0)),"",INDEX('Compliance Database'!$F$2:$F$1199,MATCH(732,'Transfer Engine'!$C$2:$C$1199,0)))</f>
        <v/>
      </c>
      <c r="G741" s="6" t="str">
        <f>IF(ISNA(MATCH(732,'Transfer Engine'!$C$2:$C$1199,0)),"",INDEX('Compliance Database'!$G$2:$G$1199,MATCH(732,'Transfer Engine'!$C$2:$C$1199,0)))</f>
        <v/>
      </c>
      <c r="H741" s="7" t="str">
        <f>IF(ISNA(MATCH(732,'Transfer Engine'!$C$2:$C$1199,0)),"",INDEX('Compliance Database'!$H$2:$H$1199,MATCH(732,'Transfer Engine'!$C$2:$C$1199,0)))</f>
        <v/>
      </c>
      <c r="I741" s="7" t="str">
        <f>IF(ISNA(MATCH(732,'Transfer Engine'!$C$2:$C$1199,0)),"",INDEX('Compliance Database'!$I$2:$I$1199,MATCH(732,'Transfer Engine'!$C$2:$C$1199,0)))</f>
        <v/>
      </c>
      <c r="J741" s="6" t="str">
        <f>IF(ISNA(MATCH(732,'Transfer Engine'!$C$2:$C$1199,0)),"",INDEX('Compliance Database'!$J$2:$J$1199,MATCH(732,'Transfer Engine'!$C$2:$C$1199,0)))</f>
        <v/>
      </c>
      <c r="K741" s="7" t="str">
        <f>IF(ISNA(MATCH(732,'Transfer Engine'!$C$2:$C$1199,0)),"",INDEX('Compliance Database'!$K$2:$K$1199,MATCH(732,'Transfer Engine'!$C$2:$C$1199,0)))</f>
        <v/>
      </c>
      <c r="L741" s="7" t="str">
        <f>IF(ISNA(MATCH(732,'Transfer Engine'!$C$2:$C$1199,0)),"",INDEX('Compliance Database'!$L$2:$L$1199,MATCH(732,'Transfer Engine'!$C$2:$C$1199,0)))</f>
        <v/>
      </c>
      <c r="M741" s="7" t="str">
        <f>IF(ISNA(MATCH(732,'Transfer Engine'!$C$2:$C$1199,0)),"",INDEX('Compliance Database'!$M$2:$M$1199,MATCH(732,'Transfer Engine'!$C$2:$C$1199,0)))</f>
        <v/>
      </c>
      <c r="N741" s="7" t="str">
        <f>IF(ISNA(MATCH(732,'Transfer Engine'!$C$2:$C$1199,0)),"",INDEX('Compliance Database'!$N$2:$N$1199,MATCH(732,'Transfer Engine'!$C$2:$C$1199,0)))</f>
        <v/>
      </c>
      <c r="O741" s="7" t="str">
        <f>IF(ISNA(MATCH(732,'Transfer Engine'!$C$2:$C$1199,0)),"",INDEX('Compliance Database'!$O$2:$O$1199,MATCH(732,'Transfer Engine'!$C$2:$C$1199,0)))</f>
        <v/>
      </c>
      <c r="P741" s="6" t="str">
        <f>IF(ISNA(MATCH(732,'Transfer Engine'!$C$2:$C$1199,0)),"",HYPERLINK("#Acts!A"&amp;INDEX('Compliance Database'!$P$2:$P$1199,MATCH(732,'Transfer Engine'!$C$2:$C$1199,0)),"Go to Act"))</f>
        <v/>
      </c>
    </row>
    <row r="742" spans="1:16" ht="172.95" customHeight="1" x14ac:dyDescent="0.3">
      <c r="A742" s="6" t="str">
        <f>IF(ISNA(MATCH(733,'Transfer Engine'!$C$2:$C$1199,0)),"",INDEX('Compliance Database'!$A$2:$A$1199,MATCH(733,'Transfer Engine'!$C$2:$C$1199,0)))</f>
        <v/>
      </c>
      <c r="B742" s="6" t="str">
        <f>IF(ISNA(MATCH(733,'Transfer Engine'!$C$2:$C$1199,0)),"",INDEX('Compliance Database'!$B$2:$B$1199,MATCH(733,'Transfer Engine'!$C$2:$C$1199,0)))</f>
        <v/>
      </c>
      <c r="C742" s="6" t="str">
        <f>IF(ISNA(MATCH(733,'Transfer Engine'!$C$2:$C$1199,0)),"",INDEX('Compliance Database'!$C$2:$C$1199,MATCH(733,'Transfer Engine'!$C$2:$C$1199,0)))</f>
        <v/>
      </c>
      <c r="D742" s="7" t="str">
        <f>IF(ISNA(MATCH(733,'Transfer Engine'!$C$2:$C$1199,0)),"",INDEX('Compliance Database'!$D$2:$D$1199,MATCH(733,'Transfer Engine'!$C$2:$C$1199,0)))</f>
        <v/>
      </c>
      <c r="E742" s="6" t="str">
        <f>IF(ISNA(MATCH(733,'Transfer Engine'!$C$2:$C$1199,0)),"",INDEX('Compliance Database'!$E$2:$E$1199,MATCH(733,'Transfer Engine'!$C$2:$C$1199,0)))</f>
        <v/>
      </c>
      <c r="F742" s="6" t="str">
        <f>IF(ISNA(MATCH(733,'Transfer Engine'!$C$2:$C$1199,0)),"",INDEX('Compliance Database'!$F$2:$F$1199,MATCH(733,'Transfer Engine'!$C$2:$C$1199,0)))</f>
        <v/>
      </c>
      <c r="G742" s="6" t="str">
        <f>IF(ISNA(MATCH(733,'Transfer Engine'!$C$2:$C$1199,0)),"",INDEX('Compliance Database'!$G$2:$G$1199,MATCH(733,'Transfer Engine'!$C$2:$C$1199,0)))</f>
        <v/>
      </c>
      <c r="H742" s="7" t="str">
        <f>IF(ISNA(MATCH(733,'Transfer Engine'!$C$2:$C$1199,0)),"",INDEX('Compliance Database'!$H$2:$H$1199,MATCH(733,'Transfer Engine'!$C$2:$C$1199,0)))</f>
        <v/>
      </c>
      <c r="I742" s="7" t="str">
        <f>IF(ISNA(MATCH(733,'Transfer Engine'!$C$2:$C$1199,0)),"",INDEX('Compliance Database'!$I$2:$I$1199,MATCH(733,'Transfer Engine'!$C$2:$C$1199,0)))</f>
        <v/>
      </c>
      <c r="J742" s="6" t="str">
        <f>IF(ISNA(MATCH(733,'Transfer Engine'!$C$2:$C$1199,0)),"",INDEX('Compliance Database'!$J$2:$J$1199,MATCH(733,'Transfer Engine'!$C$2:$C$1199,0)))</f>
        <v/>
      </c>
      <c r="K742" s="7" t="str">
        <f>IF(ISNA(MATCH(733,'Transfer Engine'!$C$2:$C$1199,0)),"",INDEX('Compliance Database'!$K$2:$K$1199,MATCH(733,'Transfer Engine'!$C$2:$C$1199,0)))</f>
        <v/>
      </c>
      <c r="L742" s="7" t="str">
        <f>IF(ISNA(MATCH(733,'Transfer Engine'!$C$2:$C$1199,0)),"",INDEX('Compliance Database'!$L$2:$L$1199,MATCH(733,'Transfer Engine'!$C$2:$C$1199,0)))</f>
        <v/>
      </c>
      <c r="M742" s="7" t="str">
        <f>IF(ISNA(MATCH(733,'Transfer Engine'!$C$2:$C$1199,0)),"",INDEX('Compliance Database'!$M$2:$M$1199,MATCH(733,'Transfer Engine'!$C$2:$C$1199,0)))</f>
        <v/>
      </c>
      <c r="N742" s="7" t="str">
        <f>IF(ISNA(MATCH(733,'Transfer Engine'!$C$2:$C$1199,0)),"",INDEX('Compliance Database'!$N$2:$N$1199,MATCH(733,'Transfer Engine'!$C$2:$C$1199,0)))</f>
        <v/>
      </c>
      <c r="O742" s="7" t="str">
        <f>IF(ISNA(MATCH(733,'Transfer Engine'!$C$2:$C$1199,0)),"",INDEX('Compliance Database'!$O$2:$O$1199,MATCH(733,'Transfer Engine'!$C$2:$C$1199,0)))</f>
        <v/>
      </c>
      <c r="P742" s="6" t="str">
        <f>IF(ISNA(MATCH(733,'Transfer Engine'!$C$2:$C$1199,0)),"",HYPERLINK("#Acts!A"&amp;INDEX('Compliance Database'!$P$2:$P$1199,MATCH(733,'Transfer Engine'!$C$2:$C$1199,0)),"Go to Act"))</f>
        <v/>
      </c>
    </row>
    <row r="743" spans="1:16" ht="172.95" customHeight="1" x14ac:dyDescent="0.3">
      <c r="A743" s="6" t="str">
        <f>IF(ISNA(MATCH(734,'Transfer Engine'!$C$2:$C$1199,0)),"",INDEX('Compliance Database'!$A$2:$A$1199,MATCH(734,'Transfer Engine'!$C$2:$C$1199,0)))</f>
        <v/>
      </c>
      <c r="B743" s="6" t="str">
        <f>IF(ISNA(MATCH(734,'Transfer Engine'!$C$2:$C$1199,0)),"",INDEX('Compliance Database'!$B$2:$B$1199,MATCH(734,'Transfer Engine'!$C$2:$C$1199,0)))</f>
        <v/>
      </c>
      <c r="C743" s="6" t="str">
        <f>IF(ISNA(MATCH(734,'Transfer Engine'!$C$2:$C$1199,0)),"",INDEX('Compliance Database'!$C$2:$C$1199,MATCH(734,'Transfer Engine'!$C$2:$C$1199,0)))</f>
        <v/>
      </c>
      <c r="D743" s="7" t="str">
        <f>IF(ISNA(MATCH(734,'Transfer Engine'!$C$2:$C$1199,0)),"",INDEX('Compliance Database'!$D$2:$D$1199,MATCH(734,'Transfer Engine'!$C$2:$C$1199,0)))</f>
        <v/>
      </c>
      <c r="E743" s="6" t="str">
        <f>IF(ISNA(MATCH(734,'Transfer Engine'!$C$2:$C$1199,0)),"",INDEX('Compliance Database'!$E$2:$E$1199,MATCH(734,'Transfer Engine'!$C$2:$C$1199,0)))</f>
        <v/>
      </c>
      <c r="F743" s="6" t="str">
        <f>IF(ISNA(MATCH(734,'Transfer Engine'!$C$2:$C$1199,0)),"",INDEX('Compliance Database'!$F$2:$F$1199,MATCH(734,'Transfer Engine'!$C$2:$C$1199,0)))</f>
        <v/>
      </c>
      <c r="G743" s="6" t="str">
        <f>IF(ISNA(MATCH(734,'Transfer Engine'!$C$2:$C$1199,0)),"",INDEX('Compliance Database'!$G$2:$G$1199,MATCH(734,'Transfer Engine'!$C$2:$C$1199,0)))</f>
        <v/>
      </c>
      <c r="H743" s="7" t="str">
        <f>IF(ISNA(MATCH(734,'Transfer Engine'!$C$2:$C$1199,0)),"",INDEX('Compliance Database'!$H$2:$H$1199,MATCH(734,'Transfer Engine'!$C$2:$C$1199,0)))</f>
        <v/>
      </c>
      <c r="I743" s="7" t="str">
        <f>IF(ISNA(MATCH(734,'Transfer Engine'!$C$2:$C$1199,0)),"",INDEX('Compliance Database'!$I$2:$I$1199,MATCH(734,'Transfer Engine'!$C$2:$C$1199,0)))</f>
        <v/>
      </c>
      <c r="J743" s="6" t="str">
        <f>IF(ISNA(MATCH(734,'Transfer Engine'!$C$2:$C$1199,0)),"",INDEX('Compliance Database'!$J$2:$J$1199,MATCH(734,'Transfer Engine'!$C$2:$C$1199,0)))</f>
        <v/>
      </c>
      <c r="K743" s="7" t="str">
        <f>IF(ISNA(MATCH(734,'Transfer Engine'!$C$2:$C$1199,0)),"",INDEX('Compliance Database'!$K$2:$K$1199,MATCH(734,'Transfer Engine'!$C$2:$C$1199,0)))</f>
        <v/>
      </c>
      <c r="L743" s="7" t="str">
        <f>IF(ISNA(MATCH(734,'Transfer Engine'!$C$2:$C$1199,0)),"",INDEX('Compliance Database'!$L$2:$L$1199,MATCH(734,'Transfer Engine'!$C$2:$C$1199,0)))</f>
        <v/>
      </c>
      <c r="M743" s="7" t="str">
        <f>IF(ISNA(MATCH(734,'Transfer Engine'!$C$2:$C$1199,0)),"",INDEX('Compliance Database'!$M$2:$M$1199,MATCH(734,'Transfer Engine'!$C$2:$C$1199,0)))</f>
        <v/>
      </c>
      <c r="N743" s="7" t="str">
        <f>IF(ISNA(MATCH(734,'Transfer Engine'!$C$2:$C$1199,0)),"",INDEX('Compliance Database'!$N$2:$N$1199,MATCH(734,'Transfer Engine'!$C$2:$C$1199,0)))</f>
        <v/>
      </c>
      <c r="O743" s="7" t="str">
        <f>IF(ISNA(MATCH(734,'Transfer Engine'!$C$2:$C$1199,0)),"",INDEX('Compliance Database'!$O$2:$O$1199,MATCH(734,'Transfer Engine'!$C$2:$C$1199,0)))</f>
        <v/>
      </c>
      <c r="P743" s="6" t="str">
        <f>IF(ISNA(MATCH(734,'Transfer Engine'!$C$2:$C$1199,0)),"",HYPERLINK("#Acts!A"&amp;INDEX('Compliance Database'!$P$2:$P$1199,MATCH(734,'Transfer Engine'!$C$2:$C$1199,0)),"Go to Act"))</f>
        <v/>
      </c>
    </row>
    <row r="744" spans="1:16" ht="172.95" customHeight="1" x14ac:dyDescent="0.3">
      <c r="A744" s="6" t="str">
        <f>IF(ISNA(MATCH(735,'Transfer Engine'!$C$2:$C$1199,0)),"",INDEX('Compliance Database'!$A$2:$A$1199,MATCH(735,'Transfer Engine'!$C$2:$C$1199,0)))</f>
        <v/>
      </c>
      <c r="B744" s="6" t="str">
        <f>IF(ISNA(MATCH(735,'Transfer Engine'!$C$2:$C$1199,0)),"",INDEX('Compliance Database'!$B$2:$B$1199,MATCH(735,'Transfer Engine'!$C$2:$C$1199,0)))</f>
        <v/>
      </c>
      <c r="C744" s="6" t="str">
        <f>IF(ISNA(MATCH(735,'Transfer Engine'!$C$2:$C$1199,0)),"",INDEX('Compliance Database'!$C$2:$C$1199,MATCH(735,'Transfer Engine'!$C$2:$C$1199,0)))</f>
        <v/>
      </c>
      <c r="D744" s="7" t="str">
        <f>IF(ISNA(MATCH(735,'Transfer Engine'!$C$2:$C$1199,0)),"",INDEX('Compliance Database'!$D$2:$D$1199,MATCH(735,'Transfer Engine'!$C$2:$C$1199,0)))</f>
        <v/>
      </c>
      <c r="E744" s="6" t="str">
        <f>IF(ISNA(MATCH(735,'Transfer Engine'!$C$2:$C$1199,0)),"",INDEX('Compliance Database'!$E$2:$E$1199,MATCH(735,'Transfer Engine'!$C$2:$C$1199,0)))</f>
        <v/>
      </c>
      <c r="F744" s="6" t="str">
        <f>IF(ISNA(MATCH(735,'Transfer Engine'!$C$2:$C$1199,0)),"",INDEX('Compliance Database'!$F$2:$F$1199,MATCH(735,'Transfer Engine'!$C$2:$C$1199,0)))</f>
        <v/>
      </c>
      <c r="G744" s="6" t="str">
        <f>IF(ISNA(MATCH(735,'Transfer Engine'!$C$2:$C$1199,0)),"",INDEX('Compliance Database'!$G$2:$G$1199,MATCH(735,'Transfer Engine'!$C$2:$C$1199,0)))</f>
        <v/>
      </c>
      <c r="H744" s="7" t="str">
        <f>IF(ISNA(MATCH(735,'Transfer Engine'!$C$2:$C$1199,0)),"",INDEX('Compliance Database'!$H$2:$H$1199,MATCH(735,'Transfer Engine'!$C$2:$C$1199,0)))</f>
        <v/>
      </c>
      <c r="I744" s="7" t="str">
        <f>IF(ISNA(MATCH(735,'Transfer Engine'!$C$2:$C$1199,0)),"",INDEX('Compliance Database'!$I$2:$I$1199,MATCH(735,'Transfer Engine'!$C$2:$C$1199,0)))</f>
        <v/>
      </c>
      <c r="J744" s="6" t="str">
        <f>IF(ISNA(MATCH(735,'Transfer Engine'!$C$2:$C$1199,0)),"",INDEX('Compliance Database'!$J$2:$J$1199,MATCH(735,'Transfer Engine'!$C$2:$C$1199,0)))</f>
        <v/>
      </c>
      <c r="K744" s="7" t="str">
        <f>IF(ISNA(MATCH(735,'Transfer Engine'!$C$2:$C$1199,0)),"",INDEX('Compliance Database'!$K$2:$K$1199,MATCH(735,'Transfer Engine'!$C$2:$C$1199,0)))</f>
        <v/>
      </c>
      <c r="L744" s="7" t="str">
        <f>IF(ISNA(MATCH(735,'Transfer Engine'!$C$2:$C$1199,0)),"",INDEX('Compliance Database'!$L$2:$L$1199,MATCH(735,'Transfer Engine'!$C$2:$C$1199,0)))</f>
        <v/>
      </c>
      <c r="M744" s="7" t="str">
        <f>IF(ISNA(MATCH(735,'Transfer Engine'!$C$2:$C$1199,0)),"",INDEX('Compliance Database'!$M$2:$M$1199,MATCH(735,'Transfer Engine'!$C$2:$C$1199,0)))</f>
        <v/>
      </c>
      <c r="N744" s="7" t="str">
        <f>IF(ISNA(MATCH(735,'Transfer Engine'!$C$2:$C$1199,0)),"",INDEX('Compliance Database'!$N$2:$N$1199,MATCH(735,'Transfer Engine'!$C$2:$C$1199,0)))</f>
        <v/>
      </c>
      <c r="O744" s="7" t="str">
        <f>IF(ISNA(MATCH(735,'Transfer Engine'!$C$2:$C$1199,0)),"",INDEX('Compliance Database'!$O$2:$O$1199,MATCH(735,'Transfer Engine'!$C$2:$C$1199,0)))</f>
        <v/>
      </c>
      <c r="P744" s="6" t="str">
        <f>IF(ISNA(MATCH(735,'Transfer Engine'!$C$2:$C$1199,0)),"",HYPERLINK("#Acts!A"&amp;INDEX('Compliance Database'!$P$2:$P$1199,MATCH(735,'Transfer Engine'!$C$2:$C$1199,0)),"Go to Act"))</f>
        <v/>
      </c>
    </row>
    <row r="745" spans="1:16" ht="172.95" customHeight="1" x14ac:dyDescent="0.3">
      <c r="A745" s="6" t="str">
        <f>IF(ISNA(MATCH(736,'Transfer Engine'!$C$2:$C$1199,0)),"",INDEX('Compliance Database'!$A$2:$A$1199,MATCH(736,'Transfer Engine'!$C$2:$C$1199,0)))</f>
        <v/>
      </c>
      <c r="B745" s="6" t="str">
        <f>IF(ISNA(MATCH(736,'Transfer Engine'!$C$2:$C$1199,0)),"",INDEX('Compliance Database'!$B$2:$B$1199,MATCH(736,'Transfer Engine'!$C$2:$C$1199,0)))</f>
        <v/>
      </c>
      <c r="C745" s="6" t="str">
        <f>IF(ISNA(MATCH(736,'Transfer Engine'!$C$2:$C$1199,0)),"",INDEX('Compliance Database'!$C$2:$C$1199,MATCH(736,'Transfer Engine'!$C$2:$C$1199,0)))</f>
        <v/>
      </c>
      <c r="D745" s="7" t="str">
        <f>IF(ISNA(MATCH(736,'Transfer Engine'!$C$2:$C$1199,0)),"",INDEX('Compliance Database'!$D$2:$D$1199,MATCH(736,'Transfer Engine'!$C$2:$C$1199,0)))</f>
        <v/>
      </c>
      <c r="E745" s="6" t="str">
        <f>IF(ISNA(MATCH(736,'Transfer Engine'!$C$2:$C$1199,0)),"",INDEX('Compliance Database'!$E$2:$E$1199,MATCH(736,'Transfer Engine'!$C$2:$C$1199,0)))</f>
        <v/>
      </c>
      <c r="F745" s="6" t="str">
        <f>IF(ISNA(MATCH(736,'Transfer Engine'!$C$2:$C$1199,0)),"",INDEX('Compliance Database'!$F$2:$F$1199,MATCH(736,'Transfer Engine'!$C$2:$C$1199,0)))</f>
        <v/>
      </c>
      <c r="G745" s="6" t="str">
        <f>IF(ISNA(MATCH(736,'Transfer Engine'!$C$2:$C$1199,0)),"",INDEX('Compliance Database'!$G$2:$G$1199,MATCH(736,'Transfer Engine'!$C$2:$C$1199,0)))</f>
        <v/>
      </c>
      <c r="H745" s="7" t="str">
        <f>IF(ISNA(MATCH(736,'Transfer Engine'!$C$2:$C$1199,0)),"",INDEX('Compliance Database'!$H$2:$H$1199,MATCH(736,'Transfer Engine'!$C$2:$C$1199,0)))</f>
        <v/>
      </c>
      <c r="I745" s="7" t="str">
        <f>IF(ISNA(MATCH(736,'Transfer Engine'!$C$2:$C$1199,0)),"",INDEX('Compliance Database'!$I$2:$I$1199,MATCH(736,'Transfer Engine'!$C$2:$C$1199,0)))</f>
        <v/>
      </c>
      <c r="J745" s="6" t="str">
        <f>IF(ISNA(MATCH(736,'Transfer Engine'!$C$2:$C$1199,0)),"",INDEX('Compliance Database'!$J$2:$J$1199,MATCH(736,'Transfer Engine'!$C$2:$C$1199,0)))</f>
        <v/>
      </c>
      <c r="K745" s="7" t="str">
        <f>IF(ISNA(MATCH(736,'Transfer Engine'!$C$2:$C$1199,0)),"",INDEX('Compliance Database'!$K$2:$K$1199,MATCH(736,'Transfer Engine'!$C$2:$C$1199,0)))</f>
        <v/>
      </c>
      <c r="L745" s="7" t="str">
        <f>IF(ISNA(MATCH(736,'Transfer Engine'!$C$2:$C$1199,0)),"",INDEX('Compliance Database'!$L$2:$L$1199,MATCH(736,'Transfer Engine'!$C$2:$C$1199,0)))</f>
        <v/>
      </c>
      <c r="M745" s="7" t="str">
        <f>IF(ISNA(MATCH(736,'Transfer Engine'!$C$2:$C$1199,0)),"",INDEX('Compliance Database'!$M$2:$M$1199,MATCH(736,'Transfer Engine'!$C$2:$C$1199,0)))</f>
        <v/>
      </c>
      <c r="N745" s="7" t="str">
        <f>IF(ISNA(MATCH(736,'Transfer Engine'!$C$2:$C$1199,0)),"",INDEX('Compliance Database'!$N$2:$N$1199,MATCH(736,'Transfer Engine'!$C$2:$C$1199,0)))</f>
        <v/>
      </c>
      <c r="O745" s="7" t="str">
        <f>IF(ISNA(MATCH(736,'Transfer Engine'!$C$2:$C$1199,0)),"",INDEX('Compliance Database'!$O$2:$O$1199,MATCH(736,'Transfer Engine'!$C$2:$C$1199,0)))</f>
        <v/>
      </c>
      <c r="P745" s="6" t="str">
        <f>IF(ISNA(MATCH(736,'Transfer Engine'!$C$2:$C$1199,0)),"",HYPERLINK("#Acts!A"&amp;INDEX('Compliance Database'!$P$2:$P$1199,MATCH(736,'Transfer Engine'!$C$2:$C$1199,0)),"Go to Act"))</f>
        <v/>
      </c>
    </row>
    <row r="746" spans="1:16" ht="172.95" customHeight="1" x14ac:dyDescent="0.3">
      <c r="A746" s="6" t="str">
        <f>IF(ISNA(MATCH(737,'Transfer Engine'!$C$2:$C$1199,0)),"",INDEX('Compliance Database'!$A$2:$A$1199,MATCH(737,'Transfer Engine'!$C$2:$C$1199,0)))</f>
        <v/>
      </c>
      <c r="B746" s="6" t="str">
        <f>IF(ISNA(MATCH(737,'Transfer Engine'!$C$2:$C$1199,0)),"",INDEX('Compliance Database'!$B$2:$B$1199,MATCH(737,'Transfer Engine'!$C$2:$C$1199,0)))</f>
        <v/>
      </c>
      <c r="C746" s="6" t="str">
        <f>IF(ISNA(MATCH(737,'Transfer Engine'!$C$2:$C$1199,0)),"",INDEX('Compliance Database'!$C$2:$C$1199,MATCH(737,'Transfer Engine'!$C$2:$C$1199,0)))</f>
        <v/>
      </c>
      <c r="D746" s="7" t="str">
        <f>IF(ISNA(MATCH(737,'Transfer Engine'!$C$2:$C$1199,0)),"",INDEX('Compliance Database'!$D$2:$D$1199,MATCH(737,'Transfer Engine'!$C$2:$C$1199,0)))</f>
        <v/>
      </c>
      <c r="E746" s="6" t="str">
        <f>IF(ISNA(MATCH(737,'Transfer Engine'!$C$2:$C$1199,0)),"",INDEX('Compliance Database'!$E$2:$E$1199,MATCH(737,'Transfer Engine'!$C$2:$C$1199,0)))</f>
        <v/>
      </c>
      <c r="F746" s="6" t="str">
        <f>IF(ISNA(MATCH(737,'Transfer Engine'!$C$2:$C$1199,0)),"",INDEX('Compliance Database'!$F$2:$F$1199,MATCH(737,'Transfer Engine'!$C$2:$C$1199,0)))</f>
        <v/>
      </c>
      <c r="G746" s="6" t="str">
        <f>IF(ISNA(MATCH(737,'Transfer Engine'!$C$2:$C$1199,0)),"",INDEX('Compliance Database'!$G$2:$G$1199,MATCH(737,'Transfer Engine'!$C$2:$C$1199,0)))</f>
        <v/>
      </c>
      <c r="H746" s="7" t="str">
        <f>IF(ISNA(MATCH(737,'Transfer Engine'!$C$2:$C$1199,0)),"",INDEX('Compliance Database'!$H$2:$H$1199,MATCH(737,'Transfer Engine'!$C$2:$C$1199,0)))</f>
        <v/>
      </c>
      <c r="I746" s="7" t="str">
        <f>IF(ISNA(MATCH(737,'Transfer Engine'!$C$2:$C$1199,0)),"",INDEX('Compliance Database'!$I$2:$I$1199,MATCH(737,'Transfer Engine'!$C$2:$C$1199,0)))</f>
        <v/>
      </c>
      <c r="J746" s="6" t="str">
        <f>IF(ISNA(MATCH(737,'Transfer Engine'!$C$2:$C$1199,0)),"",INDEX('Compliance Database'!$J$2:$J$1199,MATCH(737,'Transfer Engine'!$C$2:$C$1199,0)))</f>
        <v/>
      </c>
      <c r="K746" s="7" t="str">
        <f>IF(ISNA(MATCH(737,'Transfer Engine'!$C$2:$C$1199,0)),"",INDEX('Compliance Database'!$K$2:$K$1199,MATCH(737,'Transfer Engine'!$C$2:$C$1199,0)))</f>
        <v/>
      </c>
      <c r="L746" s="7" t="str">
        <f>IF(ISNA(MATCH(737,'Transfer Engine'!$C$2:$C$1199,0)),"",INDEX('Compliance Database'!$L$2:$L$1199,MATCH(737,'Transfer Engine'!$C$2:$C$1199,0)))</f>
        <v/>
      </c>
      <c r="M746" s="7" t="str">
        <f>IF(ISNA(MATCH(737,'Transfer Engine'!$C$2:$C$1199,0)),"",INDEX('Compliance Database'!$M$2:$M$1199,MATCH(737,'Transfer Engine'!$C$2:$C$1199,0)))</f>
        <v/>
      </c>
      <c r="N746" s="7" t="str">
        <f>IF(ISNA(MATCH(737,'Transfer Engine'!$C$2:$C$1199,0)),"",INDEX('Compliance Database'!$N$2:$N$1199,MATCH(737,'Transfer Engine'!$C$2:$C$1199,0)))</f>
        <v/>
      </c>
      <c r="O746" s="7" t="str">
        <f>IF(ISNA(MATCH(737,'Transfer Engine'!$C$2:$C$1199,0)),"",INDEX('Compliance Database'!$O$2:$O$1199,MATCH(737,'Transfer Engine'!$C$2:$C$1199,0)))</f>
        <v/>
      </c>
      <c r="P746" s="6" t="str">
        <f>IF(ISNA(MATCH(737,'Transfer Engine'!$C$2:$C$1199,0)),"",HYPERLINK("#Acts!A"&amp;INDEX('Compliance Database'!$P$2:$P$1199,MATCH(737,'Transfer Engine'!$C$2:$C$1199,0)),"Go to Act"))</f>
        <v/>
      </c>
    </row>
    <row r="747" spans="1:16" ht="172.95" customHeight="1" x14ac:dyDescent="0.3">
      <c r="A747" s="6" t="str">
        <f>IF(ISNA(MATCH(738,'Transfer Engine'!$C$2:$C$1199,0)),"",INDEX('Compliance Database'!$A$2:$A$1199,MATCH(738,'Transfer Engine'!$C$2:$C$1199,0)))</f>
        <v/>
      </c>
      <c r="B747" s="6" t="str">
        <f>IF(ISNA(MATCH(738,'Transfer Engine'!$C$2:$C$1199,0)),"",INDEX('Compliance Database'!$B$2:$B$1199,MATCH(738,'Transfer Engine'!$C$2:$C$1199,0)))</f>
        <v/>
      </c>
      <c r="C747" s="6" t="str">
        <f>IF(ISNA(MATCH(738,'Transfer Engine'!$C$2:$C$1199,0)),"",INDEX('Compliance Database'!$C$2:$C$1199,MATCH(738,'Transfer Engine'!$C$2:$C$1199,0)))</f>
        <v/>
      </c>
      <c r="D747" s="7" t="str">
        <f>IF(ISNA(MATCH(738,'Transfer Engine'!$C$2:$C$1199,0)),"",INDEX('Compliance Database'!$D$2:$D$1199,MATCH(738,'Transfer Engine'!$C$2:$C$1199,0)))</f>
        <v/>
      </c>
      <c r="E747" s="6" t="str">
        <f>IF(ISNA(MATCH(738,'Transfer Engine'!$C$2:$C$1199,0)),"",INDEX('Compliance Database'!$E$2:$E$1199,MATCH(738,'Transfer Engine'!$C$2:$C$1199,0)))</f>
        <v/>
      </c>
      <c r="F747" s="6" t="str">
        <f>IF(ISNA(MATCH(738,'Transfer Engine'!$C$2:$C$1199,0)),"",INDEX('Compliance Database'!$F$2:$F$1199,MATCH(738,'Transfer Engine'!$C$2:$C$1199,0)))</f>
        <v/>
      </c>
      <c r="G747" s="6" t="str">
        <f>IF(ISNA(MATCH(738,'Transfer Engine'!$C$2:$C$1199,0)),"",INDEX('Compliance Database'!$G$2:$G$1199,MATCH(738,'Transfer Engine'!$C$2:$C$1199,0)))</f>
        <v/>
      </c>
      <c r="H747" s="7" t="str">
        <f>IF(ISNA(MATCH(738,'Transfer Engine'!$C$2:$C$1199,0)),"",INDEX('Compliance Database'!$H$2:$H$1199,MATCH(738,'Transfer Engine'!$C$2:$C$1199,0)))</f>
        <v/>
      </c>
      <c r="I747" s="7" t="str">
        <f>IF(ISNA(MATCH(738,'Transfer Engine'!$C$2:$C$1199,0)),"",INDEX('Compliance Database'!$I$2:$I$1199,MATCH(738,'Transfer Engine'!$C$2:$C$1199,0)))</f>
        <v/>
      </c>
      <c r="J747" s="6" t="str">
        <f>IF(ISNA(MATCH(738,'Transfer Engine'!$C$2:$C$1199,0)),"",INDEX('Compliance Database'!$J$2:$J$1199,MATCH(738,'Transfer Engine'!$C$2:$C$1199,0)))</f>
        <v/>
      </c>
      <c r="K747" s="7" t="str">
        <f>IF(ISNA(MATCH(738,'Transfer Engine'!$C$2:$C$1199,0)),"",INDEX('Compliance Database'!$K$2:$K$1199,MATCH(738,'Transfer Engine'!$C$2:$C$1199,0)))</f>
        <v/>
      </c>
      <c r="L747" s="7" t="str">
        <f>IF(ISNA(MATCH(738,'Transfer Engine'!$C$2:$C$1199,0)),"",INDEX('Compliance Database'!$L$2:$L$1199,MATCH(738,'Transfer Engine'!$C$2:$C$1199,0)))</f>
        <v/>
      </c>
      <c r="M747" s="7" t="str">
        <f>IF(ISNA(MATCH(738,'Transfer Engine'!$C$2:$C$1199,0)),"",INDEX('Compliance Database'!$M$2:$M$1199,MATCH(738,'Transfer Engine'!$C$2:$C$1199,0)))</f>
        <v/>
      </c>
      <c r="N747" s="7" t="str">
        <f>IF(ISNA(MATCH(738,'Transfer Engine'!$C$2:$C$1199,0)),"",INDEX('Compliance Database'!$N$2:$N$1199,MATCH(738,'Transfer Engine'!$C$2:$C$1199,0)))</f>
        <v/>
      </c>
      <c r="O747" s="7" t="str">
        <f>IF(ISNA(MATCH(738,'Transfer Engine'!$C$2:$C$1199,0)),"",INDEX('Compliance Database'!$O$2:$O$1199,MATCH(738,'Transfer Engine'!$C$2:$C$1199,0)))</f>
        <v/>
      </c>
      <c r="P747" s="6" t="str">
        <f>IF(ISNA(MATCH(738,'Transfer Engine'!$C$2:$C$1199,0)),"",HYPERLINK("#Acts!A"&amp;INDEX('Compliance Database'!$P$2:$P$1199,MATCH(738,'Transfer Engine'!$C$2:$C$1199,0)),"Go to Act"))</f>
        <v/>
      </c>
    </row>
    <row r="748" spans="1:16" ht="172.95" customHeight="1" x14ac:dyDescent="0.3">
      <c r="A748" s="6" t="str">
        <f>IF(ISNA(MATCH(739,'Transfer Engine'!$C$2:$C$1199,0)),"",INDEX('Compliance Database'!$A$2:$A$1199,MATCH(739,'Transfer Engine'!$C$2:$C$1199,0)))</f>
        <v/>
      </c>
      <c r="B748" s="6" t="str">
        <f>IF(ISNA(MATCH(739,'Transfer Engine'!$C$2:$C$1199,0)),"",INDEX('Compliance Database'!$B$2:$B$1199,MATCH(739,'Transfer Engine'!$C$2:$C$1199,0)))</f>
        <v/>
      </c>
      <c r="C748" s="6" t="str">
        <f>IF(ISNA(MATCH(739,'Transfer Engine'!$C$2:$C$1199,0)),"",INDEX('Compliance Database'!$C$2:$C$1199,MATCH(739,'Transfer Engine'!$C$2:$C$1199,0)))</f>
        <v/>
      </c>
      <c r="D748" s="7" t="str">
        <f>IF(ISNA(MATCH(739,'Transfer Engine'!$C$2:$C$1199,0)),"",INDEX('Compliance Database'!$D$2:$D$1199,MATCH(739,'Transfer Engine'!$C$2:$C$1199,0)))</f>
        <v/>
      </c>
      <c r="E748" s="6" t="str">
        <f>IF(ISNA(MATCH(739,'Transfer Engine'!$C$2:$C$1199,0)),"",INDEX('Compliance Database'!$E$2:$E$1199,MATCH(739,'Transfer Engine'!$C$2:$C$1199,0)))</f>
        <v/>
      </c>
      <c r="F748" s="6" t="str">
        <f>IF(ISNA(MATCH(739,'Transfer Engine'!$C$2:$C$1199,0)),"",INDEX('Compliance Database'!$F$2:$F$1199,MATCH(739,'Transfer Engine'!$C$2:$C$1199,0)))</f>
        <v/>
      </c>
      <c r="G748" s="6" t="str">
        <f>IF(ISNA(MATCH(739,'Transfer Engine'!$C$2:$C$1199,0)),"",INDEX('Compliance Database'!$G$2:$G$1199,MATCH(739,'Transfer Engine'!$C$2:$C$1199,0)))</f>
        <v/>
      </c>
      <c r="H748" s="7" t="str">
        <f>IF(ISNA(MATCH(739,'Transfer Engine'!$C$2:$C$1199,0)),"",INDEX('Compliance Database'!$H$2:$H$1199,MATCH(739,'Transfer Engine'!$C$2:$C$1199,0)))</f>
        <v/>
      </c>
      <c r="I748" s="7" t="str">
        <f>IF(ISNA(MATCH(739,'Transfer Engine'!$C$2:$C$1199,0)),"",INDEX('Compliance Database'!$I$2:$I$1199,MATCH(739,'Transfer Engine'!$C$2:$C$1199,0)))</f>
        <v/>
      </c>
      <c r="J748" s="6" t="str">
        <f>IF(ISNA(MATCH(739,'Transfer Engine'!$C$2:$C$1199,0)),"",INDEX('Compliance Database'!$J$2:$J$1199,MATCH(739,'Transfer Engine'!$C$2:$C$1199,0)))</f>
        <v/>
      </c>
      <c r="K748" s="7" t="str">
        <f>IF(ISNA(MATCH(739,'Transfer Engine'!$C$2:$C$1199,0)),"",INDEX('Compliance Database'!$K$2:$K$1199,MATCH(739,'Transfer Engine'!$C$2:$C$1199,0)))</f>
        <v/>
      </c>
      <c r="L748" s="7" t="str">
        <f>IF(ISNA(MATCH(739,'Transfer Engine'!$C$2:$C$1199,0)),"",INDEX('Compliance Database'!$L$2:$L$1199,MATCH(739,'Transfer Engine'!$C$2:$C$1199,0)))</f>
        <v/>
      </c>
      <c r="M748" s="7" t="str">
        <f>IF(ISNA(MATCH(739,'Transfer Engine'!$C$2:$C$1199,0)),"",INDEX('Compliance Database'!$M$2:$M$1199,MATCH(739,'Transfer Engine'!$C$2:$C$1199,0)))</f>
        <v/>
      </c>
      <c r="N748" s="7" t="str">
        <f>IF(ISNA(MATCH(739,'Transfer Engine'!$C$2:$C$1199,0)),"",INDEX('Compliance Database'!$N$2:$N$1199,MATCH(739,'Transfer Engine'!$C$2:$C$1199,0)))</f>
        <v/>
      </c>
      <c r="O748" s="7" t="str">
        <f>IF(ISNA(MATCH(739,'Transfer Engine'!$C$2:$C$1199,0)),"",INDEX('Compliance Database'!$O$2:$O$1199,MATCH(739,'Transfer Engine'!$C$2:$C$1199,0)))</f>
        <v/>
      </c>
      <c r="P748" s="6" t="str">
        <f>IF(ISNA(MATCH(739,'Transfer Engine'!$C$2:$C$1199,0)),"",HYPERLINK("#Acts!A"&amp;INDEX('Compliance Database'!$P$2:$P$1199,MATCH(739,'Transfer Engine'!$C$2:$C$1199,0)),"Go to Act"))</f>
        <v/>
      </c>
    </row>
    <row r="749" spans="1:16" ht="172.95" customHeight="1" x14ac:dyDescent="0.3">
      <c r="A749" s="6" t="str">
        <f>IF(ISNA(MATCH(740,'Transfer Engine'!$C$2:$C$1199,0)),"",INDEX('Compliance Database'!$A$2:$A$1199,MATCH(740,'Transfer Engine'!$C$2:$C$1199,0)))</f>
        <v/>
      </c>
      <c r="B749" s="6" t="str">
        <f>IF(ISNA(MATCH(740,'Transfer Engine'!$C$2:$C$1199,0)),"",INDEX('Compliance Database'!$B$2:$B$1199,MATCH(740,'Transfer Engine'!$C$2:$C$1199,0)))</f>
        <v/>
      </c>
      <c r="C749" s="6" t="str">
        <f>IF(ISNA(MATCH(740,'Transfer Engine'!$C$2:$C$1199,0)),"",INDEX('Compliance Database'!$C$2:$C$1199,MATCH(740,'Transfer Engine'!$C$2:$C$1199,0)))</f>
        <v/>
      </c>
      <c r="D749" s="7" t="str">
        <f>IF(ISNA(MATCH(740,'Transfer Engine'!$C$2:$C$1199,0)),"",INDEX('Compliance Database'!$D$2:$D$1199,MATCH(740,'Transfer Engine'!$C$2:$C$1199,0)))</f>
        <v/>
      </c>
      <c r="E749" s="6" t="str">
        <f>IF(ISNA(MATCH(740,'Transfer Engine'!$C$2:$C$1199,0)),"",INDEX('Compliance Database'!$E$2:$E$1199,MATCH(740,'Transfer Engine'!$C$2:$C$1199,0)))</f>
        <v/>
      </c>
      <c r="F749" s="6" t="str">
        <f>IF(ISNA(MATCH(740,'Transfer Engine'!$C$2:$C$1199,0)),"",INDEX('Compliance Database'!$F$2:$F$1199,MATCH(740,'Transfer Engine'!$C$2:$C$1199,0)))</f>
        <v/>
      </c>
      <c r="G749" s="6" t="str">
        <f>IF(ISNA(MATCH(740,'Transfer Engine'!$C$2:$C$1199,0)),"",INDEX('Compliance Database'!$G$2:$G$1199,MATCH(740,'Transfer Engine'!$C$2:$C$1199,0)))</f>
        <v/>
      </c>
      <c r="H749" s="7" t="str">
        <f>IF(ISNA(MATCH(740,'Transfer Engine'!$C$2:$C$1199,0)),"",INDEX('Compliance Database'!$H$2:$H$1199,MATCH(740,'Transfer Engine'!$C$2:$C$1199,0)))</f>
        <v/>
      </c>
      <c r="I749" s="7" t="str">
        <f>IF(ISNA(MATCH(740,'Transfer Engine'!$C$2:$C$1199,0)),"",INDEX('Compliance Database'!$I$2:$I$1199,MATCH(740,'Transfer Engine'!$C$2:$C$1199,0)))</f>
        <v/>
      </c>
      <c r="J749" s="6" t="str">
        <f>IF(ISNA(MATCH(740,'Transfer Engine'!$C$2:$C$1199,0)),"",INDEX('Compliance Database'!$J$2:$J$1199,MATCH(740,'Transfer Engine'!$C$2:$C$1199,0)))</f>
        <v/>
      </c>
      <c r="K749" s="7" t="str">
        <f>IF(ISNA(MATCH(740,'Transfer Engine'!$C$2:$C$1199,0)),"",INDEX('Compliance Database'!$K$2:$K$1199,MATCH(740,'Transfer Engine'!$C$2:$C$1199,0)))</f>
        <v/>
      </c>
      <c r="L749" s="7" t="str">
        <f>IF(ISNA(MATCH(740,'Transfer Engine'!$C$2:$C$1199,0)),"",INDEX('Compliance Database'!$L$2:$L$1199,MATCH(740,'Transfer Engine'!$C$2:$C$1199,0)))</f>
        <v/>
      </c>
      <c r="M749" s="7" t="str">
        <f>IF(ISNA(MATCH(740,'Transfer Engine'!$C$2:$C$1199,0)),"",INDEX('Compliance Database'!$M$2:$M$1199,MATCH(740,'Transfer Engine'!$C$2:$C$1199,0)))</f>
        <v/>
      </c>
      <c r="N749" s="7" t="str">
        <f>IF(ISNA(MATCH(740,'Transfer Engine'!$C$2:$C$1199,0)),"",INDEX('Compliance Database'!$N$2:$N$1199,MATCH(740,'Transfer Engine'!$C$2:$C$1199,0)))</f>
        <v/>
      </c>
      <c r="O749" s="7" t="str">
        <f>IF(ISNA(MATCH(740,'Transfer Engine'!$C$2:$C$1199,0)),"",INDEX('Compliance Database'!$O$2:$O$1199,MATCH(740,'Transfer Engine'!$C$2:$C$1199,0)))</f>
        <v/>
      </c>
      <c r="P749" s="6" t="str">
        <f>IF(ISNA(MATCH(740,'Transfer Engine'!$C$2:$C$1199,0)),"",HYPERLINK("#Acts!A"&amp;INDEX('Compliance Database'!$P$2:$P$1199,MATCH(740,'Transfer Engine'!$C$2:$C$1199,0)),"Go to Act"))</f>
        <v/>
      </c>
    </row>
    <row r="750" spans="1:16" ht="172.95" customHeight="1" x14ac:dyDescent="0.3">
      <c r="A750" s="6" t="str">
        <f>IF(ISNA(MATCH(741,'Transfer Engine'!$C$2:$C$1199,0)),"",INDEX('Compliance Database'!$A$2:$A$1199,MATCH(741,'Transfer Engine'!$C$2:$C$1199,0)))</f>
        <v/>
      </c>
      <c r="B750" s="6" t="str">
        <f>IF(ISNA(MATCH(741,'Transfer Engine'!$C$2:$C$1199,0)),"",INDEX('Compliance Database'!$B$2:$B$1199,MATCH(741,'Transfer Engine'!$C$2:$C$1199,0)))</f>
        <v/>
      </c>
      <c r="C750" s="6" t="str">
        <f>IF(ISNA(MATCH(741,'Transfer Engine'!$C$2:$C$1199,0)),"",INDEX('Compliance Database'!$C$2:$C$1199,MATCH(741,'Transfer Engine'!$C$2:$C$1199,0)))</f>
        <v/>
      </c>
      <c r="D750" s="7" t="str">
        <f>IF(ISNA(MATCH(741,'Transfer Engine'!$C$2:$C$1199,0)),"",INDEX('Compliance Database'!$D$2:$D$1199,MATCH(741,'Transfer Engine'!$C$2:$C$1199,0)))</f>
        <v/>
      </c>
      <c r="E750" s="6" t="str">
        <f>IF(ISNA(MATCH(741,'Transfer Engine'!$C$2:$C$1199,0)),"",INDEX('Compliance Database'!$E$2:$E$1199,MATCH(741,'Transfer Engine'!$C$2:$C$1199,0)))</f>
        <v/>
      </c>
      <c r="F750" s="6" t="str">
        <f>IF(ISNA(MATCH(741,'Transfer Engine'!$C$2:$C$1199,0)),"",INDEX('Compliance Database'!$F$2:$F$1199,MATCH(741,'Transfer Engine'!$C$2:$C$1199,0)))</f>
        <v/>
      </c>
      <c r="G750" s="6" t="str">
        <f>IF(ISNA(MATCH(741,'Transfer Engine'!$C$2:$C$1199,0)),"",INDEX('Compliance Database'!$G$2:$G$1199,MATCH(741,'Transfer Engine'!$C$2:$C$1199,0)))</f>
        <v/>
      </c>
      <c r="H750" s="7" t="str">
        <f>IF(ISNA(MATCH(741,'Transfer Engine'!$C$2:$C$1199,0)),"",INDEX('Compliance Database'!$H$2:$H$1199,MATCH(741,'Transfer Engine'!$C$2:$C$1199,0)))</f>
        <v/>
      </c>
      <c r="I750" s="7" t="str">
        <f>IF(ISNA(MATCH(741,'Transfer Engine'!$C$2:$C$1199,0)),"",INDEX('Compliance Database'!$I$2:$I$1199,MATCH(741,'Transfer Engine'!$C$2:$C$1199,0)))</f>
        <v/>
      </c>
      <c r="J750" s="6" t="str">
        <f>IF(ISNA(MATCH(741,'Transfer Engine'!$C$2:$C$1199,0)),"",INDEX('Compliance Database'!$J$2:$J$1199,MATCH(741,'Transfer Engine'!$C$2:$C$1199,0)))</f>
        <v/>
      </c>
      <c r="K750" s="7" t="str">
        <f>IF(ISNA(MATCH(741,'Transfer Engine'!$C$2:$C$1199,0)),"",INDEX('Compliance Database'!$K$2:$K$1199,MATCH(741,'Transfer Engine'!$C$2:$C$1199,0)))</f>
        <v/>
      </c>
      <c r="L750" s="7" t="str">
        <f>IF(ISNA(MATCH(741,'Transfer Engine'!$C$2:$C$1199,0)),"",INDEX('Compliance Database'!$L$2:$L$1199,MATCH(741,'Transfer Engine'!$C$2:$C$1199,0)))</f>
        <v/>
      </c>
      <c r="M750" s="7" t="str">
        <f>IF(ISNA(MATCH(741,'Transfer Engine'!$C$2:$C$1199,0)),"",INDEX('Compliance Database'!$M$2:$M$1199,MATCH(741,'Transfer Engine'!$C$2:$C$1199,0)))</f>
        <v/>
      </c>
      <c r="N750" s="7" t="str">
        <f>IF(ISNA(MATCH(741,'Transfer Engine'!$C$2:$C$1199,0)),"",INDEX('Compliance Database'!$N$2:$N$1199,MATCH(741,'Transfer Engine'!$C$2:$C$1199,0)))</f>
        <v/>
      </c>
      <c r="O750" s="7" t="str">
        <f>IF(ISNA(MATCH(741,'Transfer Engine'!$C$2:$C$1199,0)),"",INDEX('Compliance Database'!$O$2:$O$1199,MATCH(741,'Transfer Engine'!$C$2:$C$1199,0)))</f>
        <v/>
      </c>
      <c r="P750" s="6" t="str">
        <f>IF(ISNA(MATCH(741,'Transfer Engine'!$C$2:$C$1199,0)),"",HYPERLINK("#Acts!A"&amp;INDEX('Compliance Database'!$P$2:$P$1199,MATCH(741,'Transfer Engine'!$C$2:$C$1199,0)),"Go to Act"))</f>
        <v/>
      </c>
    </row>
    <row r="751" spans="1:16" ht="172.95" customHeight="1" x14ac:dyDescent="0.3">
      <c r="A751" s="6" t="str">
        <f>IF(ISNA(MATCH(742,'Transfer Engine'!$C$2:$C$1199,0)),"",INDEX('Compliance Database'!$A$2:$A$1199,MATCH(742,'Transfer Engine'!$C$2:$C$1199,0)))</f>
        <v/>
      </c>
      <c r="B751" s="6" t="str">
        <f>IF(ISNA(MATCH(742,'Transfer Engine'!$C$2:$C$1199,0)),"",INDEX('Compliance Database'!$B$2:$B$1199,MATCH(742,'Transfer Engine'!$C$2:$C$1199,0)))</f>
        <v/>
      </c>
      <c r="C751" s="6" t="str">
        <f>IF(ISNA(MATCH(742,'Transfer Engine'!$C$2:$C$1199,0)),"",INDEX('Compliance Database'!$C$2:$C$1199,MATCH(742,'Transfer Engine'!$C$2:$C$1199,0)))</f>
        <v/>
      </c>
      <c r="D751" s="7" t="str">
        <f>IF(ISNA(MATCH(742,'Transfer Engine'!$C$2:$C$1199,0)),"",INDEX('Compliance Database'!$D$2:$D$1199,MATCH(742,'Transfer Engine'!$C$2:$C$1199,0)))</f>
        <v/>
      </c>
      <c r="E751" s="6" t="str">
        <f>IF(ISNA(MATCH(742,'Transfer Engine'!$C$2:$C$1199,0)),"",INDEX('Compliance Database'!$E$2:$E$1199,MATCH(742,'Transfer Engine'!$C$2:$C$1199,0)))</f>
        <v/>
      </c>
      <c r="F751" s="6" t="str">
        <f>IF(ISNA(MATCH(742,'Transfer Engine'!$C$2:$C$1199,0)),"",INDEX('Compliance Database'!$F$2:$F$1199,MATCH(742,'Transfer Engine'!$C$2:$C$1199,0)))</f>
        <v/>
      </c>
      <c r="G751" s="6" t="str">
        <f>IF(ISNA(MATCH(742,'Transfer Engine'!$C$2:$C$1199,0)),"",INDEX('Compliance Database'!$G$2:$G$1199,MATCH(742,'Transfer Engine'!$C$2:$C$1199,0)))</f>
        <v/>
      </c>
      <c r="H751" s="7" t="str">
        <f>IF(ISNA(MATCH(742,'Transfer Engine'!$C$2:$C$1199,0)),"",INDEX('Compliance Database'!$H$2:$H$1199,MATCH(742,'Transfer Engine'!$C$2:$C$1199,0)))</f>
        <v/>
      </c>
      <c r="I751" s="7" t="str">
        <f>IF(ISNA(MATCH(742,'Transfer Engine'!$C$2:$C$1199,0)),"",INDEX('Compliance Database'!$I$2:$I$1199,MATCH(742,'Transfer Engine'!$C$2:$C$1199,0)))</f>
        <v/>
      </c>
      <c r="J751" s="6" t="str">
        <f>IF(ISNA(MATCH(742,'Transfer Engine'!$C$2:$C$1199,0)),"",INDEX('Compliance Database'!$J$2:$J$1199,MATCH(742,'Transfer Engine'!$C$2:$C$1199,0)))</f>
        <v/>
      </c>
      <c r="K751" s="7" t="str">
        <f>IF(ISNA(MATCH(742,'Transfer Engine'!$C$2:$C$1199,0)),"",INDEX('Compliance Database'!$K$2:$K$1199,MATCH(742,'Transfer Engine'!$C$2:$C$1199,0)))</f>
        <v/>
      </c>
      <c r="L751" s="7" t="str">
        <f>IF(ISNA(MATCH(742,'Transfer Engine'!$C$2:$C$1199,0)),"",INDEX('Compliance Database'!$L$2:$L$1199,MATCH(742,'Transfer Engine'!$C$2:$C$1199,0)))</f>
        <v/>
      </c>
      <c r="M751" s="7" t="str">
        <f>IF(ISNA(MATCH(742,'Transfer Engine'!$C$2:$C$1199,0)),"",INDEX('Compliance Database'!$M$2:$M$1199,MATCH(742,'Transfer Engine'!$C$2:$C$1199,0)))</f>
        <v/>
      </c>
      <c r="N751" s="7" t="str">
        <f>IF(ISNA(MATCH(742,'Transfer Engine'!$C$2:$C$1199,0)),"",INDEX('Compliance Database'!$N$2:$N$1199,MATCH(742,'Transfer Engine'!$C$2:$C$1199,0)))</f>
        <v/>
      </c>
      <c r="O751" s="7" t="str">
        <f>IF(ISNA(MATCH(742,'Transfer Engine'!$C$2:$C$1199,0)),"",INDEX('Compliance Database'!$O$2:$O$1199,MATCH(742,'Transfer Engine'!$C$2:$C$1199,0)))</f>
        <v/>
      </c>
      <c r="P751" s="6" t="str">
        <f>IF(ISNA(MATCH(742,'Transfer Engine'!$C$2:$C$1199,0)),"",HYPERLINK("#Acts!A"&amp;INDEX('Compliance Database'!$P$2:$P$1199,MATCH(742,'Transfer Engine'!$C$2:$C$1199,0)),"Go to Act"))</f>
        <v/>
      </c>
    </row>
    <row r="752" spans="1:16" ht="172.95" customHeight="1" x14ac:dyDescent="0.3">
      <c r="A752" s="6" t="str">
        <f>IF(ISNA(MATCH(743,'Transfer Engine'!$C$2:$C$1199,0)),"",INDEX('Compliance Database'!$A$2:$A$1199,MATCH(743,'Transfer Engine'!$C$2:$C$1199,0)))</f>
        <v/>
      </c>
      <c r="B752" s="6" t="str">
        <f>IF(ISNA(MATCH(743,'Transfer Engine'!$C$2:$C$1199,0)),"",INDEX('Compliance Database'!$B$2:$B$1199,MATCH(743,'Transfer Engine'!$C$2:$C$1199,0)))</f>
        <v/>
      </c>
      <c r="C752" s="6" t="str">
        <f>IF(ISNA(MATCH(743,'Transfer Engine'!$C$2:$C$1199,0)),"",INDEX('Compliance Database'!$C$2:$C$1199,MATCH(743,'Transfer Engine'!$C$2:$C$1199,0)))</f>
        <v/>
      </c>
      <c r="D752" s="7" t="str">
        <f>IF(ISNA(MATCH(743,'Transfer Engine'!$C$2:$C$1199,0)),"",INDEX('Compliance Database'!$D$2:$D$1199,MATCH(743,'Transfer Engine'!$C$2:$C$1199,0)))</f>
        <v/>
      </c>
      <c r="E752" s="6" t="str">
        <f>IF(ISNA(MATCH(743,'Transfer Engine'!$C$2:$C$1199,0)),"",INDEX('Compliance Database'!$E$2:$E$1199,MATCH(743,'Transfer Engine'!$C$2:$C$1199,0)))</f>
        <v/>
      </c>
      <c r="F752" s="6" t="str">
        <f>IF(ISNA(MATCH(743,'Transfer Engine'!$C$2:$C$1199,0)),"",INDEX('Compliance Database'!$F$2:$F$1199,MATCH(743,'Transfer Engine'!$C$2:$C$1199,0)))</f>
        <v/>
      </c>
      <c r="G752" s="6" t="str">
        <f>IF(ISNA(MATCH(743,'Transfer Engine'!$C$2:$C$1199,0)),"",INDEX('Compliance Database'!$G$2:$G$1199,MATCH(743,'Transfer Engine'!$C$2:$C$1199,0)))</f>
        <v/>
      </c>
      <c r="H752" s="7" t="str">
        <f>IF(ISNA(MATCH(743,'Transfer Engine'!$C$2:$C$1199,0)),"",INDEX('Compliance Database'!$H$2:$H$1199,MATCH(743,'Transfer Engine'!$C$2:$C$1199,0)))</f>
        <v/>
      </c>
      <c r="I752" s="7" t="str">
        <f>IF(ISNA(MATCH(743,'Transfer Engine'!$C$2:$C$1199,0)),"",INDEX('Compliance Database'!$I$2:$I$1199,MATCH(743,'Transfer Engine'!$C$2:$C$1199,0)))</f>
        <v/>
      </c>
      <c r="J752" s="6" t="str">
        <f>IF(ISNA(MATCH(743,'Transfer Engine'!$C$2:$C$1199,0)),"",INDEX('Compliance Database'!$J$2:$J$1199,MATCH(743,'Transfer Engine'!$C$2:$C$1199,0)))</f>
        <v/>
      </c>
      <c r="K752" s="7" t="str">
        <f>IF(ISNA(MATCH(743,'Transfer Engine'!$C$2:$C$1199,0)),"",INDEX('Compliance Database'!$K$2:$K$1199,MATCH(743,'Transfer Engine'!$C$2:$C$1199,0)))</f>
        <v/>
      </c>
      <c r="L752" s="7" t="str">
        <f>IF(ISNA(MATCH(743,'Transfer Engine'!$C$2:$C$1199,0)),"",INDEX('Compliance Database'!$L$2:$L$1199,MATCH(743,'Transfer Engine'!$C$2:$C$1199,0)))</f>
        <v/>
      </c>
      <c r="M752" s="7" t="str">
        <f>IF(ISNA(MATCH(743,'Transfer Engine'!$C$2:$C$1199,0)),"",INDEX('Compliance Database'!$M$2:$M$1199,MATCH(743,'Transfer Engine'!$C$2:$C$1199,0)))</f>
        <v/>
      </c>
      <c r="N752" s="7" t="str">
        <f>IF(ISNA(MATCH(743,'Transfer Engine'!$C$2:$C$1199,0)),"",INDEX('Compliance Database'!$N$2:$N$1199,MATCH(743,'Transfer Engine'!$C$2:$C$1199,0)))</f>
        <v/>
      </c>
      <c r="O752" s="7" t="str">
        <f>IF(ISNA(MATCH(743,'Transfer Engine'!$C$2:$C$1199,0)),"",INDEX('Compliance Database'!$O$2:$O$1199,MATCH(743,'Transfer Engine'!$C$2:$C$1199,0)))</f>
        <v/>
      </c>
      <c r="P752" s="6" t="str">
        <f>IF(ISNA(MATCH(743,'Transfer Engine'!$C$2:$C$1199,0)),"",HYPERLINK("#Acts!A"&amp;INDEX('Compliance Database'!$P$2:$P$1199,MATCH(743,'Transfer Engine'!$C$2:$C$1199,0)),"Go to Act"))</f>
        <v/>
      </c>
    </row>
    <row r="753" spans="1:16" ht="172.95" customHeight="1" x14ac:dyDescent="0.3">
      <c r="A753" s="6" t="str">
        <f>IF(ISNA(MATCH(744,'Transfer Engine'!$C$2:$C$1199,0)),"",INDEX('Compliance Database'!$A$2:$A$1199,MATCH(744,'Transfer Engine'!$C$2:$C$1199,0)))</f>
        <v/>
      </c>
      <c r="B753" s="6" t="str">
        <f>IF(ISNA(MATCH(744,'Transfer Engine'!$C$2:$C$1199,0)),"",INDEX('Compliance Database'!$B$2:$B$1199,MATCH(744,'Transfer Engine'!$C$2:$C$1199,0)))</f>
        <v/>
      </c>
      <c r="C753" s="6" t="str">
        <f>IF(ISNA(MATCH(744,'Transfer Engine'!$C$2:$C$1199,0)),"",INDEX('Compliance Database'!$C$2:$C$1199,MATCH(744,'Transfer Engine'!$C$2:$C$1199,0)))</f>
        <v/>
      </c>
      <c r="D753" s="7" t="str">
        <f>IF(ISNA(MATCH(744,'Transfer Engine'!$C$2:$C$1199,0)),"",INDEX('Compliance Database'!$D$2:$D$1199,MATCH(744,'Transfer Engine'!$C$2:$C$1199,0)))</f>
        <v/>
      </c>
      <c r="E753" s="6" t="str">
        <f>IF(ISNA(MATCH(744,'Transfer Engine'!$C$2:$C$1199,0)),"",INDEX('Compliance Database'!$E$2:$E$1199,MATCH(744,'Transfer Engine'!$C$2:$C$1199,0)))</f>
        <v/>
      </c>
      <c r="F753" s="6" t="str">
        <f>IF(ISNA(MATCH(744,'Transfer Engine'!$C$2:$C$1199,0)),"",INDEX('Compliance Database'!$F$2:$F$1199,MATCH(744,'Transfer Engine'!$C$2:$C$1199,0)))</f>
        <v/>
      </c>
      <c r="G753" s="6" t="str">
        <f>IF(ISNA(MATCH(744,'Transfer Engine'!$C$2:$C$1199,0)),"",INDEX('Compliance Database'!$G$2:$G$1199,MATCH(744,'Transfer Engine'!$C$2:$C$1199,0)))</f>
        <v/>
      </c>
      <c r="H753" s="7" t="str">
        <f>IF(ISNA(MATCH(744,'Transfer Engine'!$C$2:$C$1199,0)),"",INDEX('Compliance Database'!$H$2:$H$1199,MATCH(744,'Transfer Engine'!$C$2:$C$1199,0)))</f>
        <v/>
      </c>
      <c r="I753" s="7" t="str">
        <f>IF(ISNA(MATCH(744,'Transfer Engine'!$C$2:$C$1199,0)),"",INDEX('Compliance Database'!$I$2:$I$1199,MATCH(744,'Transfer Engine'!$C$2:$C$1199,0)))</f>
        <v/>
      </c>
      <c r="J753" s="6" t="str">
        <f>IF(ISNA(MATCH(744,'Transfer Engine'!$C$2:$C$1199,0)),"",INDEX('Compliance Database'!$J$2:$J$1199,MATCH(744,'Transfer Engine'!$C$2:$C$1199,0)))</f>
        <v/>
      </c>
      <c r="K753" s="7" t="str">
        <f>IF(ISNA(MATCH(744,'Transfer Engine'!$C$2:$C$1199,0)),"",INDEX('Compliance Database'!$K$2:$K$1199,MATCH(744,'Transfer Engine'!$C$2:$C$1199,0)))</f>
        <v/>
      </c>
      <c r="L753" s="7" t="str">
        <f>IF(ISNA(MATCH(744,'Transfer Engine'!$C$2:$C$1199,0)),"",INDEX('Compliance Database'!$L$2:$L$1199,MATCH(744,'Transfer Engine'!$C$2:$C$1199,0)))</f>
        <v/>
      </c>
      <c r="M753" s="7" t="str">
        <f>IF(ISNA(MATCH(744,'Transfer Engine'!$C$2:$C$1199,0)),"",INDEX('Compliance Database'!$M$2:$M$1199,MATCH(744,'Transfer Engine'!$C$2:$C$1199,0)))</f>
        <v/>
      </c>
      <c r="N753" s="7" t="str">
        <f>IF(ISNA(MATCH(744,'Transfer Engine'!$C$2:$C$1199,0)),"",INDEX('Compliance Database'!$N$2:$N$1199,MATCH(744,'Transfer Engine'!$C$2:$C$1199,0)))</f>
        <v/>
      </c>
      <c r="O753" s="7" t="str">
        <f>IF(ISNA(MATCH(744,'Transfer Engine'!$C$2:$C$1199,0)),"",INDEX('Compliance Database'!$O$2:$O$1199,MATCH(744,'Transfer Engine'!$C$2:$C$1199,0)))</f>
        <v/>
      </c>
      <c r="P753" s="6" t="str">
        <f>IF(ISNA(MATCH(744,'Transfer Engine'!$C$2:$C$1199,0)),"",HYPERLINK("#Acts!A"&amp;INDEX('Compliance Database'!$P$2:$P$1199,MATCH(744,'Transfer Engine'!$C$2:$C$1199,0)),"Go to Act"))</f>
        <v/>
      </c>
    </row>
    <row r="754" spans="1:16" ht="172.95" customHeight="1" x14ac:dyDescent="0.3">
      <c r="A754" s="6" t="str">
        <f>IF(ISNA(MATCH(745,'Transfer Engine'!$C$2:$C$1199,0)),"",INDEX('Compliance Database'!$A$2:$A$1199,MATCH(745,'Transfer Engine'!$C$2:$C$1199,0)))</f>
        <v/>
      </c>
      <c r="B754" s="6" t="str">
        <f>IF(ISNA(MATCH(745,'Transfer Engine'!$C$2:$C$1199,0)),"",INDEX('Compliance Database'!$B$2:$B$1199,MATCH(745,'Transfer Engine'!$C$2:$C$1199,0)))</f>
        <v/>
      </c>
      <c r="C754" s="6" t="str">
        <f>IF(ISNA(MATCH(745,'Transfer Engine'!$C$2:$C$1199,0)),"",INDEX('Compliance Database'!$C$2:$C$1199,MATCH(745,'Transfer Engine'!$C$2:$C$1199,0)))</f>
        <v/>
      </c>
      <c r="D754" s="7" t="str">
        <f>IF(ISNA(MATCH(745,'Transfer Engine'!$C$2:$C$1199,0)),"",INDEX('Compliance Database'!$D$2:$D$1199,MATCH(745,'Transfer Engine'!$C$2:$C$1199,0)))</f>
        <v/>
      </c>
      <c r="E754" s="6" t="str">
        <f>IF(ISNA(MATCH(745,'Transfer Engine'!$C$2:$C$1199,0)),"",INDEX('Compliance Database'!$E$2:$E$1199,MATCH(745,'Transfer Engine'!$C$2:$C$1199,0)))</f>
        <v/>
      </c>
      <c r="F754" s="6" t="str">
        <f>IF(ISNA(MATCH(745,'Transfer Engine'!$C$2:$C$1199,0)),"",INDEX('Compliance Database'!$F$2:$F$1199,MATCH(745,'Transfer Engine'!$C$2:$C$1199,0)))</f>
        <v/>
      </c>
      <c r="G754" s="6" t="str">
        <f>IF(ISNA(MATCH(745,'Transfer Engine'!$C$2:$C$1199,0)),"",INDEX('Compliance Database'!$G$2:$G$1199,MATCH(745,'Transfer Engine'!$C$2:$C$1199,0)))</f>
        <v/>
      </c>
      <c r="H754" s="7" t="str">
        <f>IF(ISNA(MATCH(745,'Transfer Engine'!$C$2:$C$1199,0)),"",INDEX('Compliance Database'!$H$2:$H$1199,MATCH(745,'Transfer Engine'!$C$2:$C$1199,0)))</f>
        <v/>
      </c>
      <c r="I754" s="7" t="str">
        <f>IF(ISNA(MATCH(745,'Transfer Engine'!$C$2:$C$1199,0)),"",INDEX('Compliance Database'!$I$2:$I$1199,MATCH(745,'Transfer Engine'!$C$2:$C$1199,0)))</f>
        <v/>
      </c>
      <c r="J754" s="6" t="str">
        <f>IF(ISNA(MATCH(745,'Transfer Engine'!$C$2:$C$1199,0)),"",INDEX('Compliance Database'!$J$2:$J$1199,MATCH(745,'Transfer Engine'!$C$2:$C$1199,0)))</f>
        <v/>
      </c>
      <c r="K754" s="7" t="str">
        <f>IF(ISNA(MATCH(745,'Transfer Engine'!$C$2:$C$1199,0)),"",INDEX('Compliance Database'!$K$2:$K$1199,MATCH(745,'Transfer Engine'!$C$2:$C$1199,0)))</f>
        <v/>
      </c>
      <c r="L754" s="7" t="str">
        <f>IF(ISNA(MATCH(745,'Transfer Engine'!$C$2:$C$1199,0)),"",INDEX('Compliance Database'!$L$2:$L$1199,MATCH(745,'Transfer Engine'!$C$2:$C$1199,0)))</f>
        <v/>
      </c>
      <c r="M754" s="7" t="str">
        <f>IF(ISNA(MATCH(745,'Transfer Engine'!$C$2:$C$1199,0)),"",INDEX('Compliance Database'!$M$2:$M$1199,MATCH(745,'Transfer Engine'!$C$2:$C$1199,0)))</f>
        <v/>
      </c>
      <c r="N754" s="7" t="str">
        <f>IF(ISNA(MATCH(745,'Transfer Engine'!$C$2:$C$1199,0)),"",INDEX('Compliance Database'!$N$2:$N$1199,MATCH(745,'Transfer Engine'!$C$2:$C$1199,0)))</f>
        <v/>
      </c>
      <c r="O754" s="7" t="str">
        <f>IF(ISNA(MATCH(745,'Transfer Engine'!$C$2:$C$1199,0)),"",INDEX('Compliance Database'!$O$2:$O$1199,MATCH(745,'Transfer Engine'!$C$2:$C$1199,0)))</f>
        <v/>
      </c>
      <c r="P754" s="6" t="str">
        <f>IF(ISNA(MATCH(745,'Transfer Engine'!$C$2:$C$1199,0)),"",HYPERLINK("#Acts!A"&amp;INDEX('Compliance Database'!$P$2:$P$1199,MATCH(745,'Transfer Engine'!$C$2:$C$1199,0)),"Go to Act"))</f>
        <v/>
      </c>
    </row>
    <row r="755" spans="1:16" ht="172.95" customHeight="1" x14ac:dyDescent="0.3">
      <c r="A755" s="6" t="str">
        <f>IF(ISNA(MATCH(746,'Transfer Engine'!$C$2:$C$1199,0)),"",INDEX('Compliance Database'!$A$2:$A$1199,MATCH(746,'Transfer Engine'!$C$2:$C$1199,0)))</f>
        <v/>
      </c>
      <c r="B755" s="6" t="str">
        <f>IF(ISNA(MATCH(746,'Transfer Engine'!$C$2:$C$1199,0)),"",INDEX('Compliance Database'!$B$2:$B$1199,MATCH(746,'Transfer Engine'!$C$2:$C$1199,0)))</f>
        <v/>
      </c>
      <c r="C755" s="6" t="str">
        <f>IF(ISNA(MATCH(746,'Transfer Engine'!$C$2:$C$1199,0)),"",INDEX('Compliance Database'!$C$2:$C$1199,MATCH(746,'Transfer Engine'!$C$2:$C$1199,0)))</f>
        <v/>
      </c>
      <c r="D755" s="7" t="str">
        <f>IF(ISNA(MATCH(746,'Transfer Engine'!$C$2:$C$1199,0)),"",INDEX('Compliance Database'!$D$2:$D$1199,MATCH(746,'Transfer Engine'!$C$2:$C$1199,0)))</f>
        <v/>
      </c>
      <c r="E755" s="6" t="str">
        <f>IF(ISNA(MATCH(746,'Transfer Engine'!$C$2:$C$1199,0)),"",INDEX('Compliance Database'!$E$2:$E$1199,MATCH(746,'Transfer Engine'!$C$2:$C$1199,0)))</f>
        <v/>
      </c>
      <c r="F755" s="6" t="str">
        <f>IF(ISNA(MATCH(746,'Transfer Engine'!$C$2:$C$1199,0)),"",INDEX('Compliance Database'!$F$2:$F$1199,MATCH(746,'Transfer Engine'!$C$2:$C$1199,0)))</f>
        <v/>
      </c>
      <c r="G755" s="6" t="str">
        <f>IF(ISNA(MATCH(746,'Transfer Engine'!$C$2:$C$1199,0)),"",INDEX('Compliance Database'!$G$2:$G$1199,MATCH(746,'Transfer Engine'!$C$2:$C$1199,0)))</f>
        <v/>
      </c>
      <c r="H755" s="7" t="str">
        <f>IF(ISNA(MATCH(746,'Transfer Engine'!$C$2:$C$1199,0)),"",INDEX('Compliance Database'!$H$2:$H$1199,MATCH(746,'Transfer Engine'!$C$2:$C$1199,0)))</f>
        <v/>
      </c>
      <c r="I755" s="7" t="str">
        <f>IF(ISNA(MATCH(746,'Transfer Engine'!$C$2:$C$1199,0)),"",INDEX('Compliance Database'!$I$2:$I$1199,MATCH(746,'Transfer Engine'!$C$2:$C$1199,0)))</f>
        <v/>
      </c>
      <c r="J755" s="6" t="str">
        <f>IF(ISNA(MATCH(746,'Transfer Engine'!$C$2:$C$1199,0)),"",INDEX('Compliance Database'!$J$2:$J$1199,MATCH(746,'Transfer Engine'!$C$2:$C$1199,0)))</f>
        <v/>
      </c>
      <c r="K755" s="7" t="str">
        <f>IF(ISNA(MATCH(746,'Transfer Engine'!$C$2:$C$1199,0)),"",INDEX('Compliance Database'!$K$2:$K$1199,MATCH(746,'Transfer Engine'!$C$2:$C$1199,0)))</f>
        <v/>
      </c>
      <c r="L755" s="7" t="str">
        <f>IF(ISNA(MATCH(746,'Transfer Engine'!$C$2:$C$1199,0)),"",INDEX('Compliance Database'!$L$2:$L$1199,MATCH(746,'Transfer Engine'!$C$2:$C$1199,0)))</f>
        <v/>
      </c>
      <c r="M755" s="7" t="str">
        <f>IF(ISNA(MATCH(746,'Transfer Engine'!$C$2:$C$1199,0)),"",INDEX('Compliance Database'!$M$2:$M$1199,MATCH(746,'Transfer Engine'!$C$2:$C$1199,0)))</f>
        <v/>
      </c>
      <c r="N755" s="7" t="str">
        <f>IF(ISNA(MATCH(746,'Transfer Engine'!$C$2:$C$1199,0)),"",INDEX('Compliance Database'!$N$2:$N$1199,MATCH(746,'Transfer Engine'!$C$2:$C$1199,0)))</f>
        <v/>
      </c>
      <c r="O755" s="7" t="str">
        <f>IF(ISNA(MATCH(746,'Transfer Engine'!$C$2:$C$1199,0)),"",INDEX('Compliance Database'!$O$2:$O$1199,MATCH(746,'Transfer Engine'!$C$2:$C$1199,0)))</f>
        <v/>
      </c>
      <c r="P755" s="6" t="str">
        <f>IF(ISNA(MATCH(746,'Transfer Engine'!$C$2:$C$1199,0)),"",HYPERLINK("#Acts!A"&amp;INDEX('Compliance Database'!$P$2:$P$1199,MATCH(746,'Transfer Engine'!$C$2:$C$1199,0)),"Go to Act"))</f>
        <v/>
      </c>
    </row>
    <row r="756" spans="1:16" ht="172.95" customHeight="1" x14ac:dyDescent="0.3">
      <c r="A756" s="6" t="str">
        <f>IF(ISNA(MATCH(747,'Transfer Engine'!$C$2:$C$1199,0)),"",INDEX('Compliance Database'!$A$2:$A$1199,MATCH(747,'Transfer Engine'!$C$2:$C$1199,0)))</f>
        <v/>
      </c>
      <c r="B756" s="6" t="str">
        <f>IF(ISNA(MATCH(747,'Transfer Engine'!$C$2:$C$1199,0)),"",INDEX('Compliance Database'!$B$2:$B$1199,MATCH(747,'Transfer Engine'!$C$2:$C$1199,0)))</f>
        <v/>
      </c>
      <c r="C756" s="6" t="str">
        <f>IF(ISNA(MATCH(747,'Transfer Engine'!$C$2:$C$1199,0)),"",INDEX('Compliance Database'!$C$2:$C$1199,MATCH(747,'Transfer Engine'!$C$2:$C$1199,0)))</f>
        <v/>
      </c>
      <c r="D756" s="7" t="str">
        <f>IF(ISNA(MATCH(747,'Transfer Engine'!$C$2:$C$1199,0)),"",INDEX('Compliance Database'!$D$2:$D$1199,MATCH(747,'Transfer Engine'!$C$2:$C$1199,0)))</f>
        <v/>
      </c>
      <c r="E756" s="6" t="str">
        <f>IF(ISNA(MATCH(747,'Transfer Engine'!$C$2:$C$1199,0)),"",INDEX('Compliance Database'!$E$2:$E$1199,MATCH(747,'Transfer Engine'!$C$2:$C$1199,0)))</f>
        <v/>
      </c>
      <c r="F756" s="6" t="str">
        <f>IF(ISNA(MATCH(747,'Transfer Engine'!$C$2:$C$1199,0)),"",INDEX('Compliance Database'!$F$2:$F$1199,MATCH(747,'Transfer Engine'!$C$2:$C$1199,0)))</f>
        <v/>
      </c>
      <c r="G756" s="6" t="str">
        <f>IF(ISNA(MATCH(747,'Transfer Engine'!$C$2:$C$1199,0)),"",INDEX('Compliance Database'!$G$2:$G$1199,MATCH(747,'Transfer Engine'!$C$2:$C$1199,0)))</f>
        <v/>
      </c>
      <c r="H756" s="7" t="str">
        <f>IF(ISNA(MATCH(747,'Transfer Engine'!$C$2:$C$1199,0)),"",INDEX('Compliance Database'!$H$2:$H$1199,MATCH(747,'Transfer Engine'!$C$2:$C$1199,0)))</f>
        <v/>
      </c>
      <c r="I756" s="7" t="str">
        <f>IF(ISNA(MATCH(747,'Transfer Engine'!$C$2:$C$1199,0)),"",INDEX('Compliance Database'!$I$2:$I$1199,MATCH(747,'Transfer Engine'!$C$2:$C$1199,0)))</f>
        <v/>
      </c>
      <c r="J756" s="6" t="str">
        <f>IF(ISNA(MATCH(747,'Transfer Engine'!$C$2:$C$1199,0)),"",INDEX('Compliance Database'!$J$2:$J$1199,MATCH(747,'Transfer Engine'!$C$2:$C$1199,0)))</f>
        <v/>
      </c>
      <c r="K756" s="7" t="str">
        <f>IF(ISNA(MATCH(747,'Transfer Engine'!$C$2:$C$1199,0)),"",INDEX('Compliance Database'!$K$2:$K$1199,MATCH(747,'Transfer Engine'!$C$2:$C$1199,0)))</f>
        <v/>
      </c>
      <c r="L756" s="7" t="str">
        <f>IF(ISNA(MATCH(747,'Transfer Engine'!$C$2:$C$1199,0)),"",INDEX('Compliance Database'!$L$2:$L$1199,MATCH(747,'Transfer Engine'!$C$2:$C$1199,0)))</f>
        <v/>
      </c>
      <c r="M756" s="7" t="str">
        <f>IF(ISNA(MATCH(747,'Transfer Engine'!$C$2:$C$1199,0)),"",INDEX('Compliance Database'!$M$2:$M$1199,MATCH(747,'Transfer Engine'!$C$2:$C$1199,0)))</f>
        <v/>
      </c>
      <c r="N756" s="7" t="str">
        <f>IF(ISNA(MATCH(747,'Transfer Engine'!$C$2:$C$1199,0)),"",INDEX('Compliance Database'!$N$2:$N$1199,MATCH(747,'Transfer Engine'!$C$2:$C$1199,0)))</f>
        <v/>
      </c>
      <c r="O756" s="7" t="str">
        <f>IF(ISNA(MATCH(747,'Transfer Engine'!$C$2:$C$1199,0)),"",INDEX('Compliance Database'!$O$2:$O$1199,MATCH(747,'Transfer Engine'!$C$2:$C$1199,0)))</f>
        <v/>
      </c>
      <c r="P756" s="6" t="str">
        <f>IF(ISNA(MATCH(747,'Transfer Engine'!$C$2:$C$1199,0)),"",HYPERLINK("#Acts!A"&amp;INDEX('Compliance Database'!$P$2:$P$1199,MATCH(747,'Transfer Engine'!$C$2:$C$1199,0)),"Go to Act"))</f>
        <v/>
      </c>
    </row>
    <row r="757" spans="1:16" ht="172.95" customHeight="1" x14ac:dyDescent="0.3">
      <c r="A757" s="6" t="str">
        <f>IF(ISNA(MATCH(748,'Transfer Engine'!$C$2:$C$1199,0)),"",INDEX('Compliance Database'!$A$2:$A$1199,MATCH(748,'Transfer Engine'!$C$2:$C$1199,0)))</f>
        <v/>
      </c>
      <c r="B757" s="6" t="str">
        <f>IF(ISNA(MATCH(748,'Transfer Engine'!$C$2:$C$1199,0)),"",INDEX('Compliance Database'!$B$2:$B$1199,MATCH(748,'Transfer Engine'!$C$2:$C$1199,0)))</f>
        <v/>
      </c>
      <c r="C757" s="6" t="str">
        <f>IF(ISNA(MATCH(748,'Transfer Engine'!$C$2:$C$1199,0)),"",INDEX('Compliance Database'!$C$2:$C$1199,MATCH(748,'Transfer Engine'!$C$2:$C$1199,0)))</f>
        <v/>
      </c>
      <c r="D757" s="7" t="str">
        <f>IF(ISNA(MATCH(748,'Transfer Engine'!$C$2:$C$1199,0)),"",INDEX('Compliance Database'!$D$2:$D$1199,MATCH(748,'Transfer Engine'!$C$2:$C$1199,0)))</f>
        <v/>
      </c>
      <c r="E757" s="6" t="str">
        <f>IF(ISNA(MATCH(748,'Transfer Engine'!$C$2:$C$1199,0)),"",INDEX('Compliance Database'!$E$2:$E$1199,MATCH(748,'Transfer Engine'!$C$2:$C$1199,0)))</f>
        <v/>
      </c>
      <c r="F757" s="6" t="str">
        <f>IF(ISNA(MATCH(748,'Transfer Engine'!$C$2:$C$1199,0)),"",INDEX('Compliance Database'!$F$2:$F$1199,MATCH(748,'Transfer Engine'!$C$2:$C$1199,0)))</f>
        <v/>
      </c>
      <c r="G757" s="6" t="str">
        <f>IF(ISNA(MATCH(748,'Transfer Engine'!$C$2:$C$1199,0)),"",INDEX('Compliance Database'!$G$2:$G$1199,MATCH(748,'Transfer Engine'!$C$2:$C$1199,0)))</f>
        <v/>
      </c>
      <c r="H757" s="7" t="str">
        <f>IF(ISNA(MATCH(748,'Transfer Engine'!$C$2:$C$1199,0)),"",INDEX('Compliance Database'!$H$2:$H$1199,MATCH(748,'Transfer Engine'!$C$2:$C$1199,0)))</f>
        <v/>
      </c>
      <c r="I757" s="7" t="str">
        <f>IF(ISNA(MATCH(748,'Transfer Engine'!$C$2:$C$1199,0)),"",INDEX('Compliance Database'!$I$2:$I$1199,MATCH(748,'Transfer Engine'!$C$2:$C$1199,0)))</f>
        <v/>
      </c>
      <c r="J757" s="6" t="str">
        <f>IF(ISNA(MATCH(748,'Transfer Engine'!$C$2:$C$1199,0)),"",INDEX('Compliance Database'!$J$2:$J$1199,MATCH(748,'Transfer Engine'!$C$2:$C$1199,0)))</f>
        <v/>
      </c>
      <c r="K757" s="7" t="str">
        <f>IF(ISNA(MATCH(748,'Transfer Engine'!$C$2:$C$1199,0)),"",INDEX('Compliance Database'!$K$2:$K$1199,MATCH(748,'Transfer Engine'!$C$2:$C$1199,0)))</f>
        <v/>
      </c>
      <c r="L757" s="7" t="str">
        <f>IF(ISNA(MATCH(748,'Transfer Engine'!$C$2:$C$1199,0)),"",INDEX('Compliance Database'!$L$2:$L$1199,MATCH(748,'Transfer Engine'!$C$2:$C$1199,0)))</f>
        <v/>
      </c>
      <c r="M757" s="7" t="str">
        <f>IF(ISNA(MATCH(748,'Transfer Engine'!$C$2:$C$1199,0)),"",INDEX('Compliance Database'!$M$2:$M$1199,MATCH(748,'Transfer Engine'!$C$2:$C$1199,0)))</f>
        <v/>
      </c>
      <c r="N757" s="7" t="str">
        <f>IF(ISNA(MATCH(748,'Transfer Engine'!$C$2:$C$1199,0)),"",INDEX('Compliance Database'!$N$2:$N$1199,MATCH(748,'Transfer Engine'!$C$2:$C$1199,0)))</f>
        <v/>
      </c>
      <c r="O757" s="7" t="str">
        <f>IF(ISNA(MATCH(748,'Transfer Engine'!$C$2:$C$1199,0)),"",INDEX('Compliance Database'!$O$2:$O$1199,MATCH(748,'Transfer Engine'!$C$2:$C$1199,0)))</f>
        <v/>
      </c>
      <c r="P757" s="6" t="str">
        <f>IF(ISNA(MATCH(748,'Transfer Engine'!$C$2:$C$1199,0)),"",HYPERLINK("#Acts!A"&amp;INDEX('Compliance Database'!$P$2:$P$1199,MATCH(748,'Transfer Engine'!$C$2:$C$1199,0)),"Go to Act"))</f>
        <v/>
      </c>
    </row>
    <row r="758" spans="1:16" ht="172.95" customHeight="1" x14ac:dyDescent="0.3">
      <c r="A758" s="6" t="str">
        <f>IF(ISNA(MATCH(749,'Transfer Engine'!$C$2:$C$1199,0)),"",INDEX('Compliance Database'!$A$2:$A$1199,MATCH(749,'Transfer Engine'!$C$2:$C$1199,0)))</f>
        <v/>
      </c>
      <c r="B758" s="6" t="str">
        <f>IF(ISNA(MATCH(749,'Transfer Engine'!$C$2:$C$1199,0)),"",INDEX('Compliance Database'!$B$2:$B$1199,MATCH(749,'Transfer Engine'!$C$2:$C$1199,0)))</f>
        <v/>
      </c>
      <c r="C758" s="6" t="str">
        <f>IF(ISNA(MATCH(749,'Transfer Engine'!$C$2:$C$1199,0)),"",INDEX('Compliance Database'!$C$2:$C$1199,MATCH(749,'Transfer Engine'!$C$2:$C$1199,0)))</f>
        <v/>
      </c>
      <c r="D758" s="7" t="str">
        <f>IF(ISNA(MATCH(749,'Transfer Engine'!$C$2:$C$1199,0)),"",INDEX('Compliance Database'!$D$2:$D$1199,MATCH(749,'Transfer Engine'!$C$2:$C$1199,0)))</f>
        <v/>
      </c>
      <c r="E758" s="6" t="str">
        <f>IF(ISNA(MATCH(749,'Transfer Engine'!$C$2:$C$1199,0)),"",INDEX('Compliance Database'!$E$2:$E$1199,MATCH(749,'Transfer Engine'!$C$2:$C$1199,0)))</f>
        <v/>
      </c>
      <c r="F758" s="6" t="str">
        <f>IF(ISNA(MATCH(749,'Transfer Engine'!$C$2:$C$1199,0)),"",INDEX('Compliance Database'!$F$2:$F$1199,MATCH(749,'Transfer Engine'!$C$2:$C$1199,0)))</f>
        <v/>
      </c>
      <c r="G758" s="6" t="str">
        <f>IF(ISNA(MATCH(749,'Transfer Engine'!$C$2:$C$1199,0)),"",INDEX('Compliance Database'!$G$2:$G$1199,MATCH(749,'Transfer Engine'!$C$2:$C$1199,0)))</f>
        <v/>
      </c>
      <c r="H758" s="7" t="str">
        <f>IF(ISNA(MATCH(749,'Transfer Engine'!$C$2:$C$1199,0)),"",INDEX('Compliance Database'!$H$2:$H$1199,MATCH(749,'Transfer Engine'!$C$2:$C$1199,0)))</f>
        <v/>
      </c>
      <c r="I758" s="7" t="str">
        <f>IF(ISNA(MATCH(749,'Transfer Engine'!$C$2:$C$1199,0)),"",INDEX('Compliance Database'!$I$2:$I$1199,MATCH(749,'Transfer Engine'!$C$2:$C$1199,0)))</f>
        <v/>
      </c>
      <c r="J758" s="6" t="str">
        <f>IF(ISNA(MATCH(749,'Transfer Engine'!$C$2:$C$1199,0)),"",INDEX('Compliance Database'!$J$2:$J$1199,MATCH(749,'Transfer Engine'!$C$2:$C$1199,0)))</f>
        <v/>
      </c>
      <c r="K758" s="7" t="str">
        <f>IF(ISNA(MATCH(749,'Transfer Engine'!$C$2:$C$1199,0)),"",INDEX('Compliance Database'!$K$2:$K$1199,MATCH(749,'Transfer Engine'!$C$2:$C$1199,0)))</f>
        <v/>
      </c>
      <c r="L758" s="7" t="str">
        <f>IF(ISNA(MATCH(749,'Transfer Engine'!$C$2:$C$1199,0)),"",INDEX('Compliance Database'!$L$2:$L$1199,MATCH(749,'Transfer Engine'!$C$2:$C$1199,0)))</f>
        <v/>
      </c>
      <c r="M758" s="7" t="str">
        <f>IF(ISNA(MATCH(749,'Transfer Engine'!$C$2:$C$1199,0)),"",INDEX('Compliance Database'!$M$2:$M$1199,MATCH(749,'Transfer Engine'!$C$2:$C$1199,0)))</f>
        <v/>
      </c>
      <c r="N758" s="7" t="str">
        <f>IF(ISNA(MATCH(749,'Transfer Engine'!$C$2:$C$1199,0)),"",INDEX('Compliance Database'!$N$2:$N$1199,MATCH(749,'Transfer Engine'!$C$2:$C$1199,0)))</f>
        <v/>
      </c>
      <c r="O758" s="7" t="str">
        <f>IF(ISNA(MATCH(749,'Transfer Engine'!$C$2:$C$1199,0)),"",INDEX('Compliance Database'!$O$2:$O$1199,MATCH(749,'Transfer Engine'!$C$2:$C$1199,0)))</f>
        <v/>
      </c>
      <c r="P758" s="6" t="str">
        <f>IF(ISNA(MATCH(749,'Transfer Engine'!$C$2:$C$1199,0)),"",HYPERLINK("#Acts!A"&amp;INDEX('Compliance Database'!$P$2:$P$1199,MATCH(749,'Transfer Engine'!$C$2:$C$1199,0)),"Go to Act"))</f>
        <v/>
      </c>
    </row>
    <row r="759" spans="1:16" ht="172.95" customHeight="1" x14ac:dyDescent="0.3">
      <c r="A759" s="6" t="str">
        <f>IF(ISNA(MATCH(750,'Transfer Engine'!$C$2:$C$1199,0)),"",INDEX('Compliance Database'!$A$2:$A$1199,MATCH(750,'Transfer Engine'!$C$2:$C$1199,0)))</f>
        <v/>
      </c>
      <c r="B759" s="6" t="str">
        <f>IF(ISNA(MATCH(750,'Transfer Engine'!$C$2:$C$1199,0)),"",INDEX('Compliance Database'!$B$2:$B$1199,MATCH(750,'Transfer Engine'!$C$2:$C$1199,0)))</f>
        <v/>
      </c>
      <c r="C759" s="6" t="str">
        <f>IF(ISNA(MATCH(750,'Transfer Engine'!$C$2:$C$1199,0)),"",INDEX('Compliance Database'!$C$2:$C$1199,MATCH(750,'Transfer Engine'!$C$2:$C$1199,0)))</f>
        <v/>
      </c>
      <c r="D759" s="7" t="str">
        <f>IF(ISNA(MATCH(750,'Transfer Engine'!$C$2:$C$1199,0)),"",INDEX('Compliance Database'!$D$2:$D$1199,MATCH(750,'Transfer Engine'!$C$2:$C$1199,0)))</f>
        <v/>
      </c>
      <c r="E759" s="6" t="str">
        <f>IF(ISNA(MATCH(750,'Transfer Engine'!$C$2:$C$1199,0)),"",INDEX('Compliance Database'!$E$2:$E$1199,MATCH(750,'Transfer Engine'!$C$2:$C$1199,0)))</f>
        <v/>
      </c>
      <c r="F759" s="6" t="str">
        <f>IF(ISNA(MATCH(750,'Transfer Engine'!$C$2:$C$1199,0)),"",INDEX('Compliance Database'!$F$2:$F$1199,MATCH(750,'Transfer Engine'!$C$2:$C$1199,0)))</f>
        <v/>
      </c>
      <c r="G759" s="6" t="str">
        <f>IF(ISNA(MATCH(750,'Transfer Engine'!$C$2:$C$1199,0)),"",INDEX('Compliance Database'!$G$2:$G$1199,MATCH(750,'Transfer Engine'!$C$2:$C$1199,0)))</f>
        <v/>
      </c>
      <c r="H759" s="7" t="str">
        <f>IF(ISNA(MATCH(750,'Transfer Engine'!$C$2:$C$1199,0)),"",INDEX('Compliance Database'!$H$2:$H$1199,MATCH(750,'Transfer Engine'!$C$2:$C$1199,0)))</f>
        <v/>
      </c>
      <c r="I759" s="7" t="str">
        <f>IF(ISNA(MATCH(750,'Transfer Engine'!$C$2:$C$1199,0)),"",INDEX('Compliance Database'!$I$2:$I$1199,MATCH(750,'Transfer Engine'!$C$2:$C$1199,0)))</f>
        <v/>
      </c>
      <c r="J759" s="6" t="str">
        <f>IF(ISNA(MATCH(750,'Transfer Engine'!$C$2:$C$1199,0)),"",INDEX('Compliance Database'!$J$2:$J$1199,MATCH(750,'Transfer Engine'!$C$2:$C$1199,0)))</f>
        <v/>
      </c>
      <c r="K759" s="7" t="str">
        <f>IF(ISNA(MATCH(750,'Transfer Engine'!$C$2:$C$1199,0)),"",INDEX('Compliance Database'!$K$2:$K$1199,MATCH(750,'Transfer Engine'!$C$2:$C$1199,0)))</f>
        <v/>
      </c>
      <c r="L759" s="7" t="str">
        <f>IF(ISNA(MATCH(750,'Transfer Engine'!$C$2:$C$1199,0)),"",INDEX('Compliance Database'!$L$2:$L$1199,MATCH(750,'Transfer Engine'!$C$2:$C$1199,0)))</f>
        <v/>
      </c>
      <c r="M759" s="7" t="str">
        <f>IF(ISNA(MATCH(750,'Transfer Engine'!$C$2:$C$1199,0)),"",INDEX('Compliance Database'!$M$2:$M$1199,MATCH(750,'Transfer Engine'!$C$2:$C$1199,0)))</f>
        <v/>
      </c>
      <c r="N759" s="7" t="str">
        <f>IF(ISNA(MATCH(750,'Transfer Engine'!$C$2:$C$1199,0)),"",INDEX('Compliance Database'!$N$2:$N$1199,MATCH(750,'Transfer Engine'!$C$2:$C$1199,0)))</f>
        <v/>
      </c>
      <c r="O759" s="7" t="str">
        <f>IF(ISNA(MATCH(750,'Transfer Engine'!$C$2:$C$1199,0)),"",INDEX('Compliance Database'!$O$2:$O$1199,MATCH(750,'Transfer Engine'!$C$2:$C$1199,0)))</f>
        <v/>
      </c>
      <c r="P759" s="6" t="str">
        <f>IF(ISNA(MATCH(750,'Transfer Engine'!$C$2:$C$1199,0)),"",HYPERLINK("#Acts!A"&amp;INDEX('Compliance Database'!$P$2:$P$1199,MATCH(750,'Transfer Engine'!$C$2:$C$1199,0)),"Go to Act"))</f>
        <v/>
      </c>
    </row>
    <row r="760" spans="1:16" ht="172.95" customHeight="1" x14ac:dyDescent="0.3">
      <c r="A760" s="6" t="str">
        <f>IF(ISNA(MATCH(751,'Transfer Engine'!$C$2:$C$1199,0)),"",INDEX('Compliance Database'!$A$2:$A$1199,MATCH(751,'Transfer Engine'!$C$2:$C$1199,0)))</f>
        <v/>
      </c>
      <c r="B760" s="6" t="str">
        <f>IF(ISNA(MATCH(751,'Transfer Engine'!$C$2:$C$1199,0)),"",INDEX('Compliance Database'!$B$2:$B$1199,MATCH(751,'Transfer Engine'!$C$2:$C$1199,0)))</f>
        <v/>
      </c>
      <c r="C760" s="6" t="str">
        <f>IF(ISNA(MATCH(751,'Transfer Engine'!$C$2:$C$1199,0)),"",INDEX('Compliance Database'!$C$2:$C$1199,MATCH(751,'Transfer Engine'!$C$2:$C$1199,0)))</f>
        <v/>
      </c>
      <c r="D760" s="7" t="str">
        <f>IF(ISNA(MATCH(751,'Transfer Engine'!$C$2:$C$1199,0)),"",INDEX('Compliance Database'!$D$2:$D$1199,MATCH(751,'Transfer Engine'!$C$2:$C$1199,0)))</f>
        <v/>
      </c>
      <c r="E760" s="6" t="str">
        <f>IF(ISNA(MATCH(751,'Transfer Engine'!$C$2:$C$1199,0)),"",INDEX('Compliance Database'!$E$2:$E$1199,MATCH(751,'Transfer Engine'!$C$2:$C$1199,0)))</f>
        <v/>
      </c>
      <c r="F760" s="6" t="str">
        <f>IF(ISNA(MATCH(751,'Transfer Engine'!$C$2:$C$1199,0)),"",INDEX('Compliance Database'!$F$2:$F$1199,MATCH(751,'Transfer Engine'!$C$2:$C$1199,0)))</f>
        <v/>
      </c>
      <c r="G760" s="6" t="str">
        <f>IF(ISNA(MATCH(751,'Transfer Engine'!$C$2:$C$1199,0)),"",INDEX('Compliance Database'!$G$2:$G$1199,MATCH(751,'Transfer Engine'!$C$2:$C$1199,0)))</f>
        <v/>
      </c>
      <c r="H760" s="7" t="str">
        <f>IF(ISNA(MATCH(751,'Transfer Engine'!$C$2:$C$1199,0)),"",INDEX('Compliance Database'!$H$2:$H$1199,MATCH(751,'Transfer Engine'!$C$2:$C$1199,0)))</f>
        <v/>
      </c>
      <c r="I760" s="7" t="str">
        <f>IF(ISNA(MATCH(751,'Transfer Engine'!$C$2:$C$1199,0)),"",INDEX('Compliance Database'!$I$2:$I$1199,MATCH(751,'Transfer Engine'!$C$2:$C$1199,0)))</f>
        <v/>
      </c>
      <c r="J760" s="6" t="str">
        <f>IF(ISNA(MATCH(751,'Transfer Engine'!$C$2:$C$1199,0)),"",INDEX('Compliance Database'!$J$2:$J$1199,MATCH(751,'Transfer Engine'!$C$2:$C$1199,0)))</f>
        <v/>
      </c>
      <c r="K760" s="7" t="str">
        <f>IF(ISNA(MATCH(751,'Transfer Engine'!$C$2:$C$1199,0)),"",INDEX('Compliance Database'!$K$2:$K$1199,MATCH(751,'Transfer Engine'!$C$2:$C$1199,0)))</f>
        <v/>
      </c>
      <c r="L760" s="7" t="str">
        <f>IF(ISNA(MATCH(751,'Transfer Engine'!$C$2:$C$1199,0)),"",INDEX('Compliance Database'!$L$2:$L$1199,MATCH(751,'Transfer Engine'!$C$2:$C$1199,0)))</f>
        <v/>
      </c>
      <c r="M760" s="7" t="str">
        <f>IF(ISNA(MATCH(751,'Transfer Engine'!$C$2:$C$1199,0)),"",INDEX('Compliance Database'!$M$2:$M$1199,MATCH(751,'Transfer Engine'!$C$2:$C$1199,0)))</f>
        <v/>
      </c>
      <c r="N760" s="7" t="str">
        <f>IF(ISNA(MATCH(751,'Transfer Engine'!$C$2:$C$1199,0)),"",INDEX('Compliance Database'!$N$2:$N$1199,MATCH(751,'Transfer Engine'!$C$2:$C$1199,0)))</f>
        <v/>
      </c>
      <c r="O760" s="7" t="str">
        <f>IF(ISNA(MATCH(751,'Transfer Engine'!$C$2:$C$1199,0)),"",INDEX('Compliance Database'!$O$2:$O$1199,MATCH(751,'Transfer Engine'!$C$2:$C$1199,0)))</f>
        <v/>
      </c>
      <c r="P760" s="6" t="str">
        <f>IF(ISNA(MATCH(751,'Transfer Engine'!$C$2:$C$1199,0)),"",HYPERLINK("#Acts!A"&amp;INDEX('Compliance Database'!$P$2:$P$1199,MATCH(751,'Transfer Engine'!$C$2:$C$1199,0)),"Go to Act"))</f>
        <v/>
      </c>
    </row>
    <row r="761" spans="1:16" ht="172.95" customHeight="1" x14ac:dyDescent="0.3">
      <c r="A761" s="6" t="str">
        <f>IF(ISNA(MATCH(752,'Transfer Engine'!$C$2:$C$1199,0)),"",INDEX('Compliance Database'!$A$2:$A$1199,MATCH(752,'Transfer Engine'!$C$2:$C$1199,0)))</f>
        <v/>
      </c>
      <c r="B761" s="6" t="str">
        <f>IF(ISNA(MATCH(752,'Transfer Engine'!$C$2:$C$1199,0)),"",INDEX('Compliance Database'!$B$2:$B$1199,MATCH(752,'Transfer Engine'!$C$2:$C$1199,0)))</f>
        <v/>
      </c>
      <c r="C761" s="6" t="str">
        <f>IF(ISNA(MATCH(752,'Transfer Engine'!$C$2:$C$1199,0)),"",INDEX('Compliance Database'!$C$2:$C$1199,MATCH(752,'Transfer Engine'!$C$2:$C$1199,0)))</f>
        <v/>
      </c>
      <c r="D761" s="7" t="str">
        <f>IF(ISNA(MATCH(752,'Transfer Engine'!$C$2:$C$1199,0)),"",INDEX('Compliance Database'!$D$2:$D$1199,MATCH(752,'Transfer Engine'!$C$2:$C$1199,0)))</f>
        <v/>
      </c>
      <c r="E761" s="6" t="str">
        <f>IF(ISNA(MATCH(752,'Transfer Engine'!$C$2:$C$1199,0)),"",INDEX('Compliance Database'!$E$2:$E$1199,MATCH(752,'Transfer Engine'!$C$2:$C$1199,0)))</f>
        <v/>
      </c>
      <c r="F761" s="6" t="str">
        <f>IF(ISNA(MATCH(752,'Transfer Engine'!$C$2:$C$1199,0)),"",INDEX('Compliance Database'!$F$2:$F$1199,MATCH(752,'Transfer Engine'!$C$2:$C$1199,0)))</f>
        <v/>
      </c>
      <c r="G761" s="6" t="str">
        <f>IF(ISNA(MATCH(752,'Transfer Engine'!$C$2:$C$1199,0)),"",INDEX('Compliance Database'!$G$2:$G$1199,MATCH(752,'Transfer Engine'!$C$2:$C$1199,0)))</f>
        <v/>
      </c>
      <c r="H761" s="7" t="str">
        <f>IF(ISNA(MATCH(752,'Transfer Engine'!$C$2:$C$1199,0)),"",INDEX('Compliance Database'!$H$2:$H$1199,MATCH(752,'Transfer Engine'!$C$2:$C$1199,0)))</f>
        <v/>
      </c>
      <c r="I761" s="7" t="str">
        <f>IF(ISNA(MATCH(752,'Transfer Engine'!$C$2:$C$1199,0)),"",INDEX('Compliance Database'!$I$2:$I$1199,MATCH(752,'Transfer Engine'!$C$2:$C$1199,0)))</f>
        <v/>
      </c>
      <c r="J761" s="6" t="str">
        <f>IF(ISNA(MATCH(752,'Transfer Engine'!$C$2:$C$1199,0)),"",INDEX('Compliance Database'!$J$2:$J$1199,MATCH(752,'Transfer Engine'!$C$2:$C$1199,0)))</f>
        <v/>
      </c>
      <c r="K761" s="7" t="str">
        <f>IF(ISNA(MATCH(752,'Transfer Engine'!$C$2:$C$1199,0)),"",INDEX('Compliance Database'!$K$2:$K$1199,MATCH(752,'Transfer Engine'!$C$2:$C$1199,0)))</f>
        <v/>
      </c>
      <c r="L761" s="7" t="str">
        <f>IF(ISNA(MATCH(752,'Transfer Engine'!$C$2:$C$1199,0)),"",INDEX('Compliance Database'!$L$2:$L$1199,MATCH(752,'Transfer Engine'!$C$2:$C$1199,0)))</f>
        <v/>
      </c>
      <c r="M761" s="7" t="str">
        <f>IF(ISNA(MATCH(752,'Transfer Engine'!$C$2:$C$1199,0)),"",INDEX('Compliance Database'!$M$2:$M$1199,MATCH(752,'Transfer Engine'!$C$2:$C$1199,0)))</f>
        <v/>
      </c>
      <c r="N761" s="7" t="str">
        <f>IF(ISNA(MATCH(752,'Transfer Engine'!$C$2:$C$1199,0)),"",INDEX('Compliance Database'!$N$2:$N$1199,MATCH(752,'Transfer Engine'!$C$2:$C$1199,0)))</f>
        <v/>
      </c>
      <c r="O761" s="7" t="str">
        <f>IF(ISNA(MATCH(752,'Transfer Engine'!$C$2:$C$1199,0)),"",INDEX('Compliance Database'!$O$2:$O$1199,MATCH(752,'Transfer Engine'!$C$2:$C$1199,0)))</f>
        <v/>
      </c>
      <c r="P761" s="6" t="str">
        <f>IF(ISNA(MATCH(752,'Transfer Engine'!$C$2:$C$1199,0)),"",HYPERLINK("#Acts!A"&amp;INDEX('Compliance Database'!$P$2:$P$1199,MATCH(752,'Transfer Engine'!$C$2:$C$1199,0)),"Go to Act"))</f>
        <v/>
      </c>
    </row>
    <row r="762" spans="1:16" ht="172.95" customHeight="1" x14ac:dyDescent="0.3">
      <c r="A762" s="6" t="str">
        <f>IF(ISNA(MATCH(753,'Transfer Engine'!$C$2:$C$1199,0)),"",INDEX('Compliance Database'!$A$2:$A$1199,MATCH(753,'Transfer Engine'!$C$2:$C$1199,0)))</f>
        <v/>
      </c>
      <c r="B762" s="6" t="str">
        <f>IF(ISNA(MATCH(753,'Transfer Engine'!$C$2:$C$1199,0)),"",INDEX('Compliance Database'!$B$2:$B$1199,MATCH(753,'Transfer Engine'!$C$2:$C$1199,0)))</f>
        <v/>
      </c>
      <c r="C762" s="6" t="str">
        <f>IF(ISNA(MATCH(753,'Transfer Engine'!$C$2:$C$1199,0)),"",INDEX('Compliance Database'!$C$2:$C$1199,MATCH(753,'Transfer Engine'!$C$2:$C$1199,0)))</f>
        <v/>
      </c>
      <c r="D762" s="7" t="str">
        <f>IF(ISNA(MATCH(753,'Transfer Engine'!$C$2:$C$1199,0)),"",INDEX('Compliance Database'!$D$2:$D$1199,MATCH(753,'Transfer Engine'!$C$2:$C$1199,0)))</f>
        <v/>
      </c>
      <c r="E762" s="6" t="str">
        <f>IF(ISNA(MATCH(753,'Transfer Engine'!$C$2:$C$1199,0)),"",INDEX('Compliance Database'!$E$2:$E$1199,MATCH(753,'Transfer Engine'!$C$2:$C$1199,0)))</f>
        <v/>
      </c>
      <c r="F762" s="6" t="str">
        <f>IF(ISNA(MATCH(753,'Transfer Engine'!$C$2:$C$1199,0)),"",INDEX('Compliance Database'!$F$2:$F$1199,MATCH(753,'Transfer Engine'!$C$2:$C$1199,0)))</f>
        <v/>
      </c>
      <c r="G762" s="6" t="str">
        <f>IF(ISNA(MATCH(753,'Transfer Engine'!$C$2:$C$1199,0)),"",INDEX('Compliance Database'!$G$2:$G$1199,MATCH(753,'Transfer Engine'!$C$2:$C$1199,0)))</f>
        <v/>
      </c>
      <c r="H762" s="7" t="str">
        <f>IF(ISNA(MATCH(753,'Transfer Engine'!$C$2:$C$1199,0)),"",INDEX('Compliance Database'!$H$2:$H$1199,MATCH(753,'Transfer Engine'!$C$2:$C$1199,0)))</f>
        <v/>
      </c>
      <c r="I762" s="7" t="str">
        <f>IF(ISNA(MATCH(753,'Transfer Engine'!$C$2:$C$1199,0)),"",INDEX('Compliance Database'!$I$2:$I$1199,MATCH(753,'Transfer Engine'!$C$2:$C$1199,0)))</f>
        <v/>
      </c>
      <c r="J762" s="6" t="str">
        <f>IF(ISNA(MATCH(753,'Transfer Engine'!$C$2:$C$1199,0)),"",INDEX('Compliance Database'!$J$2:$J$1199,MATCH(753,'Transfer Engine'!$C$2:$C$1199,0)))</f>
        <v/>
      </c>
      <c r="K762" s="7" t="str">
        <f>IF(ISNA(MATCH(753,'Transfer Engine'!$C$2:$C$1199,0)),"",INDEX('Compliance Database'!$K$2:$K$1199,MATCH(753,'Transfer Engine'!$C$2:$C$1199,0)))</f>
        <v/>
      </c>
      <c r="L762" s="7" t="str">
        <f>IF(ISNA(MATCH(753,'Transfer Engine'!$C$2:$C$1199,0)),"",INDEX('Compliance Database'!$L$2:$L$1199,MATCH(753,'Transfer Engine'!$C$2:$C$1199,0)))</f>
        <v/>
      </c>
      <c r="M762" s="7" t="str">
        <f>IF(ISNA(MATCH(753,'Transfer Engine'!$C$2:$C$1199,0)),"",INDEX('Compliance Database'!$M$2:$M$1199,MATCH(753,'Transfer Engine'!$C$2:$C$1199,0)))</f>
        <v/>
      </c>
      <c r="N762" s="7" t="str">
        <f>IF(ISNA(MATCH(753,'Transfer Engine'!$C$2:$C$1199,0)),"",INDEX('Compliance Database'!$N$2:$N$1199,MATCH(753,'Transfer Engine'!$C$2:$C$1199,0)))</f>
        <v/>
      </c>
      <c r="O762" s="7" t="str">
        <f>IF(ISNA(MATCH(753,'Transfer Engine'!$C$2:$C$1199,0)),"",INDEX('Compliance Database'!$O$2:$O$1199,MATCH(753,'Transfer Engine'!$C$2:$C$1199,0)))</f>
        <v/>
      </c>
      <c r="P762" s="6" t="str">
        <f>IF(ISNA(MATCH(753,'Transfer Engine'!$C$2:$C$1199,0)),"",HYPERLINK("#Acts!A"&amp;INDEX('Compliance Database'!$P$2:$P$1199,MATCH(753,'Transfer Engine'!$C$2:$C$1199,0)),"Go to Act"))</f>
        <v/>
      </c>
    </row>
    <row r="763" spans="1:16" ht="172.95" customHeight="1" x14ac:dyDescent="0.3">
      <c r="A763" s="6" t="str">
        <f>IF(ISNA(MATCH(754,'Transfer Engine'!$C$2:$C$1199,0)),"",INDEX('Compliance Database'!$A$2:$A$1199,MATCH(754,'Transfer Engine'!$C$2:$C$1199,0)))</f>
        <v/>
      </c>
      <c r="B763" s="6" t="str">
        <f>IF(ISNA(MATCH(754,'Transfer Engine'!$C$2:$C$1199,0)),"",INDEX('Compliance Database'!$B$2:$B$1199,MATCH(754,'Transfer Engine'!$C$2:$C$1199,0)))</f>
        <v/>
      </c>
      <c r="C763" s="6" t="str">
        <f>IF(ISNA(MATCH(754,'Transfer Engine'!$C$2:$C$1199,0)),"",INDEX('Compliance Database'!$C$2:$C$1199,MATCH(754,'Transfer Engine'!$C$2:$C$1199,0)))</f>
        <v/>
      </c>
      <c r="D763" s="7" t="str">
        <f>IF(ISNA(MATCH(754,'Transfer Engine'!$C$2:$C$1199,0)),"",INDEX('Compliance Database'!$D$2:$D$1199,MATCH(754,'Transfer Engine'!$C$2:$C$1199,0)))</f>
        <v/>
      </c>
      <c r="E763" s="6" t="str">
        <f>IF(ISNA(MATCH(754,'Transfer Engine'!$C$2:$C$1199,0)),"",INDEX('Compliance Database'!$E$2:$E$1199,MATCH(754,'Transfer Engine'!$C$2:$C$1199,0)))</f>
        <v/>
      </c>
      <c r="F763" s="6" t="str">
        <f>IF(ISNA(MATCH(754,'Transfer Engine'!$C$2:$C$1199,0)),"",INDEX('Compliance Database'!$F$2:$F$1199,MATCH(754,'Transfer Engine'!$C$2:$C$1199,0)))</f>
        <v/>
      </c>
      <c r="G763" s="6" t="str">
        <f>IF(ISNA(MATCH(754,'Transfer Engine'!$C$2:$C$1199,0)),"",INDEX('Compliance Database'!$G$2:$G$1199,MATCH(754,'Transfer Engine'!$C$2:$C$1199,0)))</f>
        <v/>
      </c>
      <c r="H763" s="7" t="str">
        <f>IF(ISNA(MATCH(754,'Transfer Engine'!$C$2:$C$1199,0)),"",INDEX('Compliance Database'!$H$2:$H$1199,MATCH(754,'Transfer Engine'!$C$2:$C$1199,0)))</f>
        <v/>
      </c>
      <c r="I763" s="7" t="str">
        <f>IF(ISNA(MATCH(754,'Transfer Engine'!$C$2:$C$1199,0)),"",INDEX('Compliance Database'!$I$2:$I$1199,MATCH(754,'Transfer Engine'!$C$2:$C$1199,0)))</f>
        <v/>
      </c>
      <c r="J763" s="6" t="str">
        <f>IF(ISNA(MATCH(754,'Transfer Engine'!$C$2:$C$1199,0)),"",INDEX('Compliance Database'!$J$2:$J$1199,MATCH(754,'Transfer Engine'!$C$2:$C$1199,0)))</f>
        <v/>
      </c>
      <c r="K763" s="7" t="str">
        <f>IF(ISNA(MATCH(754,'Transfer Engine'!$C$2:$C$1199,0)),"",INDEX('Compliance Database'!$K$2:$K$1199,MATCH(754,'Transfer Engine'!$C$2:$C$1199,0)))</f>
        <v/>
      </c>
      <c r="L763" s="7" t="str">
        <f>IF(ISNA(MATCH(754,'Transfer Engine'!$C$2:$C$1199,0)),"",INDEX('Compliance Database'!$L$2:$L$1199,MATCH(754,'Transfer Engine'!$C$2:$C$1199,0)))</f>
        <v/>
      </c>
      <c r="M763" s="7" t="str">
        <f>IF(ISNA(MATCH(754,'Transfer Engine'!$C$2:$C$1199,0)),"",INDEX('Compliance Database'!$M$2:$M$1199,MATCH(754,'Transfer Engine'!$C$2:$C$1199,0)))</f>
        <v/>
      </c>
      <c r="N763" s="7" t="str">
        <f>IF(ISNA(MATCH(754,'Transfer Engine'!$C$2:$C$1199,0)),"",INDEX('Compliance Database'!$N$2:$N$1199,MATCH(754,'Transfer Engine'!$C$2:$C$1199,0)))</f>
        <v/>
      </c>
      <c r="O763" s="7" t="str">
        <f>IF(ISNA(MATCH(754,'Transfer Engine'!$C$2:$C$1199,0)),"",INDEX('Compliance Database'!$O$2:$O$1199,MATCH(754,'Transfer Engine'!$C$2:$C$1199,0)))</f>
        <v/>
      </c>
      <c r="P763" s="6" t="str">
        <f>IF(ISNA(MATCH(754,'Transfer Engine'!$C$2:$C$1199,0)),"",HYPERLINK("#Acts!A"&amp;INDEX('Compliance Database'!$P$2:$P$1199,MATCH(754,'Transfer Engine'!$C$2:$C$1199,0)),"Go to Act"))</f>
        <v/>
      </c>
    </row>
    <row r="764" spans="1:16" ht="172.95" customHeight="1" x14ac:dyDescent="0.3">
      <c r="A764" s="6" t="str">
        <f>IF(ISNA(MATCH(755,'Transfer Engine'!$C$2:$C$1199,0)),"",INDEX('Compliance Database'!$A$2:$A$1199,MATCH(755,'Transfer Engine'!$C$2:$C$1199,0)))</f>
        <v/>
      </c>
      <c r="B764" s="6" t="str">
        <f>IF(ISNA(MATCH(755,'Transfer Engine'!$C$2:$C$1199,0)),"",INDEX('Compliance Database'!$B$2:$B$1199,MATCH(755,'Transfer Engine'!$C$2:$C$1199,0)))</f>
        <v/>
      </c>
      <c r="C764" s="6" t="str">
        <f>IF(ISNA(MATCH(755,'Transfer Engine'!$C$2:$C$1199,0)),"",INDEX('Compliance Database'!$C$2:$C$1199,MATCH(755,'Transfer Engine'!$C$2:$C$1199,0)))</f>
        <v/>
      </c>
      <c r="D764" s="7" t="str">
        <f>IF(ISNA(MATCH(755,'Transfer Engine'!$C$2:$C$1199,0)),"",INDEX('Compliance Database'!$D$2:$D$1199,MATCH(755,'Transfer Engine'!$C$2:$C$1199,0)))</f>
        <v/>
      </c>
      <c r="E764" s="6" t="str">
        <f>IF(ISNA(MATCH(755,'Transfer Engine'!$C$2:$C$1199,0)),"",INDEX('Compliance Database'!$E$2:$E$1199,MATCH(755,'Transfer Engine'!$C$2:$C$1199,0)))</f>
        <v/>
      </c>
      <c r="F764" s="6" t="str">
        <f>IF(ISNA(MATCH(755,'Transfer Engine'!$C$2:$C$1199,0)),"",INDEX('Compliance Database'!$F$2:$F$1199,MATCH(755,'Transfer Engine'!$C$2:$C$1199,0)))</f>
        <v/>
      </c>
      <c r="G764" s="6" t="str">
        <f>IF(ISNA(MATCH(755,'Transfer Engine'!$C$2:$C$1199,0)),"",INDEX('Compliance Database'!$G$2:$G$1199,MATCH(755,'Transfer Engine'!$C$2:$C$1199,0)))</f>
        <v/>
      </c>
      <c r="H764" s="7" t="str">
        <f>IF(ISNA(MATCH(755,'Transfer Engine'!$C$2:$C$1199,0)),"",INDEX('Compliance Database'!$H$2:$H$1199,MATCH(755,'Transfer Engine'!$C$2:$C$1199,0)))</f>
        <v/>
      </c>
      <c r="I764" s="7" t="str">
        <f>IF(ISNA(MATCH(755,'Transfer Engine'!$C$2:$C$1199,0)),"",INDEX('Compliance Database'!$I$2:$I$1199,MATCH(755,'Transfer Engine'!$C$2:$C$1199,0)))</f>
        <v/>
      </c>
      <c r="J764" s="6" t="str">
        <f>IF(ISNA(MATCH(755,'Transfer Engine'!$C$2:$C$1199,0)),"",INDEX('Compliance Database'!$J$2:$J$1199,MATCH(755,'Transfer Engine'!$C$2:$C$1199,0)))</f>
        <v/>
      </c>
      <c r="K764" s="7" t="str">
        <f>IF(ISNA(MATCH(755,'Transfer Engine'!$C$2:$C$1199,0)),"",INDEX('Compliance Database'!$K$2:$K$1199,MATCH(755,'Transfer Engine'!$C$2:$C$1199,0)))</f>
        <v/>
      </c>
      <c r="L764" s="7" t="str">
        <f>IF(ISNA(MATCH(755,'Transfer Engine'!$C$2:$C$1199,0)),"",INDEX('Compliance Database'!$L$2:$L$1199,MATCH(755,'Transfer Engine'!$C$2:$C$1199,0)))</f>
        <v/>
      </c>
      <c r="M764" s="7" t="str">
        <f>IF(ISNA(MATCH(755,'Transfer Engine'!$C$2:$C$1199,0)),"",INDEX('Compliance Database'!$M$2:$M$1199,MATCH(755,'Transfer Engine'!$C$2:$C$1199,0)))</f>
        <v/>
      </c>
      <c r="N764" s="7" t="str">
        <f>IF(ISNA(MATCH(755,'Transfer Engine'!$C$2:$C$1199,0)),"",INDEX('Compliance Database'!$N$2:$N$1199,MATCH(755,'Transfer Engine'!$C$2:$C$1199,0)))</f>
        <v/>
      </c>
      <c r="O764" s="7" t="str">
        <f>IF(ISNA(MATCH(755,'Transfer Engine'!$C$2:$C$1199,0)),"",INDEX('Compliance Database'!$O$2:$O$1199,MATCH(755,'Transfer Engine'!$C$2:$C$1199,0)))</f>
        <v/>
      </c>
      <c r="P764" s="6" t="str">
        <f>IF(ISNA(MATCH(755,'Transfer Engine'!$C$2:$C$1199,0)),"",HYPERLINK("#Acts!A"&amp;INDEX('Compliance Database'!$P$2:$P$1199,MATCH(755,'Transfer Engine'!$C$2:$C$1199,0)),"Go to Act"))</f>
        <v/>
      </c>
    </row>
    <row r="765" spans="1:16" ht="172.95" customHeight="1" x14ac:dyDescent="0.3">
      <c r="A765" s="6" t="str">
        <f>IF(ISNA(MATCH(756,'Transfer Engine'!$C$2:$C$1199,0)),"",INDEX('Compliance Database'!$A$2:$A$1199,MATCH(756,'Transfer Engine'!$C$2:$C$1199,0)))</f>
        <v/>
      </c>
      <c r="B765" s="6" t="str">
        <f>IF(ISNA(MATCH(756,'Transfer Engine'!$C$2:$C$1199,0)),"",INDEX('Compliance Database'!$B$2:$B$1199,MATCH(756,'Transfer Engine'!$C$2:$C$1199,0)))</f>
        <v/>
      </c>
      <c r="C765" s="6" t="str">
        <f>IF(ISNA(MATCH(756,'Transfer Engine'!$C$2:$C$1199,0)),"",INDEX('Compliance Database'!$C$2:$C$1199,MATCH(756,'Transfer Engine'!$C$2:$C$1199,0)))</f>
        <v/>
      </c>
      <c r="D765" s="7" t="str">
        <f>IF(ISNA(MATCH(756,'Transfer Engine'!$C$2:$C$1199,0)),"",INDEX('Compliance Database'!$D$2:$D$1199,MATCH(756,'Transfer Engine'!$C$2:$C$1199,0)))</f>
        <v/>
      </c>
      <c r="E765" s="6" t="str">
        <f>IF(ISNA(MATCH(756,'Transfer Engine'!$C$2:$C$1199,0)),"",INDEX('Compliance Database'!$E$2:$E$1199,MATCH(756,'Transfer Engine'!$C$2:$C$1199,0)))</f>
        <v/>
      </c>
      <c r="F765" s="6" t="str">
        <f>IF(ISNA(MATCH(756,'Transfer Engine'!$C$2:$C$1199,0)),"",INDEX('Compliance Database'!$F$2:$F$1199,MATCH(756,'Transfer Engine'!$C$2:$C$1199,0)))</f>
        <v/>
      </c>
      <c r="G765" s="6" t="str">
        <f>IF(ISNA(MATCH(756,'Transfer Engine'!$C$2:$C$1199,0)),"",INDEX('Compliance Database'!$G$2:$G$1199,MATCH(756,'Transfer Engine'!$C$2:$C$1199,0)))</f>
        <v/>
      </c>
      <c r="H765" s="7" t="str">
        <f>IF(ISNA(MATCH(756,'Transfer Engine'!$C$2:$C$1199,0)),"",INDEX('Compliance Database'!$H$2:$H$1199,MATCH(756,'Transfer Engine'!$C$2:$C$1199,0)))</f>
        <v/>
      </c>
      <c r="I765" s="7" t="str">
        <f>IF(ISNA(MATCH(756,'Transfer Engine'!$C$2:$C$1199,0)),"",INDEX('Compliance Database'!$I$2:$I$1199,MATCH(756,'Transfer Engine'!$C$2:$C$1199,0)))</f>
        <v/>
      </c>
      <c r="J765" s="6" t="str">
        <f>IF(ISNA(MATCH(756,'Transfer Engine'!$C$2:$C$1199,0)),"",INDEX('Compliance Database'!$J$2:$J$1199,MATCH(756,'Transfer Engine'!$C$2:$C$1199,0)))</f>
        <v/>
      </c>
      <c r="K765" s="7" t="str">
        <f>IF(ISNA(MATCH(756,'Transfer Engine'!$C$2:$C$1199,0)),"",INDEX('Compliance Database'!$K$2:$K$1199,MATCH(756,'Transfer Engine'!$C$2:$C$1199,0)))</f>
        <v/>
      </c>
      <c r="L765" s="7" t="str">
        <f>IF(ISNA(MATCH(756,'Transfer Engine'!$C$2:$C$1199,0)),"",INDEX('Compliance Database'!$L$2:$L$1199,MATCH(756,'Transfer Engine'!$C$2:$C$1199,0)))</f>
        <v/>
      </c>
      <c r="M765" s="7" t="str">
        <f>IF(ISNA(MATCH(756,'Transfer Engine'!$C$2:$C$1199,0)),"",INDEX('Compliance Database'!$M$2:$M$1199,MATCH(756,'Transfer Engine'!$C$2:$C$1199,0)))</f>
        <v/>
      </c>
      <c r="N765" s="7" t="str">
        <f>IF(ISNA(MATCH(756,'Transfer Engine'!$C$2:$C$1199,0)),"",INDEX('Compliance Database'!$N$2:$N$1199,MATCH(756,'Transfer Engine'!$C$2:$C$1199,0)))</f>
        <v/>
      </c>
      <c r="O765" s="7" t="str">
        <f>IF(ISNA(MATCH(756,'Transfer Engine'!$C$2:$C$1199,0)),"",INDEX('Compliance Database'!$O$2:$O$1199,MATCH(756,'Transfer Engine'!$C$2:$C$1199,0)))</f>
        <v/>
      </c>
      <c r="P765" s="6" t="str">
        <f>IF(ISNA(MATCH(756,'Transfer Engine'!$C$2:$C$1199,0)),"",HYPERLINK("#Acts!A"&amp;INDEX('Compliance Database'!$P$2:$P$1199,MATCH(756,'Transfer Engine'!$C$2:$C$1199,0)),"Go to Act"))</f>
        <v/>
      </c>
    </row>
    <row r="766" spans="1:16" ht="172.95" customHeight="1" x14ac:dyDescent="0.3">
      <c r="A766" s="6" t="str">
        <f>IF(ISNA(MATCH(757,'Transfer Engine'!$C$2:$C$1199,0)),"",INDEX('Compliance Database'!$A$2:$A$1199,MATCH(757,'Transfer Engine'!$C$2:$C$1199,0)))</f>
        <v/>
      </c>
      <c r="B766" s="6" t="str">
        <f>IF(ISNA(MATCH(757,'Transfer Engine'!$C$2:$C$1199,0)),"",INDEX('Compliance Database'!$B$2:$B$1199,MATCH(757,'Transfer Engine'!$C$2:$C$1199,0)))</f>
        <v/>
      </c>
      <c r="C766" s="6" t="str">
        <f>IF(ISNA(MATCH(757,'Transfer Engine'!$C$2:$C$1199,0)),"",INDEX('Compliance Database'!$C$2:$C$1199,MATCH(757,'Transfer Engine'!$C$2:$C$1199,0)))</f>
        <v/>
      </c>
      <c r="D766" s="7" t="str">
        <f>IF(ISNA(MATCH(757,'Transfer Engine'!$C$2:$C$1199,0)),"",INDEX('Compliance Database'!$D$2:$D$1199,MATCH(757,'Transfer Engine'!$C$2:$C$1199,0)))</f>
        <v/>
      </c>
      <c r="E766" s="6" t="str">
        <f>IF(ISNA(MATCH(757,'Transfer Engine'!$C$2:$C$1199,0)),"",INDEX('Compliance Database'!$E$2:$E$1199,MATCH(757,'Transfer Engine'!$C$2:$C$1199,0)))</f>
        <v/>
      </c>
      <c r="F766" s="6" t="str">
        <f>IF(ISNA(MATCH(757,'Transfer Engine'!$C$2:$C$1199,0)),"",INDEX('Compliance Database'!$F$2:$F$1199,MATCH(757,'Transfer Engine'!$C$2:$C$1199,0)))</f>
        <v/>
      </c>
      <c r="G766" s="6" t="str">
        <f>IF(ISNA(MATCH(757,'Transfer Engine'!$C$2:$C$1199,0)),"",INDEX('Compliance Database'!$G$2:$G$1199,MATCH(757,'Transfer Engine'!$C$2:$C$1199,0)))</f>
        <v/>
      </c>
      <c r="H766" s="7" t="str">
        <f>IF(ISNA(MATCH(757,'Transfer Engine'!$C$2:$C$1199,0)),"",INDEX('Compliance Database'!$H$2:$H$1199,MATCH(757,'Transfer Engine'!$C$2:$C$1199,0)))</f>
        <v/>
      </c>
      <c r="I766" s="7" t="str">
        <f>IF(ISNA(MATCH(757,'Transfer Engine'!$C$2:$C$1199,0)),"",INDEX('Compliance Database'!$I$2:$I$1199,MATCH(757,'Transfer Engine'!$C$2:$C$1199,0)))</f>
        <v/>
      </c>
      <c r="J766" s="6" t="str">
        <f>IF(ISNA(MATCH(757,'Transfer Engine'!$C$2:$C$1199,0)),"",INDEX('Compliance Database'!$J$2:$J$1199,MATCH(757,'Transfer Engine'!$C$2:$C$1199,0)))</f>
        <v/>
      </c>
      <c r="K766" s="7" t="str">
        <f>IF(ISNA(MATCH(757,'Transfer Engine'!$C$2:$C$1199,0)),"",INDEX('Compliance Database'!$K$2:$K$1199,MATCH(757,'Transfer Engine'!$C$2:$C$1199,0)))</f>
        <v/>
      </c>
      <c r="L766" s="7" t="str">
        <f>IF(ISNA(MATCH(757,'Transfer Engine'!$C$2:$C$1199,0)),"",INDEX('Compliance Database'!$L$2:$L$1199,MATCH(757,'Transfer Engine'!$C$2:$C$1199,0)))</f>
        <v/>
      </c>
      <c r="M766" s="7" t="str">
        <f>IF(ISNA(MATCH(757,'Transfer Engine'!$C$2:$C$1199,0)),"",INDEX('Compliance Database'!$M$2:$M$1199,MATCH(757,'Transfer Engine'!$C$2:$C$1199,0)))</f>
        <v/>
      </c>
      <c r="N766" s="7" t="str">
        <f>IF(ISNA(MATCH(757,'Transfer Engine'!$C$2:$C$1199,0)),"",INDEX('Compliance Database'!$N$2:$N$1199,MATCH(757,'Transfer Engine'!$C$2:$C$1199,0)))</f>
        <v/>
      </c>
      <c r="O766" s="7" t="str">
        <f>IF(ISNA(MATCH(757,'Transfer Engine'!$C$2:$C$1199,0)),"",INDEX('Compliance Database'!$O$2:$O$1199,MATCH(757,'Transfer Engine'!$C$2:$C$1199,0)))</f>
        <v/>
      </c>
      <c r="P766" s="6" t="str">
        <f>IF(ISNA(MATCH(757,'Transfer Engine'!$C$2:$C$1199,0)),"",HYPERLINK("#Acts!A"&amp;INDEX('Compliance Database'!$P$2:$P$1199,MATCH(757,'Transfer Engine'!$C$2:$C$1199,0)),"Go to Act"))</f>
        <v/>
      </c>
    </row>
    <row r="767" spans="1:16" ht="172.95" customHeight="1" x14ac:dyDescent="0.3">
      <c r="A767" s="6" t="str">
        <f>IF(ISNA(MATCH(758,'Transfer Engine'!$C$2:$C$1199,0)),"",INDEX('Compliance Database'!$A$2:$A$1199,MATCH(758,'Transfer Engine'!$C$2:$C$1199,0)))</f>
        <v/>
      </c>
      <c r="B767" s="6" t="str">
        <f>IF(ISNA(MATCH(758,'Transfer Engine'!$C$2:$C$1199,0)),"",INDEX('Compliance Database'!$B$2:$B$1199,MATCH(758,'Transfer Engine'!$C$2:$C$1199,0)))</f>
        <v/>
      </c>
      <c r="C767" s="6" t="str">
        <f>IF(ISNA(MATCH(758,'Transfer Engine'!$C$2:$C$1199,0)),"",INDEX('Compliance Database'!$C$2:$C$1199,MATCH(758,'Transfer Engine'!$C$2:$C$1199,0)))</f>
        <v/>
      </c>
      <c r="D767" s="7" t="str">
        <f>IF(ISNA(MATCH(758,'Transfer Engine'!$C$2:$C$1199,0)),"",INDEX('Compliance Database'!$D$2:$D$1199,MATCH(758,'Transfer Engine'!$C$2:$C$1199,0)))</f>
        <v/>
      </c>
      <c r="E767" s="6" t="str">
        <f>IF(ISNA(MATCH(758,'Transfer Engine'!$C$2:$C$1199,0)),"",INDEX('Compliance Database'!$E$2:$E$1199,MATCH(758,'Transfer Engine'!$C$2:$C$1199,0)))</f>
        <v/>
      </c>
      <c r="F767" s="6" t="str">
        <f>IF(ISNA(MATCH(758,'Transfer Engine'!$C$2:$C$1199,0)),"",INDEX('Compliance Database'!$F$2:$F$1199,MATCH(758,'Transfer Engine'!$C$2:$C$1199,0)))</f>
        <v/>
      </c>
      <c r="G767" s="6" t="str">
        <f>IF(ISNA(MATCH(758,'Transfer Engine'!$C$2:$C$1199,0)),"",INDEX('Compliance Database'!$G$2:$G$1199,MATCH(758,'Transfer Engine'!$C$2:$C$1199,0)))</f>
        <v/>
      </c>
      <c r="H767" s="7" t="str">
        <f>IF(ISNA(MATCH(758,'Transfer Engine'!$C$2:$C$1199,0)),"",INDEX('Compliance Database'!$H$2:$H$1199,MATCH(758,'Transfer Engine'!$C$2:$C$1199,0)))</f>
        <v/>
      </c>
      <c r="I767" s="7" t="str">
        <f>IF(ISNA(MATCH(758,'Transfer Engine'!$C$2:$C$1199,0)),"",INDEX('Compliance Database'!$I$2:$I$1199,MATCH(758,'Transfer Engine'!$C$2:$C$1199,0)))</f>
        <v/>
      </c>
      <c r="J767" s="6" t="str">
        <f>IF(ISNA(MATCH(758,'Transfer Engine'!$C$2:$C$1199,0)),"",INDEX('Compliance Database'!$J$2:$J$1199,MATCH(758,'Transfer Engine'!$C$2:$C$1199,0)))</f>
        <v/>
      </c>
      <c r="K767" s="7" t="str">
        <f>IF(ISNA(MATCH(758,'Transfer Engine'!$C$2:$C$1199,0)),"",INDEX('Compliance Database'!$K$2:$K$1199,MATCH(758,'Transfer Engine'!$C$2:$C$1199,0)))</f>
        <v/>
      </c>
      <c r="L767" s="7" t="str">
        <f>IF(ISNA(MATCH(758,'Transfer Engine'!$C$2:$C$1199,0)),"",INDEX('Compliance Database'!$L$2:$L$1199,MATCH(758,'Transfer Engine'!$C$2:$C$1199,0)))</f>
        <v/>
      </c>
      <c r="M767" s="7" t="str">
        <f>IF(ISNA(MATCH(758,'Transfer Engine'!$C$2:$C$1199,0)),"",INDEX('Compliance Database'!$M$2:$M$1199,MATCH(758,'Transfer Engine'!$C$2:$C$1199,0)))</f>
        <v/>
      </c>
      <c r="N767" s="7" t="str">
        <f>IF(ISNA(MATCH(758,'Transfer Engine'!$C$2:$C$1199,0)),"",INDEX('Compliance Database'!$N$2:$N$1199,MATCH(758,'Transfer Engine'!$C$2:$C$1199,0)))</f>
        <v/>
      </c>
      <c r="O767" s="7" t="str">
        <f>IF(ISNA(MATCH(758,'Transfer Engine'!$C$2:$C$1199,0)),"",INDEX('Compliance Database'!$O$2:$O$1199,MATCH(758,'Transfer Engine'!$C$2:$C$1199,0)))</f>
        <v/>
      </c>
      <c r="P767" s="6" t="str">
        <f>IF(ISNA(MATCH(758,'Transfer Engine'!$C$2:$C$1199,0)),"",HYPERLINK("#Acts!A"&amp;INDEX('Compliance Database'!$P$2:$P$1199,MATCH(758,'Transfer Engine'!$C$2:$C$1199,0)),"Go to Act"))</f>
        <v/>
      </c>
    </row>
    <row r="768" spans="1:16" ht="172.95" customHeight="1" x14ac:dyDescent="0.3">
      <c r="A768" s="6" t="str">
        <f>IF(ISNA(MATCH(759,'Transfer Engine'!$C$2:$C$1199,0)),"",INDEX('Compliance Database'!$A$2:$A$1199,MATCH(759,'Transfer Engine'!$C$2:$C$1199,0)))</f>
        <v/>
      </c>
      <c r="B768" s="6" t="str">
        <f>IF(ISNA(MATCH(759,'Transfer Engine'!$C$2:$C$1199,0)),"",INDEX('Compliance Database'!$B$2:$B$1199,MATCH(759,'Transfer Engine'!$C$2:$C$1199,0)))</f>
        <v/>
      </c>
      <c r="C768" s="6" t="str">
        <f>IF(ISNA(MATCH(759,'Transfer Engine'!$C$2:$C$1199,0)),"",INDEX('Compliance Database'!$C$2:$C$1199,MATCH(759,'Transfer Engine'!$C$2:$C$1199,0)))</f>
        <v/>
      </c>
      <c r="D768" s="7" t="str">
        <f>IF(ISNA(MATCH(759,'Transfer Engine'!$C$2:$C$1199,0)),"",INDEX('Compliance Database'!$D$2:$D$1199,MATCH(759,'Transfer Engine'!$C$2:$C$1199,0)))</f>
        <v/>
      </c>
      <c r="E768" s="6" t="str">
        <f>IF(ISNA(MATCH(759,'Transfer Engine'!$C$2:$C$1199,0)),"",INDEX('Compliance Database'!$E$2:$E$1199,MATCH(759,'Transfer Engine'!$C$2:$C$1199,0)))</f>
        <v/>
      </c>
      <c r="F768" s="6" t="str">
        <f>IF(ISNA(MATCH(759,'Transfer Engine'!$C$2:$C$1199,0)),"",INDEX('Compliance Database'!$F$2:$F$1199,MATCH(759,'Transfer Engine'!$C$2:$C$1199,0)))</f>
        <v/>
      </c>
      <c r="G768" s="6" t="str">
        <f>IF(ISNA(MATCH(759,'Transfer Engine'!$C$2:$C$1199,0)),"",INDEX('Compliance Database'!$G$2:$G$1199,MATCH(759,'Transfer Engine'!$C$2:$C$1199,0)))</f>
        <v/>
      </c>
      <c r="H768" s="7" t="str">
        <f>IF(ISNA(MATCH(759,'Transfer Engine'!$C$2:$C$1199,0)),"",INDEX('Compliance Database'!$H$2:$H$1199,MATCH(759,'Transfer Engine'!$C$2:$C$1199,0)))</f>
        <v/>
      </c>
      <c r="I768" s="7" t="str">
        <f>IF(ISNA(MATCH(759,'Transfer Engine'!$C$2:$C$1199,0)),"",INDEX('Compliance Database'!$I$2:$I$1199,MATCH(759,'Transfer Engine'!$C$2:$C$1199,0)))</f>
        <v/>
      </c>
      <c r="J768" s="6" t="str">
        <f>IF(ISNA(MATCH(759,'Transfer Engine'!$C$2:$C$1199,0)),"",INDEX('Compliance Database'!$J$2:$J$1199,MATCH(759,'Transfer Engine'!$C$2:$C$1199,0)))</f>
        <v/>
      </c>
      <c r="K768" s="7" t="str">
        <f>IF(ISNA(MATCH(759,'Transfer Engine'!$C$2:$C$1199,0)),"",INDEX('Compliance Database'!$K$2:$K$1199,MATCH(759,'Transfer Engine'!$C$2:$C$1199,0)))</f>
        <v/>
      </c>
      <c r="L768" s="7" t="str">
        <f>IF(ISNA(MATCH(759,'Transfer Engine'!$C$2:$C$1199,0)),"",INDEX('Compliance Database'!$L$2:$L$1199,MATCH(759,'Transfer Engine'!$C$2:$C$1199,0)))</f>
        <v/>
      </c>
      <c r="M768" s="7" t="str">
        <f>IF(ISNA(MATCH(759,'Transfer Engine'!$C$2:$C$1199,0)),"",INDEX('Compliance Database'!$M$2:$M$1199,MATCH(759,'Transfer Engine'!$C$2:$C$1199,0)))</f>
        <v/>
      </c>
      <c r="N768" s="7" t="str">
        <f>IF(ISNA(MATCH(759,'Transfer Engine'!$C$2:$C$1199,0)),"",INDEX('Compliance Database'!$N$2:$N$1199,MATCH(759,'Transfer Engine'!$C$2:$C$1199,0)))</f>
        <v/>
      </c>
      <c r="O768" s="7" t="str">
        <f>IF(ISNA(MATCH(759,'Transfer Engine'!$C$2:$C$1199,0)),"",INDEX('Compliance Database'!$O$2:$O$1199,MATCH(759,'Transfer Engine'!$C$2:$C$1199,0)))</f>
        <v/>
      </c>
      <c r="P768" s="6" t="str">
        <f>IF(ISNA(MATCH(759,'Transfer Engine'!$C$2:$C$1199,0)),"",HYPERLINK("#Acts!A"&amp;INDEX('Compliance Database'!$P$2:$P$1199,MATCH(759,'Transfer Engine'!$C$2:$C$1199,0)),"Go to Act"))</f>
        <v/>
      </c>
    </row>
    <row r="769" spans="1:16" ht="172.95" customHeight="1" x14ac:dyDescent="0.3">
      <c r="A769" s="6" t="str">
        <f>IF(ISNA(MATCH(760,'Transfer Engine'!$C$2:$C$1199,0)),"",INDEX('Compliance Database'!$A$2:$A$1199,MATCH(760,'Transfer Engine'!$C$2:$C$1199,0)))</f>
        <v/>
      </c>
      <c r="B769" s="6" t="str">
        <f>IF(ISNA(MATCH(760,'Transfer Engine'!$C$2:$C$1199,0)),"",INDEX('Compliance Database'!$B$2:$B$1199,MATCH(760,'Transfer Engine'!$C$2:$C$1199,0)))</f>
        <v/>
      </c>
      <c r="C769" s="6" t="str">
        <f>IF(ISNA(MATCH(760,'Transfer Engine'!$C$2:$C$1199,0)),"",INDEX('Compliance Database'!$C$2:$C$1199,MATCH(760,'Transfer Engine'!$C$2:$C$1199,0)))</f>
        <v/>
      </c>
      <c r="D769" s="7" t="str">
        <f>IF(ISNA(MATCH(760,'Transfer Engine'!$C$2:$C$1199,0)),"",INDEX('Compliance Database'!$D$2:$D$1199,MATCH(760,'Transfer Engine'!$C$2:$C$1199,0)))</f>
        <v/>
      </c>
      <c r="E769" s="6" t="str">
        <f>IF(ISNA(MATCH(760,'Transfer Engine'!$C$2:$C$1199,0)),"",INDEX('Compliance Database'!$E$2:$E$1199,MATCH(760,'Transfer Engine'!$C$2:$C$1199,0)))</f>
        <v/>
      </c>
      <c r="F769" s="6" t="str">
        <f>IF(ISNA(MATCH(760,'Transfer Engine'!$C$2:$C$1199,0)),"",INDEX('Compliance Database'!$F$2:$F$1199,MATCH(760,'Transfer Engine'!$C$2:$C$1199,0)))</f>
        <v/>
      </c>
      <c r="G769" s="6" t="str">
        <f>IF(ISNA(MATCH(760,'Transfer Engine'!$C$2:$C$1199,0)),"",INDEX('Compliance Database'!$G$2:$G$1199,MATCH(760,'Transfer Engine'!$C$2:$C$1199,0)))</f>
        <v/>
      </c>
      <c r="H769" s="7" t="str">
        <f>IF(ISNA(MATCH(760,'Transfer Engine'!$C$2:$C$1199,0)),"",INDEX('Compliance Database'!$H$2:$H$1199,MATCH(760,'Transfer Engine'!$C$2:$C$1199,0)))</f>
        <v/>
      </c>
      <c r="I769" s="7" t="str">
        <f>IF(ISNA(MATCH(760,'Transfer Engine'!$C$2:$C$1199,0)),"",INDEX('Compliance Database'!$I$2:$I$1199,MATCH(760,'Transfer Engine'!$C$2:$C$1199,0)))</f>
        <v/>
      </c>
      <c r="J769" s="6" t="str">
        <f>IF(ISNA(MATCH(760,'Transfer Engine'!$C$2:$C$1199,0)),"",INDEX('Compliance Database'!$J$2:$J$1199,MATCH(760,'Transfer Engine'!$C$2:$C$1199,0)))</f>
        <v/>
      </c>
      <c r="K769" s="7" t="str">
        <f>IF(ISNA(MATCH(760,'Transfer Engine'!$C$2:$C$1199,0)),"",INDEX('Compliance Database'!$K$2:$K$1199,MATCH(760,'Transfer Engine'!$C$2:$C$1199,0)))</f>
        <v/>
      </c>
      <c r="L769" s="7" t="str">
        <f>IF(ISNA(MATCH(760,'Transfer Engine'!$C$2:$C$1199,0)),"",INDEX('Compliance Database'!$L$2:$L$1199,MATCH(760,'Transfer Engine'!$C$2:$C$1199,0)))</f>
        <v/>
      </c>
      <c r="M769" s="7" t="str">
        <f>IF(ISNA(MATCH(760,'Transfer Engine'!$C$2:$C$1199,0)),"",INDEX('Compliance Database'!$M$2:$M$1199,MATCH(760,'Transfer Engine'!$C$2:$C$1199,0)))</f>
        <v/>
      </c>
      <c r="N769" s="7" t="str">
        <f>IF(ISNA(MATCH(760,'Transfer Engine'!$C$2:$C$1199,0)),"",INDEX('Compliance Database'!$N$2:$N$1199,MATCH(760,'Transfer Engine'!$C$2:$C$1199,0)))</f>
        <v/>
      </c>
      <c r="O769" s="7" t="str">
        <f>IF(ISNA(MATCH(760,'Transfer Engine'!$C$2:$C$1199,0)),"",INDEX('Compliance Database'!$O$2:$O$1199,MATCH(760,'Transfer Engine'!$C$2:$C$1199,0)))</f>
        <v/>
      </c>
      <c r="P769" s="6" t="str">
        <f>IF(ISNA(MATCH(760,'Transfer Engine'!$C$2:$C$1199,0)),"",HYPERLINK("#Acts!A"&amp;INDEX('Compliance Database'!$P$2:$P$1199,MATCH(760,'Transfer Engine'!$C$2:$C$1199,0)),"Go to Act"))</f>
        <v/>
      </c>
    </row>
    <row r="770" spans="1:16" ht="172.95" customHeight="1" x14ac:dyDescent="0.3">
      <c r="A770" s="6" t="str">
        <f>IF(ISNA(MATCH(761,'Transfer Engine'!$C$2:$C$1199,0)),"",INDEX('Compliance Database'!$A$2:$A$1199,MATCH(761,'Transfer Engine'!$C$2:$C$1199,0)))</f>
        <v/>
      </c>
      <c r="B770" s="6" t="str">
        <f>IF(ISNA(MATCH(761,'Transfer Engine'!$C$2:$C$1199,0)),"",INDEX('Compliance Database'!$B$2:$B$1199,MATCH(761,'Transfer Engine'!$C$2:$C$1199,0)))</f>
        <v/>
      </c>
      <c r="C770" s="6" t="str">
        <f>IF(ISNA(MATCH(761,'Transfer Engine'!$C$2:$C$1199,0)),"",INDEX('Compliance Database'!$C$2:$C$1199,MATCH(761,'Transfer Engine'!$C$2:$C$1199,0)))</f>
        <v/>
      </c>
      <c r="D770" s="7" t="str">
        <f>IF(ISNA(MATCH(761,'Transfer Engine'!$C$2:$C$1199,0)),"",INDEX('Compliance Database'!$D$2:$D$1199,MATCH(761,'Transfer Engine'!$C$2:$C$1199,0)))</f>
        <v/>
      </c>
      <c r="E770" s="6" t="str">
        <f>IF(ISNA(MATCH(761,'Transfer Engine'!$C$2:$C$1199,0)),"",INDEX('Compliance Database'!$E$2:$E$1199,MATCH(761,'Transfer Engine'!$C$2:$C$1199,0)))</f>
        <v/>
      </c>
      <c r="F770" s="6" t="str">
        <f>IF(ISNA(MATCH(761,'Transfer Engine'!$C$2:$C$1199,0)),"",INDEX('Compliance Database'!$F$2:$F$1199,MATCH(761,'Transfer Engine'!$C$2:$C$1199,0)))</f>
        <v/>
      </c>
      <c r="G770" s="6" t="str">
        <f>IF(ISNA(MATCH(761,'Transfer Engine'!$C$2:$C$1199,0)),"",INDEX('Compliance Database'!$G$2:$G$1199,MATCH(761,'Transfer Engine'!$C$2:$C$1199,0)))</f>
        <v/>
      </c>
      <c r="H770" s="7" t="str">
        <f>IF(ISNA(MATCH(761,'Transfer Engine'!$C$2:$C$1199,0)),"",INDEX('Compliance Database'!$H$2:$H$1199,MATCH(761,'Transfer Engine'!$C$2:$C$1199,0)))</f>
        <v/>
      </c>
      <c r="I770" s="7" t="str">
        <f>IF(ISNA(MATCH(761,'Transfer Engine'!$C$2:$C$1199,0)),"",INDEX('Compliance Database'!$I$2:$I$1199,MATCH(761,'Transfer Engine'!$C$2:$C$1199,0)))</f>
        <v/>
      </c>
      <c r="J770" s="6" t="str">
        <f>IF(ISNA(MATCH(761,'Transfer Engine'!$C$2:$C$1199,0)),"",INDEX('Compliance Database'!$J$2:$J$1199,MATCH(761,'Transfer Engine'!$C$2:$C$1199,0)))</f>
        <v/>
      </c>
      <c r="K770" s="7" t="str">
        <f>IF(ISNA(MATCH(761,'Transfer Engine'!$C$2:$C$1199,0)),"",INDEX('Compliance Database'!$K$2:$K$1199,MATCH(761,'Transfer Engine'!$C$2:$C$1199,0)))</f>
        <v/>
      </c>
      <c r="L770" s="7" t="str">
        <f>IF(ISNA(MATCH(761,'Transfer Engine'!$C$2:$C$1199,0)),"",INDEX('Compliance Database'!$L$2:$L$1199,MATCH(761,'Transfer Engine'!$C$2:$C$1199,0)))</f>
        <v/>
      </c>
      <c r="M770" s="7" t="str">
        <f>IF(ISNA(MATCH(761,'Transfer Engine'!$C$2:$C$1199,0)),"",INDEX('Compliance Database'!$M$2:$M$1199,MATCH(761,'Transfer Engine'!$C$2:$C$1199,0)))</f>
        <v/>
      </c>
      <c r="N770" s="7" t="str">
        <f>IF(ISNA(MATCH(761,'Transfer Engine'!$C$2:$C$1199,0)),"",INDEX('Compliance Database'!$N$2:$N$1199,MATCH(761,'Transfer Engine'!$C$2:$C$1199,0)))</f>
        <v/>
      </c>
      <c r="O770" s="7" t="str">
        <f>IF(ISNA(MATCH(761,'Transfer Engine'!$C$2:$C$1199,0)),"",INDEX('Compliance Database'!$O$2:$O$1199,MATCH(761,'Transfer Engine'!$C$2:$C$1199,0)))</f>
        <v/>
      </c>
      <c r="P770" s="6" t="str">
        <f>IF(ISNA(MATCH(761,'Transfer Engine'!$C$2:$C$1199,0)),"",HYPERLINK("#Acts!A"&amp;INDEX('Compliance Database'!$P$2:$P$1199,MATCH(761,'Transfer Engine'!$C$2:$C$1199,0)),"Go to Act"))</f>
        <v/>
      </c>
    </row>
    <row r="771" spans="1:16" ht="172.95" customHeight="1" x14ac:dyDescent="0.3">
      <c r="A771" s="6" t="str">
        <f>IF(ISNA(MATCH(762,'Transfer Engine'!$C$2:$C$1199,0)),"",INDEX('Compliance Database'!$A$2:$A$1199,MATCH(762,'Transfer Engine'!$C$2:$C$1199,0)))</f>
        <v/>
      </c>
      <c r="B771" s="6" t="str">
        <f>IF(ISNA(MATCH(762,'Transfer Engine'!$C$2:$C$1199,0)),"",INDEX('Compliance Database'!$B$2:$B$1199,MATCH(762,'Transfer Engine'!$C$2:$C$1199,0)))</f>
        <v/>
      </c>
      <c r="C771" s="6" t="str">
        <f>IF(ISNA(MATCH(762,'Transfer Engine'!$C$2:$C$1199,0)),"",INDEX('Compliance Database'!$C$2:$C$1199,MATCH(762,'Transfer Engine'!$C$2:$C$1199,0)))</f>
        <v/>
      </c>
      <c r="D771" s="7" t="str">
        <f>IF(ISNA(MATCH(762,'Transfer Engine'!$C$2:$C$1199,0)),"",INDEX('Compliance Database'!$D$2:$D$1199,MATCH(762,'Transfer Engine'!$C$2:$C$1199,0)))</f>
        <v/>
      </c>
      <c r="E771" s="6" t="str">
        <f>IF(ISNA(MATCH(762,'Transfer Engine'!$C$2:$C$1199,0)),"",INDEX('Compliance Database'!$E$2:$E$1199,MATCH(762,'Transfer Engine'!$C$2:$C$1199,0)))</f>
        <v/>
      </c>
      <c r="F771" s="6" t="str">
        <f>IF(ISNA(MATCH(762,'Transfer Engine'!$C$2:$C$1199,0)),"",INDEX('Compliance Database'!$F$2:$F$1199,MATCH(762,'Transfer Engine'!$C$2:$C$1199,0)))</f>
        <v/>
      </c>
      <c r="G771" s="6" t="str">
        <f>IF(ISNA(MATCH(762,'Transfer Engine'!$C$2:$C$1199,0)),"",INDEX('Compliance Database'!$G$2:$G$1199,MATCH(762,'Transfer Engine'!$C$2:$C$1199,0)))</f>
        <v/>
      </c>
      <c r="H771" s="7" t="str">
        <f>IF(ISNA(MATCH(762,'Transfer Engine'!$C$2:$C$1199,0)),"",INDEX('Compliance Database'!$H$2:$H$1199,MATCH(762,'Transfer Engine'!$C$2:$C$1199,0)))</f>
        <v/>
      </c>
      <c r="I771" s="7" t="str">
        <f>IF(ISNA(MATCH(762,'Transfer Engine'!$C$2:$C$1199,0)),"",INDEX('Compliance Database'!$I$2:$I$1199,MATCH(762,'Transfer Engine'!$C$2:$C$1199,0)))</f>
        <v/>
      </c>
      <c r="J771" s="6" t="str">
        <f>IF(ISNA(MATCH(762,'Transfer Engine'!$C$2:$C$1199,0)),"",INDEX('Compliance Database'!$J$2:$J$1199,MATCH(762,'Transfer Engine'!$C$2:$C$1199,0)))</f>
        <v/>
      </c>
      <c r="K771" s="7" t="str">
        <f>IF(ISNA(MATCH(762,'Transfer Engine'!$C$2:$C$1199,0)),"",INDEX('Compliance Database'!$K$2:$K$1199,MATCH(762,'Transfer Engine'!$C$2:$C$1199,0)))</f>
        <v/>
      </c>
      <c r="L771" s="7" t="str">
        <f>IF(ISNA(MATCH(762,'Transfer Engine'!$C$2:$C$1199,0)),"",INDEX('Compliance Database'!$L$2:$L$1199,MATCH(762,'Transfer Engine'!$C$2:$C$1199,0)))</f>
        <v/>
      </c>
      <c r="M771" s="7" t="str">
        <f>IF(ISNA(MATCH(762,'Transfer Engine'!$C$2:$C$1199,0)),"",INDEX('Compliance Database'!$M$2:$M$1199,MATCH(762,'Transfer Engine'!$C$2:$C$1199,0)))</f>
        <v/>
      </c>
      <c r="N771" s="7" t="str">
        <f>IF(ISNA(MATCH(762,'Transfer Engine'!$C$2:$C$1199,0)),"",INDEX('Compliance Database'!$N$2:$N$1199,MATCH(762,'Transfer Engine'!$C$2:$C$1199,0)))</f>
        <v/>
      </c>
      <c r="O771" s="7" t="str">
        <f>IF(ISNA(MATCH(762,'Transfer Engine'!$C$2:$C$1199,0)),"",INDEX('Compliance Database'!$O$2:$O$1199,MATCH(762,'Transfer Engine'!$C$2:$C$1199,0)))</f>
        <v/>
      </c>
      <c r="P771" s="6" t="str">
        <f>IF(ISNA(MATCH(762,'Transfer Engine'!$C$2:$C$1199,0)),"",HYPERLINK("#Acts!A"&amp;INDEX('Compliance Database'!$P$2:$P$1199,MATCH(762,'Transfer Engine'!$C$2:$C$1199,0)),"Go to Act"))</f>
        <v/>
      </c>
    </row>
    <row r="772" spans="1:16" ht="172.95" customHeight="1" x14ac:dyDescent="0.3">
      <c r="A772" s="6" t="str">
        <f>IF(ISNA(MATCH(763,'Transfer Engine'!$C$2:$C$1199,0)),"",INDEX('Compliance Database'!$A$2:$A$1199,MATCH(763,'Transfer Engine'!$C$2:$C$1199,0)))</f>
        <v/>
      </c>
      <c r="B772" s="6" t="str">
        <f>IF(ISNA(MATCH(763,'Transfer Engine'!$C$2:$C$1199,0)),"",INDEX('Compliance Database'!$B$2:$B$1199,MATCH(763,'Transfer Engine'!$C$2:$C$1199,0)))</f>
        <v/>
      </c>
      <c r="C772" s="6" t="str">
        <f>IF(ISNA(MATCH(763,'Transfer Engine'!$C$2:$C$1199,0)),"",INDEX('Compliance Database'!$C$2:$C$1199,MATCH(763,'Transfer Engine'!$C$2:$C$1199,0)))</f>
        <v/>
      </c>
      <c r="D772" s="7" t="str">
        <f>IF(ISNA(MATCH(763,'Transfer Engine'!$C$2:$C$1199,0)),"",INDEX('Compliance Database'!$D$2:$D$1199,MATCH(763,'Transfer Engine'!$C$2:$C$1199,0)))</f>
        <v/>
      </c>
      <c r="E772" s="6" t="str">
        <f>IF(ISNA(MATCH(763,'Transfer Engine'!$C$2:$C$1199,0)),"",INDEX('Compliance Database'!$E$2:$E$1199,MATCH(763,'Transfer Engine'!$C$2:$C$1199,0)))</f>
        <v/>
      </c>
      <c r="F772" s="6" t="str">
        <f>IF(ISNA(MATCH(763,'Transfer Engine'!$C$2:$C$1199,0)),"",INDEX('Compliance Database'!$F$2:$F$1199,MATCH(763,'Transfer Engine'!$C$2:$C$1199,0)))</f>
        <v/>
      </c>
      <c r="G772" s="6" t="str">
        <f>IF(ISNA(MATCH(763,'Transfer Engine'!$C$2:$C$1199,0)),"",INDEX('Compliance Database'!$G$2:$G$1199,MATCH(763,'Transfer Engine'!$C$2:$C$1199,0)))</f>
        <v/>
      </c>
      <c r="H772" s="7" t="str">
        <f>IF(ISNA(MATCH(763,'Transfer Engine'!$C$2:$C$1199,0)),"",INDEX('Compliance Database'!$H$2:$H$1199,MATCH(763,'Transfer Engine'!$C$2:$C$1199,0)))</f>
        <v/>
      </c>
      <c r="I772" s="7" t="str">
        <f>IF(ISNA(MATCH(763,'Transfer Engine'!$C$2:$C$1199,0)),"",INDEX('Compliance Database'!$I$2:$I$1199,MATCH(763,'Transfer Engine'!$C$2:$C$1199,0)))</f>
        <v/>
      </c>
      <c r="J772" s="6" t="str">
        <f>IF(ISNA(MATCH(763,'Transfer Engine'!$C$2:$C$1199,0)),"",INDEX('Compliance Database'!$J$2:$J$1199,MATCH(763,'Transfer Engine'!$C$2:$C$1199,0)))</f>
        <v/>
      </c>
      <c r="K772" s="7" t="str">
        <f>IF(ISNA(MATCH(763,'Transfer Engine'!$C$2:$C$1199,0)),"",INDEX('Compliance Database'!$K$2:$K$1199,MATCH(763,'Transfer Engine'!$C$2:$C$1199,0)))</f>
        <v/>
      </c>
      <c r="L772" s="7" t="str">
        <f>IF(ISNA(MATCH(763,'Transfer Engine'!$C$2:$C$1199,0)),"",INDEX('Compliance Database'!$L$2:$L$1199,MATCH(763,'Transfer Engine'!$C$2:$C$1199,0)))</f>
        <v/>
      </c>
      <c r="M772" s="7" t="str">
        <f>IF(ISNA(MATCH(763,'Transfer Engine'!$C$2:$C$1199,0)),"",INDEX('Compliance Database'!$M$2:$M$1199,MATCH(763,'Transfer Engine'!$C$2:$C$1199,0)))</f>
        <v/>
      </c>
      <c r="N772" s="7" t="str">
        <f>IF(ISNA(MATCH(763,'Transfer Engine'!$C$2:$C$1199,0)),"",INDEX('Compliance Database'!$N$2:$N$1199,MATCH(763,'Transfer Engine'!$C$2:$C$1199,0)))</f>
        <v/>
      </c>
      <c r="O772" s="7" t="str">
        <f>IF(ISNA(MATCH(763,'Transfer Engine'!$C$2:$C$1199,0)),"",INDEX('Compliance Database'!$O$2:$O$1199,MATCH(763,'Transfer Engine'!$C$2:$C$1199,0)))</f>
        <v/>
      </c>
      <c r="P772" s="6" t="str">
        <f>IF(ISNA(MATCH(763,'Transfer Engine'!$C$2:$C$1199,0)),"",HYPERLINK("#Acts!A"&amp;INDEX('Compliance Database'!$P$2:$P$1199,MATCH(763,'Transfer Engine'!$C$2:$C$1199,0)),"Go to Act"))</f>
        <v/>
      </c>
    </row>
    <row r="773" spans="1:16" ht="172.95" customHeight="1" x14ac:dyDescent="0.3">
      <c r="A773" s="6" t="str">
        <f>IF(ISNA(MATCH(764,'Transfer Engine'!$C$2:$C$1199,0)),"",INDEX('Compliance Database'!$A$2:$A$1199,MATCH(764,'Transfer Engine'!$C$2:$C$1199,0)))</f>
        <v/>
      </c>
      <c r="B773" s="6" t="str">
        <f>IF(ISNA(MATCH(764,'Transfer Engine'!$C$2:$C$1199,0)),"",INDEX('Compliance Database'!$B$2:$B$1199,MATCH(764,'Transfer Engine'!$C$2:$C$1199,0)))</f>
        <v/>
      </c>
      <c r="C773" s="6" t="str">
        <f>IF(ISNA(MATCH(764,'Transfer Engine'!$C$2:$C$1199,0)),"",INDEX('Compliance Database'!$C$2:$C$1199,MATCH(764,'Transfer Engine'!$C$2:$C$1199,0)))</f>
        <v/>
      </c>
      <c r="D773" s="7" t="str">
        <f>IF(ISNA(MATCH(764,'Transfer Engine'!$C$2:$C$1199,0)),"",INDEX('Compliance Database'!$D$2:$D$1199,MATCH(764,'Transfer Engine'!$C$2:$C$1199,0)))</f>
        <v/>
      </c>
      <c r="E773" s="6" t="str">
        <f>IF(ISNA(MATCH(764,'Transfer Engine'!$C$2:$C$1199,0)),"",INDEX('Compliance Database'!$E$2:$E$1199,MATCH(764,'Transfer Engine'!$C$2:$C$1199,0)))</f>
        <v/>
      </c>
      <c r="F773" s="6" t="str">
        <f>IF(ISNA(MATCH(764,'Transfer Engine'!$C$2:$C$1199,0)),"",INDEX('Compliance Database'!$F$2:$F$1199,MATCH(764,'Transfer Engine'!$C$2:$C$1199,0)))</f>
        <v/>
      </c>
      <c r="G773" s="6" t="str">
        <f>IF(ISNA(MATCH(764,'Transfer Engine'!$C$2:$C$1199,0)),"",INDEX('Compliance Database'!$G$2:$G$1199,MATCH(764,'Transfer Engine'!$C$2:$C$1199,0)))</f>
        <v/>
      </c>
      <c r="H773" s="7" t="str">
        <f>IF(ISNA(MATCH(764,'Transfer Engine'!$C$2:$C$1199,0)),"",INDEX('Compliance Database'!$H$2:$H$1199,MATCH(764,'Transfer Engine'!$C$2:$C$1199,0)))</f>
        <v/>
      </c>
      <c r="I773" s="7" t="str">
        <f>IF(ISNA(MATCH(764,'Transfer Engine'!$C$2:$C$1199,0)),"",INDEX('Compliance Database'!$I$2:$I$1199,MATCH(764,'Transfer Engine'!$C$2:$C$1199,0)))</f>
        <v/>
      </c>
      <c r="J773" s="6" t="str">
        <f>IF(ISNA(MATCH(764,'Transfer Engine'!$C$2:$C$1199,0)),"",INDEX('Compliance Database'!$J$2:$J$1199,MATCH(764,'Transfer Engine'!$C$2:$C$1199,0)))</f>
        <v/>
      </c>
      <c r="K773" s="7" t="str">
        <f>IF(ISNA(MATCH(764,'Transfer Engine'!$C$2:$C$1199,0)),"",INDEX('Compliance Database'!$K$2:$K$1199,MATCH(764,'Transfer Engine'!$C$2:$C$1199,0)))</f>
        <v/>
      </c>
      <c r="L773" s="7" t="str">
        <f>IF(ISNA(MATCH(764,'Transfer Engine'!$C$2:$C$1199,0)),"",INDEX('Compliance Database'!$L$2:$L$1199,MATCH(764,'Transfer Engine'!$C$2:$C$1199,0)))</f>
        <v/>
      </c>
      <c r="M773" s="7" t="str">
        <f>IF(ISNA(MATCH(764,'Transfer Engine'!$C$2:$C$1199,0)),"",INDEX('Compliance Database'!$M$2:$M$1199,MATCH(764,'Transfer Engine'!$C$2:$C$1199,0)))</f>
        <v/>
      </c>
      <c r="N773" s="7" t="str">
        <f>IF(ISNA(MATCH(764,'Transfer Engine'!$C$2:$C$1199,0)),"",INDEX('Compliance Database'!$N$2:$N$1199,MATCH(764,'Transfer Engine'!$C$2:$C$1199,0)))</f>
        <v/>
      </c>
      <c r="O773" s="7" t="str">
        <f>IF(ISNA(MATCH(764,'Transfer Engine'!$C$2:$C$1199,0)),"",INDEX('Compliance Database'!$O$2:$O$1199,MATCH(764,'Transfer Engine'!$C$2:$C$1199,0)))</f>
        <v/>
      </c>
      <c r="P773" s="6" t="str">
        <f>IF(ISNA(MATCH(764,'Transfer Engine'!$C$2:$C$1199,0)),"",HYPERLINK("#Acts!A"&amp;INDEX('Compliance Database'!$P$2:$P$1199,MATCH(764,'Transfer Engine'!$C$2:$C$1199,0)),"Go to Act"))</f>
        <v/>
      </c>
    </row>
    <row r="774" spans="1:16" ht="172.95" customHeight="1" x14ac:dyDescent="0.3">
      <c r="A774" s="6" t="str">
        <f>IF(ISNA(MATCH(765,'Transfer Engine'!$C$2:$C$1199,0)),"",INDEX('Compliance Database'!$A$2:$A$1199,MATCH(765,'Transfer Engine'!$C$2:$C$1199,0)))</f>
        <v/>
      </c>
      <c r="B774" s="6" t="str">
        <f>IF(ISNA(MATCH(765,'Transfer Engine'!$C$2:$C$1199,0)),"",INDEX('Compliance Database'!$B$2:$B$1199,MATCH(765,'Transfer Engine'!$C$2:$C$1199,0)))</f>
        <v/>
      </c>
      <c r="C774" s="6" t="str">
        <f>IF(ISNA(MATCH(765,'Transfer Engine'!$C$2:$C$1199,0)),"",INDEX('Compliance Database'!$C$2:$C$1199,MATCH(765,'Transfer Engine'!$C$2:$C$1199,0)))</f>
        <v/>
      </c>
      <c r="D774" s="7" t="str">
        <f>IF(ISNA(MATCH(765,'Transfer Engine'!$C$2:$C$1199,0)),"",INDEX('Compliance Database'!$D$2:$D$1199,MATCH(765,'Transfer Engine'!$C$2:$C$1199,0)))</f>
        <v/>
      </c>
      <c r="E774" s="6" t="str">
        <f>IF(ISNA(MATCH(765,'Transfer Engine'!$C$2:$C$1199,0)),"",INDEX('Compliance Database'!$E$2:$E$1199,MATCH(765,'Transfer Engine'!$C$2:$C$1199,0)))</f>
        <v/>
      </c>
      <c r="F774" s="6" t="str">
        <f>IF(ISNA(MATCH(765,'Transfer Engine'!$C$2:$C$1199,0)),"",INDEX('Compliance Database'!$F$2:$F$1199,MATCH(765,'Transfer Engine'!$C$2:$C$1199,0)))</f>
        <v/>
      </c>
      <c r="G774" s="6" t="str">
        <f>IF(ISNA(MATCH(765,'Transfer Engine'!$C$2:$C$1199,0)),"",INDEX('Compliance Database'!$G$2:$G$1199,MATCH(765,'Transfer Engine'!$C$2:$C$1199,0)))</f>
        <v/>
      </c>
      <c r="H774" s="7" t="str">
        <f>IF(ISNA(MATCH(765,'Transfer Engine'!$C$2:$C$1199,0)),"",INDEX('Compliance Database'!$H$2:$H$1199,MATCH(765,'Transfer Engine'!$C$2:$C$1199,0)))</f>
        <v/>
      </c>
      <c r="I774" s="7" t="str">
        <f>IF(ISNA(MATCH(765,'Transfer Engine'!$C$2:$C$1199,0)),"",INDEX('Compliance Database'!$I$2:$I$1199,MATCH(765,'Transfer Engine'!$C$2:$C$1199,0)))</f>
        <v/>
      </c>
      <c r="J774" s="6" t="str">
        <f>IF(ISNA(MATCH(765,'Transfer Engine'!$C$2:$C$1199,0)),"",INDEX('Compliance Database'!$J$2:$J$1199,MATCH(765,'Transfer Engine'!$C$2:$C$1199,0)))</f>
        <v/>
      </c>
      <c r="K774" s="7" t="str">
        <f>IF(ISNA(MATCH(765,'Transfer Engine'!$C$2:$C$1199,0)),"",INDEX('Compliance Database'!$K$2:$K$1199,MATCH(765,'Transfer Engine'!$C$2:$C$1199,0)))</f>
        <v/>
      </c>
      <c r="L774" s="7" t="str">
        <f>IF(ISNA(MATCH(765,'Transfer Engine'!$C$2:$C$1199,0)),"",INDEX('Compliance Database'!$L$2:$L$1199,MATCH(765,'Transfer Engine'!$C$2:$C$1199,0)))</f>
        <v/>
      </c>
      <c r="M774" s="7" t="str">
        <f>IF(ISNA(MATCH(765,'Transfer Engine'!$C$2:$C$1199,0)),"",INDEX('Compliance Database'!$M$2:$M$1199,MATCH(765,'Transfer Engine'!$C$2:$C$1199,0)))</f>
        <v/>
      </c>
      <c r="N774" s="7" t="str">
        <f>IF(ISNA(MATCH(765,'Transfer Engine'!$C$2:$C$1199,0)),"",INDEX('Compliance Database'!$N$2:$N$1199,MATCH(765,'Transfer Engine'!$C$2:$C$1199,0)))</f>
        <v/>
      </c>
      <c r="O774" s="7" t="str">
        <f>IF(ISNA(MATCH(765,'Transfer Engine'!$C$2:$C$1199,0)),"",INDEX('Compliance Database'!$O$2:$O$1199,MATCH(765,'Transfer Engine'!$C$2:$C$1199,0)))</f>
        <v/>
      </c>
      <c r="P774" s="6" t="str">
        <f>IF(ISNA(MATCH(765,'Transfer Engine'!$C$2:$C$1199,0)),"",HYPERLINK("#Acts!A"&amp;INDEX('Compliance Database'!$P$2:$P$1199,MATCH(765,'Transfer Engine'!$C$2:$C$1199,0)),"Go to Act"))</f>
        <v/>
      </c>
    </row>
    <row r="775" spans="1:16" ht="172.95" customHeight="1" x14ac:dyDescent="0.3">
      <c r="A775" s="6" t="str">
        <f>IF(ISNA(MATCH(766,'Transfer Engine'!$C$2:$C$1199,0)),"",INDEX('Compliance Database'!$A$2:$A$1199,MATCH(766,'Transfer Engine'!$C$2:$C$1199,0)))</f>
        <v/>
      </c>
      <c r="B775" s="6" t="str">
        <f>IF(ISNA(MATCH(766,'Transfer Engine'!$C$2:$C$1199,0)),"",INDEX('Compliance Database'!$B$2:$B$1199,MATCH(766,'Transfer Engine'!$C$2:$C$1199,0)))</f>
        <v/>
      </c>
      <c r="C775" s="6" t="str">
        <f>IF(ISNA(MATCH(766,'Transfer Engine'!$C$2:$C$1199,0)),"",INDEX('Compliance Database'!$C$2:$C$1199,MATCH(766,'Transfer Engine'!$C$2:$C$1199,0)))</f>
        <v/>
      </c>
      <c r="D775" s="7" t="str">
        <f>IF(ISNA(MATCH(766,'Transfer Engine'!$C$2:$C$1199,0)),"",INDEX('Compliance Database'!$D$2:$D$1199,MATCH(766,'Transfer Engine'!$C$2:$C$1199,0)))</f>
        <v/>
      </c>
      <c r="E775" s="6" t="str">
        <f>IF(ISNA(MATCH(766,'Transfer Engine'!$C$2:$C$1199,0)),"",INDEX('Compliance Database'!$E$2:$E$1199,MATCH(766,'Transfer Engine'!$C$2:$C$1199,0)))</f>
        <v/>
      </c>
      <c r="F775" s="6" t="str">
        <f>IF(ISNA(MATCH(766,'Transfer Engine'!$C$2:$C$1199,0)),"",INDEX('Compliance Database'!$F$2:$F$1199,MATCH(766,'Transfer Engine'!$C$2:$C$1199,0)))</f>
        <v/>
      </c>
      <c r="G775" s="6" t="str">
        <f>IF(ISNA(MATCH(766,'Transfer Engine'!$C$2:$C$1199,0)),"",INDEX('Compliance Database'!$G$2:$G$1199,MATCH(766,'Transfer Engine'!$C$2:$C$1199,0)))</f>
        <v/>
      </c>
      <c r="H775" s="7" t="str">
        <f>IF(ISNA(MATCH(766,'Transfer Engine'!$C$2:$C$1199,0)),"",INDEX('Compliance Database'!$H$2:$H$1199,MATCH(766,'Transfer Engine'!$C$2:$C$1199,0)))</f>
        <v/>
      </c>
      <c r="I775" s="7" t="str">
        <f>IF(ISNA(MATCH(766,'Transfer Engine'!$C$2:$C$1199,0)),"",INDEX('Compliance Database'!$I$2:$I$1199,MATCH(766,'Transfer Engine'!$C$2:$C$1199,0)))</f>
        <v/>
      </c>
      <c r="J775" s="6" t="str">
        <f>IF(ISNA(MATCH(766,'Transfer Engine'!$C$2:$C$1199,0)),"",INDEX('Compliance Database'!$J$2:$J$1199,MATCH(766,'Transfer Engine'!$C$2:$C$1199,0)))</f>
        <v/>
      </c>
      <c r="K775" s="7" t="str">
        <f>IF(ISNA(MATCH(766,'Transfer Engine'!$C$2:$C$1199,0)),"",INDEX('Compliance Database'!$K$2:$K$1199,MATCH(766,'Transfer Engine'!$C$2:$C$1199,0)))</f>
        <v/>
      </c>
      <c r="L775" s="7" t="str">
        <f>IF(ISNA(MATCH(766,'Transfer Engine'!$C$2:$C$1199,0)),"",INDEX('Compliance Database'!$L$2:$L$1199,MATCH(766,'Transfer Engine'!$C$2:$C$1199,0)))</f>
        <v/>
      </c>
      <c r="M775" s="7" t="str">
        <f>IF(ISNA(MATCH(766,'Transfer Engine'!$C$2:$C$1199,0)),"",INDEX('Compliance Database'!$M$2:$M$1199,MATCH(766,'Transfer Engine'!$C$2:$C$1199,0)))</f>
        <v/>
      </c>
      <c r="N775" s="7" t="str">
        <f>IF(ISNA(MATCH(766,'Transfer Engine'!$C$2:$C$1199,0)),"",INDEX('Compliance Database'!$N$2:$N$1199,MATCH(766,'Transfer Engine'!$C$2:$C$1199,0)))</f>
        <v/>
      </c>
      <c r="O775" s="7" t="str">
        <f>IF(ISNA(MATCH(766,'Transfer Engine'!$C$2:$C$1199,0)),"",INDEX('Compliance Database'!$O$2:$O$1199,MATCH(766,'Transfer Engine'!$C$2:$C$1199,0)))</f>
        <v/>
      </c>
      <c r="P775" s="6" t="str">
        <f>IF(ISNA(MATCH(766,'Transfer Engine'!$C$2:$C$1199,0)),"",HYPERLINK("#Acts!A"&amp;INDEX('Compliance Database'!$P$2:$P$1199,MATCH(766,'Transfer Engine'!$C$2:$C$1199,0)),"Go to Act"))</f>
        <v/>
      </c>
    </row>
    <row r="776" spans="1:16" ht="172.95" customHeight="1" x14ac:dyDescent="0.3">
      <c r="A776" s="6" t="str">
        <f>IF(ISNA(MATCH(767,'Transfer Engine'!$C$2:$C$1199,0)),"",INDEX('Compliance Database'!$A$2:$A$1199,MATCH(767,'Transfer Engine'!$C$2:$C$1199,0)))</f>
        <v/>
      </c>
      <c r="B776" s="6" t="str">
        <f>IF(ISNA(MATCH(767,'Transfer Engine'!$C$2:$C$1199,0)),"",INDEX('Compliance Database'!$B$2:$B$1199,MATCH(767,'Transfer Engine'!$C$2:$C$1199,0)))</f>
        <v/>
      </c>
      <c r="C776" s="6" t="str">
        <f>IF(ISNA(MATCH(767,'Transfer Engine'!$C$2:$C$1199,0)),"",INDEX('Compliance Database'!$C$2:$C$1199,MATCH(767,'Transfer Engine'!$C$2:$C$1199,0)))</f>
        <v/>
      </c>
      <c r="D776" s="7" t="str">
        <f>IF(ISNA(MATCH(767,'Transfer Engine'!$C$2:$C$1199,0)),"",INDEX('Compliance Database'!$D$2:$D$1199,MATCH(767,'Transfer Engine'!$C$2:$C$1199,0)))</f>
        <v/>
      </c>
      <c r="E776" s="6" t="str">
        <f>IF(ISNA(MATCH(767,'Transfer Engine'!$C$2:$C$1199,0)),"",INDEX('Compliance Database'!$E$2:$E$1199,MATCH(767,'Transfer Engine'!$C$2:$C$1199,0)))</f>
        <v/>
      </c>
      <c r="F776" s="6" t="str">
        <f>IF(ISNA(MATCH(767,'Transfer Engine'!$C$2:$C$1199,0)),"",INDEX('Compliance Database'!$F$2:$F$1199,MATCH(767,'Transfer Engine'!$C$2:$C$1199,0)))</f>
        <v/>
      </c>
      <c r="G776" s="6" t="str">
        <f>IF(ISNA(MATCH(767,'Transfer Engine'!$C$2:$C$1199,0)),"",INDEX('Compliance Database'!$G$2:$G$1199,MATCH(767,'Transfer Engine'!$C$2:$C$1199,0)))</f>
        <v/>
      </c>
      <c r="H776" s="7" t="str">
        <f>IF(ISNA(MATCH(767,'Transfer Engine'!$C$2:$C$1199,0)),"",INDEX('Compliance Database'!$H$2:$H$1199,MATCH(767,'Transfer Engine'!$C$2:$C$1199,0)))</f>
        <v/>
      </c>
      <c r="I776" s="7" t="str">
        <f>IF(ISNA(MATCH(767,'Transfer Engine'!$C$2:$C$1199,0)),"",INDEX('Compliance Database'!$I$2:$I$1199,MATCH(767,'Transfer Engine'!$C$2:$C$1199,0)))</f>
        <v/>
      </c>
      <c r="J776" s="6" t="str">
        <f>IF(ISNA(MATCH(767,'Transfer Engine'!$C$2:$C$1199,0)),"",INDEX('Compliance Database'!$J$2:$J$1199,MATCH(767,'Transfer Engine'!$C$2:$C$1199,0)))</f>
        <v/>
      </c>
      <c r="K776" s="7" t="str">
        <f>IF(ISNA(MATCH(767,'Transfer Engine'!$C$2:$C$1199,0)),"",INDEX('Compliance Database'!$K$2:$K$1199,MATCH(767,'Transfer Engine'!$C$2:$C$1199,0)))</f>
        <v/>
      </c>
      <c r="L776" s="7" t="str">
        <f>IF(ISNA(MATCH(767,'Transfer Engine'!$C$2:$C$1199,0)),"",INDEX('Compliance Database'!$L$2:$L$1199,MATCH(767,'Transfer Engine'!$C$2:$C$1199,0)))</f>
        <v/>
      </c>
      <c r="M776" s="7" t="str">
        <f>IF(ISNA(MATCH(767,'Transfer Engine'!$C$2:$C$1199,0)),"",INDEX('Compliance Database'!$M$2:$M$1199,MATCH(767,'Transfer Engine'!$C$2:$C$1199,0)))</f>
        <v/>
      </c>
      <c r="N776" s="7" t="str">
        <f>IF(ISNA(MATCH(767,'Transfer Engine'!$C$2:$C$1199,0)),"",INDEX('Compliance Database'!$N$2:$N$1199,MATCH(767,'Transfer Engine'!$C$2:$C$1199,0)))</f>
        <v/>
      </c>
      <c r="O776" s="7" t="str">
        <f>IF(ISNA(MATCH(767,'Transfer Engine'!$C$2:$C$1199,0)),"",INDEX('Compliance Database'!$O$2:$O$1199,MATCH(767,'Transfer Engine'!$C$2:$C$1199,0)))</f>
        <v/>
      </c>
      <c r="P776" s="6" t="str">
        <f>IF(ISNA(MATCH(767,'Transfer Engine'!$C$2:$C$1199,0)),"",HYPERLINK("#Acts!A"&amp;INDEX('Compliance Database'!$P$2:$P$1199,MATCH(767,'Transfer Engine'!$C$2:$C$1199,0)),"Go to Act"))</f>
        <v/>
      </c>
    </row>
    <row r="777" spans="1:16" ht="172.95" customHeight="1" x14ac:dyDescent="0.3">
      <c r="A777" s="6" t="str">
        <f>IF(ISNA(MATCH(768,'Transfer Engine'!$C$2:$C$1199,0)),"",INDEX('Compliance Database'!$A$2:$A$1199,MATCH(768,'Transfer Engine'!$C$2:$C$1199,0)))</f>
        <v/>
      </c>
      <c r="B777" s="6" t="str">
        <f>IF(ISNA(MATCH(768,'Transfer Engine'!$C$2:$C$1199,0)),"",INDEX('Compliance Database'!$B$2:$B$1199,MATCH(768,'Transfer Engine'!$C$2:$C$1199,0)))</f>
        <v/>
      </c>
      <c r="C777" s="6" t="str">
        <f>IF(ISNA(MATCH(768,'Transfer Engine'!$C$2:$C$1199,0)),"",INDEX('Compliance Database'!$C$2:$C$1199,MATCH(768,'Transfer Engine'!$C$2:$C$1199,0)))</f>
        <v/>
      </c>
      <c r="D777" s="7" t="str">
        <f>IF(ISNA(MATCH(768,'Transfer Engine'!$C$2:$C$1199,0)),"",INDEX('Compliance Database'!$D$2:$D$1199,MATCH(768,'Transfer Engine'!$C$2:$C$1199,0)))</f>
        <v/>
      </c>
      <c r="E777" s="6" t="str">
        <f>IF(ISNA(MATCH(768,'Transfer Engine'!$C$2:$C$1199,0)),"",INDEX('Compliance Database'!$E$2:$E$1199,MATCH(768,'Transfer Engine'!$C$2:$C$1199,0)))</f>
        <v/>
      </c>
      <c r="F777" s="6" t="str">
        <f>IF(ISNA(MATCH(768,'Transfer Engine'!$C$2:$C$1199,0)),"",INDEX('Compliance Database'!$F$2:$F$1199,MATCH(768,'Transfer Engine'!$C$2:$C$1199,0)))</f>
        <v/>
      </c>
      <c r="G777" s="6" t="str">
        <f>IF(ISNA(MATCH(768,'Transfer Engine'!$C$2:$C$1199,0)),"",INDEX('Compliance Database'!$G$2:$G$1199,MATCH(768,'Transfer Engine'!$C$2:$C$1199,0)))</f>
        <v/>
      </c>
      <c r="H777" s="7" t="str">
        <f>IF(ISNA(MATCH(768,'Transfer Engine'!$C$2:$C$1199,0)),"",INDEX('Compliance Database'!$H$2:$H$1199,MATCH(768,'Transfer Engine'!$C$2:$C$1199,0)))</f>
        <v/>
      </c>
      <c r="I777" s="7" t="str">
        <f>IF(ISNA(MATCH(768,'Transfer Engine'!$C$2:$C$1199,0)),"",INDEX('Compliance Database'!$I$2:$I$1199,MATCH(768,'Transfer Engine'!$C$2:$C$1199,0)))</f>
        <v/>
      </c>
      <c r="J777" s="6" t="str">
        <f>IF(ISNA(MATCH(768,'Transfer Engine'!$C$2:$C$1199,0)),"",INDEX('Compliance Database'!$J$2:$J$1199,MATCH(768,'Transfer Engine'!$C$2:$C$1199,0)))</f>
        <v/>
      </c>
      <c r="K777" s="7" t="str">
        <f>IF(ISNA(MATCH(768,'Transfer Engine'!$C$2:$C$1199,0)),"",INDEX('Compliance Database'!$K$2:$K$1199,MATCH(768,'Transfer Engine'!$C$2:$C$1199,0)))</f>
        <v/>
      </c>
      <c r="L777" s="7" t="str">
        <f>IF(ISNA(MATCH(768,'Transfer Engine'!$C$2:$C$1199,0)),"",INDEX('Compliance Database'!$L$2:$L$1199,MATCH(768,'Transfer Engine'!$C$2:$C$1199,0)))</f>
        <v/>
      </c>
      <c r="M777" s="7" t="str">
        <f>IF(ISNA(MATCH(768,'Transfer Engine'!$C$2:$C$1199,0)),"",INDEX('Compliance Database'!$M$2:$M$1199,MATCH(768,'Transfer Engine'!$C$2:$C$1199,0)))</f>
        <v/>
      </c>
      <c r="N777" s="7" t="str">
        <f>IF(ISNA(MATCH(768,'Transfer Engine'!$C$2:$C$1199,0)),"",INDEX('Compliance Database'!$N$2:$N$1199,MATCH(768,'Transfer Engine'!$C$2:$C$1199,0)))</f>
        <v/>
      </c>
      <c r="O777" s="7" t="str">
        <f>IF(ISNA(MATCH(768,'Transfer Engine'!$C$2:$C$1199,0)),"",INDEX('Compliance Database'!$O$2:$O$1199,MATCH(768,'Transfer Engine'!$C$2:$C$1199,0)))</f>
        <v/>
      </c>
      <c r="P777" s="6" t="str">
        <f>IF(ISNA(MATCH(768,'Transfer Engine'!$C$2:$C$1199,0)),"",HYPERLINK("#Acts!A"&amp;INDEX('Compliance Database'!$P$2:$P$1199,MATCH(768,'Transfer Engine'!$C$2:$C$1199,0)),"Go to Act"))</f>
        <v/>
      </c>
    </row>
    <row r="778" spans="1:16" ht="172.95" customHeight="1" x14ac:dyDescent="0.3">
      <c r="A778" s="6" t="str">
        <f>IF(ISNA(MATCH(769,'Transfer Engine'!$C$2:$C$1199,0)),"",INDEX('Compliance Database'!$A$2:$A$1199,MATCH(769,'Transfer Engine'!$C$2:$C$1199,0)))</f>
        <v/>
      </c>
      <c r="B778" s="6" t="str">
        <f>IF(ISNA(MATCH(769,'Transfer Engine'!$C$2:$C$1199,0)),"",INDEX('Compliance Database'!$B$2:$B$1199,MATCH(769,'Transfer Engine'!$C$2:$C$1199,0)))</f>
        <v/>
      </c>
      <c r="C778" s="6" t="str">
        <f>IF(ISNA(MATCH(769,'Transfer Engine'!$C$2:$C$1199,0)),"",INDEX('Compliance Database'!$C$2:$C$1199,MATCH(769,'Transfer Engine'!$C$2:$C$1199,0)))</f>
        <v/>
      </c>
      <c r="D778" s="7" t="str">
        <f>IF(ISNA(MATCH(769,'Transfer Engine'!$C$2:$C$1199,0)),"",INDEX('Compliance Database'!$D$2:$D$1199,MATCH(769,'Transfer Engine'!$C$2:$C$1199,0)))</f>
        <v/>
      </c>
      <c r="E778" s="6" t="str">
        <f>IF(ISNA(MATCH(769,'Transfer Engine'!$C$2:$C$1199,0)),"",INDEX('Compliance Database'!$E$2:$E$1199,MATCH(769,'Transfer Engine'!$C$2:$C$1199,0)))</f>
        <v/>
      </c>
      <c r="F778" s="6" t="str">
        <f>IF(ISNA(MATCH(769,'Transfer Engine'!$C$2:$C$1199,0)),"",INDEX('Compliance Database'!$F$2:$F$1199,MATCH(769,'Transfer Engine'!$C$2:$C$1199,0)))</f>
        <v/>
      </c>
      <c r="G778" s="6" t="str">
        <f>IF(ISNA(MATCH(769,'Transfer Engine'!$C$2:$C$1199,0)),"",INDEX('Compliance Database'!$G$2:$G$1199,MATCH(769,'Transfer Engine'!$C$2:$C$1199,0)))</f>
        <v/>
      </c>
      <c r="H778" s="7" t="str">
        <f>IF(ISNA(MATCH(769,'Transfer Engine'!$C$2:$C$1199,0)),"",INDEX('Compliance Database'!$H$2:$H$1199,MATCH(769,'Transfer Engine'!$C$2:$C$1199,0)))</f>
        <v/>
      </c>
      <c r="I778" s="7" t="str">
        <f>IF(ISNA(MATCH(769,'Transfer Engine'!$C$2:$C$1199,0)),"",INDEX('Compliance Database'!$I$2:$I$1199,MATCH(769,'Transfer Engine'!$C$2:$C$1199,0)))</f>
        <v/>
      </c>
      <c r="J778" s="6" t="str">
        <f>IF(ISNA(MATCH(769,'Transfer Engine'!$C$2:$C$1199,0)),"",INDEX('Compliance Database'!$J$2:$J$1199,MATCH(769,'Transfer Engine'!$C$2:$C$1199,0)))</f>
        <v/>
      </c>
      <c r="K778" s="7" t="str">
        <f>IF(ISNA(MATCH(769,'Transfer Engine'!$C$2:$C$1199,0)),"",INDEX('Compliance Database'!$K$2:$K$1199,MATCH(769,'Transfer Engine'!$C$2:$C$1199,0)))</f>
        <v/>
      </c>
      <c r="L778" s="7" t="str">
        <f>IF(ISNA(MATCH(769,'Transfer Engine'!$C$2:$C$1199,0)),"",INDEX('Compliance Database'!$L$2:$L$1199,MATCH(769,'Transfer Engine'!$C$2:$C$1199,0)))</f>
        <v/>
      </c>
      <c r="M778" s="7" t="str">
        <f>IF(ISNA(MATCH(769,'Transfer Engine'!$C$2:$C$1199,0)),"",INDEX('Compliance Database'!$M$2:$M$1199,MATCH(769,'Transfer Engine'!$C$2:$C$1199,0)))</f>
        <v/>
      </c>
      <c r="N778" s="7" t="str">
        <f>IF(ISNA(MATCH(769,'Transfer Engine'!$C$2:$C$1199,0)),"",INDEX('Compliance Database'!$N$2:$N$1199,MATCH(769,'Transfer Engine'!$C$2:$C$1199,0)))</f>
        <v/>
      </c>
      <c r="O778" s="7" t="str">
        <f>IF(ISNA(MATCH(769,'Transfer Engine'!$C$2:$C$1199,0)),"",INDEX('Compliance Database'!$O$2:$O$1199,MATCH(769,'Transfer Engine'!$C$2:$C$1199,0)))</f>
        <v/>
      </c>
      <c r="P778" s="6" t="str">
        <f>IF(ISNA(MATCH(769,'Transfer Engine'!$C$2:$C$1199,0)),"",HYPERLINK("#Acts!A"&amp;INDEX('Compliance Database'!$P$2:$P$1199,MATCH(769,'Transfer Engine'!$C$2:$C$1199,0)),"Go to Act"))</f>
        <v/>
      </c>
    </row>
    <row r="779" spans="1:16" ht="172.95" customHeight="1" x14ac:dyDescent="0.3">
      <c r="A779" s="6" t="str">
        <f>IF(ISNA(MATCH(770,'Transfer Engine'!$C$2:$C$1199,0)),"",INDEX('Compliance Database'!$A$2:$A$1199,MATCH(770,'Transfer Engine'!$C$2:$C$1199,0)))</f>
        <v/>
      </c>
      <c r="B779" s="6" t="str">
        <f>IF(ISNA(MATCH(770,'Transfer Engine'!$C$2:$C$1199,0)),"",INDEX('Compliance Database'!$B$2:$B$1199,MATCH(770,'Transfer Engine'!$C$2:$C$1199,0)))</f>
        <v/>
      </c>
      <c r="C779" s="6" t="str">
        <f>IF(ISNA(MATCH(770,'Transfer Engine'!$C$2:$C$1199,0)),"",INDEX('Compliance Database'!$C$2:$C$1199,MATCH(770,'Transfer Engine'!$C$2:$C$1199,0)))</f>
        <v/>
      </c>
      <c r="D779" s="7" t="str">
        <f>IF(ISNA(MATCH(770,'Transfer Engine'!$C$2:$C$1199,0)),"",INDEX('Compliance Database'!$D$2:$D$1199,MATCH(770,'Transfer Engine'!$C$2:$C$1199,0)))</f>
        <v/>
      </c>
      <c r="E779" s="6" t="str">
        <f>IF(ISNA(MATCH(770,'Transfer Engine'!$C$2:$C$1199,0)),"",INDEX('Compliance Database'!$E$2:$E$1199,MATCH(770,'Transfer Engine'!$C$2:$C$1199,0)))</f>
        <v/>
      </c>
      <c r="F779" s="6" t="str">
        <f>IF(ISNA(MATCH(770,'Transfer Engine'!$C$2:$C$1199,0)),"",INDEX('Compliance Database'!$F$2:$F$1199,MATCH(770,'Transfer Engine'!$C$2:$C$1199,0)))</f>
        <v/>
      </c>
      <c r="G779" s="6" t="str">
        <f>IF(ISNA(MATCH(770,'Transfer Engine'!$C$2:$C$1199,0)),"",INDEX('Compliance Database'!$G$2:$G$1199,MATCH(770,'Transfer Engine'!$C$2:$C$1199,0)))</f>
        <v/>
      </c>
      <c r="H779" s="7" t="str">
        <f>IF(ISNA(MATCH(770,'Transfer Engine'!$C$2:$C$1199,0)),"",INDEX('Compliance Database'!$H$2:$H$1199,MATCH(770,'Transfer Engine'!$C$2:$C$1199,0)))</f>
        <v/>
      </c>
      <c r="I779" s="7" t="str">
        <f>IF(ISNA(MATCH(770,'Transfer Engine'!$C$2:$C$1199,0)),"",INDEX('Compliance Database'!$I$2:$I$1199,MATCH(770,'Transfer Engine'!$C$2:$C$1199,0)))</f>
        <v/>
      </c>
      <c r="J779" s="6" t="str">
        <f>IF(ISNA(MATCH(770,'Transfer Engine'!$C$2:$C$1199,0)),"",INDEX('Compliance Database'!$J$2:$J$1199,MATCH(770,'Transfer Engine'!$C$2:$C$1199,0)))</f>
        <v/>
      </c>
      <c r="K779" s="7" t="str">
        <f>IF(ISNA(MATCH(770,'Transfer Engine'!$C$2:$C$1199,0)),"",INDEX('Compliance Database'!$K$2:$K$1199,MATCH(770,'Transfer Engine'!$C$2:$C$1199,0)))</f>
        <v/>
      </c>
      <c r="L779" s="7" t="str">
        <f>IF(ISNA(MATCH(770,'Transfer Engine'!$C$2:$C$1199,0)),"",INDEX('Compliance Database'!$L$2:$L$1199,MATCH(770,'Transfer Engine'!$C$2:$C$1199,0)))</f>
        <v/>
      </c>
      <c r="M779" s="7" t="str">
        <f>IF(ISNA(MATCH(770,'Transfer Engine'!$C$2:$C$1199,0)),"",INDEX('Compliance Database'!$M$2:$M$1199,MATCH(770,'Transfer Engine'!$C$2:$C$1199,0)))</f>
        <v/>
      </c>
      <c r="N779" s="7" t="str">
        <f>IF(ISNA(MATCH(770,'Transfer Engine'!$C$2:$C$1199,0)),"",INDEX('Compliance Database'!$N$2:$N$1199,MATCH(770,'Transfer Engine'!$C$2:$C$1199,0)))</f>
        <v/>
      </c>
      <c r="O779" s="7" t="str">
        <f>IF(ISNA(MATCH(770,'Transfer Engine'!$C$2:$C$1199,0)),"",INDEX('Compliance Database'!$O$2:$O$1199,MATCH(770,'Transfer Engine'!$C$2:$C$1199,0)))</f>
        <v/>
      </c>
      <c r="P779" s="6" t="str">
        <f>IF(ISNA(MATCH(770,'Transfer Engine'!$C$2:$C$1199,0)),"",HYPERLINK("#Acts!A"&amp;INDEX('Compliance Database'!$P$2:$P$1199,MATCH(770,'Transfer Engine'!$C$2:$C$1199,0)),"Go to Act"))</f>
        <v/>
      </c>
    </row>
    <row r="780" spans="1:16" ht="172.95" customHeight="1" x14ac:dyDescent="0.3">
      <c r="A780" s="6" t="str">
        <f>IF(ISNA(MATCH(771,'Transfer Engine'!$C$2:$C$1199,0)),"",INDEX('Compliance Database'!$A$2:$A$1199,MATCH(771,'Transfer Engine'!$C$2:$C$1199,0)))</f>
        <v/>
      </c>
      <c r="B780" s="6" t="str">
        <f>IF(ISNA(MATCH(771,'Transfer Engine'!$C$2:$C$1199,0)),"",INDEX('Compliance Database'!$B$2:$B$1199,MATCH(771,'Transfer Engine'!$C$2:$C$1199,0)))</f>
        <v/>
      </c>
      <c r="C780" s="6" t="str">
        <f>IF(ISNA(MATCH(771,'Transfer Engine'!$C$2:$C$1199,0)),"",INDEX('Compliance Database'!$C$2:$C$1199,MATCH(771,'Transfer Engine'!$C$2:$C$1199,0)))</f>
        <v/>
      </c>
      <c r="D780" s="7" t="str">
        <f>IF(ISNA(MATCH(771,'Transfer Engine'!$C$2:$C$1199,0)),"",INDEX('Compliance Database'!$D$2:$D$1199,MATCH(771,'Transfer Engine'!$C$2:$C$1199,0)))</f>
        <v/>
      </c>
      <c r="E780" s="6" t="str">
        <f>IF(ISNA(MATCH(771,'Transfer Engine'!$C$2:$C$1199,0)),"",INDEX('Compliance Database'!$E$2:$E$1199,MATCH(771,'Transfer Engine'!$C$2:$C$1199,0)))</f>
        <v/>
      </c>
      <c r="F780" s="6" t="str">
        <f>IF(ISNA(MATCH(771,'Transfer Engine'!$C$2:$C$1199,0)),"",INDEX('Compliance Database'!$F$2:$F$1199,MATCH(771,'Transfer Engine'!$C$2:$C$1199,0)))</f>
        <v/>
      </c>
      <c r="G780" s="6" t="str">
        <f>IF(ISNA(MATCH(771,'Transfer Engine'!$C$2:$C$1199,0)),"",INDEX('Compliance Database'!$G$2:$G$1199,MATCH(771,'Transfer Engine'!$C$2:$C$1199,0)))</f>
        <v/>
      </c>
      <c r="H780" s="7" t="str">
        <f>IF(ISNA(MATCH(771,'Transfer Engine'!$C$2:$C$1199,0)),"",INDEX('Compliance Database'!$H$2:$H$1199,MATCH(771,'Transfer Engine'!$C$2:$C$1199,0)))</f>
        <v/>
      </c>
      <c r="I780" s="7" t="str">
        <f>IF(ISNA(MATCH(771,'Transfer Engine'!$C$2:$C$1199,0)),"",INDEX('Compliance Database'!$I$2:$I$1199,MATCH(771,'Transfer Engine'!$C$2:$C$1199,0)))</f>
        <v/>
      </c>
      <c r="J780" s="6" t="str">
        <f>IF(ISNA(MATCH(771,'Transfer Engine'!$C$2:$C$1199,0)),"",INDEX('Compliance Database'!$J$2:$J$1199,MATCH(771,'Transfer Engine'!$C$2:$C$1199,0)))</f>
        <v/>
      </c>
      <c r="K780" s="7" t="str">
        <f>IF(ISNA(MATCH(771,'Transfer Engine'!$C$2:$C$1199,0)),"",INDEX('Compliance Database'!$K$2:$K$1199,MATCH(771,'Transfer Engine'!$C$2:$C$1199,0)))</f>
        <v/>
      </c>
      <c r="L780" s="7" t="str">
        <f>IF(ISNA(MATCH(771,'Transfer Engine'!$C$2:$C$1199,0)),"",INDEX('Compliance Database'!$L$2:$L$1199,MATCH(771,'Transfer Engine'!$C$2:$C$1199,0)))</f>
        <v/>
      </c>
      <c r="M780" s="7" t="str">
        <f>IF(ISNA(MATCH(771,'Transfer Engine'!$C$2:$C$1199,0)),"",INDEX('Compliance Database'!$M$2:$M$1199,MATCH(771,'Transfer Engine'!$C$2:$C$1199,0)))</f>
        <v/>
      </c>
      <c r="N780" s="7" t="str">
        <f>IF(ISNA(MATCH(771,'Transfer Engine'!$C$2:$C$1199,0)),"",INDEX('Compliance Database'!$N$2:$N$1199,MATCH(771,'Transfer Engine'!$C$2:$C$1199,0)))</f>
        <v/>
      </c>
      <c r="O780" s="7" t="str">
        <f>IF(ISNA(MATCH(771,'Transfer Engine'!$C$2:$C$1199,0)),"",INDEX('Compliance Database'!$O$2:$O$1199,MATCH(771,'Transfer Engine'!$C$2:$C$1199,0)))</f>
        <v/>
      </c>
      <c r="P780" s="6" t="str">
        <f>IF(ISNA(MATCH(771,'Transfer Engine'!$C$2:$C$1199,0)),"",HYPERLINK("#Acts!A"&amp;INDEX('Compliance Database'!$P$2:$P$1199,MATCH(771,'Transfer Engine'!$C$2:$C$1199,0)),"Go to Act"))</f>
        <v/>
      </c>
    </row>
    <row r="781" spans="1:16" ht="172.95" customHeight="1" x14ac:dyDescent="0.3">
      <c r="A781" s="6" t="str">
        <f>IF(ISNA(MATCH(772,'Transfer Engine'!$C$2:$C$1199,0)),"",INDEX('Compliance Database'!$A$2:$A$1199,MATCH(772,'Transfer Engine'!$C$2:$C$1199,0)))</f>
        <v/>
      </c>
      <c r="B781" s="6" t="str">
        <f>IF(ISNA(MATCH(772,'Transfer Engine'!$C$2:$C$1199,0)),"",INDEX('Compliance Database'!$B$2:$B$1199,MATCH(772,'Transfer Engine'!$C$2:$C$1199,0)))</f>
        <v/>
      </c>
      <c r="C781" s="6" t="str">
        <f>IF(ISNA(MATCH(772,'Transfer Engine'!$C$2:$C$1199,0)),"",INDEX('Compliance Database'!$C$2:$C$1199,MATCH(772,'Transfer Engine'!$C$2:$C$1199,0)))</f>
        <v/>
      </c>
      <c r="D781" s="7" t="str">
        <f>IF(ISNA(MATCH(772,'Transfer Engine'!$C$2:$C$1199,0)),"",INDEX('Compliance Database'!$D$2:$D$1199,MATCH(772,'Transfer Engine'!$C$2:$C$1199,0)))</f>
        <v/>
      </c>
      <c r="E781" s="6" t="str">
        <f>IF(ISNA(MATCH(772,'Transfer Engine'!$C$2:$C$1199,0)),"",INDEX('Compliance Database'!$E$2:$E$1199,MATCH(772,'Transfer Engine'!$C$2:$C$1199,0)))</f>
        <v/>
      </c>
      <c r="F781" s="6" t="str">
        <f>IF(ISNA(MATCH(772,'Transfer Engine'!$C$2:$C$1199,0)),"",INDEX('Compliance Database'!$F$2:$F$1199,MATCH(772,'Transfer Engine'!$C$2:$C$1199,0)))</f>
        <v/>
      </c>
      <c r="G781" s="6" t="str">
        <f>IF(ISNA(MATCH(772,'Transfer Engine'!$C$2:$C$1199,0)),"",INDEX('Compliance Database'!$G$2:$G$1199,MATCH(772,'Transfer Engine'!$C$2:$C$1199,0)))</f>
        <v/>
      </c>
      <c r="H781" s="7" t="str">
        <f>IF(ISNA(MATCH(772,'Transfer Engine'!$C$2:$C$1199,0)),"",INDEX('Compliance Database'!$H$2:$H$1199,MATCH(772,'Transfer Engine'!$C$2:$C$1199,0)))</f>
        <v/>
      </c>
      <c r="I781" s="7" t="str">
        <f>IF(ISNA(MATCH(772,'Transfer Engine'!$C$2:$C$1199,0)),"",INDEX('Compliance Database'!$I$2:$I$1199,MATCH(772,'Transfer Engine'!$C$2:$C$1199,0)))</f>
        <v/>
      </c>
      <c r="J781" s="6" t="str">
        <f>IF(ISNA(MATCH(772,'Transfer Engine'!$C$2:$C$1199,0)),"",INDEX('Compliance Database'!$J$2:$J$1199,MATCH(772,'Transfer Engine'!$C$2:$C$1199,0)))</f>
        <v/>
      </c>
      <c r="K781" s="7" t="str">
        <f>IF(ISNA(MATCH(772,'Transfer Engine'!$C$2:$C$1199,0)),"",INDEX('Compliance Database'!$K$2:$K$1199,MATCH(772,'Transfer Engine'!$C$2:$C$1199,0)))</f>
        <v/>
      </c>
      <c r="L781" s="7" t="str">
        <f>IF(ISNA(MATCH(772,'Transfer Engine'!$C$2:$C$1199,0)),"",INDEX('Compliance Database'!$L$2:$L$1199,MATCH(772,'Transfer Engine'!$C$2:$C$1199,0)))</f>
        <v/>
      </c>
      <c r="M781" s="7" t="str">
        <f>IF(ISNA(MATCH(772,'Transfer Engine'!$C$2:$C$1199,0)),"",INDEX('Compliance Database'!$M$2:$M$1199,MATCH(772,'Transfer Engine'!$C$2:$C$1199,0)))</f>
        <v/>
      </c>
      <c r="N781" s="7" t="str">
        <f>IF(ISNA(MATCH(772,'Transfer Engine'!$C$2:$C$1199,0)),"",INDEX('Compliance Database'!$N$2:$N$1199,MATCH(772,'Transfer Engine'!$C$2:$C$1199,0)))</f>
        <v/>
      </c>
      <c r="O781" s="7" t="str">
        <f>IF(ISNA(MATCH(772,'Transfer Engine'!$C$2:$C$1199,0)),"",INDEX('Compliance Database'!$O$2:$O$1199,MATCH(772,'Transfer Engine'!$C$2:$C$1199,0)))</f>
        <v/>
      </c>
      <c r="P781" s="6" t="str">
        <f>IF(ISNA(MATCH(772,'Transfer Engine'!$C$2:$C$1199,0)),"",HYPERLINK("#Acts!A"&amp;INDEX('Compliance Database'!$P$2:$P$1199,MATCH(772,'Transfer Engine'!$C$2:$C$1199,0)),"Go to Act"))</f>
        <v/>
      </c>
    </row>
    <row r="782" spans="1:16" ht="172.95" customHeight="1" x14ac:dyDescent="0.3">
      <c r="A782" s="6" t="str">
        <f>IF(ISNA(MATCH(773,'Transfer Engine'!$C$2:$C$1199,0)),"",INDEX('Compliance Database'!$A$2:$A$1199,MATCH(773,'Transfer Engine'!$C$2:$C$1199,0)))</f>
        <v/>
      </c>
      <c r="B782" s="6" t="str">
        <f>IF(ISNA(MATCH(773,'Transfer Engine'!$C$2:$C$1199,0)),"",INDEX('Compliance Database'!$B$2:$B$1199,MATCH(773,'Transfer Engine'!$C$2:$C$1199,0)))</f>
        <v/>
      </c>
      <c r="C782" s="6" t="str">
        <f>IF(ISNA(MATCH(773,'Transfer Engine'!$C$2:$C$1199,0)),"",INDEX('Compliance Database'!$C$2:$C$1199,MATCH(773,'Transfer Engine'!$C$2:$C$1199,0)))</f>
        <v/>
      </c>
      <c r="D782" s="7" t="str">
        <f>IF(ISNA(MATCH(773,'Transfer Engine'!$C$2:$C$1199,0)),"",INDEX('Compliance Database'!$D$2:$D$1199,MATCH(773,'Transfer Engine'!$C$2:$C$1199,0)))</f>
        <v/>
      </c>
      <c r="E782" s="6" t="str">
        <f>IF(ISNA(MATCH(773,'Transfer Engine'!$C$2:$C$1199,0)),"",INDEX('Compliance Database'!$E$2:$E$1199,MATCH(773,'Transfer Engine'!$C$2:$C$1199,0)))</f>
        <v/>
      </c>
      <c r="F782" s="6" t="str">
        <f>IF(ISNA(MATCH(773,'Transfer Engine'!$C$2:$C$1199,0)),"",INDEX('Compliance Database'!$F$2:$F$1199,MATCH(773,'Transfer Engine'!$C$2:$C$1199,0)))</f>
        <v/>
      </c>
      <c r="G782" s="6" t="str">
        <f>IF(ISNA(MATCH(773,'Transfer Engine'!$C$2:$C$1199,0)),"",INDEX('Compliance Database'!$G$2:$G$1199,MATCH(773,'Transfer Engine'!$C$2:$C$1199,0)))</f>
        <v/>
      </c>
      <c r="H782" s="7" t="str">
        <f>IF(ISNA(MATCH(773,'Transfer Engine'!$C$2:$C$1199,0)),"",INDEX('Compliance Database'!$H$2:$H$1199,MATCH(773,'Transfer Engine'!$C$2:$C$1199,0)))</f>
        <v/>
      </c>
      <c r="I782" s="7" t="str">
        <f>IF(ISNA(MATCH(773,'Transfer Engine'!$C$2:$C$1199,0)),"",INDEX('Compliance Database'!$I$2:$I$1199,MATCH(773,'Transfer Engine'!$C$2:$C$1199,0)))</f>
        <v/>
      </c>
      <c r="J782" s="6" t="str">
        <f>IF(ISNA(MATCH(773,'Transfer Engine'!$C$2:$C$1199,0)),"",INDEX('Compliance Database'!$J$2:$J$1199,MATCH(773,'Transfer Engine'!$C$2:$C$1199,0)))</f>
        <v/>
      </c>
      <c r="K782" s="7" t="str">
        <f>IF(ISNA(MATCH(773,'Transfer Engine'!$C$2:$C$1199,0)),"",INDEX('Compliance Database'!$K$2:$K$1199,MATCH(773,'Transfer Engine'!$C$2:$C$1199,0)))</f>
        <v/>
      </c>
      <c r="L782" s="7" t="str">
        <f>IF(ISNA(MATCH(773,'Transfer Engine'!$C$2:$C$1199,0)),"",INDEX('Compliance Database'!$L$2:$L$1199,MATCH(773,'Transfer Engine'!$C$2:$C$1199,0)))</f>
        <v/>
      </c>
      <c r="M782" s="7" t="str">
        <f>IF(ISNA(MATCH(773,'Transfer Engine'!$C$2:$C$1199,0)),"",INDEX('Compliance Database'!$M$2:$M$1199,MATCH(773,'Transfer Engine'!$C$2:$C$1199,0)))</f>
        <v/>
      </c>
      <c r="N782" s="7" t="str">
        <f>IF(ISNA(MATCH(773,'Transfer Engine'!$C$2:$C$1199,0)),"",INDEX('Compliance Database'!$N$2:$N$1199,MATCH(773,'Transfer Engine'!$C$2:$C$1199,0)))</f>
        <v/>
      </c>
      <c r="O782" s="7" t="str">
        <f>IF(ISNA(MATCH(773,'Transfer Engine'!$C$2:$C$1199,0)),"",INDEX('Compliance Database'!$O$2:$O$1199,MATCH(773,'Transfer Engine'!$C$2:$C$1199,0)))</f>
        <v/>
      </c>
      <c r="P782" s="6" t="str">
        <f>IF(ISNA(MATCH(773,'Transfer Engine'!$C$2:$C$1199,0)),"",HYPERLINK("#Acts!A"&amp;INDEX('Compliance Database'!$P$2:$P$1199,MATCH(773,'Transfer Engine'!$C$2:$C$1199,0)),"Go to Act"))</f>
        <v/>
      </c>
    </row>
    <row r="783" spans="1:16" ht="172.95" customHeight="1" x14ac:dyDescent="0.3">
      <c r="A783" s="6" t="str">
        <f>IF(ISNA(MATCH(774,'Transfer Engine'!$C$2:$C$1199,0)),"",INDEX('Compliance Database'!$A$2:$A$1199,MATCH(774,'Transfer Engine'!$C$2:$C$1199,0)))</f>
        <v/>
      </c>
      <c r="B783" s="6" t="str">
        <f>IF(ISNA(MATCH(774,'Transfer Engine'!$C$2:$C$1199,0)),"",INDEX('Compliance Database'!$B$2:$B$1199,MATCH(774,'Transfer Engine'!$C$2:$C$1199,0)))</f>
        <v/>
      </c>
      <c r="C783" s="6" t="str">
        <f>IF(ISNA(MATCH(774,'Transfer Engine'!$C$2:$C$1199,0)),"",INDEX('Compliance Database'!$C$2:$C$1199,MATCH(774,'Transfer Engine'!$C$2:$C$1199,0)))</f>
        <v/>
      </c>
      <c r="D783" s="7" t="str">
        <f>IF(ISNA(MATCH(774,'Transfer Engine'!$C$2:$C$1199,0)),"",INDEX('Compliance Database'!$D$2:$D$1199,MATCH(774,'Transfer Engine'!$C$2:$C$1199,0)))</f>
        <v/>
      </c>
      <c r="E783" s="6" t="str">
        <f>IF(ISNA(MATCH(774,'Transfer Engine'!$C$2:$C$1199,0)),"",INDEX('Compliance Database'!$E$2:$E$1199,MATCH(774,'Transfer Engine'!$C$2:$C$1199,0)))</f>
        <v/>
      </c>
      <c r="F783" s="6" t="str">
        <f>IF(ISNA(MATCH(774,'Transfer Engine'!$C$2:$C$1199,0)),"",INDEX('Compliance Database'!$F$2:$F$1199,MATCH(774,'Transfer Engine'!$C$2:$C$1199,0)))</f>
        <v/>
      </c>
      <c r="G783" s="6" t="str">
        <f>IF(ISNA(MATCH(774,'Transfer Engine'!$C$2:$C$1199,0)),"",INDEX('Compliance Database'!$G$2:$G$1199,MATCH(774,'Transfer Engine'!$C$2:$C$1199,0)))</f>
        <v/>
      </c>
      <c r="H783" s="7" t="str">
        <f>IF(ISNA(MATCH(774,'Transfer Engine'!$C$2:$C$1199,0)),"",INDEX('Compliance Database'!$H$2:$H$1199,MATCH(774,'Transfer Engine'!$C$2:$C$1199,0)))</f>
        <v/>
      </c>
      <c r="I783" s="7" t="str">
        <f>IF(ISNA(MATCH(774,'Transfer Engine'!$C$2:$C$1199,0)),"",INDEX('Compliance Database'!$I$2:$I$1199,MATCH(774,'Transfer Engine'!$C$2:$C$1199,0)))</f>
        <v/>
      </c>
      <c r="J783" s="6" t="str">
        <f>IF(ISNA(MATCH(774,'Transfer Engine'!$C$2:$C$1199,0)),"",INDEX('Compliance Database'!$J$2:$J$1199,MATCH(774,'Transfer Engine'!$C$2:$C$1199,0)))</f>
        <v/>
      </c>
      <c r="K783" s="7" t="str">
        <f>IF(ISNA(MATCH(774,'Transfer Engine'!$C$2:$C$1199,0)),"",INDEX('Compliance Database'!$K$2:$K$1199,MATCH(774,'Transfer Engine'!$C$2:$C$1199,0)))</f>
        <v/>
      </c>
      <c r="L783" s="7" t="str">
        <f>IF(ISNA(MATCH(774,'Transfer Engine'!$C$2:$C$1199,0)),"",INDEX('Compliance Database'!$L$2:$L$1199,MATCH(774,'Transfer Engine'!$C$2:$C$1199,0)))</f>
        <v/>
      </c>
      <c r="M783" s="7" t="str">
        <f>IF(ISNA(MATCH(774,'Transfer Engine'!$C$2:$C$1199,0)),"",INDEX('Compliance Database'!$M$2:$M$1199,MATCH(774,'Transfer Engine'!$C$2:$C$1199,0)))</f>
        <v/>
      </c>
      <c r="N783" s="7" t="str">
        <f>IF(ISNA(MATCH(774,'Transfer Engine'!$C$2:$C$1199,0)),"",INDEX('Compliance Database'!$N$2:$N$1199,MATCH(774,'Transfer Engine'!$C$2:$C$1199,0)))</f>
        <v/>
      </c>
      <c r="O783" s="7" t="str">
        <f>IF(ISNA(MATCH(774,'Transfer Engine'!$C$2:$C$1199,0)),"",INDEX('Compliance Database'!$O$2:$O$1199,MATCH(774,'Transfer Engine'!$C$2:$C$1199,0)))</f>
        <v/>
      </c>
      <c r="P783" s="6" t="str">
        <f>IF(ISNA(MATCH(774,'Transfer Engine'!$C$2:$C$1199,0)),"",HYPERLINK("#Acts!A"&amp;INDEX('Compliance Database'!$P$2:$P$1199,MATCH(774,'Transfer Engine'!$C$2:$C$1199,0)),"Go to Act"))</f>
        <v/>
      </c>
    </row>
    <row r="784" spans="1:16" ht="172.95" customHeight="1" x14ac:dyDescent="0.3">
      <c r="A784" s="6" t="str">
        <f>IF(ISNA(MATCH(775,'Transfer Engine'!$C$2:$C$1199,0)),"",INDEX('Compliance Database'!$A$2:$A$1199,MATCH(775,'Transfer Engine'!$C$2:$C$1199,0)))</f>
        <v/>
      </c>
      <c r="B784" s="6" t="str">
        <f>IF(ISNA(MATCH(775,'Transfer Engine'!$C$2:$C$1199,0)),"",INDEX('Compliance Database'!$B$2:$B$1199,MATCH(775,'Transfer Engine'!$C$2:$C$1199,0)))</f>
        <v/>
      </c>
      <c r="C784" s="6" t="str">
        <f>IF(ISNA(MATCH(775,'Transfer Engine'!$C$2:$C$1199,0)),"",INDEX('Compliance Database'!$C$2:$C$1199,MATCH(775,'Transfer Engine'!$C$2:$C$1199,0)))</f>
        <v/>
      </c>
      <c r="D784" s="7" t="str">
        <f>IF(ISNA(MATCH(775,'Transfer Engine'!$C$2:$C$1199,0)),"",INDEX('Compliance Database'!$D$2:$D$1199,MATCH(775,'Transfer Engine'!$C$2:$C$1199,0)))</f>
        <v/>
      </c>
      <c r="E784" s="6" t="str">
        <f>IF(ISNA(MATCH(775,'Transfer Engine'!$C$2:$C$1199,0)),"",INDEX('Compliance Database'!$E$2:$E$1199,MATCH(775,'Transfer Engine'!$C$2:$C$1199,0)))</f>
        <v/>
      </c>
      <c r="F784" s="6" t="str">
        <f>IF(ISNA(MATCH(775,'Transfer Engine'!$C$2:$C$1199,0)),"",INDEX('Compliance Database'!$F$2:$F$1199,MATCH(775,'Transfer Engine'!$C$2:$C$1199,0)))</f>
        <v/>
      </c>
      <c r="G784" s="6" t="str">
        <f>IF(ISNA(MATCH(775,'Transfer Engine'!$C$2:$C$1199,0)),"",INDEX('Compliance Database'!$G$2:$G$1199,MATCH(775,'Transfer Engine'!$C$2:$C$1199,0)))</f>
        <v/>
      </c>
      <c r="H784" s="7" t="str">
        <f>IF(ISNA(MATCH(775,'Transfer Engine'!$C$2:$C$1199,0)),"",INDEX('Compliance Database'!$H$2:$H$1199,MATCH(775,'Transfer Engine'!$C$2:$C$1199,0)))</f>
        <v/>
      </c>
      <c r="I784" s="7" t="str">
        <f>IF(ISNA(MATCH(775,'Transfer Engine'!$C$2:$C$1199,0)),"",INDEX('Compliance Database'!$I$2:$I$1199,MATCH(775,'Transfer Engine'!$C$2:$C$1199,0)))</f>
        <v/>
      </c>
      <c r="J784" s="6" t="str">
        <f>IF(ISNA(MATCH(775,'Transfer Engine'!$C$2:$C$1199,0)),"",INDEX('Compliance Database'!$J$2:$J$1199,MATCH(775,'Transfer Engine'!$C$2:$C$1199,0)))</f>
        <v/>
      </c>
      <c r="K784" s="7" t="str">
        <f>IF(ISNA(MATCH(775,'Transfer Engine'!$C$2:$C$1199,0)),"",INDEX('Compliance Database'!$K$2:$K$1199,MATCH(775,'Transfer Engine'!$C$2:$C$1199,0)))</f>
        <v/>
      </c>
      <c r="L784" s="7" t="str">
        <f>IF(ISNA(MATCH(775,'Transfer Engine'!$C$2:$C$1199,0)),"",INDEX('Compliance Database'!$L$2:$L$1199,MATCH(775,'Transfer Engine'!$C$2:$C$1199,0)))</f>
        <v/>
      </c>
      <c r="M784" s="7" t="str">
        <f>IF(ISNA(MATCH(775,'Transfer Engine'!$C$2:$C$1199,0)),"",INDEX('Compliance Database'!$M$2:$M$1199,MATCH(775,'Transfer Engine'!$C$2:$C$1199,0)))</f>
        <v/>
      </c>
      <c r="N784" s="7" t="str">
        <f>IF(ISNA(MATCH(775,'Transfer Engine'!$C$2:$C$1199,0)),"",INDEX('Compliance Database'!$N$2:$N$1199,MATCH(775,'Transfer Engine'!$C$2:$C$1199,0)))</f>
        <v/>
      </c>
      <c r="O784" s="7" t="str">
        <f>IF(ISNA(MATCH(775,'Transfer Engine'!$C$2:$C$1199,0)),"",INDEX('Compliance Database'!$O$2:$O$1199,MATCH(775,'Transfer Engine'!$C$2:$C$1199,0)))</f>
        <v/>
      </c>
      <c r="P784" s="6" t="str">
        <f>IF(ISNA(MATCH(775,'Transfer Engine'!$C$2:$C$1199,0)),"",HYPERLINK("#Acts!A"&amp;INDEX('Compliance Database'!$P$2:$P$1199,MATCH(775,'Transfer Engine'!$C$2:$C$1199,0)),"Go to Act"))</f>
        <v/>
      </c>
    </row>
    <row r="785" spans="1:16" ht="172.95" customHeight="1" x14ac:dyDescent="0.3">
      <c r="A785" s="6" t="str">
        <f>IF(ISNA(MATCH(776,'Transfer Engine'!$C$2:$C$1199,0)),"",INDEX('Compliance Database'!$A$2:$A$1199,MATCH(776,'Transfer Engine'!$C$2:$C$1199,0)))</f>
        <v/>
      </c>
      <c r="B785" s="6" t="str">
        <f>IF(ISNA(MATCH(776,'Transfer Engine'!$C$2:$C$1199,0)),"",INDEX('Compliance Database'!$B$2:$B$1199,MATCH(776,'Transfer Engine'!$C$2:$C$1199,0)))</f>
        <v/>
      </c>
      <c r="C785" s="6" t="str">
        <f>IF(ISNA(MATCH(776,'Transfer Engine'!$C$2:$C$1199,0)),"",INDEX('Compliance Database'!$C$2:$C$1199,MATCH(776,'Transfer Engine'!$C$2:$C$1199,0)))</f>
        <v/>
      </c>
      <c r="D785" s="7" t="str">
        <f>IF(ISNA(MATCH(776,'Transfer Engine'!$C$2:$C$1199,0)),"",INDEX('Compliance Database'!$D$2:$D$1199,MATCH(776,'Transfer Engine'!$C$2:$C$1199,0)))</f>
        <v/>
      </c>
      <c r="E785" s="6" t="str">
        <f>IF(ISNA(MATCH(776,'Transfer Engine'!$C$2:$C$1199,0)),"",INDEX('Compliance Database'!$E$2:$E$1199,MATCH(776,'Transfer Engine'!$C$2:$C$1199,0)))</f>
        <v/>
      </c>
      <c r="F785" s="6" t="str">
        <f>IF(ISNA(MATCH(776,'Transfer Engine'!$C$2:$C$1199,0)),"",INDEX('Compliance Database'!$F$2:$F$1199,MATCH(776,'Transfer Engine'!$C$2:$C$1199,0)))</f>
        <v/>
      </c>
      <c r="G785" s="6" t="str">
        <f>IF(ISNA(MATCH(776,'Transfer Engine'!$C$2:$C$1199,0)),"",INDEX('Compliance Database'!$G$2:$G$1199,MATCH(776,'Transfer Engine'!$C$2:$C$1199,0)))</f>
        <v/>
      </c>
      <c r="H785" s="7" t="str">
        <f>IF(ISNA(MATCH(776,'Transfer Engine'!$C$2:$C$1199,0)),"",INDEX('Compliance Database'!$H$2:$H$1199,MATCH(776,'Transfer Engine'!$C$2:$C$1199,0)))</f>
        <v/>
      </c>
      <c r="I785" s="7" t="str">
        <f>IF(ISNA(MATCH(776,'Transfer Engine'!$C$2:$C$1199,0)),"",INDEX('Compliance Database'!$I$2:$I$1199,MATCH(776,'Transfer Engine'!$C$2:$C$1199,0)))</f>
        <v/>
      </c>
      <c r="J785" s="6" t="str">
        <f>IF(ISNA(MATCH(776,'Transfer Engine'!$C$2:$C$1199,0)),"",INDEX('Compliance Database'!$J$2:$J$1199,MATCH(776,'Transfer Engine'!$C$2:$C$1199,0)))</f>
        <v/>
      </c>
      <c r="K785" s="7" t="str">
        <f>IF(ISNA(MATCH(776,'Transfer Engine'!$C$2:$C$1199,0)),"",INDEX('Compliance Database'!$K$2:$K$1199,MATCH(776,'Transfer Engine'!$C$2:$C$1199,0)))</f>
        <v/>
      </c>
      <c r="L785" s="7" t="str">
        <f>IF(ISNA(MATCH(776,'Transfer Engine'!$C$2:$C$1199,0)),"",INDEX('Compliance Database'!$L$2:$L$1199,MATCH(776,'Transfer Engine'!$C$2:$C$1199,0)))</f>
        <v/>
      </c>
      <c r="M785" s="7" t="str">
        <f>IF(ISNA(MATCH(776,'Transfer Engine'!$C$2:$C$1199,0)),"",INDEX('Compliance Database'!$M$2:$M$1199,MATCH(776,'Transfer Engine'!$C$2:$C$1199,0)))</f>
        <v/>
      </c>
      <c r="N785" s="7" t="str">
        <f>IF(ISNA(MATCH(776,'Transfer Engine'!$C$2:$C$1199,0)),"",INDEX('Compliance Database'!$N$2:$N$1199,MATCH(776,'Transfer Engine'!$C$2:$C$1199,0)))</f>
        <v/>
      </c>
      <c r="O785" s="7" t="str">
        <f>IF(ISNA(MATCH(776,'Transfer Engine'!$C$2:$C$1199,0)),"",INDEX('Compliance Database'!$O$2:$O$1199,MATCH(776,'Transfer Engine'!$C$2:$C$1199,0)))</f>
        <v/>
      </c>
      <c r="P785" s="6" t="str">
        <f>IF(ISNA(MATCH(776,'Transfer Engine'!$C$2:$C$1199,0)),"",HYPERLINK("#Acts!A"&amp;INDEX('Compliance Database'!$P$2:$P$1199,MATCH(776,'Transfer Engine'!$C$2:$C$1199,0)),"Go to Act"))</f>
        <v/>
      </c>
    </row>
    <row r="786" spans="1:16" ht="172.95" customHeight="1" x14ac:dyDescent="0.3">
      <c r="A786" s="6" t="str">
        <f>IF(ISNA(MATCH(777,'Transfer Engine'!$C$2:$C$1199,0)),"",INDEX('Compliance Database'!$A$2:$A$1199,MATCH(777,'Transfer Engine'!$C$2:$C$1199,0)))</f>
        <v/>
      </c>
      <c r="B786" s="6" t="str">
        <f>IF(ISNA(MATCH(777,'Transfer Engine'!$C$2:$C$1199,0)),"",INDEX('Compliance Database'!$B$2:$B$1199,MATCH(777,'Transfer Engine'!$C$2:$C$1199,0)))</f>
        <v/>
      </c>
      <c r="C786" s="6" t="str">
        <f>IF(ISNA(MATCH(777,'Transfer Engine'!$C$2:$C$1199,0)),"",INDEX('Compliance Database'!$C$2:$C$1199,MATCH(777,'Transfer Engine'!$C$2:$C$1199,0)))</f>
        <v/>
      </c>
      <c r="D786" s="7" t="str">
        <f>IF(ISNA(MATCH(777,'Transfer Engine'!$C$2:$C$1199,0)),"",INDEX('Compliance Database'!$D$2:$D$1199,MATCH(777,'Transfer Engine'!$C$2:$C$1199,0)))</f>
        <v/>
      </c>
      <c r="E786" s="6" t="str">
        <f>IF(ISNA(MATCH(777,'Transfer Engine'!$C$2:$C$1199,0)),"",INDEX('Compliance Database'!$E$2:$E$1199,MATCH(777,'Transfer Engine'!$C$2:$C$1199,0)))</f>
        <v/>
      </c>
      <c r="F786" s="6" t="str">
        <f>IF(ISNA(MATCH(777,'Transfer Engine'!$C$2:$C$1199,0)),"",INDEX('Compliance Database'!$F$2:$F$1199,MATCH(777,'Transfer Engine'!$C$2:$C$1199,0)))</f>
        <v/>
      </c>
      <c r="G786" s="6" t="str">
        <f>IF(ISNA(MATCH(777,'Transfer Engine'!$C$2:$C$1199,0)),"",INDEX('Compliance Database'!$G$2:$G$1199,MATCH(777,'Transfer Engine'!$C$2:$C$1199,0)))</f>
        <v/>
      </c>
      <c r="H786" s="7" t="str">
        <f>IF(ISNA(MATCH(777,'Transfer Engine'!$C$2:$C$1199,0)),"",INDEX('Compliance Database'!$H$2:$H$1199,MATCH(777,'Transfer Engine'!$C$2:$C$1199,0)))</f>
        <v/>
      </c>
      <c r="I786" s="7" t="str">
        <f>IF(ISNA(MATCH(777,'Transfer Engine'!$C$2:$C$1199,0)),"",INDEX('Compliance Database'!$I$2:$I$1199,MATCH(777,'Transfer Engine'!$C$2:$C$1199,0)))</f>
        <v/>
      </c>
      <c r="J786" s="6" t="str">
        <f>IF(ISNA(MATCH(777,'Transfer Engine'!$C$2:$C$1199,0)),"",INDEX('Compliance Database'!$J$2:$J$1199,MATCH(777,'Transfer Engine'!$C$2:$C$1199,0)))</f>
        <v/>
      </c>
      <c r="K786" s="7" t="str">
        <f>IF(ISNA(MATCH(777,'Transfer Engine'!$C$2:$C$1199,0)),"",INDEX('Compliance Database'!$K$2:$K$1199,MATCH(777,'Transfer Engine'!$C$2:$C$1199,0)))</f>
        <v/>
      </c>
      <c r="L786" s="7" t="str">
        <f>IF(ISNA(MATCH(777,'Transfer Engine'!$C$2:$C$1199,0)),"",INDEX('Compliance Database'!$L$2:$L$1199,MATCH(777,'Transfer Engine'!$C$2:$C$1199,0)))</f>
        <v/>
      </c>
      <c r="M786" s="7" t="str">
        <f>IF(ISNA(MATCH(777,'Transfer Engine'!$C$2:$C$1199,0)),"",INDEX('Compliance Database'!$M$2:$M$1199,MATCH(777,'Transfer Engine'!$C$2:$C$1199,0)))</f>
        <v/>
      </c>
      <c r="N786" s="7" t="str">
        <f>IF(ISNA(MATCH(777,'Transfer Engine'!$C$2:$C$1199,0)),"",INDEX('Compliance Database'!$N$2:$N$1199,MATCH(777,'Transfer Engine'!$C$2:$C$1199,0)))</f>
        <v/>
      </c>
      <c r="O786" s="7" t="str">
        <f>IF(ISNA(MATCH(777,'Transfer Engine'!$C$2:$C$1199,0)),"",INDEX('Compliance Database'!$O$2:$O$1199,MATCH(777,'Transfer Engine'!$C$2:$C$1199,0)))</f>
        <v/>
      </c>
      <c r="P786" s="6" t="str">
        <f>IF(ISNA(MATCH(777,'Transfer Engine'!$C$2:$C$1199,0)),"",HYPERLINK("#Acts!A"&amp;INDEX('Compliance Database'!$P$2:$P$1199,MATCH(777,'Transfer Engine'!$C$2:$C$1199,0)),"Go to Act"))</f>
        <v/>
      </c>
    </row>
    <row r="787" spans="1:16" ht="172.95" customHeight="1" x14ac:dyDescent="0.3">
      <c r="A787" s="6" t="str">
        <f>IF(ISNA(MATCH(778,'Transfer Engine'!$C$2:$C$1199,0)),"",INDEX('Compliance Database'!$A$2:$A$1199,MATCH(778,'Transfer Engine'!$C$2:$C$1199,0)))</f>
        <v/>
      </c>
      <c r="B787" s="6" t="str">
        <f>IF(ISNA(MATCH(778,'Transfer Engine'!$C$2:$C$1199,0)),"",INDEX('Compliance Database'!$B$2:$B$1199,MATCH(778,'Transfer Engine'!$C$2:$C$1199,0)))</f>
        <v/>
      </c>
      <c r="C787" s="6" t="str">
        <f>IF(ISNA(MATCH(778,'Transfer Engine'!$C$2:$C$1199,0)),"",INDEX('Compliance Database'!$C$2:$C$1199,MATCH(778,'Transfer Engine'!$C$2:$C$1199,0)))</f>
        <v/>
      </c>
      <c r="D787" s="7" t="str">
        <f>IF(ISNA(MATCH(778,'Transfer Engine'!$C$2:$C$1199,0)),"",INDEX('Compliance Database'!$D$2:$D$1199,MATCH(778,'Transfer Engine'!$C$2:$C$1199,0)))</f>
        <v/>
      </c>
      <c r="E787" s="6" t="str">
        <f>IF(ISNA(MATCH(778,'Transfer Engine'!$C$2:$C$1199,0)),"",INDEX('Compliance Database'!$E$2:$E$1199,MATCH(778,'Transfer Engine'!$C$2:$C$1199,0)))</f>
        <v/>
      </c>
      <c r="F787" s="6" t="str">
        <f>IF(ISNA(MATCH(778,'Transfer Engine'!$C$2:$C$1199,0)),"",INDEX('Compliance Database'!$F$2:$F$1199,MATCH(778,'Transfer Engine'!$C$2:$C$1199,0)))</f>
        <v/>
      </c>
      <c r="G787" s="6" t="str">
        <f>IF(ISNA(MATCH(778,'Transfer Engine'!$C$2:$C$1199,0)),"",INDEX('Compliance Database'!$G$2:$G$1199,MATCH(778,'Transfer Engine'!$C$2:$C$1199,0)))</f>
        <v/>
      </c>
      <c r="H787" s="7" t="str">
        <f>IF(ISNA(MATCH(778,'Transfer Engine'!$C$2:$C$1199,0)),"",INDEX('Compliance Database'!$H$2:$H$1199,MATCH(778,'Transfer Engine'!$C$2:$C$1199,0)))</f>
        <v/>
      </c>
      <c r="I787" s="7" t="str">
        <f>IF(ISNA(MATCH(778,'Transfer Engine'!$C$2:$C$1199,0)),"",INDEX('Compliance Database'!$I$2:$I$1199,MATCH(778,'Transfer Engine'!$C$2:$C$1199,0)))</f>
        <v/>
      </c>
      <c r="J787" s="6" t="str">
        <f>IF(ISNA(MATCH(778,'Transfer Engine'!$C$2:$C$1199,0)),"",INDEX('Compliance Database'!$J$2:$J$1199,MATCH(778,'Transfer Engine'!$C$2:$C$1199,0)))</f>
        <v/>
      </c>
      <c r="K787" s="7" t="str">
        <f>IF(ISNA(MATCH(778,'Transfer Engine'!$C$2:$C$1199,0)),"",INDEX('Compliance Database'!$K$2:$K$1199,MATCH(778,'Transfer Engine'!$C$2:$C$1199,0)))</f>
        <v/>
      </c>
      <c r="L787" s="7" t="str">
        <f>IF(ISNA(MATCH(778,'Transfer Engine'!$C$2:$C$1199,0)),"",INDEX('Compliance Database'!$L$2:$L$1199,MATCH(778,'Transfer Engine'!$C$2:$C$1199,0)))</f>
        <v/>
      </c>
      <c r="M787" s="7" t="str">
        <f>IF(ISNA(MATCH(778,'Transfer Engine'!$C$2:$C$1199,0)),"",INDEX('Compliance Database'!$M$2:$M$1199,MATCH(778,'Transfer Engine'!$C$2:$C$1199,0)))</f>
        <v/>
      </c>
      <c r="N787" s="7" t="str">
        <f>IF(ISNA(MATCH(778,'Transfer Engine'!$C$2:$C$1199,0)),"",INDEX('Compliance Database'!$N$2:$N$1199,MATCH(778,'Transfer Engine'!$C$2:$C$1199,0)))</f>
        <v/>
      </c>
      <c r="O787" s="7" t="str">
        <f>IF(ISNA(MATCH(778,'Transfer Engine'!$C$2:$C$1199,0)),"",INDEX('Compliance Database'!$O$2:$O$1199,MATCH(778,'Transfer Engine'!$C$2:$C$1199,0)))</f>
        <v/>
      </c>
      <c r="P787" s="6" t="str">
        <f>IF(ISNA(MATCH(778,'Transfer Engine'!$C$2:$C$1199,0)),"",HYPERLINK("#Acts!A"&amp;INDEX('Compliance Database'!$P$2:$P$1199,MATCH(778,'Transfer Engine'!$C$2:$C$1199,0)),"Go to Act"))</f>
        <v/>
      </c>
    </row>
    <row r="788" spans="1:16" ht="172.95" customHeight="1" x14ac:dyDescent="0.3">
      <c r="A788" s="6" t="str">
        <f>IF(ISNA(MATCH(779,'Transfer Engine'!$C$2:$C$1199,0)),"",INDEX('Compliance Database'!$A$2:$A$1199,MATCH(779,'Transfer Engine'!$C$2:$C$1199,0)))</f>
        <v/>
      </c>
      <c r="B788" s="6" t="str">
        <f>IF(ISNA(MATCH(779,'Transfer Engine'!$C$2:$C$1199,0)),"",INDEX('Compliance Database'!$B$2:$B$1199,MATCH(779,'Transfer Engine'!$C$2:$C$1199,0)))</f>
        <v/>
      </c>
      <c r="C788" s="6" t="str">
        <f>IF(ISNA(MATCH(779,'Transfer Engine'!$C$2:$C$1199,0)),"",INDEX('Compliance Database'!$C$2:$C$1199,MATCH(779,'Transfer Engine'!$C$2:$C$1199,0)))</f>
        <v/>
      </c>
      <c r="D788" s="7" t="str">
        <f>IF(ISNA(MATCH(779,'Transfer Engine'!$C$2:$C$1199,0)),"",INDEX('Compliance Database'!$D$2:$D$1199,MATCH(779,'Transfer Engine'!$C$2:$C$1199,0)))</f>
        <v/>
      </c>
      <c r="E788" s="6" t="str">
        <f>IF(ISNA(MATCH(779,'Transfer Engine'!$C$2:$C$1199,0)),"",INDEX('Compliance Database'!$E$2:$E$1199,MATCH(779,'Transfer Engine'!$C$2:$C$1199,0)))</f>
        <v/>
      </c>
      <c r="F788" s="6" t="str">
        <f>IF(ISNA(MATCH(779,'Transfer Engine'!$C$2:$C$1199,0)),"",INDEX('Compliance Database'!$F$2:$F$1199,MATCH(779,'Transfer Engine'!$C$2:$C$1199,0)))</f>
        <v/>
      </c>
      <c r="G788" s="6" t="str">
        <f>IF(ISNA(MATCH(779,'Transfer Engine'!$C$2:$C$1199,0)),"",INDEX('Compliance Database'!$G$2:$G$1199,MATCH(779,'Transfer Engine'!$C$2:$C$1199,0)))</f>
        <v/>
      </c>
      <c r="H788" s="7" t="str">
        <f>IF(ISNA(MATCH(779,'Transfer Engine'!$C$2:$C$1199,0)),"",INDEX('Compliance Database'!$H$2:$H$1199,MATCH(779,'Transfer Engine'!$C$2:$C$1199,0)))</f>
        <v/>
      </c>
      <c r="I788" s="7" t="str">
        <f>IF(ISNA(MATCH(779,'Transfer Engine'!$C$2:$C$1199,0)),"",INDEX('Compliance Database'!$I$2:$I$1199,MATCH(779,'Transfer Engine'!$C$2:$C$1199,0)))</f>
        <v/>
      </c>
      <c r="J788" s="6" t="str">
        <f>IF(ISNA(MATCH(779,'Transfer Engine'!$C$2:$C$1199,0)),"",INDEX('Compliance Database'!$J$2:$J$1199,MATCH(779,'Transfer Engine'!$C$2:$C$1199,0)))</f>
        <v/>
      </c>
      <c r="K788" s="7" t="str">
        <f>IF(ISNA(MATCH(779,'Transfer Engine'!$C$2:$C$1199,0)),"",INDEX('Compliance Database'!$K$2:$K$1199,MATCH(779,'Transfer Engine'!$C$2:$C$1199,0)))</f>
        <v/>
      </c>
      <c r="L788" s="7" t="str">
        <f>IF(ISNA(MATCH(779,'Transfer Engine'!$C$2:$C$1199,0)),"",INDEX('Compliance Database'!$L$2:$L$1199,MATCH(779,'Transfer Engine'!$C$2:$C$1199,0)))</f>
        <v/>
      </c>
      <c r="M788" s="7" t="str">
        <f>IF(ISNA(MATCH(779,'Transfer Engine'!$C$2:$C$1199,0)),"",INDEX('Compliance Database'!$M$2:$M$1199,MATCH(779,'Transfer Engine'!$C$2:$C$1199,0)))</f>
        <v/>
      </c>
      <c r="N788" s="7" t="str">
        <f>IF(ISNA(MATCH(779,'Transfer Engine'!$C$2:$C$1199,0)),"",INDEX('Compliance Database'!$N$2:$N$1199,MATCH(779,'Transfer Engine'!$C$2:$C$1199,0)))</f>
        <v/>
      </c>
      <c r="O788" s="7" t="str">
        <f>IF(ISNA(MATCH(779,'Transfer Engine'!$C$2:$C$1199,0)),"",INDEX('Compliance Database'!$O$2:$O$1199,MATCH(779,'Transfer Engine'!$C$2:$C$1199,0)))</f>
        <v/>
      </c>
      <c r="P788" s="6" t="str">
        <f>IF(ISNA(MATCH(779,'Transfer Engine'!$C$2:$C$1199,0)),"",HYPERLINK("#Acts!A"&amp;INDEX('Compliance Database'!$P$2:$P$1199,MATCH(779,'Transfer Engine'!$C$2:$C$1199,0)),"Go to Act"))</f>
        <v/>
      </c>
    </row>
    <row r="789" spans="1:16" ht="172.95" customHeight="1" x14ac:dyDescent="0.3">
      <c r="A789" s="6" t="str">
        <f>IF(ISNA(MATCH(780,'Transfer Engine'!$C$2:$C$1199,0)),"",INDEX('Compliance Database'!$A$2:$A$1199,MATCH(780,'Transfer Engine'!$C$2:$C$1199,0)))</f>
        <v/>
      </c>
      <c r="B789" s="6" t="str">
        <f>IF(ISNA(MATCH(780,'Transfer Engine'!$C$2:$C$1199,0)),"",INDEX('Compliance Database'!$B$2:$B$1199,MATCH(780,'Transfer Engine'!$C$2:$C$1199,0)))</f>
        <v/>
      </c>
      <c r="C789" s="6" t="str">
        <f>IF(ISNA(MATCH(780,'Transfer Engine'!$C$2:$C$1199,0)),"",INDEX('Compliance Database'!$C$2:$C$1199,MATCH(780,'Transfer Engine'!$C$2:$C$1199,0)))</f>
        <v/>
      </c>
      <c r="D789" s="7" t="str">
        <f>IF(ISNA(MATCH(780,'Transfer Engine'!$C$2:$C$1199,0)),"",INDEX('Compliance Database'!$D$2:$D$1199,MATCH(780,'Transfer Engine'!$C$2:$C$1199,0)))</f>
        <v/>
      </c>
      <c r="E789" s="6" t="str">
        <f>IF(ISNA(MATCH(780,'Transfer Engine'!$C$2:$C$1199,0)),"",INDEX('Compliance Database'!$E$2:$E$1199,MATCH(780,'Transfer Engine'!$C$2:$C$1199,0)))</f>
        <v/>
      </c>
      <c r="F789" s="6" t="str">
        <f>IF(ISNA(MATCH(780,'Transfer Engine'!$C$2:$C$1199,0)),"",INDEX('Compliance Database'!$F$2:$F$1199,MATCH(780,'Transfer Engine'!$C$2:$C$1199,0)))</f>
        <v/>
      </c>
      <c r="G789" s="6" t="str">
        <f>IF(ISNA(MATCH(780,'Transfer Engine'!$C$2:$C$1199,0)),"",INDEX('Compliance Database'!$G$2:$G$1199,MATCH(780,'Transfer Engine'!$C$2:$C$1199,0)))</f>
        <v/>
      </c>
      <c r="H789" s="7" t="str">
        <f>IF(ISNA(MATCH(780,'Transfer Engine'!$C$2:$C$1199,0)),"",INDEX('Compliance Database'!$H$2:$H$1199,MATCH(780,'Transfer Engine'!$C$2:$C$1199,0)))</f>
        <v/>
      </c>
      <c r="I789" s="7" t="str">
        <f>IF(ISNA(MATCH(780,'Transfer Engine'!$C$2:$C$1199,0)),"",INDEX('Compliance Database'!$I$2:$I$1199,MATCH(780,'Transfer Engine'!$C$2:$C$1199,0)))</f>
        <v/>
      </c>
      <c r="J789" s="6" t="str">
        <f>IF(ISNA(MATCH(780,'Transfer Engine'!$C$2:$C$1199,0)),"",INDEX('Compliance Database'!$J$2:$J$1199,MATCH(780,'Transfer Engine'!$C$2:$C$1199,0)))</f>
        <v/>
      </c>
      <c r="K789" s="7" t="str">
        <f>IF(ISNA(MATCH(780,'Transfer Engine'!$C$2:$C$1199,0)),"",INDEX('Compliance Database'!$K$2:$K$1199,MATCH(780,'Transfer Engine'!$C$2:$C$1199,0)))</f>
        <v/>
      </c>
      <c r="L789" s="7" t="str">
        <f>IF(ISNA(MATCH(780,'Transfer Engine'!$C$2:$C$1199,0)),"",INDEX('Compliance Database'!$L$2:$L$1199,MATCH(780,'Transfer Engine'!$C$2:$C$1199,0)))</f>
        <v/>
      </c>
      <c r="M789" s="7" t="str">
        <f>IF(ISNA(MATCH(780,'Transfer Engine'!$C$2:$C$1199,0)),"",INDEX('Compliance Database'!$M$2:$M$1199,MATCH(780,'Transfer Engine'!$C$2:$C$1199,0)))</f>
        <v/>
      </c>
      <c r="N789" s="7" t="str">
        <f>IF(ISNA(MATCH(780,'Transfer Engine'!$C$2:$C$1199,0)),"",INDEX('Compliance Database'!$N$2:$N$1199,MATCH(780,'Transfer Engine'!$C$2:$C$1199,0)))</f>
        <v/>
      </c>
      <c r="O789" s="7" t="str">
        <f>IF(ISNA(MATCH(780,'Transfer Engine'!$C$2:$C$1199,0)),"",INDEX('Compliance Database'!$O$2:$O$1199,MATCH(780,'Transfer Engine'!$C$2:$C$1199,0)))</f>
        <v/>
      </c>
      <c r="P789" s="6" t="str">
        <f>IF(ISNA(MATCH(780,'Transfer Engine'!$C$2:$C$1199,0)),"",HYPERLINK("#Acts!A"&amp;INDEX('Compliance Database'!$P$2:$P$1199,MATCH(780,'Transfer Engine'!$C$2:$C$1199,0)),"Go to Act"))</f>
        <v/>
      </c>
    </row>
    <row r="790" spans="1:16" ht="172.95" customHeight="1" x14ac:dyDescent="0.3">
      <c r="A790" s="6" t="str">
        <f>IF(ISNA(MATCH(781,'Transfer Engine'!$C$2:$C$1199,0)),"",INDEX('Compliance Database'!$A$2:$A$1199,MATCH(781,'Transfer Engine'!$C$2:$C$1199,0)))</f>
        <v/>
      </c>
      <c r="B790" s="6" t="str">
        <f>IF(ISNA(MATCH(781,'Transfer Engine'!$C$2:$C$1199,0)),"",INDEX('Compliance Database'!$B$2:$B$1199,MATCH(781,'Transfer Engine'!$C$2:$C$1199,0)))</f>
        <v/>
      </c>
      <c r="C790" s="6" t="str">
        <f>IF(ISNA(MATCH(781,'Transfer Engine'!$C$2:$C$1199,0)),"",INDEX('Compliance Database'!$C$2:$C$1199,MATCH(781,'Transfer Engine'!$C$2:$C$1199,0)))</f>
        <v/>
      </c>
      <c r="D790" s="7" t="str">
        <f>IF(ISNA(MATCH(781,'Transfer Engine'!$C$2:$C$1199,0)),"",INDEX('Compliance Database'!$D$2:$D$1199,MATCH(781,'Transfer Engine'!$C$2:$C$1199,0)))</f>
        <v/>
      </c>
      <c r="E790" s="6" t="str">
        <f>IF(ISNA(MATCH(781,'Transfer Engine'!$C$2:$C$1199,0)),"",INDEX('Compliance Database'!$E$2:$E$1199,MATCH(781,'Transfer Engine'!$C$2:$C$1199,0)))</f>
        <v/>
      </c>
      <c r="F790" s="6" t="str">
        <f>IF(ISNA(MATCH(781,'Transfer Engine'!$C$2:$C$1199,0)),"",INDEX('Compliance Database'!$F$2:$F$1199,MATCH(781,'Transfer Engine'!$C$2:$C$1199,0)))</f>
        <v/>
      </c>
      <c r="G790" s="6" t="str">
        <f>IF(ISNA(MATCH(781,'Transfer Engine'!$C$2:$C$1199,0)),"",INDEX('Compliance Database'!$G$2:$G$1199,MATCH(781,'Transfer Engine'!$C$2:$C$1199,0)))</f>
        <v/>
      </c>
      <c r="H790" s="7" t="str">
        <f>IF(ISNA(MATCH(781,'Transfer Engine'!$C$2:$C$1199,0)),"",INDEX('Compliance Database'!$H$2:$H$1199,MATCH(781,'Transfer Engine'!$C$2:$C$1199,0)))</f>
        <v/>
      </c>
      <c r="I790" s="7" t="str">
        <f>IF(ISNA(MATCH(781,'Transfer Engine'!$C$2:$C$1199,0)),"",INDEX('Compliance Database'!$I$2:$I$1199,MATCH(781,'Transfer Engine'!$C$2:$C$1199,0)))</f>
        <v/>
      </c>
      <c r="J790" s="6" t="str">
        <f>IF(ISNA(MATCH(781,'Transfer Engine'!$C$2:$C$1199,0)),"",INDEX('Compliance Database'!$J$2:$J$1199,MATCH(781,'Transfer Engine'!$C$2:$C$1199,0)))</f>
        <v/>
      </c>
      <c r="K790" s="7" t="str">
        <f>IF(ISNA(MATCH(781,'Transfer Engine'!$C$2:$C$1199,0)),"",INDEX('Compliance Database'!$K$2:$K$1199,MATCH(781,'Transfer Engine'!$C$2:$C$1199,0)))</f>
        <v/>
      </c>
      <c r="L790" s="7" t="str">
        <f>IF(ISNA(MATCH(781,'Transfer Engine'!$C$2:$C$1199,0)),"",INDEX('Compliance Database'!$L$2:$L$1199,MATCH(781,'Transfer Engine'!$C$2:$C$1199,0)))</f>
        <v/>
      </c>
      <c r="M790" s="7" t="str">
        <f>IF(ISNA(MATCH(781,'Transfer Engine'!$C$2:$C$1199,0)),"",INDEX('Compliance Database'!$M$2:$M$1199,MATCH(781,'Transfer Engine'!$C$2:$C$1199,0)))</f>
        <v/>
      </c>
      <c r="N790" s="7" t="str">
        <f>IF(ISNA(MATCH(781,'Transfer Engine'!$C$2:$C$1199,0)),"",INDEX('Compliance Database'!$N$2:$N$1199,MATCH(781,'Transfer Engine'!$C$2:$C$1199,0)))</f>
        <v/>
      </c>
      <c r="O790" s="7" t="str">
        <f>IF(ISNA(MATCH(781,'Transfer Engine'!$C$2:$C$1199,0)),"",INDEX('Compliance Database'!$O$2:$O$1199,MATCH(781,'Transfer Engine'!$C$2:$C$1199,0)))</f>
        <v/>
      </c>
      <c r="P790" s="6" t="str">
        <f>IF(ISNA(MATCH(781,'Transfer Engine'!$C$2:$C$1199,0)),"",HYPERLINK("#Acts!A"&amp;INDEX('Compliance Database'!$P$2:$P$1199,MATCH(781,'Transfer Engine'!$C$2:$C$1199,0)),"Go to Act"))</f>
        <v/>
      </c>
    </row>
    <row r="791" spans="1:16" ht="172.95" customHeight="1" x14ac:dyDescent="0.3">
      <c r="A791" s="6" t="str">
        <f>IF(ISNA(MATCH(782,'Transfer Engine'!$C$2:$C$1199,0)),"",INDEX('Compliance Database'!$A$2:$A$1199,MATCH(782,'Transfer Engine'!$C$2:$C$1199,0)))</f>
        <v/>
      </c>
      <c r="B791" s="6" t="str">
        <f>IF(ISNA(MATCH(782,'Transfer Engine'!$C$2:$C$1199,0)),"",INDEX('Compliance Database'!$B$2:$B$1199,MATCH(782,'Transfer Engine'!$C$2:$C$1199,0)))</f>
        <v/>
      </c>
      <c r="C791" s="6" t="str">
        <f>IF(ISNA(MATCH(782,'Transfer Engine'!$C$2:$C$1199,0)),"",INDEX('Compliance Database'!$C$2:$C$1199,MATCH(782,'Transfer Engine'!$C$2:$C$1199,0)))</f>
        <v/>
      </c>
      <c r="D791" s="7" t="str">
        <f>IF(ISNA(MATCH(782,'Transfer Engine'!$C$2:$C$1199,0)),"",INDEX('Compliance Database'!$D$2:$D$1199,MATCH(782,'Transfer Engine'!$C$2:$C$1199,0)))</f>
        <v/>
      </c>
      <c r="E791" s="6" t="str">
        <f>IF(ISNA(MATCH(782,'Transfer Engine'!$C$2:$C$1199,0)),"",INDEX('Compliance Database'!$E$2:$E$1199,MATCH(782,'Transfer Engine'!$C$2:$C$1199,0)))</f>
        <v/>
      </c>
      <c r="F791" s="6" t="str">
        <f>IF(ISNA(MATCH(782,'Transfer Engine'!$C$2:$C$1199,0)),"",INDEX('Compliance Database'!$F$2:$F$1199,MATCH(782,'Transfer Engine'!$C$2:$C$1199,0)))</f>
        <v/>
      </c>
      <c r="G791" s="6" t="str">
        <f>IF(ISNA(MATCH(782,'Transfer Engine'!$C$2:$C$1199,0)),"",INDEX('Compliance Database'!$G$2:$G$1199,MATCH(782,'Transfer Engine'!$C$2:$C$1199,0)))</f>
        <v/>
      </c>
      <c r="H791" s="7" t="str">
        <f>IF(ISNA(MATCH(782,'Transfer Engine'!$C$2:$C$1199,0)),"",INDEX('Compliance Database'!$H$2:$H$1199,MATCH(782,'Transfer Engine'!$C$2:$C$1199,0)))</f>
        <v/>
      </c>
      <c r="I791" s="7" t="str">
        <f>IF(ISNA(MATCH(782,'Transfer Engine'!$C$2:$C$1199,0)),"",INDEX('Compliance Database'!$I$2:$I$1199,MATCH(782,'Transfer Engine'!$C$2:$C$1199,0)))</f>
        <v/>
      </c>
      <c r="J791" s="6" t="str">
        <f>IF(ISNA(MATCH(782,'Transfer Engine'!$C$2:$C$1199,0)),"",INDEX('Compliance Database'!$J$2:$J$1199,MATCH(782,'Transfer Engine'!$C$2:$C$1199,0)))</f>
        <v/>
      </c>
      <c r="K791" s="7" t="str">
        <f>IF(ISNA(MATCH(782,'Transfer Engine'!$C$2:$C$1199,0)),"",INDEX('Compliance Database'!$K$2:$K$1199,MATCH(782,'Transfer Engine'!$C$2:$C$1199,0)))</f>
        <v/>
      </c>
      <c r="L791" s="7" t="str">
        <f>IF(ISNA(MATCH(782,'Transfer Engine'!$C$2:$C$1199,0)),"",INDEX('Compliance Database'!$L$2:$L$1199,MATCH(782,'Transfer Engine'!$C$2:$C$1199,0)))</f>
        <v/>
      </c>
      <c r="M791" s="7" t="str">
        <f>IF(ISNA(MATCH(782,'Transfer Engine'!$C$2:$C$1199,0)),"",INDEX('Compliance Database'!$M$2:$M$1199,MATCH(782,'Transfer Engine'!$C$2:$C$1199,0)))</f>
        <v/>
      </c>
      <c r="N791" s="7" t="str">
        <f>IF(ISNA(MATCH(782,'Transfer Engine'!$C$2:$C$1199,0)),"",INDEX('Compliance Database'!$N$2:$N$1199,MATCH(782,'Transfer Engine'!$C$2:$C$1199,0)))</f>
        <v/>
      </c>
      <c r="O791" s="7" t="str">
        <f>IF(ISNA(MATCH(782,'Transfer Engine'!$C$2:$C$1199,0)),"",INDEX('Compliance Database'!$O$2:$O$1199,MATCH(782,'Transfer Engine'!$C$2:$C$1199,0)))</f>
        <v/>
      </c>
      <c r="P791" s="6" t="str">
        <f>IF(ISNA(MATCH(782,'Transfer Engine'!$C$2:$C$1199,0)),"",HYPERLINK("#Acts!A"&amp;INDEX('Compliance Database'!$P$2:$P$1199,MATCH(782,'Transfer Engine'!$C$2:$C$1199,0)),"Go to Act"))</f>
        <v/>
      </c>
    </row>
    <row r="792" spans="1:16" ht="172.95" customHeight="1" x14ac:dyDescent="0.3">
      <c r="A792" s="6" t="str">
        <f>IF(ISNA(MATCH(783,'Transfer Engine'!$C$2:$C$1199,0)),"",INDEX('Compliance Database'!$A$2:$A$1199,MATCH(783,'Transfer Engine'!$C$2:$C$1199,0)))</f>
        <v/>
      </c>
      <c r="B792" s="6" t="str">
        <f>IF(ISNA(MATCH(783,'Transfer Engine'!$C$2:$C$1199,0)),"",INDEX('Compliance Database'!$B$2:$B$1199,MATCH(783,'Transfer Engine'!$C$2:$C$1199,0)))</f>
        <v/>
      </c>
      <c r="C792" s="6" t="str">
        <f>IF(ISNA(MATCH(783,'Transfer Engine'!$C$2:$C$1199,0)),"",INDEX('Compliance Database'!$C$2:$C$1199,MATCH(783,'Transfer Engine'!$C$2:$C$1199,0)))</f>
        <v/>
      </c>
      <c r="D792" s="7" t="str">
        <f>IF(ISNA(MATCH(783,'Transfer Engine'!$C$2:$C$1199,0)),"",INDEX('Compliance Database'!$D$2:$D$1199,MATCH(783,'Transfer Engine'!$C$2:$C$1199,0)))</f>
        <v/>
      </c>
      <c r="E792" s="6" t="str">
        <f>IF(ISNA(MATCH(783,'Transfer Engine'!$C$2:$C$1199,0)),"",INDEX('Compliance Database'!$E$2:$E$1199,MATCH(783,'Transfer Engine'!$C$2:$C$1199,0)))</f>
        <v/>
      </c>
      <c r="F792" s="6" t="str">
        <f>IF(ISNA(MATCH(783,'Transfer Engine'!$C$2:$C$1199,0)),"",INDEX('Compliance Database'!$F$2:$F$1199,MATCH(783,'Transfer Engine'!$C$2:$C$1199,0)))</f>
        <v/>
      </c>
      <c r="G792" s="6" t="str">
        <f>IF(ISNA(MATCH(783,'Transfer Engine'!$C$2:$C$1199,0)),"",INDEX('Compliance Database'!$G$2:$G$1199,MATCH(783,'Transfer Engine'!$C$2:$C$1199,0)))</f>
        <v/>
      </c>
      <c r="H792" s="7" t="str">
        <f>IF(ISNA(MATCH(783,'Transfer Engine'!$C$2:$C$1199,0)),"",INDEX('Compliance Database'!$H$2:$H$1199,MATCH(783,'Transfer Engine'!$C$2:$C$1199,0)))</f>
        <v/>
      </c>
      <c r="I792" s="7" t="str">
        <f>IF(ISNA(MATCH(783,'Transfer Engine'!$C$2:$C$1199,0)),"",INDEX('Compliance Database'!$I$2:$I$1199,MATCH(783,'Transfer Engine'!$C$2:$C$1199,0)))</f>
        <v/>
      </c>
      <c r="J792" s="6" t="str">
        <f>IF(ISNA(MATCH(783,'Transfer Engine'!$C$2:$C$1199,0)),"",INDEX('Compliance Database'!$J$2:$J$1199,MATCH(783,'Transfer Engine'!$C$2:$C$1199,0)))</f>
        <v/>
      </c>
      <c r="K792" s="7" t="str">
        <f>IF(ISNA(MATCH(783,'Transfer Engine'!$C$2:$C$1199,0)),"",INDEX('Compliance Database'!$K$2:$K$1199,MATCH(783,'Transfer Engine'!$C$2:$C$1199,0)))</f>
        <v/>
      </c>
      <c r="L792" s="7" t="str">
        <f>IF(ISNA(MATCH(783,'Transfer Engine'!$C$2:$C$1199,0)),"",INDEX('Compliance Database'!$L$2:$L$1199,MATCH(783,'Transfer Engine'!$C$2:$C$1199,0)))</f>
        <v/>
      </c>
      <c r="M792" s="7" t="str">
        <f>IF(ISNA(MATCH(783,'Transfer Engine'!$C$2:$C$1199,0)),"",INDEX('Compliance Database'!$M$2:$M$1199,MATCH(783,'Transfer Engine'!$C$2:$C$1199,0)))</f>
        <v/>
      </c>
      <c r="N792" s="7" t="str">
        <f>IF(ISNA(MATCH(783,'Transfer Engine'!$C$2:$C$1199,0)),"",INDEX('Compliance Database'!$N$2:$N$1199,MATCH(783,'Transfer Engine'!$C$2:$C$1199,0)))</f>
        <v/>
      </c>
      <c r="O792" s="7" t="str">
        <f>IF(ISNA(MATCH(783,'Transfer Engine'!$C$2:$C$1199,0)),"",INDEX('Compliance Database'!$O$2:$O$1199,MATCH(783,'Transfer Engine'!$C$2:$C$1199,0)))</f>
        <v/>
      </c>
      <c r="P792" s="6" t="str">
        <f>IF(ISNA(MATCH(783,'Transfer Engine'!$C$2:$C$1199,0)),"",HYPERLINK("#Acts!A"&amp;INDEX('Compliance Database'!$P$2:$P$1199,MATCH(783,'Transfer Engine'!$C$2:$C$1199,0)),"Go to Act"))</f>
        <v/>
      </c>
    </row>
    <row r="793" spans="1:16" ht="172.95" customHeight="1" x14ac:dyDescent="0.3">
      <c r="A793" s="6" t="str">
        <f>IF(ISNA(MATCH(784,'Transfer Engine'!$C$2:$C$1199,0)),"",INDEX('Compliance Database'!$A$2:$A$1199,MATCH(784,'Transfer Engine'!$C$2:$C$1199,0)))</f>
        <v/>
      </c>
      <c r="B793" s="6" t="str">
        <f>IF(ISNA(MATCH(784,'Transfer Engine'!$C$2:$C$1199,0)),"",INDEX('Compliance Database'!$B$2:$B$1199,MATCH(784,'Transfer Engine'!$C$2:$C$1199,0)))</f>
        <v/>
      </c>
      <c r="C793" s="6" t="str">
        <f>IF(ISNA(MATCH(784,'Transfer Engine'!$C$2:$C$1199,0)),"",INDEX('Compliance Database'!$C$2:$C$1199,MATCH(784,'Transfer Engine'!$C$2:$C$1199,0)))</f>
        <v/>
      </c>
      <c r="D793" s="7" t="str">
        <f>IF(ISNA(MATCH(784,'Transfer Engine'!$C$2:$C$1199,0)),"",INDEX('Compliance Database'!$D$2:$D$1199,MATCH(784,'Transfer Engine'!$C$2:$C$1199,0)))</f>
        <v/>
      </c>
      <c r="E793" s="6" t="str">
        <f>IF(ISNA(MATCH(784,'Transfer Engine'!$C$2:$C$1199,0)),"",INDEX('Compliance Database'!$E$2:$E$1199,MATCH(784,'Transfer Engine'!$C$2:$C$1199,0)))</f>
        <v/>
      </c>
      <c r="F793" s="6" t="str">
        <f>IF(ISNA(MATCH(784,'Transfer Engine'!$C$2:$C$1199,0)),"",INDEX('Compliance Database'!$F$2:$F$1199,MATCH(784,'Transfer Engine'!$C$2:$C$1199,0)))</f>
        <v/>
      </c>
      <c r="G793" s="6" t="str">
        <f>IF(ISNA(MATCH(784,'Transfer Engine'!$C$2:$C$1199,0)),"",INDEX('Compliance Database'!$G$2:$G$1199,MATCH(784,'Transfer Engine'!$C$2:$C$1199,0)))</f>
        <v/>
      </c>
      <c r="H793" s="7" t="str">
        <f>IF(ISNA(MATCH(784,'Transfer Engine'!$C$2:$C$1199,0)),"",INDEX('Compliance Database'!$H$2:$H$1199,MATCH(784,'Transfer Engine'!$C$2:$C$1199,0)))</f>
        <v/>
      </c>
      <c r="I793" s="7" t="str">
        <f>IF(ISNA(MATCH(784,'Transfer Engine'!$C$2:$C$1199,0)),"",INDEX('Compliance Database'!$I$2:$I$1199,MATCH(784,'Transfer Engine'!$C$2:$C$1199,0)))</f>
        <v/>
      </c>
      <c r="J793" s="6" t="str">
        <f>IF(ISNA(MATCH(784,'Transfer Engine'!$C$2:$C$1199,0)),"",INDEX('Compliance Database'!$J$2:$J$1199,MATCH(784,'Transfer Engine'!$C$2:$C$1199,0)))</f>
        <v/>
      </c>
      <c r="K793" s="7" t="str">
        <f>IF(ISNA(MATCH(784,'Transfer Engine'!$C$2:$C$1199,0)),"",INDEX('Compliance Database'!$K$2:$K$1199,MATCH(784,'Transfer Engine'!$C$2:$C$1199,0)))</f>
        <v/>
      </c>
      <c r="L793" s="7" t="str">
        <f>IF(ISNA(MATCH(784,'Transfer Engine'!$C$2:$C$1199,0)),"",INDEX('Compliance Database'!$L$2:$L$1199,MATCH(784,'Transfer Engine'!$C$2:$C$1199,0)))</f>
        <v/>
      </c>
      <c r="M793" s="7" t="str">
        <f>IF(ISNA(MATCH(784,'Transfer Engine'!$C$2:$C$1199,0)),"",INDEX('Compliance Database'!$M$2:$M$1199,MATCH(784,'Transfer Engine'!$C$2:$C$1199,0)))</f>
        <v/>
      </c>
      <c r="N793" s="7" t="str">
        <f>IF(ISNA(MATCH(784,'Transfer Engine'!$C$2:$C$1199,0)),"",INDEX('Compliance Database'!$N$2:$N$1199,MATCH(784,'Transfer Engine'!$C$2:$C$1199,0)))</f>
        <v/>
      </c>
      <c r="O793" s="7" t="str">
        <f>IF(ISNA(MATCH(784,'Transfer Engine'!$C$2:$C$1199,0)),"",INDEX('Compliance Database'!$O$2:$O$1199,MATCH(784,'Transfer Engine'!$C$2:$C$1199,0)))</f>
        <v/>
      </c>
      <c r="P793" s="6" t="str">
        <f>IF(ISNA(MATCH(784,'Transfer Engine'!$C$2:$C$1199,0)),"",HYPERLINK("#Acts!A"&amp;INDEX('Compliance Database'!$P$2:$P$1199,MATCH(784,'Transfer Engine'!$C$2:$C$1199,0)),"Go to Act"))</f>
        <v/>
      </c>
    </row>
    <row r="794" spans="1:16" ht="172.95" customHeight="1" x14ac:dyDescent="0.3">
      <c r="A794" s="6" t="str">
        <f>IF(ISNA(MATCH(785,'Transfer Engine'!$C$2:$C$1199,0)),"",INDEX('Compliance Database'!$A$2:$A$1199,MATCH(785,'Transfer Engine'!$C$2:$C$1199,0)))</f>
        <v/>
      </c>
      <c r="B794" s="6" t="str">
        <f>IF(ISNA(MATCH(785,'Transfer Engine'!$C$2:$C$1199,0)),"",INDEX('Compliance Database'!$B$2:$B$1199,MATCH(785,'Transfer Engine'!$C$2:$C$1199,0)))</f>
        <v/>
      </c>
      <c r="C794" s="6" t="str">
        <f>IF(ISNA(MATCH(785,'Transfer Engine'!$C$2:$C$1199,0)),"",INDEX('Compliance Database'!$C$2:$C$1199,MATCH(785,'Transfer Engine'!$C$2:$C$1199,0)))</f>
        <v/>
      </c>
      <c r="D794" s="7" t="str">
        <f>IF(ISNA(MATCH(785,'Transfer Engine'!$C$2:$C$1199,0)),"",INDEX('Compliance Database'!$D$2:$D$1199,MATCH(785,'Transfer Engine'!$C$2:$C$1199,0)))</f>
        <v/>
      </c>
      <c r="E794" s="6" t="str">
        <f>IF(ISNA(MATCH(785,'Transfer Engine'!$C$2:$C$1199,0)),"",INDEX('Compliance Database'!$E$2:$E$1199,MATCH(785,'Transfer Engine'!$C$2:$C$1199,0)))</f>
        <v/>
      </c>
      <c r="F794" s="6" t="str">
        <f>IF(ISNA(MATCH(785,'Transfer Engine'!$C$2:$C$1199,0)),"",INDEX('Compliance Database'!$F$2:$F$1199,MATCH(785,'Transfer Engine'!$C$2:$C$1199,0)))</f>
        <v/>
      </c>
      <c r="G794" s="6" t="str">
        <f>IF(ISNA(MATCH(785,'Transfer Engine'!$C$2:$C$1199,0)),"",INDEX('Compliance Database'!$G$2:$G$1199,MATCH(785,'Transfer Engine'!$C$2:$C$1199,0)))</f>
        <v/>
      </c>
      <c r="H794" s="7" t="str">
        <f>IF(ISNA(MATCH(785,'Transfer Engine'!$C$2:$C$1199,0)),"",INDEX('Compliance Database'!$H$2:$H$1199,MATCH(785,'Transfer Engine'!$C$2:$C$1199,0)))</f>
        <v/>
      </c>
      <c r="I794" s="7" t="str">
        <f>IF(ISNA(MATCH(785,'Transfer Engine'!$C$2:$C$1199,0)),"",INDEX('Compliance Database'!$I$2:$I$1199,MATCH(785,'Transfer Engine'!$C$2:$C$1199,0)))</f>
        <v/>
      </c>
      <c r="J794" s="6" t="str">
        <f>IF(ISNA(MATCH(785,'Transfer Engine'!$C$2:$C$1199,0)),"",INDEX('Compliance Database'!$J$2:$J$1199,MATCH(785,'Transfer Engine'!$C$2:$C$1199,0)))</f>
        <v/>
      </c>
      <c r="K794" s="7" t="str">
        <f>IF(ISNA(MATCH(785,'Transfer Engine'!$C$2:$C$1199,0)),"",INDEX('Compliance Database'!$K$2:$K$1199,MATCH(785,'Transfer Engine'!$C$2:$C$1199,0)))</f>
        <v/>
      </c>
      <c r="L794" s="7" t="str">
        <f>IF(ISNA(MATCH(785,'Transfer Engine'!$C$2:$C$1199,0)),"",INDEX('Compliance Database'!$L$2:$L$1199,MATCH(785,'Transfer Engine'!$C$2:$C$1199,0)))</f>
        <v/>
      </c>
      <c r="M794" s="7" t="str">
        <f>IF(ISNA(MATCH(785,'Transfer Engine'!$C$2:$C$1199,0)),"",INDEX('Compliance Database'!$M$2:$M$1199,MATCH(785,'Transfer Engine'!$C$2:$C$1199,0)))</f>
        <v/>
      </c>
      <c r="N794" s="7" t="str">
        <f>IF(ISNA(MATCH(785,'Transfer Engine'!$C$2:$C$1199,0)),"",INDEX('Compliance Database'!$N$2:$N$1199,MATCH(785,'Transfer Engine'!$C$2:$C$1199,0)))</f>
        <v/>
      </c>
      <c r="O794" s="7" t="str">
        <f>IF(ISNA(MATCH(785,'Transfer Engine'!$C$2:$C$1199,0)),"",INDEX('Compliance Database'!$O$2:$O$1199,MATCH(785,'Transfer Engine'!$C$2:$C$1199,0)))</f>
        <v/>
      </c>
      <c r="P794" s="6" t="str">
        <f>IF(ISNA(MATCH(785,'Transfer Engine'!$C$2:$C$1199,0)),"",HYPERLINK("#Acts!A"&amp;INDEX('Compliance Database'!$P$2:$P$1199,MATCH(785,'Transfer Engine'!$C$2:$C$1199,0)),"Go to Act"))</f>
        <v/>
      </c>
    </row>
    <row r="795" spans="1:16" ht="172.95" customHeight="1" x14ac:dyDescent="0.3">
      <c r="A795" s="6" t="str">
        <f>IF(ISNA(MATCH(786,'Transfer Engine'!$C$2:$C$1199,0)),"",INDEX('Compliance Database'!$A$2:$A$1199,MATCH(786,'Transfer Engine'!$C$2:$C$1199,0)))</f>
        <v/>
      </c>
      <c r="B795" s="6" t="str">
        <f>IF(ISNA(MATCH(786,'Transfer Engine'!$C$2:$C$1199,0)),"",INDEX('Compliance Database'!$B$2:$B$1199,MATCH(786,'Transfer Engine'!$C$2:$C$1199,0)))</f>
        <v/>
      </c>
      <c r="C795" s="6" t="str">
        <f>IF(ISNA(MATCH(786,'Transfer Engine'!$C$2:$C$1199,0)),"",INDEX('Compliance Database'!$C$2:$C$1199,MATCH(786,'Transfer Engine'!$C$2:$C$1199,0)))</f>
        <v/>
      </c>
      <c r="D795" s="7" t="str">
        <f>IF(ISNA(MATCH(786,'Transfer Engine'!$C$2:$C$1199,0)),"",INDEX('Compliance Database'!$D$2:$D$1199,MATCH(786,'Transfer Engine'!$C$2:$C$1199,0)))</f>
        <v/>
      </c>
      <c r="E795" s="6" t="str">
        <f>IF(ISNA(MATCH(786,'Transfer Engine'!$C$2:$C$1199,0)),"",INDEX('Compliance Database'!$E$2:$E$1199,MATCH(786,'Transfer Engine'!$C$2:$C$1199,0)))</f>
        <v/>
      </c>
      <c r="F795" s="6" t="str">
        <f>IF(ISNA(MATCH(786,'Transfer Engine'!$C$2:$C$1199,0)),"",INDEX('Compliance Database'!$F$2:$F$1199,MATCH(786,'Transfer Engine'!$C$2:$C$1199,0)))</f>
        <v/>
      </c>
      <c r="G795" s="6" t="str">
        <f>IF(ISNA(MATCH(786,'Transfer Engine'!$C$2:$C$1199,0)),"",INDEX('Compliance Database'!$G$2:$G$1199,MATCH(786,'Transfer Engine'!$C$2:$C$1199,0)))</f>
        <v/>
      </c>
      <c r="H795" s="7" t="str">
        <f>IF(ISNA(MATCH(786,'Transfer Engine'!$C$2:$C$1199,0)),"",INDEX('Compliance Database'!$H$2:$H$1199,MATCH(786,'Transfer Engine'!$C$2:$C$1199,0)))</f>
        <v/>
      </c>
      <c r="I795" s="7" t="str">
        <f>IF(ISNA(MATCH(786,'Transfer Engine'!$C$2:$C$1199,0)),"",INDEX('Compliance Database'!$I$2:$I$1199,MATCH(786,'Transfer Engine'!$C$2:$C$1199,0)))</f>
        <v/>
      </c>
      <c r="J795" s="6" t="str">
        <f>IF(ISNA(MATCH(786,'Transfer Engine'!$C$2:$C$1199,0)),"",INDEX('Compliance Database'!$J$2:$J$1199,MATCH(786,'Transfer Engine'!$C$2:$C$1199,0)))</f>
        <v/>
      </c>
      <c r="K795" s="7" t="str">
        <f>IF(ISNA(MATCH(786,'Transfer Engine'!$C$2:$C$1199,0)),"",INDEX('Compliance Database'!$K$2:$K$1199,MATCH(786,'Transfer Engine'!$C$2:$C$1199,0)))</f>
        <v/>
      </c>
      <c r="L795" s="7" t="str">
        <f>IF(ISNA(MATCH(786,'Transfer Engine'!$C$2:$C$1199,0)),"",INDEX('Compliance Database'!$L$2:$L$1199,MATCH(786,'Transfer Engine'!$C$2:$C$1199,0)))</f>
        <v/>
      </c>
      <c r="M795" s="7" t="str">
        <f>IF(ISNA(MATCH(786,'Transfer Engine'!$C$2:$C$1199,0)),"",INDEX('Compliance Database'!$M$2:$M$1199,MATCH(786,'Transfer Engine'!$C$2:$C$1199,0)))</f>
        <v/>
      </c>
      <c r="N795" s="7" t="str">
        <f>IF(ISNA(MATCH(786,'Transfer Engine'!$C$2:$C$1199,0)),"",INDEX('Compliance Database'!$N$2:$N$1199,MATCH(786,'Transfer Engine'!$C$2:$C$1199,0)))</f>
        <v/>
      </c>
      <c r="O795" s="7" t="str">
        <f>IF(ISNA(MATCH(786,'Transfer Engine'!$C$2:$C$1199,0)),"",INDEX('Compliance Database'!$O$2:$O$1199,MATCH(786,'Transfer Engine'!$C$2:$C$1199,0)))</f>
        <v/>
      </c>
      <c r="P795" s="6" t="str">
        <f>IF(ISNA(MATCH(786,'Transfer Engine'!$C$2:$C$1199,0)),"",HYPERLINK("#Acts!A"&amp;INDEX('Compliance Database'!$P$2:$P$1199,MATCH(786,'Transfer Engine'!$C$2:$C$1199,0)),"Go to Act"))</f>
        <v/>
      </c>
    </row>
    <row r="796" spans="1:16" ht="172.95" customHeight="1" x14ac:dyDescent="0.3">
      <c r="A796" s="6" t="str">
        <f>IF(ISNA(MATCH(787,'Transfer Engine'!$C$2:$C$1199,0)),"",INDEX('Compliance Database'!$A$2:$A$1199,MATCH(787,'Transfer Engine'!$C$2:$C$1199,0)))</f>
        <v/>
      </c>
      <c r="B796" s="6" t="str">
        <f>IF(ISNA(MATCH(787,'Transfer Engine'!$C$2:$C$1199,0)),"",INDEX('Compliance Database'!$B$2:$B$1199,MATCH(787,'Transfer Engine'!$C$2:$C$1199,0)))</f>
        <v/>
      </c>
      <c r="C796" s="6" t="str">
        <f>IF(ISNA(MATCH(787,'Transfer Engine'!$C$2:$C$1199,0)),"",INDEX('Compliance Database'!$C$2:$C$1199,MATCH(787,'Transfer Engine'!$C$2:$C$1199,0)))</f>
        <v/>
      </c>
      <c r="D796" s="7" t="str">
        <f>IF(ISNA(MATCH(787,'Transfer Engine'!$C$2:$C$1199,0)),"",INDEX('Compliance Database'!$D$2:$D$1199,MATCH(787,'Transfer Engine'!$C$2:$C$1199,0)))</f>
        <v/>
      </c>
      <c r="E796" s="6" t="str">
        <f>IF(ISNA(MATCH(787,'Transfer Engine'!$C$2:$C$1199,0)),"",INDEX('Compliance Database'!$E$2:$E$1199,MATCH(787,'Transfer Engine'!$C$2:$C$1199,0)))</f>
        <v/>
      </c>
      <c r="F796" s="6" t="str">
        <f>IF(ISNA(MATCH(787,'Transfer Engine'!$C$2:$C$1199,0)),"",INDEX('Compliance Database'!$F$2:$F$1199,MATCH(787,'Transfer Engine'!$C$2:$C$1199,0)))</f>
        <v/>
      </c>
      <c r="G796" s="6" t="str">
        <f>IF(ISNA(MATCH(787,'Transfer Engine'!$C$2:$C$1199,0)),"",INDEX('Compliance Database'!$G$2:$G$1199,MATCH(787,'Transfer Engine'!$C$2:$C$1199,0)))</f>
        <v/>
      </c>
      <c r="H796" s="7" t="str">
        <f>IF(ISNA(MATCH(787,'Transfer Engine'!$C$2:$C$1199,0)),"",INDEX('Compliance Database'!$H$2:$H$1199,MATCH(787,'Transfer Engine'!$C$2:$C$1199,0)))</f>
        <v/>
      </c>
      <c r="I796" s="7" t="str">
        <f>IF(ISNA(MATCH(787,'Transfer Engine'!$C$2:$C$1199,0)),"",INDEX('Compliance Database'!$I$2:$I$1199,MATCH(787,'Transfer Engine'!$C$2:$C$1199,0)))</f>
        <v/>
      </c>
      <c r="J796" s="6" t="str">
        <f>IF(ISNA(MATCH(787,'Transfer Engine'!$C$2:$C$1199,0)),"",INDEX('Compliance Database'!$J$2:$J$1199,MATCH(787,'Transfer Engine'!$C$2:$C$1199,0)))</f>
        <v/>
      </c>
      <c r="K796" s="7" t="str">
        <f>IF(ISNA(MATCH(787,'Transfer Engine'!$C$2:$C$1199,0)),"",INDEX('Compliance Database'!$K$2:$K$1199,MATCH(787,'Transfer Engine'!$C$2:$C$1199,0)))</f>
        <v/>
      </c>
      <c r="L796" s="7" t="str">
        <f>IF(ISNA(MATCH(787,'Transfer Engine'!$C$2:$C$1199,0)),"",INDEX('Compliance Database'!$L$2:$L$1199,MATCH(787,'Transfer Engine'!$C$2:$C$1199,0)))</f>
        <v/>
      </c>
      <c r="M796" s="7" t="str">
        <f>IF(ISNA(MATCH(787,'Transfer Engine'!$C$2:$C$1199,0)),"",INDEX('Compliance Database'!$M$2:$M$1199,MATCH(787,'Transfer Engine'!$C$2:$C$1199,0)))</f>
        <v/>
      </c>
      <c r="N796" s="7" t="str">
        <f>IF(ISNA(MATCH(787,'Transfer Engine'!$C$2:$C$1199,0)),"",INDEX('Compliance Database'!$N$2:$N$1199,MATCH(787,'Transfer Engine'!$C$2:$C$1199,0)))</f>
        <v/>
      </c>
      <c r="O796" s="7" t="str">
        <f>IF(ISNA(MATCH(787,'Transfer Engine'!$C$2:$C$1199,0)),"",INDEX('Compliance Database'!$O$2:$O$1199,MATCH(787,'Transfer Engine'!$C$2:$C$1199,0)))</f>
        <v/>
      </c>
      <c r="P796" s="6" t="str">
        <f>IF(ISNA(MATCH(787,'Transfer Engine'!$C$2:$C$1199,0)),"",HYPERLINK("#Acts!A"&amp;INDEX('Compliance Database'!$P$2:$P$1199,MATCH(787,'Transfer Engine'!$C$2:$C$1199,0)),"Go to Act"))</f>
        <v/>
      </c>
    </row>
    <row r="797" spans="1:16" ht="172.95" customHeight="1" x14ac:dyDescent="0.3">
      <c r="A797" s="6" t="str">
        <f>IF(ISNA(MATCH(788,'Transfer Engine'!$C$2:$C$1199,0)),"",INDEX('Compliance Database'!$A$2:$A$1199,MATCH(788,'Transfer Engine'!$C$2:$C$1199,0)))</f>
        <v/>
      </c>
      <c r="B797" s="6" t="str">
        <f>IF(ISNA(MATCH(788,'Transfer Engine'!$C$2:$C$1199,0)),"",INDEX('Compliance Database'!$B$2:$B$1199,MATCH(788,'Transfer Engine'!$C$2:$C$1199,0)))</f>
        <v/>
      </c>
      <c r="C797" s="6" t="str">
        <f>IF(ISNA(MATCH(788,'Transfer Engine'!$C$2:$C$1199,0)),"",INDEX('Compliance Database'!$C$2:$C$1199,MATCH(788,'Transfer Engine'!$C$2:$C$1199,0)))</f>
        <v/>
      </c>
      <c r="D797" s="7" t="str">
        <f>IF(ISNA(MATCH(788,'Transfer Engine'!$C$2:$C$1199,0)),"",INDEX('Compliance Database'!$D$2:$D$1199,MATCH(788,'Transfer Engine'!$C$2:$C$1199,0)))</f>
        <v/>
      </c>
      <c r="E797" s="6" t="str">
        <f>IF(ISNA(MATCH(788,'Transfer Engine'!$C$2:$C$1199,0)),"",INDEX('Compliance Database'!$E$2:$E$1199,MATCH(788,'Transfer Engine'!$C$2:$C$1199,0)))</f>
        <v/>
      </c>
      <c r="F797" s="6" t="str">
        <f>IF(ISNA(MATCH(788,'Transfer Engine'!$C$2:$C$1199,0)),"",INDEX('Compliance Database'!$F$2:$F$1199,MATCH(788,'Transfer Engine'!$C$2:$C$1199,0)))</f>
        <v/>
      </c>
      <c r="G797" s="6" t="str">
        <f>IF(ISNA(MATCH(788,'Transfer Engine'!$C$2:$C$1199,0)),"",INDEX('Compliance Database'!$G$2:$G$1199,MATCH(788,'Transfer Engine'!$C$2:$C$1199,0)))</f>
        <v/>
      </c>
      <c r="H797" s="7" t="str">
        <f>IF(ISNA(MATCH(788,'Transfer Engine'!$C$2:$C$1199,0)),"",INDEX('Compliance Database'!$H$2:$H$1199,MATCH(788,'Transfer Engine'!$C$2:$C$1199,0)))</f>
        <v/>
      </c>
      <c r="I797" s="7" t="str">
        <f>IF(ISNA(MATCH(788,'Transfer Engine'!$C$2:$C$1199,0)),"",INDEX('Compliance Database'!$I$2:$I$1199,MATCH(788,'Transfer Engine'!$C$2:$C$1199,0)))</f>
        <v/>
      </c>
      <c r="J797" s="6" t="str">
        <f>IF(ISNA(MATCH(788,'Transfer Engine'!$C$2:$C$1199,0)),"",INDEX('Compliance Database'!$J$2:$J$1199,MATCH(788,'Transfer Engine'!$C$2:$C$1199,0)))</f>
        <v/>
      </c>
      <c r="K797" s="7" t="str">
        <f>IF(ISNA(MATCH(788,'Transfer Engine'!$C$2:$C$1199,0)),"",INDEX('Compliance Database'!$K$2:$K$1199,MATCH(788,'Transfer Engine'!$C$2:$C$1199,0)))</f>
        <v/>
      </c>
      <c r="L797" s="7" t="str">
        <f>IF(ISNA(MATCH(788,'Transfer Engine'!$C$2:$C$1199,0)),"",INDEX('Compliance Database'!$L$2:$L$1199,MATCH(788,'Transfer Engine'!$C$2:$C$1199,0)))</f>
        <v/>
      </c>
      <c r="M797" s="7" t="str">
        <f>IF(ISNA(MATCH(788,'Transfer Engine'!$C$2:$C$1199,0)),"",INDEX('Compliance Database'!$M$2:$M$1199,MATCH(788,'Transfer Engine'!$C$2:$C$1199,0)))</f>
        <v/>
      </c>
      <c r="N797" s="7" t="str">
        <f>IF(ISNA(MATCH(788,'Transfer Engine'!$C$2:$C$1199,0)),"",INDEX('Compliance Database'!$N$2:$N$1199,MATCH(788,'Transfer Engine'!$C$2:$C$1199,0)))</f>
        <v/>
      </c>
      <c r="O797" s="7" t="str">
        <f>IF(ISNA(MATCH(788,'Transfer Engine'!$C$2:$C$1199,0)),"",INDEX('Compliance Database'!$O$2:$O$1199,MATCH(788,'Transfer Engine'!$C$2:$C$1199,0)))</f>
        <v/>
      </c>
      <c r="P797" s="6" t="str">
        <f>IF(ISNA(MATCH(788,'Transfer Engine'!$C$2:$C$1199,0)),"",HYPERLINK("#Acts!A"&amp;INDEX('Compliance Database'!$P$2:$P$1199,MATCH(788,'Transfer Engine'!$C$2:$C$1199,0)),"Go to Act"))</f>
        <v/>
      </c>
    </row>
    <row r="798" spans="1:16" ht="172.95" customHeight="1" x14ac:dyDescent="0.3">
      <c r="A798" s="6" t="str">
        <f>IF(ISNA(MATCH(789,'Transfer Engine'!$C$2:$C$1199,0)),"",INDEX('Compliance Database'!$A$2:$A$1199,MATCH(789,'Transfer Engine'!$C$2:$C$1199,0)))</f>
        <v/>
      </c>
      <c r="B798" s="6" t="str">
        <f>IF(ISNA(MATCH(789,'Transfer Engine'!$C$2:$C$1199,0)),"",INDEX('Compliance Database'!$B$2:$B$1199,MATCH(789,'Transfer Engine'!$C$2:$C$1199,0)))</f>
        <v/>
      </c>
      <c r="C798" s="6" t="str">
        <f>IF(ISNA(MATCH(789,'Transfer Engine'!$C$2:$C$1199,0)),"",INDEX('Compliance Database'!$C$2:$C$1199,MATCH(789,'Transfer Engine'!$C$2:$C$1199,0)))</f>
        <v/>
      </c>
      <c r="D798" s="7" t="str">
        <f>IF(ISNA(MATCH(789,'Transfer Engine'!$C$2:$C$1199,0)),"",INDEX('Compliance Database'!$D$2:$D$1199,MATCH(789,'Transfer Engine'!$C$2:$C$1199,0)))</f>
        <v/>
      </c>
      <c r="E798" s="6" t="str">
        <f>IF(ISNA(MATCH(789,'Transfer Engine'!$C$2:$C$1199,0)),"",INDEX('Compliance Database'!$E$2:$E$1199,MATCH(789,'Transfer Engine'!$C$2:$C$1199,0)))</f>
        <v/>
      </c>
      <c r="F798" s="6" t="str">
        <f>IF(ISNA(MATCH(789,'Transfer Engine'!$C$2:$C$1199,0)),"",INDEX('Compliance Database'!$F$2:$F$1199,MATCH(789,'Transfer Engine'!$C$2:$C$1199,0)))</f>
        <v/>
      </c>
      <c r="G798" s="6" t="str">
        <f>IF(ISNA(MATCH(789,'Transfer Engine'!$C$2:$C$1199,0)),"",INDEX('Compliance Database'!$G$2:$G$1199,MATCH(789,'Transfer Engine'!$C$2:$C$1199,0)))</f>
        <v/>
      </c>
      <c r="H798" s="7" t="str">
        <f>IF(ISNA(MATCH(789,'Transfer Engine'!$C$2:$C$1199,0)),"",INDEX('Compliance Database'!$H$2:$H$1199,MATCH(789,'Transfer Engine'!$C$2:$C$1199,0)))</f>
        <v/>
      </c>
      <c r="I798" s="7" t="str">
        <f>IF(ISNA(MATCH(789,'Transfer Engine'!$C$2:$C$1199,0)),"",INDEX('Compliance Database'!$I$2:$I$1199,MATCH(789,'Transfer Engine'!$C$2:$C$1199,0)))</f>
        <v/>
      </c>
      <c r="J798" s="6" t="str">
        <f>IF(ISNA(MATCH(789,'Transfer Engine'!$C$2:$C$1199,0)),"",INDEX('Compliance Database'!$J$2:$J$1199,MATCH(789,'Transfer Engine'!$C$2:$C$1199,0)))</f>
        <v/>
      </c>
      <c r="K798" s="7" t="str">
        <f>IF(ISNA(MATCH(789,'Transfer Engine'!$C$2:$C$1199,0)),"",INDEX('Compliance Database'!$K$2:$K$1199,MATCH(789,'Transfer Engine'!$C$2:$C$1199,0)))</f>
        <v/>
      </c>
      <c r="L798" s="7" t="str">
        <f>IF(ISNA(MATCH(789,'Transfer Engine'!$C$2:$C$1199,0)),"",INDEX('Compliance Database'!$L$2:$L$1199,MATCH(789,'Transfer Engine'!$C$2:$C$1199,0)))</f>
        <v/>
      </c>
      <c r="M798" s="7" t="str">
        <f>IF(ISNA(MATCH(789,'Transfer Engine'!$C$2:$C$1199,0)),"",INDEX('Compliance Database'!$M$2:$M$1199,MATCH(789,'Transfer Engine'!$C$2:$C$1199,0)))</f>
        <v/>
      </c>
      <c r="N798" s="7" t="str">
        <f>IF(ISNA(MATCH(789,'Transfer Engine'!$C$2:$C$1199,0)),"",INDEX('Compliance Database'!$N$2:$N$1199,MATCH(789,'Transfer Engine'!$C$2:$C$1199,0)))</f>
        <v/>
      </c>
      <c r="O798" s="7" t="str">
        <f>IF(ISNA(MATCH(789,'Transfer Engine'!$C$2:$C$1199,0)),"",INDEX('Compliance Database'!$O$2:$O$1199,MATCH(789,'Transfer Engine'!$C$2:$C$1199,0)))</f>
        <v/>
      </c>
      <c r="P798" s="6" t="str">
        <f>IF(ISNA(MATCH(789,'Transfer Engine'!$C$2:$C$1199,0)),"",HYPERLINK("#Acts!A"&amp;INDEX('Compliance Database'!$P$2:$P$1199,MATCH(789,'Transfer Engine'!$C$2:$C$1199,0)),"Go to Act"))</f>
        <v/>
      </c>
    </row>
    <row r="799" spans="1:16" ht="172.95" customHeight="1" x14ac:dyDescent="0.3">
      <c r="A799" s="6" t="str">
        <f>IF(ISNA(MATCH(790,'Transfer Engine'!$C$2:$C$1199,0)),"",INDEX('Compliance Database'!$A$2:$A$1199,MATCH(790,'Transfer Engine'!$C$2:$C$1199,0)))</f>
        <v/>
      </c>
      <c r="B799" s="6" t="str">
        <f>IF(ISNA(MATCH(790,'Transfer Engine'!$C$2:$C$1199,0)),"",INDEX('Compliance Database'!$B$2:$B$1199,MATCH(790,'Transfer Engine'!$C$2:$C$1199,0)))</f>
        <v/>
      </c>
      <c r="C799" s="6" t="str">
        <f>IF(ISNA(MATCH(790,'Transfer Engine'!$C$2:$C$1199,0)),"",INDEX('Compliance Database'!$C$2:$C$1199,MATCH(790,'Transfer Engine'!$C$2:$C$1199,0)))</f>
        <v/>
      </c>
      <c r="D799" s="7" t="str">
        <f>IF(ISNA(MATCH(790,'Transfer Engine'!$C$2:$C$1199,0)),"",INDEX('Compliance Database'!$D$2:$D$1199,MATCH(790,'Transfer Engine'!$C$2:$C$1199,0)))</f>
        <v/>
      </c>
      <c r="E799" s="6" t="str">
        <f>IF(ISNA(MATCH(790,'Transfer Engine'!$C$2:$C$1199,0)),"",INDEX('Compliance Database'!$E$2:$E$1199,MATCH(790,'Transfer Engine'!$C$2:$C$1199,0)))</f>
        <v/>
      </c>
      <c r="F799" s="6" t="str">
        <f>IF(ISNA(MATCH(790,'Transfer Engine'!$C$2:$C$1199,0)),"",INDEX('Compliance Database'!$F$2:$F$1199,MATCH(790,'Transfer Engine'!$C$2:$C$1199,0)))</f>
        <v/>
      </c>
      <c r="G799" s="6" t="str">
        <f>IF(ISNA(MATCH(790,'Transfer Engine'!$C$2:$C$1199,0)),"",INDEX('Compliance Database'!$G$2:$G$1199,MATCH(790,'Transfer Engine'!$C$2:$C$1199,0)))</f>
        <v/>
      </c>
      <c r="H799" s="7" t="str">
        <f>IF(ISNA(MATCH(790,'Transfer Engine'!$C$2:$C$1199,0)),"",INDEX('Compliance Database'!$H$2:$H$1199,MATCH(790,'Transfer Engine'!$C$2:$C$1199,0)))</f>
        <v/>
      </c>
      <c r="I799" s="7" t="str">
        <f>IF(ISNA(MATCH(790,'Transfer Engine'!$C$2:$C$1199,0)),"",INDEX('Compliance Database'!$I$2:$I$1199,MATCH(790,'Transfer Engine'!$C$2:$C$1199,0)))</f>
        <v/>
      </c>
      <c r="J799" s="6" t="str">
        <f>IF(ISNA(MATCH(790,'Transfer Engine'!$C$2:$C$1199,0)),"",INDEX('Compliance Database'!$J$2:$J$1199,MATCH(790,'Transfer Engine'!$C$2:$C$1199,0)))</f>
        <v/>
      </c>
      <c r="K799" s="7" t="str">
        <f>IF(ISNA(MATCH(790,'Transfer Engine'!$C$2:$C$1199,0)),"",INDEX('Compliance Database'!$K$2:$K$1199,MATCH(790,'Transfer Engine'!$C$2:$C$1199,0)))</f>
        <v/>
      </c>
      <c r="L799" s="7" t="str">
        <f>IF(ISNA(MATCH(790,'Transfer Engine'!$C$2:$C$1199,0)),"",INDEX('Compliance Database'!$L$2:$L$1199,MATCH(790,'Transfer Engine'!$C$2:$C$1199,0)))</f>
        <v/>
      </c>
      <c r="M799" s="7" t="str">
        <f>IF(ISNA(MATCH(790,'Transfer Engine'!$C$2:$C$1199,0)),"",INDEX('Compliance Database'!$M$2:$M$1199,MATCH(790,'Transfer Engine'!$C$2:$C$1199,0)))</f>
        <v/>
      </c>
      <c r="N799" s="7" t="str">
        <f>IF(ISNA(MATCH(790,'Transfer Engine'!$C$2:$C$1199,0)),"",INDEX('Compliance Database'!$N$2:$N$1199,MATCH(790,'Transfer Engine'!$C$2:$C$1199,0)))</f>
        <v/>
      </c>
      <c r="O799" s="7" t="str">
        <f>IF(ISNA(MATCH(790,'Transfer Engine'!$C$2:$C$1199,0)),"",INDEX('Compliance Database'!$O$2:$O$1199,MATCH(790,'Transfer Engine'!$C$2:$C$1199,0)))</f>
        <v/>
      </c>
      <c r="P799" s="6" t="str">
        <f>IF(ISNA(MATCH(790,'Transfer Engine'!$C$2:$C$1199,0)),"",HYPERLINK("#Acts!A"&amp;INDEX('Compliance Database'!$P$2:$P$1199,MATCH(790,'Transfer Engine'!$C$2:$C$1199,0)),"Go to Act"))</f>
        <v/>
      </c>
    </row>
    <row r="800" spans="1:16" ht="172.95" customHeight="1" x14ac:dyDescent="0.3">
      <c r="A800" s="6" t="str">
        <f>IF(ISNA(MATCH(791,'Transfer Engine'!$C$2:$C$1199,0)),"",INDEX('Compliance Database'!$A$2:$A$1199,MATCH(791,'Transfer Engine'!$C$2:$C$1199,0)))</f>
        <v/>
      </c>
      <c r="B800" s="6" t="str">
        <f>IF(ISNA(MATCH(791,'Transfer Engine'!$C$2:$C$1199,0)),"",INDEX('Compliance Database'!$B$2:$B$1199,MATCH(791,'Transfer Engine'!$C$2:$C$1199,0)))</f>
        <v/>
      </c>
      <c r="C800" s="6" t="str">
        <f>IF(ISNA(MATCH(791,'Transfer Engine'!$C$2:$C$1199,0)),"",INDEX('Compliance Database'!$C$2:$C$1199,MATCH(791,'Transfer Engine'!$C$2:$C$1199,0)))</f>
        <v/>
      </c>
      <c r="D800" s="7" t="str">
        <f>IF(ISNA(MATCH(791,'Transfer Engine'!$C$2:$C$1199,0)),"",INDEX('Compliance Database'!$D$2:$D$1199,MATCH(791,'Transfer Engine'!$C$2:$C$1199,0)))</f>
        <v/>
      </c>
      <c r="E800" s="6" t="str">
        <f>IF(ISNA(MATCH(791,'Transfer Engine'!$C$2:$C$1199,0)),"",INDEX('Compliance Database'!$E$2:$E$1199,MATCH(791,'Transfer Engine'!$C$2:$C$1199,0)))</f>
        <v/>
      </c>
      <c r="F800" s="6" t="str">
        <f>IF(ISNA(MATCH(791,'Transfer Engine'!$C$2:$C$1199,0)),"",INDEX('Compliance Database'!$F$2:$F$1199,MATCH(791,'Transfer Engine'!$C$2:$C$1199,0)))</f>
        <v/>
      </c>
      <c r="G800" s="6" t="str">
        <f>IF(ISNA(MATCH(791,'Transfer Engine'!$C$2:$C$1199,0)),"",INDEX('Compliance Database'!$G$2:$G$1199,MATCH(791,'Transfer Engine'!$C$2:$C$1199,0)))</f>
        <v/>
      </c>
      <c r="H800" s="7" t="str">
        <f>IF(ISNA(MATCH(791,'Transfer Engine'!$C$2:$C$1199,0)),"",INDEX('Compliance Database'!$H$2:$H$1199,MATCH(791,'Transfer Engine'!$C$2:$C$1199,0)))</f>
        <v/>
      </c>
      <c r="I800" s="7" t="str">
        <f>IF(ISNA(MATCH(791,'Transfer Engine'!$C$2:$C$1199,0)),"",INDEX('Compliance Database'!$I$2:$I$1199,MATCH(791,'Transfer Engine'!$C$2:$C$1199,0)))</f>
        <v/>
      </c>
      <c r="J800" s="6" t="str">
        <f>IF(ISNA(MATCH(791,'Transfer Engine'!$C$2:$C$1199,0)),"",INDEX('Compliance Database'!$J$2:$J$1199,MATCH(791,'Transfer Engine'!$C$2:$C$1199,0)))</f>
        <v/>
      </c>
      <c r="K800" s="7" t="str">
        <f>IF(ISNA(MATCH(791,'Transfer Engine'!$C$2:$C$1199,0)),"",INDEX('Compliance Database'!$K$2:$K$1199,MATCH(791,'Transfer Engine'!$C$2:$C$1199,0)))</f>
        <v/>
      </c>
      <c r="L800" s="7" t="str">
        <f>IF(ISNA(MATCH(791,'Transfer Engine'!$C$2:$C$1199,0)),"",INDEX('Compliance Database'!$L$2:$L$1199,MATCH(791,'Transfer Engine'!$C$2:$C$1199,0)))</f>
        <v/>
      </c>
      <c r="M800" s="7" t="str">
        <f>IF(ISNA(MATCH(791,'Transfer Engine'!$C$2:$C$1199,0)),"",INDEX('Compliance Database'!$M$2:$M$1199,MATCH(791,'Transfer Engine'!$C$2:$C$1199,0)))</f>
        <v/>
      </c>
      <c r="N800" s="7" t="str">
        <f>IF(ISNA(MATCH(791,'Transfer Engine'!$C$2:$C$1199,0)),"",INDEX('Compliance Database'!$N$2:$N$1199,MATCH(791,'Transfer Engine'!$C$2:$C$1199,0)))</f>
        <v/>
      </c>
      <c r="O800" s="7" t="str">
        <f>IF(ISNA(MATCH(791,'Transfer Engine'!$C$2:$C$1199,0)),"",INDEX('Compliance Database'!$O$2:$O$1199,MATCH(791,'Transfer Engine'!$C$2:$C$1199,0)))</f>
        <v/>
      </c>
      <c r="P800" s="6" t="str">
        <f>IF(ISNA(MATCH(791,'Transfer Engine'!$C$2:$C$1199,0)),"",HYPERLINK("#Acts!A"&amp;INDEX('Compliance Database'!$P$2:$P$1199,MATCH(791,'Transfer Engine'!$C$2:$C$1199,0)),"Go to Act"))</f>
        <v/>
      </c>
    </row>
    <row r="801" spans="1:16" ht="172.95" customHeight="1" x14ac:dyDescent="0.3">
      <c r="A801" s="6" t="str">
        <f>IF(ISNA(MATCH(792,'Transfer Engine'!$C$2:$C$1199,0)),"",INDEX('Compliance Database'!$A$2:$A$1199,MATCH(792,'Transfer Engine'!$C$2:$C$1199,0)))</f>
        <v/>
      </c>
      <c r="B801" s="6" t="str">
        <f>IF(ISNA(MATCH(792,'Transfer Engine'!$C$2:$C$1199,0)),"",INDEX('Compliance Database'!$B$2:$B$1199,MATCH(792,'Transfer Engine'!$C$2:$C$1199,0)))</f>
        <v/>
      </c>
      <c r="C801" s="6" t="str">
        <f>IF(ISNA(MATCH(792,'Transfer Engine'!$C$2:$C$1199,0)),"",INDEX('Compliance Database'!$C$2:$C$1199,MATCH(792,'Transfer Engine'!$C$2:$C$1199,0)))</f>
        <v/>
      </c>
      <c r="D801" s="7" t="str">
        <f>IF(ISNA(MATCH(792,'Transfer Engine'!$C$2:$C$1199,0)),"",INDEX('Compliance Database'!$D$2:$D$1199,MATCH(792,'Transfer Engine'!$C$2:$C$1199,0)))</f>
        <v/>
      </c>
      <c r="E801" s="6" t="str">
        <f>IF(ISNA(MATCH(792,'Transfer Engine'!$C$2:$C$1199,0)),"",INDEX('Compliance Database'!$E$2:$E$1199,MATCH(792,'Transfer Engine'!$C$2:$C$1199,0)))</f>
        <v/>
      </c>
      <c r="F801" s="6" t="str">
        <f>IF(ISNA(MATCH(792,'Transfer Engine'!$C$2:$C$1199,0)),"",INDEX('Compliance Database'!$F$2:$F$1199,MATCH(792,'Transfer Engine'!$C$2:$C$1199,0)))</f>
        <v/>
      </c>
      <c r="G801" s="6" t="str">
        <f>IF(ISNA(MATCH(792,'Transfer Engine'!$C$2:$C$1199,0)),"",INDEX('Compliance Database'!$G$2:$G$1199,MATCH(792,'Transfer Engine'!$C$2:$C$1199,0)))</f>
        <v/>
      </c>
      <c r="H801" s="7" t="str">
        <f>IF(ISNA(MATCH(792,'Transfer Engine'!$C$2:$C$1199,0)),"",INDEX('Compliance Database'!$H$2:$H$1199,MATCH(792,'Transfer Engine'!$C$2:$C$1199,0)))</f>
        <v/>
      </c>
      <c r="I801" s="7" t="str">
        <f>IF(ISNA(MATCH(792,'Transfer Engine'!$C$2:$C$1199,0)),"",INDEX('Compliance Database'!$I$2:$I$1199,MATCH(792,'Transfer Engine'!$C$2:$C$1199,0)))</f>
        <v/>
      </c>
      <c r="J801" s="6" t="str">
        <f>IF(ISNA(MATCH(792,'Transfer Engine'!$C$2:$C$1199,0)),"",INDEX('Compliance Database'!$J$2:$J$1199,MATCH(792,'Transfer Engine'!$C$2:$C$1199,0)))</f>
        <v/>
      </c>
      <c r="K801" s="7" t="str">
        <f>IF(ISNA(MATCH(792,'Transfer Engine'!$C$2:$C$1199,0)),"",INDEX('Compliance Database'!$K$2:$K$1199,MATCH(792,'Transfer Engine'!$C$2:$C$1199,0)))</f>
        <v/>
      </c>
      <c r="L801" s="7" t="str">
        <f>IF(ISNA(MATCH(792,'Transfer Engine'!$C$2:$C$1199,0)),"",INDEX('Compliance Database'!$L$2:$L$1199,MATCH(792,'Transfer Engine'!$C$2:$C$1199,0)))</f>
        <v/>
      </c>
      <c r="M801" s="7" t="str">
        <f>IF(ISNA(MATCH(792,'Transfer Engine'!$C$2:$C$1199,0)),"",INDEX('Compliance Database'!$M$2:$M$1199,MATCH(792,'Transfer Engine'!$C$2:$C$1199,0)))</f>
        <v/>
      </c>
      <c r="N801" s="7" t="str">
        <f>IF(ISNA(MATCH(792,'Transfer Engine'!$C$2:$C$1199,0)),"",INDEX('Compliance Database'!$N$2:$N$1199,MATCH(792,'Transfer Engine'!$C$2:$C$1199,0)))</f>
        <v/>
      </c>
      <c r="O801" s="7" t="str">
        <f>IF(ISNA(MATCH(792,'Transfer Engine'!$C$2:$C$1199,0)),"",INDEX('Compliance Database'!$O$2:$O$1199,MATCH(792,'Transfer Engine'!$C$2:$C$1199,0)))</f>
        <v/>
      </c>
      <c r="P801" s="6" t="str">
        <f>IF(ISNA(MATCH(792,'Transfer Engine'!$C$2:$C$1199,0)),"",HYPERLINK("#Acts!A"&amp;INDEX('Compliance Database'!$P$2:$P$1199,MATCH(792,'Transfer Engine'!$C$2:$C$1199,0)),"Go to Act"))</f>
        <v/>
      </c>
    </row>
    <row r="802" spans="1:16" ht="172.95" customHeight="1" x14ac:dyDescent="0.3">
      <c r="A802" s="6" t="str">
        <f>IF(ISNA(MATCH(793,'Transfer Engine'!$C$2:$C$1199,0)),"",INDEX('Compliance Database'!$A$2:$A$1199,MATCH(793,'Transfer Engine'!$C$2:$C$1199,0)))</f>
        <v/>
      </c>
      <c r="B802" s="6" t="str">
        <f>IF(ISNA(MATCH(793,'Transfer Engine'!$C$2:$C$1199,0)),"",INDEX('Compliance Database'!$B$2:$B$1199,MATCH(793,'Transfer Engine'!$C$2:$C$1199,0)))</f>
        <v/>
      </c>
      <c r="C802" s="6" t="str">
        <f>IF(ISNA(MATCH(793,'Transfer Engine'!$C$2:$C$1199,0)),"",INDEX('Compliance Database'!$C$2:$C$1199,MATCH(793,'Transfer Engine'!$C$2:$C$1199,0)))</f>
        <v/>
      </c>
      <c r="D802" s="7" t="str">
        <f>IF(ISNA(MATCH(793,'Transfer Engine'!$C$2:$C$1199,0)),"",INDEX('Compliance Database'!$D$2:$D$1199,MATCH(793,'Transfer Engine'!$C$2:$C$1199,0)))</f>
        <v/>
      </c>
      <c r="E802" s="6" t="str">
        <f>IF(ISNA(MATCH(793,'Transfer Engine'!$C$2:$C$1199,0)),"",INDEX('Compliance Database'!$E$2:$E$1199,MATCH(793,'Transfer Engine'!$C$2:$C$1199,0)))</f>
        <v/>
      </c>
      <c r="F802" s="6" t="str">
        <f>IF(ISNA(MATCH(793,'Transfer Engine'!$C$2:$C$1199,0)),"",INDEX('Compliance Database'!$F$2:$F$1199,MATCH(793,'Transfer Engine'!$C$2:$C$1199,0)))</f>
        <v/>
      </c>
      <c r="G802" s="6" t="str">
        <f>IF(ISNA(MATCH(793,'Transfer Engine'!$C$2:$C$1199,0)),"",INDEX('Compliance Database'!$G$2:$G$1199,MATCH(793,'Transfer Engine'!$C$2:$C$1199,0)))</f>
        <v/>
      </c>
      <c r="H802" s="7" t="str">
        <f>IF(ISNA(MATCH(793,'Transfer Engine'!$C$2:$C$1199,0)),"",INDEX('Compliance Database'!$H$2:$H$1199,MATCH(793,'Transfer Engine'!$C$2:$C$1199,0)))</f>
        <v/>
      </c>
      <c r="I802" s="7" t="str">
        <f>IF(ISNA(MATCH(793,'Transfer Engine'!$C$2:$C$1199,0)),"",INDEX('Compliance Database'!$I$2:$I$1199,MATCH(793,'Transfer Engine'!$C$2:$C$1199,0)))</f>
        <v/>
      </c>
      <c r="J802" s="6" t="str">
        <f>IF(ISNA(MATCH(793,'Transfer Engine'!$C$2:$C$1199,0)),"",INDEX('Compliance Database'!$J$2:$J$1199,MATCH(793,'Transfer Engine'!$C$2:$C$1199,0)))</f>
        <v/>
      </c>
      <c r="K802" s="7" t="str">
        <f>IF(ISNA(MATCH(793,'Transfer Engine'!$C$2:$C$1199,0)),"",INDEX('Compliance Database'!$K$2:$K$1199,MATCH(793,'Transfer Engine'!$C$2:$C$1199,0)))</f>
        <v/>
      </c>
      <c r="L802" s="7" t="str">
        <f>IF(ISNA(MATCH(793,'Transfer Engine'!$C$2:$C$1199,0)),"",INDEX('Compliance Database'!$L$2:$L$1199,MATCH(793,'Transfer Engine'!$C$2:$C$1199,0)))</f>
        <v/>
      </c>
      <c r="M802" s="7" t="str">
        <f>IF(ISNA(MATCH(793,'Transfer Engine'!$C$2:$C$1199,0)),"",INDEX('Compliance Database'!$M$2:$M$1199,MATCH(793,'Transfer Engine'!$C$2:$C$1199,0)))</f>
        <v/>
      </c>
      <c r="N802" s="7" t="str">
        <f>IF(ISNA(MATCH(793,'Transfer Engine'!$C$2:$C$1199,0)),"",INDEX('Compliance Database'!$N$2:$N$1199,MATCH(793,'Transfer Engine'!$C$2:$C$1199,0)))</f>
        <v/>
      </c>
      <c r="O802" s="7" t="str">
        <f>IF(ISNA(MATCH(793,'Transfer Engine'!$C$2:$C$1199,0)),"",INDEX('Compliance Database'!$O$2:$O$1199,MATCH(793,'Transfer Engine'!$C$2:$C$1199,0)))</f>
        <v/>
      </c>
      <c r="P802" s="6" t="str">
        <f>IF(ISNA(MATCH(793,'Transfer Engine'!$C$2:$C$1199,0)),"",HYPERLINK("#Acts!A"&amp;INDEX('Compliance Database'!$P$2:$P$1199,MATCH(793,'Transfer Engine'!$C$2:$C$1199,0)),"Go to Act"))</f>
        <v/>
      </c>
    </row>
    <row r="803" spans="1:16" ht="172.95" customHeight="1" x14ac:dyDescent="0.3">
      <c r="A803" s="6" t="str">
        <f>IF(ISNA(MATCH(794,'Transfer Engine'!$C$2:$C$1199,0)),"",INDEX('Compliance Database'!$A$2:$A$1199,MATCH(794,'Transfer Engine'!$C$2:$C$1199,0)))</f>
        <v/>
      </c>
      <c r="B803" s="6" t="str">
        <f>IF(ISNA(MATCH(794,'Transfer Engine'!$C$2:$C$1199,0)),"",INDEX('Compliance Database'!$B$2:$B$1199,MATCH(794,'Transfer Engine'!$C$2:$C$1199,0)))</f>
        <v/>
      </c>
      <c r="C803" s="6" t="str">
        <f>IF(ISNA(MATCH(794,'Transfer Engine'!$C$2:$C$1199,0)),"",INDEX('Compliance Database'!$C$2:$C$1199,MATCH(794,'Transfer Engine'!$C$2:$C$1199,0)))</f>
        <v/>
      </c>
      <c r="D803" s="7" t="str">
        <f>IF(ISNA(MATCH(794,'Transfer Engine'!$C$2:$C$1199,0)),"",INDEX('Compliance Database'!$D$2:$D$1199,MATCH(794,'Transfer Engine'!$C$2:$C$1199,0)))</f>
        <v/>
      </c>
      <c r="E803" s="6" t="str">
        <f>IF(ISNA(MATCH(794,'Transfer Engine'!$C$2:$C$1199,0)),"",INDEX('Compliance Database'!$E$2:$E$1199,MATCH(794,'Transfer Engine'!$C$2:$C$1199,0)))</f>
        <v/>
      </c>
      <c r="F803" s="6" t="str">
        <f>IF(ISNA(MATCH(794,'Transfer Engine'!$C$2:$C$1199,0)),"",INDEX('Compliance Database'!$F$2:$F$1199,MATCH(794,'Transfer Engine'!$C$2:$C$1199,0)))</f>
        <v/>
      </c>
      <c r="G803" s="6" t="str">
        <f>IF(ISNA(MATCH(794,'Transfer Engine'!$C$2:$C$1199,0)),"",INDEX('Compliance Database'!$G$2:$G$1199,MATCH(794,'Transfer Engine'!$C$2:$C$1199,0)))</f>
        <v/>
      </c>
      <c r="H803" s="7" t="str">
        <f>IF(ISNA(MATCH(794,'Transfer Engine'!$C$2:$C$1199,0)),"",INDEX('Compliance Database'!$H$2:$H$1199,MATCH(794,'Transfer Engine'!$C$2:$C$1199,0)))</f>
        <v/>
      </c>
      <c r="I803" s="7" t="str">
        <f>IF(ISNA(MATCH(794,'Transfer Engine'!$C$2:$C$1199,0)),"",INDEX('Compliance Database'!$I$2:$I$1199,MATCH(794,'Transfer Engine'!$C$2:$C$1199,0)))</f>
        <v/>
      </c>
      <c r="J803" s="6" t="str">
        <f>IF(ISNA(MATCH(794,'Transfer Engine'!$C$2:$C$1199,0)),"",INDEX('Compliance Database'!$J$2:$J$1199,MATCH(794,'Transfer Engine'!$C$2:$C$1199,0)))</f>
        <v/>
      </c>
      <c r="K803" s="7" t="str">
        <f>IF(ISNA(MATCH(794,'Transfer Engine'!$C$2:$C$1199,0)),"",INDEX('Compliance Database'!$K$2:$K$1199,MATCH(794,'Transfer Engine'!$C$2:$C$1199,0)))</f>
        <v/>
      </c>
      <c r="L803" s="7" t="str">
        <f>IF(ISNA(MATCH(794,'Transfer Engine'!$C$2:$C$1199,0)),"",INDEX('Compliance Database'!$L$2:$L$1199,MATCH(794,'Transfer Engine'!$C$2:$C$1199,0)))</f>
        <v/>
      </c>
      <c r="M803" s="7" t="str">
        <f>IF(ISNA(MATCH(794,'Transfer Engine'!$C$2:$C$1199,0)),"",INDEX('Compliance Database'!$M$2:$M$1199,MATCH(794,'Transfer Engine'!$C$2:$C$1199,0)))</f>
        <v/>
      </c>
      <c r="N803" s="7" t="str">
        <f>IF(ISNA(MATCH(794,'Transfer Engine'!$C$2:$C$1199,0)),"",INDEX('Compliance Database'!$N$2:$N$1199,MATCH(794,'Transfer Engine'!$C$2:$C$1199,0)))</f>
        <v/>
      </c>
      <c r="O803" s="7" t="str">
        <f>IF(ISNA(MATCH(794,'Transfer Engine'!$C$2:$C$1199,0)),"",INDEX('Compliance Database'!$O$2:$O$1199,MATCH(794,'Transfer Engine'!$C$2:$C$1199,0)))</f>
        <v/>
      </c>
      <c r="P803" s="6" t="str">
        <f>IF(ISNA(MATCH(794,'Transfer Engine'!$C$2:$C$1199,0)),"",HYPERLINK("#Acts!A"&amp;INDEX('Compliance Database'!$P$2:$P$1199,MATCH(794,'Transfer Engine'!$C$2:$C$1199,0)),"Go to Act"))</f>
        <v/>
      </c>
    </row>
    <row r="804" spans="1:16" ht="172.95" customHeight="1" x14ac:dyDescent="0.3">
      <c r="A804" s="6" t="str">
        <f>IF(ISNA(MATCH(795,'Transfer Engine'!$C$2:$C$1199,0)),"",INDEX('Compliance Database'!$A$2:$A$1199,MATCH(795,'Transfer Engine'!$C$2:$C$1199,0)))</f>
        <v/>
      </c>
      <c r="B804" s="6" t="str">
        <f>IF(ISNA(MATCH(795,'Transfer Engine'!$C$2:$C$1199,0)),"",INDEX('Compliance Database'!$B$2:$B$1199,MATCH(795,'Transfer Engine'!$C$2:$C$1199,0)))</f>
        <v/>
      </c>
      <c r="C804" s="6" t="str">
        <f>IF(ISNA(MATCH(795,'Transfer Engine'!$C$2:$C$1199,0)),"",INDEX('Compliance Database'!$C$2:$C$1199,MATCH(795,'Transfer Engine'!$C$2:$C$1199,0)))</f>
        <v/>
      </c>
      <c r="D804" s="7" t="str">
        <f>IF(ISNA(MATCH(795,'Transfer Engine'!$C$2:$C$1199,0)),"",INDEX('Compliance Database'!$D$2:$D$1199,MATCH(795,'Transfer Engine'!$C$2:$C$1199,0)))</f>
        <v/>
      </c>
      <c r="E804" s="6" t="str">
        <f>IF(ISNA(MATCH(795,'Transfer Engine'!$C$2:$C$1199,0)),"",INDEX('Compliance Database'!$E$2:$E$1199,MATCH(795,'Transfer Engine'!$C$2:$C$1199,0)))</f>
        <v/>
      </c>
      <c r="F804" s="6" t="str">
        <f>IF(ISNA(MATCH(795,'Transfer Engine'!$C$2:$C$1199,0)),"",INDEX('Compliance Database'!$F$2:$F$1199,MATCH(795,'Transfer Engine'!$C$2:$C$1199,0)))</f>
        <v/>
      </c>
      <c r="G804" s="6" t="str">
        <f>IF(ISNA(MATCH(795,'Transfer Engine'!$C$2:$C$1199,0)),"",INDEX('Compliance Database'!$G$2:$G$1199,MATCH(795,'Transfer Engine'!$C$2:$C$1199,0)))</f>
        <v/>
      </c>
      <c r="H804" s="7" t="str">
        <f>IF(ISNA(MATCH(795,'Transfer Engine'!$C$2:$C$1199,0)),"",INDEX('Compliance Database'!$H$2:$H$1199,MATCH(795,'Transfer Engine'!$C$2:$C$1199,0)))</f>
        <v/>
      </c>
      <c r="I804" s="7" t="str">
        <f>IF(ISNA(MATCH(795,'Transfer Engine'!$C$2:$C$1199,0)),"",INDEX('Compliance Database'!$I$2:$I$1199,MATCH(795,'Transfer Engine'!$C$2:$C$1199,0)))</f>
        <v/>
      </c>
      <c r="J804" s="6" t="str">
        <f>IF(ISNA(MATCH(795,'Transfer Engine'!$C$2:$C$1199,0)),"",INDEX('Compliance Database'!$J$2:$J$1199,MATCH(795,'Transfer Engine'!$C$2:$C$1199,0)))</f>
        <v/>
      </c>
      <c r="K804" s="7" t="str">
        <f>IF(ISNA(MATCH(795,'Transfer Engine'!$C$2:$C$1199,0)),"",INDEX('Compliance Database'!$K$2:$K$1199,MATCH(795,'Transfer Engine'!$C$2:$C$1199,0)))</f>
        <v/>
      </c>
      <c r="L804" s="7" t="str">
        <f>IF(ISNA(MATCH(795,'Transfer Engine'!$C$2:$C$1199,0)),"",INDEX('Compliance Database'!$L$2:$L$1199,MATCH(795,'Transfer Engine'!$C$2:$C$1199,0)))</f>
        <v/>
      </c>
      <c r="M804" s="7" t="str">
        <f>IF(ISNA(MATCH(795,'Transfer Engine'!$C$2:$C$1199,0)),"",INDEX('Compliance Database'!$M$2:$M$1199,MATCH(795,'Transfer Engine'!$C$2:$C$1199,0)))</f>
        <v/>
      </c>
      <c r="N804" s="7" t="str">
        <f>IF(ISNA(MATCH(795,'Transfer Engine'!$C$2:$C$1199,0)),"",INDEX('Compliance Database'!$N$2:$N$1199,MATCH(795,'Transfer Engine'!$C$2:$C$1199,0)))</f>
        <v/>
      </c>
      <c r="O804" s="7" t="str">
        <f>IF(ISNA(MATCH(795,'Transfer Engine'!$C$2:$C$1199,0)),"",INDEX('Compliance Database'!$O$2:$O$1199,MATCH(795,'Transfer Engine'!$C$2:$C$1199,0)))</f>
        <v/>
      </c>
      <c r="P804" s="6" t="str">
        <f>IF(ISNA(MATCH(795,'Transfer Engine'!$C$2:$C$1199,0)),"",HYPERLINK("#Acts!A"&amp;INDEX('Compliance Database'!$P$2:$P$1199,MATCH(795,'Transfer Engine'!$C$2:$C$1199,0)),"Go to Act"))</f>
        <v/>
      </c>
    </row>
    <row r="805" spans="1:16" ht="172.95" customHeight="1" x14ac:dyDescent="0.3">
      <c r="A805" s="6" t="str">
        <f>IF(ISNA(MATCH(796,'Transfer Engine'!$C$2:$C$1199,0)),"",INDEX('Compliance Database'!$A$2:$A$1199,MATCH(796,'Transfer Engine'!$C$2:$C$1199,0)))</f>
        <v/>
      </c>
      <c r="B805" s="6" t="str">
        <f>IF(ISNA(MATCH(796,'Transfer Engine'!$C$2:$C$1199,0)),"",INDEX('Compliance Database'!$B$2:$B$1199,MATCH(796,'Transfer Engine'!$C$2:$C$1199,0)))</f>
        <v/>
      </c>
      <c r="C805" s="6" t="str">
        <f>IF(ISNA(MATCH(796,'Transfer Engine'!$C$2:$C$1199,0)),"",INDEX('Compliance Database'!$C$2:$C$1199,MATCH(796,'Transfer Engine'!$C$2:$C$1199,0)))</f>
        <v/>
      </c>
      <c r="D805" s="7" t="str">
        <f>IF(ISNA(MATCH(796,'Transfer Engine'!$C$2:$C$1199,0)),"",INDEX('Compliance Database'!$D$2:$D$1199,MATCH(796,'Transfer Engine'!$C$2:$C$1199,0)))</f>
        <v/>
      </c>
      <c r="E805" s="6" t="str">
        <f>IF(ISNA(MATCH(796,'Transfer Engine'!$C$2:$C$1199,0)),"",INDEX('Compliance Database'!$E$2:$E$1199,MATCH(796,'Transfer Engine'!$C$2:$C$1199,0)))</f>
        <v/>
      </c>
      <c r="F805" s="6" t="str">
        <f>IF(ISNA(MATCH(796,'Transfer Engine'!$C$2:$C$1199,0)),"",INDEX('Compliance Database'!$F$2:$F$1199,MATCH(796,'Transfer Engine'!$C$2:$C$1199,0)))</f>
        <v/>
      </c>
      <c r="G805" s="6" t="str">
        <f>IF(ISNA(MATCH(796,'Transfer Engine'!$C$2:$C$1199,0)),"",INDEX('Compliance Database'!$G$2:$G$1199,MATCH(796,'Transfer Engine'!$C$2:$C$1199,0)))</f>
        <v/>
      </c>
      <c r="H805" s="7" t="str">
        <f>IF(ISNA(MATCH(796,'Transfer Engine'!$C$2:$C$1199,0)),"",INDEX('Compliance Database'!$H$2:$H$1199,MATCH(796,'Transfer Engine'!$C$2:$C$1199,0)))</f>
        <v/>
      </c>
      <c r="I805" s="7" t="str">
        <f>IF(ISNA(MATCH(796,'Transfer Engine'!$C$2:$C$1199,0)),"",INDEX('Compliance Database'!$I$2:$I$1199,MATCH(796,'Transfer Engine'!$C$2:$C$1199,0)))</f>
        <v/>
      </c>
      <c r="J805" s="6" t="str">
        <f>IF(ISNA(MATCH(796,'Transfer Engine'!$C$2:$C$1199,0)),"",INDEX('Compliance Database'!$J$2:$J$1199,MATCH(796,'Transfer Engine'!$C$2:$C$1199,0)))</f>
        <v/>
      </c>
      <c r="K805" s="7" t="str">
        <f>IF(ISNA(MATCH(796,'Transfer Engine'!$C$2:$C$1199,0)),"",INDEX('Compliance Database'!$K$2:$K$1199,MATCH(796,'Transfer Engine'!$C$2:$C$1199,0)))</f>
        <v/>
      </c>
      <c r="L805" s="7" t="str">
        <f>IF(ISNA(MATCH(796,'Transfer Engine'!$C$2:$C$1199,0)),"",INDEX('Compliance Database'!$L$2:$L$1199,MATCH(796,'Transfer Engine'!$C$2:$C$1199,0)))</f>
        <v/>
      </c>
      <c r="M805" s="7" t="str">
        <f>IF(ISNA(MATCH(796,'Transfer Engine'!$C$2:$C$1199,0)),"",INDEX('Compliance Database'!$M$2:$M$1199,MATCH(796,'Transfer Engine'!$C$2:$C$1199,0)))</f>
        <v/>
      </c>
      <c r="N805" s="7" t="str">
        <f>IF(ISNA(MATCH(796,'Transfer Engine'!$C$2:$C$1199,0)),"",INDEX('Compliance Database'!$N$2:$N$1199,MATCH(796,'Transfer Engine'!$C$2:$C$1199,0)))</f>
        <v/>
      </c>
      <c r="O805" s="7" t="str">
        <f>IF(ISNA(MATCH(796,'Transfer Engine'!$C$2:$C$1199,0)),"",INDEX('Compliance Database'!$O$2:$O$1199,MATCH(796,'Transfer Engine'!$C$2:$C$1199,0)))</f>
        <v/>
      </c>
      <c r="P805" s="6" t="str">
        <f>IF(ISNA(MATCH(796,'Transfer Engine'!$C$2:$C$1199,0)),"",HYPERLINK("#Acts!A"&amp;INDEX('Compliance Database'!$P$2:$P$1199,MATCH(796,'Transfer Engine'!$C$2:$C$1199,0)),"Go to Act"))</f>
        <v/>
      </c>
    </row>
    <row r="806" spans="1:16" ht="172.95" customHeight="1" x14ac:dyDescent="0.3">
      <c r="A806" s="6" t="str">
        <f>IF(ISNA(MATCH(797,'Transfer Engine'!$C$2:$C$1199,0)),"",INDEX('Compliance Database'!$A$2:$A$1199,MATCH(797,'Transfer Engine'!$C$2:$C$1199,0)))</f>
        <v/>
      </c>
      <c r="B806" s="6" t="str">
        <f>IF(ISNA(MATCH(797,'Transfer Engine'!$C$2:$C$1199,0)),"",INDEX('Compliance Database'!$B$2:$B$1199,MATCH(797,'Transfer Engine'!$C$2:$C$1199,0)))</f>
        <v/>
      </c>
      <c r="C806" s="6" t="str">
        <f>IF(ISNA(MATCH(797,'Transfer Engine'!$C$2:$C$1199,0)),"",INDEX('Compliance Database'!$C$2:$C$1199,MATCH(797,'Transfer Engine'!$C$2:$C$1199,0)))</f>
        <v/>
      </c>
      <c r="D806" s="7" t="str">
        <f>IF(ISNA(MATCH(797,'Transfer Engine'!$C$2:$C$1199,0)),"",INDEX('Compliance Database'!$D$2:$D$1199,MATCH(797,'Transfer Engine'!$C$2:$C$1199,0)))</f>
        <v/>
      </c>
      <c r="E806" s="6" t="str">
        <f>IF(ISNA(MATCH(797,'Transfer Engine'!$C$2:$C$1199,0)),"",INDEX('Compliance Database'!$E$2:$E$1199,MATCH(797,'Transfer Engine'!$C$2:$C$1199,0)))</f>
        <v/>
      </c>
      <c r="F806" s="6" t="str">
        <f>IF(ISNA(MATCH(797,'Transfer Engine'!$C$2:$C$1199,0)),"",INDEX('Compliance Database'!$F$2:$F$1199,MATCH(797,'Transfer Engine'!$C$2:$C$1199,0)))</f>
        <v/>
      </c>
      <c r="G806" s="6" t="str">
        <f>IF(ISNA(MATCH(797,'Transfer Engine'!$C$2:$C$1199,0)),"",INDEX('Compliance Database'!$G$2:$G$1199,MATCH(797,'Transfer Engine'!$C$2:$C$1199,0)))</f>
        <v/>
      </c>
      <c r="H806" s="7" t="str">
        <f>IF(ISNA(MATCH(797,'Transfer Engine'!$C$2:$C$1199,0)),"",INDEX('Compliance Database'!$H$2:$H$1199,MATCH(797,'Transfer Engine'!$C$2:$C$1199,0)))</f>
        <v/>
      </c>
      <c r="I806" s="7" t="str">
        <f>IF(ISNA(MATCH(797,'Transfer Engine'!$C$2:$C$1199,0)),"",INDEX('Compliance Database'!$I$2:$I$1199,MATCH(797,'Transfer Engine'!$C$2:$C$1199,0)))</f>
        <v/>
      </c>
      <c r="J806" s="6" t="str">
        <f>IF(ISNA(MATCH(797,'Transfer Engine'!$C$2:$C$1199,0)),"",INDEX('Compliance Database'!$J$2:$J$1199,MATCH(797,'Transfer Engine'!$C$2:$C$1199,0)))</f>
        <v/>
      </c>
      <c r="K806" s="7" t="str">
        <f>IF(ISNA(MATCH(797,'Transfer Engine'!$C$2:$C$1199,0)),"",INDEX('Compliance Database'!$K$2:$K$1199,MATCH(797,'Transfer Engine'!$C$2:$C$1199,0)))</f>
        <v/>
      </c>
      <c r="L806" s="7" t="str">
        <f>IF(ISNA(MATCH(797,'Transfer Engine'!$C$2:$C$1199,0)),"",INDEX('Compliance Database'!$L$2:$L$1199,MATCH(797,'Transfer Engine'!$C$2:$C$1199,0)))</f>
        <v/>
      </c>
      <c r="M806" s="7" t="str">
        <f>IF(ISNA(MATCH(797,'Transfer Engine'!$C$2:$C$1199,0)),"",INDEX('Compliance Database'!$M$2:$M$1199,MATCH(797,'Transfer Engine'!$C$2:$C$1199,0)))</f>
        <v/>
      </c>
      <c r="N806" s="7" t="str">
        <f>IF(ISNA(MATCH(797,'Transfer Engine'!$C$2:$C$1199,0)),"",INDEX('Compliance Database'!$N$2:$N$1199,MATCH(797,'Transfer Engine'!$C$2:$C$1199,0)))</f>
        <v/>
      </c>
      <c r="O806" s="7" t="str">
        <f>IF(ISNA(MATCH(797,'Transfer Engine'!$C$2:$C$1199,0)),"",INDEX('Compliance Database'!$O$2:$O$1199,MATCH(797,'Transfer Engine'!$C$2:$C$1199,0)))</f>
        <v/>
      </c>
      <c r="P806" s="6" t="str">
        <f>IF(ISNA(MATCH(797,'Transfer Engine'!$C$2:$C$1199,0)),"",HYPERLINK("#Acts!A"&amp;INDEX('Compliance Database'!$P$2:$P$1199,MATCH(797,'Transfer Engine'!$C$2:$C$1199,0)),"Go to Act"))</f>
        <v/>
      </c>
    </row>
    <row r="807" spans="1:16" ht="172.95" customHeight="1" x14ac:dyDescent="0.3">
      <c r="A807" s="6" t="str">
        <f>IF(ISNA(MATCH(798,'Transfer Engine'!$C$2:$C$1199,0)),"",INDEX('Compliance Database'!$A$2:$A$1199,MATCH(798,'Transfer Engine'!$C$2:$C$1199,0)))</f>
        <v/>
      </c>
      <c r="B807" s="6" t="str">
        <f>IF(ISNA(MATCH(798,'Transfer Engine'!$C$2:$C$1199,0)),"",INDEX('Compliance Database'!$B$2:$B$1199,MATCH(798,'Transfer Engine'!$C$2:$C$1199,0)))</f>
        <v/>
      </c>
      <c r="C807" s="6" t="str">
        <f>IF(ISNA(MATCH(798,'Transfer Engine'!$C$2:$C$1199,0)),"",INDEX('Compliance Database'!$C$2:$C$1199,MATCH(798,'Transfer Engine'!$C$2:$C$1199,0)))</f>
        <v/>
      </c>
      <c r="D807" s="7" t="str">
        <f>IF(ISNA(MATCH(798,'Transfer Engine'!$C$2:$C$1199,0)),"",INDEX('Compliance Database'!$D$2:$D$1199,MATCH(798,'Transfer Engine'!$C$2:$C$1199,0)))</f>
        <v/>
      </c>
      <c r="E807" s="6" t="str">
        <f>IF(ISNA(MATCH(798,'Transfer Engine'!$C$2:$C$1199,0)),"",INDEX('Compliance Database'!$E$2:$E$1199,MATCH(798,'Transfer Engine'!$C$2:$C$1199,0)))</f>
        <v/>
      </c>
      <c r="F807" s="6" t="str">
        <f>IF(ISNA(MATCH(798,'Transfer Engine'!$C$2:$C$1199,0)),"",INDEX('Compliance Database'!$F$2:$F$1199,MATCH(798,'Transfer Engine'!$C$2:$C$1199,0)))</f>
        <v/>
      </c>
      <c r="G807" s="6" t="str">
        <f>IF(ISNA(MATCH(798,'Transfer Engine'!$C$2:$C$1199,0)),"",INDEX('Compliance Database'!$G$2:$G$1199,MATCH(798,'Transfer Engine'!$C$2:$C$1199,0)))</f>
        <v/>
      </c>
      <c r="H807" s="7" t="str">
        <f>IF(ISNA(MATCH(798,'Transfer Engine'!$C$2:$C$1199,0)),"",INDEX('Compliance Database'!$H$2:$H$1199,MATCH(798,'Transfer Engine'!$C$2:$C$1199,0)))</f>
        <v/>
      </c>
      <c r="I807" s="7" t="str">
        <f>IF(ISNA(MATCH(798,'Transfer Engine'!$C$2:$C$1199,0)),"",INDEX('Compliance Database'!$I$2:$I$1199,MATCH(798,'Transfer Engine'!$C$2:$C$1199,0)))</f>
        <v/>
      </c>
      <c r="J807" s="6" t="str">
        <f>IF(ISNA(MATCH(798,'Transfer Engine'!$C$2:$C$1199,0)),"",INDEX('Compliance Database'!$J$2:$J$1199,MATCH(798,'Transfer Engine'!$C$2:$C$1199,0)))</f>
        <v/>
      </c>
      <c r="K807" s="7" t="str">
        <f>IF(ISNA(MATCH(798,'Transfer Engine'!$C$2:$C$1199,0)),"",INDEX('Compliance Database'!$K$2:$K$1199,MATCH(798,'Transfer Engine'!$C$2:$C$1199,0)))</f>
        <v/>
      </c>
      <c r="L807" s="7" t="str">
        <f>IF(ISNA(MATCH(798,'Transfer Engine'!$C$2:$C$1199,0)),"",INDEX('Compliance Database'!$L$2:$L$1199,MATCH(798,'Transfer Engine'!$C$2:$C$1199,0)))</f>
        <v/>
      </c>
      <c r="M807" s="7" t="str">
        <f>IF(ISNA(MATCH(798,'Transfer Engine'!$C$2:$C$1199,0)),"",INDEX('Compliance Database'!$M$2:$M$1199,MATCH(798,'Transfer Engine'!$C$2:$C$1199,0)))</f>
        <v/>
      </c>
      <c r="N807" s="7" t="str">
        <f>IF(ISNA(MATCH(798,'Transfer Engine'!$C$2:$C$1199,0)),"",INDEX('Compliance Database'!$N$2:$N$1199,MATCH(798,'Transfer Engine'!$C$2:$C$1199,0)))</f>
        <v/>
      </c>
      <c r="O807" s="7" t="str">
        <f>IF(ISNA(MATCH(798,'Transfer Engine'!$C$2:$C$1199,0)),"",INDEX('Compliance Database'!$O$2:$O$1199,MATCH(798,'Transfer Engine'!$C$2:$C$1199,0)))</f>
        <v/>
      </c>
      <c r="P807" s="6" t="str">
        <f>IF(ISNA(MATCH(798,'Transfer Engine'!$C$2:$C$1199,0)),"",HYPERLINK("#Acts!A"&amp;INDEX('Compliance Database'!$P$2:$P$1199,MATCH(798,'Transfer Engine'!$C$2:$C$1199,0)),"Go to Act"))</f>
        <v/>
      </c>
    </row>
    <row r="808" spans="1:16" ht="172.95" customHeight="1" x14ac:dyDescent="0.3">
      <c r="A808" s="6" t="str">
        <f>IF(ISNA(MATCH(799,'Transfer Engine'!$C$2:$C$1199,0)),"",INDEX('Compliance Database'!$A$2:$A$1199,MATCH(799,'Transfer Engine'!$C$2:$C$1199,0)))</f>
        <v/>
      </c>
      <c r="B808" s="6" t="str">
        <f>IF(ISNA(MATCH(799,'Transfer Engine'!$C$2:$C$1199,0)),"",INDEX('Compliance Database'!$B$2:$B$1199,MATCH(799,'Transfer Engine'!$C$2:$C$1199,0)))</f>
        <v/>
      </c>
      <c r="C808" s="6" t="str">
        <f>IF(ISNA(MATCH(799,'Transfer Engine'!$C$2:$C$1199,0)),"",INDEX('Compliance Database'!$C$2:$C$1199,MATCH(799,'Transfer Engine'!$C$2:$C$1199,0)))</f>
        <v/>
      </c>
      <c r="D808" s="7" t="str">
        <f>IF(ISNA(MATCH(799,'Transfer Engine'!$C$2:$C$1199,0)),"",INDEX('Compliance Database'!$D$2:$D$1199,MATCH(799,'Transfer Engine'!$C$2:$C$1199,0)))</f>
        <v/>
      </c>
      <c r="E808" s="6" t="str">
        <f>IF(ISNA(MATCH(799,'Transfer Engine'!$C$2:$C$1199,0)),"",INDEX('Compliance Database'!$E$2:$E$1199,MATCH(799,'Transfer Engine'!$C$2:$C$1199,0)))</f>
        <v/>
      </c>
      <c r="F808" s="6" t="str">
        <f>IF(ISNA(MATCH(799,'Transfer Engine'!$C$2:$C$1199,0)),"",INDEX('Compliance Database'!$F$2:$F$1199,MATCH(799,'Transfer Engine'!$C$2:$C$1199,0)))</f>
        <v/>
      </c>
      <c r="G808" s="6" t="str">
        <f>IF(ISNA(MATCH(799,'Transfer Engine'!$C$2:$C$1199,0)),"",INDEX('Compliance Database'!$G$2:$G$1199,MATCH(799,'Transfer Engine'!$C$2:$C$1199,0)))</f>
        <v/>
      </c>
      <c r="H808" s="7" t="str">
        <f>IF(ISNA(MATCH(799,'Transfer Engine'!$C$2:$C$1199,0)),"",INDEX('Compliance Database'!$H$2:$H$1199,MATCH(799,'Transfer Engine'!$C$2:$C$1199,0)))</f>
        <v/>
      </c>
      <c r="I808" s="7" t="str">
        <f>IF(ISNA(MATCH(799,'Transfer Engine'!$C$2:$C$1199,0)),"",INDEX('Compliance Database'!$I$2:$I$1199,MATCH(799,'Transfer Engine'!$C$2:$C$1199,0)))</f>
        <v/>
      </c>
      <c r="J808" s="6" t="str">
        <f>IF(ISNA(MATCH(799,'Transfer Engine'!$C$2:$C$1199,0)),"",INDEX('Compliance Database'!$J$2:$J$1199,MATCH(799,'Transfer Engine'!$C$2:$C$1199,0)))</f>
        <v/>
      </c>
      <c r="K808" s="7" t="str">
        <f>IF(ISNA(MATCH(799,'Transfer Engine'!$C$2:$C$1199,0)),"",INDEX('Compliance Database'!$K$2:$K$1199,MATCH(799,'Transfer Engine'!$C$2:$C$1199,0)))</f>
        <v/>
      </c>
      <c r="L808" s="7" t="str">
        <f>IF(ISNA(MATCH(799,'Transfer Engine'!$C$2:$C$1199,0)),"",INDEX('Compliance Database'!$L$2:$L$1199,MATCH(799,'Transfer Engine'!$C$2:$C$1199,0)))</f>
        <v/>
      </c>
      <c r="M808" s="7" t="str">
        <f>IF(ISNA(MATCH(799,'Transfer Engine'!$C$2:$C$1199,0)),"",INDEX('Compliance Database'!$M$2:$M$1199,MATCH(799,'Transfer Engine'!$C$2:$C$1199,0)))</f>
        <v/>
      </c>
      <c r="N808" s="7" t="str">
        <f>IF(ISNA(MATCH(799,'Transfer Engine'!$C$2:$C$1199,0)),"",INDEX('Compliance Database'!$N$2:$N$1199,MATCH(799,'Transfer Engine'!$C$2:$C$1199,0)))</f>
        <v/>
      </c>
      <c r="O808" s="7" t="str">
        <f>IF(ISNA(MATCH(799,'Transfer Engine'!$C$2:$C$1199,0)),"",INDEX('Compliance Database'!$O$2:$O$1199,MATCH(799,'Transfer Engine'!$C$2:$C$1199,0)))</f>
        <v/>
      </c>
      <c r="P808" s="6" t="str">
        <f>IF(ISNA(MATCH(799,'Transfer Engine'!$C$2:$C$1199,0)),"",HYPERLINK("#Acts!A"&amp;INDEX('Compliance Database'!$P$2:$P$1199,MATCH(799,'Transfer Engine'!$C$2:$C$1199,0)),"Go to Act"))</f>
        <v/>
      </c>
    </row>
    <row r="809" spans="1:16" ht="172.95" customHeight="1" x14ac:dyDescent="0.3">
      <c r="A809" s="6" t="str">
        <f>IF(ISNA(MATCH(800,'Transfer Engine'!$C$2:$C$1199,0)),"",INDEX('Compliance Database'!$A$2:$A$1199,MATCH(800,'Transfer Engine'!$C$2:$C$1199,0)))</f>
        <v/>
      </c>
      <c r="B809" s="6" t="str">
        <f>IF(ISNA(MATCH(800,'Transfer Engine'!$C$2:$C$1199,0)),"",INDEX('Compliance Database'!$B$2:$B$1199,MATCH(800,'Transfer Engine'!$C$2:$C$1199,0)))</f>
        <v/>
      </c>
      <c r="C809" s="6" t="str">
        <f>IF(ISNA(MATCH(800,'Transfer Engine'!$C$2:$C$1199,0)),"",INDEX('Compliance Database'!$C$2:$C$1199,MATCH(800,'Transfer Engine'!$C$2:$C$1199,0)))</f>
        <v/>
      </c>
      <c r="D809" s="7" t="str">
        <f>IF(ISNA(MATCH(800,'Transfer Engine'!$C$2:$C$1199,0)),"",INDEX('Compliance Database'!$D$2:$D$1199,MATCH(800,'Transfer Engine'!$C$2:$C$1199,0)))</f>
        <v/>
      </c>
      <c r="E809" s="6" t="str">
        <f>IF(ISNA(MATCH(800,'Transfer Engine'!$C$2:$C$1199,0)),"",INDEX('Compliance Database'!$E$2:$E$1199,MATCH(800,'Transfer Engine'!$C$2:$C$1199,0)))</f>
        <v/>
      </c>
      <c r="F809" s="6" t="str">
        <f>IF(ISNA(MATCH(800,'Transfer Engine'!$C$2:$C$1199,0)),"",INDEX('Compliance Database'!$F$2:$F$1199,MATCH(800,'Transfer Engine'!$C$2:$C$1199,0)))</f>
        <v/>
      </c>
      <c r="G809" s="6" t="str">
        <f>IF(ISNA(MATCH(800,'Transfer Engine'!$C$2:$C$1199,0)),"",INDEX('Compliance Database'!$G$2:$G$1199,MATCH(800,'Transfer Engine'!$C$2:$C$1199,0)))</f>
        <v/>
      </c>
      <c r="H809" s="7" t="str">
        <f>IF(ISNA(MATCH(800,'Transfer Engine'!$C$2:$C$1199,0)),"",INDEX('Compliance Database'!$H$2:$H$1199,MATCH(800,'Transfer Engine'!$C$2:$C$1199,0)))</f>
        <v/>
      </c>
      <c r="I809" s="7" t="str">
        <f>IF(ISNA(MATCH(800,'Transfer Engine'!$C$2:$C$1199,0)),"",INDEX('Compliance Database'!$I$2:$I$1199,MATCH(800,'Transfer Engine'!$C$2:$C$1199,0)))</f>
        <v/>
      </c>
      <c r="J809" s="6" t="str">
        <f>IF(ISNA(MATCH(800,'Transfer Engine'!$C$2:$C$1199,0)),"",INDEX('Compliance Database'!$J$2:$J$1199,MATCH(800,'Transfer Engine'!$C$2:$C$1199,0)))</f>
        <v/>
      </c>
      <c r="K809" s="7" t="str">
        <f>IF(ISNA(MATCH(800,'Transfer Engine'!$C$2:$C$1199,0)),"",INDEX('Compliance Database'!$K$2:$K$1199,MATCH(800,'Transfer Engine'!$C$2:$C$1199,0)))</f>
        <v/>
      </c>
      <c r="L809" s="7" t="str">
        <f>IF(ISNA(MATCH(800,'Transfer Engine'!$C$2:$C$1199,0)),"",INDEX('Compliance Database'!$L$2:$L$1199,MATCH(800,'Transfer Engine'!$C$2:$C$1199,0)))</f>
        <v/>
      </c>
      <c r="M809" s="7" t="str">
        <f>IF(ISNA(MATCH(800,'Transfer Engine'!$C$2:$C$1199,0)),"",INDEX('Compliance Database'!$M$2:$M$1199,MATCH(800,'Transfer Engine'!$C$2:$C$1199,0)))</f>
        <v/>
      </c>
      <c r="N809" s="7" t="str">
        <f>IF(ISNA(MATCH(800,'Transfer Engine'!$C$2:$C$1199,0)),"",INDEX('Compliance Database'!$N$2:$N$1199,MATCH(800,'Transfer Engine'!$C$2:$C$1199,0)))</f>
        <v/>
      </c>
      <c r="O809" s="7" t="str">
        <f>IF(ISNA(MATCH(800,'Transfer Engine'!$C$2:$C$1199,0)),"",INDEX('Compliance Database'!$O$2:$O$1199,MATCH(800,'Transfer Engine'!$C$2:$C$1199,0)))</f>
        <v/>
      </c>
      <c r="P809" s="6" t="str">
        <f>IF(ISNA(MATCH(800,'Transfer Engine'!$C$2:$C$1199,0)),"",HYPERLINK("#Acts!A"&amp;INDEX('Compliance Database'!$P$2:$P$1199,MATCH(800,'Transfer Engine'!$C$2:$C$1199,0)),"Go to Act"))</f>
        <v/>
      </c>
    </row>
    <row r="810" spans="1:16" ht="172.95" customHeight="1" x14ac:dyDescent="0.3">
      <c r="A810" s="6" t="str">
        <f>IF(ISNA(MATCH(801,'Transfer Engine'!$C$2:$C$1199,0)),"",INDEX('Compliance Database'!$A$2:$A$1199,MATCH(801,'Transfer Engine'!$C$2:$C$1199,0)))</f>
        <v/>
      </c>
      <c r="B810" s="6" t="str">
        <f>IF(ISNA(MATCH(801,'Transfer Engine'!$C$2:$C$1199,0)),"",INDEX('Compliance Database'!$B$2:$B$1199,MATCH(801,'Transfer Engine'!$C$2:$C$1199,0)))</f>
        <v/>
      </c>
      <c r="C810" s="6" t="str">
        <f>IF(ISNA(MATCH(801,'Transfer Engine'!$C$2:$C$1199,0)),"",INDEX('Compliance Database'!$C$2:$C$1199,MATCH(801,'Transfer Engine'!$C$2:$C$1199,0)))</f>
        <v/>
      </c>
      <c r="D810" s="7" t="str">
        <f>IF(ISNA(MATCH(801,'Transfer Engine'!$C$2:$C$1199,0)),"",INDEX('Compliance Database'!$D$2:$D$1199,MATCH(801,'Transfer Engine'!$C$2:$C$1199,0)))</f>
        <v/>
      </c>
      <c r="E810" s="6" t="str">
        <f>IF(ISNA(MATCH(801,'Transfer Engine'!$C$2:$C$1199,0)),"",INDEX('Compliance Database'!$E$2:$E$1199,MATCH(801,'Transfer Engine'!$C$2:$C$1199,0)))</f>
        <v/>
      </c>
      <c r="F810" s="6" t="str">
        <f>IF(ISNA(MATCH(801,'Transfer Engine'!$C$2:$C$1199,0)),"",INDEX('Compliance Database'!$F$2:$F$1199,MATCH(801,'Transfer Engine'!$C$2:$C$1199,0)))</f>
        <v/>
      </c>
      <c r="G810" s="6" t="str">
        <f>IF(ISNA(MATCH(801,'Transfer Engine'!$C$2:$C$1199,0)),"",INDEX('Compliance Database'!$G$2:$G$1199,MATCH(801,'Transfer Engine'!$C$2:$C$1199,0)))</f>
        <v/>
      </c>
      <c r="H810" s="7" t="str">
        <f>IF(ISNA(MATCH(801,'Transfer Engine'!$C$2:$C$1199,0)),"",INDEX('Compliance Database'!$H$2:$H$1199,MATCH(801,'Transfer Engine'!$C$2:$C$1199,0)))</f>
        <v/>
      </c>
      <c r="I810" s="7" t="str">
        <f>IF(ISNA(MATCH(801,'Transfer Engine'!$C$2:$C$1199,0)),"",INDEX('Compliance Database'!$I$2:$I$1199,MATCH(801,'Transfer Engine'!$C$2:$C$1199,0)))</f>
        <v/>
      </c>
      <c r="J810" s="6" t="str">
        <f>IF(ISNA(MATCH(801,'Transfer Engine'!$C$2:$C$1199,0)),"",INDEX('Compliance Database'!$J$2:$J$1199,MATCH(801,'Transfer Engine'!$C$2:$C$1199,0)))</f>
        <v/>
      </c>
      <c r="K810" s="7" t="str">
        <f>IF(ISNA(MATCH(801,'Transfer Engine'!$C$2:$C$1199,0)),"",INDEX('Compliance Database'!$K$2:$K$1199,MATCH(801,'Transfer Engine'!$C$2:$C$1199,0)))</f>
        <v/>
      </c>
      <c r="L810" s="7" t="str">
        <f>IF(ISNA(MATCH(801,'Transfer Engine'!$C$2:$C$1199,0)),"",INDEX('Compliance Database'!$L$2:$L$1199,MATCH(801,'Transfer Engine'!$C$2:$C$1199,0)))</f>
        <v/>
      </c>
      <c r="M810" s="7" t="str">
        <f>IF(ISNA(MATCH(801,'Transfer Engine'!$C$2:$C$1199,0)),"",INDEX('Compliance Database'!$M$2:$M$1199,MATCH(801,'Transfer Engine'!$C$2:$C$1199,0)))</f>
        <v/>
      </c>
      <c r="N810" s="7" t="str">
        <f>IF(ISNA(MATCH(801,'Transfer Engine'!$C$2:$C$1199,0)),"",INDEX('Compliance Database'!$N$2:$N$1199,MATCH(801,'Transfer Engine'!$C$2:$C$1199,0)))</f>
        <v/>
      </c>
      <c r="O810" s="7" t="str">
        <f>IF(ISNA(MATCH(801,'Transfer Engine'!$C$2:$C$1199,0)),"",INDEX('Compliance Database'!$O$2:$O$1199,MATCH(801,'Transfer Engine'!$C$2:$C$1199,0)))</f>
        <v/>
      </c>
      <c r="P810" s="6" t="str">
        <f>IF(ISNA(MATCH(801,'Transfer Engine'!$C$2:$C$1199,0)),"",HYPERLINK("#Acts!A"&amp;INDEX('Compliance Database'!$P$2:$P$1199,MATCH(801,'Transfer Engine'!$C$2:$C$1199,0)),"Go to Act"))</f>
        <v/>
      </c>
    </row>
    <row r="811" spans="1:16" ht="172.95" customHeight="1" x14ac:dyDescent="0.3">
      <c r="A811" s="6" t="str">
        <f>IF(ISNA(MATCH(802,'Transfer Engine'!$C$2:$C$1199,0)),"",INDEX('Compliance Database'!$A$2:$A$1199,MATCH(802,'Transfer Engine'!$C$2:$C$1199,0)))</f>
        <v/>
      </c>
      <c r="B811" s="6" t="str">
        <f>IF(ISNA(MATCH(802,'Transfer Engine'!$C$2:$C$1199,0)),"",INDEX('Compliance Database'!$B$2:$B$1199,MATCH(802,'Transfer Engine'!$C$2:$C$1199,0)))</f>
        <v/>
      </c>
      <c r="C811" s="6" t="str">
        <f>IF(ISNA(MATCH(802,'Transfer Engine'!$C$2:$C$1199,0)),"",INDEX('Compliance Database'!$C$2:$C$1199,MATCH(802,'Transfer Engine'!$C$2:$C$1199,0)))</f>
        <v/>
      </c>
      <c r="D811" s="7" t="str">
        <f>IF(ISNA(MATCH(802,'Transfer Engine'!$C$2:$C$1199,0)),"",INDEX('Compliance Database'!$D$2:$D$1199,MATCH(802,'Transfer Engine'!$C$2:$C$1199,0)))</f>
        <v/>
      </c>
      <c r="E811" s="6" t="str">
        <f>IF(ISNA(MATCH(802,'Transfer Engine'!$C$2:$C$1199,0)),"",INDEX('Compliance Database'!$E$2:$E$1199,MATCH(802,'Transfer Engine'!$C$2:$C$1199,0)))</f>
        <v/>
      </c>
      <c r="F811" s="6" t="str">
        <f>IF(ISNA(MATCH(802,'Transfer Engine'!$C$2:$C$1199,0)),"",INDEX('Compliance Database'!$F$2:$F$1199,MATCH(802,'Transfer Engine'!$C$2:$C$1199,0)))</f>
        <v/>
      </c>
      <c r="G811" s="6" t="str">
        <f>IF(ISNA(MATCH(802,'Transfer Engine'!$C$2:$C$1199,0)),"",INDEX('Compliance Database'!$G$2:$G$1199,MATCH(802,'Transfer Engine'!$C$2:$C$1199,0)))</f>
        <v/>
      </c>
      <c r="H811" s="7" t="str">
        <f>IF(ISNA(MATCH(802,'Transfer Engine'!$C$2:$C$1199,0)),"",INDEX('Compliance Database'!$H$2:$H$1199,MATCH(802,'Transfer Engine'!$C$2:$C$1199,0)))</f>
        <v/>
      </c>
      <c r="I811" s="7" t="str">
        <f>IF(ISNA(MATCH(802,'Transfer Engine'!$C$2:$C$1199,0)),"",INDEX('Compliance Database'!$I$2:$I$1199,MATCH(802,'Transfer Engine'!$C$2:$C$1199,0)))</f>
        <v/>
      </c>
      <c r="J811" s="6" t="str">
        <f>IF(ISNA(MATCH(802,'Transfer Engine'!$C$2:$C$1199,0)),"",INDEX('Compliance Database'!$J$2:$J$1199,MATCH(802,'Transfer Engine'!$C$2:$C$1199,0)))</f>
        <v/>
      </c>
      <c r="K811" s="7" t="str">
        <f>IF(ISNA(MATCH(802,'Transfer Engine'!$C$2:$C$1199,0)),"",INDEX('Compliance Database'!$K$2:$K$1199,MATCH(802,'Transfer Engine'!$C$2:$C$1199,0)))</f>
        <v/>
      </c>
      <c r="L811" s="7" t="str">
        <f>IF(ISNA(MATCH(802,'Transfer Engine'!$C$2:$C$1199,0)),"",INDEX('Compliance Database'!$L$2:$L$1199,MATCH(802,'Transfer Engine'!$C$2:$C$1199,0)))</f>
        <v/>
      </c>
      <c r="M811" s="7" t="str">
        <f>IF(ISNA(MATCH(802,'Transfer Engine'!$C$2:$C$1199,0)),"",INDEX('Compliance Database'!$M$2:$M$1199,MATCH(802,'Transfer Engine'!$C$2:$C$1199,0)))</f>
        <v/>
      </c>
      <c r="N811" s="7" t="str">
        <f>IF(ISNA(MATCH(802,'Transfer Engine'!$C$2:$C$1199,0)),"",INDEX('Compliance Database'!$N$2:$N$1199,MATCH(802,'Transfer Engine'!$C$2:$C$1199,0)))</f>
        <v/>
      </c>
      <c r="O811" s="7" t="str">
        <f>IF(ISNA(MATCH(802,'Transfer Engine'!$C$2:$C$1199,0)),"",INDEX('Compliance Database'!$O$2:$O$1199,MATCH(802,'Transfer Engine'!$C$2:$C$1199,0)))</f>
        <v/>
      </c>
      <c r="P811" s="6" t="str">
        <f>IF(ISNA(MATCH(802,'Transfer Engine'!$C$2:$C$1199,0)),"",HYPERLINK("#Acts!A"&amp;INDEX('Compliance Database'!$P$2:$P$1199,MATCH(802,'Transfer Engine'!$C$2:$C$1199,0)),"Go to Act"))</f>
        <v/>
      </c>
    </row>
    <row r="812" spans="1:16" ht="172.95" customHeight="1" x14ac:dyDescent="0.3">
      <c r="A812" s="6" t="str">
        <f>IF(ISNA(MATCH(803,'Transfer Engine'!$C$2:$C$1199,0)),"",INDEX('Compliance Database'!$A$2:$A$1199,MATCH(803,'Transfer Engine'!$C$2:$C$1199,0)))</f>
        <v/>
      </c>
      <c r="B812" s="6" t="str">
        <f>IF(ISNA(MATCH(803,'Transfer Engine'!$C$2:$C$1199,0)),"",INDEX('Compliance Database'!$B$2:$B$1199,MATCH(803,'Transfer Engine'!$C$2:$C$1199,0)))</f>
        <v/>
      </c>
      <c r="C812" s="6" t="str">
        <f>IF(ISNA(MATCH(803,'Transfer Engine'!$C$2:$C$1199,0)),"",INDEX('Compliance Database'!$C$2:$C$1199,MATCH(803,'Transfer Engine'!$C$2:$C$1199,0)))</f>
        <v/>
      </c>
      <c r="D812" s="7" t="str">
        <f>IF(ISNA(MATCH(803,'Transfer Engine'!$C$2:$C$1199,0)),"",INDEX('Compliance Database'!$D$2:$D$1199,MATCH(803,'Transfer Engine'!$C$2:$C$1199,0)))</f>
        <v/>
      </c>
      <c r="E812" s="6" t="str">
        <f>IF(ISNA(MATCH(803,'Transfer Engine'!$C$2:$C$1199,0)),"",INDEX('Compliance Database'!$E$2:$E$1199,MATCH(803,'Transfer Engine'!$C$2:$C$1199,0)))</f>
        <v/>
      </c>
      <c r="F812" s="6" t="str">
        <f>IF(ISNA(MATCH(803,'Transfer Engine'!$C$2:$C$1199,0)),"",INDEX('Compliance Database'!$F$2:$F$1199,MATCH(803,'Transfer Engine'!$C$2:$C$1199,0)))</f>
        <v/>
      </c>
      <c r="G812" s="6" t="str">
        <f>IF(ISNA(MATCH(803,'Transfer Engine'!$C$2:$C$1199,0)),"",INDEX('Compliance Database'!$G$2:$G$1199,MATCH(803,'Transfer Engine'!$C$2:$C$1199,0)))</f>
        <v/>
      </c>
      <c r="H812" s="7" t="str">
        <f>IF(ISNA(MATCH(803,'Transfer Engine'!$C$2:$C$1199,0)),"",INDEX('Compliance Database'!$H$2:$H$1199,MATCH(803,'Transfer Engine'!$C$2:$C$1199,0)))</f>
        <v/>
      </c>
      <c r="I812" s="7" t="str">
        <f>IF(ISNA(MATCH(803,'Transfer Engine'!$C$2:$C$1199,0)),"",INDEX('Compliance Database'!$I$2:$I$1199,MATCH(803,'Transfer Engine'!$C$2:$C$1199,0)))</f>
        <v/>
      </c>
      <c r="J812" s="6" t="str">
        <f>IF(ISNA(MATCH(803,'Transfer Engine'!$C$2:$C$1199,0)),"",INDEX('Compliance Database'!$J$2:$J$1199,MATCH(803,'Transfer Engine'!$C$2:$C$1199,0)))</f>
        <v/>
      </c>
      <c r="K812" s="7" t="str">
        <f>IF(ISNA(MATCH(803,'Transfer Engine'!$C$2:$C$1199,0)),"",INDEX('Compliance Database'!$K$2:$K$1199,MATCH(803,'Transfer Engine'!$C$2:$C$1199,0)))</f>
        <v/>
      </c>
      <c r="L812" s="7" t="str">
        <f>IF(ISNA(MATCH(803,'Transfer Engine'!$C$2:$C$1199,0)),"",INDEX('Compliance Database'!$L$2:$L$1199,MATCH(803,'Transfer Engine'!$C$2:$C$1199,0)))</f>
        <v/>
      </c>
      <c r="M812" s="7" t="str">
        <f>IF(ISNA(MATCH(803,'Transfer Engine'!$C$2:$C$1199,0)),"",INDEX('Compliance Database'!$M$2:$M$1199,MATCH(803,'Transfer Engine'!$C$2:$C$1199,0)))</f>
        <v/>
      </c>
      <c r="N812" s="7" t="str">
        <f>IF(ISNA(MATCH(803,'Transfer Engine'!$C$2:$C$1199,0)),"",INDEX('Compliance Database'!$N$2:$N$1199,MATCH(803,'Transfer Engine'!$C$2:$C$1199,0)))</f>
        <v/>
      </c>
      <c r="O812" s="7" t="str">
        <f>IF(ISNA(MATCH(803,'Transfer Engine'!$C$2:$C$1199,0)),"",INDEX('Compliance Database'!$O$2:$O$1199,MATCH(803,'Transfer Engine'!$C$2:$C$1199,0)))</f>
        <v/>
      </c>
      <c r="P812" s="6" t="str">
        <f>IF(ISNA(MATCH(803,'Transfer Engine'!$C$2:$C$1199,0)),"",HYPERLINK("#Acts!A"&amp;INDEX('Compliance Database'!$P$2:$P$1199,MATCH(803,'Transfer Engine'!$C$2:$C$1199,0)),"Go to Act"))</f>
        <v/>
      </c>
    </row>
    <row r="813" spans="1:16" ht="172.95" customHeight="1" x14ac:dyDescent="0.3">
      <c r="A813" s="6" t="str">
        <f>IF(ISNA(MATCH(804,'Transfer Engine'!$C$2:$C$1199,0)),"",INDEX('Compliance Database'!$A$2:$A$1199,MATCH(804,'Transfer Engine'!$C$2:$C$1199,0)))</f>
        <v/>
      </c>
      <c r="B813" s="6" t="str">
        <f>IF(ISNA(MATCH(804,'Transfer Engine'!$C$2:$C$1199,0)),"",INDEX('Compliance Database'!$B$2:$B$1199,MATCH(804,'Transfer Engine'!$C$2:$C$1199,0)))</f>
        <v/>
      </c>
      <c r="C813" s="6" t="str">
        <f>IF(ISNA(MATCH(804,'Transfer Engine'!$C$2:$C$1199,0)),"",INDEX('Compliance Database'!$C$2:$C$1199,MATCH(804,'Transfer Engine'!$C$2:$C$1199,0)))</f>
        <v/>
      </c>
      <c r="D813" s="7" t="str">
        <f>IF(ISNA(MATCH(804,'Transfer Engine'!$C$2:$C$1199,0)),"",INDEX('Compliance Database'!$D$2:$D$1199,MATCH(804,'Transfer Engine'!$C$2:$C$1199,0)))</f>
        <v/>
      </c>
      <c r="E813" s="6" t="str">
        <f>IF(ISNA(MATCH(804,'Transfer Engine'!$C$2:$C$1199,0)),"",INDEX('Compliance Database'!$E$2:$E$1199,MATCH(804,'Transfer Engine'!$C$2:$C$1199,0)))</f>
        <v/>
      </c>
      <c r="F813" s="6" t="str">
        <f>IF(ISNA(MATCH(804,'Transfer Engine'!$C$2:$C$1199,0)),"",INDEX('Compliance Database'!$F$2:$F$1199,MATCH(804,'Transfer Engine'!$C$2:$C$1199,0)))</f>
        <v/>
      </c>
      <c r="G813" s="6" t="str">
        <f>IF(ISNA(MATCH(804,'Transfer Engine'!$C$2:$C$1199,0)),"",INDEX('Compliance Database'!$G$2:$G$1199,MATCH(804,'Transfer Engine'!$C$2:$C$1199,0)))</f>
        <v/>
      </c>
      <c r="H813" s="7" t="str">
        <f>IF(ISNA(MATCH(804,'Transfer Engine'!$C$2:$C$1199,0)),"",INDEX('Compliance Database'!$H$2:$H$1199,MATCH(804,'Transfer Engine'!$C$2:$C$1199,0)))</f>
        <v/>
      </c>
      <c r="I813" s="7" t="str">
        <f>IF(ISNA(MATCH(804,'Transfer Engine'!$C$2:$C$1199,0)),"",INDEX('Compliance Database'!$I$2:$I$1199,MATCH(804,'Transfer Engine'!$C$2:$C$1199,0)))</f>
        <v/>
      </c>
      <c r="J813" s="6" t="str">
        <f>IF(ISNA(MATCH(804,'Transfer Engine'!$C$2:$C$1199,0)),"",INDEX('Compliance Database'!$J$2:$J$1199,MATCH(804,'Transfer Engine'!$C$2:$C$1199,0)))</f>
        <v/>
      </c>
      <c r="K813" s="7" t="str">
        <f>IF(ISNA(MATCH(804,'Transfer Engine'!$C$2:$C$1199,0)),"",INDEX('Compliance Database'!$K$2:$K$1199,MATCH(804,'Transfer Engine'!$C$2:$C$1199,0)))</f>
        <v/>
      </c>
      <c r="L813" s="7" t="str">
        <f>IF(ISNA(MATCH(804,'Transfer Engine'!$C$2:$C$1199,0)),"",INDEX('Compliance Database'!$L$2:$L$1199,MATCH(804,'Transfer Engine'!$C$2:$C$1199,0)))</f>
        <v/>
      </c>
      <c r="M813" s="7" t="str">
        <f>IF(ISNA(MATCH(804,'Transfer Engine'!$C$2:$C$1199,0)),"",INDEX('Compliance Database'!$M$2:$M$1199,MATCH(804,'Transfer Engine'!$C$2:$C$1199,0)))</f>
        <v/>
      </c>
      <c r="N813" s="7" t="str">
        <f>IF(ISNA(MATCH(804,'Transfer Engine'!$C$2:$C$1199,0)),"",INDEX('Compliance Database'!$N$2:$N$1199,MATCH(804,'Transfer Engine'!$C$2:$C$1199,0)))</f>
        <v/>
      </c>
      <c r="O813" s="7" t="str">
        <f>IF(ISNA(MATCH(804,'Transfer Engine'!$C$2:$C$1199,0)),"",INDEX('Compliance Database'!$O$2:$O$1199,MATCH(804,'Transfer Engine'!$C$2:$C$1199,0)))</f>
        <v/>
      </c>
      <c r="P813" s="6" t="str">
        <f>IF(ISNA(MATCH(804,'Transfer Engine'!$C$2:$C$1199,0)),"",HYPERLINK("#Acts!A"&amp;INDEX('Compliance Database'!$P$2:$P$1199,MATCH(804,'Transfer Engine'!$C$2:$C$1199,0)),"Go to Act"))</f>
        <v/>
      </c>
    </row>
    <row r="814" spans="1:16" ht="172.95" customHeight="1" x14ac:dyDescent="0.3">
      <c r="A814" s="6" t="str">
        <f>IF(ISNA(MATCH(805,'Transfer Engine'!$C$2:$C$1199,0)),"",INDEX('Compliance Database'!$A$2:$A$1199,MATCH(805,'Transfer Engine'!$C$2:$C$1199,0)))</f>
        <v/>
      </c>
      <c r="B814" s="6" t="str">
        <f>IF(ISNA(MATCH(805,'Transfer Engine'!$C$2:$C$1199,0)),"",INDEX('Compliance Database'!$B$2:$B$1199,MATCH(805,'Transfer Engine'!$C$2:$C$1199,0)))</f>
        <v/>
      </c>
      <c r="C814" s="6" t="str">
        <f>IF(ISNA(MATCH(805,'Transfer Engine'!$C$2:$C$1199,0)),"",INDEX('Compliance Database'!$C$2:$C$1199,MATCH(805,'Transfer Engine'!$C$2:$C$1199,0)))</f>
        <v/>
      </c>
      <c r="D814" s="7" t="str">
        <f>IF(ISNA(MATCH(805,'Transfer Engine'!$C$2:$C$1199,0)),"",INDEX('Compliance Database'!$D$2:$D$1199,MATCH(805,'Transfer Engine'!$C$2:$C$1199,0)))</f>
        <v/>
      </c>
      <c r="E814" s="6" t="str">
        <f>IF(ISNA(MATCH(805,'Transfer Engine'!$C$2:$C$1199,0)),"",INDEX('Compliance Database'!$E$2:$E$1199,MATCH(805,'Transfer Engine'!$C$2:$C$1199,0)))</f>
        <v/>
      </c>
      <c r="F814" s="6" t="str">
        <f>IF(ISNA(MATCH(805,'Transfer Engine'!$C$2:$C$1199,0)),"",INDEX('Compliance Database'!$F$2:$F$1199,MATCH(805,'Transfer Engine'!$C$2:$C$1199,0)))</f>
        <v/>
      </c>
      <c r="G814" s="6" t="str">
        <f>IF(ISNA(MATCH(805,'Transfer Engine'!$C$2:$C$1199,0)),"",INDEX('Compliance Database'!$G$2:$G$1199,MATCH(805,'Transfer Engine'!$C$2:$C$1199,0)))</f>
        <v/>
      </c>
      <c r="H814" s="7" t="str">
        <f>IF(ISNA(MATCH(805,'Transfer Engine'!$C$2:$C$1199,0)),"",INDEX('Compliance Database'!$H$2:$H$1199,MATCH(805,'Transfer Engine'!$C$2:$C$1199,0)))</f>
        <v/>
      </c>
      <c r="I814" s="7" t="str">
        <f>IF(ISNA(MATCH(805,'Transfer Engine'!$C$2:$C$1199,0)),"",INDEX('Compliance Database'!$I$2:$I$1199,MATCH(805,'Transfer Engine'!$C$2:$C$1199,0)))</f>
        <v/>
      </c>
      <c r="J814" s="6" t="str">
        <f>IF(ISNA(MATCH(805,'Transfer Engine'!$C$2:$C$1199,0)),"",INDEX('Compliance Database'!$J$2:$J$1199,MATCH(805,'Transfer Engine'!$C$2:$C$1199,0)))</f>
        <v/>
      </c>
      <c r="K814" s="7" t="str">
        <f>IF(ISNA(MATCH(805,'Transfer Engine'!$C$2:$C$1199,0)),"",INDEX('Compliance Database'!$K$2:$K$1199,MATCH(805,'Transfer Engine'!$C$2:$C$1199,0)))</f>
        <v/>
      </c>
      <c r="L814" s="7" t="str">
        <f>IF(ISNA(MATCH(805,'Transfer Engine'!$C$2:$C$1199,0)),"",INDEX('Compliance Database'!$L$2:$L$1199,MATCH(805,'Transfer Engine'!$C$2:$C$1199,0)))</f>
        <v/>
      </c>
      <c r="M814" s="7" t="str">
        <f>IF(ISNA(MATCH(805,'Transfer Engine'!$C$2:$C$1199,0)),"",INDEX('Compliance Database'!$M$2:$M$1199,MATCH(805,'Transfer Engine'!$C$2:$C$1199,0)))</f>
        <v/>
      </c>
      <c r="N814" s="7" t="str">
        <f>IF(ISNA(MATCH(805,'Transfer Engine'!$C$2:$C$1199,0)),"",INDEX('Compliance Database'!$N$2:$N$1199,MATCH(805,'Transfer Engine'!$C$2:$C$1199,0)))</f>
        <v/>
      </c>
      <c r="O814" s="7" t="str">
        <f>IF(ISNA(MATCH(805,'Transfer Engine'!$C$2:$C$1199,0)),"",INDEX('Compliance Database'!$O$2:$O$1199,MATCH(805,'Transfer Engine'!$C$2:$C$1199,0)))</f>
        <v/>
      </c>
      <c r="P814" s="6" t="str">
        <f>IF(ISNA(MATCH(805,'Transfer Engine'!$C$2:$C$1199,0)),"",HYPERLINK("#Acts!A"&amp;INDEX('Compliance Database'!$P$2:$P$1199,MATCH(805,'Transfer Engine'!$C$2:$C$1199,0)),"Go to Act"))</f>
        <v/>
      </c>
    </row>
    <row r="815" spans="1:16" ht="172.95" customHeight="1" x14ac:dyDescent="0.3">
      <c r="A815" s="6" t="str">
        <f>IF(ISNA(MATCH(806,'Transfer Engine'!$C$2:$C$1199,0)),"",INDEX('Compliance Database'!$A$2:$A$1199,MATCH(806,'Transfer Engine'!$C$2:$C$1199,0)))</f>
        <v/>
      </c>
      <c r="B815" s="6" t="str">
        <f>IF(ISNA(MATCH(806,'Transfer Engine'!$C$2:$C$1199,0)),"",INDEX('Compliance Database'!$B$2:$B$1199,MATCH(806,'Transfer Engine'!$C$2:$C$1199,0)))</f>
        <v/>
      </c>
      <c r="C815" s="6" t="str">
        <f>IF(ISNA(MATCH(806,'Transfer Engine'!$C$2:$C$1199,0)),"",INDEX('Compliance Database'!$C$2:$C$1199,MATCH(806,'Transfer Engine'!$C$2:$C$1199,0)))</f>
        <v/>
      </c>
      <c r="D815" s="7" t="str">
        <f>IF(ISNA(MATCH(806,'Transfer Engine'!$C$2:$C$1199,0)),"",INDEX('Compliance Database'!$D$2:$D$1199,MATCH(806,'Transfer Engine'!$C$2:$C$1199,0)))</f>
        <v/>
      </c>
      <c r="E815" s="6" t="str">
        <f>IF(ISNA(MATCH(806,'Transfer Engine'!$C$2:$C$1199,0)),"",INDEX('Compliance Database'!$E$2:$E$1199,MATCH(806,'Transfer Engine'!$C$2:$C$1199,0)))</f>
        <v/>
      </c>
      <c r="F815" s="6" t="str">
        <f>IF(ISNA(MATCH(806,'Transfer Engine'!$C$2:$C$1199,0)),"",INDEX('Compliance Database'!$F$2:$F$1199,MATCH(806,'Transfer Engine'!$C$2:$C$1199,0)))</f>
        <v/>
      </c>
      <c r="G815" s="6" t="str">
        <f>IF(ISNA(MATCH(806,'Transfer Engine'!$C$2:$C$1199,0)),"",INDEX('Compliance Database'!$G$2:$G$1199,MATCH(806,'Transfer Engine'!$C$2:$C$1199,0)))</f>
        <v/>
      </c>
      <c r="H815" s="7" t="str">
        <f>IF(ISNA(MATCH(806,'Transfer Engine'!$C$2:$C$1199,0)),"",INDEX('Compliance Database'!$H$2:$H$1199,MATCH(806,'Transfer Engine'!$C$2:$C$1199,0)))</f>
        <v/>
      </c>
      <c r="I815" s="7" t="str">
        <f>IF(ISNA(MATCH(806,'Transfer Engine'!$C$2:$C$1199,0)),"",INDEX('Compliance Database'!$I$2:$I$1199,MATCH(806,'Transfer Engine'!$C$2:$C$1199,0)))</f>
        <v/>
      </c>
      <c r="J815" s="6" t="str">
        <f>IF(ISNA(MATCH(806,'Transfer Engine'!$C$2:$C$1199,0)),"",INDEX('Compliance Database'!$J$2:$J$1199,MATCH(806,'Transfer Engine'!$C$2:$C$1199,0)))</f>
        <v/>
      </c>
      <c r="K815" s="7" t="str">
        <f>IF(ISNA(MATCH(806,'Transfer Engine'!$C$2:$C$1199,0)),"",INDEX('Compliance Database'!$K$2:$K$1199,MATCH(806,'Transfer Engine'!$C$2:$C$1199,0)))</f>
        <v/>
      </c>
      <c r="L815" s="7" t="str">
        <f>IF(ISNA(MATCH(806,'Transfer Engine'!$C$2:$C$1199,0)),"",INDEX('Compliance Database'!$L$2:$L$1199,MATCH(806,'Transfer Engine'!$C$2:$C$1199,0)))</f>
        <v/>
      </c>
      <c r="M815" s="7" t="str">
        <f>IF(ISNA(MATCH(806,'Transfer Engine'!$C$2:$C$1199,0)),"",INDEX('Compliance Database'!$M$2:$M$1199,MATCH(806,'Transfer Engine'!$C$2:$C$1199,0)))</f>
        <v/>
      </c>
      <c r="N815" s="7" t="str">
        <f>IF(ISNA(MATCH(806,'Transfer Engine'!$C$2:$C$1199,0)),"",INDEX('Compliance Database'!$N$2:$N$1199,MATCH(806,'Transfer Engine'!$C$2:$C$1199,0)))</f>
        <v/>
      </c>
      <c r="O815" s="7" t="str">
        <f>IF(ISNA(MATCH(806,'Transfer Engine'!$C$2:$C$1199,0)),"",INDEX('Compliance Database'!$O$2:$O$1199,MATCH(806,'Transfer Engine'!$C$2:$C$1199,0)))</f>
        <v/>
      </c>
      <c r="P815" s="6" t="str">
        <f>IF(ISNA(MATCH(806,'Transfer Engine'!$C$2:$C$1199,0)),"",HYPERLINK("#Acts!A"&amp;INDEX('Compliance Database'!$P$2:$P$1199,MATCH(806,'Transfer Engine'!$C$2:$C$1199,0)),"Go to Act"))</f>
        <v/>
      </c>
    </row>
    <row r="816" spans="1:16" ht="172.95" customHeight="1" x14ac:dyDescent="0.3">
      <c r="A816" s="6" t="str">
        <f>IF(ISNA(MATCH(807,'Transfer Engine'!$C$2:$C$1199,0)),"",INDEX('Compliance Database'!$A$2:$A$1199,MATCH(807,'Transfer Engine'!$C$2:$C$1199,0)))</f>
        <v/>
      </c>
      <c r="B816" s="6" t="str">
        <f>IF(ISNA(MATCH(807,'Transfer Engine'!$C$2:$C$1199,0)),"",INDEX('Compliance Database'!$B$2:$B$1199,MATCH(807,'Transfer Engine'!$C$2:$C$1199,0)))</f>
        <v/>
      </c>
      <c r="C816" s="6" t="str">
        <f>IF(ISNA(MATCH(807,'Transfer Engine'!$C$2:$C$1199,0)),"",INDEX('Compliance Database'!$C$2:$C$1199,MATCH(807,'Transfer Engine'!$C$2:$C$1199,0)))</f>
        <v/>
      </c>
      <c r="D816" s="7" t="str">
        <f>IF(ISNA(MATCH(807,'Transfer Engine'!$C$2:$C$1199,0)),"",INDEX('Compliance Database'!$D$2:$D$1199,MATCH(807,'Transfer Engine'!$C$2:$C$1199,0)))</f>
        <v/>
      </c>
      <c r="E816" s="6" t="str">
        <f>IF(ISNA(MATCH(807,'Transfer Engine'!$C$2:$C$1199,0)),"",INDEX('Compliance Database'!$E$2:$E$1199,MATCH(807,'Transfer Engine'!$C$2:$C$1199,0)))</f>
        <v/>
      </c>
      <c r="F816" s="6" t="str">
        <f>IF(ISNA(MATCH(807,'Transfer Engine'!$C$2:$C$1199,0)),"",INDEX('Compliance Database'!$F$2:$F$1199,MATCH(807,'Transfer Engine'!$C$2:$C$1199,0)))</f>
        <v/>
      </c>
      <c r="G816" s="6" t="str">
        <f>IF(ISNA(MATCH(807,'Transfer Engine'!$C$2:$C$1199,0)),"",INDEX('Compliance Database'!$G$2:$G$1199,MATCH(807,'Transfer Engine'!$C$2:$C$1199,0)))</f>
        <v/>
      </c>
      <c r="H816" s="7" t="str">
        <f>IF(ISNA(MATCH(807,'Transfer Engine'!$C$2:$C$1199,0)),"",INDEX('Compliance Database'!$H$2:$H$1199,MATCH(807,'Transfer Engine'!$C$2:$C$1199,0)))</f>
        <v/>
      </c>
      <c r="I816" s="7" t="str">
        <f>IF(ISNA(MATCH(807,'Transfer Engine'!$C$2:$C$1199,0)),"",INDEX('Compliance Database'!$I$2:$I$1199,MATCH(807,'Transfer Engine'!$C$2:$C$1199,0)))</f>
        <v/>
      </c>
      <c r="J816" s="6" t="str">
        <f>IF(ISNA(MATCH(807,'Transfer Engine'!$C$2:$C$1199,0)),"",INDEX('Compliance Database'!$J$2:$J$1199,MATCH(807,'Transfer Engine'!$C$2:$C$1199,0)))</f>
        <v/>
      </c>
      <c r="K816" s="7" t="str">
        <f>IF(ISNA(MATCH(807,'Transfer Engine'!$C$2:$C$1199,0)),"",INDEX('Compliance Database'!$K$2:$K$1199,MATCH(807,'Transfer Engine'!$C$2:$C$1199,0)))</f>
        <v/>
      </c>
      <c r="L816" s="7" t="str">
        <f>IF(ISNA(MATCH(807,'Transfer Engine'!$C$2:$C$1199,0)),"",INDEX('Compliance Database'!$L$2:$L$1199,MATCH(807,'Transfer Engine'!$C$2:$C$1199,0)))</f>
        <v/>
      </c>
      <c r="M816" s="7" t="str">
        <f>IF(ISNA(MATCH(807,'Transfer Engine'!$C$2:$C$1199,0)),"",INDEX('Compliance Database'!$M$2:$M$1199,MATCH(807,'Transfer Engine'!$C$2:$C$1199,0)))</f>
        <v/>
      </c>
      <c r="N816" s="7" t="str">
        <f>IF(ISNA(MATCH(807,'Transfer Engine'!$C$2:$C$1199,0)),"",INDEX('Compliance Database'!$N$2:$N$1199,MATCH(807,'Transfer Engine'!$C$2:$C$1199,0)))</f>
        <v/>
      </c>
      <c r="O816" s="7" t="str">
        <f>IF(ISNA(MATCH(807,'Transfer Engine'!$C$2:$C$1199,0)),"",INDEX('Compliance Database'!$O$2:$O$1199,MATCH(807,'Transfer Engine'!$C$2:$C$1199,0)))</f>
        <v/>
      </c>
      <c r="P816" s="6" t="str">
        <f>IF(ISNA(MATCH(807,'Transfer Engine'!$C$2:$C$1199,0)),"",HYPERLINK("#Acts!A"&amp;INDEX('Compliance Database'!$P$2:$P$1199,MATCH(807,'Transfer Engine'!$C$2:$C$1199,0)),"Go to Act"))</f>
        <v/>
      </c>
    </row>
    <row r="817" spans="1:16" ht="172.95" customHeight="1" x14ac:dyDescent="0.3">
      <c r="A817" s="6" t="str">
        <f>IF(ISNA(MATCH(808,'Transfer Engine'!$C$2:$C$1199,0)),"",INDEX('Compliance Database'!$A$2:$A$1199,MATCH(808,'Transfer Engine'!$C$2:$C$1199,0)))</f>
        <v/>
      </c>
      <c r="B817" s="6" t="str">
        <f>IF(ISNA(MATCH(808,'Transfer Engine'!$C$2:$C$1199,0)),"",INDEX('Compliance Database'!$B$2:$B$1199,MATCH(808,'Transfer Engine'!$C$2:$C$1199,0)))</f>
        <v/>
      </c>
      <c r="C817" s="6" t="str">
        <f>IF(ISNA(MATCH(808,'Transfer Engine'!$C$2:$C$1199,0)),"",INDEX('Compliance Database'!$C$2:$C$1199,MATCH(808,'Transfer Engine'!$C$2:$C$1199,0)))</f>
        <v/>
      </c>
      <c r="D817" s="7" t="str">
        <f>IF(ISNA(MATCH(808,'Transfer Engine'!$C$2:$C$1199,0)),"",INDEX('Compliance Database'!$D$2:$D$1199,MATCH(808,'Transfer Engine'!$C$2:$C$1199,0)))</f>
        <v/>
      </c>
      <c r="E817" s="6" t="str">
        <f>IF(ISNA(MATCH(808,'Transfer Engine'!$C$2:$C$1199,0)),"",INDEX('Compliance Database'!$E$2:$E$1199,MATCH(808,'Transfer Engine'!$C$2:$C$1199,0)))</f>
        <v/>
      </c>
      <c r="F817" s="6" t="str">
        <f>IF(ISNA(MATCH(808,'Transfer Engine'!$C$2:$C$1199,0)),"",INDEX('Compliance Database'!$F$2:$F$1199,MATCH(808,'Transfer Engine'!$C$2:$C$1199,0)))</f>
        <v/>
      </c>
      <c r="G817" s="6" t="str">
        <f>IF(ISNA(MATCH(808,'Transfer Engine'!$C$2:$C$1199,0)),"",INDEX('Compliance Database'!$G$2:$G$1199,MATCH(808,'Transfer Engine'!$C$2:$C$1199,0)))</f>
        <v/>
      </c>
      <c r="H817" s="7" t="str">
        <f>IF(ISNA(MATCH(808,'Transfer Engine'!$C$2:$C$1199,0)),"",INDEX('Compliance Database'!$H$2:$H$1199,MATCH(808,'Transfer Engine'!$C$2:$C$1199,0)))</f>
        <v/>
      </c>
      <c r="I817" s="7" t="str">
        <f>IF(ISNA(MATCH(808,'Transfer Engine'!$C$2:$C$1199,0)),"",INDEX('Compliance Database'!$I$2:$I$1199,MATCH(808,'Transfer Engine'!$C$2:$C$1199,0)))</f>
        <v/>
      </c>
      <c r="J817" s="6" t="str">
        <f>IF(ISNA(MATCH(808,'Transfer Engine'!$C$2:$C$1199,0)),"",INDEX('Compliance Database'!$J$2:$J$1199,MATCH(808,'Transfer Engine'!$C$2:$C$1199,0)))</f>
        <v/>
      </c>
      <c r="K817" s="7" t="str">
        <f>IF(ISNA(MATCH(808,'Transfer Engine'!$C$2:$C$1199,0)),"",INDEX('Compliance Database'!$K$2:$K$1199,MATCH(808,'Transfer Engine'!$C$2:$C$1199,0)))</f>
        <v/>
      </c>
      <c r="L817" s="7" t="str">
        <f>IF(ISNA(MATCH(808,'Transfer Engine'!$C$2:$C$1199,0)),"",INDEX('Compliance Database'!$L$2:$L$1199,MATCH(808,'Transfer Engine'!$C$2:$C$1199,0)))</f>
        <v/>
      </c>
      <c r="M817" s="7" t="str">
        <f>IF(ISNA(MATCH(808,'Transfer Engine'!$C$2:$C$1199,0)),"",INDEX('Compliance Database'!$M$2:$M$1199,MATCH(808,'Transfer Engine'!$C$2:$C$1199,0)))</f>
        <v/>
      </c>
      <c r="N817" s="7" t="str">
        <f>IF(ISNA(MATCH(808,'Transfer Engine'!$C$2:$C$1199,0)),"",INDEX('Compliance Database'!$N$2:$N$1199,MATCH(808,'Transfer Engine'!$C$2:$C$1199,0)))</f>
        <v/>
      </c>
      <c r="O817" s="7" t="str">
        <f>IF(ISNA(MATCH(808,'Transfer Engine'!$C$2:$C$1199,0)),"",INDEX('Compliance Database'!$O$2:$O$1199,MATCH(808,'Transfer Engine'!$C$2:$C$1199,0)))</f>
        <v/>
      </c>
      <c r="P817" s="6" t="str">
        <f>IF(ISNA(MATCH(808,'Transfer Engine'!$C$2:$C$1199,0)),"",HYPERLINK("#Acts!A"&amp;INDEX('Compliance Database'!$P$2:$P$1199,MATCH(808,'Transfer Engine'!$C$2:$C$1199,0)),"Go to Act"))</f>
        <v/>
      </c>
    </row>
    <row r="818" spans="1:16" ht="172.95" customHeight="1" x14ac:dyDescent="0.3">
      <c r="A818" s="6" t="str">
        <f>IF(ISNA(MATCH(809,'Transfer Engine'!$C$2:$C$1199,0)),"",INDEX('Compliance Database'!$A$2:$A$1199,MATCH(809,'Transfer Engine'!$C$2:$C$1199,0)))</f>
        <v/>
      </c>
      <c r="B818" s="6" t="str">
        <f>IF(ISNA(MATCH(809,'Transfer Engine'!$C$2:$C$1199,0)),"",INDEX('Compliance Database'!$B$2:$B$1199,MATCH(809,'Transfer Engine'!$C$2:$C$1199,0)))</f>
        <v/>
      </c>
      <c r="C818" s="6" t="str">
        <f>IF(ISNA(MATCH(809,'Transfer Engine'!$C$2:$C$1199,0)),"",INDEX('Compliance Database'!$C$2:$C$1199,MATCH(809,'Transfer Engine'!$C$2:$C$1199,0)))</f>
        <v/>
      </c>
      <c r="D818" s="7" t="str">
        <f>IF(ISNA(MATCH(809,'Transfer Engine'!$C$2:$C$1199,0)),"",INDEX('Compliance Database'!$D$2:$D$1199,MATCH(809,'Transfer Engine'!$C$2:$C$1199,0)))</f>
        <v/>
      </c>
      <c r="E818" s="6" t="str">
        <f>IF(ISNA(MATCH(809,'Transfer Engine'!$C$2:$C$1199,0)),"",INDEX('Compliance Database'!$E$2:$E$1199,MATCH(809,'Transfer Engine'!$C$2:$C$1199,0)))</f>
        <v/>
      </c>
      <c r="F818" s="6" t="str">
        <f>IF(ISNA(MATCH(809,'Transfer Engine'!$C$2:$C$1199,0)),"",INDEX('Compliance Database'!$F$2:$F$1199,MATCH(809,'Transfer Engine'!$C$2:$C$1199,0)))</f>
        <v/>
      </c>
      <c r="G818" s="6" t="str">
        <f>IF(ISNA(MATCH(809,'Transfer Engine'!$C$2:$C$1199,0)),"",INDEX('Compliance Database'!$G$2:$G$1199,MATCH(809,'Transfer Engine'!$C$2:$C$1199,0)))</f>
        <v/>
      </c>
      <c r="H818" s="7" t="str">
        <f>IF(ISNA(MATCH(809,'Transfer Engine'!$C$2:$C$1199,0)),"",INDEX('Compliance Database'!$H$2:$H$1199,MATCH(809,'Transfer Engine'!$C$2:$C$1199,0)))</f>
        <v/>
      </c>
      <c r="I818" s="7" t="str">
        <f>IF(ISNA(MATCH(809,'Transfer Engine'!$C$2:$C$1199,0)),"",INDEX('Compliance Database'!$I$2:$I$1199,MATCH(809,'Transfer Engine'!$C$2:$C$1199,0)))</f>
        <v/>
      </c>
      <c r="J818" s="6" t="str">
        <f>IF(ISNA(MATCH(809,'Transfer Engine'!$C$2:$C$1199,0)),"",INDEX('Compliance Database'!$J$2:$J$1199,MATCH(809,'Transfer Engine'!$C$2:$C$1199,0)))</f>
        <v/>
      </c>
      <c r="K818" s="7" t="str">
        <f>IF(ISNA(MATCH(809,'Transfer Engine'!$C$2:$C$1199,0)),"",INDEX('Compliance Database'!$K$2:$K$1199,MATCH(809,'Transfer Engine'!$C$2:$C$1199,0)))</f>
        <v/>
      </c>
      <c r="L818" s="7" t="str">
        <f>IF(ISNA(MATCH(809,'Transfer Engine'!$C$2:$C$1199,0)),"",INDEX('Compliance Database'!$L$2:$L$1199,MATCH(809,'Transfer Engine'!$C$2:$C$1199,0)))</f>
        <v/>
      </c>
      <c r="M818" s="7" t="str">
        <f>IF(ISNA(MATCH(809,'Transfer Engine'!$C$2:$C$1199,0)),"",INDEX('Compliance Database'!$M$2:$M$1199,MATCH(809,'Transfer Engine'!$C$2:$C$1199,0)))</f>
        <v/>
      </c>
      <c r="N818" s="7" t="str">
        <f>IF(ISNA(MATCH(809,'Transfer Engine'!$C$2:$C$1199,0)),"",INDEX('Compliance Database'!$N$2:$N$1199,MATCH(809,'Transfer Engine'!$C$2:$C$1199,0)))</f>
        <v/>
      </c>
      <c r="O818" s="7" t="str">
        <f>IF(ISNA(MATCH(809,'Transfer Engine'!$C$2:$C$1199,0)),"",INDEX('Compliance Database'!$O$2:$O$1199,MATCH(809,'Transfer Engine'!$C$2:$C$1199,0)))</f>
        <v/>
      </c>
      <c r="P818" s="6" t="str">
        <f>IF(ISNA(MATCH(809,'Transfer Engine'!$C$2:$C$1199,0)),"",HYPERLINK("#Acts!A"&amp;INDEX('Compliance Database'!$P$2:$P$1199,MATCH(809,'Transfer Engine'!$C$2:$C$1199,0)),"Go to Act"))</f>
        <v/>
      </c>
    </row>
    <row r="819" spans="1:16" ht="172.95" customHeight="1" x14ac:dyDescent="0.3">
      <c r="A819" s="6" t="str">
        <f>IF(ISNA(MATCH(810,'Transfer Engine'!$C$2:$C$1199,0)),"",INDEX('Compliance Database'!$A$2:$A$1199,MATCH(810,'Transfer Engine'!$C$2:$C$1199,0)))</f>
        <v/>
      </c>
      <c r="B819" s="6" t="str">
        <f>IF(ISNA(MATCH(810,'Transfer Engine'!$C$2:$C$1199,0)),"",INDEX('Compliance Database'!$B$2:$B$1199,MATCH(810,'Transfer Engine'!$C$2:$C$1199,0)))</f>
        <v/>
      </c>
      <c r="C819" s="6" t="str">
        <f>IF(ISNA(MATCH(810,'Transfer Engine'!$C$2:$C$1199,0)),"",INDEX('Compliance Database'!$C$2:$C$1199,MATCH(810,'Transfer Engine'!$C$2:$C$1199,0)))</f>
        <v/>
      </c>
      <c r="D819" s="7" t="str">
        <f>IF(ISNA(MATCH(810,'Transfer Engine'!$C$2:$C$1199,0)),"",INDEX('Compliance Database'!$D$2:$D$1199,MATCH(810,'Transfer Engine'!$C$2:$C$1199,0)))</f>
        <v/>
      </c>
      <c r="E819" s="6" t="str">
        <f>IF(ISNA(MATCH(810,'Transfer Engine'!$C$2:$C$1199,0)),"",INDEX('Compliance Database'!$E$2:$E$1199,MATCH(810,'Transfer Engine'!$C$2:$C$1199,0)))</f>
        <v/>
      </c>
      <c r="F819" s="6" t="str">
        <f>IF(ISNA(MATCH(810,'Transfer Engine'!$C$2:$C$1199,0)),"",INDEX('Compliance Database'!$F$2:$F$1199,MATCH(810,'Transfer Engine'!$C$2:$C$1199,0)))</f>
        <v/>
      </c>
      <c r="G819" s="6" t="str">
        <f>IF(ISNA(MATCH(810,'Transfer Engine'!$C$2:$C$1199,0)),"",INDEX('Compliance Database'!$G$2:$G$1199,MATCH(810,'Transfer Engine'!$C$2:$C$1199,0)))</f>
        <v/>
      </c>
      <c r="H819" s="7" t="str">
        <f>IF(ISNA(MATCH(810,'Transfer Engine'!$C$2:$C$1199,0)),"",INDEX('Compliance Database'!$H$2:$H$1199,MATCH(810,'Transfer Engine'!$C$2:$C$1199,0)))</f>
        <v/>
      </c>
      <c r="I819" s="7" t="str">
        <f>IF(ISNA(MATCH(810,'Transfer Engine'!$C$2:$C$1199,0)),"",INDEX('Compliance Database'!$I$2:$I$1199,MATCH(810,'Transfer Engine'!$C$2:$C$1199,0)))</f>
        <v/>
      </c>
      <c r="J819" s="6" t="str">
        <f>IF(ISNA(MATCH(810,'Transfer Engine'!$C$2:$C$1199,0)),"",INDEX('Compliance Database'!$J$2:$J$1199,MATCH(810,'Transfer Engine'!$C$2:$C$1199,0)))</f>
        <v/>
      </c>
      <c r="K819" s="7" t="str">
        <f>IF(ISNA(MATCH(810,'Transfer Engine'!$C$2:$C$1199,0)),"",INDEX('Compliance Database'!$K$2:$K$1199,MATCH(810,'Transfer Engine'!$C$2:$C$1199,0)))</f>
        <v/>
      </c>
      <c r="L819" s="7" t="str">
        <f>IF(ISNA(MATCH(810,'Transfer Engine'!$C$2:$C$1199,0)),"",INDEX('Compliance Database'!$L$2:$L$1199,MATCH(810,'Transfer Engine'!$C$2:$C$1199,0)))</f>
        <v/>
      </c>
      <c r="M819" s="7" t="str">
        <f>IF(ISNA(MATCH(810,'Transfer Engine'!$C$2:$C$1199,0)),"",INDEX('Compliance Database'!$M$2:$M$1199,MATCH(810,'Transfer Engine'!$C$2:$C$1199,0)))</f>
        <v/>
      </c>
      <c r="N819" s="7" t="str">
        <f>IF(ISNA(MATCH(810,'Transfer Engine'!$C$2:$C$1199,0)),"",INDEX('Compliance Database'!$N$2:$N$1199,MATCH(810,'Transfer Engine'!$C$2:$C$1199,0)))</f>
        <v/>
      </c>
      <c r="O819" s="7" t="str">
        <f>IF(ISNA(MATCH(810,'Transfer Engine'!$C$2:$C$1199,0)),"",INDEX('Compliance Database'!$O$2:$O$1199,MATCH(810,'Transfer Engine'!$C$2:$C$1199,0)))</f>
        <v/>
      </c>
      <c r="P819" s="6" t="str">
        <f>IF(ISNA(MATCH(810,'Transfer Engine'!$C$2:$C$1199,0)),"",HYPERLINK("#Acts!A"&amp;INDEX('Compliance Database'!$P$2:$P$1199,MATCH(810,'Transfer Engine'!$C$2:$C$1199,0)),"Go to Act"))</f>
        <v/>
      </c>
    </row>
    <row r="820" spans="1:16" ht="172.95" customHeight="1" x14ac:dyDescent="0.3">
      <c r="A820" s="6" t="str">
        <f>IF(ISNA(MATCH(811,'Transfer Engine'!$C$2:$C$1199,0)),"",INDEX('Compliance Database'!$A$2:$A$1199,MATCH(811,'Transfer Engine'!$C$2:$C$1199,0)))</f>
        <v/>
      </c>
      <c r="B820" s="6" t="str">
        <f>IF(ISNA(MATCH(811,'Transfer Engine'!$C$2:$C$1199,0)),"",INDEX('Compliance Database'!$B$2:$B$1199,MATCH(811,'Transfer Engine'!$C$2:$C$1199,0)))</f>
        <v/>
      </c>
      <c r="C820" s="6" t="str">
        <f>IF(ISNA(MATCH(811,'Transfer Engine'!$C$2:$C$1199,0)),"",INDEX('Compliance Database'!$C$2:$C$1199,MATCH(811,'Transfer Engine'!$C$2:$C$1199,0)))</f>
        <v/>
      </c>
      <c r="D820" s="7" t="str">
        <f>IF(ISNA(MATCH(811,'Transfer Engine'!$C$2:$C$1199,0)),"",INDEX('Compliance Database'!$D$2:$D$1199,MATCH(811,'Transfer Engine'!$C$2:$C$1199,0)))</f>
        <v/>
      </c>
      <c r="E820" s="6" t="str">
        <f>IF(ISNA(MATCH(811,'Transfer Engine'!$C$2:$C$1199,0)),"",INDEX('Compliance Database'!$E$2:$E$1199,MATCH(811,'Transfer Engine'!$C$2:$C$1199,0)))</f>
        <v/>
      </c>
      <c r="F820" s="6" t="str">
        <f>IF(ISNA(MATCH(811,'Transfer Engine'!$C$2:$C$1199,0)),"",INDEX('Compliance Database'!$F$2:$F$1199,MATCH(811,'Transfer Engine'!$C$2:$C$1199,0)))</f>
        <v/>
      </c>
      <c r="G820" s="6" t="str">
        <f>IF(ISNA(MATCH(811,'Transfer Engine'!$C$2:$C$1199,0)),"",INDEX('Compliance Database'!$G$2:$G$1199,MATCH(811,'Transfer Engine'!$C$2:$C$1199,0)))</f>
        <v/>
      </c>
      <c r="H820" s="7" t="str">
        <f>IF(ISNA(MATCH(811,'Transfer Engine'!$C$2:$C$1199,0)),"",INDEX('Compliance Database'!$H$2:$H$1199,MATCH(811,'Transfer Engine'!$C$2:$C$1199,0)))</f>
        <v/>
      </c>
      <c r="I820" s="7" t="str">
        <f>IF(ISNA(MATCH(811,'Transfer Engine'!$C$2:$C$1199,0)),"",INDEX('Compliance Database'!$I$2:$I$1199,MATCH(811,'Transfer Engine'!$C$2:$C$1199,0)))</f>
        <v/>
      </c>
      <c r="J820" s="6" t="str">
        <f>IF(ISNA(MATCH(811,'Transfer Engine'!$C$2:$C$1199,0)),"",INDEX('Compliance Database'!$J$2:$J$1199,MATCH(811,'Transfer Engine'!$C$2:$C$1199,0)))</f>
        <v/>
      </c>
      <c r="K820" s="7" t="str">
        <f>IF(ISNA(MATCH(811,'Transfer Engine'!$C$2:$C$1199,0)),"",INDEX('Compliance Database'!$K$2:$K$1199,MATCH(811,'Transfer Engine'!$C$2:$C$1199,0)))</f>
        <v/>
      </c>
      <c r="L820" s="7" t="str">
        <f>IF(ISNA(MATCH(811,'Transfer Engine'!$C$2:$C$1199,0)),"",INDEX('Compliance Database'!$L$2:$L$1199,MATCH(811,'Transfer Engine'!$C$2:$C$1199,0)))</f>
        <v/>
      </c>
      <c r="M820" s="7" t="str">
        <f>IF(ISNA(MATCH(811,'Transfer Engine'!$C$2:$C$1199,0)),"",INDEX('Compliance Database'!$M$2:$M$1199,MATCH(811,'Transfer Engine'!$C$2:$C$1199,0)))</f>
        <v/>
      </c>
      <c r="N820" s="7" t="str">
        <f>IF(ISNA(MATCH(811,'Transfer Engine'!$C$2:$C$1199,0)),"",INDEX('Compliance Database'!$N$2:$N$1199,MATCH(811,'Transfer Engine'!$C$2:$C$1199,0)))</f>
        <v/>
      </c>
      <c r="O820" s="7" t="str">
        <f>IF(ISNA(MATCH(811,'Transfer Engine'!$C$2:$C$1199,0)),"",INDEX('Compliance Database'!$O$2:$O$1199,MATCH(811,'Transfer Engine'!$C$2:$C$1199,0)))</f>
        <v/>
      </c>
      <c r="P820" s="6" t="str">
        <f>IF(ISNA(MATCH(811,'Transfer Engine'!$C$2:$C$1199,0)),"",HYPERLINK("#Acts!A"&amp;INDEX('Compliance Database'!$P$2:$P$1199,MATCH(811,'Transfer Engine'!$C$2:$C$1199,0)),"Go to Act"))</f>
        <v/>
      </c>
    </row>
    <row r="821" spans="1:16" ht="172.95" customHeight="1" x14ac:dyDescent="0.3">
      <c r="A821" s="6" t="str">
        <f>IF(ISNA(MATCH(812,'Transfer Engine'!$C$2:$C$1199,0)),"",INDEX('Compliance Database'!$A$2:$A$1199,MATCH(812,'Transfer Engine'!$C$2:$C$1199,0)))</f>
        <v/>
      </c>
      <c r="B821" s="6" t="str">
        <f>IF(ISNA(MATCH(812,'Transfer Engine'!$C$2:$C$1199,0)),"",INDEX('Compliance Database'!$B$2:$B$1199,MATCH(812,'Transfer Engine'!$C$2:$C$1199,0)))</f>
        <v/>
      </c>
      <c r="C821" s="6" t="str">
        <f>IF(ISNA(MATCH(812,'Transfer Engine'!$C$2:$C$1199,0)),"",INDEX('Compliance Database'!$C$2:$C$1199,MATCH(812,'Transfer Engine'!$C$2:$C$1199,0)))</f>
        <v/>
      </c>
      <c r="D821" s="7" t="str">
        <f>IF(ISNA(MATCH(812,'Transfer Engine'!$C$2:$C$1199,0)),"",INDEX('Compliance Database'!$D$2:$D$1199,MATCH(812,'Transfer Engine'!$C$2:$C$1199,0)))</f>
        <v/>
      </c>
      <c r="E821" s="6" t="str">
        <f>IF(ISNA(MATCH(812,'Transfer Engine'!$C$2:$C$1199,0)),"",INDEX('Compliance Database'!$E$2:$E$1199,MATCH(812,'Transfer Engine'!$C$2:$C$1199,0)))</f>
        <v/>
      </c>
      <c r="F821" s="6" t="str">
        <f>IF(ISNA(MATCH(812,'Transfer Engine'!$C$2:$C$1199,0)),"",INDEX('Compliance Database'!$F$2:$F$1199,MATCH(812,'Transfer Engine'!$C$2:$C$1199,0)))</f>
        <v/>
      </c>
      <c r="G821" s="6" t="str">
        <f>IF(ISNA(MATCH(812,'Transfer Engine'!$C$2:$C$1199,0)),"",INDEX('Compliance Database'!$G$2:$G$1199,MATCH(812,'Transfer Engine'!$C$2:$C$1199,0)))</f>
        <v/>
      </c>
      <c r="H821" s="7" t="str">
        <f>IF(ISNA(MATCH(812,'Transfer Engine'!$C$2:$C$1199,0)),"",INDEX('Compliance Database'!$H$2:$H$1199,MATCH(812,'Transfer Engine'!$C$2:$C$1199,0)))</f>
        <v/>
      </c>
      <c r="I821" s="7" t="str">
        <f>IF(ISNA(MATCH(812,'Transfer Engine'!$C$2:$C$1199,0)),"",INDEX('Compliance Database'!$I$2:$I$1199,MATCH(812,'Transfer Engine'!$C$2:$C$1199,0)))</f>
        <v/>
      </c>
      <c r="J821" s="6" t="str">
        <f>IF(ISNA(MATCH(812,'Transfer Engine'!$C$2:$C$1199,0)),"",INDEX('Compliance Database'!$J$2:$J$1199,MATCH(812,'Transfer Engine'!$C$2:$C$1199,0)))</f>
        <v/>
      </c>
      <c r="K821" s="7" t="str">
        <f>IF(ISNA(MATCH(812,'Transfer Engine'!$C$2:$C$1199,0)),"",INDEX('Compliance Database'!$K$2:$K$1199,MATCH(812,'Transfer Engine'!$C$2:$C$1199,0)))</f>
        <v/>
      </c>
      <c r="L821" s="7" t="str">
        <f>IF(ISNA(MATCH(812,'Transfer Engine'!$C$2:$C$1199,0)),"",INDEX('Compliance Database'!$L$2:$L$1199,MATCH(812,'Transfer Engine'!$C$2:$C$1199,0)))</f>
        <v/>
      </c>
      <c r="M821" s="7" t="str">
        <f>IF(ISNA(MATCH(812,'Transfer Engine'!$C$2:$C$1199,0)),"",INDEX('Compliance Database'!$M$2:$M$1199,MATCH(812,'Transfer Engine'!$C$2:$C$1199,0)))</f>
        <v/>
      </c>
      <c r="N821" s="7" t="str">
        <f>IF(ISNA(MATCH(812,'Transfer Engine'!$C$2:$C$1199,0)),"",INDEX('Compliance Database'!$N$2:$N$1199,MATCH(812,'Transfer Engine'!$C$2:$C$1199,0)))</f>
        <v/>
      </c>
      <c r="O821" s="7" t="str">
        <f>IF(ISNA(MATCH(812,'Transfer Engine'!$C$2:$C$1199,0)),"",INDEX('Compliance Database'!$O$2:$O$1199,MATCH(812,'Transfer Engine'!$C$2:$C$1199,0)))</f>
        <v/>
      </c>
      <c r="P821" s="6" t="str">
        <f>IF(ISNA(MATCH(812,'Transfer Engine'!$C$2:$C$1199,0)),"",HYPERLINK("#Acts!A"&amp;INDEX('Compliance Database'!$P$2:$P$1199,MATCH(812,'Transfer Engine'!$C$2:$C$1199,0)),"Go to Act"))</f>
        <v/>
      </c>
    </row>
    <row r="822" spans="1:16" ht="172.95" customHeight="1" x14ac:dyDescent="0.3">
      <c r="A822" s="6" t="str">
        <f>IF(ISNA(MATCH(813,'Transfer Engine'!$C$2:$C$1199,0)),"",INDEX('Compliance Database'!$A$2:$A$1199,MATCH(813,'Transfer Engine'!$C$2:$C$1199,0)))</f>
        <v/>
      </c>
      <c r="B822" s="6" t="str">
        <f>IF(ISNA(MATCH(813,'Transfer Engine'!$C$2:$C$1199,0)),"",INDEX('Compliance Database'!$B$2:$B$1199,MATCH(813,'Transfer Engine'!$C$2:$C$1199,0)))</f>
        <v/>
      </c>
      <c r="C822" s="6" t="str">
        <f>IF(ISNA(MATCH(813,'Transfer Engine'!$C$2:$C$1199,0)),"",INDEX('Compliance Database'!$C$2:$C$1199,MATCH(813,'Transfer Engine'!$C$2:$C$1199,0)))</f>
        <v/>
      </c>
      <c r="D822" s="7" t="str">
        <f>IF(ISNA(MATCH(813,'Transfer Engine'!$C$2:$C$1199,0)),"",INDEX('Compliance Database'!$D$2:$D$1199,MATCH(813,'Transfer Engine'!$C$2:$C$1199,0)))</f>
        <v/>
      </c>
      <c r="E822" s="6" t="str">
        <f>IF(ISNA(MATCH(813,'Transfer Engine'!$C$2:$C$1199,0)),"",INDEX('Compliance Database'!$E$2:$E$1199,MATCH(813,'Transfer Engine'!$C$2:$C$1199,0)))</f>
        <v/>
      </c>
      <c r="F822" s="6" t="str">
        <f>IF(ISNA(MATCH(813,'Transfer Engine'!$C$2:$C$1199,0)),"",INDEX('Compliance Database'!$F$2:$F$1199,MATCH(813,'Transfer Engine'!$C$2:$C$1199,0)))</f>
        <v/>
      </c>
      <c r="G822" s="6" t="str">
        <f>IF(ISNA(MATCH(813,'Transfer Engine'!$C$2:$C$1199,0)),"",INDEX('Compliance Database'!$G$2:$G$1199,MATCH(813,'Transfer Engine'!$C$2:$C$1199,0)))</f>
        <v/>
      </c>
      <c r="H822" s="7" t="str">
        <f>IF(ISNA(MATCH(813,'Transfer Engine'!$C$2:$C$1199,0)),"",INDEX('Compliance Database'!$H$2:$H$1199,MATCH(813,'Transfer Engine'!$C$2:$C$1199,0)))</f>
        <v/>
      </c>
      <c r="I822" s="7" t="str">
        <f>IF(ISNA(MATCH(813,'Transfer Engine'!$C$2:$C$1199,0)),"",INDEX('Compliance Database'!$I$2:$I$1199,MATCH(813,'Transfer Engine'!$C$2:$C$1199,0)))</f>
        <v/>
      </c>
      <c r="J822" s="6" t="str">
        <f>IF(ISNA(MATCH(813,'Transfer Engine'!$C$2:$C$1199,0)),"",INDEX('Compliance Database'!$J$2:$J$1199,MATCH(813,'Transfer Engine'!$C$2:$C$1199,0)))</f>
        <v/>
      </c>
      <c r="K822" s="7" t="str">
        <f>IF(ISNA(MATCH(813,'Transfer Engine'!$C$2:$C$1199,0)),"",INDEX('Compliance Database'!$K$2:$K$1199,MATCH(813,'Transfer Engine'!$C$2:$C$1199,0)))</f>
        <v/>
      </c>
      <c r="L822" s="7" t="str">
        <f>IF(ISNA(MATCH(813,'Transfer Engine'!$C$2:$C$1199,0)),"",INDEX('Compliance Database'!$L$2:$L$1199,MATCH(813,'Transfer Engine'!$C$2:$C$1199,0)))</f>
        <v/>
      </c>
      <c r="M822" s="7" t="str">
        <f>IF(ISNA(MATCH(813,'Transfer Engine'!$C$2:$C$1199,0)),"",INDEX('Compliance Database'!$M$2:$M$1199,MATCH(813,'Transfer Engine'!$C$2:$C$1199,0)))</f>
        <v/>
      </c>
      <c r="N822" s="7" t="str">
        <f>IF(ISNA(MATCH(813,'Transfer Engine'!$C$2:$C$1199,0)),"",INDEX('Compliance Database'!$N$2:$N$1199,MATCH(813,'Transfer Engine'!$C$2:$C$1199,0)))</f>
        <v/>
      </c>
      <c r="O822" s="7" t="str">
        <f>IF(ISNA(MATCH(813,'Transfer Engine'!$C$2:$C$1199,0)),"",INDEX('Compliance Database'!$O$2:$O$1199,MATCH(813,'Transfer Engine'!$C$2:$C$1199,0)))</f>
        <v/>
      </c>
      <c r="P822" s="6" t="str">
        <f>IF(ISNA(MATCH(813,'Transfer Engine'!$C$2:$C$1199,0)),"",HYPERLINK("#Acts!A"&amp;INDEX('Compliance Database'!$P$2:$P$1199,MATCH(813,'Transfer Engine'!$C$2:$C$1199,0)),"Go to Act"))</f>
        <v/>
      </c>
    </row>
    <row r="823" spans="1:16" ht="172.95" customHeight="1" x14ac:dyDescent="0.3">
      <c r="A823" s="6" t="str">
        <f>IF(ISNA(MATCH(814,'Transfer Engine'!$C$2:$C$1199,0)),"",INDEX('Compliance Database'!$A$2:$A$1199,MATCH(814,'Transfer Engine'!$C$2:$C$1199,0)))</f>
        <v/>
      </c>
      <c r="B823" s="6" t="str">
        <f>IF(ISNA(MATCH(814,'Transfer Engine'!$C$2:$C$1199,0)),"",INDEX('Compliance Database'!$B$2:$B$1199,MATCH(814,'Transfer Engine'!$C$2:$C$1199,0)))</f>
        <v/>
      </c>
      <c r="C823" s="6" t="str">
        <f>IF(ISNA(MATCH(814,'Transfer Engine'!$C$2:$C$1199,0)),"",INDEX('Compliance Database'!$C$2:$C$1199,MATCH(814,'Transfer Engine'!$C$2:$C$1199,0)))</f>
        <v/>
      </c>
      <c r="D823" s="7" t="str">
        <f>IF(ISNA(MATCH(814,'Transfer Engine'!$C$2:$C$1199,0)),"",INDEX('Compliance Database'!$D$2:$D$1199,MATCH(814,'Transfer Engine'!$C$2:$C$1199,0)))</f>
        <v/>
      </c>
      <c r="E823" s="6" t="str">
        <f>IF(ISNA(MATCH(814,'Transfer Engine'!$C$2:$C$1199,0)),"",INDEX('Compliance Database'!$E$2:$E$1199,MATCH(814,'Transfer Engine'!$C$2:$C$1199,0)))</f>
        <v/>
      </c>
      <c r="F823" s="6" t="str">
        <f>IF(ISNA(MATCH(814,'Transfer Engine'!$C$2:$C$1199,0)),"",INDEX('Compliance Database'!$F$2:$F$1199,MATCH(814,'Transfer Engine'!$C$2:$C$1199,0)))</f>
        <v/>
      </c>
      <c r="G823" s="6" t="str">
        <f>IF(ISNA(MATCH(814,'Transfer Engine'!$C$2:$C$1199,0)),"",INDEX('Compliance Database'!$G$2:$G$1199,MATCH(814,'Transfer Engine'!$C$2:$C$1199,0)))</f>
        <v/>
      </c>
      <c r="H823" s="7" t="str">
        <f>IF(ISNA(MATCH(814,'Transfer Engine'!$C$2:$C$1199,0)),"",INDEX('Compliance Database'!$H$2:$H$1199,MATCH(814,'Transfer Engine'!$C$2:$C$1199,0)))</f>
        <v/>
      </c>
      <c r="I823" s="7" t="str">
        <f>IF(ISNA(MATCH(814,'Transfer Engine'!$C$2:$C$1199,0)),"",INDEX('Compliance Database'!$I$2:$I$1199,MATCH(814,'Transfer Engine'!$C$2:$C$1199,0)))</f>
        <v/>
      </c>
      <c r="J823" s="6" t="str">
        <f>IF(ISNA(MATCH(814,'Transfer Engine'!$C$2:$C$1199,0)),"",INDEX('Compliance Database'!$J$2:$J$1199,MATCH(814,'Transfer Engine'!$C$2:$C$1199,0)))</f>
        <v/>
      </c>
      <c r="K823" s="7" t="str">
        <f>IF(ISNA(MATCH(814,'Transfer Engine'!$C$2:$C$1199,0)),"",INDEX('Compliance Database'!$K$2:$K$1199,MATCH(814,'Transfer Engine'!$C$2:$C$1199,0)))</f>
        <v/>
      </c>
      <c r="L823" s="7" t="str">
        <f>IF(ISNA(MATCH(814,'Transfer Engine'!$C$2:$C$1199,0)),"",INDEX('Compliance Database'!$L$2:$L$1199,MATCH(814,'Transfer Engine'!$C$2:$C$1199,0)))</f>
        <v/>
      </c>
      <c r="M823" s="7" t="str">
        <f>IF(ISNA(MATCH(814,'Transfer Engine'!$C$2:$C$1199,0)),"",INDEX('Compliance Database'!$M$2:$M$1199,MATCH(814,'Transfer Engine'!$C$2:$C$1199,0)))</f>
        <v/>
      </c>
      <c r="N823" s="7" t="str">
        <f>IF(ISNA(MATCH(814,'Transfer Engine'!$C$2:$C$1199,0)),"",INDEX('Compliance Database'!$N$2:$N$1199,MATCH(814,'Transfer Engine'!$C$2:$C$1199,0)))</f>
        <v/>
      </c>
      <c r="O823" s="7" t="str">
        <f>IF(ISNA(MATCH(814,'Transfer Engine'!$C$2:$C$1199,0)),"",INDEX('Compliance Database'!$O$2:$O$1199,MATCH(814,'Transfer Engine'!$C$2:$C$1199,0)))</f>
        <v/>
      </c>
      <c r="P823" s="6" t="str">
        <f>IF(ISNA(MATCH(814,'Transfer Engine'!$C$2:$C$1199,0)),"",HYPERLINK("#Acts!A"&amp;INDEX('Compliance Database'!$P$2:$P$1199,MATCH(814,'Transfer Engine'!$C$2:$C$1199,0)),"Go to Act"))</f>
        <v/>
      </c>
    </row>
    <row r="824" spans="1:16" ht="172.95" customHeight="1" x14ac:dyDescent="0.3">
      <c r="A824" s="6" t="str">
        <f>IF(ISNA(MATCH(815,'Transfer Engine'!$C$2:$C$1199,0)),"",INDEX('Compliance Database'!$A$2:$A$1199,MATCH(815,'Transfer Engine'!$C$2:$C$1199,0)))</f>
        <v/>
      </c>
      <c r="B824" s="6" t="str">
        <f>IF(ISNA(MATCH(815,'Transfer Engine'!$C$2:$C$1199,0)),"",INDEX('Compliance Database'!$B$2:$B$1199,MATCH(815,'Transfer Engine'!$C$2:$C$1199,0)))</f>
        <v/>
      </c>
      <c r="C824" s="6" t="str">
        <f>IF(ISNA(MATCH(815,'Transfer Engine'!$C$2:$C$1199,0)),"",INDEX('Compliance Database'!$C$2:$C$1199,MATCH(815,'Transfer Engine'!$C$2:$C$1199,0)))</f>
        <v/>
      </c>
      <c r="D824" s="7" t="str">
        <f>IF(ISNA(MATCH(815,'Transfer Engine'!$C$2:$C$1199,0)),"",INDEX('Compliance Database'!$D$2:$D$1199,MATCH(815,'Transfer Engine'!$C$2:$C$1199,0)))</f>
        <v/>
      </c>
      <c r="E824" s="6" t="str">
        <f>IF(ISNA(MATCH(815,'Transfer Engine'!$C$2:$C$1199,0)),"",INDEX('Compliance Database'!$E$2:$E$1199,MATCH(815,'Transfer Engine'!$C$2:$C$1199,0)))</f>
        <v/>
      </c>
      <c r="F824" s="6" t="str">
        <f>IF(ISNA(MATCH(815,'Transfer Engine'!$C$2:$C$1199,0)),"",INDEX('Compliance Database'!$F$2:$F$1199,MATCH(815,'Transfer Engine'!$C$2:$C$1199,0)))</f>
        <v/>
      </c>
      <c r="G824" s="6" t="str">
        <f>IF(ISNA(MATCH(815,'Transfer Engine'!$C$2:$C$1199,0)),"",INDEX('Compliance Database'!$G$2:$G$1199,MATCH(815,'Transfer Engine'!$C$2:$C$1199,0)))</f>
        <v/>
      </c>
      <c r="H824" s="7" t="str">
        <f>IF(ISNA(MATCH(815,'Transfer Engine'!$C$2:$C$1199,0)),"",INDEX('Compliance Database'!$H$2:$H$1199,MATCH(815,'Transfer Engine'!$C$2:$C$1199,0)))</f>
        <v/>
      </c>
      <c r="I824" s="7" t="str">
        <f>IF(ISNA(MATCH(815,'Transfer Engine'!$C$2:$C$1199,0)),"",INDEX('Compliance Database'!$I$2:$I$1199,MATCH(815,'Transfer Engine'!$C$2:$C$1199,0)))</f>
        <v/>
      </c>
      <c r="J824" s="6" t="str">
        <f>IF(ISNA(MATCH(815,'Transfer Engine'!$C$2:$C$1199,0)),"",INDEX('Compliance Database'!$J$2:$J$1199,MATCH(815,'Transfer Engine'!$C$2:$C$1199,0)))</f>
        <v/>
      </c>
      <c r="K824" s="7" t="str">
        <f>IF(ISNA(MATCH(815,'Transfer Engine'!$C$2:$C$1199,0)),"",INDEX('Compliance Database'!$K$2:$K$1199,MATCH(815,'Transfer Engine'!$C$2:$C$1199,0)))</f>
        <v/>
      </c>
      <c r="L824" s="7" t="str">
        <f>IF(ISNA(MATCH(815,'Transfer Engine'!$C$2:$C$1199,0)),"",INDEX('Compliance Database'!$L$2:$L$1199,MATCH(815,'Transfer Engine'!$C$2:$C$1199,0)))</f>
        <v/>
      </c>
      <c r="M824" s="7" t="str">
        <f>IF(ISNA(MATCH(815,'Transfer Engine'!$C$2:$C$1199,0)),"",INDEX('Compliance Database'!$M$2:$M$1199,MATCH(815,'Transfer Engine'!$C$2:$C$1199,0)))</f>
        <v/>
      </c>
      <c r="N824" s="7" t="str">
        <f>IF(ISNA(MATCH(815,'Transfer Engine'!$C$2:$C$1199,0)),"",INDEX('Compliance Database'!$N$2:$N$1199,MATCH(815,'Transfer Engine'!$C$2:$C$1199,0)))</f>
        <v/>
      </c>
      <c r="O824" s="7" t="str">
        <f>IF(ISNA(MATCH(815,'Transfer Engine'!$C$2:$C$1199,0)),"",INDEX('Compliance Database'!$O$2:$O$1199,MATCH(815,'Transfer Engine'!$C$2:$C$1199,0)))</f>
        <v/>
      </c>
      <c r="P824" s="6" t="str">
        <f>IF(ISNA(MATCH(815,'Transfer Engine'!$C$2:$C$1199,0)),"",HYPERLINK("#Acts!A"&amp;INDEX('Compliance Database'!$P$2:$P$1199,MATCH(815,'Transfer Engine'!$C$2:$C$1199,0)),"Go to Act"))</f>
        <v/>
      </c>
    </row>
    <row r="825" spans="1:16" ht="172.95" customHeight="1" x14ac:dyDescent="0.3">
      <c r="A825" s="6" t="str">
        <f>IF(ISNA(MATCH(816,'Transfer Engine'!$C$2:$C$1199,0)),"",INDEX('Compliance Database'!$A$2:$A$1199,MATCH(816,'Transfer Engine'!$C$2:$C$1199,0)))</f>
        <v/>
      </c>
      <c r="B825" s="6" t="str">
        <f>IF(ISNA(MATCH(816,'Transfer Engine'!$C$2:$C$1199,0)),"",INDEX('Compliance Database'!$B$2:$B$1199,MATCH(816,'Transfer Engine'!$C$2:$C$1199,0)))</f>
        <v/>
      </c>
      <c r="C825" s="6" t="str">
        <f>IF(ISNA(MATCH(816,'Transfer Engine'!$C$2:$C$1199,0)),"",INDEX('Compliance Database'!$C$2:$C$1199,MATCH(816,'Transfer Engine'!$C$2:$C$1199,0)))</f>
        <v/>
      </c>
      <c r="D825" s="7" t="str">
        <f>IF(ISNA(MATCH(816,'Transfer Engine'!$C$2:$C$1199,0)),"",INDEX('Compliance Database'!$D$2:$D$1199,MATCH(816,'Transfer Engine'!$C$2:$C$1199,0)))</f>
        <v/>
      </c>
      <c r="E825" s="6" t="str">
        <f>IF(ISNA(MATCH(816,'Transfer Engine'!$C$2:$C$1199,0)),"",INDEX('Compliance Database'!$E$2:$E$1199,MATCH(816,'Transfer Engine'!$C$2:$C$1199,0)))</f>
        <v/>
      </c>
      <c r="F825" s="6" t="str">
        <f>IF(ISNA(MATCH(816,'Transfer Engine'!$C$2:$C$1199,0)),"",INDEX('Compliance Database'!$F$2:$F$1199,MATCH(816,'Transfer Engine'!$C$2:$C$1199,0)))</f>
        <v/>
      </c>
      <c r="G825" s="6" t="str">
        <f>IF(ISNA(MATCH(816,'Transfer Engine'!$C$2:$C$1199,0)),"",INDEX('Compliance Database'!$G$2:$G$1199,MATCH(816,'Transfer Engine'!$C$2:$C$1199,0)))</f>
        <v/>
      </c>
      <c r="H825" s="7" t="str">
        <f>IF(ISNA(MATCH(816,'Transfer Engine'!$C$2:$C$1199,0)),"",INDEX('Compliance Database'!$H$2:$H$1199,MATCH(816,'Transfer Engine'!$C$2:$C$1199,0)))</f>
        <v/>
      </c>
      <c r="I825" s="7" t="str">
        <f>IF(ISNA(MATCH(816,'Transfer Engine'!$C$2:$C$1199,0)),"",INDEX('Compliance Database'!$I$2:$I$1199,MATCH(816,'Transfer Engine'!$C$2:$C$1199,0)))</f>
        <v/>
      </c>
      <c r="J825" s="6" t="str">
        <f>IF(ISNA(MATCH(816,'Transfer Engine'!$C$2:$C$1199,0)),"",INDEX('Compliance Database'!$J$2:$J$1199,MATCH(816,'Transfer Engine'!$C$2:$C$1199,0)))</f>
        <v/>
      </c>
      <c r="K825" s="7" t="str">
        <f>IF(ISNA(MATCH(816,'Transfer Engine'!$C$2:$C$1199,0)),"",INDEX('Compliance Database'!$K$2:$K$1199,MATCH(816,'Transfer Engine'!$C$2:$C$1199,0)))</f>
        <v/>
      </c>
      <c r="L825" s="7" t="str">
        <f>IF(ISNA(MATCH(816,'Transfer Engine'!$C$2:$C$1199,0)),"",INDEX('Compliance Database'!$L$2:$L$1199,MATCH(816,'Transfer Engine'!$C$2:$C$1199,0)))</f>
        <v/>
      </c>
      <c r="M825" s="7" t="str">
        <f>IF(ISNA(MATCH(816,'Transfer Engine'!$C$2:$C$1199,0)),"",INDEX('Compliance Database'!$M$2:$M$1199,MATCH(816,'Transfer Engine'!$C$2:$C$1199,0)))</f>
        <v/>
      </c>
      <c r="N825" s="7" t="str">
        <f>IF(ISNA(MATCH(816,'Transfer Engine'!$C$2:$C$1199,0)),"",INDEX('Compliance Database'!$N$2:$N$1199,MATCH(816,'Transfer Engine'!$C$2:$C$1199,0)))</f>
        <v/>
      </c>
      <c r="O825" s="7" t="str">
        <f>IF(ISNA(MATCH(816,'Transfer Engine'!$C$2:$C$1199,0)),"",INDEX('Compliance Database'!$O$2:$O$1199,MATCH(816,'Transfer Engine'!$C$2:$C$1199,0)))</f>
        <v/>
      </c>
      <c r="P825" s="6" t="str">
        <f>IF(ISNA(MATCH(816,'Transfer Engine'!$C$2:$C$1199,0)),"",HYPERLINK("#Acts!A"&amp;INDEX('Compliance Database'!$P$2:$P$1199,MATCH(816,'Transfer Engine'!$C$2:$C$1199,0)),"Go to Act"))</f>
        <v/>
      </c>
    </row>
    <row r="826" spans="1:16" ht="172.95" customHeight="1" x14ac:dyDescent="0.3">
      <c r="A826" s="6" t="str">
        <f>IF(ISNA(MATCH(817,'Transfer Engine'!$C$2:$C$1199,0)),"",INDEX('Compliance Database'!$A$2:$A$1199,MATCH(817,'Transfer Engine'!$C$2:$C$1199,0)))</f>
        <v/>
      </c>
      <c r="B826" s="6" t="str">
        <f>IF(ISNA(MATCH(817,'Transfer Engine'!$C$2:$C$1199,0)),"",INDEX('Compliance Database'!$B$2:$B$1199,MATCH(817,'Transfer Engine'!$C$2:$C$1199,0)))</f>
        <v/>
      </c>
      <c r="C826" s="6" t="str">
        <f>IF(ISNA(MATCH(817,'Transfer Engine'!$C$2:$C$1199,0)),"",INDEX('Compliance Database'!$C$2:$C$1199,MATCH(817,'Transfer Engine'!$C$2:$C$1199,0)))</f>
        <v/>
      </c>
      <c r="D826" s="7" t="str">
        <f>IF(ISNA(MATCH(817,'Transfer Engine'!$C$2:$C$1199,0)),"",INDEX('Compliance Database'!$D$2:$D$1199,MATCH(817,'Transfer Engine'!$C$2:$C$1199,0)))</f>
        <v/>
      </c>
      <c r="E826" s="6" t="str">
        <f>IF(ISNA(MATCH(817,'Transfer Engine'!$C$2:$C$1199,0)),"",INDEX('Compliance Database'!$E$2:$E$1199,MATCH(817,'Transfer Engine'!$C$2:$C$1199,0)))</f>
        <v/>
      </c>
      <c r="F826" s="6" t="str">
        <f>IF(ISNA(MATCH(817,'Transfer Engine'!$C$2:$C$1199,0)),"",INDEX('Compliance Database'!$F$2:$F$1199,MATCH(817,'Transfer Engine'!$C$2:$C$1199,0)))</f>
        <v/>
      </c>
      <c r="G826" s="6" t="str">
        <f>IF(ISNA(MATCH(817,'Transfer Engine'!$C$2:$C$1199,0)),"",INDEX('Compliance Database'!$G$2:$G$1199,MATCH(817,'Transfer Engine'!$C$2:$C$1199,0)))</f>
        <v/>
      </c>
      <c r="H826" s="7" t="str">
        <f>IF(ISNA(MATCH(817,'Transfer Engine'!$C$2:$C$1199,0)),"",INDEX('Compliance Database'!$H$2:$H$1199,MATCH(817,'Transfer Engine'!$C$2:$C$1199,0)))</f>
        <v/>
      </c>
      <c r="I826" s="7" t="str">
        <f>IF(ISNA(MATCH(817,'Transfer Engine'!$C$2:$C$1199,0)),"",INDEX('Compliance Database'!$I$2:$I$1199,MATCH(817,'Transfer Engine'!$C$2:$C$1199,0)))</f>
        <v/>
      </c>
      <c r="J826" s="6" t="str">
        <f>IF(ISNA(MATCH(817,'Transfer Engine'!$C$2:$C$1199,0)),"",INDEX('Compliance Database'!$J$2:$J$1199,MATCH(817,'Transfer Engine'!$C$2:$C$1199,0)))</f>
        <v/>
      </c>
      <c r="K826" s="7" t="str">
        <f>IF(ISNA(MATCH(817,'Transfer Engine'!$C$2:$C$1199,0)),"",INDEX('Compliance Database'!$K$2:$K$1199,MATCH(817,'Transfer Engine'!$C$2:$C$1199,0)))</f>
        <v/>
      </c>
      <c r="L826" s="7" t="str">
        <f>IF(ISNA(MATCH(817,'Transfer Engine'!$C$2:$C$1199,0)),"",INDEX('Compliance Database'!$L$2:$L$1199,MATCH(817,'Transfer Engine'!$C$2:$C$1199,0)))</f>
        <v/>
      </c>
      <c r="M826" s="7" t="str">
        <f>IF(ISNA(MATCH(817,'Transfer Engine'!$C$2:$C$1199,0)),"",INDEX('Compliance Database'!$M$2:$M$1199,MATCH(817,'Transfer Engine'!$C$2:$C$1199,0)))</f>
        <v/>
      </c>
      <c r="N826" s="7" t="str">
        <f>IF(ISNA(MATCH(817,'Transfer Engine'!$C$2:$C$1199,0)),"",INDEX('Compliance Database'!$N$2:$N$1199,MATCH(817,'Transfer Engine'!$C$2:$C$1199,0)))</f>
        <v/>
      </c>
      <c r="O826" s="7" t="str">
        <f>IF(ISNA(MATCH(817,'Transfer Engine'!$C$2:$C$1199,0)),"",INDEX('Compliance Database'!$O$2:$O$1199,MATCH(817,'Transfer Engine'!$C$2:$C$1199,0)))</f>
        <v/>
      </c>
      <c r="P826" s="6" t="str">
        <f>IF(ISNA(MATCH(817,'Transfer Engine'!$C$2:$C$1199,0)),"",HYPERLINK("#Acts!A"&amp;INDEX('Compliance Database'!$P$2:$P$1199,MATCH(817,'Transfer Engine'!$C$2:$C$1199,0)),"Go to Act"))</f>
        <v/>
      </c>
    </row>
    <row r="827" spans="1:16" ht="172.95" customHeight="1" x14ac:dyDescent="0.3">
      <c r="A827" s="6" t="str">
        <f>IF(ISNA(MATCH(818,'Transfer Engine'!$C$2:$C$1199,0)),"",INDEX('Compliance Database'!$A$2:$A$1199,MATCH(818,'Transfer Engine'!$C$2:$C$1199,0)))</f>
        <v/>
      </c>
      <c r="B827" s="6" t="str">
        <f>IF(ISNA(MATCH(818,'Transfer Engine'!$C$2:$C$1199,0)),"",INDEX('Compliance Database'!$B$2:$B$1199,MATCH(818,'Transfer Engine'!$C$2:$C$1199,0)))</f>
        <v/>
      </c>
      <c r="C827" s="6" t="str">
        <f>IF(ISNA(MATCH(818,'Transfer Engine'!$C$2:$C$1199,0)),"",INDEX('Compliance Database'!$C$2:$C$1199,MATCH(818,'Transfer Engine'!$C$2:$C$1199,0)))</f>
        <v/>
      </c>
      <c r="D827" s="7" t="str">
        <f>IF(ISNA(MATCH(818,'Transfer Engine'!$C$2:$C$1199,0)),"",INDEX('Compliance Database'!$D$2:$D$1199,MATCH(818,'Transfer Engine'!$C$2:$C$1199,0)))</f>
        <v/>
      </c>
      <c r="E827" s="6" t="str">
        <f>IF(ISNA(MATCH(818,'Transfer Engine'!$C$2:$C$1199,0)),"",INDEX('Compliance Database'!$E$2:$E$1199,MATCH(818,'Transfer Engine'!$C$2:$C$1199,0)))</f>
        <v/>
      </c>
      <c r="F827" s="6" t="str">
        <f>IF(ISNA(MATCH(818,'Transfer Engine'!$C$2:$C$1199,0)),"",INDEX('Compliance Database'!$F$2:$F$1199,MATCH(818,'Transfer Engine'!$C$2:$C$1199,0)))</f>
        <v/>
      </c>
      <c r="G827" s="6" t="str">
        <f>IF(ISNA(MATCH(818,'Transfer Engine'!$C$2:$C$1199,0)),"",INDEX('Compliance Database'!$G$2:$G$1199,MATCH(818,'Transfer Engine'!$C$2:$C$1199,0)))</f>
        <v/>
      </c>
      <c r="H827" s="7" t="str">
        <f>IF(ISNA(MATCH(818,'Transfer Engine'!$C$2:$C$1199,0)),"",INDEX('Compliance Database'!$H$2:$H$1199,MATCH(818,'Transfer Engine'!$C$2:$C$1199,0)))</f>
        <v/>
      </c>
      <c r="I827" s="7" t="str">
        <f>IF(ISNA(MATCH(818,'Transfer Engine'!$C$2:$C$1199,0)),"",INDEX('Compliance Database'!$I$2:$I$1199,MATCH(818,'Transfer Engine'!$C$2:$C$1199,0)))</f>
        <v/>
      </c>
      <c r="J827" s="6" t="str">
        <f>IF(ISNA(MATCH(818,'Transfer Engine'!$C$2:$C$1199,0)),"",INDEX('Compliance Database'!$J$2:$J$1199,MATCH(818,'Transfer Engine'!$C$2:$C$1199,0)))</f>
        <v/>
      </c>
      <c r="K827" s="7" t="str">
        <f>IF(ISNA(MATCH(818,'Transfer Engine'!$C$2:$C$1199,0)),"",INDEX('Compliance Database'!$K$2:$K$1199,MATCH(818,'Transfer Engine'!$C$2:$C$1199,0)))</f>
        <v/>
      </c>
      <c r="L827" s="7" t="str">
        <f>IF(ISNA(MATCH(818,'Transfer Engine'!$C$2:$C$1199,0)),"",INDEX('Compliance Database'!$L$2:$L$1199,MATCH(818,'Transfer Engine'!$C$2:$C$1199,0)))</f>
        <v/>
      </c>
      <c r="M827" s="7" t="str">
        <f>IF(ISNA(MATCH(818,'Transfer Engine'!$C$2:$C$1199,0)),"",INDEX('Compliance Database'!$M$2:$M$1199,MATCH(818,'Transfer Engine'!$C$2:$C$1199,0)))</f>
        <v/>
      </c>
      <c r="N827" s="7" t="str">
        <f>IF(ISNA(MATCH(818,'Transfer Engine'!$C$2:$C$1199,0)),"",INDEX('Compliance Database'!$N$2:$N$1199,MATCH(818,'Transfer Engine'!$C$2:$C$1199,0)))</f>
        <v/>
      </c>
      <c r="O827" s="7" t="str">
        <f>IF(ISNA(MATCH(818,'Transfer Engine'!$C$2:$C$1199,0)),"",INDEX('Compliance Database'!$O$2:$O$1199,MATCH(818,'Transfer Engine'!$C$2:$C$1199,0)))</f>
        <v/>
      </c>
      <c r="P827" s="6" t="str">
        <f>IF(ISNA(MATCH(818,'Transfer Engine'!$C$2:$C$1199,0)),"",HYPERLINK("#Acts!A"&amp;INDEX('Compliance Database'!$P$2:$P$1199,MATCH(818,'Transfer Engine'!$C$2:$C$1199,0)),"Go to Act"))</f>
        <v/>
      </c>
    </row>
    <row r="828" spans="1:16" ht="172.95" customHeight="1" x14ac:dyDescent="0.3">
      <c r="A828" s="6" t="str">
        <f>IF(ISNA(MATCH(819,'Transfer Engine'!$C$2:$C$1199,0)),"",INDEX('Compliance Database'!$A$2:$A$1199,MATCH(819,'Transfer Engine'!$C$2:$C$1199,0)))</f>
        <v/>
      </c>
      <c r="B828" s="6" t="str">
        <f>IF(ISNA(MATCH(819,'Transfer Engine'!$C$2:$C$1199,0)),"",INDEX('Compliance Database'!$B$2:$B$1199,MATCH(819,'Transfer Engine'!$C$2:$C$1199,0)))</f>
        <v/>
      </c>
      <c r="C828" s="6" t="str">
        <f>IF(ISNA(MATCH(819,'Transfer Engine'!$C$2:$C$1199,0)),"",INDEX('Compliance Database'!$C$2:$C$1199,MATCH(819,'Transfer Engine'!$C$2:$C$1199,0)))</f>
        <v/>
      </c>
      <c r="D828" s="7" t="str">
        <f>IF(ISNA(MATCH(819,'Transfer Engine'!$C$2:$C$1199,0)),"",INDEX('Compliance Database'!$D$2:$D$1199,MATCH(819,'Transfer Engine'!$C$2:$C$1199,0)))</f>
        <v/>
      </c>
      <c r="E828" s="6" t="str">
        <f>IF(ISNA(MATCH(819,'Transfer Engine'!$C$2:$C$1199,0)),"",INDEX('Compliance Database'!$E$2:$E$1199,MATCH(819,'Transfer Engine'!$C$2:$C$1199,0)))</f>
        <v/>
      </c>
      <c r="F828" s="6" t="str">
        <f>IF(ISNA(MATCH(819,'Transfer Engine'!$C$2:$C$1199,0)),"",INDEX('Compliance Database'!$F$2:$F$1199,MATCH(819,'Transfer Engine'!$C$2:$C$1199,0)))</f>
        <v/>
      </c>
      <c r="G828" s="6" t="str">
        <f>IF(ISNA(MATCH(819,'Transfer Engine'!$C$2:$C$1199,0)),"",INDEX('Compliance Database'!$G$2:$G$1199,MATCH(819,'Transfer Engine'!$C$2:$C$1199,0)))</f>
        <v/>
      </c>
      <c r="H828" s="7" t="str">
        <f>IF(ISNA(MATCH(819,'Transfer Engine'!$C$2:$C$1199,0)),"",INDEX('Compliance Database'!$H$2:$H$1199,MATCH(819,'Transfer Engine'!$C$2:$C$1199,0)))</f>
        <v/>
      </c>
      <c r="I828" s="7" t="str">
        <f>IF(ISNA(MATCH(819,'Transfer Engine'!$C$2:$C$1199,0)),"",INDEX('Compliance Database'!$I$2:$I$1199,MATCH(819,'Transfer Engine'!$C$2:$C$1199,0)))</f>
        <v/>
      </c>
      <c r="J828" s="6" t="str">
        <f>IF(ISNA(MATCH(819,'Transfer Engine'!$C$2:$C$1199,0)),"",INDEX('Compliance Database'!$J$2:$J$1199,MATCH(819,'Transfer Engine'!$C$2:$C$1199,0)))</f>
        <v/>
      </c>
      <c r="K828" s="7" t="str">
        <f>IF(ISNA(MATCH(819,'Transfer Engine'!$C$2:$C$1199,0)),"",INDEX('Compliance Database'!$K$2:$K$1199,MATCH(819,'Transfer Engine'!$C$2:$C$1199,0)))</f>
        <v/>
      </c>
      <c r="L828" s="7" t="str">
        <f>IF(ISNA(MATCH(819,'Transfer Engine'!$C$2:$C$1199,0)),"",INDEX('Compliance Database'!$L$2:$L$1199,MATCH(819,'Transfer Engine'!$C$2:$C$1199,0)))</f>
        <v/>
      </c>
      <c r="M828" s="7" t="str">
        <f>IF(ISNA(MATCH(819,'Transfer Engine'!$C$2:$C$1199,0)),"",INDEX('Compliance Database'!$M$2:$M$1199,MATCH(819,'Transfer Engine'!$C$2:$C$1199,0)))</f>
        <v/>
      </c>
      <c r="N828" s="7" t="str">
        <f>IF(ISNA(MATCH(819,'Transfer Engine'!$C$2:$C$1199,0)),"",INDEX('Compliance Database'!$N$2:$N$1199,MATCH(819,'Transfer Engine'!$C$2:$C$1199,0)))</f>
        <v/>
      </c>
      <c r="O828" s="7" t="str">
        <f>IF(ISNA(MATCH(819,'Transfer Engine'!$C$2:$C$1199,0)),"",INDEX('Compliance Database'!$O$2:$O$1199,MATCH(819,'Transfer Engine'!$C$2:$C$1199,0)))</f>
        <v/>
      </c>
      <c r="P828" s="6" t="str">
        <f>IF(ISNA(MATCH(819,'Transfer Engine'!$C$2:$C$1199,0)),"",HYPERLINK("#Acts!A"&amp;INDEX('Compliance Database'!$P$2:$P$1199,MATCH(819,'Transfer Engine'!$C$2:$C$1199,0)),"Go to Act"))</f>
        <v/>
      </c>
    </row>
    <row r="829" spans="1:16" ht="172.95" customHeight="1" x14ac:dyDescent="0.3">
      <c r="A829" s="6" t="str">
        <f>IF(ISNA(MATCH(820,'Transfer Engine'!$C$2:$C$1199,0)),"",INDEX('Compliance Database'!$A$2:$A$1199,MATCH(820,'Transfer Engine'!$C$2:$C$1199,0)))</f>
        <v/>
      </c>
      <c r="B829" s="6" t="str">
        <f>IF(ISNA(MATCH(820,'Transfer Engine'!$C$2:$C$1199,0)),"",INDEX('Compliance Database'!$B$2:$B$1199,MATCH(820,'Transfer Engine'!$C$2:$C$1199,0)))</f>
        <v/>
      </c>
      <c r="C829" s="6" t="str">
        <f>IF(ISNA(MATCH(820,'Transfer Engine'!$C$2:$C$1199,0)),"",INDEX('Compliance Database'!$C$2:$C$1199,MATCH(820,'Transfer Engine'!$C$2:$C$1199,0)))</f>
        <v/>
      </c>
      <c r="D829" s="7" t="str">
        <f>IF(ISNA(MATCH(820,'Transfer Engine'!$C$2:$C$1199,0)),"",INDEX('Compliance Database'!$D$2:$D$1199,MATCH(820,'Transfer Engine'!$C$2:$C$1199,0)))</f>
        <v/>
      </c>
      <c r="E829" s="6" t="str">
        <f>IF(ISNA(MATCH(820,'Transfer Engine'!$C$2:$C$1199,0)),"",INDEX('Compliance Database'!$E$2:$E$1199,MATCH(820,'Transfer Engine'!$C$2:$C$1199,0)))</f>
        <v/>
      </c>
      <c r="F829" s="6" t="str">
        <f>IF(ISNA(MATCH(820,'Transfer Engine'!$C$2:$C$1199,0)),"",INDEX('Compliance Database'!$F$2:$F$1199,MATCH(820,'Transfer Engine'!$C$2:$C$1199,0)))</f>
        <v/>
      </c>
      <c r="G829" s="6" t="str">
        <f>IF(ISNA(MATCH(820,'Transfer Engine'!$C$2:$C$1199,0)),"",INDEX('Compliance Database'!$G$2:$G$1199,MATCH(820,'Transfer Engine'!$C$2:$C$1199,0)))</f>
        <v/>
      </c>
      <c r="H829" s="7" t="str">
        <f>IF(ISNA(MATCH(820,'Transfer Engine'!$C$2:$C$1199,0)),"",INDEX('Compliance Database'!$H$2:$H$1199,MATCH(820,'Transfer Engine'!$C$2:$C$1199,0)))</f>
        <v/>
      </c>
      <c r="I829" s="7" t="str">
        <f>IF(ISNA(MATCH(820,'Transfer Engine'!$C$2:$C$1199,0)),"",INDEX('Compliance Database'!$I$2:$I$1199,MATCH(820,'Transfer Engine'!$C$2:$C$1199,0)))</f>
        <v/>
      </c>
      <c r="J829" s="6" t="str">
        <f>IF(ISNA(MATCH(820,'Transfer Engine'!$C$2:$C$1199,0)),"",INDEX('Compliance Database'!$J$2:$J$1199,MATCH(820,'Transfer Engine'!$C$2:$C$1199,0)))</f>
        <v/>
      </c>
      <c r="K829" s="7" t="str">
        <f>IF(ISNA(MATCH(820,'Transfer Engine'!$C$2:$C$1199,0)),"",INDEX('Compliance Database'!$K$2:$K$1199,MATCH(820,'Transfer Engine'!$C$2:$C$1199,0)))</f>
        <v/>
      </c>
      <c r="L829" s="7" t="str">
        <f>IF(ISNA(MATCH(820,'Transfer Engine'!$C$2:$C$1199,0)),"",INDEX('Compliance Database'!$L$2:$L$1199,MATCH(820,'Transfer Engine'!$C$2:$C$1199,0)))</f>
        <v/>
      </c>
      <c r="M829" s="7" t="str">
        <f>IF(ISNA(MATCH(820,'Transfer Engine'!$C$2:$C$1199,0)),"",INDEX('Compliance Database'!$M$2:$M$1199,MATCH(820,'Transfer Engine'!$C$2:$C$1199,0)))</f>
        <v/>
      </c>
      <c r="N829" s="7" t="str">
        <f>IF(ISNA(MATCH(820,'Transfer Engine'!$C$2:$C$1199,0)),"",INDEX('Compliance Database'!$N$2:$N$1199,MATCH(820,'Transfer Engine'!$C$2:$C$1199,0)))</f>
        <v/>
      </c>
      <c r="O829" s="7" t="str">
        <f>IF(ISNA(MATCH(820,'Transfer Engine'!$C$2:$C$1199,0)),"",INDEX('Compliance Database'!$O$2:$O$1199,MATCH(820,'Transfer Engine'!$C$2:$C$1199,0)))</f>
        <v/>
      </c>
      <c r="P829" s="6" t="str">
        <f>IF(ISNA(MATCH(820,'Transfer Engine'!$C$2:$C$1199,0)),"",HYPERLINK("#Acts!A"&amp;INDEX('Compliance Database'!$P$2:$P$1199,MATCH(820,'Transfer Engine'!$C$2:$C$1199,0)),"Go to Act"))</f>
        <v/>
      </c>
    </row>
    <row r="830" spans="1:16" ht="172.95" customHeight="1" x14ac:dyDescent="0.3">
      <c r="A830" s="6" t="str">
        <f>IF(ISNA(MATCH(821,'Transfer Engine'!$C$2:$C$1199,0)),"",INDEX('Compliance Database'!$A$2:$A$1199,MATCH(821,'Transfer Engine'!$C$2:$C$1199,0)))</f>
        <v/>
      </c>
      <c r="B830" s="6" t="str">
        <f>IF(ISNA(MATCH(821,'Transfer Engine'!$C$2:$C$1199,0)),"",INDEX('Compliance Database'!$B$2:$B$1199,MATCH(821,'Transfer Engine'!$C$2:$C$1199,0)))</f>
        <v/>
      </c>
      <c r="C830" s="6" t="str">
        <f>IF(ISNA(MATCH(821,'Transfer Engine'!$C$2:$C$1199,0)),"",INDEX('Compliance Database'!$C$2:$C$1199,MATCH(821,'Transfer Engine'!$C$2:$C$1199,0)))</f>
        <v/>
      </c>
      <c r="D830" s="7" t="str">
        <f>IF(ISNA(MATCH(821,'Transfer Engine'!$C$2:$C$1199,0)),"",INDEX('Compliance Database'!$D$2:$D$1199,MATCH(821,'Transfer Engine'!$C$2:$C$1199,0)))</f>
        <v/>
      </c>
      <c r="E830" s="6" t="str">
        <f>IF(ISNA(MATCH(821,'Transfer Engine'!$C$2:$C$1199,0)),"",INDEX('Compliance Database'!$E$2:$E$1199,MATCH(821,'Transfer Engine'!$C$2:$C$1199,0)))</f>
        <v/>
      </c>
      <c r="F830" s="6" t="str">
        <f>IF(ISNA(MATCH(821,'Transfer Engine'!$C$2:$C$1199,0)),"",INDEX('Compliance Database'!$F$2:$F$1199,MATCH(821,'Transfer Engine'!$C$2:$C$1199,0)))</f>
        <v/>
      </c>
      <c r="G830" s="6" t="str">
        <f>IF(ISNA(MATCH(821,'Transfer Engine'!$C$2:$C$1199,0)),"",INDEX('Compliance Database'!$G$2:$G$1199,MATCH(821,'Transfer Engine'!$C$2:$C$1199,0)))</f>
        <v/>
      </c>
      <c r="H830" s="7" t="str">
        <f>IF(ISNA(MATCH(821,'Transfer Engine'!$C$2:$C$1199,0)),"",INDEX('Compliance Database'!$H$2:$H$1199,MATCH(821,'Transfer Engine'!$C$2:$C$1199,0)))</f>
        <v/>
      </c>
      <c r="I830" s="7" t="str">
        <f>IF(ISNA(MATCH(821,'Transfer Engine'!$C$2:$C$1199,0)),"",INDEX('Compliance Database'!$I$2:$I$1199,MATCH(821,'Transfer Engine'!$C$2:$C$1199,0)))</f>
        <v/>
      </c>
      <c r="J830" s="6" t="str">
        <f>IF(ISNA(MATCH(821,'Transfer Engine'!$C$2:$C$1199,0)),"",INDEX('Compliance Database'!$J$2:$J$1199,MATCH(821,'Transfer Engine'!$C$2:$C$1199,0)))</f>
        <v/>
      </c>
      <c r="K830" s="7" t="str">
        <f>IF(ISNA(MATCH(821,'Transfer Engine'!$C$2:$C$1199,0)),"",INDEX('Compliance Database'!$K$2:$K$1199,MATCH(821,'Transfer Engine'!$C$2:$C$1199,0)))</f>
        <v/>
      </c>
      <c r="L830" s="7" t="str">
        <f>IF(ISNA(MATCH(821,'Transfer Engine'!$C$2:$C$1199,0)),"",INDEX('Compliance Database'!$L$2:$L$1199,MATCH(821,'Transfer Engine'!$C$2:$C$1199,0)))</f>
        <v/>
      </c>
      <c r="M830" s="7" t="str">
        <f>IF(ISNA(MATCH(821,'Transfer Engine'!$C$2:$C$1199,0)),"",INDEX('Compliance Database'!$M$2:$M$1199,MATCH(821,'Transfer Engine'!$C$2:$C$1199,0)))</f>
        <v/>
      </c>
      <c r="N830" s="7" t="str">
        <f>IF(ISNA(MATCH(821,'Transfer Engine'!$C$2:$C$1199,0)),"",INDEX('Compliance Database'!$N$2:$N$1199,MATCH(821,'Transfer Engine'!$C$2:$C$1199,0)))</f>
        <v/>
      </c>
      <c r="O830" s="7" t="str">
        <f>IF(ISNA(MATCH(821,'Transfer Engine'!$C$2:$C$1199,0)),"",INDEX('Compliance Database'!$O$2:$O$1199,MATCH(821,'Transfer Engine'!$C$2:$C$1199,0)))</f>
        <v/>
      </c>
      <c r="P830" s="6" t="str">
        <f>IF(ISNA(MATCH(821,'Transfer Engine'!$C$2:$C$1199,0)),"",HYPERLINK("#Acts!A"&amp;INDEX('Compliance Database'!$P$2:$P$1199,MATCH(821,'Transfer Engine'!$C$2:$C$1199,0)),"Go to Act"))</f>
        <v/>
      </c>
    </row>
    <row r="831" spans="1:16" ht="172.95" customHeight="1" x14ac:dyDescent="0.3">
      <c r="A831" s="6" t="str">
        <f>IF(ISNA(MATCH(822,'Transfer Engine'!$C$2:$C$1199,0)),"",INDEX('Compliance Database'!$A$2:$A$1199,MATCH(822,'Transfer Engine'!$C$2:$C$1199,0)))</f>
        <v/>
      </c>
      <c r="B831" s="6" t="str">
        <f>IF(ISNA(MATCH(822,'Transfer Engine'!$C$2:$C$1199,0)),"",INDEX('Compliance Database'!$B$2:$B$1199,MATCH(822,'Transfer Engine'!$C$2:$C$1199,0)))</f>
        <v/>
      </c>
      <c r="C831" s="6" t="str">
        <f>IF(ISNA(MATCH(822,'Transfer Engine'!$C$2:$C$1199,0)),"",INDEX('Compliance Database'!$C$2:$C$1199,MATCH(822,'Transfer Engine'!$C$2:$C$1199,0)))</f>
        <v/>
      </c>
      <c r="D831" s="7" t="str">
        <f>IF(ISNA(MATCH(822,'Transfer Engine'!$C$2:$C$1199,0)),"",INDEX('Compliance Database'!$D$2:$D$1199,MATCH(822,'Transfer Engine'!$C$2:$C$1199,0)))</f>
        <v/>
      </c>
      <c r="E831" s="6" t="str">
        <f>IF(ISNA(MATCH(822,'Transfer Engine'!$C$2:$C$1199,0)),"",INDEX('Compliance Database'!$E$2:$E$1199,MATCH(822,'Transfer Engine'!$C$2:$C$1199,0)))</f>
        <v/>
      </c>
      <c r="F831" s="6" t="str">
        <f>IF(ISNA(MATCH(822,'Transfer Engine'!$C$2:$C$1199,0)),"",INDEX('Compliance Database'!$F$2:$F$1199,MATCH(822,'Transfer Engine'!$C$2:$C$1199,0)))</f>
        <v/>
      </c>
      <c r="G831" s="6" t="str">
        <f>IF(ISNA(MATCH(822,'Transfer Engine'!$C$2:$C$1199,0)),"",INDEX('Compliance Database'!$G$2:$G$1199,MATCH(822,'Transfer Engine'!$C$2:$C$1199,0)))</f>
        <v/>
      </c>
      <c r="H831" s="7" t="str">
        <f>IF(ISNA(MATCH(822,'Transfer Engine'!$C$2:$C$1199,0)),"",INDEX('Compliance Database'!$H$2:$H$1199,MATCH(822,'Transfer Engine'!$C$2:$C$1199,0)))</f>
        <v/>
      </c>
      <c r="I831" s="7" t="str">
        <f>IF(ISNA(MATCH(822,'Transfer Engine'!$C$2:$C$1199,0)),"",INDEX('Compliance Database'!$I$2:$I$1199,MATCH(822,'Transfer Engine'!$C$2:$C$1199,0)))</f>
        <v/>
      </c>
      <c r="J831" s="6" t="str">
        <f>IF(ISNA(MATCH(822,'Transfer Engine'!$C$2:$C$1199,0)),"",INDEX('Compliance Database'!$J$2:$J$1199,MATCH(822,'Transfer Engine'!$C$2:$C$1199,0)))</f>
        <v/>
      </c>
      <c r="K831" s="7" t="str">
        <f>IF(ISNA(MATCH(822,'Transfer Engine'!$C$2:$C$1199,0)),"",INDEX('Compliance Database'!$K$2:$K$1199,MATCH(822,'Transfer Engine'!$C$2:$C$1199,0)))</f>
        <v/>
      </c>
      <c r="L831" s="7" t="str">
        <f>IF(ISNA(MATCH(822,'Transfer Engine'!$C$2:$C$1199,0)),"",INDEX('Compliance Database'!$L$2:$L$1199,MATCH(822,'Transfer Engine'!$C$2:$C$1199,0)))</f>
        <v/>
      </c>
      <c r="M831" s="7" t="str">
        <f>IF(ISNA(MATCH(822,'Transfer Engine'!$C$2:$C$1199,0)),"",INDEX('Compliance Database'!$M$2:$M$1199,MATCH(822,'Transfer Engine'!$C$2:$C$1199,0)))</f>
        <v/>
      </c>
      <c r="N831" s="7" t="str">
        <f>IF(ISNA(MATCH(822,'Transfer Engine'!$C$2:$C$1199,0)),"",INDEX('Compliance Database'!$N$2:$N$1199,MATCH(822,'Transfer Engine'!$C$2:$C$1199,0)))</f>
        <v/>
      </c>
      <c r="O831" s="7" t="str">
        <f>IF(ISNA(MATCH(822,'Transfer Engine'!$C$2:$C$1199,0)),"",INDEX('Compliance Database'!$O$2:$O$1199,MATCH(822,'Transfer Engine'!$C$2:$C$1199,0)))</f>
        <v/>
      </c>
      <c r="P831" s="6" t="str">
        <f>IF(ISNA(MATCH(822,'Transfer Engine'!$C$2:$C$1199,0)),"",HYPERLINK("#Acts!A"&amp;INDEX('Compliance Database'!$P$2:$P$1199,MATCH(822,'Transfer Engine'!$C$2:$C$1199,0)),"Go to Act"))</f>
        <v/>
      </c>
    </row>
    <row r="832" spans="1:16" ht="172.95" customHeight="1" x14ac:dyDescent="0.3">
      <c r="A832" s="6" t="str">
        <f>IF(ISNA(MATCH(823,'Transfer Engine'!$C$2:$C$1199,0)),"",INDEX('Compliance Database'!$A$2:$A$1199,MATCH(823,'Transfer Engine'!$C$2:$C$1199,0)))</f>
        <v/>
      </c>
      <c r="B832" s="6" t="str">
        <f>IF(ISNA(MATCH(823,'Transfer Engine'!$C$2:$C$1199,0)),"",INDEX('Compliance Database'!$B$2:$B$1199,MATCH(823,'Transfer Engine'!$C$2:$C$1199,0)))</f>
        <v/>
      </c>
      <c r="C832" s="6" t="str">
        <f>IF(ISNA(MATCH(823,'Transfer Engine'!$C$2:$C$1199,0)),"",INDEX('Compliance Database'!$C$2:$C$1199,MATCH(823,'Transfer Engine'!$C$2:$C$1199,0)))</f>
        <v/>
      </c>
      <c r="D832" s="7" t="str">
        <f>IF(ISNA(MATCH(823,'Transfer Engine'!$C$2:$C$1199,0)),"",INDEX('Compliance Database'!$D$2:$D$1199,MATCH(823,'Transfer Engine'!$C$2:$C$1199,0)))</f>
        <v/>
      </c>
      <c r="E832" s="6" t="str">
        <f>IF(ISNA(MATCH(823,'Transfer Engine'!$C$2:$C$1199,0)),"",INDEX('Compliance Database'!$E$2:$E$1199,MATCH(823,'Transfer Engine'!$C$2:$C$1199,0)))</f>
        <v/>
      </c>
      <c r="F832" s="6" t="str">
        <f>IF(ISNA(MATCH(823,'Transfer Engine'!$C$2:$C$1199,0)),"",INDEX('Compliance Database'!$F$2:$F$1199,MATCH(823,'Transfer Engine'!$C$2:$C$1199,0)))</f>
        <v/>
      </c>
      <c r="G832" s="6" t="str">
        <f>IF(ISNA(MATCH(823,'Transfer Engine'!$C$2:$C$1199,0)),"",INDEX('Compliance Database'!$G$2:$G$1199,MATCH(823,'Transfer Engine'!$C$2:$C$1199,0)))</f>
        <v/>
      </c>
      <c r="H832" s="7" t="str">
        <f>IF(ISNA(MATCH(823,'Transfer Engine'!$C$2:$C$1199,0)),"",INDEX('Compliance Database'!$H$2:$H$1199,MATCH(823,'Transfer Engine'!$C$2:$C$1199,0)))</f>
        <v/>
      </c>
      <c r="I832" s="7" t="str">
        <f>IF(ISNA(MATCH(823,'Transfer Engine'!$C$2:$C$1199,0)),"",INDEX('Compliance Database'!$I$2:$I$1199,MATCH(823,'Transfer Engine'!$C$2:$C$1199,0)))</f>
        <v/>
      </c>
      <c r="J832" s="6" t="str">
        <f>IF(ISNA(MATCH(823,'Transfer Engine'!$C$2:$C$1199,0)),"",INDEX('Compliance Database'!$J$2:$J$1199,MATCH(823,'Transfer Engine'!$C$2:$C$1199,0)))</f>
        <v/>
      </c>
      <c r="K832" s="7" t="str">
        <f>IF(ISNA(MATCH(823,'Transfer Engine'!$C$2:$C$1199,0)),"",INDEX('Compliance Database'!$K$2:$K$1199,MATCH(823,'Transfer Engine'!$C$2:$C$1199,0)))</f>
        <v/>
      </c>
      <c r="L832" s="7" t="str">
        <f>IF(ISNA(MATCH(823,'Transfer Engine'!$C$2:$C$1199,0)),"",INDEX('Compliance Database'!$L$2:$L$1199,MATCH(823,'Transfer Engine'!$C$2:$C$1199,0)))</f>
        <v/>
      </c>
      <c r="M832" s="7" t="str">
        <f>IF(ISNA(MATCH(823,'Transfer Engine'!$C$2:$C$1199,0)),"",INDEX('Compliance Database'!$M$2:$M$1199,MATCH(823,'Transfer Engine'!$C$2:$C$1199,0)))</f>
        <v/>
      </c>
      <c r="N832" s="7" t="str">
        <f>IF(ISNA(MATCH(823,'Transfer Engine'!$C$2:$C$1199,0)),"",INDEX('Compliance Database'!$N$2:$N$1199,MATCH(823,'Transfer Engine'!$C$2:$C$1199,0)))</f>
        <v/>
      </c>
      <c r="O832" s="7" t="str">
        <f>IF(ISNA(MATCH(823,'Transfer Engine'!$C$2:$C$1199,0)),"",INDEX('Compliance Database'!$O$2:$O$1199,MATCH(823,'Transfer Engine'!$C$2:$C$1199,0)))</f>
        <v/>
      </c>
      <c r="P832" s="6" t="str">
        <f>IF(ISNA(MATCH(823,'Transfer Engine'!$C$2:$C$1199,0)),"",HYPERLINK("#Acts!A"&amp;INDEX('Compliance Database'!$P$2:$P$1199,MATCH(823,'Transfer Engine'!$C$2:$C$1199,0)),"Go to Act"))</f>
        <v/>
      </c>
    </row>
    <row r="833" spans="1:16" ht="172.95" customHeight="1" x14ac:dyDescent="0.3">
      <c r="A833" s="6" t="str">
        <f>IF(ISNA(MATCH(824,'Transfer Engine'!$C$2:$C$1199,0)),"",INDEX('Compliance Database'!$A$2:$A$1199,MATCH(824,'Transfer Engine'!$C$2:$C$1199,0)))</f>
        <v/>
      </c>
      <c r="B833" s="6" t="str">
        <f>IF(ISNA(MATCH(824,'Transfer Engine'!$C$2:$C$1199,0)),"",INDEX('Compliance Database'!$B$2:$B$1199,MATCH(824,'Transfer Engine'!$C$2:$C$1199,0)))</f>
        <v/>
      </c>
      <c r="C833" s="6" t="str">
        <f>IF(ISNA(MATCH(824,'Transfer Engine'!$C$2:$C$1199,0)),"",INDEX('Compliance Database'!$C$2:$C$1199,MATCH(824,'Transfer Engine'!$C$2:$C$1199,0)))</f>
        <v/>
      </c>
      <c r="D833" s="7" t="str">
        <f>IF(ISNA(MATCH(824,'Transfer Engine'!$C$2:$C$1199,0)),"",INDEX('Compliance Database'!$D$2:$D$1199,MATCH(824,'Transfer Engine'!$C$2:$C$1199,0)))</f>
        <v/>
      </c>
      <c r="E833" s="6" t="str">
        <f>IF(ISNA(MATCH(824,'Transfer Engine'!$C$2:$C$1199,0)),"",INDEX('Compliance Database'!$E$2:$E$1199,MATCH(824,'Transfer Engine'!$C$2:$C$1199,0)))</f>
        <v/>
      </c>
      <c r="F833" s="6" t="str">
        <f>IF(ISNA(MATCH(824,'Transfer Engine'!$C$2:$C$1199,0)),"",INDEX('Compliance Database'!$F$2:$F$1199,MATCH(824,'Transfer Engine'!$C$2:$C$1199,0)))</f>
        <v/>
      </c>
      <c r="G833" s="6" t="str">
        <f>IF(ISNA(MATCH(824,'Transfer Engine'!$C$2:$C$1199,0)),"",INDEX('Compliance Database'!$G$2:$G$1199,MATCH(824,'Transfer Engine'!$C$2:$C$1199,0)))</f>
        <v/>
      </c>
      <c r="H833" s="7" t="str">
        <f>IF(ISNA(MATCH(824,'Transfer Engine'!$C$2:$C$1199,0)),"",INDEX('Compliance Database'!$H$2:$H$1199,MATCH(824,'Transfer Engine'!$C$2:$C$1199,0)))</f>
        <v/>
      </c>
      <c r="I833" s="7" t="str">
        <f>IF(ISNA(MATCH(824,'Transfer Engine'!$C$2:$C$1199,0)),"",INDEX('Compliance Database'!$I$2:$I$1199,MATCH(824,'Transfer Engine'!$C$2:$C$1199,0)))</f>
        <v/>
      </c>
      <c r="J833" s="6" t="str">
        <f>IF(ISNA(MATCH(824,'Transfer Engine'!$C$2:$C$1199,0)),"",INDEX('Compliance Database'!$J$2:$J$1199,MATCH(824,'Transfer Engine'!$C$2:$C$1199,0)))</f>
        <v/>
      </c>
      <c r="K833" s="7" t="str">
        <f>IF(ISNA(MATCH(824,'Transfer Engine'!$C$2:$C$1199,0)),"",INDEX('Compliance Database'!$K$2:$K$1199,MATCH(824,'Transfer Engine'!$C$2:$C$1199,0)))</f>
        <v/>
      </c>
      <c r="L833" s="7" t="str">
        <f>IF(ISNA(MATCH(824,'Transfer Engine'!$C$2:$C$1199,0)),"",INDEX('Compliance Database'!$L$2:$L$1199,MATCH(824,'Transfer Engine'!$C$2:$C$1199,0)))</f>
        <v/>
      </c>
      <c r="M833" s="7" t="str">
        <f>IF(ISNA(MATCH(824,'Transfer Engine'!$C$2:$C$1199,0)),"",INDEX('Compliance Database'!$M$2:$M$1199,MATCH(824,'Transfer Engine'!$C$2:$C$1199,0)))</f>
        <v/>
      </c>
      <c r="N833" s="7" t="str">
        <f>IF(ISNA(MATCH(824,'Transfer Engine'!$C$2:$C$1199,0)),"",INDEX('Compliance Database'!$N$2:$N$1199,MATCH(824,'Transfer Engine'!$C$2:$C$1199,0)))</f>
        <v/>
      </c>
      <c r="O833" s="7" t="str">
        <f>IF(ISNA(MATCH(824,'Transfer Engine'!$C$2:$C$1199,0)),"",INDEX('Compliance Database'!$O$2:$O$1199,MATCH(824,'Transfer Engine'!$C$2:$C$1199,0)))</f>
        <v/>
      </c>
      <c r="P833" s="6" t="str">
        <f>IF(ISNA(MATCH(824,'Transfer Engine'!$C$2:$C$1199,0)),"",HYPERLINK("#Acts!A"&amp;INDEX('Compliance Database'!$P$2:$P$1199,MATCH(824,'Transfer Engine'!$C$2:$C$1199,0)),"Go to Act"))</f>
        <v/>
      </c>
    </row>
    <row r="834" spans="1:16" ht="172.95" customHeight="1" x14ac:dyDescent="0.3">
      <c r="A834" s="6" t="str">
        <f>IF(ISNA(MATCH(825,'Transfer Engine'!$C$2:$C$1199,0)),"",INDEX('Compliance Database'!$A$2:$A$1199,MATCH(825,'Transfer Engine'!$C$2:$C$1199,0)))</f>
        <v/>
      </c>
      <c r="B834" s="6" t="str">
        <f>IF(ISNA(MATCH(825,'Transfer Engine'!$C$2:$C$1199,0)),"",INDEX('Compliance Database'!$B$2:$B$1199,MATCH(825,'Transfer Engine'!$C$2:$C$1199,0)))</f>
        <v/>
      </c>
      <c r="C834" s="6" t="str">
        <f>IF(ISNA(MATCH(825,'Transfer Engine'!$C$2:$C$1199,0)),"",INDEX('Compliance Database'!$C$2:$C$1199,MATCH(825,'Transfer Engine'!$C$2:$C$1199,0)))</f>
        <v/>
      </c>
      <c r="D834" s="7" t="str">
        <f>IF(ISNA(MATCH(825,'Transfer Engine'!$C$2:$C$1199,0)),"",INDEX('Compliance Database'!$D$2:$D$1199,MATCH(825,'Transfer Engine'!$C$2:$C$1199,0)))</f>
        <v/>
      </c>
      <c r="E834" s="6" t="str">
        <f>IF(ISNA(MATCH(825,'Transfer Engine'!$C$2:$C$1199,0)),"",INDEX('Compliance Database'!$E$2:$E$1199,MATCH(825,'Transfer Engine'!$C$2:$C$1199,0)))</f>
        <v/>
      </c>
      <c r="F834" s="6" t="str">
        <f>IF(ISNA(MATCH(825,'Transfer Engine'!$C$2:$C$1199,0)),"",INDEX('Compliance Database'!$F$2:$F$1199,MATCH(825,'Transfer Engine'!$C$2:$C$1199,0)))</f>
        <v/>
      </c>
      <c r="G834" s="6" t="str">
        <f>IF(ISNA(MATCH(825,'Transfer Engine'!$C$2:$C$1199,0)),"",INDEX('Compliance Database'!$G$2:$G$1199,MATCH(825,'Transfer Engine'!$C$2:$C$1199,0)))</f>
        <v/>
      </c>
      <c r="H834" s="7" t="str">
        <f>IF(ISNA(MATCH(825,'Transfer Engine'!$C$2:$C$1199,0)),"",INDEX('Compliance Database'!$H$2:$H$1199,MATCH(825,'Transfer Engine'!$C$2:$C$1199,0)))</f>
        <v/>
      </c>
      <c r="I834" s="7" t="str">
        <f>IF(ISNA(MATCH(825,'Transfer Engine'!$C$2:$C$1199,0)),"",INDEX('Compliance Database'!$I$2:$I$1199,MATCH(825,'Transfer Engine'!$C$2:$C$1199,0)))</f>
        <v/>
      </c>
      <c r="J834" s="6" t="str">
        <f>IF(ISNA(MATCH(825,'Transfer Engine'!$C$2:$C$1199,0)),"",INDEX('Compliance Database'!$J$2:$J$1199,MATCH(825,'Transfer Engine'!$C$2:$C$1199,0)))</f>
        <v/>
      </c>
      <c r="K834" s="7" t="str">
        <f>IF(ISNA(MATCH(825,'Transfer Engine'!$C$2:$C$1199,0)),"",INDEX('Compliance Database'!$K$2:$K$1199,MATCH(825,'Transfer Engine'!$C$2:$C$1199,0)))</f>
        <v/>
      </c>
      <c r="L834" s="7" t="str">
        <f>IF(ISNA(MATCH(825,'Transfer Engine'!$C$2:$C$1199,0)),"",INDEX('Compliance Database'!$L$2:$L$1199,MATCH(825,'Transfer Engine'!$C$2:$C$1199,0)))</f>
        <v/>
      </c>
      <c r="M834" s="7" t="str">
        <f>IF(ISNA(MATCH(825,'Transfer Engine'!$C$2:$C$1199,0)),"",INDEX('Compliance Database'!$M$2:$M$1199,MATCH(825,'Transfer Engine'!$C$2:$C$1199,0)))</f>
        <v/>
      </c>
      <c r="N834" s="7" t="str">
        <f>IF(ISNA(MATCH(825,'Transfer Engine'!$C$2:$C$1199,0)),"",INDEX('Compliance Database'!$N$2:$N$1199,MATCH(825,'Transfer Engine'!$C$2:$C$1199,0)))</f>
        <v/>
      </c>
      <c r="O834" s="7" t="str">
        <f>IF(ISNA(MATCH(825,'Transfer Engine'!$C$2:$C$1199,0)),"",INDEX('Compliance Database'!$O$2:$O$1199,MATCH(825,'Transfer Engine'!$C$2:$C$1199,0)))</f>
        <v/>
      </c>
      <c r="P834" s="6" t="str">
        <f>IF(ISNA(MATCH(825,'Transfer Engine'!$C$2:$C$1199,0)),"",HYPERLINK("#Acts!A"&amp;INDEX('Compliance Database'!$P$2:$P$1199,MATCH(825,'Transfer Engine'!$C$2:$C$1199,0)),"Go to Act"))</f>
        <v/>
      </c>
    </row>
    <row r="835" spans="1:16" ht="172.95" customHeight="1" x14ac:dyDescent="0.3">
      <c r="A835" s="6" t="str">
        <f>IF(ISNA(MATCH(826,'Transfer Engine'!$C$2:$C$1199,0)),"",INDEX('Compliance Database'!$A$2:$A$1199,MATCH(826,'Transfer Engine'!$C$2:$C$1199,0)))</f>
        <v/>
      </c>
      <c r="B835" s="6" t="str">
        <f>IF(ISNA(MATCH(826,'Transfer Engine'!$C$2:$C$1199,0)),"",INDEX('Compliance Database'!$B$2:$B$1199,MATCH(826,'Transfer Engine'!$C$2:$C$1199,0)))</f>
        <v/>
      </c>
      <c r="C835" s="6" t="str">
        <f>IF(ISNA(MATCH(826,'Transfer Engine'!$C$2:$C$1199,0)),"",INDEX('Compliance Database'!$C$2:$C$1199,MATCH(826,'Transfer Engine'!$C$2:$C$1199,0)))</f>
        <v/>
      </c>
      <c r="D835" s="7" t="str">
        <f>IF(ISNA(MATCH(826,'Transfer Engine'!$C$2:$C$1199,0)),"",INDEX('Compliance Database'!$D$2:$D$1199,MATCH(826,'Transfer Engine'!$C$2:$C$1199,0)))</f>
        <v/>
      </c>
      <c r="E835" s="6" t="str">
        <f>IF(ISNA(MATCH(826,'Transfer Engine'!$C$2:$C$1199,0)),"",INDEX('Compliance Database'!$E$2:$E$1199,MATCH(826,'Transfer Engine'!$C$2:$C$1199,0)))</f>
        <v/>
      </c>
      <c r="F835" s="6" t="str">
        <f>IF(ISNA(MATCH(826,'Transfer Engine'!$C$2:$C$1199,0)),"",INDEX('Compliance Database'!$F$2:$F$1199,MATCH(826,'Transfer Engine'!$C$2:$C$1199,0)))</f>
        <v/>
      </c>
      <c r="G835" s="6" t="str">
        <f>IF(ISNA(MATCH(826,'Transfer Engine'!$C$2:$C$1199,0)),"",INDEX('Compliance Database'!$G$2:$G$1199,MATCH(826,'Transfer Engine'!$C$2:$C$1199,0)))</f>
        <v/>
      </c>
      <c r="H835" s="7" t="str">
        <f>IF(ISNA(MATCH(826,'Transfer Engine'!$C$2:$C$1199,0)),"",INDEX('Compliance Database'!$H$2:$H$1199,MATCH(826,'Transfer Engine'!$C$2:$C$1199,0)))</f>
        <v/>
      </c>
      <c r="I835" s="7" t="str">
        <f>IF(ISNA(MATCH(826,'Transfer Engine'!$C$2:$C$1199,0)),"",INDEX('Compliance Database'!$I$2:$I$1199,MATCH(826,'Transfer Engine'!$C$2:$C$1199,0)))</f>
        <v/>
      </c>
      <c r="J835" s="6" t="str">
        <f>IF(ISNA(MATCH(826,'Transfer Engine'!$C$2:$C$1199,0)),"",INDEX('Compliance Database'!$J$2:$J$1199,MATCH(826,'Transfer Engine'!$C$2:$C$1199,0)))</f>
        <v/>
      </c>
      <c r="K835" s="7" t="str">
        <f>IF(ISNA(MATCH(826,'Transfer Engine'!$C$2:$C$1199,0)),"",INDEX('Compliance Database'!$K$2:$K$1199,MATCH(826,'Transfer Engine'!$C$2:$C$1199,0)))</f>
        <v/>
      </c>
      <c r="L835" s="7" t="str">
        <f>IF(ISNA(MATCH(826,'Transfer Engine'!$C$2:$C$1199,0)),"",INDEX('Compliance Database'!$L$2:$L$1199,MATCH(826,'Transfer Engine'!$C$2:$C$1199,0)))</f>
        <v/>
      </c>
      <c r="M835" s="7" t="str">
        <f>IF(ISNA(MATCH(826,'Transfer Engine'!$C$2:$C$1199,0)),"",INDEX('Compliance Database'!$M$2:$M$1199,MATCH(826,'Transfer Engine'!$C$2:$C$1199,0)))</f>
        <v/>
      </c>
      <c r="N835" s="7" t="str">
        <f>IF(ISNA(MATCH(826,'Transfer Engine'!$C$2:$C$1199,0)),"",INDEX('Compliance Database'!$N$2:$N$1199,MATCH(826,'Transfer Engine'!$C$2:$C$1199,0)))</f>
        <v/>
      </c>
      <c r="O835" s="7" t="str">
        <f>IF(ISNA(MATCH(826,'Transfer Engine'!$C$2:$C$1199,0)),"",INDEX('Compliance Database'!$O$2:$O$1199,MATCH(826,'Transfer Engine'!$C$2:$C$1199,0)))</f>
        <v/>
      </c>
      <c r="P835" s="6" t="str">
        <f>IF(ISNA(MATCH(826,'Transfer Engine'!$C$2:$C$1199,0)),"",HYPERLINK("#Acts!A"&amp;INDEX('Compliance Database'!$P$2:$P$1199,MATCH(826,'Transfer Engine'!$C$2:$C$1199,0)),"Go to Act"))</f>
        <v/>
      </c>
    </row>
    <row r="836" spans="1:16" ht="172.95" customHeight="1" x14ac:dyDescent="0.3">
      <c r="A836" s="6" t="str">
        <f>IF(ISNA(MATCH(827,'Transfer Engine'!$C$2:$C$1199,0)),"",INDEX('Compliance Database'!$A$2:$A$1199,MATCH(827,'Transfer Engine'!$C$2:$C$1199,0)))</f>
        <v/>
      </c>
      <c r="B836" s="6" t="str">
        <f>IF(ISNA(MATCH(827,'Transfer Engine'!$C$2:$C$1199,0)),"",INDEX('Compliance Database'!$B$2:$B$1199,MATCH(827,'Transfer Engine'!$C$2:$C$1199,0)))</f>
        <v/>
      </c>
      <c r="C836" s="6" t="str">
        <f>IF(ISNA(MATCH(827,'Transfer Engine'!$C$2:$C$1199,0)),"",INDEX('Compliance Database'!$C$2:$C$1199,MATCH(827,'Transfer Engine'!$C$2:$C$1199,0)))</f>
        <v/>
      </c>
      <c r="D836" s="7" t="str">
        <f>IF(ISNA(MATCH(827,'Transfer Engine'!$C$2:$C$1199,0)),"",INDEX('Compliance Database'!$D$2:$D$1199,MATCH(827,'Transfer Engine'!$C$2:$C$1199,0)))</f>
        <v/>
      </c>
      <c r="E836" s="6" t="str">
        <f>IF(ISNA(MATCH(827,'Transfer Engine'!$C$2:$C$1199,0)),"",INDEX('Compliance Database'!$E$2:$E$1199,MATCH(827,'Transfer Engine'!$C$2:$C$1199,0)))</f>
        <v/>
      </c>
      <c r="F836" s="6" t="str">
        <f>IF(ISNA(MATCH(827,'Transfer Engine'!$C$2:$C$1199,0)),"",INDEX('Compliance Database'!$F$2:$F$1199,MATCH(827,'Transfer Engine'!$C$2:$C$1199,0)))</f>
        <v/>
      </c>
      <c r="G836" s="6" t="str">
        <f>IF(ISNA(MATCH(827,'Transfer Engine'!$C$2:$C$1199,0)),"",INDEX('Compliance Database'!$G$2:$G$1199,MATCH(827,'Transfer Engine'!$C$2:$C$1199,0)))</f>
        <v/>
      </c>
      <c r="H836" s="7" t="str">
        <f>IF(ISNA(MATCH(827,'Transfer Engine'!$C$2:$C$1199,0)),"",INDEX('Compliance Database'!$H$2:$H$1199,MATCH(827,'Transfer Engine'!$C$2:$C$1199,0)))</f>
        <v/>
      </c>
      <c r="I836" s="7" t="str">
        <f>IF(ISNA(MATCH(827,'Transfer Engine'!$C$2:$C$1199,0)),"",INDEX('Compliance Database'!$I$2:$I$1199,MATCH(827,'Transfer Engine'!$C$2:$C$1199,0)))</f>
        <v/>
      </c>
      <c r="J836" s="6" t="str">
        <f>IF(ISNA(MATCH(827,'Transfer Engine'!$C$2:$C$1199,0)),"",INDEX('Compliance Database'!$J$2:$J$1199,MATCH(827,'Transfer Engine'!$C$2:$C$1199,0)))</f>
        <v/>
      </c>
      <c r="K836" s="7" t="str">
        <f>IF(ISNA(MATCH(827,'Transfer Engine'!$C$2:$C$1199,0)),"",INDEX('Compliance Database'!$K$2:$K$1199,MATCH(827,'Transfer Engine'!$C$2:$C$1199,0)))</f>
        <v/>
      </c>
      <c r="L836" s="7" t="str">
        <f>IF(ISNA(MATCH(827,'Transfer Engine'!$C$2:$C$1199,0)),"",INDEX('Compliance Database'!$L$2:$L$1199,MATCH(827,'Transfer Engine'!$C$2:$C$1199,0)))</f>
        <v/>
      </c>
      <c r="M836" s="7" t="str">
        <f>IF(ISNA(MATCH(827,'Transfer Engine'!$C$2:$C$1199,0)),"",INDEX('Compliance Database'!$M$2:$M$1199,MATCH(827,'Transfer Engine'!$C$2:$C$1199,0)))</f>
        <v/>
      </c>
      <c r="N836" s="7" t="str">
        <f>IF(ISNA(MATCH(827,'Transfer Engine'!$C$2:$C$1199,0)),"",INDEX('Compliance Database'!$N$2:$N$1199,MATCH(827,'Transfer Engine'!$C$2:$C$1199,0)))</f>
        <v/>
      </c>
      <c r="O836" s="7" t="str">
        <f>IF(ISNA(MATCH(827,'Transfer Engine'!$C$2:$C$1199,0)),"",INDEX('Compliance Database'!$O$2:$O$1199,MATCH(827,'Transfer Engine'!$C$2:$C$1199,0)))</f>
        <v/>
      </c>
      <c r="P836" s="6" t="str">
        <f>IF(ISNA(MATCH(827,'Transfer Engine'!$C$2:$C$1199,0)),"",HYPERLINK("#Acts!A"&amp;INDEX('Compliance Database'!$P$2:$P$1199,MATCH(827,'Transfer Engine'!$C$2:$C$1199,0)),"Go to Act"))</f>
        <v/>
      </c>
    </row>
    <row r="837" spans="1:16" ht="172.95" customHeight="1" x14ac:dyDescent="0.3">
      <c r="A837" s="6" t="str">
        <f>IF(ISNA(MATCH(828,'Transfer Engine'!$C$2:$C$1199,0)),"",INDEX('Compliance Database'!$A$2:$A$1199,MATCH(828,'Transfer Engine'!$C$2:$C$1199,0)))</f>
        <v/>
      </c>
      <c r="B837" s="6" t="str">
        <f>IF(ISNA(MATCH(828,'Transfer Engine'!$C$2:$C$1199,0)),"",INDEX('Compliance Database'!$B$2:$B$1199,MATCH(828,'Transfer Engine'!$C$2:$C$1199,0)))</f>
        <v/>
      </c>
      <c r="C837" s="6" t="str">
        <f>IF(ISNA(MATCH(828,'Transfer Engine'!$C$2:$C$1199,0)),"",INDEX('Compliance Database'!$C$2:$C$1199,MATCH(828,'Transfer Engine'!$C$2:$C$1199,0)))</f>
        <v/>
      </c>
      <c r="D837" s="7" t="str">
        <f>IF(ISNA(MATCH(828,'Transfer Engine'!$C$2:$C$1199,0)),"",INDEX('Compliance Database'!$D$2:$D$1199,MATCH(828,'Transfer Engine'!$C$2:$C$1199,0)))</f>
        <v/>
      </c>
      <c r="E837" s="6" t="str">
        <f>IF(ISNA(MATCH(828,'Transfer Engine'!$C$2:$C$1199,0)),"",INDEX('Compliance Database'!$E$2:$E$1199,MATCH(828,'Transfer Engine'!$C$2:$C$1199,0)))</f>
        <v/>
      </c>
      <c r="F837" s="6" t="str">
        <f>IF(ISNA(MATCH(828,'Transfer Engine'!$C$2:$C$1199,0)),"",INDEX('Compliance Database'!$F$2:$F$1199,MATCH(828,'Transfer Engine'!$C$2:$C$1199,0)))</f>
        <v/>
      </c>
      <c r="G837" s="6" t="str">
        <f>IF(ISNA(MATCH(828,'Transfer Engine'!$C$2:$C$1199,0)),"",INDEX('Compliance Database'!$G$2:$G$1199,MATCH(828,'Transfer Engine'!$C$2:$C$1199,0)))</f>
        <v/>
      </c>
      <c r="H837" s="7" t="str">
        <f>IF(ISNA(MATCH(828,'Transfer Engine'!$C$2:$C$1199,0)),"",INDEX('Compliance Database'!$H$2:$H$1199,MATCH(828,'Transfer Engine'!$C$2:$C$1199,0)))</f>
        <v/>
      </c>
      <c r="I837" s="7" t="str">
        <f>IF(ISNA(MATCH(828,'Transfer Engine'!$C$2:$C$1199,0)),"",INDEX('Compliance Database'!$I$2:$I$1199,MATCH(828,'Transfer Engine'!$C$2:$C$1199,0)))</f>
        <v/>
      </c>
      <c r="J837" s="6" t="str">
        <f>IF(ISNA(MATCH(828,'Transfer Engine'!$C$2:$C$1199,0)),"",INDEX('Compliance Database'!$J$2:$J$1199,MATCH(828,'Transfer Engine'!$C$2:$C$1199,0)))</f>
        <v/>
      </c>
      <c r="K837" s="7" t="str">
        <f>IF(ISNA(MATCH(828,'Transfer Engine'!$C$2:$C$1199,0)),"",INDEX('Compliance Database'!$K$2:$K$1199,MATCH(828,'Transfer Engine'!$C$2:$C$1199,0)))</f>
        <v/>
      </c>
      <c r="L837" s="7" t="str">
        <f>IF(ISNA(MATCH(828,'Transfer Engine'!$C$2:$C$1199,0)),"",INDEX('Compliance Database'!$L$2:$L$1199,MATCH(828,'Transfer Engine'!$C$2:$C$1199,0)))</f>
        <v/>
      </c>
      <c r="M837" s="7" t="str">
        <f>IF(ISNA(MATCH(828,'Transfer Engine'!$C$2:$C$1199,0)),"",INDEX('Compliance Database'!$M$2:$M$1199,MATCH(828,'Transfer Engine'!$C$2:$C$1199,0)))</f>
        <v/>
      </c>
      <c r="N837" s="7" t="str">
        <f>IF(ISNA(MATCH(828,'Transfer Engine'!$C$2:$C$1199,0)),"",INDEX('Compliance Database'!$N$2:$N$1199,MATCH(828,'Transfer Engine'!$C$2:$C$1199,0)))</f>
        <v/>
      </c>
      <c r="O837" s="7" t="str">
        <f>IF(ISNA(MATCH(828,'Transfer Engine'!$C$2:$C$1199,0)),"",INDEX('Compliance Database'!$O$2:$O$1199,MATCH(828,'Transfer Engine'!$C$2:$C$1199,0)))</f>
        <v/>
      </c>
      <c r="P837" s="6" t="str">
        <f>IF(ISNA(MATCH(828,'Transfer Engine'!$C$2:$C$1199,0)),"",HYPERLINK("#Acts!A"&amp;INDEX('Compliance Database'!$P$2:$P$1199,MATCH(828,'Transfer Engine'!$C$2:$C$1199,0)),"Go to Act"))</f>
        <v/>
      </c>
    </row>
    <row r="838" spans="1:16" ht="172.95" customHeight="1" x14ac:dyDescent="0.3">
      <c r="A838" s="6" t="str">
        <f>IF(ISNA(MATCH(829,'Transfer Engine'!$C$2:$C$1199,0)),"",INDEX('Compliance Database'!$A$2:$A$1199,MATCH(829,'Transfer Engine'!$C$2:$C$1199,0)))</f>
        <v/>
      </c>
      <c r="B838" s="6" t="str">
        <f>IF(ISNA(MATCH(829,'Transfer Engine'!$C$2:$C$1199,0)),"",INDEX('Compliance Database'!$B$2:$B$1199,MATCH(829,'Transfer Engine'!$C$2:$C$1199,0)))</f>
        <v/>
      </c>
      <c r="C838" s="6" t="str">
        <f>IF(ISNA(MATCH(829,'Transfer Engine'!$C$2:$C$1199,0)),"",INDEX('Compliance Database'!$C$2:$C$1199,MATCH(829,'Transfer Engine'!$C$2:$C$1199,0)))</f>
        <v/>
      </c>
      <c r="D838" s="7" t="str">
        <f>IF(ISNA(MATCH(829,'Transfer Engine'!$C$2:$C$1199,0)),"",INDEX('Compliance Database'!$D$2:$D$1199,MATCH(829,'Transfer Engine'!$C$2:$C$1199,0)))</f>
        <v/>
      </c>
      <c r="E838" s="6" t="str">
        <f>IF(ISNA(MATCH(829,'Transfer Engine'!$C$2:$C$1199,0)),"",INDEX('Compliance Database'!$E$2:$E$1199,MATCH(829,'Transfer Engine'!$C$2:$C$1199,0)))</f>
        <v/>
      </c>
      <c r="F838" s="6" t="str">
        <f>IF(ISNA(MATCH(829,'Transfer Engine'!$C$2:$C$1199,0)),"",INDEX('Compliance Database'!$F$2:$F$1199,MATCH(829,'Transfer Engine'!$C$2:$C$1199,0)))</f>
        <v/>
      </c>
      <c r="G838" s="6" t="str">
        <f>IF(ISNA(MATCH(829,'Transfer Engine'!$C$2:$C$1199,0)),"",INDEX('Compliance Database'!$G$2:$G$1199,MATCH(829,'Transfer Engine'!$C$2:$C$1199,0)))</f>
        <v/>
      </c>
      <c r="H838" s="7" t="str">
        <f>IF(ISNA(MATCH(829,'Transfer Engine'!$C$2:$C$1199,0)),"",INDEX('Compliance Database'!$H$2:$H$1199,MATCH(829,'Transfer Engine'!$C$2:$C$1199,0)))</f>
        <v/>
      </c>
      <c r="I838" s="7" t="str">
        <f>IF(ISNA(MATCH(829,'Transfer Engine'!$C$2:$C$1199,0)),"",INDEX('Compliance Database'!$I$2:$I$1199,MATCH(829,'Transfer Engine'!$C$2:$C$1199,0)))</f>
        <v/>
      </c>
      <c r="J838" s="6" t="str">
        <f>IF(ISNA(MATCH(829,'Transfer Engine'!$C$2:$C$1199,0)),"",INDEX('Compliance Database'!$J$2:$J$1199,MATCH(829,'Transfer Engine'!$C$2:$C$1199,0)))</f>
        <v/>
      </c>
      <c r="K838" s="7" t="str">
        <f>IF(ISNA(MATCH(829,'Transfer Engine'!$C$2:$C$1199,0)),"",INDEX('Compliance Database'!$K$2:$K$1199,MATCH(829,'Transfer Engine'!$C$2:$C$1199,0)))</f>
        <v/>
      </c>
      <c r="L838" s="7" t="str">
        <f>IF(ISNA(MATCH(829,'Transfer Engine'!$C$2:$C$1199,0)),"",INDEX('Compliance Database'!$L$2:$L$1199,MATCH(829,'Transfer Engine'!$C$2:$C$1199,0)))</f>
        <v/>
      </c>
      <c r="M838" s="7" t="str">
        <f>IF(ISNA(MATCH(829,'Transfer Engine'!$C$2:$C$1199,0)),"",INDEX('Compliance Database'!$M$2:$M$1199,MATCH(829,'Transfer Engine'!$C$2:$C$1199,0)))</f>
        <v/>
      </c>
      <c r="N838" s="7" t="str">
        <f>IF(ISNA(MATCH(829,'Transfer Engine'!$C$2:$C$1199,0)),"",INDEX('Compliance Database'!$N$2:$N$1199,MATCH(829,'Transfer Engine'!$C$2:$C$1199,0)))</f>
        <v/>
      </c>
      <c r="O838" s="7" t="str">
        <f>IF(ISNA(MATCH(829,'Transfer Engine'!$C$2:$C$1199,0)),"",INDEX('Compliance Database'!$O$2:$O$1199,MATCH(829,'Transfer Engine'!$C$2:$C$1199,0)))</f>
        <v/>
      </c>
      <c r="P838" s="6" t="str">
        <f>IF(ISNA(MATCH(829,'Transfer Engine'!$C$2:$C$1199,0)),"",HYPERLINK("#Acts!A"&amp;INDEX('Compliance Database'!$P$2:$P$1199,MATCH(829,'Transfer Engine'!$C$2:$C$1199,0)),"Go to Act"))</f>
        <v/>
      </c>
    </row>
    <row r="839" spans="1:16" ht="172.95" customHeight="1" x14ac:dyDescent="0.3">
      <c r="A839" s="6" t="str">
        <f>IF(ISNA(MATCH(830,'Transfer Engine'!$C$2:$C$1199,0)),"",INDEX('Compliance Database'!$A$2:$A$1199,MATCH(830,'Transfer Engine'!$C$2:$C$1199,0)))</f>
        <v/>
      </c>
      <c r="B839" s="6" t="str">
        <f>IF(ISNA(MATCH(830,'Transfer Engine'!$C$2:$C$1199,0)),"",INDEX('Compliance Database'!$B$2:$B$1199,MATCH(830,'Transfer Engine'!$C$2:$C$1199,0)))</f>
        <v/>
      </c>
      <c r="C839" s="6" t="str">
        <f>IF(ISNA(MATCH(830,'Transfer Engine'!$C$2:$C$1199,0)),"",INDEX('Compliance Database'!$C$2:$C$1199,MATCH(830,'Transfer Engine'!$C$2:$C$1199,0)))</f>
        <v/>
      </c>
      <c r="D839" s="7" t="str">
        <f>IF(ISNA(MATCH(830,'Transfer Engine'!$C$2:$C$1199,0)),"",INDEX('Compliance Database'!$D$2:$D$1199,MATCH(830,'Transfer Engine'!$C$2:$C$1199,0)))</f>
        <v/>
      </c>
      <c r="E839" s="6" t="str">
        <f>IF(ISNA(MATCH(830,'Transfer Engine'!$C$2:$C$1199,0)),"",INDEX('Compliance Database'!$E$2:$E$1199,MATCH(830,'Transfer Engine'!$C$2:$C$1199,0)))</f>
        <v/>
      </c>
      <c r="F839" s="6" t="str">
        <f>IF(ISNA(MATCH(830,'Transfer Engine'!$C$2:$C$1199,0)),"",INDEX('Compliance Database'!$F$2:$F$1199,MATCH(830,'Transfer Engine'!$C$2:$C$1199,0)))</f>
        <v/>
      </c>
      <c r="G839" s="6" t="str">
        <f>IF(ISNA(MATCH(830,'Transfer Engine'!$C$2:$C$1199,0)),"",INDEX('Compliance Database'!$G$2:$G$1199,MATCH(830,'Transfer Engine'!$C$2:$C$1199,0)))</f>
        <v/>
      </c>
      <c r="H839" s="7" t="str">
        <f>IF(ISNA(MATCH(830,'Transfer Engine'!$C$2:$C$1199,0)),"",INDEX('Compliance Database'!$H$2:$H$1199,MATCH(830,'Transfer Engine'!$C$2:$C$1199,0)))</f>
        <v/>
      </c>
      <c r="I839" s="7" t="str">
        <f>IF(ISNA(MATCH(830,'Transfer Engine'!$C$2:$C$1199,0)),"",INDEX('Compliance Database'!$I$2:$I$1199,MATCH(830,'Transfer Engine'!$C$2:$C$1199,0)))</f>
        <v/>
      </c>
      <c r="J839" s="6" t="str">
        <f>IF(ISNA(MATCH(830,'Transfer Engine'!$C$2:$C$1199,0)),"",INDEX('Compliance Database'!$J$2:$J$1199,MATCH(830,'Transfer Engine'!$C$2:$C$1199,0)))</f>
        <v/>
      </c>
      <c r="K839" s="7" t="str">
        <f>IF(ISNA(MATCH(830,'Transfer Engine'!$C$2:$C$1199,0)),"",INDEX('Compliance Database'!$K$2:$K$1199,MATCH(830,'Transfer Engine'!$C$2:$C$1199,0)))</f>
        <v/>
      </c>
      <c r="L839" s="7" t="str">
        <f>IF(ISNA(MATCH(830,'Transfer Engine'!$C$2:$C$1199,0)),"",INDEX('Compliance Database'!$L$2:$L$1199,MATCH(830,'Transfer Engine'!$C$2:$C$1199,0)))</f>
        <v/>
      </c>
      <c r="M839" s="7" t="str">
        <f>IF(ISNA(MATCH(830,'Transfer Engine'!$C$2:$C$1199,0)),"",INDEX('Compliance Database'!$M$2:$M$1199,MATCH(830,'Transfer Engine'!$C$2:$C$1199,0)))</f>
        <v/>
      </c>
      <c r="N839" s="7" t="str">
        <f>IF(ISNA(MATCH(830,'Transfer Engine'!$C$2:$C$1199,0)),"",INDEX('Compliance Database'!$N$2:$N$1199,MATCH(830,'Transfer Engine'!$C$2:$C$1199,0)))</f>
        <v/>
      </c>
      <c r="O839" s="7" t="str">
        <f>IF(ISNA(MATCH(830,'Transfer Engine'!$C$2:$C$1199,0)),"",INDEX('Compliance Database'!$O$2:$O$1199,MATCH(830,'Transfer Engine'!$C$2:$C$1199,0)))</f>
        <v/>
      </c>
      <c r="P839" s="6" t="str">
        <f>IF(ISNA(MATCH(830,'Transfer Engine'!$C$2:$C$1199,0)),"",HYPERLINK("#Acts!A"&amp;INDEX('Compliance Database'!$P$2:$P$1199,MATCH(830,'Transfer Engine'!$C$2:$C$1199,0)),"Go to Act"))</f>
        <v/>
      </c>
    </row>
    <row r="840" spans="1:16" ht="172.95" customHeight="1" x14ac:dyDescent="0.3">
      <c r="A840" s="6" t="str">
        <f>IF(ISNA(MATCH(831,'Transfer Engine'!$C$2:$C$1199,0)),"",INDEX('Compliance Database'!$A$2:$A$1199,MATCH(831,'Transfer Engine'!$C$2:$C$1199,0)))</f>
        <v/>
      </c>
      <c r="B840" s="6" t="str">
        <f>IF(ISNA(MATCH(831,'Transfer Engine'!$C$2:$C$1199,0)),"",INDEX('Compliance Database'!$B$2:$B$1199,MATCH(831,'Transfer Engine'!$C$2:$C$1199,0)))</f>
        <v/>
      </c>
      <c r="C840" s="6" t="str">
        <f>IF(ISNA(MATCH(831,'Transfer Engine'!$C$2:$C$1199,0)),"",INDEX('Compliance Database'!$C$2:$C$1199,MATCH(831,'Transfer Engine'!$C$2:$C$1199,0)))</f>
        <v/>
      </c>
      <c r="D840" s="7" t="str">
        <f>IF(ISNA(MATCH(831,'Transfer Engine'!$C$2:$C$1199,0)),"",INDEX('Compliance Database'!$D$2:$D$1199,MATCH(831,'Transfer Engine'!$C$2:$C$1199,0)))</f>
        <v/>
      </c>
      <c r="E840" s="6" t="str">
        <f>IF(ISNA(MATCH(831,'Transfer Engine'!$C$2:$C$1199,0)),"",INDEX('Compliance Database'!$E$2:$E$1199,MATCH(831,'Transfer Engine'!$C$2:$C$1199,0)))</f>
        <v/>
      </c>
      <c r="F840" s="6" t="str">
        <f>IF(ISNA(MATCH(831,'Transfer Engine'!$C$2:$C$1199,0)),"",INDEX('Compliance Database'!$F$2:$F$1199,MATCH(831,'Transfer Engine'!$C$2:$C$1199,0)))</f>
        <v/>
      </c>
      <c r="G840" s="6" t="str">
        <f>IF(ISNA(MATCH(831,'Transfer Engine'!$C$2:$C$1199,0)),"",INDEX('Compliance Database'!$G$2:$G$1199,MATCH(831,'Transfer Engine'!$C$2:$C$1199,0)))</f>
        <v/>
      </c>
      <c r="H840" s="7" t="str">
        <f>IF(ISNA(MATCH(831,'Transfer Engine'!$C$2:$C$1199,0)),"",INDEX('Compliance Database'!$H$2:$H$1199,MATCH(831,'Transfer Engine'!$C$2:$C$1199,0)))</f>
        <v/>
      </c>
      <c r="I840" s="7" t="str">
        <f>IF(ISNA(MATCH(831,'Transfer Engine'!$C$2:$C$1199,0)),"",INDEX('Compliance Database'!$I$2:$I$1199,MATCH(831,'Transfer Engine'!$C$2:$C$1199,0)))</f>
        <v/>
      </c>
      <c r="J840" s="6" t="str">
        <f>IF(ISNA(MATCH(831,'Transfer Engine'!$C$2:$C$1199,0)),"",INDEX('Compliance Database'!$J$2:$J$1199,MATCH(831,'Transfer Engine'!$C$2:$C$1199,0)))</f>
        <v/>
      </c>
      <c r="K840" s="7" t="str">
        <f>IF(ISNA(MATCH(831,'Transfer Engine'!$C$2:$C$1199,0)),"",INDEX('Compliance Database'!$K$2:$K$1199,MATCH(831,'Transfer Engine'!$C$2:$C$1199,0)))</f>
        <v/>
      </c>
      <c r="L840" s="7" t="str">
        <f>IF(ISNA(MATCH(831,'Transfer Engine'!$C$2:$C$1199,0)),"",INDEX('Compliance Database'!$L$2:$L$1199,MATCH(831,'Transfer Engine'!$C$2:$C$1199,0)))</f>
        <v/>
      </c>
      <c r="M840" s="7" t="str">
        <f>IF(ISNA(MATCH(831,'Transfer Engine'!$C$2:$C$1199,0)),"",INDEX('Compliance Database'!$M$2:$M$1199,MATCH(831,'Transfer Engine'!$C$2:$C$1199,0)))</f>
        <v/>
      </c>
      <c r="N840" s="7" t="str">
        <f>IF(ISNA(MATCH(831,'Transfer Engine'!$C$2:$C$1199,0)),"",INDEX('Compliance Database'!$N$2:$N$1199,MATCH(831,'Transfer Engine'!$C$2:$C$1199,0)))</f>
        <v/>
      </c>
      <c r="O840" s="7" t="str">
        <f>IF(ISNA(MATCH(831,'Transfer Engine'!$C$2:$C$1199,0)),"",INDEX('Compliance Database'!$O$2:$O$1199,MATCH(831,'Transfer Engine'!$C$2:$C$1199,0)))</f>
        <v/>
      </c>
      <c r="P840" s="6" t="str">
        <f>IF(ISNA(MATCH(831,'Transfer Engine'!$C$2:$C$1199,0)),"",HYPERLINK("#Acts!A"&amp;INDEX('Compliance Database'!$P$2:$P$1199,MATCH(831,'Transfer Engine'!$C$2:$C$1199,0)),"Go to Act"))</f>
        <v/>
      </c>
    </row>
    <row r="841" spans="1:16" ht="172.95" customHeight="1" x14ac:dyDescent="0.3">
      <c r="A841" s="6" t="str">
        <f>IF(ISNA(MATCH(832,'Transfer Engine'!$C$2:$C$1199,0)),"",INDEX('Compliance Database'!$A$2:$A$1199,MATCH(832,'Transfer Engine'!$C$2:$C$1199,0)))</f>
        <v/>
      </c>
      <c r="B841" s="6" t="str">
        <f>IF(ISNA(MATCH(832,'Transfer Engine'!$C$2:$C$1199,0)),"",INDEX('Compliance Database'!$B$2:$B$1199,MATCH(832,'Transfer Engine'!$C$2:$C$1199,0)))</f>
        <v/>
      </c>
      <c r="C841" s="6" t="str">
        <f>IF(ISNA(MATCH(832,'Transfer Engine'!$C$2:$C$1199,0)),"",INDEX('Compliance Database'!$C$2:$C$1199,MATCH(832,'Transfer Engine'!$C$2:$C$1199,0)))</f>
        <v/>
      </c>
      <c r="D841" s="7" t="str">
        <f>IF(ISNA(MATCH(832,'Transfer Engine'!$C$2:$C$1199,0)),"",INDEX('Compliance Database'!$D$2:$D$1199,MATCH(832,'Transfer Engine'!$C$2:$C$1199,0)))</f>
        <v/>
      </c>
      <c r="E841" s="6" t="str">
        <f>IF(ISNA(MATCH(832,'Transfer Engine'!$C$2:$C$1199,0)),"",INDEX('Compliance Database'!$E$2:$E$1199,MATCH(832,'Transfer Engine'!$C$2:$C$1199,0)))</f>
        <v/>
      </c>
      <c r="F841" s="6" t="str">
        <f>IF(ISNA(MATCH(832,'Transfer Engine'!$C$2:$C$1199,0)),"",INDEX('Compliance Database'!$F$2:$F$1199,MATCH(832,'Transfer Engine'!$C$2:$C$1199,0)))</f>
        <v/>
      </c>
      <c r="G841" s="6" t="str">
        <f>IF(ISNA(MATCH(832,'Transfer Engine'!$C$2:$C$1199,0)),"",INDEX('Compliance Database'!$G$2:$G$1199,MATCH(832,'Transfer Engine'!$C$2:$C$1199,0)))</f>
        <v/>
      </c>
      <c r="H841" s="7" t="str">
        <f>IF(ISNA(MATCH(832,'Transfer Engine'!$C$2:$C$1199,0)),"",INDEX('Compliance Database'!$H$2:$H$1199,MATCH(832,'Transfer Engine'!$C$2:$C$1199,0)))</f>
        <v/>
      </c>
      <c r="I841" s="7" t="str">
        <f>IF(ISNA(MATCH(832,'Transfer Engine'!$C$2:$C$1199,0)),"",INDEX('Compliance Database'!$I$2:$I$1199,MATCH(832,'Transfer Engine'!$C$2:$C$1199,0)))</f>
        <v/>
      </c>
      <c r="J841" s="6" t="str">
        <f>IF(ISNA(MATCH(832,'Transfer Engine'!$C$2:$C$1199,0)),"",INDEX('Compliance Database'!$J$2:$J$1199,MATCH(832,'Transfer Engine'!$C$2:$C$1199,0)))</f>
        <v/>
      </c>
      <c r="K841" s="7" t="str">
        <f>IF(ISNA(MATCH(832,'Transfer Engine'!$C$2:$C$1199,0)),"",INDEX('Compliance Database'!$K$2:$K$1199,MATCH(832,'Transfer Engine'!$C$2:$C$1199,0)))</f>
        <v/>
      </c>
      <c r="L841" s="7" t="str">
        <f>IF(ISNA(MATCH(832,'Transfer Engine'!$C$2:$C$1199,0)),"",INDEX('Compliance Database'!$L$2:$L$1199,MATCH(832,'Transfer Engine'!$C$2:$C$1199,0)))</f>
        <v/>
      </c>
      <c r="M841" s="7" t="str">
        <f>IF(ISNA(MATCH(832,'Transfer Engine'!$C$2:$C$1199,0)),"",INDEX('Compliance Database'!$M$2:$M$1199,MATCH(832,'Transfer Engine'!$C$2:$C$1199,0)))</f>
        <v/>
      </c>
      <c r="N841" s="7" t="str">
        <f>IF(ISNA(MATCH(832,'Transfer Engine'!$C$2:$C$1199,0)),"",INDEX('Compliance Database'!$N$2:$N$1199,MATCH(832,'Transfer Engine'!$C$2:$C$1199,0)))</f>
        <v/>
      </c>
      <c r="O841" s="7" t="str">
        <f>IF(ISNA(MATCH(832,'Transfer Engine'!$C$2:$C$1199,0)),"",INDEX('Compliance Database'!$O$2:$O$1199,MATCH(832,'Transfer Engine'!$C$2:$C$1199,0)))</f>
        <v/>
      </c>
      <c r="P841" s="6" t="str">
        <f>IF(ISNA(MATCH(832,'Transfer Engine'!$C$2:$C$1199,0)),"",HYPERLINK("#Acts!A"&amp;INDEX('Compliance Database'!$P$2:$P$1199,MATCH(832,'Transfer Engine'!$C$2:$C$1199,0)),"Go to Act"))</f>
        <v/>
      </c>
    </row>
    <row r="842" spans="1:16" ht="172.95" customHeight="1" x14ac:dyDescent="0.3">
      <c r="A842" s="6" t="str">
        <f>IF(ISNA(MATCH(833,'Transfer Engine'!$C$2:$C$1199,0)),"",INDEX('Compliance Database'!$A$2:$A$1199,MATCH(833,'Transfer Engine'!$C$2:$C$1199,0)))</f>
        <v/>
      </c>
      <c r="B842" s="6" t="str">
        <f>IF(ISNA(MATCH(833,'Transfer Engine'!$C$2:$C$1199,0)),"",INDEX('Compliance Database'!$B$2:$B$1199,MATCH(833,'Transfer Engine'!$C$2:$C$1199,0)))</f>
        <v/>
      </c>
      <c r="C842" s="6" t="str">
        <f>IF(ISNA(MATCH(833,'Transfer Engine'!$C$2:$C$1199,0)),"",INDEX('Compliance Database'!$C$2:$C$1199,MATCH(833,'Transfer Engine'!$C$2:$C$1199,0)))</f>
        <v/>
      </c>
      <c r="D842" s="7" t="str">
        <f>IF(ISNA(MATCH(833,'Transfer Engine'!$C$2:$C$1199,0)),"",INDEX('Compliance Database'!$D$2:$D$1199,MATCH(833,'Transfer Engine'!$C$2:$C$1199,0)))</f>
        <v/>
      </c>
      <c r="E842" s="6" t="str">
        <f>IF(ISNA(MATCH(833,'Transfer Engine'!$C$2:$C$1199,0)),"",INDEX('Compliance Database'!$E$2:$E$1199,MATCH(833,'Transfer Engine'!$C$2:$C$1199,0)))</f>
        <v/>
      </c>
      <c r="F842" s="6" t="str">
        <f>IF(ISNA(MATCH(833,'Transfer Engine'!$C$2:$C$1199,0)),"",INDEX('Compliance Database'!$F$2:$F$1199,MATCH(833,'Transfer Engine'!$C$2:$C$1199,0)))</f>
        <v/>
      </c>
      <c r="G842" s="6" t="str">
        <f>IF(ISNA(MATCH(833,'Transfer Engine'!$C$2:$C$1199,0)),"",INDEX('Compliance Database'!$G$2:$G$1199,MATCH(833,'Transfer Engine'!$C$2:$C$1199,0)))</f>
        <v/>
      </c>
      <c r="H842" s="7" t="str">
        <f>IF(ISNA(MATCH(833,'Transfer Engine'!$C$2:$C$1199,0)),"",INDEX('Compliance Database'!$H$2:$H$1199,MATCH(833,'Transfer Engine'!$C$2:$C$1199,0)))</f>
        <v/>
      </c>
      <c r="I842" s="7" t="str">
        <f>IF(ISNA(MATCH(833,'Transfer Engine'!$C$2:$C$1199,0)),"",INDEX('Compliance Database'!$I$2:$I$1199,MATCH(833,'Transfer Engine'!$C$2:$C$1199,0)))</f>
        <v/>
      </c>
      <c r="J842" s="6" t="str">
        <f>IF(ISNA(MATCH(833,'Transfer Engine'!$C$2:$C$1199,0)),"",INDEX('Compliance Database'!$J$2:$J$1199,MATCH(833,'Transfer Engine'!$C$2:$C$1199,0)))</f>
        <v/>
      </c>
      <c r="K842" s="7" t="str">
        <f>IF(ISNA(MATCH(833,'Transfer Engine'!$C$2:$C$1199,0)),"",INDEX('Compliance Database'!$K$2:$K$1199,MATCH(833,'Transfer Engine'!$C$2:$C$1199,0)))</f>
        <v/>
      </c>
      <c r="L842" s="7" t="str">
        <f>IF(ISNA(MATCH(833,'Transfer Engine'!$C$2:$C$1199,0)),"",INDEX('Compliance Database'!$L$2:$L$1199,MATCH(833,'Transfer Engine'!$C$2:$C$1199,0)))</f>
        <v/>
      </c>
      <c r="M842" s="7" t="str">
        <f>IF(ISNA(MATCH(833,'Transfer Engine'!$C$2:$C$1199,0)),"",INDEX('Compliance Database'!$M$2:$M$1199,MATCH(833,'Transfer Engine'!$C$2:$C$1199,0)))</f>
        <v/>
      </c>
      <c r="N842" s="7" t="str">
        <f>IF(ISNA(MATCH(833,'Transfer Engine'!$C$2:$C$1199,0)),"",INDEX('Compliance Database'!$N$2:$N$1199,MATCH(833,'Transfer Engine'!$C$2:$C$1199,0)))</f>
        <v/>
      </c>
      <c r="O842" s="7" t="str">
        <f>IF(ISNA(MATCH(833,'Transfer Engine'!$C$2:$C$1199,0)),"",INDEX('Compliance Database'!$O$2:$O$1199,MATCH(833,'Transfer Engine'!$C$2:$C$1199,0)))</f>
        <v/>
      </c>
      <c r="P842" s="6" t="str">
        <f>IF(ISNA(MATCH(833,'Transfer Engine'!$C$2:$C$1199,0)),"",HYPERLINK("#Acts!A"&amp;INDEX('Compliance Database'!$P$2:$P$1199,MATCH(833,'Transfer Engine'!$C$2:$C$1199,0)),"Go to Act"))</f>
        <v/>
      </c>
    </row>
    <row r="843" spans="1:16" ht="172.95" customHeight="1" x14ac:dyDescent="0.3">
      <c r="A843" s="6" t="str">
        <f>IF(ISNA(MATCH(834,'Transfer Engine'!$C$2:$C$1199,0)),"",INDEX('Compliance Database'!$A$2:$A$1199,MATCH(834,'Transfer Engine'!$C$2:$C$1199,0)))</f>
        <v/>
      </c>
      <c r="B843" s="6" t="str">
        <f>IF(ISNA(MATCH(834,'Transfer Engine'!$C$2:$C$1199,0)),"",INDEX('Compliance Database'!$B$2:$B$1199,MATCH(834,'Transfer Engine'!$C$2:$C$1199,0)))</f>
        <v/>
      </c>
      <c r="C843" s="6" t="str">
        <f>IF(ISNA(MATCH(834,'Transfer Engine'!$C$2:$C$1199,0)),"",INDEX('Compliance Database'!$C$2:$C$1199,MATCH(834,'Transfer Engine'!$C$2:$C$1199,0)))</f>
        <v/>
      </c>
      <c r="D843" s="7" t="str">
        <f>IF(ISNA(MATCH(834,'Transfer Engine'!$C$2:$C$1199,0)),"",INDEX('Compliance Database'!$D$2:$D$1199,MATCH(834,'Transfer Engine'!$C$2:$C$1199,0)))</f>
        <v/>
      </c>
      <c r="E843" s="6" t="str">
        <f>IF(ISNA(MATCH(834,'Transfer Engine'!$C$2:$C$1199,0)),"",INDEX('Compliance Database'!$E$2:$E$1199,MATCH(834,'Transfer Engine'!$C$2:$C$1199,0)))</f>
        <v/>
      </c>
      <c r="F843" s="6" t="str">
        <f>IF(ISNA(MATCH(834,'Transfer Engine'!$C$2:$C$1199,0)),"",INDEX('Compliance Database'!$F$2:$F$1199,MATCH(834,'Transfer Engine'!$C$2:$C$1199,0)))</f>
        <v/>
      </c>
      <c r="G843" s="6" t="str">
        <f>IF(ISNA(MATCH(834,'Transfer Engine'!$C$2:$C$1199,0)),"",INDEX('Compliance Database'!$G$2:$G$1199,MATCH(834,'Transfer Engine'!$C$2:$C$1199,0)))</f>
        <v/>
      </c>
      <c r="H843" s="7" t="str">
        <f>IF(ISNA(MATCH(834,'Transfer Engine'!$C$2:$C$1199,0)),"",INDEX('Compliance Database'!$H$2:$H$1199,MATCH(834,'Transfer Engine'!$C$2:$C$1199,0)))</f>
        <v/>
      </c>
      <c r="I843" s="7" t="str">
        <f>IF(ISNA(MATCH(834,'Transfer Engine'!$C$2:$C$1199,0)),"",INDEX('Compliance Database'!$I$2:$I$1199,MATCH(834,'Transfer Engine'!$C$2:$C$1199,0)))</f>
        <v/>
      </c>
      <c r="J843" s="6" t="str">
        <f>IF(ISNA(MATCH(834,'Transfer Engine'!$C$2:$C$1199,0)),"",INDEX('Compliance Database'!$J$2:$J$1199,MATCH(834,'Transfer Engine'!$C$2:$C$1199,0)))</f>
        <v/>
      </c>
      <c r="K843" s="7" t="str">
        <f>IF(ISNA(MATCH(834,'Transfer Engine'!$C$2:$C$1199,0)),"",INDEX('Compliance Database'!$K$2:$K$1199,MATCH(834,'Transfer Engine'!$C$2:$C$1199,0)))</f>
        <v/>
      </c>
      <c r="L843" s="7" t="str">
        <f>IF(ISNA(MATCH(834,'Transfer Engine'!$C$2:$C$1199,0)),"",INDEX('Compliance Database'!$L$2:$L$1199,MATCH(834,'Transfer Engine'!$C$2:$C$1199,0)))</f>
        <v/>
      </c>
      <c r="M843" s="7" t="str">
        <f>IF(ISNA(MATCH(834,'Transfer Engine'!$C$2:$C$1199,0)),"",INDEX('Compliance Database'!$M$2:$M$1199,MATCH(834,'Transfer Engine'!$C$2:$C$1199,0)))</f>
        <v/>
      </c>
      <c r="N843" s="7" t="str">
        <f>IF(ISNA(MATCH(834,'Transfer Engine'!$C$2:$C$1199,0)),"",INDEX('Compliance Database'!$N$2:$N$1199,MATCH(834,'Transfer Engine'!$C$2:$C$1199,0)))</f>
        <v/>
      </c>
      <c r="O843" s="7" t="str">
        <f>IF(ISNA(MATCH(834,'Transfer Engine'!$C$2:$C$1199,0)),"",INDEX('Compliance Database'!$O$2:$O$1199,MATCH(834,'Transfer Engine'!$C$2:$C$1199,0)))</f>
        <v/>
      </c>
      <c r="P843" s="6" t="str">
        <f>IF(ISNA(MATCH(834,'Transfer Engine'!$C$2:$C$1199,0)),"",HYPERLINK("#Acts!A"&amp;INDEX('Compliance Database'!$P$2:$P$1199,MATCH(834,'Transfer Engine'!$C$2:$C$1199,0)),"Go to Act"))</f>
        <v/>
      </c>
    </row>
    <row r="844" spans="1:16" ht="172.95" customHeight="1" x14ac:dyDescent="0.3">
      <c r="A844" s="6" t="str">
        <f>IF(ISNA(MATCH(835,'Transfer Engine'!$C$2:$C$1199,0)),"",INDEX('Compliance Database'!$A$2:$A$1199,MATCH(835,'Transfer Engine'!$C$2:$C$1199,0)))</f>
        <v/>
      </c>
      <c r="B844" s="6" t="str">
        <f>IF(ISNA(MATCH(835,'Transfer Engine'!$C$2:$C$1199,0)),"",INDEX('Compliance Database'!$B$2:$B$1199,MATCH(835,'Transfer Engine'!$C$2:$C$1199,0)))</f>
        <v/>
      </c>
      <c r="C844" s="6" t="str">
        <f>IF(ISNA(MATCH(835,'Transfer Engine'!$C$2:$C$1199,0)),"",INDEX('Compliance Database'!$C$2:$C$1199,MATCH(835,'Transfer Engine'!$C$2:$C$1199,0)))</f>
        <v/>
      </c>
      <c r="D844" s="7" t="str">
        <f>IF(ISNA(MATCH(835,'Transfer Engine'!$C$2:$C$1199,0)),"",INDEX('Compliance Database'!$D$2:$D$1199,MATCH(835,'Transfer Engine'!$C$2:$C$1199,0)))</f>
        <v/>
      </c>
      <c r="E844" s="6" t="str">
        <f>IF(ISNA(MATCH(835,'Transfer Engine'!$C$2:$C$1199,0)),"",INDEX('Compliance Database'!$E$2:$E$1199,MATCH(835,'Transfer Engine'!$C$2:$C$1199,0)))</f>
        <v/>
      </c>
      <c r="F844" s="6" t="str">
        <f>IF(ISNA(MATCH(835,'Transfer Engine'!$C$2:$C$1199,0)),"",INDEX('Compliance Database'!$F$2:$F$1199,MATCH(835,'Transfer Engine'!$C$2:$C$1199,0)))</f>
        <v/>
      </c>
      <c r="G844" s="6" t="str">
        <f>IF(ISNA(MATCH(835,'Transfer Engine'!$C$2:$C$1199,0)),"",INDEX('Compliance Database'!$G$2:$G$1199,MATCH(835,'Transfer Engine'!$C$2:$C$1199,0)))</f>
        <v/>
      </c>
      <c r="H844" s="7" t="str">
        <f>IF(ISNA(MATCH(835,'Transfer Engine'!$C$2:$C$1199,0)),"",INDEX('Compliance Database'!$H$2:$H$1199,MATCH(835,'Transfer Engine'!$C$2:$C$1199,0)))</f>
        <v/>
      </c>
      <c r="I844" s="7" t="str">
        <f>IF(ISNA(MATCH(835,'Transfer Engine'!$C$2:$C$1199,0)),"",INDEX('Compliance Database'!$I$2:$I$1199,MATCH(835,'Transfer Engine'!$C$2:$C$1199,0)))</f>
        <v/>
      </c>
      <c r="J844" s="6" t="str">
        <f>IF(ISNA(MATCH(835,'Transfer Engine'!$C$2:$C$1199,0)),"",INDEX('Compliance Database'!$J$2:$J$1199,MATCH(835,'Transfer Engine'!$C$2:$C$1199,0)))</f>
        <v/>
      </c>
      <c r="K844" s="7" t="str">
        <f>IF(ISNA(MATCH(835,'Transfer Engine'!$C$2:$C$1199,0)),"",INDEX('Compliance Database'!$K$2:$K$1199,MATCH(835,'Transfer Engine'!$C$2:$C$1199,0)))</f>
        <v/>
      </c>
      <c r="L844" s="7" t="str">
        <f>IF(ISNA(MATCH(835,'Transfer Engine'!$C$2:$C$1199,0)),"",INDEX('Compliance Database'!$L$2:$L$1199,MATCH(835,'Transfer Engine'!$C$2:$C$1199,0)))</f>
        <v/>
      </c>
      <c r="M844" s="7" t="str">
        <f>IF(ISNA(MATCH(835,'Transfer Engine'!$C$2:$C$1199,0)),"",INDEX('Compliance Database'!$M$2:$M$1199,MATCH(835,'Transfer Engine'!$C$2:$C$1199,0)))</f>
        <v/>
      </c>
      <c r="N844" s="7" t="str">
        <f>IF(ISNA(MATCH(835,'Transfer Engine'!$C$2:$C$1199,0)),"",INDEX('Compliance Database'!$N$2:$N$1199,MATCH(835,'Transfer Engine'!$C$2:$C$1199,0)))</f>
        <v/>
      </c>
      <c r="O844" s="7" t="str">
        <f>IF(ISNA(MATCH(835,'Transfer Engine'!$C$2:$C$1199,0)),"",INDEX('Compliance Database'!$O$2:$O$1199,MATCH(835,'Transfer Engine'!$C$2:$C$1199,0)))</f>
        <v/>
      </c>
      <c r="P844" s="6" t="str">
        <f>IF(ISNA(MATCH(835,'Transfer Engine'!$C$2:$C$1199,0)),"",HYPERLINK("#Acts!A"&amp;INDEX('Compliance Database'!$P$2:$P$1199,MATCH(835,'Transfer Engine'!$C$2:$C$1199,0)),"Go to Act"))</f>
        <v/>
      </c>
    </row>
    <row r="845" spans="1:16" ht="172.95" customHeight="1" x14ac:dyDescent="0.3">
      <c r="A845" s="6" t="str">
        <f>IF(ISNA(MATCH(836,'Transfer Engine'!$C$2:$C$1199,0)),"",INDEX('Compliance Database'!$A$2:$A$1199,MATCH(836,'Transfer Engine'!$C$2:$C$1199,0)))</f>
        <v/>
      </c>
      <c r="B845" s="6" t="str">
        <f>IF(ISNA(MATCH(836,'Transfer Engine'!$C$2:$C$1199,0)),"",INDEX('Compliance Database'!$B$2:$B$1199,MATCH(836,'Transfer Engine'!$C$2:$C$1199,0)))</f>
        <v/>
      </c>
      <c r="C845" s="6" t="str">
        <f>IF(ISNA(MATCH(836,'Transfer Engine'!$C$2:$C$1199,0)),"",INDEX('Compliance Database'!$C$2:$C$1199,MATCH(836,'Transfer Engine'!$C$2:$C$1199,0)))</f>
        <v/>
      </c>
      <c r="D845" s="7" t="str">
        <f>IF(ISNA(MATCH(836,'Transfer Engine'!$C$2:$C$1199,0)),"",INDEX('Compliance Database'!$D$2:$D$1199,MATCH(836,'Transfer Engine'!$C$2:$C$1199,0)))</f>
        <v/>
      </c>
      <c r="E845" s="6" t="str">
        <f>IF(ISNA(MATCH(836,'Transfer Engine'!$C$2:$C$1199,0)),"",INDEX('Compliance Database'!$E$2:$E$1199,MATCH(836,'Transfer Engine'!$C$2:$C$1199,0)))</f>
        <v/>
      </c>
      <c r="F845" s="6" t="str">
        <f>IF(ISNA(MATCH(836,'Transfer Engine'!$C$2:$C$1199,0)),"",INDEX('Compliance Database'!$F$2:$F$1199,MATCH(836,'Transfer Engine'!$C$2:$C$1199,0)))</f>
        <v/>
      </c>
      <c r="G845" s="6" t="str">
        <f>IF(ISNA(MATCH(836,'Transfer Engine'!$C$2:$C$1199,0)),"",INDEX('Compliance Database'!$G$2:$G$1199,MATCH(836,'Transfer Engine'!$C$2:$C$1199,0)))</f>
        <v/>
      </c>
      <c r="H845" s="7" t="str">
        <f>IF(ISNA(MATCH(836,'Transfer Engine'!$C$2:$C$1199,0)),"",INDEX('Compliance Database'!$H$2:$H$1199,MATCH(836,'Transfer Engine'!$C$2:$C$1199,0)))</f>
        <v/>
      </c>
      <c r="I845" s="7" t="str">
        <f>IF(ISNA(MATCH(836,'Transfer Engine'!$C$2:$C$1199,0)),"",INDEX('Compliance Database'!$I$2:$I$1199,MATCH(836,'Transfer Engine'!$C$2:$C$1199,0)))</f>
        <v/>
      </c>
      <c r="J845" s="6" t="str">
        <f>IF(ISNA(MATCH(836,'Transfer Engine'!$C$2:$C$1199,0)),"",INDEX('Compliance Database'!$J$2:$J$1199,MATCH(836,'Transfer Engine'!$C$2:$C$1199,0)))</f>
        <v/>
      </c>
      <c r="K845" s="7" t="str">
        <f>IF(ISNA(MATCH(836,'Transfer Engine'!$C$2:$C$1199,0)),"",INDEX('Compliance Database'!$K$2:$K$1199,MATCH(836,'Transfer Engine'!$C$2:$C$1199,0)))</f>
        <v/>
      </c>
      <c r="L845" s="7" t="str">
        <f>IF(ISNA(MATCH(836,'Transfer Engine'!$C$2:$C$1199,0)),"",INDEX('Compliance Database'!$L$2:$L$1199,MATCH(836,'Transfer Engine'!$C$2:$C$1199,0)))</f>
        <v/>
      </c>
      <c r="M845" s="7" t="str">
        <f>IF(ISNA(MATCH(836,'Transfer Engine'!$C$2:$C$1199,0)),"",INDEX('Compliance Database'!$M$2:$M$1199,MATCH(836,'Transfer Engine'!$C$2:$C$1199,0)))</f>
        <v/>
      </c>
      <c r="N845" s="7" t="str">
        <f>IF(ISNA(MATCH(836,'Transfer Engine'!$C$2:$C$1199,0)),"",INDEX('Compliance Database'!$N$2:$N$1199,MATCH(836,'Transfer Engine'!$C$2:$C$1199,0)))</f>
        <v/>
      </c>
      <c r="O845" s="7" t="str">
        <f>IF(ISNA(MATCH(836,'Transfer Engine'!$C$2:$C$1199,0)),"",INDEX('Compliance Database'!$O$2:$O$1199,MATCH(836,'Transfer Engine'!$C$2:$C$1199,0)))</f>
        <v/>
      </c>
      <c r="P845" s="6" t="str">
        <f>IF(ISNA(MATCH(836,'Transfer Engine'!$C$2:$C$1199,0)),"",HYPERLINK("#Acts!A"&amp;INDEX('Compliance Database'!$P$2:$P$1199,MATCH(836,'Transfer Engine'!$C$2:$C$1199,0)),"Go to Act"))</f>
        <v/>
      </c>
    </row>
    <row r="846" spans="1:16" ht="172.95" customHeight="1" x14ac:dyDescent="0.3">
      <c r="A846" s="6" t="str">
        <f>IF(ISNA(MATCH(837,'Transfer Engine'!$C$2:$C$1199,0)),"",INDEX('Compliance Database'!$A$2:$A$1199,MATCH(837,'Transfer Engine'!$C$2:$C$1199,0)))</f>
        <v/>
      </c>
      <c r="B846" s="6" t="str">
        <f>IF(ISNA(MATCH(837,'Transfer Engine'!$C$2:$C$1199,0)),"",INDEX('Compliance Database'!$B$2:$B$1199,MATCH(837,'Transfer Engine'!$C$2:$C$1199,0)))</f>
        <v/>
      </c>
      <c r="C846" s="6" t="str">
        <f>IF(ISNA(MATCH(837,'Transfer Engine'!$C$2:$C$1199,0)),"",INDEX('Compliance Database'!$C$2:$C$1199,MATCH(837,'Transfer Engine'!$C$2:$C$1199,0)))</f>
        <v/>
      </c>
      <c r="D846" s="7" t="str">
        <f>IF(ISNA(MATCH(837,'Transfer Engine'!$C$2:$C$1199,0)),"",INDEX('Compliance Database'!$D$2:$D$1199,MATCH(837,'Transfer Engine'!$C$2:$C$1199,0)))</f>
        <v/>
      </c>
      <c r="E846" s="6" t="str">
        <f>IF(ISNA(MATCH(837,'Transfer Engine'!$C$2:$C$1199,0)),"",INDEX('Compliance Database'!$E$2:$E$1199,MATCH(837,'Transfer Engine'!$C$2:$C$1199,0)))</f>
        <v/>
      </c>
      <c r="F846" s="6" t="str">
        <f>IF(ISNA(MATCH(837,'Transfer Engine'!$C$2:$C$1199,0)),"",INDEX('Compliance Database'!$F$2:$F$1199,MATCH(837,'Transfer Engine'!$C$2:$C$1199,0)))</f>
        <v/>
      </c>
      <c r="G846" s="6" t="str">
        <f>IF(ISNA(MATCH(837,'Transfer Engine'!$C$2:$C$1199,0)),"",INDEX('Compliance Database'!$G$2:$G$1199,MATCH(837,'Transfer Engine'!$C$2:$C$1199,0)))</f>
        <v/>
      </c>
      <c r="H846" s="7" t="str">
        <f>IF(ISNA(MATCH(837,'Transfer Engine'!$C$2:$C$1199,0)),"",INDEX('Compliance Database'!$H$2:$H$1199,MATCH(837,'Transfer Engine'!$C$2:$C$1199,0)))</f>
        <v/>
      </c>
      <c r="I846" s="7" t="str">
        <f>IF(ISNA(MATCH(837,'Transfer Engine'!$C$2:$C$1199,0)),"",INDEX('Compliance Database'!$I$2:$I$1199,MATCH(837,'Transfer Engine'!$C$2:$C$1199,0)))</f>
        <v/>
      </c>
      <c r="J846" s="6" t="str">
        <f>IF(ISNA(MATCH(837,'Transfer Engine'!$C$2:$C$1199,0)),"",INDEX('Compliance Database'!$J$2:$J$1199,MATCH(837,'Transfer Engine'!$C$2:$C$1199,0)))</f>
        <v/>
      </c>
      <c r="K846" s="7" t="str">
        <f>IF(ISNA(MATCH(837,'Transfer Engine'!$C$2:$C$1199,0)),"",INDEX('Compliance Database'!$K$2:$K$1199,MATCH(837,'Transfer Engine'!$C$2:$C$1199,0)))</f>
        <v/>
      </c>
      <c r="L846" s="7" t="str">
        <f>IF(ISNA(MATCH(837,'Transfer Engine'!$C$2:$C$1199,0)),"",INDEX('Compliance Database'!$L$2:$L$1199,MATCH(837,'Transfer Engine'!$C$2:$C$1199,0)))</f>
        <v/>
      </c>
      <c r="M846" s="7" t="str">
        <f>IF(ISNA(MATCH(837,'Transfer Engine'!$C$2:$C$1199,0)),"",INDEX('Compliance Database'!$M$2:$M$1199,MATCH(837,'Transfer Engine'!$C$2:$C$1199,0)))</f>
        <v/>
      </c>
      <c r="N846" s="7" t="str">
        <f>IF(ISNA(MATCH(837,'Transfer Engine'!$C$2:$C$1199,0)),"",INDEX('Compliance Database'!$N$2:$N$1199,MATCH(837,'Transfer Engine'!$C$2:$C$1199,0)))</f>
        <v/>
      </c>
      <c r="O846" s="7" t="str">
        <f>IF(ISNA(MATCH(837,'Transfer Engine'!$C$2:$C$1199,0)),"",INDEX('Compliance Database'!$O$2:$O$1199,MATCH(837,'Transfer Engine'!$C$2:$C$1199,0)))</f>
        <v/>
      </c>
      <c r="P846" s="6" t="str">
        <f>IF(ISNA(MATCH(837,'Transfer Engine'!$C$2:$C$1199,0)),"",HYPERLINK("#Acts!A"&amp;INDEX('Compliance Database'!$P$2:$P$1199,MATCH(837,'Transfer Engine'!$C$2:$C$1199,0)),"Go to Act"))</f>
        <v/>
      </c>
    </row>
    <row r="847" spans="1:16" ht="172.95" customHeight="1" x14ac:dyDescent="0.3">
      <c r="A847" s="6" t="str">
        <f>IF(ISNA(MATCH(838,'Transfer Engine'!$C$2:$C$1199,0)),"",INDEX('Compliance Database'!$A$2:$A$1199,MATCH(838,'Transfer Engine'!$C$2:$C$1199,0)))</f>
        <v/>
      </c>
      <c r="B847" s="6" t="str">
        <f>IF(ISNA(MATCH(838,'Transfer Engine'!$C$2:$C$1199,0)),"",INDEX('Compliance Database'!$B$2:$B$1199,MATCH(838,'Transfer Engine'!$C$2:$C$1199,0)))</f>
        <v/>
      </c>
      <c r="C847" s="6" t="str">
        <f>IF(ISNA(MATCH(838,'Transfer Engine'!$C$2:$C$1199,0)),"",INDEX('Compliance Database'!$C$2:$C$1199,MATCH(838,'Transfer Engine'!$C$2:$C$1199,0)))</f>
        <v/>
      </c>
      <c r="D847" s="7" t="str">
        <f>IF(ISNA(MATCH(838,'Transfer Engine'!$C$2:$C$1199,0)),"",INDEX('Compliance Database'!$D$2:$D$1199,MATCH(838,'Transfer Engine'!$C$2:$C$1199,0)))</f>
        <v/>
      </c>
      <c r="E847" s="6" t="str">
        <f>IF(ISNA(MATCH(838,'Transfer Engine'!$C$2:$C$1199,0)),"",INDEX('Compliance Database'!$E$2:$E$1199,MATCH(838,'Transfer Engine'!$C$2:$C$1199,0)))</f>
        <v/>
      </c>
      <c r="F847" s="6" t="str">
        <f>IF(ISNA(MATCH(838,'Transfer Engine'!$C$2:$C$1199,0)),"",INDEX('Compliance Database'!$F$2:$F$1199,MATCH(838,'Transfer Engine'!$C$2:$C$1199,0)))</f>
        <v/>
      </c>
      <c r="G847" s="6" t="str">
        <f>IF(ISNA(MATCH(838,'Transfer Engine'!$C$2:$C$1199,0)),"",INDEX('Compliance Database'!$G$2:$G$1199,MATCH(838,'Transfer Engine'!$C$2:$C$1199,0)))</f>
        <v/>
      </c>
      <c r="H847" s="7" t="str">
        <f>IF(ISNA(MATCH(838,'Transfer Engine'!$C$2:$C$1199,0)),"",INDEX('Compliance Database'!$H$2:$H$1199,MATCH(838,'Transfer Engine'!$C$2:$C$1199,0)))</f>
        <v/>
      </c>
      <c r="I847" s="7" t="str">
        <f>IF(ISNA(MATCH(838,'Transfer Engine'!$C$2:$C$1199,0)),"",INDEX('Compliance Database'!$I$2:$I$1199,MATCH(838,'Transfer Engine'!$C$2:$C$1199,0)))</f>
        <v/>
      </c>
      <c r="J847" s="6" t="str">
        <f>IF(ISNA(MATCH(838,'Transfer Engine'!$C$2:$C$1199,0)),"",INDEX('Compliance Database'!$J$2:$J$1199,MATCH(838,'Transfer Engine'!$C$2:$C$1199,0)))</f>
        <v/>
      </c>
      <c r="K847" s="7" t="str">
        <f>IF(ISNA(MATCH(838,'Transfer Engine'!$C$2:$C$1199,0)),"",INDEX('Compliance Database'!$K$2:$K$1199,MATCH(838,'Transfer Engine'!$C$2:$C$1199,0)))</f>
        <v/>
      </c>
      <c r="L847" s="7" t="str">
        <f>IF(ISNA(MATCH(838,'Transfer Engine'!$C$2:$C$1199,0)),"",INDEX('Compliance Database'!$L$2:$L$1199,MATCH(838,'Transfer Engine'!$C$2:$C$1199,0)))</f>
        <v/>
      </c>
      <c r="M847" s="7" t="str">
        <f>IF(ISNA(MATCH(838,'Transfer Engine'!$C$2:$C$1199,0)),"",INDEX('Compliance Database'!$M$2:$M$1199,MATCH(838,'Transfer Engine'!$C$2:$C$1199,0)))</f>
        <v/>
      </c>
      <c r="N847" s="7" t="str">
        <f>IF(ISNA(MATCH(838,'Transfer Engine'!$C$2:$C$1199,0)),"",INDEX('Compliance Database'!$N$2:$N$1199,MATCH(838,'Transfer Engine'!$C$2:$C$1199,0)))</f>
        <v/>
      </c>
      <c r="O847" s="7" t="str">
        <f>IF(ISNA(MATCH(838,'Transfer Engine'!$C$2:$C$1199,0)),"",INDEX('Compliance Database'!$O$2:$O$1199,MATCH(838,'Transfer Engine'!$C$2:$C$1199,0)))</f>
        <v/>
      </c>
      <c r="P847" s="6" t="str">
        <f>IF(ISNA(MATCH(838,'Transfer Engine'!$C$2:$C$1199,0)),"",HYPERLINK("#Acts!A"&amp;INDEX('Compliance Database'!$P$2:$P$1199,MATCH(838,'Transfer Engine'!$C$2:$C$1199,0)),"Go to Act"))</f>
        <v/>
      </c>
    </row>
    <row r="848" spans="1:16" ht="172.95" customHeight="1" x14ac:dyDescent="0.3">
      <c r="A848" s="6" t="str">
        <f>IF(ISNA(MATCH(839,'Transfer Engine'!$C$2:$C$1199,0)),"",INDEX('Compliance Database'!$A$2:$A$1199,MATCH(839,'Transfer Engine'!$C$2:$C$1199,0)))</f>
        <v/>
      </c>
      <c r="B848" s="6" t="str">
        <f>IF(ISNA(MATCH(839,'Transfer Engine'!$C$2:$C$1199,0)),"",INDEX('Compliance Database'!$B$2:$B$1199,MATCH(839,'Transfer Engine'!$C$2:$C$1199,0)))</f>
        <v/>
      </c>
      <c r="C848" s="6" t="str">
        <f>IF(ISNA(MATCH(839,'Transfer Engine'!$C$2:$C$1199,0)),"",INDEX('Compliance Database'!$C$2:$C$1199,MATCH(839,'Transfer Engine'!$C$2:$C$1199,0)))</f>
        <v/>
      </c>
      <c r="D848" s="7" t="str">
        <f>IF(ISNA(MATCH(839,'Transfer Engine'!$C$2:$C$1199,0)),"",INDEX('Compliance Database'!$D$2:$D$1199,MATCH(839,'Transfer Engine'!$C$2:$C$1199,0)))</f>
        <v/>
      </c>
      <c r="E848" s="6" t="str">
        <f>IF(ISNA(MATCH(839,'Transfer Engine'!$C$2:$C$1199,0)),"",INDEX('Compliance Database'!$E$2:$E$1199,MATCH(839,'Transfer Engine'!$C$2:$C$1199,0)))</f>
        <v/>
      </c>
      <c r="F848" s="6" t="str">
        <f>IF(ISNA(MATCH(839,'Transfer Engine'!$C$2:$C$1199,0)),"",INDEX('Compliance Database'!$F$2:$F$1199,MATCH(839,'Transfer Engine'!$C$2:$C$1199,0)))</f>
        <v/>
      </c>
      <c r="G848" s="6" t="str">
        <f>IF(ISNA(MATCH(839,'Transfer Engine'!$C$2:$C$1199,0)),"",INDEX('Compliance Database'!$G$2:$G$1199,MATCH(839,'Transfer Engine'!$C$2:$C$1199,0)))</f>
        <v/>
      </c>
      <c r="H848" s="7" t="str">
        <f>IF(ISNA(MATCH(839,'Transfer Engine'!$C$2:$C$1199,0)),"",INDEX('Compliance Database'!$H$2:$H$1199,MATCH(839,'Transfer Engine'!$C$2:$C$1199,0)))</f>
        <v/>
      </c>
      <c r="I848" s="7" t="str">
        <f>IF(ISNA(MATCH(839,'Transfer Engine'!$C$2:$C$1199,0)),"",INDEX('Compliance Database'!$I$2:$I$1199,MATCH(839,'Transfer Engine'!$C$2:$C$1199,0)))</f>
        <v/>
      </c>
      <c r="J848" s="6" t="str">
        <f>IF(ISNA(MATCH(839,'Transfer Engine'!$C$2:$C$1199,0)),"",INDEX('Compliance Database'!$J$2:$J$1199,MATCH(839,'Transfer Engine'!$C$2:$C$1199,0)))</f>
        <v/>
      </c>
      <c r="K848" s="7" t="str">
        <f>IF(ISNA(MATCH(839,'Transfer Engine'!$C$2:$C$1199,0)),"",INDEX('Compliance Database'!$K$2:$K$1199,MATCH(839,'Transfer Engine'!$C$2:$C$1199,0)))</f>
        <v/>
      </c>
      <c r="L848" s="7" t="str">
        <f>IF(ISNA(MATCH(839,'Transfer Engine'!$C$2:$C$1199,0)),"",INDEX('Compliance Database'!$L$2:$L$1199,MATCH(839,'Transfer Engine'!$C$2:$C$1199,0)))</f>
        <v/>
      </c>
      <c r="M848" s="7" t="str">
        <f>IF(ISNA(MATCH(839,'Transfer Engine'!$C$2:$C$1199,0)),"",INDEX('Compliance Database'!$M$2:$M$1199,MATCH(839,'Transfer Engine'!$C$2:$C$1199,0)))</f>
        <v/>
      </c>
      <c r="N848" s="7" t="str">
        <f>IF(ISNA(MATCH(839,'Transfer Engine'!$C$2:$C$1199,0)),"",INDEX('Compliance Database'!$N$2:$N$1199,MATCH(839,'Transfer Engine'!$C$2:$C$1199,0)))</f>
        <v/>
      </c>
      <c r="O848" s="7" t="str">
        <f>IF(ISNA(MATCH(839,'Transfer Engine'!$C$2:$C$1199,0)),"",INDEX('Compliance Database'!$O$2:$O$1199,MATCH(839,'Transfer Engine'!$C$2:$C$1199,0)))</f>
        <v/>
      </c>
      <c r="P848" s="6" t="str">
        <f>IF(ISNA(MATCH(839,'Transfer Engine'!$C$2:$C$1199,0)),"",HYPERLINK("#Acts!A"&amp;INDEX('Compliance Database'!$P$2:$P$1199,MATCH(839,'Transfer Engine'!$C$2:$C$1199,0)),"Go to Act"))</f>
        <v/>
      </c>
    </row>
    <row r="849" spans="1:16" ht="172.95" customHeight="1" x14ac:dyDescent="0.3">
      <c r="A849" s="6" t="str">
        <f>IF(ISNA(MATCH(840,'Transfer Engine'!$C$2:$C$1199,0)),"",INDEX('Compliance Database'!$A$2:$A$1199,MATCH(840,'Transfer Engine'!$C$2:$C$1199,0)))</f>
        <v/>
      </c>
      <c r="B849" s="6" t="str">
        <f>IF(ISNA(MATCH(840,'Transfer Engine'!$C$2:$C$1199,0)),"",INDEX('Compliance Database'!$B$2:$B$1199,MATCH(840,'Transfer Engine'!$C$2:$C$1199,0)))</f>
        <v/>
      </c>
      <c r="C849" s="6" t="str">
        <f>IF(ISNA(MATCH(840,'Transfer Engine'!$C$2:$C$1199,0)),"",INDEX('Compliance Database'!$C$2:$C$1199,MATCH(840,'Transfer Engine'!$C$2:$C$1199,0)))</f>
        <v/>
      </c>
      <c r="D849" s="7" t="str">
        <f>IF(ISNA(MATCH(840,'Transfer Engine'!$C$2:$C$1199,0)),"",INDEX('Compliance Database'!$D$2:$D$1199,MATCH(840,'Transfer Engine'!$C$2:$C$1199,0)))</f>
        <v/>
      </c>
      <c r="E849" s="6" t="str">
        <f>IF(ISNA(MATCH(840,'Transfer Engine'!$C$2:$C$1199,0)),"",INDEX('Compliance Database'!$E$2:$E$1199,MATCH(840,'Transfer Engine'!$C$2:$C$1199,0)))</f>
        <v/>
      </c>
      <c r="F849" s="6" t="str">
        <f>IF(ISNA(MATCH(840,'Transfer Engine'!$C$2:$C$1199,0)),"",INDEX('Compliance Database'!$F$2:$F$1199,MATCH(840,'Transfer Engine'!$C$2:$C$1199,0)))</f>
        <v/>
      </c>
      <c r="G849" s="6" t="str">
        <f>IF(ISNA(MATCH(840,'Transfer Engine'!$C$2:$C$1199,0)),"",INDEX('Compliance Database'!$G$2:$G$1199,MATCH(840,'Transfer Engine'!$C$2:$C$1199,0)))</f>
        <v/>
      </c>
      <c r="H849" s="7" t="str">
        <f>IF(ISNA(MATCH(840,'Transfer Engine'!$C$2:$C$1199,0)),"",INDEX('Compliance Database'!$H$2:$H$1199,MATCH(840,'Transfer Engine'!$C$2:$C$1199,0)))</f>
        <v/>
      </c>
      <c r="I849" s="7" t="str">
        <f>IF(ISNA(MATCH(840,'Transfer Engine'!$C$2:$C$1199,0)),"",INDEX('Compliance Database'!$I$2:$I$1199,MATCH(840,'Transfer Engine'!$C$2:$C$1199,0)))</f>
        <v/>
      </c>
      <c r="J849" s="6" t="str">
        <f>IF(ISNA(MATCH(840,'Transfer Engine'!$C$2:$C$1199,0)),"",INDEX('Compliance Database'!$J$2:$J$1199,MATCH(840,'Transfer Engine'!$C$2:$C$1199,0)))</f>
        <v/>
      </c>
      <c r="K849" s="7" t="str">
        <f>IF(ISNA(MATCH(840,'Transfer Engine'!$C$2:$C$1199,0)),"",INDEX('Compliance Database'!$K$2:$K$1199,MATCH(840,'Transfer Engine'!$C$2:$C$1199,0)))</f>
        <v/>
      </c>
      <c r="L849" s="7" t="str">
        <f>IF(ISNA(MATCH(840,'Transfer Engine'!$C$2:$C$1199,0)),"",INDEX('Compliance Database'!$L$2:$L$1199,MATCH(840,'Transfer Engine'!$C$2:$C$1199,0)))</f>
        <v/>
      </c>
      <c r="M849" s="7" t="str">
        <f>IF(ISNA(MATCH(840,'Transfer Engine'!$C$2:$C$1199,0)),"",INDEX('Compliance Database'!$M$2:$M$1199,MATCH(840,'Transfer Engine'!$C$2:$C$1199,0)))</f>
        <v/>
      </c>
      <c r="N849" s="7" t="str">
        <f>IF(ISNA(MATCH(840,'Transfer Engine'!$C$2:$C$1199,0)),"",INDEX('Compliance Database'!$N$2:$N$1199,MATCH(840,'Transfer Engine'!$C$2:$C$1199,0)))</f>
        <v/>
      </c>
      <c r="O849" s="7" t="str">
        <f>IF(ISNA(MATCH(840,'Transfer Engine'!$C$2:$C$1199,0)),"",INDEX('Compliance Database'!$O$2:$O$1199,MATCH(840,'Transfer Engine'!$C$2:$C$1199,0)))</f>
        <v/>
      </c>
      <c r="P849" s="6" t="str">
        <f>IF(ISNA(MATCH(840,'Transfer Engine'!$C$2:$C$1199,0)),"",HYPERLINK("#Acts!A"&amp;INDEX('Compliance Database'!$P$2:$P$1199,MATCH(840,'Transfer Engine'!$C$2:$C$1199,0)),"Go to Act"))</f>
        <v/>
      </c>
    </row>
    <row r="850" spans="1:16" ht="172.95" customHeight="1" x14ac:dyDescent="0.3">
      <c r="A850" s="6" t="str">
        <f>IF(ISNA(MATCH(841,'Transfer Engine'!$C$2:$C$1199,0)),"",INDEX('Compliance Database'!$A$2:$A$1199,MATCH(841,'Transfer Engine'!$C$2:$C$1199,0)))</f>
        <v/>
      </c>
      <c r="B850" s="6" t="str">
        <f>IF(ISNA(MATCH(841,'Transfer Engine'!$C$2:$C$1199,0)),"",INDEX('Compliance Database'!$B$2:$B$1199,MATCH(841,'Transfer Engine'!$C$2:$C$1199,0)))</f>
        <v/>
      </c>
      <c r="C850" s="6" t="str">
        <f>IF(ISNA(MATCH(841,'Transfer Engine'!$C$2:$C$1199,0)),"",INDEX('Compliance Database'!$C$2:$C$1199,MATCH(841,'Transfer Engine'!$C$2:$C$1199,0)))</f>
        <v/>
      </c>
      <c r="D850" s="7" t="str">
        <f>IF(ISNA(MATCH(841,'Transfer Engine'!$C$2:$C$1199,0)),"",INDEX('Compliance Database'!$D$2:$D$1199,MATCH(841,'Transfer Engine'!$C$2:$C$1199,0)))</f>
        <v/>
      </c>
      <c r="E850" s="6" t="str">
        <f>IF(ISNA(MATCH(841,'Transfer Engine'!$C$2:$C$1199,0)),"",INDEX('Compliance Database'!$E$2:$E$1199,MATCH(841,'Transfer Engine'!$C$2:$C$1199,0)))</f>
        <v/>
      </c>
      <c r="F850" s="6" t="str">
        <f>IF(ISNA(MATCH(841,'Transfer Engine'!$C$2:$C$1199,0)),"",INDEX('Compliance Database'!$F$2:$F$1199,MATCH(841,'Transfer Engine'!$C$2:$C$1199,0)))</f>
        <v/>
      </c>
      <c r="G850" s="6" t="str">
        <f>IF(ISNA(MATCH(841,'Transfer Engine'!$C$2:$C$1199,0)),"",INDEX('Compliance Database'!$G$2:$G$1199,MATCH(841,'Transfer Engine'!$C$2:$C$1199,0)))</f>
        <v/>
      </c>
      <c r="H850" s="7" t="str">
        <f>IF(ISNA(MATCH(841,'Transfer Engine'!$C$2:$C$1199,0)),"",INDEX('Compliance Database'!$H$2:$H$1199,MATCH(841,'Transfer Engine'!$C$2:$C$1199,0)))</f>
        <v/>
      </c>
      <c r="I850" s="7" t="str">
        <f>IF(ISNA(MATCH(841,'Transfer Engine'!$C$2:$C$1199,0)),"",INDEX('Compliance Database'!$I$2:$I$1199,MATCH(841,'Transfer Engine'!$C$2:$C$1199,0)))</f>
        <v/>
      </c>
      <c r="J850" s="6" t="str">
        <f>IF(ISNA(MATCH(841,'Transfer Engine'!$C$2:$C$1199,0)),"",INDEX('Compliance Database'!$J$2:$J$1199,MATCH(841,'Transfer Engine'!$C$2:$C$1199,0)))</f>
        <v/>
      </c>
      <c r="K850" s="7" t="str">
        <f>IF(ISNA(MATCH(841,'Transfer Engine'!$C$2:$C$1199,0)),"",INDEX('Compliance Database'!$K$2:$K$1199,MATCH(841,'Transfer Engine'!$C$2:$C$1199,0)))</f>
        <v/>
      </c>
      <c r="L850" s="7" t="str">
        <f>IF(ISNA(MATCH(841,'Transfer Engine'!$C$2:$C$1199,0)),"",INDEX('Compliance Database'!$L$2:$L$1199,MATCH(841,'Transfer Engine'!$C$2:$C$1199,0)))</f>
        <v/>
      </c>
      <c r="M850" s="7" t="str">
        <f>IF(ISNA(MATCH(841,'Transfer Engine'!$C$2:$C$1199,0)),"",INDEX('Compliance Database'!$M$2:$M$1199,MATCH(841,'Transfer Engine'!$C$2:$C$1199,0)))</f>
        <v/>
      </c>
      <c r="N850" s="7" t="str">
        <f>IF(ISNA(MATCH(841,'Transfer Engine'!$C$2:$C$1199,0)),"",INDEX('Compliance Database'!$N$2:$N$1199,MATCH(841,'Transfer Engine'!$C$2:$C$1199,0)))</f>
        <v/>
      </c>
      <c r="O850" s="7" t="str">
        <f>IF(ISNA(MATCH(841,'Transfer Engine'!$C$2:$C$1199,0)),"",INDEX('Compliance Database'!$O$2:$O$1199,MATCH(841,'Transfer Engine'!$C$2:$C$1199,0)))</f>
        <v/>
      </c>
      <c r="P850" s="6" t="str">
        <f>IF(ISNA(MATCH(841,'Transfer Engine'!$C$2:$C$1199,0)),"",HYPERLINK("#Acts!A"&amp;INDEX('Compliance Database'!$P$2:$P$1199,MATCH(841,'Transfer Engine'!$C$2:$C$1199,0)),"Go to Act"))</f>
        <v/>
      </c>
    </row>
    <row r="851" spans="1:16" ht="172.95" customHeight="1" x14ac:dyDescent="0.3">
      <c r="A851" s="6" t="str">
        <f>IF(ISNA(MATCH(842,'Transfer Engine'!$C$2:$C$1199,0)),"",INDEX('Compliance Database'!$A$2:$A$1199,MATCH(842,'Transfer Engine'!$C$2:$C$1199,0)))</f>
        <v/>
      </c>
      <c r="B851" s="6" t="str">
        <f>IF(ISNA(MATCH(842,'Transfer Engine'!$C$2:$C$1199,0)),"",INDEX('Compliance Database'!$B$2:$B$1199,MATCH(842,'Transfer Engine'!$C$2:$C$1199,0)))</f>
        <v/>
      </c>
      <c r="C851" s="6" t="str">
        <f>IF(ISNA(MATCH(842,'Transfer Engine'!$C$2:$C$1199,0)),"",INDEX('Compliance Database'!$C$2:$C$1199,MATCH(842,'Transfer Engine'!$C$2:$C$1199,0)))</f>
        <v/>
      </c>
      <c r="D851" s="7" t="str">
        <f>IF(ISNA(MATCH(842,'Transfer Engine'!$C$2:$C$1199,0)),"",INDEX('Compliance Database'!$D$2:$D$1199,MATCH(842,'Transfer Engine'!$C$2:$C$1199,0)))</f>
        <v/>
      </c>
      <c r="E851" s="6" t="str">
        <f>IF(ISNA(MATCH(842,'Transfer Engine'!$C$2:$C$1199,0)),"",INDEX('Compliance Database'!$E$2:$E$1199,MATCH(842,'Transfer Engine'!$C$2:$C$1199,0)))</f>
        <v/>
      </c>
      <c r="F851" s="6" t="str">
        <f>IF(ISNA(MATCH(842,'Transfer Engine'!$C$2:$C$1199,0)),"",INDEX('Compliance Database'!$F$2:$F$1199,MATCH(842,'Transfer Engine'!$C$2:$C$1199,0)))</f>
        <v/>
      </c>
      <c r="G851" s="6" t="str">
        <f>IF(ISNA(MATCH(842,'Transfer Engine'!$C$2:$C$1199,0)),"",INDEX('Compliance Database'!$G$2:$G$1199,MATCH(842,'Transfer Engine'!$C$2:$C$1199,0)))</f>
        <v/>
      </c>
      <c r="H851" s="7" t="str">
        <f>IF(ISNA(MATCH(842,'Transfer Engine'!$C$2:$C$1199,0)),"",INDEX('Compliance Database'!$H$2:$H$1199,MATCH(842,'Transfer Engine'!$C$2:$C$1199,0)))</f>
        <v/>
      </c>
      <c r="I851" s="7" t="str">
        <f>IF(ISNA(MATCH(842,'Transfer Engine'!$C$2:$C$1199,0)),"",INDEX('Compliance Database'!$I$2:$I$1199,MATCH(842,'Transfer Engine'!$C$2:$C$1199,0)))</f>
        <v/>
      </c>
      <c r="J851" s="6" t="str">
        <f>IF(ISNA(MATCH(842,'Transfer Engine'!$C$2:$C$1199,0)),"",INDEX('Compliance Database'!$J$2:$J$1199,MATCH(842,'Transfer Engine'!$C$2:$C$1199,0)))</f>
        <v/>
      </c>
      <c r="K851" s="7" t="str">
        <f>IF(ISNA(MATCH(842,'Transfer Engine'!$C$2:$C$1199,0)),"",INDEX('Compliance Database'!$K$2:$K$1199,MATCH(842,'Transfer Engine'!$C$2:$C$1199,0)))</f>
        <v/>
      </c>
      <c r="L851" s="7" t="str">
        <f>IF(ISNA(MATCH(842,'Transfer Engine'!$C$2:$C$1199,0)),"",INDEX('Compliance Database'!$L$2:$L$1199,MATCH(842,'Transfer Engine'!$C$2:$C$1199,0)))</f>
        <v/>
      </c>
      <c r="M851" s="7" t="str">
        <f>IF(ISNA(MATCH(842,'Transfer Engine'!$C$2:$C$1199,0)),"",INDEX('Compliance Database'!$M$2:$M$1199,MATCH(842,'Transfer Engine'!$C$2:$C$1199,0)))</f>
        <v/>
      </c>
      <c r="N851" s="7" t="str">
        <f>IF(ISNA(MATCH(842,'Transfer Engine'!$C$2:$C$1199,0)),"",INDEX('Compliance Database'!$N$2:$N$1199,MATCH(842,'Transfer Engine'!$C$2:$C$1199,0)))</f>
        <v/>
      </c>
      <c r="O851" s="7" t="str">
        <f>IF(ISNA(MATCH(842,'Transfer Engine'!$C$2:$C$1199,0)),"",INDEX('Compliance Database'!$O$2:$O$1199,MATCH(842,'Transfer Engine'!$C$2:$C$1199,0)))</f>
        <v/>
      </c>
      <c r="P851" s="6" t="str">
        <f>IF(ISNA(MATCH(842,'Transfer Engine'!$C$2:$C$1199,0)),"",HYPERLINK("#Acts!A"&amp;INDEX('Compliance Database'!$P$2:$P$1199,MATCH(842,'Transfer Engine'!$C$2:$C$1199,0)),"Go to Act"))</f>
        <v/>
      </c>
    </row>
    <row r="852" spans="1:16" ht="172.95" customHeight="1" x14ac:dyDescent="0.3">
      <c r="A852" s="6" t="str">
        <f>IF(ISNA(MATCH(843,'Transfer Engine'!$C$2:$C$1199,0)),"",INDEX('Compliance Database'!$A$2:$A$1199,MATCH(843,'Transfer Engine'!$C$2:$C$1199,0)))</f>
        <v/>
      </c>
      <c r="B852" s="6" t="str">
        <f>IF(ISNA(MATCH(843,'Transfer Engine'!$C$2:$C$1199,0)),"",INDEX('Compliance Database'!$B$2:$B$1199,MATCH(843,'Transfer Engine'!$C$2:$C$1199,0)))</f>
        <v/>
      </c>
      <c r="C852" s="6" t="str">
        <f>IF(ISNA(MATCH(843,'Transfer Engine'!$C$2:$C$1199,0)),"",INDEX('Compliance Database'!$C$2:$C$1199,MATCH(843,'Transfer Engine'!$C$2:$C$1199,0)))</f>
        <v/>
      </c>
      <c r="D852" s="7" t="str">
        <f>IF(ISNA(MATCH(843,'Transfer Engine'!$C$2:$C$1199,0)),"",INDEX('Compliance Database'!$D$2:$D$1199,MATCH(843,'Transfer Engine'!$C$2:$C$1199,0)))</f>
        <v/>
      </c>
      <c r="E852" s="6" t="str">
        <f>IF(ISNA(MATCH(843,'Transfer Engine'!$C$2:$C$1199,0)),"",INDEX('Compliance Database'!$E$2:$E$1199,MATCH(843,'Transfer Engine'!$C$2:$C$1199,0)))</f>
        <v/>
      </c>
      <c r="F852" s="6" t="str">
        <f>IF(ISNA(MATCH(843,'Transfer Engine'!$C$2:$C$1199,0)),"",INDEX('Compliance Database'!$F$2:$F$1199,MATCH(843,'Transfer Engine'!$C$2:$C$1199,0)))</f>
        <v/>
      </c>
      <c r="G852" s="6" t="str">
        <f>IF(ISNA(MATCH(843,'Transfer Engine'!$C$2:$C$1199,0)),"",INDEX('Compliance Database'!$G$2:$G$1199,MATCH(843,'Transfer Engine'!$C$2:$C$1199,0)))</f>
        <v/>
      </c>
      <c r="H852" s="7" t="str">
        <f>IF(ISNA(MATCH(843,'Transfer Engine'!$C$2:$C$1199,0)),"",INDEX('Compliance Database'!$H$2:$H$1199,MATCH(843,'Transfer Engine'!$C$2:$C$1199,0)))</f>
        <v/>
      </c>
      <c r="I852" s="7" t="str">
        <f>IF(ISNA(MATCH(843,'Transfer Engine'!$C$2:$C$1199,0)),"",INDEX('Compliance Database'!$I$2:$I$1199,MATCH(843,'Transfer Engine'!$C$2:$C$1199,0)))</f>
        <v/>
      </c>
      <c r="J852" s="6" t="str">
        <f>IF(ISNA(MATCH(843,'Transfer Engine'!$C$2:$C$1199,0)),"",INDEX('Compliance Database'!$J$2:$J$1199,MATCH(843,'Transfer Engine'!$C$2:$C$1199,0)))</f>
        <v/>
      </c>
      <c r="K852" s="7" t="str">
        <f>IF(ISNA(MATCH(843,'Transfer Engine'!$C$2:$C$1199,0)),"",INDEX('Compliance Database'!$K$2:$K$1199,MATCH(843,'Transfer Engine'!$C$2:$C$1199,0)))</f>
        <v/>
      </c>
      <c r="L852" s="7" t="str">
        <f>IF(ISNA(MATCH(843,'Transfer Engine'!$C$2:$C$1199,0)),"",INDEX('Compliance Database'!$L$2:$L$1199,MATCH(843,'Transfer Engine'!$C$2:$C$1199,0)))</f>
        <v/>
      </c>
      <c r="M852" s="7" t="str">
        <f>IF(ISNA(MATCH(843,'Transfer Engine'!$C$2:$C$1199,0)),"",INDEX('Compliance Database'!$M$2:$M$1199,MATCH(843,'Transfer Engine'!$C$2:$C$1199,0)))</f>
        <v/>
      </c>
      <c r="N852" s="7" t="str">
        <f>IF(ISNA(MATCH(843,'Transfer Engine'!$C$2:$C$1199,0)),"",INDEX('Compliance Database'!$N$2:$N$1199,MATCH(843,'Transfer Engine'!$C$2:$C$1199,0)))</f>
        <v/>
      </c>
      <c r="O852" s="7" t="str">
        <f>IF(ISNA(MATCH(843,'Transfer Engine'!$C$2:$C$1199,0)),"",INDEX('Compliance Database'!$O$2:$O$1199,MATCH(843,'Transfer Engine'!$C$2:$C$1199,0)))</f>
        <v/>
      </c>
      <c r="P852" s="6" t="str">
        <f>IF(ISNA(MATCH(843,'Transfer Engine'!$C$2:$C$1199,0)),"",HYPERLINK("#Acts!A"&amp;INDEX('Compliance Database'!$P$2:$P$1199,MATCH(843,'Transfer Engine'!$C$2:$C$1199,0)),"Go to Act"))</f>
        <v/>
      </c>
    </row>
    <row r="853" spans="1:16" ht="172.95" customHeight="1" x14ac:dyDescent="0.3">
      <c r="A853" s="6" t="str">
        <f>IF(ISNA(MATCH(844,'Transfer Engine'!$C$2:$C$1199,0)),"",INDEX('Compliance Database'!$A$2:$A$1199,MATCH(844,'Transfer Engine'!$C$2:$C$1199,0)))</f>
        <v/>
      </c>
      <c r="B853" s="6" t="str">
        <f>IF(ISNA(MATCH(844,'Transfer Engine'!$C$2:$C$1199,0)),"",INDEX('Compliance Database'!$B$2:$B$1199,MATCH(844,'Transfer Engine'!$C$2:$C$1199,0)))</f>
        <v/>
      </c>
      <c r="C853" s="6" t="str">
        <f>IF(ISNA(MATCH(844,'Transfer Engine'!$C$2:$C$1199,0)),"",INDEX('Compliance Database'!$C$2:$C$1199,MATCH(844,'Transfer Engine'!$C$2:$C$1199,0)))</f>
        <v/>
      </c>
      <c r="D853" s="7" t="str">
        <f>IF(ISNA(MATCH(844,'Transfer Engine'!$C$2:$C$1199,0)),"",INDEX('Compliance Database'!$D$2:$D$1199,MATCH(844,'Transfer Engine'!$C$2:$C$1199,0)))</f>
        <v/>
      </c>
      <c r="E853" s="6" t="str">
        <f>IF(ISNA(MATCH(844,'Transfer Engine'!$C$2:$C$1199,0)),"",INDEX('Compliance Database'!$E$2:$E$1199,MATCH(844,'Transfer Engine'!$C$2:$C$1199,0)))</f>
        <v/>
      </c>
      <c r="F853" s="6" t="str">
        <f>IF(ISNA(MATCH(844,'Transfer Engine'!$C$2:$C$1199,0)),"",INDEX('Compliance Database'!$F$2:$F$1199,MATCH(844,'Transfer Engine'!$C$2:$C$1199,0)))</f>
        <v/>
      </c>
      <c r="G853" s="6" t="str">
        <f>IF(ISNA(MATCH(844,'Transfer Engine'!$C$2:$C$1199,0)),"",INDEX('Compliance Database'!$G$2:$G$1199,MATCH(844,'Transfer Engine'!$C$2:$C$1199,0)))</f>
        <v/>
      </c>
      <c r="H853" s="7" t="str">
        <f>IF(ISNA(MATCH(844,'Transfer Engine'!$C$2:$C$1199,0)),"",INDEX('Compliance Database'!$H$2:$H$1199,MATCH(844,'Transfer Engine'!$C$2:$C$1199,0)))</f>
        <v/>
      </c>
      <c r="I853" s="7" t="str">
        <f>IF(ISNA(MATCH(844,'Transfer Engine'!$C$2:$C$1199,0)),"",INDEX('Compliance Database'!$I$2:$I$1199,MATCH(844,'Transfer Engine'!$C$2:$C$1199,0)))</f>
        <v/>
      </c>
      <c r="J853" s="6" t="str">
        <f>IF(ISNA(MATCH(844,'Transfer Engine'!$C$2:$C$1199,0)),"",INDEX('Compliance Database'!$J$2:$J$1199,MATCH(844,'Transfer Engine'!$C$2:$C$1199,0)))</f>
        <v/>
      </c>
      <c r="K853" s="7" t="str">
        <f>IF(ISNA(MATCH(844,'Transfer Engine'!$C$2:$C$1199,0)),"",INDEX('Compliance Database'!$K$2:$K$1199,MATCH(844,'Transfer Engine'!$C$2:$C$1199,0)))</f>
        <v/>
      </c>
      <c r="L853" s="7" t="str">
        <f>IF(ISNA(MATCH(844,'Transfer Engine'!$C$2:$C$1199,0)),"",INDEX('Compliance Database'!$L$2:$L$1199,MATCH(844,'Transfer Engine'!$C$2:$C$1199,0)))</f>
        <v/>
      </c>
      <c r="M853" s="7" t="str">
        <f>IF(ISNA(MATCH(844,'Transfer Engine'!$C$2:$C$1199,0)),"",INDEX('Compliance Database'!$M$2:$M$1199,MATCH(844,'Transfer Engine'!$C$2:$C$1199,0)))</f>
        <v/>
      </c>
      <c r="N853" s="7" t="str">
        <f>IF(ISNA(MATCH(844,'Transfer Engine'!$C$2:$C$1199,0)),"",INDEX('Compliance Database'!$N$2:$N$1199,MATCH(844,'Transfer Engine'!$C$2:$C$1199,0)))</f>
        <v/>
      </c>
      <c r="O853" s="7" t="str">
        <f>IF(ISNA(MATCH(844,'Transfer Engine'!$C$2:$C$1199,0)),"",INDEX('Compliance Database'!$O$2:$O$1199,MATCH(844,'Transfer Engine'!$C$2:$C$1199,0)))</f>
        <v/>
      </c>
      <c r="P853" s="6" t="str">
        <f>IF(ISNA(MATCH(844,'Transfer Engine'!$C$2:$C$1199,0)),"",HYPERLINK("#Acts!A"&amp;INDEX('Compliance Database'!$P$2:$P$1199,MATCH(844,'Transfer Engine'!$C$2:$C$1199,0)),"Go to Act"))</f>
        <v/>
      </c>
    </row>
    <row r="854" spans="1:16" ht="172.95" customHeight="1" x14ac:dyDescent="0.3">
      <c r="A854" s="6" t="str">
        <f>IF(ISNA(MATCH(845,'Transfer Engine'!$C$2:$C$1199,0)),"",INDEX('Compliance Database'!$A$2:$A$1199,MATCH(845,'Transfer Engine'!$C$2:$C$1199,0)))</f>
        <v/>
      </c>
      <c r="B854" s="6" t="str">
        <f>IF(ISNA(MATCH(845,'Transfer Engine'!$C$2:$C$1199,0)),"",INDEX('Compliance Database'!$B$2:$B$1199,MATCH(845,'Transfer Engine'!$C$2:$C$1199,0)))</f>
        <v/>
      </c>
      <c r="C854" s="6" t="str">
        <f>IF(ISNA(MATCH(845,'Transfer Engine'!$C$2:$C$1199,0)),"",INDEX('Compliance Database'!$C$2:$C$1199,MATCH(845,'Transfer Engine'!$C$2:$C$1199,0)))</f>
        <v/>
      </c>
      <c r="D854" s="7" t="str">
        <f>IF(ISNA(MATCH(845,'Transfer Engine'!$C$2:$C$1199,0)),"",INDEX('Compliance Database'!$D$2:$D$1199,MATCH(845,'Transfer Engine'!$C$2:$C$1199,0)))</f>
        <v/>
      </c>
      <c r="E854" s="6" t="str">
        <f>IF(ISNA(MATCH(845,'Transfer Engine'!$C$2:$C$1199,0)),"",INDEX('Compliance Database'!$E$2:$E$1199,MATCH(845,'Transfer Engine'!$C$2:$C$1199,0)))</f>
        <v/>
      </c>
      <c r="F854" s="6" t="str">
        <f>IF(ISNA(MATCH(845,'Transfer Engine'!$C$2:$C$1199,0)),"",INDEX('Compliance Database'!$F$2:$F$1199,MATCH(845,'Transfer Engine'!$C$2:$C$1199,0)))</f>
        <v/>
      </c>
      <c r="G854" s="6" t="str">
        <f>IF(ISNA(MATCH(845,'Transfer Engine'!$C$2:$C$1199,0)),"",INDEX('Compliance Database'!$G$2:$G$1199,MATCH(845,'Transfer Engine'!$C$2:$C$1199,0)))</f>
        <v/>
      </c>
      <c r="H854" s="7" t="str">
        <f>IF(ISNA(MATCH(845,'Transfer Engine'!$C$2:$C$1199,0)),"",INDEX('Compliance Database'!$H$2:$H$1199,MATCH(845,'Transfer Engine'!$C$2:$C$1199,0)))</f>
        <v/>
      </c>
      <c r="I854" s="7" t="str">
        <f>IF(ISNA(MATCH(845,'Transfer Engine'!$C$2:$C$1199,0)),"",INDEX('Compliance Database'!$I$2:$I$1199,MATCH(845,'Transfer Engine'!$C$2:$C$1199,0)))</f>
        <v/>
      </c>
      <c r="J854" s="6" t="str">
        <f>IF(ISNA(MATCH(845,'Transfer Engine'!$C$2:$C$1199,0)),"",INDEX('Compliance Database'!$J$2:$J$1199,MATCH(845,'Transfer Engine'!$C$2:$C$1199,0)))</f>
        <v/>
      </c>
      <c r="K854" s="7" t="str">
        <f>IF(ISNA(MATCH(845,'Transfer Engine'!$C$2:$C$1199,0)),"",INDEX('Compliance Database'!$K$2:$K$1199,MATCH(845,'Transfer Engine'!$C$2:$C$1199,0)))</f>
        <v/>
      </c>
      <c r="L854" s="7" t="str">
        <f>IF(ISNA(MATCH(845,'Transfer Engine'!$C$2:$C$1199,0)),"",INDEX('Compliance Database'!$L$2:$L$1199,MATCH(845,'Transfer Engine'!$C$2:$C$1199,0)))</f>
        <v/>
      </c>
      <c r="M854" s="7" t="str">
        <f>IF(ISNA(MATCH(845,'Transfer Engine'!$C$2:$C$1199,0)),"",INDEX('Compliance Database'!$M$2:$M$1199,MATCH(845,'Transfer Engine'!$C$2:$C$1199,0)))</f>
        <v/>
      </c>
      <c r="N854" s="7" t="str">
        <f>IF(ISNA(MATCH(845,'Transfer Engine'!$C$2:$C$1199,0)),"",INDEX('Compliance Database'!$N$2:$N$1199,MATCH(845,'Transfer Engine'!$C$2:$C$1199,0)))</f>
        <v/>
      </c>
      <c r="O854" s="7" t="str">
        <f>IF(ISNA(MATCH(845,'Transfer Engine'!$C$2:$C$1199,0)),"",INDEX('Compliance Database'!$O$2:$O$1199,MATCH(845,'Transfer Engine'!$C$2:$C$1199,0)))</f>
        <v/>
      </c>
      <c r="P854" s="6" t="str">
        <f>IF(ISNA(MATCH(845,'Transfer Engine'!$C$2:$C$1199,0)),"",HYPERLINK("#Acts!A"&amp;INDEX('Compliance Database'!$P$2:$P$1199,MATCH(845,'Transfer Engine'!$C$2:$C$1199,0)),"Go to Act"))</f>
        <v/>
      </c>
    </row>
    <row r="855" spans="1:16" ht="172.95" customHeight="1" x14ac:dyDescent="0.3">
      <c r="A855" s="6" t="str">
        <f>IF(ISNA(MATCH(846,'Transfer Engine'!$C$2:$C$1199,0)),"",INDEX('Compliance Database'!$A$2:$A$1199,MATCH(846,'Transfer Engine'!$C$2:$C$1199,0)))</f>
        <v/>
      </c>
      <c r="B855" s="6" t="str">
        <f>IF(ISNA(MATCH(846,'Transfer Engine'!$C$2:$C$1199,0)),"",INDEX('Compliance Database'!$B$2:$B$1199,MATCH(846,'Transfer Engine'!$C$2:$C$1199,0)))</f>
        <v/>
      </c>
      <c r="C855" s="6" t="str">
        <f>IF(ISNA(MATCH(846,'Transfer Engine'!$C$2:$C$1199,0)),"",INDEX('Compliance Database'!$C$2:$C$1199,MATCH(846,'Transfer Engine'!$C$2:$C$1199,0)))</f>
        <v/>
      </c>
      <c r="D855" s="7" t="str">
        <f>IF(ISNA(MATCH(846,'Transfer Engine'!$C$2:$C$1199,0)),"",INDEX('Compliance Database'!$D$2:$D$1199,MATCH(846,'Transfer Engine'!$C$2:$C$1199,0)))</f>
        <v/>
      </c>
      <c r="E855" s="6" t="str">
        <f>IF(ISNA(MATCH(846,'Transfer Engine'!$C$2:$C$1199,0)),"",INDEX('Compliance Database'!$E$2:$E$1199,MATCH(846,'Transfer Engine'!$C$2:$C$1199,0)))</f>
        <v/>
      </c>
      <c r="F855" s="6" t="str">
        <f>IF(ISNA(MATCH(846,'Transfer Engine'!$C$2:$C$1199,0)),"",INDEX('Compliance Database'!$F$2:$F$1199,MATCH(846,'Transfer Engine'!$C$2:$C$1199,0)))</f>
        <v/>
      </c>
      <c r="G855" s="6" t="str">
        <f>IF(ISNA(MATCH(846,'Transfer Engine'!$C$2:$C$1199,0)),"",INDEX('Compliance Database'!$G$2:$G$1199,MATCH(846,'Transfer Engine'!$C$2:$C$1199,0)))</f>
        <v/>
      </c>
      <c r="H855" s="7" t="str">
        <f>IF(ISNA(MATCH(846,'Transfer Engine'!$C$2:$C$1199,0)),"",INDEX('Compliance Database'!$H$2:$H$1199,MATCH(846,'Transfer Engine'!$C$2:$C$1199,0)))</f>
        <v/>
      </c>
      <c r="I855" s="7" t="str">
        <f>IF(ISNA(MATCH(846,'Transfer Engine'!$C$2:$C$1199,0)),"",INDEX('Compliance Database'!$I$2:$I$1199,MATCH(846,'Transfer Engine'!$C$2:$C$1199,0)))</f>
        <v/>
      </c>
      <c r="J855" s="6" t="str">
        <f>IF(ISNA(MATCH(846,'Transfer Engine'!$C$2:$C$1199,0)),"",INDEX('Compliance Database'!$J$2:$J$1199,MATCH(846,'Transfer Engine'!$C$2:$C$1199,0)))</f>
        <v/>
      </c>
      <c r="K855" s="7" t="str">
        <f>IF(ISNA(MATCH(846,'Transfer Engine'!$C$2:$C$1199,0)),"",INDEX('Compliance Database'!$K$2:$K$1199,MATCH(846,'Transfer Engine'!$C$2:$C$1199,0)))</f>
        <v/>
      </c>
      <c r="L855" s="7" t="str">
        <f>IF(ISNA(MATCH(846,'Transfer Engine'!$C$2:$C$1199,0)),"",INDEX('Compliance Database'!$L$2:$L$1199,MATCH(846,'Transfer Engine'!$C$2:$C$1199,0)))</f>
        <v/>
      </c>
      <c r="M855" s="7" t="str">
        <f>IF(ISNA(MATCH(846,'Transfer Engine'!$C$2:$C$1199,0)),"",INDEX('Compliance Database'!$M$2:$M$1199,MATCH(846,'Transfer Engine'!$C$2:$C$1199,0)))</f>
        <v/>
      </c>
      <c r="N855" s="7" t="str">
        <f>IF(ISNA(MATCH(846,'Transfer Engine'!$C$2:$C$1199,0)),"",INDEX('Compliance Database'!$N$2:$N$1199,MATCH(846,'Transfer Engine'!$C$2:$C$1199,0)))</f>
        <v/>
      </c>
      <c r="O855" s="7" t="str">
        <f>IF(ISNA(MATCH(846,'Transfer Engine'!$C$2:$C$1199,0)),"",INDEX('Compliance Database'!$O$2:$O$1199,MATCH(846,'Transfer Engine'!$C$2:$C$1199,0)))</f>
        <v/>
      </c>
      <c r="P855" s="6" t="str">
        <f>IF(ISNA(MATCH(846,'Transfer Engine'!$C$2:$C$1199,0)),"",HYPERLINK("#Acts!A"&amp;INDEX('Compliance Database'!$P$2:$P$1199,MATCH(846,'Transfer Engine'!$C$2:$C$1199,0)),"Go to Act"))</f>
        <v/>
      </c>
    </row>
    <row r="856" spans="1:16" ht="172.95" customHeight="1" x14ac:dyDescent="0.3">
      <c r="A856" s="6" t="str">
        <f>IF(ISNA(MATCH(847,'Transfer Engine'!$C$2:$C$1199,0)),"",INDEX('Compliance Database'!$A$2:$A$1199,MATCH(847,'Transfer Engine'!$C$2:$C$1199,0)))</f>
        <v/>
      </c>
      <c r="B856" s="6" t="str">
        <f>IF(ISNA(MATCH(847,'Transfer Engine'!$C$2:$C$1199,0)),"",INDEX('Compliance Database'!$B$2:$B$1199,MATCH(847,'Transfer Engine'!$C$2:$C$1199,0)))</f>
        <v/>
      </c>
      <c r="C856" s="6" t="str">
        <f>IF(ISNA(MATCH(847,'Transfer Engine'!$C$2:$C$1199,0)),"",INDEX('Compliance Database'!$C$2:$C$1199,MATCH(847,'Transfer Engine'!$C$2:$C$1199,0)))</f>
        <v/>
      </c>
      <c r="D856" s="7" t="str">
        <f>IF(ISNA(MATCH(847,'Transfer Engine'!$C$2:$C$1199,0)),"",INDEX('Compliance Database'!$D$2:$D$1199,MATCH(847,'Transfer Engine'!$C$2:$C$1199,0)))</f>
        <v/>
      </c>
      <c r="E856" s="6" t="str">
        <f>IF(ISNA(MATCH(847,'Transfer Engine'!$C$2:$C$1199,0)),"",INDEX('Compliance Database'!$E$2:$E$1199,MATCH(847,'Transfer Engine'!$C$2:$C$1199,0)))</f>
        <v/>
      </c>
      <c r="F856" s="6" t="str">
        <f>IF(ISNA(MATCH(847,'Transfer Engine'!$C$2:$C$1199,0)),"",INDEX('Compliance Database'!$F$2:$F$1199,MATCH(847,'Transfer Engine'!$C$2:$C$1199,0)))</f>
        <v/>
      </c>
      <c r="G856" s="6" t="str">
        <f>IF(ISNA(MATCH(847,'Transfer Engine'!$C$2:$C$1199,0)),"",INDEX('Compliance Database'!$G$2:$G$1199,MATCH(847,'Transfer Engine'!$C$2:$C$1199,0)))</f>
        <v/>
      </c>
      <c r="H856" s="7" t="str">
        <f>IF(ISNA(MATCH(847,'Transfer Engine'!$C$2:$C$1199,0)),"",INDEX('Compliance Database'!$H$2:$H$1199,MATCH(847,'Transfer Engine'!$C$2:$C$1199,0)))</f>
        <v/>
      </c>
      <c r="I856" s="7" t="str">
        <f>IF(ISNA(MATCH(847,'Transfer Engine'!$C$2:$C$1199,0)),"",INDEX('Compliance Database'!$I$2:$I$1199,MATCH(847,'Transfer Engine'!$C$2:$C$1199,0)))</f>
        <v/>
      </c>
      <c r="J856" s="6" t="str">
        <f>IF(ISNA(MATCH(847,'Transfer Engine'!$C$2:$C$1199,0)),"",INDEX('Compliance Database'!$J$2:$J$1199,MATCH(847,'Transfer Engine'!$C$2:$C$1199,0)))</f>
        <v/>
      </c>
      <c r="K856" s="7" t="str">
        <f>IF(ISNA(MATCH(847,'Transfer Engine'!$C$2:$C$1199,0)),"",INDEX('Compliance Database'!$K$2:$K$1199,MATCH(847,'Transfer Engine'!$C$2:$C$1199,0)))</f>
        <v/>
      </c>
      <c r="L856" s="7" t="str">
        <f>IF(ISNA(MATCH(847,'Transfer Engine'!$C$2:$C$1199,0)),"",INDEX('Compliance Database'!$L$2:$L$1199,MATCH(847,'Transfer Engine'!$C$2:$C$1199,0)))</f>
        <v/>
      </c>
      <c r="M856" s="7" t="str">
        <f>IF(ISNA(MATCH(847,'Transfer Engine'!$C$2:$C$1199,0)),"",INDEX('Compliance Database'!$M$2:$M$1199,MATCH(847,'Transfer Engine'!$C$2:$C$1199,0)))</f>
        <v/>
      </c>
      <c r="N856" s="7" t="str">
        <f>IF(ISNA(MATCH(847,'Transfer Engine'!$C$2:$C$1199,0)),"",INDEX('Compliance Database'!$N$2:$N$1199,MATCH(847,'Transfer Engine'!$C$2:$C$1199,0)))</f>
        <v/>
      </c>
      <c r="O856" s="7" t="str">
        <f>IF(ISNA(MATCH(847,'Transfer Engine'!$C$2:$C$1199,0)),"",INDEX('Compliance Database'!$O$2:$O$1199,MATCH(847,'Transfer Engine'!$C$2:$C$1199,0)))</f>
        <v/>
      </c>
      <c r="P856" s="6" t="str">
        <f>IF(ISNA(MATCH(847,'Transfer Engine'!$C$2:$C$1199,0)),"",HYPERLINK("#Acts!A"&amp;INDEX('Compliance Database'!$P$2:$P$1199,MATCH(847,'Transfer Engine'!$C$2:$C$1199,0)),"Go to Act"))</f>
        <v/>
      </c>
    </row>
    <row r="857" spans="1:16" ht="172.95" customHeight="1" x14ac:dyDescent="0.3">
      <c r="A857" s="6" t="str">
        <f>IF(ISNA(MATCH(848,'Transfer Engine'!$C$2:$C$1199,0)),"",INDEX('Compliance Database'!$A$2:$A$1199,MATCH(848,'Transfer Engine'!$C$2:$C$1199,0)))</f>
        <v/>
      </c>
      <c r="B857" s="6" t="str">
        <f>IF(ISNA(MATCH(848,'Transfer Engine'!$C$2:$C$1199,0)),"",INDEX('Compliance Database'!$B$2:$B$1199,MATCH(848,'Transfer Engine'!$C$2:$C$1199,0)))</f>
        <v/>
      </c>
      <c r="C857" s="6" t="str">
        <f>IF(ISNA(MATCH(848,'Transfer Engine'!$C$2:$C$1199,0)),"",INDEX('Compliance Database'!$C$2:$C$1199,MATCH(848,'Transfer Engine'!$C$2:$C$1199,0)))</f>
        <v/>
      </c>
      <c r="D857" s="7" t="str">
        <f>IF(ISNA(MATCH(848,'Transfer Engine'!$C$2:$C$1199,0)),"",INDEX('Compliance Database'!$D$2:$D$1199,MATCH(848,'Transfer Engine'!$C$2:$C$1199,0)))</f>
        <v/>
      </c>
      <c r="E857" s="6" t="str">
        <f>IF(ISNA(MATCH(848,'Transfer Engine'!$C$2:$C$1199,0)),"",INDEX('Compliance Database'!$E$2:$E$1199,MATCH(848,'Transfer Engine'!$C$2:$C$1199,0)))</f>
        <v/>
      </c>
      <c r="F857" s="6" t="str">
        <f>IF(ISNA(MATCH(848,'Transfer Engine'!$C$2:$C$1199,0)),"",INDEX('Compliance Database'!$F$2:$F$1199,MATCH(848,'Transfer Engine'!$C$2:$C$1199,0)))</f>
        <v/>
      </c>
      <c r="G857" s="6" t="str">
        <f>IF(ISNA(MATCH(848,'Transfer Engine'!$C$2:$C$1199,0)),"",INDEX('Compliance Database'!$G$2:$G$1199,MATCH(848,'Transfer Engine'!$C$2:$C$1199,0)))</f>
        <v/>
      </c>
      <c r="H857" s="7" t="str">
        <f>IF(ISNA(MATCH(848,'Transfer Engine'!$C$2:$C$1199,0)),"",INDEX('Compliance Database'!$H$2:$H$1199,MATCH(848,'Transfer Engine'!$C$2:$C$1199,0)))</f>
        <v/>
      </c>
      <c r="I857" s="7" t="str">
        <f>IF(ISNA(MATCH(848,'Transfer Engine'!$C$2:$C$1199,0)),"",INDEX('Compliance Database'!$I$2:$I$1199,MATCH(848,'Transfer Engine'!$C$2:$C$1199,0)))</f>
        <v/>
      </c>
      <c r="J857" s="6" t="str">
        <f>IF(ISNA(MATCH(848,'Transfer Engine'!$C$2:$C$1199,0)),"",INDEX('Compliance Database'!$J$2:$J$1199,MATCH(848,'Transfer Engine'!$C$2:$C$1199,0)))</f>
        <v/>
      </c>
      <c r="K857" s="7" t="str">
        <f>IF(ISNA(MATCH(848,'Transfer Engine'!$C$2:$C$1199,0)),"",INDEX('Compliance Database'!$K$2:$K$1199,MATCH(848,'Transfer Engine'!$C$2:$C$1199,0)))</f>
        <v/>
      </c>
      <c r="L857" s="7" t="str">
        <f>IF(ISNA(MATCH(848,'Transfer Engine'!$C$2:$C$1199,0)),"",INDEX('Compliance Database'!$L$2:$L$1199,MATCH(848,'Transfer Engine'!$C$2:$C$1199,0)))</f>
        <v/>
      </c>
      <c r="M857" s="7" t="str">
        <f>IF(ISNA(MATCH(848,'Transfer Engine'!$C$2:$C$1199,0)),"",INDEX('Compliance Database'!$M$2:$M$1199,MATCH(848,'Transfer Engine'!$C$2:$C$1199,0)))</f>
        <v/>
      </c>
      <c r="N857" s="7" t="str">
        <f>IF(ISNA(MATCH(848,'Transfer Engine'!$C$2:$C$1199,0)),"",INDEX('Compliance Database'!$N$2:$N$1199,MATCH(848,'Transfer Engine'!$C$2:$C$1199,0)))</f>
        <v/>
      </c>
      <c r="O857" s="7" t="str">
        <f>IF(ISNA(MATCH(848,'Transfer Engine'!$C$2:$C$1199,0)),"",INDEX('Compliance Database'!$O$2:$O$1199,MATCH(848,'Transfer Engine'!$C$2:$C$1199,0)))</f>
        <v/>
      </c>
      <c r="P857" s="6" t="str">
        <f>IF(ISNA(MATCH(848,'Transfer Engine'!$C$2:$C$1199,0)),"",HYPERLINK("#Acts!A"&amp;INDEX('Compliance Database'!$P$2:$P$1199,MATCH(848,'Transfer Engine'!$C$2:$C$1199,0)),"Go to Act"))</f>
        <v/>
      </c>
    </row>
    <row r="858" spans="1:16" ht="172.95" customHeight="1" x14ac:dyDescent="0.3">
      <c r="A858" s="6" t="str">
        <f>IF(ISNA(MATCH(849,'Transfer Engine'!$C$2:$C$1199,0)),"",INDEX('Compliance Database'!$A$2:$A$1199,MATCH(849,'Transfer Engine'!$C$2:$C$1199,0)))</f>
        <v/>
      </c>
      <c r="B858" s="6" t="str">
        <f>IF(ISNA(MATCH(849,'Transfer Engine'!$C$2:$C$1199,0)),"",INDEX('Compliance Database'!$B$2:$B$1199,MATCH(849,'Transfer Engine'!$C$2:$C$1199,0)))</f>
        <v/>
      </c>
      <c r="C858" s="6" t="str">
        <f>IF(ISNA(MATCH(849,'Transfer Engine'!$C$2:$C$1199,0)),"",INDEX('Compliance Database'!$C$2:$C$1199,MATCH(849,'Transfer Engine'!$C$2:$C$1199,0)))</f>
        <v/>
      </c>
      <c r="D858" s="7" t="str">
        <f>IF(ISNA(MATCH(849,'Transfer Engine'!$C$2:$C$1199,0)),"",INDEX('Compliance Database'!$D$2:$D$1199,MATCH(849,'Transfer Engine'!$C$2:$C$1199,0)))</f>
        <v/>
      </c>
      <c r="E858" s="6" t="str">
        <f>IF(ISNA(MATCH(849,'Transfer Engine'!$C$2:$C$1199,0)),"",INDEX('Compliance Database'!$E$2:$E$1199,MATCH(849,'Transfer Engine'!$C$2:$C$1199,0)))</f>
        <v/>
      </c>
      <c r="F858" s="6" t="str">
        <f>IF(ISNA(MATCH(849,'Transfer Engine'!$C$2:$C$1199,0)),"",INDEX('Compliance Database'!$F$2:$F$1199,MATCH(849,'Transfer Engine'!$C$2:$C$1199,0)))</f>
        <v/>
      </c>
      <c r="G858" s="6" t="str">
        <f>IF(ISNA(MATCH(849,'Transfer Engine'!$C$2:$C$1199,0)),"",INDEX('Compliance Database'!$G$2:$G$1199,MATCH(849,'Transfer Engine'!$C$2:$C$1199,0)))</f>
        <v/>
      </c>
      <c r="H858" s="7" t="str">
        <f>IF(ISNA(MATCH(849,'Transfer Engine'!$C$2:$C$1199,0)),"",INDEX('Compliance Database'!$H$2:$H$1199,MATCH(849,'Transfer Engine'!$C$2:$C$1199,0)))</f>
        <v/>
      </c>
      <c r="I858" s="7" t="str">
        <f>IF(ISNA(MATCH(849,'Transfer Engine'!$C$2:$C$1199,0)),"",INDEX('Compliance Database'!$I$2:$I$1199,MATCH(849,'Transfer Engine'!$C$2:$C$1199,0)))</f>
        <v/>
      </c>
      <c r="J858" s="6" t="str">
        <f>IF(ISNA(MATCH(849,'Transfer Engine'!$C$2:$C$1199,0)),"",INDEX('Compliance Database'!$J$2:$J$1199,MATCH(849,'Transfer Engine'!$C$2:$C$1199,0)))</f>
        <v/>
      </c>
      <c r="K858" s="7" t="str">
        <f>IF(ISNA(MATCH(849,'Transfer Engine'!$C$2:$C$1199,0)),"",INDEX('Compliance Database'!$K$2:$K$1199,MATCH(849,'Transfer Engine'!$C$2:$C$1199,0)))</f>
        <v/>
      </c>
      <c r="L858" s="7" t="str">
        <f>IF(ISNA(MATCH(849,'Transfer Engine'!$C$2:$C$1199,0)),"",INDEX('Compliance Database'!$L$2:$L$1199,MATCH(849,'Transfer Engine'!$C$2:$C$1199,0)))</f>
        <v/>
      </c>
      <c r="M858" s="7" t="str">
        <f>IF(ISNA(MATCH(849,'Transfer Engine'!$C$2:$C$1199,0)),"",INDEX('Compliance Database'!$M$2:$M$1199,MATCH(849,'Transfer Engine'!$C$2:$C$1199,0)))</f>
        <v/>
      </c>
      <c r="N858" s="7" t="str">
        <f>IF(ISNA(MATCH(849,'Transfer Engine'!$C$2:$C$1199,0)),"",INDEX('Compliance Database'!$N$2:$N$1199,MATCH(849,'Transfer Engine'!$C$2:$C$1199,0)))</f>
        <v/>
      </c>
      <c r="O858" s="7" t="str">
        <f>IF(ISNA(MATCH(849,'Transfer Engine'!$C$2:$C$1199,0)),"",INDEX('Compliance Database'!$O$2:$O$1199,MATCH(849,'Transfer Engine'!$C$2:$C$1199,0)))</f>
        <v/>
      </c>
      <c r="P858" s="6" t="str">
        <f>IF(ISNA(MATCH(849,'Transfer Engine'!$C$2:$C$1199,0)),"",HYPERLINK("#Acts!A"&amp;INDEX('Compliance Database'!$P$2:$P$1199,MATCH(849,'Transfer Engine'!$C$2:$C$1199,0)),"Go to Act"))</f>
        <v/>
      </c>
    </row>
    <row r="859" spans="1:16" ht="172.95" customHeight="1" x14ac:dyDescent="0.3">
      <c r="A859" s="6" t="str">
        <f>IF(ISNA(MATCH(850,'Transfer Engine'!$C$2:$C$1199,0)),"",INDEX('Compliance Database'!$A$2:$A$1199,MATCH(850,'Transfer Engine'!$C$2:$C$1199,0)))</f>
        <v/>
      </c>
      <c r="B859" s="6" t="str">
        <f>IF(ISNA(MATCH(850,'Transfer Engine'!$C$2:$C$1199,0)),"",INDEX('Compliance Database'!$B$2:$B$1199,MATCH(850,'Transfer Engine'!$C$2:$C$1199,0)))</f>
        <v/>
      </c>
      <c r="C859" s="6" t="str">
        <f>IF(ISNA(MATCH(850,'Transfer Engine'!$C$2:$C$1199,0)),"",INDEX('Compliance Database'!$C$2:$C$1199,MATCH(850,'Transfer Engine'!$C$2:$C$1199,0)))</f>
        <v/>
      </c>
      <c r="D859" s="7" t="str">
        <f>IF(ISNA(MATCH(850,'Transfer Engine'!$C$2:$C$1199,0)),"",INDEX('Compliance Database'!$D$2:$D$1199,MATCH(850,'Transfer Engine'!$C$2:$C$1199,0)))</f>
        <v/>
      </c>
      <c r="E859" s="6" t="str">
        <f>IF(ISNA(MATCH(850,'Transfer Engine'!$C$2:$C$1199,0)),"",INDEX('Compliance Database'!$E$2:$E$1199,MATCH(850,'Transfer Engine'!$C$2:$C$1199,0)))</f>
        <v/>
      </c>
      <c r="F859" s="6" t="str">
        <f>IF(ISNA(MATCH(850,'Transfer Engine'!$C$2:$C$1199,0)),"",INDEX('Compliance Database'!$F$2:$F$1199,MATCH(850,'Transfer Engine'!$C$2:$C$1199,0)))</f>
        <v/>
      </c>
      <c r="G859" s="6" t="str">
        <f>IF(ISNA(MATCH(850,'Transfer Engine'!$C$2:$C$1199,0)),"",INDEX('Compliance Database'!$G$2:$G$1199,MATCH(850,'Transfer Engine'!$C$2:$C$1199,0)))</f>
        <v/>
      </c>
      <c r="H859" s="7" t="str">
        <f>IF(ISNA(MATCH(850,'Transfer Engine'!$C$2:$C$1199,0)),"",INDEX('Compliance Database'!$H$2:$H$1199,MATCH(850,'Transfer Engine'!$C$2:$C$1199,0)))</f>
        <v/>
      </c>
      <c r="I859" s="7" t="str">
        <f>IF(ISNA(MATCH(850,'Transfer Engine'!$C$2:$C$1199,0)),"",INDEX('Compliance Database'!$I$2:$I$1199,MATCH(850,'Transfer Engine'!$C$2:$C$1199,0)))</f>
        <v/>
      </c>
      <c r="J859" s="6" t="str">
        <f>IF(ISNA(MATCH(850,'Transfer Engine'!$C$2:$C$1199,0)),"",INDEX('Compliance Database'!$J$2:$J$1199,MATCH(850,'Transfer Engine'!$C$2:$C$1199,0)))</f>
        <v/>
      </c>
      <c r="K859" s="7" t="str">
        <f>IF(ISNA(MATCH(850,'Transfer Engine'!$C$2:$C$1199,0)),"",INDEX('Compliance Database'!$K$2:$K$1199,MATCH(850,'Transfer Engine'!$C$2:$C$1199,0)))</f>
        <v/>
      </c>
      <c r="L859" s="7" t="str">
        <f>IF(ISNA(MATCH(850,'Transfer Engine'!$C$2:$C$1199,0)),"",INDEX('Compliance Database'!$L$2:$L$1199,MATCH(850,'Transfer Engine'!$C$2:$C$1199,0)))</f>
        <v/>
      </c>
      <c r="M859" s="7" t="str">
        <f>IF(ISNA(MATCH(850,'Transfer Engine'!$C$2:$C$1199,0)),"",INDEX('Compliance Database'!$M$2:$M$1199,MATCH(850,'Transfer Engine'!$C$2:$C$1199,0)))</f>
        <v/>
      </c>
      <c r="N859" s="7" t="str">
        <f>IF(ISNA(MATCH(850,'Transfer Engine'!$C$2:$C$1199,0)),"",INDEX('Compliance Database'!$N$2:$N$1199,MATCH(850,'Transfer Engine'!$C$2:$C$1199,0)))</f>
        <v/>
      </c>
      <c r="O859" s="7" t="str">
        <f>IF(ISNA(MATCH(850,'Transfer Engine'!$C$2:$C$1199,0)),"",INDEX('Compliance Database'!$O$2:$O$1199,MATCH(850,'Transfer Engine'!$C$2:$C$1199,0)))</f>
        <v/>
      </c>
      <c r="P859" s="6" t="str">
        <f>IF(ISNA(MATCH(850,'Transfer Engine'!$C$2:$C$1199,0)),"",HYPERLINK("#Acts!A"&amp;INDEX('Compliance Database'!$P$2:$P$1199,MATCH(850,'Transfer Engine'!$C$2:$C$1199,0)),"Go to Act"))</f>
        <v/>
      </c>
    </row>
    <row r="860" spans="1:16" ht="172.95" customHeight="1" x14ac:dyDescent="0.3">
      <c r="A860" s="6" t="str">
        <f>IF(ISNA(MATCH(851,'Transfer Engine'!$C$2:$C$1199,0)),"",INDEX('Compliance Database'!$A$2:$A$1199,MATCH(851,'Transfer Engine'!$C$2:$C$1199,0)))</f>
        <v/>
      </c>
      <c r="B860" s="6" t="str">
        <f>IF(ISNA(MATCH(851,'Transfer Engine'!$C$2:$C$1199,0)),"",INDEX('Compliance Database'!$B$2:$B$1199,MATCH(851,'Transfer Engine'!$C$2:$C$1199,0)))</f>
        <v/>
      </c>
      <c r="C860" s="6" t="str">
        <f>IF(ISNA(MATCH(851,'Transfer Engine'!$C$2:$C$1199,0)),"",INDEX('Compliance Database'!$C$2:$C$1199,MATCH(851,'Transfer Engine'!$C$2:$C$1199,0)))</f>
        <v/>
      </c>
      <c r="D860" s="7" t="str">
        <f>IF(ISNA(MATCH(851,'Transfer Engine'!$C$2:$C$1199,0)),"",INDEX('Compliance Database'!$D$2:$D$1199,MATCH(851,'Transfer Engine'!$C$2:$C$1199,0)))</f>
        <v/>
      </c>
      <c r="E860" s="6" t="str">
        <f>IF(ISNA(MATCH(851,'Transfer Engine'!$C$2:$C$1199,0)),"",INDEX('Compliance Database'!$E$2:$E$1199,MATCH(851,'Transfer Engine'!$C$2:$C$1199,0)))</f>
        <v/>
      </c>
      <c r="F860" s="6" t="str">
        <f>IF(ISNA(MATCH(851,'Transfer Engine'!$C$2:$C$1199,0)),"",INDEX('Compliance Database'!$F$2:$F$1199,MATCH(851,'Transfer Engine'!$C$2:$C$1199,0)))</f>
        <v/>
      </c>
      <c r="G860" s="6" t="str">
        <f>IF(ISNA(MATCH(851,'Transfer Engine'!$C$2:$C$1199,0)),"",INDEX('Compliance Database'!$G$2:$G$1199,MATCH(851,'Transfer Engine'!$C$2:$C$1199,0)))</f>
        <v/>
      </c>
      <c r="H860" s="7" t="str">
        <f>IF(ISNA(MATCH(851,'Transfer Engine'!$C$2:$C$1199,0)),"",INDEX('Compliance Database'!$H$2:$H$1199,MATCH(851,'Transfer Engine'!$C$2:$C$1199,0)))</f>
        <v/>
      </c>
      <c r="I860" s="7" t="str">
        <f>IF(ISNA(MATCH(851,'Transfer Engine'!$C$2:$C$1199,0)),"",INDEX('Compliance Database'!$I$2:$I$1199,MATCH(851,'Transfer Engine'!$C$2:$C$1199,0)))</f>
        <v/>
      </c>
      <c r="J860" s="6" t="str">
        <f>IF(ISNA(MATCH(851,'Transfer Engine'!$C$2:$C$1199,0)),"",INDEX('Compliance Database'!$J$2:$J$1199,MATCH(851,'Transfer Engine'!$C$2:$C$1199,0)))</f>
        <v/>
      </c>
      <c r="K860" s="7" t="str">
        <f>IF(ISNA(MATCH(851,'Transfer Engine'!$C$2:$C$1199,0)),"",INDEX('Compliance Database'!$K$2:$K$1199,MATCH(851,'Transfer Engine'!$C$2:$C$1199,0)))</f>
        <v/>
      </c>
      <c r="L860" s="7" t="str">
        <f>IF(ISNA(MATCH(851,'Transfer Engine'!$C$2:$C$1199,0)),"",INDEX('Compliance Database'!$L$2:$L$1199,MATCH(851,'Transfer Engine'!$C$2:$C$1199,0)))</f>
        <v/>
      </c>
      <c r="M860" s="7" t="str">
        <f>IF(ISNA(MATCH(851,'Transfer Engine'!$C$2:$C$1199,0)),"",INDEX('Compliance Database'!$M$2:$M$1199,MATCH(851,'Transfer Engine'!$C$2:$C$1199,0)))</f>
        <v/>
      </c>
      <c r="N860" s="7" t="str">
        <f>IF(ISNA(MATCH(851,'Transfer Engine'!$C$2:$C$1199,0)),"",INDEX('Compliance Database'!$N$2:$N$1199,MATCH(851,'Transfer Engine'!$C$2:$C$1199,0)))</f>
        <v/>
      </c>
      <c r="O860" s="7" t="str">
        <f>IF(ISNA(MATCH(851,'Transfer Engine'!$C$2:$C$1199,0)),"",INDEX('Compliance Database'!$O$2:$O$1199,MATCH(851,'Transfer Engine'!$C$2:$C$1199,0)))</f>
        <v/>
      </c>
      <c r="P860" s="6" t="str">
        <f>IF(ISNA(MATCH(851,'Transfer Engine'!$C$2:$C$1199,0)),"",HYPERLINK("#Acts!A"&amp;INDEX('Compliance Database'!$P$2:$P$1199,MATCH(851,'Transfer Engine'!$C$2:$C$1199,0)),"Go to Act"))</f>
        <v/>
      </c>
    </row>
    <row r="861" spans="1:16" ht="172.95" customHeight="1" x14ac:dyDescent="0.3">
      <c r="A861" s="6" t="str">
        <f>IF(ISNA(MATCH(852,'Transfer Engine'!$C$2:$C$1199,0)),"",INDEX('Compliance Database'!$A$2:$A$1199,MATCH(852,'Transfer Engine'!$C$2:$C$1199,0)))</f>
        <v/>
      </c>
      <c r="B861" s="6" t="str">
        <f>IF(ISNA(MATCH(852,'Transfer Engine'!$C$2:$C$1199,0)),"",INDEX('Compliance Database'!$B$2:$B$1199,MATCH(852,'Transfer Engine'!$C$2:$C$1199,0)))</f>
        <v/>
      </c>
      <c r="C861" s="6" t="str">
        <f>IF(ISNA(MATCH(852,'Transfer Engine'!$C$2:$C$1199,0)),"",INDEX('Compliance Database'!$C$2:$C$1199,MATCH(852,'Transfer Engine'!$C$2:$C$1199,0)))</f>
        <v/>
      </c>
      <c r="D861" s="7" t="str">
        <f>IF(ISNA(MATCH(852,'Transfer Engine'!$C$2:$C$1199,0)),"",INDEX('Compliance Database'!$D$2:$D$1199,MATCH(852,'Transfer Engine'!$C$2:$C$1199,0)))</f>
        <v/>
      </c>
      <c r="E861" s="6" t="str">
        <f>IF(ISNA(MATCH(852,'Transfer Engine'!$C$2:$C$1199,0)),"",INDEX('Compliance Database'!$E$2:$E$1199,MATCH(852,'Transfer Engine'!$C$2:$C$1199,0)))</f>
        <v/>
      </c>
      <c r="F861" s="6" t="str">
        <f>IF(ISNA(MATCH(852,'Transfer Engine'!$C$2:$C$1199,0)),"",INDEX('Compliance Database'!$F$2:$F$1199,MATCH(852,'Transfer Engine'!$C$2:$C$1199,0)))</f>
        <v/>
      </c>
      <c r="G861" s="6" t="str">
        <f>IF(ISNA(MATCH(852,'Transfer Engine'!$C$2:$C$1199,0)),"",INDEX('Compliance Database'!$G$2:$G$1199,MATCH(852,'Transfer Engine'!$C$2:$C$1199,0)))</f>
        <v/>
      </c>
      <c r="H861" s="7" t="str">
        <f>IF(ISNA(MATCH(852,'Transfer Engine'!$C$2:$C$1199,0)),"",INDEX('Compliance Database'!$H$2:$H$1199,MATCH(852,'Transfer Engine'!$C$2:$C$1199,0)))</f>
        <v/>
      </c>
      <c r="I861" s="7" t="str">
        <f>IF(ISNA(MATCH(852,'Transfer Engine'!$C$2:$C$1199,0)),"",INDEX('Compliance Database'!$I$2:$I$1199,MATCH(852,'Transfer Engine'!$C$2:$C$1199,0)))</f>
        <v/>
      </c>
      <c r="J861" s="6" t="str">
        <f>IF(ISNA(MATCH(852,'Transfer Engine'!$C$2:$C$1199,0)),"",INDEX('Compliance Database'!$J$2:$J$1199,MATCH(852,'Transfer Engine'!$C$2:$C$1199,0)))</f>
        <v/>
      </c>
      <c r="K861" s="7" t="str">
        <f>IF(ISNA(MATCH(852,'Transfer Engine'!$C$2:$C$1199,0)),"",INDEX('Compliance Database'!$K$2:$K$1199,MATCH(852,'Transfer Engine'!$C$2:$C$1199,0)))</f>
        <v/>
      </c>
      <c r="L861" s="7" t="str">
        <f>IF(ISNA(MATCH(852,'Transfer Engine'!$C$2:$C$1199,0)),"",INDEX('Compliance Database'!$L$2:$L$1199,MATCH(852,'Transfer Engine'!$C$2:$C$1199,0)))</f>
        <v/>
      </c>
      <c r="M861" s="7" t="str">
        <f>IF(ISNA(MATCH(852,'Transfer Engine'!$C$2:$C$1199,0)),"",INDEX('Compliance Database'!$M$2:$M$1199,MATCH(852,'Transfer Engine'!$C$2:$C$1199,0)))</f>
        <v/>
      </c>
      <c r="N861" s="7" t="str">
        <f>IF(ISNA(MATCH(852,'Transfer Engine'!$C$2:$C$1199,0)),"",INDEX('Compliance Database'!$N$2:$N$1199,MATCH(852,'Transfer Engine'!$C$2:$C$1199,0)))</f>
        <v/>
      </c>
      <c r="O861" s="7" t="str">
        <f>IF(ISNA(MATCH(852,'Transfer Engine'!$C$2:$C$1199,0)),"",INDEX('Compliance Database'!$O$2:$O$1199,MATCH(852,'Transfer Engine'!$C$2:$C$1199,0)))</f>
        <v/>
      </c>
      <c r="P861" s="6" t="str">
        <f>IF(ISNA(MATCH(852,'Transfer Engine'!$C$2:$C$1199,0)),"",HYPERLINK("#Acts!A"&amp;INDEX('Compliance Database'!$P$2:$P$1199,MATCH(852,'Transfer Engine'!$C$2:$C$1199,0)),"Go to Act"))</f>
        <v/>
      </c>
    </row>
    <row r="862" spans="1:16" ht="172.95" customHeight="1" x14ac:dyDescent="0.3">
      <c r="A862" s="6" t="str">
        <f>IF(ISNA(MATCH(853,'Transfer Engine'!$C$2:$C$1199,0)),"",INDEX('Compliance Database'!$A$2:$A$1199,MATCH(853,'Transfer Engine'!$C$2:$C$1199,0)))</f>
        <v/>
      </c>
      <c r="B862" s="6" t="str">
        <f>IF(ISNA(MATCH(853,'Transfer Engine'!$C$2:$C$1199,0)),"",INDEX('Compliance Database'!$B$2:$B$1199,MATCH(853,'Transfer Engine'!$C$2:$C$1199,0)))</f>
        <v/>
      </c>
      <c r="C862" s="6" t="str">
        <f>IF(ISNA(MATCH(853,'Transfer Engine'!$C$2:$C$1199,0)),"",INDEX('Compliance Database'!$C$2:$C$1199,MATCH(853,'Transfer Engine'!$C$2:$C$1199,0)))</f>
        <v/>
      </c>
      <c r="D862" s="7" t="str">
        <f>IF(ISNA(MATCH(853,'Transfer Engine'!$C$2:$C$1199,0)),"",INDEX('Compliance Database'!$D$2:$D$1199,MATCH(853,'Transfer Engine'!$C$2:$C$1199,0)))</f>
        <v/>
      </c>
      <c r="E862" s="6" t="str">
        <f>IF(ISNA(MATCH(853,'Transfer Engine'!$C$2:$C$1199,0)),"",INDEX('Compliance Database'!$E$2:$E$1199,MATCH(853,'Transfer Engine'!$C$2:$C$1199,0)))</f>
        <v/>
      </c>
      <c r="F862" s="6" t="str">
        <f>IF(ISNA(MATCH(853,'Transfer Engine'!$C$2:$C$1199,0)),"",INDEX('Compliance Database'!$F$2:$F$1199,MATCH(853,'Transfer Engine'!$C$2:$C$1199,0)))</f>
        <v/>
      </c>
      <c r="G862" s="6" t="str">
        <f>IF(ISNA(MATCH(853,'Transfer Engine'!$C$2:$C$1199,0)),"",INDEX('Compliance Database'!$G$2:$G$1199,MATCH(853,'Transfer Engine'!$C$2:$C$1199,0)))</f>
        <v/>
      </c>
      <c r="H862" s="7" t="str">
        <f>IF(ISNA(MATCH(853,'Transfer Engine'!$C$2:$C$1199,0)),"",INDEX('Compliance Database'!$H$2:$H$1199,MATCH(853,'Transfer Engine'!$C$2:$C$1199,0)))</f>
        <v/>
      </c>
      <c r="I862" s="7" t="str">
        <f>IF(ISNA(MATCH(853,'Transfer Engine'!$C$2:$C$1199,0)),"",INDEX('Compliance Database'!$I$2:$I$1199,MATCH(853,'Transfer Engine'!$C$2:$C$1199,0)))</f>
        <v/>
      </c>
      <c r="J862" s="6" t="str">
        <f>IF(ISNA(MATCH(853,'Transfer Engine'!$C$2:$C$1199,0)),"",INDEX('Compliance Database'!$J$2:$J$1199,MATCH(853,'Transfer Engine'!$C$2:$C$1199,0)))</f>
        <v/>
      </c>
      <c r="K862" s="7" t="str">
        <f>IF(ISNA(MATCH(853,'Transfer Engine'!$C$2:$C$1199,0)),"",INDEX('Compliance Database'!$K$2:$K$1199,MATCH(853,'Transfer Engine'!$C$2:$C$1199,0)))</f>
        <v/>
      </c>
      <c r="L862" s="7" t="str">
        <f>IF(ISNA(MATCH(853,'Transfer Engine'!$C$2:$C$1199,0)),"",INDEX('Compliance Database'!$L$2:$L$1199,MATCH(853,'Transfer Engine'!$C$2:$C$1199,0)))</f>
        <v/>
      </c>
      <c r="M862" s="7" t="str">
        <f>IF(ISNA(MATCH(853,'Transfer Engine'!$C$2:$C$1199,0)),"",INDEX('Compliance Database'!$M$2:$M$1199,MATCH(853,'Transfer Engine'!$C$2:$C$1199,0)))</f>
        <v/>
      </c>
      <c r="N862" s="7" t="str">
        <f>IF(ISNA(MATCH(853,'Transfer Engine'!$C$2:$C$1199,0)),"",INDEX('Compliance Database'!$N$2:$N$1199,MATCH(853,'Transfer Engine'!$C$2:$C$1199,0)))</f>
        <v/>
      </c>
      <c r="O862" s="7" t="str">
        <f>IF(ISNA(MATCH(853,'Transfer Engine'!$C$2:$C$1199,0)),"",INDEX('Compliance Database'!$O$2:$O$1199,MATCH(853,'Transfer Engine'!$C$2:$C$1199,0)))</f>
        <v/>
      </c>
      <c r="P862" s="6" t="str">
        <f>IF(ISNA(MATCH(853,'Transfer Engine'!$C$2:$C$1199,0)),"",HYPERLINK("#Acts!A"&amp;INDEX('Compliance Database'!$P$2:$P$1199,MATCH(853,'Transfer Engine'!$C$2:$C$1199,0)),"Go to Act"))</f>
        <v/>
      </c>
    </row>
    <row r="863" spans="1:16" ht="172.95" customHeight="1" x14ac:dyDescent="0.3">
      <c r="A863" s="6" t="str">
        <f>IF(ISNA(MATCH(854,'Transfer Engine'!$C$2:$C$1199,0)),"",INDEX('Compliance Database'!$A$2:$A$1199,MATCH(854,'Transfer Engine'!$C$2:$C$1199,0)))</f>
        <v/>
      </c>
      <c r="B863" s="6" t="str">
        <f>IF(ISNA(MATCH(854,'Transfer Engine'!$C$2:$C$1199,0)),"",INDEX('Compliance Database'!$B$2:$B$1199,MATCH(854,'Transfer Engine'!$C$2:$C$1199,0)))</f>
        <v/>
      </c>
      <c r="C863" s="6" t="str">
        <f>IF(ISNA(MATCH(854,'Transfer Engine'!$C$2:$C$1199,0)),"",INDEX('Compliance Database'!$C$2:$C$1199,MATCH(854,'Transfer Engine'!$C$2:$C$1199,0)))</f>
        <v/>
      </c>
      <c r="D863" s="7" t="str">
        <f>IF(ISNA(MATCH(854,'Transfer Engine'!$C$2:$C$1199,0)),"",INDEX('Compliance Database'!$D$2:$D$1199,MATCH(854,'Transfer Engine'!$C$2:$C$1199,0)))</f>
        <v/>
      </c>
      <c r="E863" s="6" t="str">
        <f>IF(ISNA(MATCH(854,'Transfer Engine'!$C$2:$C$1199,0)),"",INDEX('Compliance Database'!$E$2:$E$1199,MATCH(854,'Transfer Engine'!$C$2:$C$1199,0)))</f>
        <v/>
      </c>
      <c r="F863" s="6" t="str">
        <f>IF(ISNA(MATCH(854,'Transfer Engine'!$C$2:$C$1199,0)),"",INDEX('Compliance Database'!$F$2:$F$1199,MATCH(854,'Transfer Engine'!$C$2:$C$1199,0)))</f>
        <v/>
      </c>
      <c r="G863" s="6" t="str">
        <f>IF(ISNA(MATCH(854,'Transfer Engine'!$C$2:$C$1199,0)),"",INDEX('Compliance Database'!$G$2:$G$1199,MATCH(854,'Transfer Engine'!$C$2:$C$1199,0)))</f>
        <v/>
      </c>
      <c r="H863" s="7" t="str">
        <f>IF(ISNA(MATCH(854,'Transfer Engine'!$C$2:$C$1199,0)),"",INDEX('Compliance Database'!$H$2:$H$1199,MATCH(854,'Transfer Engine'!$C$2:$C$1199,0)))</f>
        <v/>
      </c>
      <c r="I863" s="7" t="str">
        <f>IF(ISNA(MATCH(854,'Transfer Engine'!$C$2:$C$1199,0)),"",INDEX('Compliance Database'!$I$2:$I$1199,MATCH(854,'Transfer Engine'!$C$2:$C$1199,0)))</f>
        <v/>
      </c>
      <c r="J863" s="6" t="str">
        <f>IF(ISNA(MATCH(854,'Transfer Engine'!$C$2:$C$1199,0)),"",INDEX('Compliance Database'!$J$2:$J$1199,MATCH(854,'Transfer Engine'!$C$2:$C$1199,0)))</f>
        <v/>
      </c>
      <c r="K863" s="7" t="str">
        <f>IF(ISNA(MATCH(854,'Transfer Engine'!$C$2:$C$1199,0)),"",INDEX('Compliance Database'!$K$2:$K$1199,MATCH(854,'Transfer Engine'!$C$2:$C$1199,0)))</f>
        <v/>
      </c>
      <c r="L863" s="7" t="str">
        <f>IF(ISNA(MATCH(854,'Transfer Engine'!$C$2:$C$1199,0)),"",INDEX('Compliance Database'!$L$2:$L$1199,MATCH(854,'Transfer Engine'!$C$2:$C$1199,0)))</f>
        <v/>
      </c>
      <c r="M863" s="7" t="str">
        <f>IF(ISNA(MATCH(854,'Transfer Engine'!$C$2:$C$1199,0)),"",INDEX('Compliance Database'!$M$2:$M$1199,MATCH(854,'Transfer Engine'!$C$2:$C$1199,0)))</f>
        <v/>
      </c>
      <c r="N863" s="7" t="str">
        <f>IF(ISNA(MATCH(854,'Transfer Engine'!$C$2:$C$1199,0)),"",INDEX('Compliance Database'!$N$2:$N$1199,MATCH(854,'Transfer Engine'!$C$2:$C$1199,0)))</f>
        <v/>
      </c>
      <c r="O863" s="7" t="str">
        <f>IF(ISNA(MATCH(854,'Transfer Engine'!$C$2:$C$1199,0)),"",INDEX('Compliance Database'!$O$2:$O$1199,MATCH(854,'Transfer Engine'!$C$2:$C$1199,0)))</f>
        <v/>
      </c>
      <c r="P863" s="6" t="str">
        <f>IF(ISNA(MATCH(854,'Transfer Engine'!$C$2:$C$1199,0)),"",HYPERLINK("#Acts!A"&amp;INDEX('Compliance Database'!$P$2:$P$1199,MATCH(854,'Transfer Engine'!$C$2:$C$1199,0)),"Go to Act"))</f>
        <v/>
      </c>
    </row>
    <row r="864" spans="1:16" ht="172.95" customHeight="1" x14ac:dyDescent="0.3">
      <c r="A864" s="6" t="str">
        <f>IF(ISNA(MATCH(855,'Transfer Engine'!$C$2:$C$1199,0)),"",INDEX('Compliance Database'!$A$2:$A$1199,MATCH(855,'Transfer Engine'!$C$2:$C$1199,0)))</f>
        <v/>
      </c>
      <c r="B864" s="6" t="str">
        <f>IF(ISNA(MATCH(855,'Transfer Engine'!$C$2:$C$1199,0)),"",INDEX('Compliance Database'!$B$2:$B$1199,MATCH(855,'Transfer Engine'!$C$2:$C$1199,0)))</f>
        <v/>
      </c>
      <c r="C864" s="6" t="str">
        <f>IF(ISNA(MATCH(855,'Transfer Engine'!$C$2:$C$1199,0)),"",INDEX('Compliance Database'!$C$2:$C$1199,MATCH(855,'Transfer Engine'!$C$2:$C$1199,0)))</f>
        <v/>
      </c>
      <c r="D864" s="7" t="str">
        <f>IF(ISNA(MATCH(855,'Transfer Engine'!$C$2:$C$1199,0)),"",INDEX('Compliance Database'!$D$2:$D$1199,MATCH(855,'Transfer Engine'!$C$2:$C$1199,0)))</f>
        <v/>
      </c>
      <c r="E864" s="6" t="str">
        <f>IF(ISNA(MATCH(855,'Transfer Engine'!$C$2:$C$1199,0)),"",INDEX('Compliance Database'!$E$2:$E$1199,MATCH(855,'Transfer Engine'!$C$2:$C$1199,0)))</f>
        <v/>
      </c>
      <c r="F864" s="6" t="str">
        <f>IF(ISNA(MATCH(855,'Transfer Engine'!$C$2:$C$1199,0)),"",INDEX('Compliance Database'!$F$2:$F$1199,MATCH(855,'Transfer Engine'!$C$2:$C$1199,0)))</f>
        <v/>
      </c>
      <c r="G864" s="6" t="str">
        <f>IF(ISNA(MATCH(855,'Transfer Engine'!$C$2:$C$1199,0)),"",INDEX('Compliance Database'!$G$2:$G$1199,MATCH(855,'Transfer Engine'!$C$2:$C$1199,0)))</f>
        <v/>
      </c>
      <c r="H864" s="7" t="str">
        <f>IF(ISNA(MATCH(855,'Transfer Engine'!$C$2:$C$1199,0)),"",INDEX('Compliance Database'!$H$2:$H$1199,MATCH(855,'Transfer Engine'!$C$2:$C$1199,0)))</f>
        <v/>
      </c>
      <c r="I864" s="7" t="str">
        <f>IF(ISNA(MATCH(855,'Transfer Engine'!$C$2:$C$1199,0)),"",INDEX('Compliance Database'!$I$2:$I$1199,MATCH(855,'Transfer Engine'!$C$2:$C$1199,0)))</f>
        <v/>
      </c>
      <c r="J864" s="6" t="str">
        <f>IF(ISNA(MATCH(855,'Transfer Engine'!$C$2:$C$1199,0)),"",INDEX('Compliance Database'!$J$2:$J$1199,MATCH(855,'Transfer Engine'!$C$2:$C$1199,0)))</f>
        <v/>
      </c>
      <c r="K864" s="7" t="str">
        <f>IF(ISNA(MATCH(855,'Transfer Engine'!$C$2:$C$1199,0)),"",INDEX('Compliance Database'!$K$2:$K$1199,MATCH(855,'Transfer Engine'!$C$2:$C$1199,0)))</f>
        <v/>
      </c>
      <c r="L864" s="7" t="str">
        <f>IF(ISNA(MATCH(855,'Transfer Engine'!$C$2:$C$1199,0)),"",INDEX('Compliance Database'!$L$2:$L$1199,MATCH(855,'Transfer Engine'!$C$2:$C$1199,0)))</f>
        <v/>
      </c>
      <c r="M864" s="7" t="str">
        <f>IF(ISNA(MATCH(855,'Transfer Engine'!$C$2:$C$1199,0)),"",INDEX('Compliance Database'!$M$2:$M$1199,MATCH(855,'Transfer Engine'!$C$2:$C$1199,0)))</f>
        <v/>
      </c>
      <c r="N864" s="7" t="str">
        <f>IF(ISNA(MATCH(855,'Transfer Engine'!$C$2:$C$1199,0)),"",INDEX('Compliance Database'!$N$2:$N$1199,MATCH(855,'Transfer Engine'!$C$2:$C$1199,0)))</f>
        <v/>
      </c>
      <c r="O864" s="7" t="str">
        <f>IF(ISNA(MATCH(855,'Transfer Engine'!$C$2:$C$1199,0)),"",INDEX('Compliance Database'!$O$2:$O$1199,MATCH(855,'Transfer Engine'!$C$2:$C$1199,0)))</f>
        <v/>
      </c>
      <c r="P864" s="6" t="str">
        <f>IF(ISNA(MATCH(855,'Transfer Engine'!$C$2:$C$1199,0)),"",HYPERLINK("#Acts!A"&amp;INDEX('Compliance Database'!$P$2:$P$1199,MATCH(855,'Transfer Engine'!$C$2:$C$1199,0)),"Go to Act"))</f>
        <v/>
      </c>
    </row>
    <row r="865" spans="1:16" ht="172.95" customHeight="1" x14ac:dyDescent="0.3">
      <c r="A865" s="6" t="str">
        <f>IF(ISNA(MATCH(856,'Transfer Engine'!$C$2:$C$1199,0)),"",INDEX('Compliance Database'!$A$2:$A$1199,MATCH(856,'Transfer Engine'!$C$2:$C$1199,0)))</f>
        <v/>
      </c>
      <c r="B865" s="6" t="str">
        <f>IF(ISNA(MATCH(856,'Transfer Engine'!$C$2:$C$1199,0)),"",INDEX('Compliance Database'!$B$2:$B$1199,MATCH(856,'Transfer Engine'!$C$2:$C$1199,0)))</f>
        <v/>
      </c>
      <c r="C865" s="6" t="str">
        <f>IF(ISNA(MATCH(856,'Transfer Engine'!$C$2:$C$1199,0)),"",INDEX('Compliance Database'!$C$2:$C$1199,MATCH(856,'Transfer Engine'!$C$2:$C$1199,0)))</f>
        <v/>
      </c>
      <c r="D865" s="7" t="str">
        <f>IF(ISNA(MATCH(856,'Transfer Engine'!$C$2:$C$1199,0)),"",INDEX('Compliance Database'!$D$2:$D$1199,MATCH(856,'Transfer Engine'!$C$2:$C$1199,0)))</f>
        <v/>
      </c>
      <c r="E865" s="6" t="str">
        <f>IF(ISNA(MATCH(856,'Transfer Engine'!$C$2:$C$1199,0)),"",INDEX('Compliance Database'!$E$2:$E$1199,MATCH(856,'Transfer Engine'!$C$2:$C$1199,0)))</f>
        <v/>
      </c>
      <c r="F865" s="6" t="str">
        <f>IF(ISNA(MATCH(856,'Transfer Engine'!$C$2:$C$1199,0)),"",INDEX('Compliance Database'!$F$2:$F$1199,MATCH(856,'Transfer Engine'!$C$2:$C$1199,0)))</f>
        <v/>
      </c>
      <c r="G865" s="6" t="str">
        <f>IF(ISNA(MATCH(856,'Transfer Engine'!$C$2:$C$1199,0)),"",INDEX('Compliance Database'!$G$2:$G$1199,MATCH(856,'Transfer Engine'!$C$2:$C$1199,0)))</f>
        <v/>
      </c>
      <c r="H865" s="7" t="str">
        <f>IF(ISNA(MATCH(856,'Transfer Engine'!$C$2:$C$1199,0)),"",INDEX('Compliance Database'!$H$2:$H$1199,MATCH(856,'Transfer Engine'!$C$2:$C$1199,0)))</f>
        <v/>
      </c>
      <c r="I865" s="7" t="str">
        <f>IF(ISNA(MATCH(856,'Transfer Engine'!$C$2:$C$1199,0)),"",INDEX('Compliance Database'!$I$2:$I$1199,MATCH(856,'Transfer Engine'!$C$2:$C$1199,0)))</f>
        <v/>
      </c>
      <c r="J865" s="6" t="str">
        <f>IF(ISNA(MATCH(856,'Transfer Engine'!$C$2:$C$1199,0)),"",INDEX('Compliance Database'!$J$2:$J$1199,MATCH(856,'Transfer Engine'!$C$2:$C$1199,0)))</f>
        <v/>
      </c>
      <c r="K865" s="7" t="str">
        <f>IF(ISNA(MATCH(856,'Transfer Engine'!$C$2:$C$1199,0)),"",INDEX('Compliance Database'!$K$2:$K$1199,MATCH(856,'Transfer Engine'!$C$2:$C$1199,0)))</f>
        <v/>
      </c>
      <c r="L865" s="7" t="str">
        <f>IF(ISNA(MATCH(856,'Transfer Engine'!$C$2:$C$1199,0)),"",INDEX('Compliance Database'!$L$2:$L$1199,MATCH(856,'Transfer Engine'!$C$2:$C$1199,0)))</f>
        <v/>
      </c>
      <c r="M865" s="7" t="str">
        <f>IF(ISNA(MATCH(856,'Transfer Engine'!$C$2:$C$1199,0)),"",INDEX('Compliance Database'!$M$2:$M$1199,MATCH(856,'Transfer Engine'!$C$2:$C$1199,0)))</f>
        <v/>
      </c>
      <c r="N865" s="7" t="str">
        <f>IF(ISNA(MATCH(856,'Transfer Engine'!$C$2:$C$1199,0)),"",INDEX('Compliance Database'!$N$2:$N$1199,MATCH(856,'Transfer Engine'!$C$2:$C$1199,0)))</f>
        <v/>
      </c>
      <c r="O865" s="7" t="str">
        <f>IF(ISNA(MATCH(856,'Transfer Engine'!$C$2:$C$1199,0)),"",INDEX('Compliance Database'!$O$2:$O$1199,MATCH(856,'Transfer Engine'!$C$2:$C$1199,0)))</f>
        <v/>
      </c>
      <c r="P865" s="6" t="str">
        <f>IF(ISNA(MATCH(856,'Transfer Engine'!$C$2:$C$1199,0)),"",HYPERLINK("#Acts!A"&amp;INDEX('Compliance Database'!$P$2:$P$1199,MATCH(856,'Transfer Engine'!$C$2:$C$1199,0)),"Go to Act"))</f>
        <v/>
      </c>
    </row>
    <row r="866" spans="1:16" ht="172.95" customHeight="1" x14ac:dyDescent="0.3">
      <c r="A866" s="6" t="str">
        <f>IF(ISNA(MATCH(857,'Transfer Engine'!$C$2:$C$1199,0)),"",INDEX('Compliance Database'!$A$2:$A$1199,MATCH(857,'Transfer Engine'!$C$2:$C$1199,0)))</f>
        <v/>
      </c>
      <c r="B866" s="6" t="str">
        <f>IF(ISNA(MATCH(857,'Transfer Engine'!$C$2:$C$1199,0)),"",INDEX('Compliance Database'!$B$2:$B$1199,MATCH(857,'Transfer Engine'!$C$2:$C$1199,0)))</f>
        <v/>
      </c>
      <c r="C866" s="6" t="str">
        <f>IF(ISNA(MATCH(857,'Transfer Engine'!$C$2:$C$1199,0)),"",INDEX('Compliance Database'!$C$2:$C$1199,MATCH(857,'Transfer Engine'!$C$2:$C$1199,0)))</f>
        <v/>
      </c>
      <c r="D866" s="7" t="str">
        <f>IF(ISNA(MATCH(857,'Transfer Engine'!$C$2:$C$1199,0)),"",INDEX('Compliance Database'!$D$2:$D$1199,MATCH(857,'Transfer Engine'!$C$2:$C$1199,0)))</f>
        <v/>
      </c>
      <c r="E866" s="6" t="str">
        <f>IF(ISNA(MATCH(857,'Transfer Engine'!$C$2:$C$1199,0)),"",INDEX('Compliance Database'!$E$2:$E$1199,MATCH(857,'Transfer Engine'!$C$2:$C$1199,0)))</f>
        <v/>
      </c>
      <c r="F866" s="6" t="str">
        <f>IF(ISNA(MATCH(857,'Transfer Engine'!$C$2:$C$1199,0)),"",INDEX('Compliance Database'!$F$2:$F$1199,MATCH(857,'Transfer Engine'!$C$2:$C$1199,0)))</f>
        <v/>
      </c>
      <c r="G866" s="6" t="str">
        <f>IF(ISNA(MATCH(857,'Transfer Engine'!$C$2:$C$1199,0)),"",INDEX('Compliance Database'!$G$2:$G$1199,MATCH(857,'Transfer Engine'!$C$2:$C$1199,0)))</f>
        <v/>
      </c>
      <c r="H866" s="7" t="str">
        <f>IF(ISNA(MATCH(857,'Transfer Engine'!$C$2:$C$1199,0)),"",INDEX('Compliance Database'!$H$2:$H$1199,MATCH(857,'Transfer Engine'!$C$2:$C$1199,0)))</f>
        <v/>
      </c>
      <c r="I866" s="7" t="str">
        <f>IF(ISNA(MATCH(857,'Transfer Engine'!$C$2:$C$1199,0)),"",INDEX('Compliance Database'!$I$2:$I$1199,MATCH(857,'Transfer Engine'!$C$2:$C$1199,0)))</f>
        <v/>
      </c>
      <c r="J866" s="6" t="str">
        <f>IF(ISNA(MATCH(857,'Transfer Engine'!$C$2:$C$1199,0)),"",INDEX('Compliance Database'!$J$2:$J$1199,MATCH(857,'Transfer Engine'!$C$2:$C$1199,0)))</f>
        <v/>
      </c>
      <c r="K866" s="7" t="str">
        <f>IF(ISNA(MATCH(857,'Transfer Engine'!$C$2:$C$1199,0)),"",INDEX('Compliance Database'!$K$2:$K$1199,MATCH(857,'Transfer Engine'!$C$2:$C$1199,0)))</f>
        <v/>
      </c>
      <c r="L866" s="7" t="str">
        <f>IF(ISNA(MATCH(857,'Transfer Engine'!$C$2:$C$1199,0)),"",INDEX('Compliance Database'!$L$2:$L$1199,MATCH(857,'Transfer Engine'!$C$2:$C$1199,0)))</f>
        <v/>
      </c>
      <c r="M866" s="7" t="str">
        <f>IF(ISNA(MATCH(857,'Transfer Engine'!$C$2:$C$1199,0)),"",INDEX('Compliance Database'!$M$2:$M$1199,MATCH(857,'Transfer Engine'!$C$2:$C$1199,0)))</f>
        <v/>
      </c>
      <c r="N866" s="7" t="str">
        <f>IF(ISNA(MATCH(857,'Transfer Engine'!$C$2:$C$1199,0)),"",INDEX('Compliance Database'!$N$2:$N$1199,MATCH(857,'Transfer Engine'!$C$2:$C$1199,0)))</f>
        <v/>
      </c>
      <c r="O866" s="7" t="str">
        <f>IF(ISNA(MATCH(857,'Transfer Engine'!$C$2:$C$1199,0)),"",INDEX('Compliance Database'!$O$2:$O$1199,MATCH(857,'Transfer Engine'!$C$2:$C$1199,0)))</f>
        <v/>
      </c>
      <c r="P866" s="6" t="str">
        <f>IF(ISNA(MATCH(857,'Transfer Engine'!$C$2:$C$1199,0)),"",HYPERLINK("#Acts!A"&amp;INDEX('Compliance Database'!$P$2:$P$1199,MATCH(857,'Transfer Engine'!$C$2:$C$1199,0)),"Go to Act"))</f>
        <v/>
      </c>
    </row>
    <row r="867" spans="1:16" ht="172.95" customHeight="1" x14ac:dyDescent="0.3">
      <c r="A867" s="6" t="str">
        <f>IF(ISNA(MATCH(858,'Transfer Engine'!$C$2:$C$1199,0)),"",INDEX('Compliance Database'!$A$2:$A$1199,MATCH(858,'Transfer Engine'!$C$2:$C$1199,0)))</f>
        <v/>
      </c>
      <c r="B867" s="6" t="str">
        <f>IF(ISNA(MATCH(858,'Transfer Engine'!$C$2:$C$1199,0)),"",INDEX('Compliance Database'!$B$2:$B$1199,MATCH(858,'Transfer Engine'!$C$2:$C$1199,0)))</f>
        <v/>
      </c>
      <c r="C867" s="6" t="str">
        <f>IF(ISNA(MATCH(858,'Transfer Engine'!$C$2:$C$1199,0)),"",INDEX('Compliance Database'!$C$2:$C$1199,MATCH(858,'Transfer Engine'!$C$2:$C$1199,0)))</f>
        <v/>
      </c>
      <c r="D867" s="7" t="str">
        <f>IF(ISNA(MATCH(858,'Transfer Engine'!$C$2:$C$1199,0)),"",INDEX('Compliance Database'!$D$2:$D$1199,MATCH(858,'Transfer Engine'!$C$2:$C$1199,0)))</f>
        <v/>
      </c>
      <c r="E867" s="6" t="str">
        <f>IF(ISNA(MATCH(858,'Transfer Engine'!$C$2:$C$1199,0)),"",INDEX('Compliance Database'!$E$2:$E$1199,MATCH(858,'Transfer Engine'!$C$2:$C$1199,0)))</f>
        <v/>
      </c>
      <c r="F867" s="6" t="str">
        <f>IF(ISNA(MATCH(858,'Transfer Engine'!$C$2:$C$1199,0)),"",INDEX('Compliance Database'!$F$2:$F$1199,MATCH(858,'Transfer Engine'!$C$2:$C$1199,0)))</f>
        <v/>
      </c>
      <c r="G867" s="6" t="str">
        <f>IF(ISNA(MATCH(858,'Transfer Engine'!$C$2:$C$1199,0)),"",INDEX('Compliance Database'!$G$2:$G$1199,MATCH(858,'Transfer Engine'!$C$2:$C$1199,0)))</f>
        <v/>
      </c>
      <c r="H867" s="7" t="str">
        <f>IF(ISNA(MATCH(858,'Transfer Engine'!$C$2:$C$1199,0)),"",INDEX('Compliance Database'!$H$2:$H$1199,MATCH(858,'Transfer Engine'!$C$2:$C$1199,0)))</f>
        <v/>
      </c>
      <c r="I867" s="7" t="str">
        <f>IF(ISNA(MATCH(858,'Transfer Engine'!$C$2:$C$1199,0)),"",INDEX('Compliance Database'!$I$2:$I$1199,MATCH(858,'Transfer Engine'!$C$2:$C$1199,0)))</f>
        <v/>
      </c>
      <c r="J867" s="6" t="str">
        <f>IF(ISNA(MATCH(858,'Transfer Engine'!$C$2:$C$1199,0)),"",INDEX('Compliance Database'!$J$2:$J$1199,MATCH(858,'Transfer Engine'!$C$2:$C$1199,0)))</f>
        <v/>
      </c>
      <c r="K867" s="7" t="str">
        <f>IF(ISNA(MATCH(858,'Transfer Engine'!$C$2:$C$1199,0)),"",INDEX('Compliance Database'!$K$2:$K$1199,MATCH(858,'Transfer Engine'!$C$2:$C$1199,0)))</f>
        <v/>
      </c>
      <c r="L867" s="7" t="str">
        <f>IF(ISNA(MATCH(858,'Transfer Engine'!$C$2:$C$1199,0)),"",INDEX('Compliance Database'!$L$2:$L$1199,MATCH(858,'Transfer Engine'!$C$2:$C$1199,0)))</f>
        <v/>
      </c>
      <c r="M867" s="7" t="str">
        <f>IF(ISNA(MATCH(858,'Transfer Engine'!$C$2:$C$1199,0)),"",INDEX('Compliance Database'!$M$2:$M$1199,MATCH(858,'Transfer Engine'!$C$2:$C$1199,0)))</f>
        <v/>
      </c>
      <c r="N867" s="7" t="str">
        <f>IF(ISNA(MATCH(858,'Transfer Engine'!$C$2:$C$1199,0)),"",INDEX('Compliance Database'!$N$2:$N$1199,MATCH(858,'Transfer Engine'!$C$2:$C$1199,0)))</f>
        <v/>
      </c>
      <c r="O867" s="7" t="str">
        <f>IF(ISNA(MATCH(858,'Transfer Engine'!$C$2:$C$1199,0)),"",INDEX('Compliance Database'!$O$2:$O$1199,MATCH(858,'Transfer Engine'!$C$2:$C$1199,0)))</f>
        <v/>
      </c>
      <c r="P867" s="6" t="str">
        <f>IF(ISNA(MATCH(858,'Transfer Engine'!$C$2:$C$1199,0)),"",HYPERLINK("#Acts!A"&amp;INDEX('Compliance Database'!$P$2:$P$1199,MATCH(858,'Transfer Engine'!$C$2:$C$1199,0)),"Go to Act"))</f>
        <v/>
      </c>
    </row>
    <row r="868" spans="1:16" ht="172.95" customHeight="1" x14ac:dyDescent="0.3">
      <c r="A868" s="6" t="str">
        <f>IF(ISNA(MATCH(859,'Transfer Engine'!$C$2:$C$1199,0)),"",INDEX('Compliance Database'!$A$2:$A$1199,MATCH(859,'Transfer Engine'!$C$2:$C$1199,0)))</f>
        <v/>
      </c>
      <c r="B868" s="6" t="str">
        <f>IF(ISNA(MATCH(859,'Transfer Engine'!$C$2:$C$1199,0)),"",INDEX('Compliance Database'!$B$2:$B$1199,MATCH(859,'Transfer Engine'!$C$2:$C$1199,0)))</f>
        <v/>
      </c>
      <c r="C868" s="6" t="str">
        <f>IF(ISNA(MATCH(859,'Transfer Engine'!$C$2:$C$1199,0)),"",INDEX('Compliance Database'!$C$2:$C$1199,MATCH(859,'Transfer Engine'!$C$2:$C$1199,0)))</f>
        <v/>
      </c>
      <c r="D868" s="7" t="str">
        <f>IF(ISNA(MATCH(859,'Transfer Engine'!$C$2:$C$1199,0)),"",INDEX('Compliance Database'!$D$2:$D$1199,MATCH(859,'Transfer Engine'!$C$2:$C$1199,0)))</f>
        <v/>
      </c>
      <c r="E868" s="6" t="str">
        <f>IF(ISNA(MATCH(859,'Transfer Engine'!$C$2:$C$1199,0)),"",INDEX('Compliance Database'!$E$2:$E$1199,MATCH(859,'Transfer Engine'!$C$2:$C$1199,0)))</f>
        <v/>
      </c>
      <c r="F868" s="6" t="str">
        <f>IF(ISNA(MATCH(859,'Transfer Engine'!$C$2:$C$1199,0)),"",INDEX('Compliance Database'!$F$2:$F$1199,MATCH(859,'Transfer Engine'!$C$2:$C$1199,0)))</f>
        <v/>
      </c>
      <c r="G868" s="6" t="str">
        <f>IF(ISNA(MATCH(859,'Transfer Engine'!$C$2:$C$1199,0)),"",INDEX('Compliance Database'!$G$2:$G$1199,MATCH(859,'Transfer Engine'!$C$2:$C$1199,0)))</f>
        <v/>
      </c>
      <c r="H868" s="7" t="str">
        <f>IF(ISNA(MATCH(859,'Transfer Engine'!$C$2:$C$1199,0)),"",INDEX('Compliance Database'!$H$2:$H$1199,MATCH(859,'Transfer Engine'!$C$2:$C$1199,0)))</f>
        <v/>
      </c>
      <c r="I868" s="7" t="str">
        <f>IF(ISNA(MATCH(859,'Transfer Engine'!$C$2:$C$1199,0)),"",INDEX('Compliance Database'!$I$2:$I$1199,MATCH(859,'Transfer Engine'!$C$2:$C$1199,0)))</f>
        <v/>
      </c>
      <c r="J868" s="6" t="str">
        <f>IF(ISNA(MATCH(859,'Transfer Engine'!$C$2:$C$1199,0)),"",INDEX('Compliance Database'!$J$2:$J$1199,MATCH(859,'Transfer Engine'!$C$2:$C$1199,0)))</f>
        <v/>
      </c>
      <c r="K868" s="7" t="str">
        <f>IF(ISNA(MATCH(859,'Transfer Engine'!$C$2:$C$1199,0)),"",INDEX('Compliance Database'!$K$2:$K$1199,MATCH(859,'Transfer Engine'!$C$2:$C$1199,0)))</f>
        <v/>
      </c>
      <c r="L868" s="7" t="str">
        <f>IF(ISNA(MATCH(859,'Transfer Engine'!$C$2:$C$1199,0)),"",INDEX('Compliance Database'!$L$2:$L$1199,MATCH(859,'Transfer Engine'!$C$2:$C$1199,0)))</f>
        <v/>
      </c>
      <c r="M868" s="7" t="str">
        <f>IF(ISNA(MATCH(859,'Transfer Engine'!$C$2:$C$1199,0)),"",INDEX('Compliance Database'!$M$2:$M$1199,MATCH(859,'Transfer Engine'!$C$2:$C$1199,0)))</f>
        <v/>
      </c>
      <c r="N868" s="7" t="str">
        <f>IF(ISNA(MATCH(859,'Transfer Engine'!$C$2:$C$1199,0)),"",INDEX('Compliance Database'!$N$2:$N$1199,MATCH(859,'Transfer Engine'!$C$2:$C$1199,0)))</f>
        <v/>
      </c>
      <c r="O868" s="7" t="str">
        <f>IF(ISNA(MATCH(859,'Transfer Engine'!$C$2:$C$1199,0)),"",INDEX('Compliance Database'!$O$2:$O$1199,MATCH(859,'Transfer Engine'!$C$2:$C$1199,0)))</f>
        <v/>
      </c>
      <c r="P868" s="6" t="str">
        <f>IF(ISNA(MATCH(859,'Transfer Engine'!$C$2:$C$1199,0)),"",HYPERLINK("#Acts!A"&amp;INDEX('Compliance Database'!$P$2:$P$1199,MATCH(859,'Transfer Engine'!$C$2:$C$1199,0)),"Go to Act"))</f>
        <v/>
      </c>
    </row>
    <row r="869" spans="1:16" ht="172.95" customHeight="1" x14ac:dyDescent="0.3">
      <c r="A869" s="6" t="str">
        <f>IF(ISNA(MATCH(860,'Transfer Engine'!$C$2:$C$1199,0)),"",INDEX('Compliance Database'!$A$2:$A$1199,MATCH(860,'Transfer Engine'!$C$2:$C$1199,0)))</f>
        <v/>
      </c>
      <c r="B869" s="6" t="str">
        <f>IF(ISNA(MATCH(860,'Transfer Engine'!$C$2:$C$1199,0)),"",INDEX('Compliance Database'!$B$2:$B$1199,MATCH(860,'Transfer Engine'!$C$2:$C$1199,0)))</f>
        <v/>
      </c>
      <c r="C869" s="6" t="str">
        <f>IF(ISNA(MATCH(860,'Transfer Engine'!$C$2:$C$1199,0)),"",INDEX('Compliance Database'!$C$2:$C$1199,MATCH(860,'Transfer Engine'!$C$2:$C$1199,0)))</f>
        <v/>
      </c>
      <c r="D869" s="7" t="str">
        <f>IF(ISNA(MATCH(860,'Transfer Engine'!$C$2:$C$1199,0)),"",INDEX('Compliance Database'!$D$2:$D$1199,MATCH(860,'Transfer Engine'!$C$2:$C$1199,0)))</f>
        <v/>
      </c>
      <c r="E869" s="6" t="str">
        <f>IF(ISNA(MATCH(860,'Transfer Engine'!$C$2:$C$1199,0)),"",INDEX('Compliance Database'!$E$2:$E$1199,MATCH(860,'Transfer Engine'!$C$2:$C$1199,0)))</f>
        <v/>
      </c>
      <c r="F869" s="6" t="str">
        <f>IF(ISNA(MATCH(860,'Transfer Engine'!$C$2:$C$1199,0)),"",INDEX('Compliance Database'!$F$2:$F$1199,MATCH(860,'Transfer Engine'!$C$2:$C$1199,0)))</f>
        <v/>
      </c>
      <c r="G869" s="6" t="str">
        <f>IF(ISNA(MATCH(860,'Transfer Engine'!$C$2:$C$1199,0)),"",INDEX('Compliance Database'!$G$2:$G$1199,MATCH(860,'Transfer Engine'!$C$2:$C$1199,0)))</f>
        <v/>
      </c>
      <c r="H869" s="7" t="str">
        <f>IF(ISNA(MATCH(860,'Transfer Engine'!$C$2:$C$1199,0)),"",INDEX('Compliance Database'!$H$2:$H$1199,MATCH(860,'Transfer Engine'!$C$2:$C$1199,0)))</f>
        <v/>
      </c>
      <c r="I869" s="7" t="str">
        <f>IF(ISNA(MATCH(860,'Transfer Engine'!$C$2:$C$1199,0)),"",INDEX('Compliance Database'!$I$2:$I$1199,MATCH(860,'Transfer Engine'!$C$2:$C$1199,0)))</f>
        <v/>
      </c>
      <c r="J869" s="6" t="str">
        <f>IF(ISNA(MATCH(860,'Transfer Engine'!$C$2:$C$1199,0)),"",INDEX('Compliance Database'!$J$2:$J$1199,MATCH(860,'Transfer Engine'!$C$2:$C$1199,0)))</f>
        <v/>
      </c>
      <c r="K869" s="7" t="str">
        <f>IF(ISNA(MATCH(860,'Transfer Engine'!$C$2:$C$1199,0)),"",INDEX('Compliance Database'!$K$2:$K$1199,MATCH(860,'Transfer Engine'!$C$2:$C$1199,0)))</f>
        <v/>
      </c>
      <c r="L869" s="7" t="str">
        <f>IF(ISNA(MATCH(860,'Transfer Engine'!$C$2:$C$1199,0)),"",INDEX('Compliance Database'!$L$2:$L$1199,MATCH(860,'Transfer Engine'!$C$2:$C$1199,0)))</f>
        <v/>
      </c>
      <c r="M869" s="7" t="str">
        <f>IF(ISNA(MATCH(860,'Transfer Engine'!$C$2:$C$1199,0)),"",INDEX('Compliance Database'!$M$2:$M$1199,MATCH(860,'Transfer Engine'!$C$2:$C$1199,0)))</f>
        <v/>
      </c>
      <c r="N869" s="7" t="str">
        <f>IF(ISNA(MATCH(860,'Transfer Engine'!$C$2:$C$1199,0)),"",INDEX('Compliance Database'!$N$2:$N$1199,MATCH(860,'Transfer Engine'!$C$2:$C$1199,0)))</f>
        <v/>
      </c>
      <c r="O869" s="7" t="str">
        <f>IF(ISNA(MATCH(860,'Transfer Engine'!$C$2:$C$1199,0)),"",INDEX('Compliance Database'!$O$2:$O$1199,MATCH(860,'Transfer Engine'!$C$2:$C$1199,0)))</f>
        <v/>
      </c>
      <c r="P869" s="6" t="str">
        <f>IF(ISNA(MATCH(860,'Transfer Engine'!$C$2:$C$1199,0)),"",HYPERLINK("#Acts!A"&amp;INDEX('Compliance Database'!$P$2:$P$1199,MATCH(860,'Transfer Engine'!$C$2:$C$1199,0)),"Go to Act"))</f>
        <v/>
      </c>
    </row>
    <row r="870" spans="1:16" ht="172.95" customHeight="1" x14ac:dyDescent="0.3">
      <c r="A870" s="6" t="str">
        <f>IF(ISNA(MATCH(861,'Transfer Engine'!$C$2:$C$1199,0)),"",INDEX('Compliance Database'!$A$2:$A$1199,MATCH(861,'Transfer Engine'!$C$2:$C$1199,0)))</f>
        <v/>
      </c>
      <c r="B870" s="6" t="str">
        <f>IF(ISNA(MATCH(861,'Transfer Engine'!$C$2:$C$1199,0)),"",INDEX('Compliance Database'!$B$2:$B$1199,MATCH(861,'Transfer Engine'!$C$2:$C$1199,0)))</f>
        <v/>
      </c>
      <c r="C870" s="6" t="str">
        <f>IF(ISNA(MATCH(861,'Transfer Engine'!$C$2:$C$1199,0)),"",INDEX('Compliance Database'!$C$2:$C$1199,MATCH(861,'Transfer Engine'!$C$2:$C$1199,0)))</f>
        <v/>
      </c>
      <c r="D870" s="7" t="str">
        <f>IF(ISNA(MATCH(861,'Transfer Engine'!$C$2:$C$1199,0)),"",INDEX('Compliance Database'!$D$2:$D$1199,MATCH(861,'Transfer Engine'!$C$2:$C$1199,0)))</f>
        <v/>
      </c>
      <c r="E870" s="6" t="str">
        <f>IF(ISNA(MATCH(861,'Transfer Engine'!$C$2:$C$1199,0)),"",INDEX('Compliance Database'!$E$2:$E$1199,MATCH(861,'Transfer Engine'!$C$2:$C$1199,0)))</f>
        <v/>
      </c>
      <c r="F870" s="6" t="str">
        <f>IF(ISNA(MATCH(861,'Transfer Engine'!$C$2:$C$1199,0)),"",INDEX('Compliance Database'!$F$2:$F$1199,MATCH(861,'Transfer Engine'!$C$2:$C$1199,0)))</f>
        <v/>
      </c>
      <c r="G870" s="6" t="str">
        <f>IF(ISNA(MATCH(861,'Transfer Engine'!$C$2:$C$1199,0)),"",INDEX('Compliance Database'!$G$2:$G$1199,MATCH(861,'Transfer Engine'!$C$2:$C$1199,0)))</f>
        <v/>
      </c>
      <c r="H870" s="7" t="str">
        <f>IF(ISNA(MATCH(861,'Transfer Engine'!$C$2:$C$1199,0)),"",INDEX('Compliance Database'!$H$2:$H$1199,MATCH(861,'Transfer Engine'!$C$2:$C$1199,0)))</f>
        <v/>
      </c>
      <c r="I870" s="7" t="str">
        <f>IF(ISNA(MATCH(861,'Transfer Engine'!$C$2:$C$1199,0)),"",INDEX('Compliance Database'!$I$2:$I$1199,MATCH(861,'Transfer Engine'!$C$2:$C$1199,0)))</f>
        <v/>
      </c>
      <c r="J870" s="6" t="str">
        <f>IF(ISNA(MATCH(861,'Transfer Engine'!$C$2:$C$1199,0)),"",INDEX('Compliance Database'!$J$2:$J$1199,MATCH(861,'Transfer Engine'!$C$2:$C$1199,0)))</f>
        <v/>
      </c>
      <c r="K870" s="7" t="str">
        <f>IF(ISNA(MATCH(861,'Transfer Engine'!$C$2:$C$1199,0)),"",INDEX('Compliance Database'!$K$2:$K$1199,MATCH(861,'Transfer Engine'!$C$2:$C$1199,0)))</f>
        <v/>
      </c>
      <c r="L870" s="7" t="str">
        <f>IF(ISNA(MATCH(861,'Transfer Engine'!$C$2:$C$1199,0)),"",INDEX('Compliance Database'!$L$2:$L$1199,MATCH(861,'Transfer Engine'!$C$2:$C$1199,0)))</f>
        <v/>
      </c>
      <c r="M870" s="7" t="str">
        <f>IF(ISNA(MATCH(861,'Transfer Engine'!$C$2:$C$1199,0)),"",INDEX('Compliance Database'!$M$2:$M$1199,MATCH(861,'Transfer Engine'!$C$2:$C$1199,0)))</f>
        <v/>
      </c>
      <c r="N870" s="7" t="str">
        <f>IF(ISNA(MATCH(861,'Transfer Engine'!$C$2:$C$1199,0)),"",INDEX('Compliance Database'!$N$2:$N$1199,MATCH(861,'Transfer Engine'!$C$2:$C$1199,0)))</f>
        <v/>
      </c>
      <c r="O870" s="7" t="str">
        <f>IF(ISNA(MATCH(861,'Transfer Engine'!$C$2:$C$1199,0)),"",INDEX('Compliance Database'!$O$2:$O$1199,MATCH(861,'Transfer Engine'!$C$2:$C$1199,0)))</f>
        <v/>
      </c>
      <c r="P870" s="6" t="str">
        <f>IF(ISNA(MATCH(861,'Transfer Engine'!$C$2:$C$1199,0)),"",HYPERLINK("#Acts!A"&amp;INDEX('Compliance Database'!$P$2:$P$1199,MATCH(861,'Transfer Engine'!$C$2:$C$1199,0)),"Go to Act"))</f>
        <v/>
      </c>
    </row>
    <row r="871" spans="1:16" ht="172.95" customHeight="1" x14ac:dyDescent="0.3">
      <c r="A871" s="6" t="str">
        <f>IF(ISNA(MATCH(862,'Transfer Engine'!$C$2:$C$1199,0)),"",INDEX('Compliance Database'!$A$2:$A$1199,MATCH(862,'Transfer Engine'!$C$2:$C$1199,0)))</f>
        <v/>
      </c>
      <c r="B871" s="6" t="str">
        <f>IF(ISNA(MATCH(862,'Transfer Engine'!$C$2:$C$1199,0)),"",INDEX('Compliance Database'!$B$2:$B$1199,MATCH(862,'Transfer Engine'!$C$2:$C$1199,0)))</f>
        <v/>
      </c>
      <c r="C871" s="6" t="str">
        <f>IF(ISNA(MATCH(862,'Transfer Engine'!$C$2:$C$1199,0)),"",INDEX('Compliance Database'!$C$2:$C$1199,MATCH(862,'Transfer Engine'!$C$2:$C$1199,0)))</f>
        <v/>
      </c>
      <c r="D871" s="7" t="str">
        <f>IF(ISNA(MATCH(862,'Transfer Engine'!$C$2:$C$1199,0)),"",INDEX('Compliance Database'!$D$2:$D$1199,MATCH(862,'Transfer Engine'!$C$2:$C$1199,0)))</f>
        <v/>
      </c>
      <c r="E871" s="6" t="str">
        <f>IF(ISNA(MATCH(862,'Transfer Engine'!$C$2:$C$1199,0)),"",INDEX('Compliance Database'!$E$2:$E$1199,MATCH(862,'Transfer Engine'!$C$2:$C$1199,0)))</f>
        <v/>
      </c>
      <c r="F871" s="6" t="str">
        <f>IF(ISNA(MATCH(862,'Transfer Engine'!$C$2:$C$1199,0)),"",INDEX('Compliance Database'!$F$2:$F$1199,MATCH(862,'Transfer Engine'!$C$2:$C$1199,0)))</f>
        <v/>
      </c>
      <c r="G871" s="6" t="str">
        <f>IF(ISNA(MATCH(862,'Transfer Engine'!$C$2:$C$1199,0)),"",INDEX('Compliance Database'!$G$2:$G$1199,MATCH(862,'Transfer Engine'!$C$2:$C$1199,0)))</f>
        <v/>
      </c>
      <c r="H871" s="7" t="str">
        <f>IF(ISNA(MATCH(862,'Transfer Engine'!$C$2:$C$1199,0)),"",INDEX('Compliance Database'!$H$2:$H$1199,MATCH(862,'Transfer Engine'!$C$2:$C$1199,0)))</f>
        <v/>
      </c>
      <c r="I871" s="7" t="str">
        <f>IF(ISNA(MATCH(862,'Transfer Engine'!$C$2:$C$1199,0)),"",INDEX('Compliance Database'!$I$2:$I$1199,MATCH(862,'Transfer Engine'!$C$2:$C$1199,0)))</f>
        <v/>
      </c>
      <c r="J871" s="6" t="str">
        <f>IF(ISNA(MATCH(862,'Transfer Engine'!$C$2:$C$1199,0)),"",INDEX('Compliance Database'!$J$2:$J$1199,MATCH(862,'Transfer Engine'!$C$2:$C$1199,0)))</f>
        <v/>
      </c>
      <c r="K871" s="7" t="str">
        <f>IF(ISNA(MATCH(862,'Transfer Engine'!$C$2:$C$1199,0)),"",INDEX('Compliance Database'!$K$2:$K$1199,MATCH(862,'Transfer Engine'!$C$2:$C$1199,0)))</f>
        <v/>
      </c>
      <c r="L871" s="7" t="str">
        <f>IF(ISNA(MATCH(862,'Transfer Engine'!$C$2:$C$1199,0)),"",INDEX('Compliance Database'!$L$2:$L$1199,MATCH(862,'Transfer Engine'!$C$2:$C$1199,0)))</f>
        <v/>
      </c>
      <c r="M871" s="7" t="str">
        <f>IF(ISNA(MATCH(862,'Transfer Engine'!$C$2:$C$1199,0)),"",INDEX('Compliance Database'!$M$2:$M$1199,MATCH(862,'Transfer Engine'!$C$2:$C$1199,0)))</f>
        <v/>
      </c>
      <c r="N871" s="7" t="str">
        <f>IF(ISNA(MATCH(862,'Transfer Engine'!$C$2:$C$1199,0)),"",INDEX('Compliance Database'!$N$2:$N$1199,MATCH(862,'Transfer Engine'!$C$2:$C$1199,0)))</f>
        <v/>
      </c>
      <c r="O871" s="7" t="str">
        <f>IF(ISNA(MATCH(862,'Transfer Engine'!$C$2:$C$1199,0)),"",INDEX('Compliance Database'!$O$2:$O$1199,MATCH(862,'Transfer Engine'!$C$2:$C$1199,0)))</f>
        <v/>
      </c>
      <c r="P871" s="6" t="str">
        <f>IF(ISNA(MATCH(862,'Transfer Engine'!$C$2:$C$1199,0)),"",HYPERLINK("#Acts!A"&amp;INDEX('Compliance Database'!$P$2:$P$1199,MATCH(862,'Transfer Engine'!$C$2:$C$1199,0)),"Go to Act"))</f>
        <v/>
      </c>
    </row>
    <row r="872" spans="1:16" ht="172.95" customHeight="1" x14ac:dyDescent="0.3">
      <c r="A872" s="6" t="str">
        <f>IF(ISNA(MATCH(863,'Transfer Engine'!$C$2:$C$1199,0)),"",INDEX('Compliance Database'!$A$2:$A$1199,MATCH(863,'Transfer Engine'!$C$2:$C$1199,0)))</f>
        <v/>
      </c>
      <c r="B872" s="6" t="str">
        <f>IF(ISNA(MATCH(863,'Transfer Engine'!$C$2:$C$1199,0)),"",INDEX('Compliance Database'!$B$2:$B$1199,MATCH(863,'Transfer Engine'!$C$2:$C$1199,0)))</f>
        <v/>
      </c>
      <c r="C872" s="6" t="str">
        <f>IF(ISNA(MATCH(863,'Transfer Engine'!$C$2:$C$1199,0)),"",INDEX('Compliance Database'!$C$2:$C$1199,MATCH(863,'Transfer Engine'!$C$2:$C$1199,0)))</f>
        <v/>
      </c>
      <c r="D872" s="7" t="str">
        <f>IF(ISNA(MATCH(863,'Transfer Engine'!$C$2:$C$1199,0)),"",INDEX('Compliance Database'!$D$2:$D$1199,MATCH(863,'Transfer Engine'!$C$2:$C$1199,0)))</f>
        <v/>
      </c>
      <c r="E872" s="6" t="str">
        <f>IF(ISNA(MATCH(863,'Transfer Engine'!$C$2:$C$1199,0)),"",INDEX('Compliance Database'!$E$2:$E$1199,MATCH(863,'Transfer Engine'!$C$2:$C$1199,0)))</f>
        <v/>
      </c>
      <c r="F872" s="6" t="str">
        <f>IF(ISNA(MATCH(863,'Transfer Engine'!$C$2:$C$1199,0)),"",INDEX('Compliance Database'!$F$2:$F$1199,MATCH(863,'Transfer Engine'!$C$2:$C$1199,0)))</f>
        <v/>
      </c>
      <c r="G872" s="6" t="str">
        <f>IF(ISNA(MATCH(863,'Transfer Engine'!$C$2:$C$1199,0)),"",INDEX('Compliance Database'!$G$2:$G$1199,MATCH(863,'Transfer Engine'!$C$2:$C$1199,0)))</f>
        <v/>
      </c>
      <c r="H872" s="7" t="str">
        <f>IF(ISNA(MATCH(863,'Transfer Engine'!$C$2:$C$1199,0)),"",INDEX('Compliance Database'!$H$2:$H$1199,MATCH(863,'Transfer Engine'!$C$2:$C$1199,0)))</f>
        <v/>
      </c>
      <c r="I872" s="7" t="str">
        <f>IF(ISNA(MATCH(863,'Transfer Engine'!$C$2:$C$1199,0)),"",INDEX('Compliance Database'!$I$2:$I$1199,MATCH(863,'Transfer Engine'!$C$2:$C$1199,0)))</f>
        <v/>
      </c>
      <c r="J872" s="6" t="str">
        <f>IF(ISNA(MATCH(863,'Transfer Engine'!$C$2:$C$1199,0)),"",INDEX('Compliance Database'!$J$2:$J$1199,MATCH(863,'Transfer Engine'!$C$2:$C$1199,0)))</f>
        <v/>
      </c>
      <c r="K872" s="7" t="str">
        <f>IF(ISNA(MATCH(863,'Transfer Engine'!$C$2:$C$1199,0)),"",INDEX('Compliance Database'!$K$2:$K$1199,MATCH(863,'Transfer Engine'!$C$2:$C$1199,0)))</f>
        <v/>
      </c>
      <c r="L872" s="7" t="str">
        <f>IF(ISNA(MATCH(863,'Transfer Engine'!$C$2:$C$1199,0)),"",INDEX('Compliance Database'!$L$2:$L$1199,MATCH(863,'Transfer Engine'!$C$2:$C$1199,0)))</f>
        <v/>
      </c>
      <c r="M872" s="7" t="str">
        <f>IF(ISNA(MATCH(863,'Transfer Engine'!$C$2:$C$1199,0)),"",INDEX('Compliance Database'!$M$2:$M$1199,MATCH(863,'Transfer Engine'!$C$2:$C$1199,0)))</f>
        <v/>
      </c>
      <c r="N872" s="7" t="str">
        <f>IF(ISNA(MATCH(863,'Transfer Engine'!$C$2:$C$1199,0)),"",INDEX('Compliance Database'!$N$2:$N$1199,MATCH(863,'Transfer Engine'!$C$2:$C$1199,0)))</f>
        <v/>
      </c>
      <c r="O872" s="7" t="str">
        <f>IF(ISNA(MATCH(863,'Transfer Engine'!$C$2:$C$1199,0)),"",INDEX('Compliance Database'!$O$2:$O$1199,MATCH(863,'Transfer Engine'!$C$2:$C$1199,0)))</f>
        <v/>
      </c>
      <c r="P872" s="6" t="str">
        <f>IF(ISNA(MATCH(863,'Transfer Engine'!$C$2:$C$1199,0)),"",HYPERLINK("#Acts!A"&amp;INDEX('Compliance Database'!$P$2:$P$1199,MATCH(863,'Transfer Engine'!$C$2:$C$1199,0)),"Go to Act"))</f>
        <v/>
      </c>
    </row>
    <row r="873" spans="1:16" ht="172.95" customHeight="1" x14ac:dyDescent="0.3">
      <c r="A873" s="6" t="str">
        <f>IF(ISNA(MATCH(864,'Transfer Engine'!$C$2:$C$1199,0)),"",INDEX('Compliance Database'!$A$2:$A$1199,MATCH(864,'Transfer Engine'!$C$2:$C$1199,0)))</f>
        <v/>
      </c>
      <c r="B873" s="6" t="str">
        <f>IF(ISNA(MATCH(864,'Transfer Engine'!$C$2:$C$1199,0)),"",INDEX('Compliance Database'!$B$2:$B$1199,MATCH(864,'Transfer Engine'!$C$2:$C$1199,0)))</f>
        <v/>
      </c>
      <c r="C873" s="6" t="str">
        <f>IF(ISNA(MATCH(864,'Transfer Engine'!$C$2:$C$1199,0)),"",INDEX('Compliance Database'!$C$2:$C$1199,MATCH(864,'Transfer Engine'!$C$2:$C$1199,0)))</f>
        <v/>
      </c>
      <c r="D873" s="7" t="str">
        <f>IF(ISNA(MATCH(864,'Transfer Engine'!$C$2:$C$1199,0)),"",INDEX('Compliance Database'!$D$2:$D$1199,MATCH(864,'Transfer Engine'!$C$2:$C$1199,0)))</f>
        <v/>
      </c>
      <c r="E873" s="6" t="str">
        <f>IF(ISNA(MATCH(864,'Transfer Engine'!$C$2:$C$1199,0)),"",INDEX('Compliance Database'!$E$2:$E$1199,MATCH(864,'Transfer Engine'!$C$2:$C$1199,0)))</f>
        <v/>
      </c>
      <c r="F873" s="6" t="str">
        <f>IF(ISNA(MATCH(864,'Transfer Engine'!$C$2:$C$1199,0)),"",INDEX('Compliance Database'!$F$2:$F$1199,MATCH(864,'Transfer Engine'!$C$2:$C$1199,0)))</f>
        <v/>
      </c>
      <c r="G873" s="6" t="str">
        <f>IF(ISNA(MATCH(864,'Transfer Engine'!$C$2:$C$1199,0)),"",INDEX('Compliance Database'!$G$2:$G$1199,MATCH(864,'Transfer Engine'!$C$2:$C$1199,0)))</f>
        <v/>
      </c>
      <c r="H873" s="7" t="str">
        <f>IF(ISNA(MATCH(864,'Transfer Engine'!$C$2:$C$1199,0)),"",INDEX('Compliance Database'!$H$2:$H$1199,MATCH(864,'Transfer Engine'!$C$2:$C$1199,0)))</f>
        <v/>
      </c>
      <c r="I873" s="7" t="str">
        <f>IF(ISNA(MATCH(864,'Transfer Engine'!$C$2:$C$1199,0)),"",INDEX('Compliance Database'!$I$2:$I$1199,MATCH(864,'Transfer Engine'!$C$2:$C$1199,0)))</f>
        <v/>
      </c>
      <c r="J873" s="6" t="str">
        <f>IF(ISNA(MATCH(864,'Transfer Engine'!$C$2:$C$1199,0)),"",INDEX('Compliance Database'!$J$2:$J$1199,MATCH(864,'Transfer Engine'!$C$2:$C$1199,0)))</f>
        <v/>
      </c>
      <c r="K873" s="7" t="str">
        <f>IF(ISNA(MATCH(864,'Transfer Engine'!$C$2:$C$1199,0)),"",INDEX('Compliance Database'!$K$2:$K$1199,MATCH(864,'Transfer Engine'!$C$2:$C$1199,0)))</f>
        <v/>
      </c>
      <c r="L873" s="7" t="str">
        <f>IF(ISNA(MATCH(864,'Transfer Engine'!$C$2:$C$1199,0)),"",INDEX('Compliance Database'!$L$2:$L$1199,MATCH(864,'Transfer Engine'!$C$2:$C$1199,0)))</f>
        <v/>
      </c>
      <c r="M873" s="7" t="str">
        <f>IF(ISNA(MATCH(864,'Transfer Engine'!$C$2:$C$1199,0)),"",INDEX('Compliance Database'!$M$2:$M$1199,MATCH(864,'Transfer Engine'!$C$2:$C$1199,0)))</f>
        <v/>
      </c>
      <c r="N873" s="7" t="str">
        <f>IF(ISNA(MATCH(864,'Transfer Engine'!$C$2:$C$1199,0)),"",INDEX('Compliance Database'!$N$2:$N$1199,MATCH(864,'Transfer Engine'!$C$2:$C$1199,0)))</f>
        <v/>
      </c>
      <c r="O873" s="7" t="str">
        <f>IF(ISNA(MATCH(864,'Transfer Engine'!$C$2:$C$1199,0)),"",INDEX('Compliance Database'!$O$2:$O$1199,MATCH(864,'Transfer Engine'!$C$2:$C$1199,0)))</f>
        <v/>
      </c>
      <c r="P873" s="6" t="str">
        <f>IF(ISNA(MATCH(864,'Transfer Engine'!$C$2:$C$1199,0)),"",HYPERLINK("#Acts!A"&amp;INDEX('Compliance Database'!$P$2:$P$1199,MATCH(864,'Transfer Engine'!$C$2:$C$1199,0)),"Go to Act"))</f>
        <v/>
      </c>
    </row>
    <row r="874" spans="1:16" ht="172.95" customHeight="1" x14ac:dyDescent="0.3">
      <c r="A874" s="6" t="str">
        <f>IF(ISNA(MATCH(865,'Transfer Engine'!$C$2:$C$1199,0)),"",INDEX('Compliance Database'!$A$2:$A$1199,MATCH(865,'Transfer Engine'!$C$2:$C$1199,0)))</f>
        <v/>
      </c>
      <c r="B874" s="6" t="str">
        <f>IF(ISNA(MATCH(865,'Transfer Engine'!$C$2:$C$1199,0)),"",INDEX('Compliance Database'!$B$2:$B$1199,MATCH(865,'Transfer Engine'!$C$2:$C$1199,0)))</f>
        <v/>
      </c>
      <c r="C874" s="6" t="str">
        <f>IF(ISNA(MATCH(865,'Transfer Engine'!$C$2:$C$1199,0)),"",INDEX('Compliance Database'!$C$2:$C$1199,MATCH(865,'Transfer Engine'!$C$2:$C$1199,0)))</f>
        <v/>
      </c>
      <c r="D874" s="7" t="str">
        <f>IF(ISNA(MATCH(865,'Transfer Engine'!$C$2:$C$1199,0)),"",INDEX('Compliance Database'!$D$2:$D$1199,MATCH(865,'Transfer Engine'!$C$2:$C$1199,0)))</f>
        <v/>
      </c>
      <c r="E874" s="6" t="str">
        <f>IF(ISNA(MATCH(865,'Transfer Engine'!$C$2:$C$1199,0)),"",INDEX('Compliance Database'!$E$2:$E$1199,MATCH(865,'Transfer Engine'!$C$2:$C$1199,0)))</f>
        <v/>
      </c>
      <c r="F874" s="6" t="str">
        <f>IF(ISNA(MATCH(865,'Transfer Engine'!$C$2:$C$1199,0)),"",INDEX('Compliance Database'!$F$2:$F$1199,MATCH(865,'Transfer Engine'!$C$2:$C$1199,0)))</f>
        <v/>
      </c>
      <c r="G874" s="6" t="str">
        <f>IF(ISNA(MATCH(865,'Transfer Engine'!$C$2:$C$1199,0)),"",INDEX('Compliance Database'!$G$2:$G$1199,MATCH(865,'Transfer Engine'!$C$2:$C$1199,0)))</f>
        <v/>
      </c>
      <c r="H874" s="7" t="str">
        <f>IF(ISNA(MATCH(865,'Transfer Engine'!$C$2:$C$1199,0)),"",INDEX('Compliance Database'!$H$2:$H$1199,MATCH(865,'Transfer Engine'!$C$2:$C$1199,0)))</f>
        <v/>
      </c>
      <c r="I874" s="7" t="str">
        <f>IF(ISNA(MATCH(865,'Transfer Engine'!$C$2:$C$1199,0)),"",INDEX('Compliance Database'!$I$2:$I$1199,MATCH(865,'Transfer Engine'!$C$2:$C$1199,0)))</f>
        <v/>
      </c>
      <c r="J874" s="6" t="str">
        <f>IF(ISNA(MATCH(865,'Transfer Engine'!$C$2:$C$1199,0)),"",INDEX('Compliance Database'!$J$2:$J$1199,MATCH(865,'Transfer Engine'!$C$2:$C$1199,0)))</f>
        <v/>
      </c>
      <c r="K874" s="7" t="str">
        <f>IF(ISNA(MATCH(865,'Transfer Engine'!$C$2:$C$1199,0)),"",INDEX('Compliance Database'!$K$2:$K$1199,MATCH(865,'Transfer Engine'!$C$2:$C$1199,0)))</f>
        <v/>
      </c>
      <c r="L874" s="7" t="str">
        <f>IF(ISNA(MATCH(865,'Transfer Engine'!$C$2:$C$1199,0)),"",INDEX('Compliance Database'!$L$2:$L$1199,MATCH(865,'Transfer Engine'!$C$2:$C$1199,0)))</f>
        <v/>
      </c>
      <c r="M874" s="7" t="str">
        <f>IF(ISNA(MATCH(865,'Transfer Engine'!$C$2:$C$1199,0)),"",INDEX('Compliance Database'!$M$2:$M$1199,MATCH(865,'Transfer Engine'!$C$2:$C$1199,0)))</f>
        <v/>
      </c>
      <c r="N874" s="7" t="str">
        <f>IF(ISNA(MATCH(865,'Transfer Engine'!$C$2:$C$1199,0)),"",INDEX('Compliance Database'!$N$2:$N$1199,MATCH(865,'Transfer Engine'!$C$2:$C$1199,0)))</f>
        <v/>
      </c>
      <c r="O874" s="7" t="str">
        <f>IF(ISNA(MATCH(865,'Transfer Engine'!$C$2:$C$1199,0)),"",INDEX('Compliance Database'!$O$2:$O$1199,MATCH(865,'Transfer Engine'!$C$2:$C$1199,0)))</f>
        <v/>
      </c>
      <c r="P874" s="6" t="str">
        <f>IF(ISNA(MATCH(865,'Transfer Engine'!$C$2:$C$1199,0)),"",HYPERLINK("#Acts!A"&amp;INDEX('Compliance Database'!$P$2:$P$1199,MATCH(865,'Transfer Engine'!$C$2:$C$1199,0)),"Go to Act"))</f>
        <v/>
      </c>
    </row>
    <row r="875" spans="1:16" ht="172.95" customHeight="1" x14ac:dyDescent="0.3">
      <c r="A875" s="6" t="str">
        <f>IF(ISNA(MATCH(866,'Transfer Engine'!$C$2:$C$1199,0)),"",INDEX('Compliance Database'!$A$2:$A$1199,MATCH(866,'Transfer Engine'!$C$2:$C$1199,0)))</f>
        <v/>
      </c>
      <c r="B875" s="6" t="str">
        <f>IF(ISNA(MATCH(866,'Transfer Engine'!$C$2:$C$1199,0)),"",INDEX('Compliance Database'!$B$2:$B$1199,MATCH(866,'Transfer Engine'!$C$2:$C$1199,0)))</f>
        <v/>
      </c>
      <c r="C875" s="6" t="str">
        <f>IF(ISNA(MATCH(866,'Transfer Engine'!$C$2:$C$1199,0)),"",INDEX('Compliance Database'!$C$2:$C$1199,MATCH(866,'Transfer Engine'!$C$2:$C$1199,0)))</f>
        <v/>
      </c>
      <c r="D875" s="7" t="str">
        <f>IF(ISNA(MATCH(866,'Transfer Engine'!$C$2:$C$1199,0)),"",INDEX('Compliance Database'!$D$2:$D$1199,MATCH(866,'Transfer Engine'!$C$2:$C$1199,0)))</f>
        <v/>
      </c>
      <c r="E875" s="6" t="str">
        <f>IF(ISNA(MATCH(866,'Transfer Engine'!$C$2:$C$1199,0)),"",INDEX('Compliance Database'!$E$2:$E$1199,MATCH(866,'Transfer Engine'!$C$2:$C$1199,0)))</f>
        <v/>
      </c>
      <c r="F875" s="6" t="str">
        <f>IF(ISNA(MATCH(866,'Transfer Engine'!$C$2:$C$1199,0)),"",INDEX('Compliance Database'!$F$2:$F$1199,MATCH(866,'Transfer Engine'!$C$2:$C$1199,0)))</f>
        <v/>
      </c>
      <c r="G875" s="6" t="str">
        <f>IF(ISNA(MATCH(866,'Transfer Engine'!$C$2:$C$1199,0)),"",INDEX('Compliance Database'!$G$2:$G$1199,MATCH(866,'Transfer Engine'!$C$2:$C$1199,0)))</f>
        <v/>
      </c>
      <c r="H875" s="7" t="str">
        <f>IF(ISNA(MATCH(866,'Transfer Engine'!$C$2:$C$1199,0)),"",INDEX('Compliance Database'!$H$2:$H$1199,MATCH(866,'Transfer Engine'!$C$2:$C$1199,0)))</f>
        <v/>
      </c>
      <c r="I875" s="7" t="str">
        <f>IF(ISNA(MATCH(866,'Transfer Engine'!$C$2:$C$1199,0)),"",INDEX('Compliance Database'!$I$2:$I$1199,MATCH(866,'Transfer Engine'!$C$2:$C$1199,0)))</f>
        <v/>
      </c>
      <c r="J875" s="6" t="str">
        <f>IF(ISNA(MATCH(866,'Transfer Engine'!$C$2:$C$1199,0)),"",INDEX('Compliance Database'!$J$2:$J$1199,MATCH(866,'Transfer Engine'!$C$2:$C$1199,0)))</f>
        <v/>
      </c>
      <c r="K875" s="7" t="str">
        <f>IF(ISNA(MATCH(866,'Transfer Engine'!$C$2:$C$1199,0)),"",INDEX('Compliance Database'!$K$2:$K$1199,MATCH(866,'Transfer Engine'!$C$2:$C$1199,0)))</f>
        <v/>
      </c>
      <c r="L875" s="7" t="str">
        <f>IF(ISNA(MATCH(866,'Transfer Engine'!$C$2:$C$1199,0)),"",INDEX('Compliance Database'!$L$2:$L$1199,MATCH(866,'Transfer Engine'!$C$2:$C$1199,0)))</f>
        <v/>
      </c>
      <c r="M875" s="7" t="str">
        <f>IF(ISNA(MATCH(866,'Transfer Engine'!$C$2:$C$1199,0)),"",INDEX('Compliance Database'!$M$2:$M$1199,MATCH(866,'Transfer Engine'!$C$2:$C$1199,0)))</f>
        <v/>
      </c>
      <c r="N875" s="7" t="str">
        <f>IF(ISNA(MATCH(866,'Transfer Engine'!$C$2:$C$1199,0)),"",INDEX('Compliance Database'!$N$2:$N$1199,MATCH(866,'Transfer Engine'!$C$2:$C$1199,0)))</f>
        <v/>
      </c>
      <c r="O875" s="7" t="str">
        <f>IF(ISNA(MATCH(866,'Transfer Engine'!$C$2:$C$1199,0)),"",INDEX('Compliance Database'!$O$2:$O$1199,MATCH(866,'Transfer Engine'!$C$2:$C$1199,0)))</f>
        <v/>
      </c>
      <c r="P875" s="6" t="str">
        <f>IF(ISNA(MATCH(866,'Transfer Engine'!$C$2:$C$1199,0)),"",HYPERLINK("#Acts!A"&amp;INDEX('Compliance Database'!$P$2:$P$1199,MATCH(866,'Transfer Engine'!$C$2:$C$1199,0)),"Go to Act"))</f>
        <v/>
      </c>
    </row>
    <row r="876" spans="1:16" ht="172.95" customHeight="1" x14ac:dyDescent="0.3">
      <c r="A876" s="6" t="str">
        <f>IF(ISNA(MATCH(867,'Transfer Engine'!$C$2:$C$1199,0)),"",INDEX('Compliance Database'!$A$2:$A$1199,MATCH(867,'Transfer Engine'!$C$2:$C$1199,0)))</f>
        <v/>
      </c>
      <c r="B876" s="6" t="str">
        <f>IF(ISNA(MATCH(867,'Transfer Engine'!$C$2:$C$1199,0)),"",INDEX('Compliance Database'!$B$2:$B$1199,MATCH(867,'Transfer Engine'!$C$2:$C$1199,0)))</f>
        <v/>
      </c>
      <c r="C876" s="6" t="str">
        <f>IF(ISNA(MATCH(867,'Transfer Engine'!$C$2:$C$1199,0)),"",INDEX('Compliance Database'!$C$2:$C$1199,MATCH(867,'Transfer Engine'!$C$2:$C$1199,0)))</f>
        <v/>
      </c>
      <c r="D876" s="7" t="str">
        <f>IF(ISNA(MATCH(867,'Transfer Engine'!$C$2:$C$1199,0)),"",INDEX('Compliance Database'!$D$2:$D$1199,MATCH(867,'Transfer Engine'!$C$2:$C$1199,0)))</f>
        <v/>
      </c>
      <c r="E876" s="6" t="str">
        <f>IF(ISNA(MATCH(867,'Transfer Engine'!$C$2:$C$1199,0)),"",INDEX('Compliance Database'!$E$2:$E$1199,MATCH(867,'Transfer Engine'!$C$2:$C$1199,0)))</f>
        <v/>
      </c>
      <c r="F876" s="6" t="str">
        <f>IF(ISNA(MATCH(867,'Transfer Engine'!$C$2:$C$1199,0)),"",INDEX('Compliance Database'!$F$2:$F$1199,MATCH(867,'Transfer Engine'!$C$2:$C$1199,0)))</f>
        <v/>
      </c>
      <c r="G876" s="6" t="str">
        <f>IF(ISNA(MATCH(867,'Transfer Engine'!$C$2:$C$1199,0)),"",INDEX('Compliance Database'!$G$2:$G$1199,MATCH(867,'Transfer Engine'!$C$2:$C$1199,0)))</f>
        <v/>
      </c>
      <c r="H876" s="7" t="str">
        <f>IF(ISNA(MATCH(867,'Transfer Engine'!$C$2:$C$1199,0)),"",INDEX('Compliance Database'!$H$2:$H$1199,MATCH(867,'Transfer Engine'!$C$2:$C$1199,0)))</f>
        <v/>
      </c>
      <c r="I876" s="7" t="str">
        <f>IF(ISNA(MATCH(867,'Transfer Engine'!$C$2:$C$1199,0)),"",INDEX('Compliance Database'!$I$2:$I$1199,MATCH(867,'Transfer Engine'!$C$2:$C$1199,0)))</f>
        <v/>
      </c>
      <c r="J876" s="6" t="str">
        <f>IF(ISNA(MATCH(867,'Transfer Engine'!$C$2:$C$1199,0)),"",INDEX('Compliance Database'!$J$2:$J$1199,MATCH(867,'Transfer Engine'!$C$2:$C$1199,0)))</f>
        <v/>
      </c>
      <c r="K876" s="7" t="str">
        <f>IF(ISNA(MATCH(867,'Transfer Engine'!$C$2:$C$1199,0)),"",INDEX('Compliance Database'!$K$2:$K$1199,MATCH(867,'Transfer Engine'!$C$2:$C$1199,0)))</f>
        <v/>
      </c>
      <c r="L876" s="7" t="str">
        <f>IF(ISNA(MATCH(867,'Transfer Engine'!$C$2:$C$1199,0)),"",INDEX('Compliance Database'!$L$2:$L$1199,MATCH(867,'Transfer Engine'!$C$2:$C$1199,0)))</f>
        <v/>
      </c>
      <c r="M876" s="7" t="str">
        <f>IF(ISNA(MATCH(867,'Transfer Engine'!$C$2:$C$1199,0)),"",INDEX('Compliance Database'!$M$2:$M$1199,MATCH(867,'Transfer Engine'!$C$2:$C$1199,0)))</f>
        <v/>
      </c>
      <c r="N876" s="7" t="str">
        <f>IF(ISNA(MATCH(867,'Transfer Engine'!$C$2:$C$1199,0)),"",INDEX('Compliance Database'!$N$2:$N$1199,MATCH(867,'Transfer Engine'!$C$2:$C$1199,0)))</f>
        <v/>
      </c>
      <c r="O876" s="7" t="str">
        <f>IF(ISNA(MATCH(867,'Transfer Engine'!$C$2:$C$1199,0)),"",INDEX('Compliance Database'!$O$2:$O$1199,MATCH(867,'Transfer Engine'!$C$2:$C$1199,0)))</f>
        <v/>
      </c>
      <c r="P876" s="6" t="str">
        <f>IF(ISNA(MATCH(867,'Transfer Engine'!$C$2:$C$1199,0)),"",HYPERLINK("#Acts!A"&amp;INDEX('Compliance Database'!$P$2:$P$1199,MATCH(867,'Transfer Engine'!$C$2:$C$1199,0)),"Go to Act"))</f>
        <v/>
      </c>
    </row>
    <row r="877" spans="1:16" ht="172.95" customHeight="1" x14ac:dyDescent="0.3">
      <c r="A877" s="6" t="str">
        <f>IF(ISNA(MATCH(868,'Transfer Engine'!$C$2:$C$1199,0)),"",INDEX('Compliance Database'!$A$2:$A$1199,MATCH(868,'Transfer Engine'!$C$2:$C$1199,0)))</f>
        <v/>
      </c>
      <c r="B877" s="6" t="str">
        <f>IF(ISNA(MATCH(868,'Transfer Engine'!$C$2:$C$1199,0)),"",INDEX('Compliance Database'!$B$2:$B$1199,MATCH(868,'Transfer Engine'!$C$2:$C$1199,0)))</f>
        <v/>
      </c>
      <c r="C877" s="6" t="str">
        <f>IF(ISNA(MATCH(868,'Transfer Engine'!$C$2:$C$1199,0)),"",INDEX('Compliance Database'!$C$2:$C$1199,MATCH(868,'Transfer Engine'!$C$2:$C$1199,0)))</f>
        <v/>
      </c>
      <c r="D877" s="7" t="str">
        <f>IF(ISNA(MATCH(868,'Transfer Engine'!$C$2:$C$1199,0)),"",INDEX('Compliance Database'!$D$2:$D$1199,MATCH(868,'Transfer Engine'!$C$2:$C$1199,0)))</f>
        <v/>
      </c>
      <c r="E877" s="6" t="str">
        <f>IF(ISNA(MATCH(868,'Transfer Engine'!$C$2:$C$1199,0)),"",INDEX('Compliance Database'!$E$2:$E$1199,MATCH(868,'Transfer Engine'!$C$2:$C$1199,0)))</f>
        <v/>
      </c>
      <c r="F877" s="6" t="str">
        <f>IF(ISNA(MATCH(868,'Transfer Engine'!$C$2:$C$1199,0)),"",INDEX('Compliance Database'!$F$2:$F$1199,MATCH(868,'Transfer Engine'!$C$2:$C$1199,0)))</f>
        <v/>
      </c>
      <c r="G877" s="6" t="str">
        <f>IF(ISNA(MATCH(868,'Transfer Engine'!$C$2:$C$1199,0)),"",INDEX('Compliance Database'!$G$2:$G$1199,MATCH(868,'Transfer Engine'!$C$2:$C$1199,0)))</f>
        <v/>
      </c>
      <c r="H877" s="7" t="str">
        <f>IF(ISNA(MATCH(868,'Transfer Engine'!$C$2:$C$1199,0)),"",INDEX('Compliance Database'!$H$2:$H$1199,MATCH(868,'Transfer Engine'!$C$2:$C$1199,0)))</f>
        <v/>
      </c>
      <c r="I877" s="7" t="str">
        <f>IF(ISNA(MATCH(868,'Transfer Engine'!$C$2:$C$1199,0)),"",INDEX('Compliance Database'!$I$2:$I$1199,MATCH(868,'Transfer Engine'!$C$2:$C$1199,0)))</f>
        <v/>
      </c>
      <c r="J877" s="6" t="str">
        <f>IF(ISNA(MATCH(868,'Transfer Engine'!$C$2:$C$1199,0)),"",INDEX('Compliance Database'!$J$2:$J$1199,MATCH(868,'Transfer Engine'!$C$2:$C$1199,0)))</f>
        <v/>
      </c>
      <c r="K877" s="7" t="str">
        <f>IF(ISNA(MATCH(868,'Transfer Engine'!$C$2:$C$1199,0)),"",INDEX('Compliance Database'!$K$2:$K$1199,MATCH(868,'Transfer Engine'!$C$2:$C$1199,0)))</f>
        <v/>
      </c>
      <c r="L877" s="7" t="str">
        <f>IF(ISNA(MATCH(868,'Transfer Engine'!$C$2:$C$1199,0)),"",INDEX('Compliance Database'!$L$2:$L$1199,MATCH(868,'Transfer Engine'!$C$2:$C$1199,0)))</f>
        <v/>
      </c>
      <c r="M877" s="7" t="str">
        <f>IF(ISNA(MATCH(868,'Transfer Engine'!$C$2:$C$1199,0)),"",INDEX('Compliance Database'!$M$2:$M$1199,MATCH(868,'Transfer Engine'!$C$2:$C$1199,0)))</f>
        <v/>
      </c>
      <c r="N877" s="7" t="str">
        <f>IF(ISNA(MATCH(868,'Transfer Engine'!$C$2:$C$1199,0)),"",INDEX('Compliance Database'!$N$2:$N$1199,MATCH(868,'Transfer Engine'!$C$2:$C$1199,0)))</f>
        <v/>
      </c>
      <c r="O877" s="7" t="str">
        <f>IF(ISNA(MATCH(868,'Transfer Engine'!$C$2:$C$1199,0)),"",INDEX('Compliance Database'!$O$2:$O$1199,MATCH(868,'Transfer Engine'!$C$2:$C$1199,0)))</f>
        <v/>
      </c>
      <c r="P877" s="6" t="str">
        <f>IF(ISNA(MATCH(868,'Transfer Engine'!$C$2:$C$1199,0)),"",HYPERLINK("#Acts!A"&amp;INDEX('Compliance Database'!$P$2:$P$1199,MATCH(868,'Transfer Engine'!$C$2:$C$1199,0)),"Go to Act"))</f>
        <v/>
      </c>
    </row>
    <row r="878" spans="1:16" ht="172.95" customHeight="1" x14ac:dyDescent="0.3">
      <c r="A878" s="6" t="str">
        <f>IF(ISNA(MATCH(869,'Transfer Engine'!$C$2:$C$1199,0)),"",INDEX('Compliance Database'!$A$2:$A$1199,MATCH(869,'Transfer Engine'!$C$2:$C$1199,0)))</f>
        <v/>
      </c>
      <c r="B878" s="6" t="str">
        <f>IF(ISNA(MATCH(869,'Transfer Engine'!$C$2:$C$1199,0)),"",INDEX('Compliance Database'!$B$2:$B$1199,MATCH(869,'Transfer Engine'!$C$2:$C$1199,0)))</f>
        <v/>
      </c>
      <c r="C878" s="6" t="str">
        <f>IF(ISNA(MATCH(869,'Transfer Engine'!$C$2:$C$1199,0)),"",INDEX('Compliance Database'!$C$2:$C$1199,MATCH(869,'Transfer Engine'!$C$2:$C$1199,0)))</f>
        <v/>
      </c>
      <c r="D878" s="7" t="str">
        <f>IF(ISNA(MATCH(869,'Transfer Engine'!$C$2:$C$1199,0)),"",INDEX('Compliance Database'!$D$2:$D$1199,MATCH(869,'Transfer Engine'!$C$2:$C$1199,0)))</f>
        <v/>
      </c>
      <c r="E878" s="6" t="str">
        <f>IF(ISNA(MATCH(869,'Transfer Engine'!$C$2:$C$1199,0)),"",INDEX('Compliance Database'!$E$2:$E$1199,MATCH(869,'Transfer Engine'!$C$2:$C$1199,0)))</f>
        <v/>
      </c>
      <c r="F878" s="6" t="str">
        <f>IF(ISNA(MATCH(869,'Transfer Engine'!$C$2:$C$1199,0)),"",INDEX('Compliance Database'!$F$2:$F$1199,MATCH(869,'Transfer Engine'!$C$2:$C$1199,0)))</f>
        <v/>
      </c>
      <c r="G878" s="6" t="str">
        <f>IF(ISNA(MATCH(869,'Transfer Engine'!$C$2:$C$1199,0)),"",INDEX('Compliance Database'!$G$2:$G$1199,MATCH(869,'Transfer Engine'!$C$2:$C$1199,0)))</f>
        <v/>
      </c>
      <c r="H878" s="7" t="str">
        <f>IF(ISNA(MATCH(869,'Transfer Engine'!$C$2:$C$1199,0)),"",INDEX('Compliance Database'!$H$2:$H$1199,MATCH(869,'Transfer Engine'!$C$2:$C$1199,0)))</f>
        <v/>
      </c>
      <c r="I878" s="7" t="str">
        <f>IF(ISNA(MATCH(869,'Transfer Engine'!$C$2:$C$1199,0)),"",INDEX('Compliance Database'!$I$2:$I$1199,MATCH(869,'Transfer Engine'!$C$2:$C$1199,0)))</f>
        <v/>
      </c>
      <c r="J878" s="6" t="str">
        <f>IF(ISNA(MATCH(869,'Transfer Engine'!$C$2:$C$1199,0)),"",INDEX('Compliance Database'!$J$2:$J$1199,MATCH(869,'Transfer Engine'!$C$2:$C$1199,0)))</f>
        <v/>
      </c>
      <c r="K878" s="7" t="str">
        <f>IF(ISNA(MATCH(869,'Transfer Engine'!$C$2:$C$1199,0)),"",INDEX('Compliance Database'!$K$2:$K$1199,MATCH(869,'Transfer Engine'!$C$2:$C$1199,0)))</f>
        <v/>
      </c>
      <c r="L878" s="7" t="str">
        <f>IF(ISNA(MATCH(869,'Transfer Engine'!$C$2:$C$1199,0)),"",INDEX('Compliance Database'!$L$2:$L$1199,MATCH(869,'Transfer Engine'!$C$2:$C$1199,0)))</f>
        <v/>
      </c>
      <c r="M878" s="7" t="str">
        <f>IF(ISNA(MATCH(869,'Transfer Engine'!$C$2:$C$1199,0)),"",INDEX('Compliance Database'!$M$2:$M$1199,MATCH(869,'Transfer Engine'!$C$2:$C$1199,0)))</f>
        <v/>
      </c>
      <c r="N878" s="7" t="str">
        <f>IF(ISNA(MATCH(869,'Transfer Engine'!$C$2:$C$1199,0)),"",INDEX('Compliance Database'!$N$2:$N$1199,MATCH(869,'Transfer Engine'!$C$2:$C$1199,0)))</f>
        <v/>
      </c>
      <c r="O878" s="7" t="str">
        <f>IF(ISNA(MATCH(869,'Transfer Engine'!$C$2:$C$1199,0)),"",INDEX('Compliance Database'!$O$2:$O$1199,MATCH(869,'Transfer Engine'!$C$2:$C$1199,0)))</f>
        <v/>
      </c>
      <c r="P878" s="6" t="str">
        <f>IF(ISNA(MATCH(869,'Transfer Engine'!$C$2:$C$1199,0)),"",HYPERLINK("#Acts!A"&amp;INDEX('Compliance Database'!$P$2:$P$1199,MATCH(869,'Transfer Engine'!$C$2:$C$1199,0)),"Go to Act"))</f>
        <v/>
      </c>
    </row>
    <row r="879" spans="1:16" ht="172.95" customHeight="1" x14ac:dyDescent="0.3">
      <c r="A879" s="6" t="str">
        <f>IF(ISNA(MATCH(870,'Transfer Engine'!$C$2:$C$1199,0)),"",INDEX('Compliance Database'!$A$2:$A$1199,MATCH(870,'Transfer Engine'!$C$2:$C$1199,0)))</f>
        <v/>
      </c>
      <c r="B879" s="6" t="str">
        <f>IF(ISNA(MATCH(870,'Transfer Engine'!$C$2:$C$1199,0)),"",INDEX('Compliance Database'!$B$2:$B$1199,MATCH(870,'Transfer Engine'!$C$2:$C$1199,0)))</f>
        <v/>
      </c>
      <c r="C879" s="6" t="str">
        <f>IF(ISNA(MATCH(870,'Transfer Engine'!$C$2:$C$1199,0)),"",INDEX('Compliance Database'!$C$2:$C$1199,MATCH(870,'Transfer Engine'!$C$2:$C$1199,0)))</f>
        <v/>
      </c>
      <c r="D879" s="7" t="str">
        <f>IF(ISNA(MATCH(870,'Transfer Engine'!$C$2:$C$1199,0)),"",INDEX('Compliance Database'!$D$2:$D$1199,MATCH(870,'Transfer Engine'!$C$2:$C$1199,0)))</f>
        <v/>
      </c>
      <c r="E879" s="6" t="str">
        <f>IF(ISNA(MATCH(870,'Transfer Engine'!$C$2:$C$1199,0)),"",INDEX('Compliance Database'!$E$2:$E$1199,MATCH(870,'Transfer Engine'!$C$2:$C$1199,0)))</f>
        <v/>
      </c>
      <c r="F879" s="6" t="str">
        <f>IF(ISNA(MATCH(870,'Transfer Engine'!$C$2:$C$1199,0)),"",INDEX('Compliance Database'!$F$2:$F$1199,MATCH(870,'Transfer Engine'!$C$2:$C$1199,0)))</f>
        <v/>
      </c>
      <c r="G879" s="6" t="str">
        <f>IF(ISNA(MATCH(870,'Transfer Engine'!$C$2:$C$1199,0)),"",INDEX('Compliance Database'!$G$2:$G$1199,MATCH(870,'Transfer Engine'!$C$2:$C$1199,0)))</f>
        <v/>
      </c>
      <c r="H879" s="7" t="str">
        <f>IF(ISNA(MATCH(870,'Transfer Engine'!$C$2:$C$1199,0)),"",INDEX('Compliance Database'!$H$2:$H$1199,MATCH(870,'Transfer Engine'!$C$2:$C$1199,0)))</f>
        <v/>
      </c>
      <c r="I879" s="7" t="str">
        <f>IF(ISNA(MATCH(870,'Transfer Engine'!$C$2:$C$1199,0)),"",INDEX('Compliance Database'!$I$2:$I$1199,MATCH(870,'Transfer Engine'!$C$2:$C$1199,0)))</f>
        <v/>
      </c>
      <c r="J879" s="6" t="str">
        <f>IF(ISNA(MATCH(870,'Transfer Engine'!$C$2:$C$1199,0)),"",INDEX('Compliance Database'!$J$2:$J$1199,MATCH(870,'Transfer Engine'!$C$2:$C$1199,0)))</f>
        <v/>
      </c>
      <c r="K879" s="7" t="str">
        <f>IF(ISNA(MATCH(870,'Transfer Engine'!$C$2:$C$1199,0)),"",INDEX('Compliance Database'!$K$2:$K$1199,MATCH(870,'Transfer Engine'!$C$2:$C$1199,0)))</f>
        <v/>
      </c>
      <c r="L879" s="7" t="str">
        <f>IF(ISNA(MATCH(870,'Transfer Engine'!$C$2:$C$1199,0)),"",INDEX('Compliance Database'!$L$2:$L$1199,MATCH(870,'Transfer Engine'!$C$2:$C$1199,0)))</f>
        <v/>
      </c>
      <c r="M879" s="7" t="str">
        <f>IF(ISNA(MATCH(870,'Transfer Engine'!$C$2:$C$1199,0)),"",INDEX('Compliance Database'!$M$2:$M$1199,MATCH(870,'Transfer Engine'!$C$2:$C$1199,0)))</f>
        <v/>
      </c>
      <c r="N879" s="7" t="str">
        <f>IF(ISNA(MATCH(870,'Transfer Engine'!$C$2:$C$1199,0)),"",INDEX('Compliance Database'!$N$2:$N$1199,MATCH(870,'Transfer Engine'!$C$2:$C$1199,0)))</f>
        <v/>
      </c>
      <c r="O879" s="7" t="str">
        <f>IF(ISNA(MATCH(870,'Transfer Engine'!$C$2:$C$1199,0)),"",INDEX('Compliance Database'!$O$2:$O$1199,MATCH(870,'Transfer Engine'!$C$2:$C$1199,0)))</f>
        <v/>
      </c>
      <c r="P879" s="6" t="str">
        <f>IF(ISNA(MATCH(870,'Transfer Engine'!$C$2:$C$1199,0)),"",HYPERLINK("#Acts!A"&amp;INDEX('Compliance Database'!$P$2:$P$1199,MATCH(870,'Transfer Engine'!$C$2:$C$1199,0)),"Go to Act"))</f>
        <v/>
      </c>
    </row>
    <row r="880" spans="1:16" ht="172.95" customHeight="1" x14ac:dyDescent="0.3">
      <c r="A880" s="6" t="str">
        <f>IF(ISNA(MATCH(871,'Transfer Engine'!$C$2:$C$1199,0)),"",INDEX('Compliance Database'!$A$2:$A$1199,MATCH(871,'Transfer Engine'!$C$2:$C$1199,0)))</f>
        <v/>
      </c>
      <c r="B880" s="6" t="str">
        <f>IF(ISNA(MATCH(871,'Transfer Engine'!$C$2:$C$1199,0)),"",INDEX('Compliance Database'!$B$2:$B$1199,MATCH(871,'Transfer Engine'!$C$2:$C$1199,0)))</f>
        <v/>
      </c>
      <c r="C880" s="6" t="str">
        <f>IF(ISNA(MATCH(871,'Transfer Engine'!$C$2:$C$1199,0)),"",INDEX('Compliance Database'!$C$2:$C$1199,MATCH(871,'Transfer Engine'!$C$2:$C$1199,0)))</f>
        <v/>
      </c>
      <c r="D880" s="7" t="str">
        <f>IF(ISNA(MATCH(871,'Transfer Engine'!$C$2:$C$1199,0)),"",INDEX('Compliance Database'!$D$2:$D$1199,MATCH(871,'Transfer Engine'!$C$2:$C$1199,0)))</f>
        <v/>
      </c>
      <c r="E880" s="6" t="str">
        <f>IF(ISNA(MATCH(871,'Transfer Engine'!$C$2:$C$1199,0)),"",INDEX('Compliance Database'!$E$2:$E$1199,MATCH(871,'Transfer Engine'!$C$2:$C$1199,0)))</f>
        <v/>
      </c>
      <c r="F880" s="6" t="str">
        <f>IF(ISNA(MATCH(871,'Transfer Engine'!$C$2:$C$1199,0)),"",INDEX('Compliance Database'!$F$2:$F$1199,MATCH(871,'Transfer Engine'!$C$2:$C$1199,0)))</f>
        <v/>
      </c>
      <c r="G880" s="6" t="str">
        <f>IF(ISNA(MATCH(871,'Transfer Engine'!$C$2:$C$1199,0)),"",INDEX('Compliance Database'!$G$2:$G$1199,MATCH(871,'Transfer Engine'!$C$2:$C$1199,0)))</f>
        <v/>
      </c>
      <c r="H880" s="7" t="str">
        <f>IF(ISNA(MATCH(871,'Transfer Engine'!$C$2:$C$1199,0)),"",INDEX('Compliance Database'!$H$2:$H$1199,MATCH(871,'Transfer Engine'!$C$2:$C$1199,0)))</f>
        <v/>
      </c>
      <c r="I880" s="7" t="str">
        <f>IF(ISNA(MATCH(871,'Transfer Engine'!$C$2:$C$1199,0)),"",INDEX('Compliance Database'!$I$2:$I$1199,MATCH(871,'Transfer Engine'!$C$2:$C$1199,0)))</f>
        <v/>
      </c>
      <c r="J880" s="6" t="str">
        <f>IF(ISNA(MATCH(871,'Transfer Engine'!$C$2:$C$1199,0)),"",INDEX('Compliance Database'!$J$2:$J$1199,MATCH(871,'Transfer Engine'!$C$2:$C$1199,0)))</f>
        <v/>
      </c>
      <c r="K880" s="7" t="str">
        <f>IF(ISNA(MATCH(871,'Transfer Engine'!$C$2:$C$1199,0)),"",INDEX('Compliance Database'!$K$2:$K$1199,MATCH(871,'Transfer Engine'!$C$2:$C$1199,0)))</f>
        <v/>
      </c>
      <c r="L880" s="7" t="str">
        <f>IF(ISNA(MATCH(871,'Transfer Engine'!$C$2:$C$1199,0)),"",INDEX('Compliance Database'!$L$2:$L$1199,MATCH(871,'Transfer Engine'!$C$2:$C$1199,0)))</f>
        <v/>
      </c>
      <c r="M880" s="7" t="str">
        <f>IF(ISNA(MATCH(871,'Transfer Engine'!$C$2:$C$1199,0)),"",INDEX('Compliance Database'!$M$2:$M$1199,MATCH(871,'Transfer Engine'!$C$2:$C$1199,0)))</f>
        <v/>
      </c>
      <c r="N880" s="7" t="str">
        <f>IF(ISNA(MATCH(871,'Transfer Engine'!$C$2:$C$1199,0)),"",INDEX('Compliance Database'!$N$2:$N$1199,MATCH(871,'Transfer Engine'!$C$2:$C$1199,0)))</f>
        <v/>
      </c>
      <c r="O880" s="7" t="str">
        <f>IF(ISNA(MATCH(871,'Transfer Engine'!$C$2:$C$1199,0)),"",INDEX('Compliance Database'!$O$2:$O$1199,MATCH(871,'Transfer Engine'!$C$2:$C$1199,0)))</f>
        <v/>
      </c>
      <c r="P880" s="6" t="str">
        <f>IF(ISNA(MATCH(871,'Transfer Engine'!$C$2:$C$1199,0)),"",HYPERLINK("#Acts!A"&amp;INDEX('Compliance Database'!$P$2:$P$1199,MATCH(871,'Transfer Engine'!$C$2:$C$1199,0)),"Go to Act"))</f>
        <v/>
      </c>
    </row>
    <row r="881" spans="1:16" ht="172.95" customHeight="1" x14ac:dyDescent="0.3">
      <c r="A881" s="6" t="str">
        <f>IF(ISNA(MATCH(872,'Transfer Engine'!$C$2:$C$1199,0)),"",INDEX('Compliance Database'!$A$2:$A$1199,MATCH(872,'Transfer Engine'!$C$2:$C$1199,0)))</f>
        <v/>
      </c>
      <c r="B881" s="6" t="str">
        <f>IF(ISNA(MATCH(872,'Transfer Engine'!$C$2:$C$1199,0)),"",INDEX('Compliance Database'!$B$2:$B$1199,MATCH(872,'Transfer Engine'!$C$2:$C$1199,0)))</f>
        <v/>
      </c>
      <c r="C881" s="6" t="str">
        <f>IF(ISNA(MATCH(872,'Transfer Engine'!$C$2:$C$1199,0)),"",INDEX('Compliance Database'!$C$2:$C$1199,MATCH(872,'Transfer Engine'!$C$2:$C$1199,0)))</f>
        <v/>
      </c>
      <c r="D881" s="7" t="str">
        <f>IF(ISNA(MATCH(872,'Transfer Engine'!$C$2:$C$1199,0)),"",INDEX('Compliance Database'!$D$2:$D$1199,MATCH(872,'Transfer Engine'!$C$2:$C$1199,0)))</f>
        <v/>
      </c>
      <c r="E881" s="6" t="str">
        <f>IF(ISNA(MATCH(872,'Transfer Engine'!$C$2:$C$1199,0)),"",INDEX('Compliance Database'!$E$2:$E$1199,MATCH(872,'Transfer Engine'!$C$2:$C$1199,0)))</f>
        <v/>
      </c>
      <c r="F881" s="6" t="str">
        <f>IF(ISNA(MATCH(872,'Transfer Engine'!$C$2:$C$1199,0)),"",INDEX('Compliance Database'!$F$2:$F$1199,MATCH(872,'Transfer Engine'!$C$2:$C$1199,0)))</f>
        <v/>
      </c>
      <c r="G881" s="6" t="str">
        <f>IF(ISNA(MATCH(872,'Transfer Engine'!$C$2:$C$1199,0)),"",INDEX('Compliance Database'!$G$2:$G$1199,MATCH(872,'Transfer Engine'!$C$2:$C$1199,0)))</f>
        <v/>
      </c>
      <c r="H881" s="7" t="str">
        <f>IF(ISNA(MATCH(872,'Transfer Engine'!$C$2:$C$1199,0)),"",INDEX('Compliance Database'!$H$2:$H$1199,MATCH(872,'Transfer Engine'!$C$2:$C$1199,0)))</f>
        <v/>
      </c>
      <c r="I881" s="7" t="str">
        <f>IF(ISNA(MATCH(872,'Transfer Engine'!$C$2:$C$1199,0)),"",INDEX('Compliance Database'!$I$2:$I$1199,MATCH(872,'Transfer Engine'!$C$2:$C$1199,0)))</f>
        <v/>
      </c>
      <c r="J881" s="6" t="str">
        <f>IF(ISNA(MATCH(872,'Transfer Engine'!$C$2:$C$1199,0)),"",INDEX('Compliance Database'!$J$2:$J$1199,MATCH(872,'Transfer Engine'!$C$2:$C$1199,0)))</f>
        <v/>
      </c>
      <c r="K881" s="7" t="str">
        <f>IF(ISNA(MATCH(872,'Transfer Engine'!$C$2:$C$1199,0)),"",INDEX('Compliance Database'!$K$2:$K$1199,MATCH(872,'Transfer Engine'!$C$2:$C$1199,0)))</f>
        <v/>
      </c>
      <c r="L881" s="7" t="str">
        <f>IF(ISNA(MATCH(872,'Transfer Engine'!$C$2:$C$1199,0)),"",INDEX('Compliance Database'!$L$2:$L$1199,MATCH(872,'Transfer Engine'!$C$2:$C$1199,0)))</f>
        <v/>
      </c>
      <c r="M881" s="7" t="str">
        <f>IF(ISNA(MATCH(872,'Transfer Engine'!$C$2:$C$1199,0)),"",INDEX('Compliance Database'!$M$2:$M$1199,MATCH(872,'Transfer Engine'!$C$2:$C$1199,0)))</f>
        <v/>
      </c>
      <c r="N881" s="7" t="str">
        <f>IF(ISNA(MATCH(872,'Transfer Engine'!$C$2:$C$1199,0)),"",INDEX('Compliance Database'!$N$2:$N$1199,MATCH(872,'Transfer Engine'!$C$2:$C$1199,0)))</f>
        <v/>
      </c>
      <c r="O881" s="7" t="str">
        <f>IF(ISNA(MATCH(872,'Transfer Engine'!$C$2:$C$1199,0)),"",INDEX('Compliance Database'!$O$2:$O$1199,MATCH(872,'Transfer Engine'!$C$2:$C$1199,0)))</f>
        <v/>
      </c>
      <c r="P881" s="6" t="str">
        <f>IF(ISNA(MATCH(872,'Transfer Engine'!$C$2:$C$1199,0)),"",HYPERLINK("#Acts!A"&amp;INDEX('Compliance Database'!$P$2:$P$1199,MATCH(872,'Transfer Engine'!$C$2:$C$1199,0)),"Go to Act"))</f>
        <v/>
      </c>
    </row>
    <row r="882" spans="1:16" ht="172.95" customHeight="1" x14ac:dyDescent="0.3">
      <c r="A882" s="6" t="str">
        <f>IF(ISNA(MATCH(873,'Transfer Engine'!$C$2:$C$1199,0)),"",INDEX('Compliance Database'!$A$2:$A$1199,MATCH(873,'Transfer Engine'!$C$2:$C$1199,0)))</f>
        <v/>
      </c>
      <c r="B882" s="6" t="str">
        <f>IF(ISNA(MATCH(873,'Transfer Engine'!$C$2:$C$1199,0)),"",INDEX('Compliance Database'!$B$2:$B$1199,MATCH(873,'Transfer Engine'!$C$2:$C$1199,0)))</f>
        <v/>
      </c>
      <c r="C882" s="6" t="str">
        <f>IF(ISNA(MATCH(873,'Transfer Engine'!$C$2:$C$1199,0)),"",INDEX('Compliance Database'!$C$2:$C$1199,MATCH(873,'Transfer Engine'!$C$2:$C$1199,0)))</f>
        <v/>
      </c>
      <c r="D882" s="7" t="str">
        <f>IF(ISNA(MATCH(873,'Transfer Engine'!$C$2:$C$1199,0)),"",INDEX('Compliance Database'!$D$2:$D$1199,MATCH(873,'Transfer Engine'!$C$2:$C$1199,0)))</f>
        <v/>
      </c>
      <c r="E882" s="6" t="str">
        <f>IF(ISNA(MATCH(873,'Transfer Engine'!$C$2:$C$1199,0)),"",INDEX('Compliance Database'!$E$2:$E$1199,MATCH(873,'Transfer Engine'!$C$2:$C$1199,0)))</f>
        <v/>
      </c>
      <c r="F882" s="6" t="str">
        <f>IF(ISNA(MATCH(873,'Transfer Engine'!$C$2:$C$1199,0)),"",INDEX('Compliance Database'!$F$2:$F$1199,MATCH(873,'Transfer Engine'!$C$2:$C$1199,0)))</f>
        <v/>
      </c>
      <c r="G882" s="6" t="str">
        <f>IF(ISNA(MATCH(873,'Transfer Engine'!$C$2:$C$1199,0)),"",INDEX('Compliance Database'!$G$2:$G$1199,MATCH(873,'Transfer Engine'!$C$2:$C$1199,0)))</f>
        <v/>
      </c>
      <c r="H882" s="7" t="str">
        <f>IF(ISNA(MATCH(873,'Transfer Engine'!$C$2:$C$1199,0)),"",INDEX('Compliance Database'!$H$2:$H$1199,MATCH(873,'Transfer Engine'!$C$2:$C$1199,0)))</f>
        <v/>
      </c>
      <c r="I882" s="7" t="str">
        <f>IF(ISNA(MATCH(873,'Transfer Engine'!$C$2:$C$1199,0)),"",INDEX('Compliance Database'!$I$2:$I$1199,MATCH(873,'Transfer Engine'!$C$2:$C$1199,0)))</f>
        <v/>
      </c>
      <c r="J882" s="6" t="str">
        <f>IF(ISNA(MATCH(873,'Transfer Engine'!$C$2:$C$1199,0)),"",INDEX('Compliance Database'!$J$2:$J$1199,MATCH(873,'Transfer Engine'!$C$2:$C$1199,0)))</f>
        <v/>
      </c>
      <c r="K882" s="7" t="str">
        <f>IF(ISNA(MATCH(873,'Transfer Engine'!$C$2:$C$1199,0)),"",INDEX('Compliance Database'!$K$2:$K$1199,MATCH(873,'Transfer Engine'!$C$2:$C$1199,0)))</f>
        <v/>
      </c>
      <c r="L882" s="7" t="str">
        <f>IF(ISNA(MATCH(873,'Transfer Engine'!$C$2:$C$1199,0)),"",INDEX('Compliance Database'!$L$2:$L$1199,MATCH(873,'Transfer Engine'!$C$2:$C$1199,0)))</f>
        <v/>
      </c>
      <c r="M882" s="7" t="str">
        <f>IF(ISNA(MATCH(873,'Transfer Engine'!$C$2:$C$1199,0)),"",INDEX('Compliance Database'!$M$2:$M$1199,MATCH(873,'Transfer Engine'!$C$2:$C$1199,0)))</f>
        <v/>
      </c>
      <c r="N882" s="7" t="str">
        <f>IF(ISNA(MATCH(873,'Transfer Engine'!$C$2:$C$1199,0)),"",INDEX('Compliance Database'!$N$2:$N$1199,MATCH(873,'Transfer Engine'!$C$2:$C$1199,0)))</f>
        <v/>
      </c>
      <c r="O882" s="7" t="str">
        <f>IF(ISNA(MATCH(873,'Transfer Engine'!$C$2:$C$1199,0)),"",INDEX('Compliance Database'!$O$2:$O$1199,MATCH(873,'Transfer Engine'!$C$2:$C$1199,0)))</f>
        <v/>
      </c>
      <c r="P882" s="6" t="str">
        <f>IF(ISNA(MATCH(873,'Transfer Engine'!$C$2:$C$1199,0)),"",HYPERLINK("#Acts!A"&amp;INDEX('Compliance Database'!$P$2:$P$1199,MATCH(873,'Transfer Engine'!$C$2:$C$1199,0)),"Go to Act"))</f>
        <v/>
      </c>
    </row>
    <row r="883" spans="1:16" ht="172.95" customHeight="1" x14ac:dyDescent="0.3">
      <c r="A883" s="6" t="str">
        <f>IF(ISNA(MATCH(874,'Transfer Engine'!$C$2:$C$1199,0)),"",INDEX('Compliance Database'!$A$2:$A$1199,MATCH(874,'Transfer Engine'!$C$2:$C$1199,0)))</f>
        <v/>
      </c>
      <c r="B883" s="6" t="str">
        <f>IF(ISNA(MATCH(874,'Transfer Engine'!$C$2:$C$1199,0)),"",INDEX('Compliance Database'!$B$2:$B$1199,MATCH(874,'Transfer Engine'!$C$2:$C$1199,0)))</f>
        <v/>
      </c>
      <c r="C883" s="6" t="str">
        <f>IF(ISNA(MATCH(874,'Transfer Engine'!$C$2:$C$1199,0)),"",INDEX('Compliance Database'!$C$2:$C$1199,MATCH(874,'Transfer Engine'!$C$2:$C$1199,0)))</f>
        <v/>
      </c>
      <c r="D883" s="7" t="str">
        <f>IF(ISNA(MATCH(874,'Transfer Engine'!$C$2:$C$1199,0)),"",INDEX('Compliance Database'!$D$2:$D$1199,MATCH(874,'Transfer Engine'!$C$2:$C$1199,0)))</f>
        <v/>
      </c>
      <c r="E883" s="6" t="str">
        <f>IF(ISNA(MATCH(874,'Transfer Engine'!$C$2:$C$1199,0)),"",INDEX('Compliance Database'!$E$2:$E$1199,MATCH(874,'Transfer Engine'!$C$2:$C$1199,0)))</f>
        <v/>
      </c>
      <c r="F883" s="6" t="str">
        <f>IF(ISNA(MATCH(874,'Transfer Engine'!$C$2:$C$1199,0)),"",INDEX('Compliance Database'!$F$2:$F$1199,MATCH(874,'Transfer Engine'!$C$2:$C$1199,0)))</f>
        <v/>
      </c>
      <c r="G883" s="6" t="str">
        <f>IF(ISNA(MATCH(874,'Transfer Engine'!$C$2:$C$1199,0)),"",INDEX('Compliance Database'!$G$2:$G$1199,MATCH(874,'Transfer Engine'!$C$2:$C$1199,0)))</f>
        <v/>
      </c>
      <c r="H883" s="7" t="str">
        <f>IF(ISNA(MATCH(874,'Transfer Engine'!$C$2:$C$1199,0)),"",INDEX('Compliance Database'!$H$2:$H$1199,MATCH(874,'Transfer Engine'!$C$2:$C$1199,0)))</f>
        <v/>
      </c>
      <c r="I883" s="7" t="str">
        <f>IF(ISNA(MATCH(874,'Transfer Engine'!$C$2:$C$1199,0)),"",INDEX('Compliance Database'!$I$2:$I$1199,MATCH(874,'Transfer Engine'!$C$2:$C$1199,0)))</f>
        <v/>
      </c>
      <c r="J883" s="6" t="str">
        <f>IF(ISNA(MATCH(874,'Transfer Engine'!$C$2:$C$1199,0)),"",INDEX('Compliance Database'!$J$2:$J$1199,MATCH(874,'Transfer Engine'!$C$2:$C$1199,0)))</f>
        <v/>
      </c>
      <c r="K883" s="7" t="str">
        <f>IF(ISNA(MATCH(874,'Transfer Engine'!$C$2:$C$1199,0)),"",INDEX('Compliance Database'!$K$2:$K$1199,MATCH(874,'Transfer Engine'!$C$2:$C$1199,0)))</f>
        <v/>
      </c>
      <c r="L883" s="7" t="str">
        <f>IF(ISNA(MATCH(874,'Transfer Engine'!$C$2:$C$1199,0)),"",INDEX('Compliance Database'!$L$2:$L$1199,MATCH(874,'Transfer Engine'!$C$2:$C$1199,0)))</f>
        <v/>
      </c>
      <c r="M883" s="7" t="str">
        <f>IF(ISNA(MATCH(874,'Transfer Engine'!$C$2:$C$1199,0)),"",INDEX('Compliance Database'!$M$2:$M$1199,MATCH(874,'Transfer Engine'!$C$2:$C$1199,0)))</f>
        <v/>
      </c>
      <c r="N883" s="7" t="str">
        <f>IF(ISNA(MATCH(874,'Transfer Engine'!$C$2:$C$1199,0)),"",INDEX('Compliance Database'!$N$2:$N$1199,MATCH(874,'Transfer Engine'!$C$2:$C$1199,0)))</f>
        <v/>
      </c>
      <c r="O883" s="7" t="str">
        <f>IF(ISNA(MATCH(874,'Transfer Engine'!$C$2:$C$1199,0)),"",INDEX('Compliance Database'!$O$2:$O$1199,MATCH(874,'Transfer Engine'!$C$2:$C$1199,0)))</f>
        <v/>
      </c>
      <c r="P883" s="6" t="str">
        <f>IF(ISNA(MATCH(874,'Transfer Engine'!$C$2:$C$1199,0)),"",HYPERLINK("#Acts!A"&amp;INDEX('Compliance Database'!$P$2:$P$1199,MATCH(874,'Transfer Engine'!$C$2:$C$1199,0)),"Go to Act"))</f>
        <v/>
      </c>
    </row>
    <row r="884" spans="1:16" ht="172.95" customHeight="1" x14ac:dyDescent="0.3">
      <c r="A884" s="6" t="str">
        <f>IF(ISNA(MATCH(875,'Transfer Engine'!$C$2:$C$1199,0)),"",INDEX('Compliance Database'!$A$2:$A$1199,MATCH(875,'Transfer Engine'!$C$2:$C$1199,0)))</f>
        <v/>
      </c>
      <c r="B884" s="6" t="str">
        <f>IF(ISNA(MATCH(875,'Transfer Engine'!$C$2:$C$1199,0)),"",INDEX('Compliance Database'!$B$2:$B$1199,MATCH(875,'Transfer Engine'!$C$2:$C$1199,0)))</f>
        <v/>
      </c>
      <c r="C884" s="6" t="str">
        <f>IF(ISNA(MATCH(875,'Transfer Engine'!$C$2:$C$1199,0)),"",INDEX('Compliance Database'!$C$2:$C$1199,MATCH(875,'Transfer Engine'!$C$2:$C$1199,0)))</f>
        <v/>
      </c>
      <c r="D884" s="7" t="str">
        <f>IF(ISNA(MATCH(875,'Transfer Engine'!$C$2:$C$1199,0)),"",INDEX('Compliance Database'!$D$2:$D$1199,MATCH(875,'Transfer Engine'!$C$2:$C$1199,0)))</f>
        <v/>
      </c>
      <c r="E884" s="6" t="str">
        <f>IF(ISNA(MATCH(875,'Transfer Engine'!$C$2:$C$1199,0)),"",INDEX('Compliance Database'!$E$2:$E$1199,MATCH(875,'Transfer Engine'!$C$2:$C$1199,0)))</f>
        <v/>
      </c>
      <c r="F884" s="6" t="str">
        <f>IF(ISNA(MATCH(875,'Transfer Engine'!$C$2:$C$1199,0)),"",INDEX('Compliance Database'!$F$2:$F$1199,MATCH(875,'Transfer Engine'!$C$2:$C$1199,0)))</f>
        <v/>
      </c>
      <c r="G884" s="6" t="str">
        <f>IF(ISNA(MATCH(875,'Transfer Engine'!$C$2:$C$1199,0)),"",INDEX('Compliance Database'!$G$2:$G$1199,MATCH(875,'Transfer Engine'!$C$2:$C$1199,0)))</f>
        <v/>
      </c>
      <c r="H884" s="7" t="str">
        <f>IF(ISNA(MATCH(875,'Transfer Engine'!$C$2:$C$1199,0)),"",INDEX('Compliance Database'!$H$2:$H$1199,MATCH(875,'Transfer Engine'!$C$2:$C$1199,0)))</f>
        <v/>
      </c>
      <c r="I884" s="7" t="str">
        <f>IF(ISNA(MATCH(875,'Transfer Engine'!$C$2:$C$1199,0)),"",INDEX('Compliance Database'!$I$2:$I$1199,MATCH(875,'Transfer Engine'!$C$2:$C$1199,0)))</f>
        <v/>
      </c>
      <c r="J884" s="6" t="str">
        <f>IF(ISNA(MATCH(875,'Transfer Engine'!$C$2:$C$1199,0)),"",INDEX('Compliance Database'!$J$2:$J$1199,MATCH(875,'Transfer Engine'!$C$2:$C$1199,0)))</f>
        <v/>
      </c>
      <c r="K884" s="7" t="str">
        <f>IF(ISNA(MATCH(875,'Transfer Engine'!$C$2:$C$1199,0)),"",INDEX('Compliance Database'!$K$2:$K$1199,MATCH(875,'Transfer Engine'!$C$2:$C$1199,0)))</f>
        <v/>
      </c>
      <c r="L884" s="7" t="str">
        <f>IF(ISNA(MATCH(875,'Transfer Engine'!$C$2:$C$1199,0)),"",INDEX('Compliance Database'!$L$2:$L$1199,MATCH(875,'Transfer Engine'!$C$2:$C$1199,0)))</f>
        <v/>
      </c>
      <c r="M884" s="7" t="str">
        <f>IF(ISNA(MATCH(875,'Transfer Engine'!$C$2:$C$1199,0)),"",INDEX('Compliance Database'!$M$2:$M$1199,MATCH(875,'Transfer Engine'!$C$2:$C$1199,0)))</f>
        <v/>
      </c>
      <c r="N884" s="7" t="str">
        <f>IF(ISNA(MATCH(875,'Transfer Engine'!$C$2:$C$1199,0)),"",INDEX('Compliance Database'!$N$2:$N$1199,MATCH(875,'Transfer Engine'!$C$2:$C$1199,0)))</f>
        <v/>
      </c>
      <c r="O884" s="7" t="str">
        <f>IF(ISNA(MATCH(875,'Transfer Engine'!$C$2:$C$1199,0)),"",INDEX('Compliance Database'!$O$2:$O$1199,MATCH(875,'Transfer Engine'!$C$2:$C$1199,0)))</f>
        <v/>
      </c>
      <c r="P884" s="6" t="str">
        <f>IF(ISNA(MATCH(875,'Transfer Engine'!$C$2:$C$1199,0)),"",HYPERLINK("#Acts!A"&amp;INDEX('Compliance Database'!$P$2:$P$1199,MATCH(875,'Transfer Engine'!$C$2:$C$1199,0)),"Go to Act"))</f>
        <v/>
      </c>
    </row>
    <row r="885" spans="1:16" ht="172.95" customHeight="1" x14ac:dyDescent="0.3">
      <c r="A885" s="6" t="str">
        <f>IF(ISNA(MATCH(876,'Transfer Engine'!$C$2:$C$1199,0)),"",INDEX('Compliance Database'!$A$2:$A$1199,MATCH(876,'Transfer Engine'!$C$2:$C$1199,0)))</f>
        <v/>
      </c>
      <c r="B885" s="6" t="str">
        <f>IF(ISNA(MATCH(876,'Transfer Engine'!$C$2:$C$1199,0)),"",INDEX('Compliance Database'!$B$2:$B$1199,MATCH(876,'Transfer Engine'!$C$2:$C$1199,0)))</f>
        <v/>
      </c>
      <c r="C885" s="6" t="str">
        <f>IF(ISNA(MATCH(876,'Transfer Engine'!$C$2:$C$1199,0)),"",INDEX('Compliance Database'!$C$2:$C$1199,MATCH(876,'Transfer Engine'!$C$2:$C$1199,0)))</f>
        <v/>
      </c>
      <c r="D885" s="7" t="str">
        <f>IF(ISNA(MATCH(876,'Transfer Engine'!$C$2:$C$1199,0)),"",INDEX('Compliance Database'!$D$2:$D$1199,MATCH(876,'Transfer Engine'!$C$2:$C$1199,0)))</f>
        <v/>
      </c>
      <c r="E885" s="6" t="str">
        <f>IF(ISNA(MATCH(876,'Transfer Engine'!$C$2:$C$1199,0)),"",INDEX('Compliance Database'!$E$2:$E$1199,MATCH(876,'Transfer Engine'!$C$2:$C$1199,0)))</f>
        <v/>
      </c>
      <c r="F885" s="6" t="str">
        <f>IF(ISNA(MATCH(876,'Transfer Engine'!$C$2:$C$1199,0)),"",INDEX('Compliance Database'!$F$2:$F$1199,MATCH(876,'Transfer Engine'!$C$2:$C$1199,0)))</f>
        <v/>
      </c>
      <c r="G885" s="6" t="str">
        <f>IF(ISNA(MATCH(876,'Transfer Engine'!$C$2:$C$1199,0)),"",INDEX('Compliance Database'!$G$2:$G$1199,MATCH(876,'Transfer Engine'!$C$2:$C$1199,0)))</f>
        <v/>
      </c>
      <c r="H885" s="7" t="str">
        <f>IF(ISNA(MATCH(876,'Transfer Engine'!$C$2:$C$1199,0)),"",INDEX('Compliance Database'!$H$2:$H$1199,MATCH(876,'Transfer Engine'!$C$2:$C$1199,0)))</f>
        <v/>
      </c>
      <c r="I885" s="7" t="str">
        <f>IF(ISNA(MATCH(876,'Transfer Engine'!$C$2:$C$1199,0)),"",INDEX('Compliance Database'!$I$2:$I$1199,MATCH(876,'Transfer Engine'!$C$2:$C$1199,0)))</f>
        <v/>
      </c>
      <c r="J885" s="6" t="str">
        <f>IF(ISNA(MATCH(876,'Transfer Engine'!$C$2:$C$1199,0)),"",INDEX('Compliance Database'!$J$2:$J$1199,MATCH(876,'Transfer Engine'!$C$2:$C$1199,0)))</f>
        <v/>
      </c>
      <c r="K885" s="7" t="str">
        <f>IF(ISNA(MATCH(876,'Transfer Engine'!$C$2:$C$1199,0)),"",INDEX('Compliance Database'!$K$2:$K$1199,MATCH(876,'Transfer Engine'!$C$2:$C$1199,0)))</f>
        <v/>
      </c>
      <c r="L885" s="7" t="str">
        <f>IF(ISNA(MATCH(876,'Transfer Engine'!$C$2:$C$1199,0)),"",INDEX('Compliance Database'!$L$2:$L$1199,MATCH(876,'Transfer Engine'!$C$2:$C$1199,0)))</f>
        <v/>
      </c>
      <c r="M885" s="7" t="str">
        <f>IF(ISNA(MATCH(876,'Transfer Engine'!$C$2:$C$1199,0)),"",INDEX('Compliance Database'!$M$2:$M$1199,MATCH(876,'Transfer Engine'!$C$2:$C$1199,0)))</f>
        <v/>
      </c>
      <c r="N885" s="7" t="str">
        <f>IF(ISNA(MATCH(876,'Transfer Engine'!$C$2:$C$1199,0)),"",INDEX('Compliance Database'!$N$2:$N$1199,MATCH(876,'Transfer Engine'!$C$2:$C$1199,0)))</f>
        <v/>
      </c>
      <c r="O885" s="7" t="str">
        <f>IF(ISNA(MATCH(876,'Transfer Engine'!$C$2:$C$1199,0)),"",INDEX('Compliance Database'!$O$2:$O$1199,MATCH(876,'Transfer Engine'!$C$2:$C$1199,0)))</f>
        <v/>
      </c>
      <c r="P885" s="6" t="str">
        <f>IF(ISNA(MATCH(876,'Transfer Engine'!$C$2:$C$1199,0)),"",HYPERLINK("#Acts!A"&amp;INDEX('Compliance Database'!$P$2:$P$1199,MATCH(876,'Transfer Engine'!$C$2:$C$1199,0)),"Go to Act"))</f>
        <v/>
      </c>
    </row>
    <row r="886" spans="1:16" ht="172.95" customHeight="1" x14ac:dyDescent="0.3">
      <c r="A886" s="6" t="str">
        <f>IF(ISNA(MATCH(877,'Transfer Engine'!$C$2:$C$1199,0)),"",INDEX('Compliance Database'!$A$2:$A$1199,MATCH(877,'Transfer Engine'!$C$2:$C$1199,0)))</f>
        <v/>
      </c>
      <c r="B886" s="6" t="str">
        <f>IF(ISNA(MATCH(877,'Transfer Engine'!$C$2:$C$1199,0)),"",INDEX('Compliance Database'!$B$2:$B$1199,MATCH(877,'Transfer Engine'!$C$2:$C$1199,0)))</f>
        <v/>
      </c>
      <c r="C886" s="6" t="str">
        <f>IF(ISNA(MATCH(877,'Transfer Engine'!$C$2:$C$1199,0)),"",INDEX('Compliance Database'!$C$2:$C$1199,MATCH(877,'Transfer Engine'!$C$2:$C$1199,0)))</f>
        <v/>
      </c>
      <c r="D886" s="7" t="str">
        <f>IF(ISNA(MATCH(877,'Transfer Engine'!$C$2:$C$1199,0)),"",INDEX('Compliance Database'!$D$2:$D$1199,MATCH(877,'Transfer Engine'!$C$2:$C$1199,0)))</f>
        <v/>
      </c>
      <c r="E886" s="6" t="str">
        <f>IF(ISNA(MATCH(877,'Transfer Engine'!$C$2:$C$1199,0)),"",INDEX('Compliance Database'!$E$2:$E$1199,MATCH(877,'Transfer Engine'!$C$2:$C$1199,0)))</f>
        <v/>
      </c>
      <c r="F886" s="6" t="str">
        <f>IF(ISNA(MATCH(877,'Transfer Engine'!$C$2:$C$1199,0)),"",INDEX('Compliance Database'!$F$2:$F$1199,MATCH(877,'Transfer Engine'!$C$2:$C$1199,0)))</f>
        <v/>
      </c>
      <c r="G886" s="6" t="str">
        <f>IF(ISNA(MATCH(877,'Transfer Engine'!$C$2:$C$1199,0)),"",INDEX('Compliance Database'!$G$2:$G$1199,MATCH(877,'Transfer Engine'!$C$2:$C$1199,0)))</f>
        <v/>
      </c>
      <c r="H886" s="7" t="str">
        <f>IF(ISNA(MATCH(877,'Transfer Engine'!$C$2:$C$1199,0)),"",INDEX('Compliance Database'!$H$2:$H$1199,MATCH(877,'Transfer Engine'!$C$2:$C$1199,0)))</f>
        <v/>
      </c>
      <c r="I886" s="7" t="str">
        <f>IF(ISNA(MATCH(877,'Transfer Engine'!$C$2:$C$1199,0)),"",INDEX('Compliance Database'!$I$2:$I$1199,MATCH(877,'Transfer Engine'!$C$2:$C$1199,0)))</f>
        <v/>
      </c>
      <c r="J886" s="6" t="str">
        <f>IF(ISNA(MATCH(877,'Transfer Engine'!$C$2:$C$1199,0)),"",INDEX('Compliance Database'!$J$2:$J$1199,MATCH(877,'Transfer Engine'!$C$2:$C$1199,0)))</f>
        <v/>
      </c>
      <c r="K886" s="7" t="str">
        <f>IF(ISNA(MATCH(877,'Transfer Engine'!$C$2:$C$1199,0)),"",INDEX('Compliance Database'!$K$2:$K$1199,MATCH(877,'Transfer Engine'!$C$2:$C$1199,0)))</f>
        <v/>
      </c>
      <c r="L886" s="7" t="str">
        <f>IF(ISNA(MATCH(877,'Transfer Engine'!$C$2:$C$1199,0)),"",INDEX('Compliance Database'!$L$2:$L$1199,MATCH(877,'Transfer Engine'!$C$2:$C$1199,0)))</f>
        <v/>
      </c>
      <c r="M886" s="7" t="str">
        <f>IF(ISNA(MATCH(877,'Transfer Engine'!$C$2:$C$1199,0)),"",INDEX('Compliance Database'!$M$2:$M$1199,MATCH(877,'Transfer Engine'!$C$2:$C$1199,0)))</f>
        <v/>
      </c>
      <c r="N886" s="7" t="str">
        <f>IF(ISNA(MATCH(877,'Transfer Engine'!$C$2:$C$1199,0)),"",INDEX('Compliance Database'!$N$2:$N$1199,MATCH(877,'Transfer Engine'!$C$2:$C$1199,0)))</f>
        <v/>
      </c>
      <c r="O886" s="7" t="str">
        <f>IF(ISNA(MATCH(877,'Transfer Engine'!$C$2:$C$1199,0)),"",INDEX('Compliance Database'!$O$2:$O$1199,MATCH(877,'Transfer Engine'!$C$2:$C$1199,0)))</f>
        <v/>
      </c>
      <c r="P886" s="6" t="str">
        <f>IF(ISNA(MATCH(877,'Transfer Engine'!$C$2:$C$1199,0)),"",HYPERLINK("#Acts!A"&amp;INDEX('Compliance Database'!$P$2:$P$1199,MATCH(877,'Transfer Engine'!$C$2:$C$1199,0)),"Go to Act"))</f>
        <v/>
      </c>
    </row>
    <row r="887" spans="1:16" ht="172.95" customHeight="1" x14ac:dyDescent="0.3">
      <c r="A887" s="6" t="str">
        <f>IF(ISNA(MATCH(878,'Transfer Engine'!$C$2:$C$1199,0)),"",INDEX('Compliance Database'!$A$2:$A$1199,MATCH(878,'Transfer Engine'!$C$2:$C$1199,0)))</f>
        <v/>
      </c>
      <c r="B887" s="6" t="str">
        <f>IF(ISNA(MATCH(878,'Transfer Engine'!$C$2:$C$1199,0)),"",INDEX('Compliance Database'!$B$2:$B$1199,MATCH(878,'Transfer Engine'!$C$2:$C$1199,0)))</f>
        <v/>
      </c>
      <c r="C887" s="6" t="str">
        <f>IF(ISNA(MATCH(878,'Transfer Engine'!$C$2:$C$1199,0)),"",INDEX('Compliance Database'!$C$2:$C$1199,MATCH(878,'Transfer Engine'!$C$2:$C$1199,0)))</f>
        <v/>
      </c>
      <c r="D887" s="7" t="str">
        <f>IF(ISNA(MATCH(878,'Transfer Engine'!$C$2:$C$1199,0)),"",INDEX('Compliance Database'!$D$2:$D$1199,MATCH(878,'Transfer Engine'!$C$2:$C$1199,0)))</f>
        <v/>
      </c>
      <c r="E887" s="6" t="str">
        <f>IF(ISNA(MATCH(878,'Transfer Engine'!$C$2:$C$1199,0)),"",INDEX('Compliance Database'!$E$2:$E$1199,MATCH(878,'Transfer Engine'!$C$2:$C$1199,0)))</f>
        <v/>
      </c>
      <c r="F887" s="6" t="str">
        <f>IF(ISNA(MATCH(878,'Transfer Engine'!$C$2:$C$1199,0)),"",INDEX('Compliance Database'!$F$2:$F$1199,MATCH(878,'Transfer Engine'!$C$2:$C$1199,0)))</f>
        <v/>
      </c>
      <c r="G887" s="6" t="str">
        <f>IF(ISNA(MATCH(878,'Transfer Engine'!$C$2:$C$1199,0)),"",INDEX('Compliance Database'!$G$2:$G$1199,MATCH(878,'Transfer Engine'!$C$2:$C$1199,0)))</f>
        <v/>
      </c>
      <c r="H887" s="7" t="str">
        <f>IF(ISNA(MATCH(878,'Transfer Engine'!$C$2:$C$1199,0)),"",INDEX('Compliance Database'!$H$2:$H$1199,MATCH(878,'Transfer Engine'!$C$2:$C$1199,0)))</f>
        <v/>
      </c>
      <c r="I887" s="7" t="str">
        <f>IF(ISNA(MATCH(878,'Transfer Engine'!$C$2:$C$1199,0)),"",INDEX('Compliance Database'!$I$2:$I$1199,MATCH(878,'Transfer Engine'!$C$2:$C$1199,0)))</f>
        <v/>
      </c>
      <c r="J887" s="6" t="str">
        <f>IF(ISNA(MATCH(878,'Transfer Engine'!$C$2:$C$1199,0)),"",INDEX('Compliance Database'!$J$2:$J$1199,MATCH(878,'Transfer Engine'!$C$2:$C$1199,0)))</f>
        <v/>
      </c>
      <c r="K887" s="7" t="str">
        <f>IF(ISNA(MATCH(878,'Transfer Engine'!$C$2:$C$1199,0)),"",INDEX('Compliance Database'!$K$2:$K$1199,MATCH(878,'Transfer Engine'!$C$2:$C$1199,0)))</f>
        <v/>
      </c>
      <c r="L887" s="7" t="str">
        <f>IF(ISNA(MATCH(878,'Transfer Engine'!$C$2:$C$1199,0)),"",INDEX('Compliance Database'!$L$2:$L$1199,MATCH(878,'Transfer Engine'!$C$2:$C$1199,0)))</f>
        <v/>
      </c>
      <c r="M887" s="7" t="str">
        <f>IF(ISNA(MATCH(878,'Transfer Engine'!$C$2:$C$1199,0)),"",INDEX('Compliance Database'!$M$2:$M$1199,MATCH(878,'Transfer Engine'!$C$2:$C$1199,0)))</f>
        <v/>
      </c>
      <c r="N887" s="7" t="str">
        <f>IF(ISNA(MATCH(878,'Transfer Engine'!$C$2:$C$1199,0)),"",INDEX('Compliance Database'!$N$2:$N$1199,MATCH(878,'Transfer Engine'!$C$2:$C$1199,0)))</f>
        <v/>
      </c>
      <c r="O887" s="7" t="str">
        <f>IF(ISNA(MATCH(878,'Transfer Engine'!$C$2:$C$1199,0)),"",INDEX('Compliance Database'!$O$2:$O$1199,MATCH(878,'Transfer Engine'!$C$2:$C$1199,0)))</f>
        <v/>
      </c>
      <c r="P887" s="6" t="str">
        <f>IF(ISNA(MATCH(878,'Transfer Engine'!$C$2:$C$1199,0)),"",HYPERLINK("#Acts!A"&amp;INDEX('Compliance Database'!$P$2:$P$1199,MATCH(878,'Transfer Engine'!$C$2:$C$1199,0)),"Go to Act"))</f>
        <v/>
      </c>
    </row>
    <row r="888" spans="1:16" ht="172.95" customHeight="1" x14ac:dyDescent="0.3">
      <c r="A888" s="6" t="str">
        <f>IF(ISNA(MATCH(879,'Transfer Engine'!$C$2:$C$1199,0)),"",INDEX('Compliance Database'!$A$2:$A$1199,MATCH(879,'Transfer Engine'!$C$2:$C$1199,0)))</f>
        <v/>
      </c>
      <c r="B888" s="6" t="str">
        <f>IF(ISNA(MATCH(879,'Transfer Engine'!$C$2:$C$1199,0)),"",INDEX('Compliance Database'!$B$2:$B$1199,MATCH(879,'Transfer Engine'!$C$2:$C$1199,0)))</f>
        <v/>
      </c>
      <c r="C888" s="6" t="str">
        <f>IF(ISNA(MATCH(879,'Transfer Engine'!$C$2:$C$1199,0)),"",INDEX('Compliance Database'!$C$2:$C$1199,MATCH(879,'Transfer Engine'!$C$2:$C$1199,0)))</f>
        <v/>
      </c>
      <c r="D888" s="7" t="str">
        <f>IF(ISNA(MATCH(879,'Transfer Engine'!$C$2:$C$1199,0)),"",INDEX('Compliance Database'!$D$2:$D$1199,MATCH(879,'Transfer Engine'!$C$2:$C$1199,0)))</f>
        <v/>
      </c>
      <c r="E888" s="6" t="str">
        <f>IF(ISNA(MATCH(879,'Transfer Engine'!$C$2:$C$1199,0)),"",INDEX('Compliance Database'!$E$2:$E$1199,MATCH(879,'Transfer Engine'!$C$2:$C$1199,0)))</f>
        <v/>
      </c>
      <c r="F888" s="6" t="str">
        <f>IF(ISNA(MATCH(879,'Transfer Engine'!$C$2:$C$1199,0)),"",INDEX('Compliance Database'!$F$2:$F$1199,MATCH(879,'Transfer Engine'!$C$2:$C$1199,0)))</f>
        <v/>
      </c>
      <c r="G888" s="6" t="str">
        <f>IF(ISNA(MATCH(879,'Transfer Engine'!$C$2:$C$1199,0)),"",INDEX('Compliance Database'!$G$2:$G$1199,MATCH(879,'Transfer Engine'!$C$2:$C$1199,0)))</f>
        <v/>
      </c>
      <c r="H888" s="7" t="str">
        <f>IF(ISNA(MATCH(879,'Transfer Engine'!$C$2:$C$1199,0)),"",INDEX('Compliance Database'!$H$2:$H$1199,MATCH(879,'Transfer Engine'!$C$2:$C$1199,0)))</f>
        <v/>
      </c>
      <c r="I888" s="7" t="str">
        <f>IF(ISNA(MATCH(879,'Transfer Engine'!$C$2:$C$1199,0)),"",INDEX('Compliance Database'!$I$2:$I$1199,MATCH(879,'Transfer Engine'!$C$2:$C$1199,0)))</f>
        <v/>
      </c>
      <c r="J888" s="6" t="str">
        <f>IF(ISNA(MATCH(879,'Transfer Engine'!$C$2:$C$1199,0)),"",INDEX('Compliance Database'!$J$2:$J$1199,MATCH(879,'Transfer Engine'!$C$2:$C$1199,0)))</f>
        <v/>
      </c>
      <c r="K888" s="7" t="str">
        <f>IF(ISNA(MATCH(879,'Transfer Engine'!$C$2:$C$1199,0)),"",INDEX('Compliance Database'!$K$2:$K$1199,MATCH(879,'Transfer Engine'!$C$2:$C$1199,0)))</f>
        <v/>
      </c>
      <c r="L888" s="7" t="str">
        <f>IF(ISNA(MATCH(879,'Transfer Engine'!$C$2:$C$1199,0)),"",INDEX('Compliance Database'!$L$2:$L$1199,MATCH(879,'Transfer Engine'!$C$2:$C$1199,0)))</f>
        <v/>
      </c>
      <c r="M888" s="7" t="str">
        <f>IF(ISNA(MATCH(879,'Transfer Engine'!$C$2:$C$1199,0)),"",INDEX('Compliance Database'!$M$2:$M$1199,MATCH(879,'Transfer Engine'!$C$2:$C$1199,0)))</f>
        <v/>
      </c>
      <c r="N888" s="7" t="str">
        <f>IF(ISNA(MATCH(879,'Transfer Engine'!$C$2:$C$1199,0)),"",INDEX('Compliance Database'!$N$2:$N$1199,MATCH(879,'Transfer Engine'!$C$2:$C$1199,0)))</f>
        <v/>
      </c>
      <c r="O888" s="7" t="str">
        <f>IF(ISNA(MATCH(879,'Transfer Engine'!$C$2:$C$1199,0)),"",INDEX('Compliance Database'!$O$2:$O$1199,MATCH(879,'Transfer Engine'!$C$2:$C$1199,0)))</f>
        <v/>
      </c>
      <c r="P888" s="6" t="str">
        <f>IF(ISNA(MATCH(879,'Transfer Engine'!$C$2:$C$1199,0)),"",HYPERLINK("#Acts!A"&amp;INDEX('Compliance Database'!$P$2:$P$1199,MATCH(879,'Transfer Engine'!$C$2:$C$1199,0)),"Go to Act"))</f>
        <v/>
      </c>
    </row>
    <row r="889" spans="1:16" ht="172.95" customHeight="1" x14ac:dyDescent="0.3">
      <c r="A889" s="6" t="str">
        <f>IF(ISNA(MATCH(880,'Transfer Engine'!$C$2:$C$1199,0)),"",INDEX('Compliance Database'!$A$2:$A$1199,MATCH(880,'Transfer Engine'!$C$2:$C$1199,0)))</f>
        <v/>
      </c>
      <c r="B889" s="6" t="str">
        <f>IF(ISNA(MATCH(880,'Transfer Engine'!$C$2:$C$1199,0)),"",INDEX('Compliance Database'!$B$2:$B$1199,MATCH(880,'Transfer Engine'!$C$2:$C$1199,0)))</f>
        <v/>
      </c>
      <c r="C889" s="6" t="str">
        <f>IF(ISNA(MATCH(880,'Transfer Engine'!$C$2:$C$1199,0)),"",INDEX('Compliance Database'!$C$2:$C$1199,MATCH(880,'Transfer Engine'!$C$2:$C$1199,0)))</f>
        <v/>
      </c>
      <c r="D889" s="7" t="str">
        <f>IF(ISNA(MATCH(880,'Transfer Engine'!$C$2:$C$1199,0)),"",INDEX('Compliance Database'!$D$2:$D$1199,MATCH(880,'Transfer Engine'!$C$2:$C$1199,0)))</f>
        <v/>
      </c>
      <c r="E889" s="6" t="str">
        <f>IF(ISNA(MATCH(880,'Transfer Engine'!$C$2:$C$1199,0)),"",INDEX('Compliance Database'!$E$2:$E$1199,MATCH(880,'Transfer Engine'!$C$2:$C$1199,0)))</f>
        <v/>
      </c>
      <c r="F889" s="6" t="str">
        <f>IF(ISNA(MATCH(880,'Transfer Engine'!$C$2:$C$1199,0)),"",INDEX('Compliance Database'!$F$2:$F$1199,MATCH(880,'Transfer Engine'!$C$2:$C$1199,0)))</f>
        <v/>
      </c>
      <c r="G889" s="6" t="str">
        <f>IF(ISNA(MATCH(880,'Transfer Engine'!$C$2:$C$1199,0)),"",INDEX('Compliance Database'!$G$2:$G$1199,MATCH(880,'Transfer Engine'!$C$2:$C$1199,0)))</f>
        <v/>
      </c>
      <c r="H889" s="7" t="str">
        <f>IF(ISNA(MATCH(880,'Transfer Engine'!$C$2:$C$1199,0)),"",INDEX('Compliance Database'!$H$2:$H$1199,MATCH(880,'Transfer Engine'!$C$2:$C$1199,0)))</f>
        <v/>
      </c>
      <c r="I889" s="7" t="str">
        <f>IF(ISNA(MATCH(880,'Transfer Engine'!$C$2:$C$1199,0)),"",INDEX('Compliance Database'!$I$2:$I$1199,MATCH(880,'Transfer Engine'!$C$2:$C$1199,0)))</f>
        <v/>
      </c>
      <c r="J889" s="6" t="str">
        <f>IF(ISNA(MATCH(880,'Transfer Engine'!$C$2:$C$1199,0)),"",INDEX('Compliance Database'!$J$2:$J$1199,MATCH(880,'Transfer Engine'!$C$2:$C$1199,0)))</f>
        <v/>
      </c>
      <c r="K889" s="7" t="str">
        <f>IF(ISNA(MATCH(880,'Transfer Engine'!$C$2:$C$1199,0)),"",INDEX('Compliance Database'!$K$2:$K$1199,MATCH(880,'Transfer Engine'!$C$2:$C$1199,0)))</f>
        <v/>
      </c>
      <c r="L889" s="7" t="str">
        <f>IF(ISNA(MATCH(880,'Transfer Engine'!$C$2:$C$1199,0)),"",INDEX('Compliance Database'!$L$2:$L$1199,MATCH(880,'Transfer Engine'!$C$2:$C$1199,0)))</f>
        <v/>
      </c>
      <c r="M889" s="7" t="str">
        <f>IF(ISNA(MATCH(880,'Transfer Engine'!$C$2:$C$1199,0)),"",INDEX('Compliance Database'!$M$2:$M$1199,MATCH(880,'Transfer Engine'!$C$2:$C$1199,0)))</f>
        <v/>
      </c>
      <c r="N889" s="7" t="str">
        <f>IF(ISNA(MATCH(880,'Transfer Engine'!$C$2:$C$1199,0)),"",INDEX('Compliance Database'!$N$2:$N$1199,MATCH(880,'Transfer Engine'!$C$2:$C$1199,0)))</f>
        <v/>
      </c>
      <c r="O889" s="7" t="str">
        <f>IF(ISNA(MATCH(880,'Transfer Engine'!$C$2:$C$1199,0)),"",INDEX('Compliance Database'!$O$2:$O$1199,MATCH(880,'Transfer Engine'!$C$2:$C$1199,0)))</f>
        <v/>
      </c>
      <c r="P889" s="6" t="str">
        <f>IF(ISNA(MATCH(880,'Transfer Engine'!$C$2:$C$1199,0)),"",HYPERLINK("#Acts!A"&amp;INDEX('Compliance Database'!$P$2:$P$1199,MATCH(880,'Transfer Engine'!$C$2:$C$1199,0)),"Go to Act"))</f>
        <v/>
      </c>
    </row>
    <row r="890" spans="1:16" ht="172.95" customHeight="1" x14ac:dyDescent="0.3">
      <c r="A890" s="6" t="str">
        <f>IF(ISNA(MATCH(881,'Transfer Engine'!$C$2:$C$1199,0)),"",INDEX('Compliance Database'!$A$2:$A$1199,MATCH(881,'Transfer Engine'!$C$2:$C$1199,0)))</f>
        <v/>
      </c>
      <c r="B890" s="6" t="str">
        <f>IF(ISNA(MATCH(881,'Transfer Engine'!$C$2:$C$1199,0)),"",INDEX('Compliance Database'!$B$2:$B$1199,MATCH(881,'Transfer Engine'!$C$2:$C$1199,0)))</f>
        <v/>
      </c>
      <c r="C890" s="6" t="str">
        <f>IF(ISNA(MATCH(881,'Transfer Engine'!$C$2:$C$1199,0)),"",INDEX('Compliance Database'!$C$2:$C$1199,MATCH(881,'Transfer Engine'!$C$2:$C$1199,0)))</f>
        <v/>
      </c>
      <c r="D890" s="7" t="str">
        <f>IF(ISNA(MATCH(881,'Transfer Engine'!$C$2:$C$1199,0)),"",INDEX('Compliance Database'!$D$2:$D$1199,MATCH(881,'Transfer Engine'!$C$2:$C$1199,0)))</f>
        <v/>
      </c>
      <c r="E890" s="6" t="str">
        <f>IF(ISNA(MATCH(881,'Transfer Engine'!$C$2:$C$1199,0)),"",INDEX('Compliance Database'!$E$2:$E$1199,MATCH(881,'Transfer Engine'!$C$2:$C$1199,0)))</f>
        <v/>
      </c>
      <c r="F890" s="6" t="str">
        <f>IF(ISNA(MATCH(881,'Transfer Engine'!$C$2:$C$1199,0)),"",INDEX('Compliance Database'!$F$2:$F$1199,MATCH(881,'Transfer Engine'!$C$2:$C$1199,0)))</f>
        <v/>
      </c>
      <c r="G890" s="6" t="str">
        <f>IF(ISNA(MATCH(881,'Transfer Engine'!$C$2:$C$1199,0)),"",INDEX('Compliance Database'!$G$2:$G$1199,MATCH(881,'Transfer Engine'!$C$2:$C$1199,0)))</f>
        <v/>
      </c>
      <c r="H890" s="7" t="str">
        <f>IF(ISNA(MATCH(881,'Transfer Engine'!$C$2:$C$1199,0)),"",INDEX('Compliance Database'!$H$2:$H$1199,MATCH(881,'Transfer Engine'!$C$2:$C$1199,0)))</f>
        <v/>
      </c>
      <c r="I890" s="7" t="str">
        <f>IF(ISNA(MATCH(881,'Transfer Engine'!$C$2:$C$1199,0)),"",INDEX('Compliance Database'!$I$2:$I$1199,MATCH(881,'Transfer Engine'!$C$2:$C$1199,0)))</f>
        <v/>
      </c>
      <c r="J890" s="6" t="str">
        <f>IF(ISNA(MATCH(881,'Transfer Engine'!$C$2:$C$1199,0)),"",INDEX('Compliance Database'!$J$2:$J$1199,MATCH(881,'Transfer Engine'!$C$2:$C$1199,0)))</f>
        <v/>
      </c>
      <c r="K890" s="7" t="str">
        <f>IF(ISNA(MATCH(881,'Transfer Engine'!$C$2:$C$1199,0)),"",INDEX('Compliance Database'!$K$2:$K$1199,MATCH(881,'Transfer Engine'!$C$2:$C$1199,0)))</f>
        <v/>
      </c>
      <c r="L890" s="7" t="str">
        <f>IF(ISNA(MATCH(881,'Transfer Engine'!$C$2:$C$1199,0)),"",INDEX('Compliance Database'!$L$2:$L$1199,MATCH(881,'Transfer Engine'!$C$2:$C$1199,0)))</f>
        <v/>
      </c>
      <c r="M890" s="7" t="str">
        <f>IF(ISNA(MATCH(881,'Transfer Engine'!$C$2:$C$1199,0)),"",INDEX('Compliance Database'!$M$2:$M$1199,MATCH(881,'Transfer Engine'!$C$2:$C$1199,0)))</f>
        <v/>
      </c>
      <c r="N890" s="7" t="str">
        <f>IF(ISNA(MATCH(881,'Transfer Engine'!$C$2:$C$1199,0)),"",INDEX('Compliance Database'!$N$2:$N$1199,MATCH(881,'Transfer Engine'!$C$2:$C$1199,0)))</f>
        <v/>
      </c>
      <c r="O890" s="7" t="str">
        <f>IF(ISNA(MATCH(881,'Transfer Engine'!$C$2:$C$1199,0)),"",INDEX('Compliance Database'!$O$2:$O$1199,MATCH(881,'Transfer Engine'!$C$2:$C$1199,0)))</f>
        <v/>
      </c>
      <c r="P890" s="6" t="str">
        <f>IF(ISNA(MATCH(881,'Transfer Engine'!$C$2:$C$1199,0)),"",HYPERLINK("#Acts!A"&amp;INDEX('Compliance Database'!$P$2:$P$1199,MATCH(881,'Transfer Engine'!$C$2:$C$1199,0)),"Go to Act"))</f>
        <v/>
      </c>
    </row>
    <row r="891" spans="1:16" ht="172.95" customHeight="1" x14ac:dyDescent="0.3">
      <c r="A891" s="6" t="str">
        <f>IF(ISNA(MATCH(882,'Transfer Engine'!$C$2:$C$1199,0)),"",INDEX('Compliance Database'!$A$2:$A$1199,MATCH(882,'Transfer Engine'!$C$2:$C$1199,0)))</f>
        <v/>
      </c>
      <c r="B891" s="6" t="str">
        <f>IF(ISNA(MATCH(882,'Transfer Engine'!$C$2:$C$1199,0)),"",INDEX('Compliance Database'!$B$2:$B$1199,MATCH(882,'Transfer Engine'!$C$2:$C$1199,0)))</f>
        <v/>
      </c>
      <c r="C891" s="6" t="str">
        <f>IF(ISNA(MATCH(882,'Transfer Engine'!$C$2:$C$1199,0)),"",INDEX('Compliance Database'!$C$2:$C$1199,MATCH(882,'Transfer Engine'!$C$2:$C$1199,0)))</f>
        <v/>
      </c>
      <c r="D891" s="7" t="str">
        <f>IF(ISNA(MATCH(882,'Transfer Engine'!$C$2:$C$1199,0)),"",INDEX('Compliance Database'!$D$2:$D$1199,MATCH(882,'Transfer Engine'!$C$2:$C$1199,0)))</f>
        <v/>
      </c>
      <c r="E891" s="6" t="str">
        <f>IF(ISNA(MATCH(882,'Transfer Engine'!$C$2:$C$1199,0)),"",INDEX('Compliance Database'!$E$2:$E$1199,MATCH(882,'Transfer Engine'!$C$2:$C$1199,0)))</f>
        <v/>
      </c>
      <c r="F891" s="6" t="str">
        <f>IF(ISNA(MATCH(882,'Transfer Engine'!$C$2:$C$1199,0)),"",INDEX('Compliance Database'!$F$2:$F$1199,MATCH(882,'Transfer Engine'!$C$2:$C$1199,0)))</f>
        <v/>
      </c>
      <c r="G891" s="6" t="str">
        <f>IF(ISNA(MATCH(882,'Transfer Engine'!$C$2:$C$1199,0)),"",INDEX('Compliance Database'!$G$2:$G$1199,MATCH(882,'Transfer Engine'!$C$2:$C$1199,0)))</f>
        <v/>
      </c>
      <c r="H891" s="7" t="str">
        <f>IF(ISNA(MATCH(882,'Transfer Engine'!$C$2:$C$1199,0)),"",INDEX('Compliance Database'!$H$2:$H$1199,MATCH(882,'Transfer Engine'!$C$2:$C$1199,0)))</f>
        <v/>
      </c>
      <c r="I891" s="7" t="str">
        <f>IF(ISNA(MATCH(882,'Transfer Engine'!$C$2:$C$1199,0)),"",INDEX('Compliance Database'!$I$2:$I$1199,MATCH(882,'Transfer Engine'!$C$2:$C$1199,0)))</f>
        <v/>
      </c>
      <c r="J891" s="6" t="str">
        <f>IF(ISNA(MATCH(882,'Transfer Engine'!$C$2:$C$1199,0)),"",INDEX('Compliance Database'!$J$2:$J$1199,MATCH(882,'Transfer Engine'!$C$2:$C$1199,0)))</f>
        <v/>
      </c>
      <c r="K891" s="7" t="str">
        <f>IF(ISNA(MATCH(882,'Transfer Engine'!$C$2:$C$1199,0)),"",INDEX('Compliance Database'!$K$2:$K$1199,MATCH(882,'Transfer Engine'!$C$2:$C$1199,0)))</f>
        <v/>
      </c>
      <c r="L891" s="7" t="str">
        <f>IF(ISNA(MATCH(882,'Transfer Engine'!$C$2:$C$1199,0)),"",INDEX('Compliance Database'!$L$2:$L$1199,MATCH(882,'Transfer Engine'!$C$2:$C$1199,0)))</f>
        <v/>
      </c>
      <c r="M891" s="7" t="str">
        <f>IF(ISNA(MATCH(882,'Transfer Engine'!$C$2:$C$1199,0)),"",INDEX('Compliance Database'!$M$2:$M$1199,MATCH(882,'Transfer Engine'!$C$2:$C$1199,0)))</f>
        <v/>
      </c>
      <c r="N891" s="7" t="str">
        <f>IF(ISNA(MATCH(882,'Transfer Engine'!$C$2:$C$1199,0)),"",INDEX('Compliance Database'!$N$2:$N$1199,MATCH(882,'Transfer Engine'!$C$2:$C$1199,0)))</f>
        <v/>
      </c>
      <c r="O891" s="7" t="str">
        <f>IF(ISNA(MATCH(882,'Transfer Engine'!$C$2:$C$1199,0)),"",INDEX('Compliance Database'!$O$2:$O$1199,MATCH(882,'Transfer Engine'!$C$2:$C$1199,0)))</f>
        <v/>
      </c>
      <c r="P891" s="6" t="str">
        <f>IF(ISNA(MATCH(882,'Transfer Engine'!$C$2:$C$1199,0)),"",HYPERLINK("#Acts!A"&amp;INDEX('Compliance Database'!$P$2:$P$1199,MATCH(882,'Transfer Engine'!$C$2:$C$1199,0)),"Go to Act"))</f>
        <v/>
      </c>
    </row>
    <row r="892" spans="1:16" ht="172.95" customHeight="1" x14ac:dyDescent="0.3">
      <c r="A892" s="6" t="str">
        <f>IF(ISNA(MATCH(883,'Transfer Engine'!$C$2:$C$1199,0)),"",INDEX('Compliance Database'!$A$2:$A$1199,MATCH(883,'Transfer Engine'!$C$2:$C$1199,0)))</f>
        <v/>
      </c>
      <c r="B892" s="6" t="str">
        <f>IF(ISNA(MATCH(883,'Transfer Engine'!$C$2:$C$1199,0)),"",INDEX('Compliance Database'!$B$2:$B$1199,MATCH(883,'Transfer Engine'!$C$2:$C$1199,0)))</f>
        <v/>
      </c>
      <c r="C892" s="6" t="str">
        <f>IF(ISNA(MATCH(883,'Transfer Engine'!$C$2:$C$1199,0)),"",INDEX('Compliance Database'!$C$2:$C$1199,MATCH(883,'Transfer Engine'!$C$2:$C$1199,0)))</f>
        <v/>
      </c>
      <c r="D892" s="7" t="str">
        <f>IF(ISNA(MATCH(883,'Transfer Engine'!$C$2:$C$1199,0)),"",INDEX('Compliance Database'!$D$2:$D$1199,MATCH(883,'Transfer Engine'!$C$2:$C$1199,0)))</f>
        <v/>
      </c>
      <c r="E892" s="6" t="str">
        <f>IF(ISNA(MATCH(883,'Transfer Engine'!$C$2:$C$1199,0)),"",INDEX('Compliance Database'!$E$2:$E$1199,MATCH(883,'Transfer Engine'!$C$2:$C$1199,0)))</f>
        <v/>
      </c>
      <c r="F892" s="6" t="str">
        <f>IF(ISNA(MATCH(883,'Transfer Engine'!$C$2:$C$1199,0)),"",INDEX('Compliance Database'!$F$2:$F$1199,MATCH(883,'Transfer Engine'!$C$2:$C$1199,0)))</f>
        <v/>
      </c>
      <c r="G892" s="6" t="str">
        <f>IF(ISNA(MATCH(883,'Transfer Engine'!$C$2:$C$1199,0)),"",INDEX('Compliance Database'!$G$2:$G$1199,MATCH(883,'Transfer Engine'!$C$2:$C$1199,0)))</f>
        <v/>
      </c>
      <c r="H892" s="7" t="str">
        <f>IF(ISNA(MATCH(883,'Transfer Engine'!$C$2:$C$1199,0)),"",INDEX('Compliance Database'!$H$2:$H$1199,MATCH(883,'Transfer Engine'!$C$2:$C$1199,0)))</f>
        <v/>
      </c>
      <c r="I892" s="7" t="str">
        <f>IF(ISNA(MATCH(883,'Transfer Engine'!$C$2:$C$1199,0)),"",INDEX('Compliance Database'!$I$2:$I$1199,MATCH(883,'Transfer Engine'!$C$2:$C$1199,0)))</f>
        <v/>
      </c>
      <c r="J892" s="6" t="str">
        <f>IF(ISNA(MATCH(883,'Transfer Engine'!$C$2:$C$1199,0)),"",INDEX('Compliance Database'!$J$2:$J$1199,MATCH(883,'Transfer Engine'!$C$2:$C$1199,0)))</f>
        <v/>
      </c>
      <c r="K892" s="7" t="str">
        <f>IF(ISNA(MATCH(883,'Transfer Engine'!$C$2:$C$1199,0)),"",INDEX('Compliance Database'!$K$2:$K$1199,MATCH(883,'Transfer Engine'!$C$2:$C$1199,0)))</f>
        <v/>
      </c>
      <c r="L892" s="7" t="str">
        <f>IF(ISNA(MATCH(883,'Transfer Engine'!$C$2:$C$1199,0)),"",INDEX('Compliance Database'!$L$2:$L$1199,MATCH(883,'Transfer Engine'!$C$2:$C$1199,0)))</f>
        <v/>
      </c>
      <c r="M892" s="7" t="str">
        <f>IF(ISNA(MATCH(883,'Transfer Engine'!$C$2:$C$1199,0)),"",INDEX('Compliance Database'!$M$2:$M$1199,MATCH(883,'Transfer Engine'!$C$2:$C$1199,0)))</f>
        <v/>
      </c>
      <c r="N892" s="7" t="str">
        <f>IF(ISNA(MATCH(883,'Transfer Engine'!$C$2:$C$1199,0)),"",INDEX('Compliance Database'!$N$2:$N$1199,MATCH(883,'Transfer Engine'!$C$2:$C$1199,0)))</f>
        <v/>
      </c>
      <c r="O892" s="7" t="str">
        <f>IF(ISNA(MATCH(883,'Transfer Engine'!$C$2:$C$1199,0)),"",INDEX('Compliance Database'!$O$2:$O$1199,MATCH(883,'Transfer Engine'!$C$2:$C$1199,0)))</f>
        <v/>
      </c>
      <c r="P892" s="6" t="str">
        <f>IF(ISNA(MATCH(883,'Transfer Engine'!$C$2:$C$1199,0)),"",HYPERLINK("#Acts!A"&amp;INDEX('Compliance Database'!$P$2:$P$1199,MATCH(883,'Transfer Engine'!$C$2:$C$1199,0)),"Go to Act"))</f>
        <v/>
      </c>
    </row>
    <row r="893" spans="1:16" ht="172.95" customHeight="1" x14ac:dyDescent="0.3">
      <c r="A893" s="6" t="str">
        <f>IF(ISNA(MATCH(884,'Transfer Engine'!$C$2:$C$1199,0)),"",INDEX('Compliance Database'!$A$2:$A$1199,MATCH(884,'Transfer Engine'!$C$2:$C$1199,0)))</f>
        <v/>
      </c>
      <c r="B893" s="6" t="str">
        <f>IF(ISNA(MATCH(884,'Transfer Engine'!$C$2:$C$1199,0)),"",INDEX('Compliance Database'!$B$2:$B$1199,MATCH(884,'Transfer Engine'!$C$2:$C$1199,0)))</f>
        <v/>
      </c>
      <c r="C893" s="6" t="str">
        <f>IF(ISNA(MATCH(884,'Transfer Engine'!$C$2:$C$1199,0)),"",INDEX('Compliance Database'!$C$2:$C$1199,MATCH(884,'Transfer Engine'!$C$2:$C$1199,0)))</f>
        <v/>
      </c>
      <c r="D893" s="7" t="str">
        <f>IF(ISNA(MATCH(884,'Transfer Engine'!$C$2:$C$1199,0)),"",INDEX('Compliance Database'!$D$2:$D$1199,MATCH(884,'Transfer Engine'!$C$2:$C$1199,0)))</f>
        <v/>
      </c>
      <c r="E893" s="6" t="str">
        <f>IF(ISNA(MATCH(884,'Transfer Engine'!$C$2:$C$1199,0)),"",INDEX('Compliance Database'!$E$2:$E$1199,MATCH(884,'Transfer Engine'!$C$2:$C$1199,0)))</f>
        <v/>
      </c>
      <c r="F893" s="6" t="str">
        <f>IF(ISNA(MATCH(884,'Transfer Engine'!$C$2:$C$1199,0)),"",INDEX('Compliance Database'!$F$2:$F$1199,MATCH(884,'Transfer Engine'!$C$2:$C$1199,0)))</f>
        <v/>
      </c>
      <c r="G893" s="6" t="str">
        <f>IF(ISNA(MATCH(884,'Transfer Engine'!$C$2:$C$1199,0)),"",INDEX('Compliance Database'!$G$2:$G$1199,MATCH(884,'Transfer Engine'!$C$2:$C$1199,0)))</f>
        <v/>
      </c>
      <c r="H893" s="7" t="str">
        <f>IF(ISNA(MATCH(884,'Transfer Engine'!$C$2:$C$1199,0)),"",INDEX('Compliance Database'!$H$2:$H$1199,MATCH(884,'Transfer Engine'!$C$2:$C$1199,0)))</f>
        <v/>
      </c>
      <c r="I893" s="7" t="str">
        <f>IF(ISNA(MATCH(884,'Transfer Engine'!$C$2:$C$1199,0)),"",INDEX('Compliance Database'!$I$2:$I$1199,MATCH(884,'Transfer Engine'!$C$2:$C$1199,0)))</f>
        <v/>
      </c>
      <c r="J893" s="6" t="str">
        <f>IF(ISNA(MATCH(884,'Transfer Engine'!$C$2:$C$1199,0)),"",INDEX('Compliance Database'!$J$2:$J$1199,MATCH(884,'Transfer Engine'!$C$2:$C$1199,0)))</f>
        <v/>
      </c>
      <c r="K893" s="7" t="str">
        <f>IF(ISNA(MATCH(884,'Transfer Engine'!$C$2:$C$1199,0)),"",INDEX('Compliance Database'!$K$2:$K$1199,MATCH(884,'Transfer Engine'!$C$2:$C$1199,0)))</f>
        <v/>
      </c>
      <c r="L893" s="7" t="str">
        <f>IF(ISNA(MATCH(884,'Transfer Engine'!$C$2:$C$1199,0)),"",INDEX('Compliance Database'!$L$2:$L$1199,MATCH(884,'Transfer Engine'!$C$2:$C$1199,0)))</f>
        <v/>
      </c>
      <c r="M893" s="7" t="str">
        <f>IF(ISNA(MATCH(884,'Transfer Engine'!$C$2:$C$1199,0)),"",INDEX('Compliance Database'!$M$2:$M$1199,MATCH(884,'Transfer Engine'!$C$2:$C$1199,0)))</f>
        <v/>
      </c>
      <c r="N893" s="7" t="str">
        <f>IF(ISNA(MATCH(884,'Transfer Engine'!$C$2:$C$1199,0)),"",INDEX('Compliance Database'!$N$2:$N$1199,MATCH(884,'Transfer Engine'!$C$2:$C$1199,0)))</f>
        <v/>
      </c>
      <c r="O893" s="7" t="str">
        <f>IF(ISNA(MATCH(884,'Transfer Engine'!$C$2:$C$1199,0)),"",INDEX('Compliance Database'!$O$2:$O$1199,MATCH(884,'Transfer Engine'!$C$2:$C$1199,0)))</f>
        <v/>
      </c>
      <c r="P893" s="6" t="str">
        <f>IF(ISNA(MATCH(884,'Transfer Engine'!$C$2:$C$1199,0)),"",HYPERLINK("#Acts!A"&amp;INDEX('Compliance Database'!$P$2:$P$1199,MATCH(884,'Transfer Engine'!$C$2:$C$1199,0)),"Go to Act"))</f>
        <v/>
      </c>
    </row>
    <row r="894" spans="1:16" ht="172.95" customHeight="1" x14ac:dyDescent="0.3">
      <c r="A894" s="6" t="str">
        <f>IF(ISNA(MATCH(885,'Transfer Engine'!$C$2:$C$1199,0)),"",INDEX('Compliance Database'!$A$2:$A$1199,MATCH(885,'Transfer Engine'!$C$2:$C$1199,0)))</f>
        <v/>
      </c>
      <c r="B894" s="6" t="str">
        <f>IF(ISNA(MATCH(885,'Transfer Engine'!$C$2:$C$1199,0)),"",INDEX('Compliance Database'!$B$2:$B$1199,MATCH(885,'Transfer Engine'!$C$2:$C$1199,0)))</f>
        <v/>
      </c>
      <c r="C894" s="6" t="str">
        <f>IF(ISNA(MATCH(885,'Transfer Engine'!$C$2:$C$1199,0)),"",INDEX('Compliance Database'!$C$2:$C$1199,MATCH(885,'Transfer Engine'!$C$2:$C$1199,0)))</f>
        <v/>
      </c>
      <c r="D894" s="7" t="str">
        <f>IF(ISNA(MATCH(885,'Transfer Engine'!$C$2:$C$1199,0)),"",INDEX('Compliance Database'!$D$2:$D$1199,MATCH(885,'Transfer Engine'!$C$2:$C$1199,0)))</f>
        <v/>
      </c>
      <c r="E894" s="6" t="str">
        <f>IF(ISNA(MATCH(885,'Transfer Engine'!$C$2:$C$1199,0)),"",INDEX('Compliance Database'!$E$2:$E$1199,MATCH(885,'Transfer Engine'!$C$2:$C$1199,0)))</f>
        <v/>
      </c>
      <c r="F894" s="6" t="str">
        <f>IF(ISNA(MATCH(885,'Transfer Engine'!$C$2:$C$1199,0)),"",INDEX('Compliance Database'!$F$2:$F$1199,MATCH(885,'Transfer Engine'!$C$2:$C$1199,0)))</f>
        <v/>
      </c>
      <c r="G894" s="6" t="str">
        <f>IF(ISNA(MATCH(885,'Transfer Engine'!$C$2:$C$1199,0)),"",INDEX('Compliance Database'!$G$2:$G$1199,MATCH(885,'Transfer Engine'!$C$2:$C$1199,0)))</f>
        <v/>
      </c>
      <c r="H894" s="7" t="str">
        <f>IF(ISNA(MATCH(885,'Transfer Engine'!$C$2:$C$1199,0)),"",INDEX('Compliance Database'!$H$2:$H$1199,MATCH(885,'Transfer Engine'!$C$2:$C$1199,0)))</f>
        <v/>
      </c>
      <c r="I894" s="7" t="str">
        <f>IF(ISNA(MATCH(885,'Transfer Engine'!$C$2:$C$1199,0)),"",INDEX('Compliance Database'!$I$2:$I$1199,MATCH(885,'Transfer Engine'!$C$2:$C$1199,0)))</f>
        <v/>
      </c>
      <c r="J894" s="6" t="str">
        <f>IF(ISNA(MATCH(885,'Transfer Engine'!$C$2:$C$1199,0)),"",INDEX('Compliance Database'!$J$2:$J$1199,MATCH(885,'Transfer Engine'!$C$2:$C$1199,0)))</f>
        <v/>
      </c>
      <c r="K894" s="7" t="str">
        <f>IF(ISNA(MATCH(885,'Transfer Engine'!$C$2:$C$1199,0)),"",INDEX('Compliance Database'!$K$2:$K$1199,MATCH(885,'Transfer Engine'!$C$2:$C$1199,0)))</f>
        <v/>
      </c>
      <c r="L894" s="7" t="str">
        <f>IF(ISNA(MATCH(885,'Transfer Engine'!$C$2:$C$1199,0)),"",INDEX('Compliance Database'!$L$2:$L$1199,MATCH(885,'Transfer Engine'!$C$2:$C$1199,0)))</f>
        <v/>
      </c>
      <c r="M894" s="7" t="str">
        <f>IF(ISNA(MATCH(885,'Transfer Engine'!$C$2:$C$1199,0)),"",INDEX('Compliance Database'!$M$2:$M$1199,MATCH(885,'Transfer Engine'!$C$2:$C$1199,0)))</f>
        <v/>
      </c>
      <c r="N894" s="7" t="str">
        <f>IF(ISNA(MATCH(885,'Transfer Engine'!$C$2:$C$1199,0)),"",INDEX('Compliance Database'!$N$2:$N$1199,MATCH(885,'Transfer Engine'!$C$2:$C$1199,0)))</f>
        <v/>
      </c>
      <c r="O894" s="7" t="str">
        <f>IF(ISNA(MATCH(885,'Transfer Engine'!$C$2:$C$1199,0)),"",INDEX('Compliance Database'!$O$2:$O$1199,MATCH(885,'Transfer Engine'!$C$2:$C$1199,0)))</f>
        <v/>
      </c>
      <c r="P894" s="6" t="str">
        <f>IF(ISNA(MATCH(885,'Transfer Engine'!$C$2:$C$1199,0)),"",HYPERLINK("#Acts!A"&amp;INDEX('Compliance Database'!$P$2:$P$1199,MATCH(885,'Transfer Engine'!$C$2:$C$1199,0)),"Go to Act"))</f>
        <v/>
      </c>
    </row>
    <row r="895" spans="1:16" ht="172.95" customHeight="1" x14ac:dyDescent="0.3">
      <c r="A895" s="6" t="str">
        <f>IF(ISNA(MATCH(886,'Transfer Engine'!$C$2:$C$1199,0)),"",INDEX('Compliance Database'!$A$2:$A$1199,MATCH(886,'Transfer Engine'!$C$2:$C$1199,0)))</f>
        <v/>
      </c>
      <c r="B895" s="6" t="str">
        <f>IF(ISNA(MATCH(886,'Transfer Engine'!$C$2:$C$1199,0)),"",INDEX('Compliance Database'!$B$2:$B$1199,MATCH(886,'Transfer Engine'!$C$2:$C$1199,0)))</f>
        <v/>
      </c>
      <c r="C895" s="6" t="str">
        <f>IF(ISNA(MATCH(886,'Transfer Engine'!$C$2:$C$1199,0)),"",INDEX('Compliance Database'!$C$2:$C$1199,MATCH(886,'Transfer Engine'!$C$2:$C$1199,0)))</f>
        <v/>
      </c>
      <c r="D895" s="7" t="str">
        <f>IF(ISNA(MATCH(886,'Transfer Engine'!$C$2:$C$1199,0)),"",INDEX('Compliance Database'!$D$2:$D$1199,MATCH(886,'Transfer Engine'!$C$2:$C$1199,0)))</f>
        <v/>
      </c>
      <c r="E895" s="6" t="str">
        <f>IF(ISNA(MATCH(886,'Transfer Engine'!$C$2:$C$1199,0)),"",INDEX('Compliance Database'!$E$2:$E$1199,MATCH(886,'Transfer Engine'!$C$2:$C$1199,0)))</f>
        <v/>
      </c>
      <c r="F895" s="6" t="str">
        <f>IF(ISNA(MATCH(886,'Transfer Engine'!$C$2:$C$1199,0)),"",INDEX('Compliance Database'!$F$2:$F$1199,MATCH(886,'Transfer Engine'!$C$2:$C$1199,0)))</f>
        <v/>
      </c>
      <c r="G895" s="6" t="str">
        <f>IF(ISNA(MATCH(886,'Transfer Engine'!$C$2:$C$1199,0)),"",INDEX('Compliance Database'!$G$2:$G$1199,MATCH(886,'Transfer Engine'!$C$2:$C$1199,0)))</f>
        <v/>
      </c>
      <c r="H895" s="7" t="str">
        <f>IF(ISNA(MATCH(886,'Transfer Engine'!$C$2:$C$1199,0)),"",INDEX('Compliance Database'!$H$2:$H$1199,MATCH(886,'Transfer Engine'!$C$2:$C$1199,0)))</f>
        <v/>
      </c>
      <c r="I895" s="7" t="str">
        <f>IF(ISNA(MATCH(886,'Transfer Engine'!$C$2:$C$1199,0)),"",INDEX('Compliance Database'!$I$2:$I$1199,MATCH(886,'Transfer Engine'!$C$2:$C$1199,0)))</f>
        <v/>
      </c>
      <c r="J895" s="6" t="str">
        <f>IF(ISNA(MATCH(886,'Transfer Engine'!$C$2:$C$1199,0)),"",INDEX('Compliance Database'!$J$2:$J$1199,MATCH(886,'Transfer Engine'!$C$2:$C$1199,0)))</f>
        <v/>
      </c>
      <c r="K895" s="7" t="str">
        <f>IF(ISNA(MATCH(886,'Transfer Engine'!$C$2:$C$1199,0)),"",INDEX('Compliance Database'!$K$2:$K$1199,MATCH(886,'Transfer Engine'!$C$2:$C$1199,0)))</f>
        <v/>
      </c>
      <c r="L895" s="7" t="str">
        <f>IF(ISNA(MATCH(886,'Transfer Engine'!$C$2:$C$1199,0)),"",INDEX('Compliance Database'!$L$2:$L$1199,MATCH(886,'Transfer Engine'!$C$2:$C$1199,0)))</f>
        <v/>
      </c>
      <c r="M895" s="7" t="str">
        <f>IF(ISNA(MATCH(886,'Transfer Engine'!$C$2:$C$1199,0)),"",INDEX('Compliance Database'!$M$2:$M$1199,MATCH(886,'Transfer Engine'!$C$2:$C$1199,0)))</f>
        <v/>
      </c>
      <c r="N895" s="7" t="str">
        <f>IF(ISNA(MATCH(886,'Transfer Engine'!$C$2:$C$1199,0)),"",INDEX('Compliance Database'!$N$2:$N$1199,MATCH(886,'Transfer Engine'!$C$2:$C$1199,0)))</f>
        <v/>
      </c>
      <c r="O895" s="7" t="str">
        <f>IF(ISNA(MATCH(886,'Transfer Engine'!$C$2:$C$1199,0)),"",INDEX('Compliance Database'!$O$2:$O$1199,MATCH(886,'Transfer Engine'!$C$2:$C$1199,0)))</f>
        <v/>
      </c>
      <c r="P895" s="6" t="str">
        <f>IF(ISNA(MATCH(886,'Transfer Engine'!$C$2:$C$1199,0)),"",HYPERLINK("#Acts!A"&amp;INDEX('Compliance Database'!$P$2:$P$1199,MATCH(886,'Transfer Engine'!$C$2:$C$1199,0)),"Go to Act"))</f>
        <v/>
      </c>
    </row>
    <row r="896" spans="1:16" ht="172.95" customHeight="1" x14ac:dyDescent="0.3">
      <c r="A896" s="6" t="str">
        <f>IF(ISNA(MATCH(887,'Transfer Engine'!$C$2:$C$1199,0)),"",INDEX('Compliance Database'!$A$2:$A$1199,MATCH(887,'Transfer Engine'!$C$2:$C$1199,0)))</f>
        <v/>
      </c>
      <c r="B896" s="6" t="str">
        <f>IF(ISNA(MATCH(887,'Transfer Engine'!$C$2:$C$1199,0)),"",INDEX('Compliance Database'!$B$2:$B$1199,MATCH(887,'Transfer Engine'!$C$2:$C$1199,0)))</f>
        <v/>
      </c>
      <c r="C896" s="6" t="str">
        <f>IF(ISNA(MATCH(887,'Transfer Engine'!$C$2:$C$1199,0)),"",INDEX('Compliance Database'!$C$2:$C$1199,MATCH(887,'Transfer Engine'!$C$2:$C$1199,0)))</f>
        <v/>
      </c>
      <c r="D896" s="7" t="str">
        <f>IF(ISNA(MATCH(887,'Transfer Engine'!$C$2:$C$1199,0)),"",INDEX('Compliance Database'!$D$2:$D$1199,MATCH(887,'Transfer Engine'!$C$2:$C$1199,0)))</f>
        <v/>
      </c>
      <c r="E896" s="6" t="str">
        <f>IF(ISNA(MATCH(887,'Transfer Engine'!$C$2:$C$1199,0)),"",INDEX('Compliance Database'!$E$2:$E$1199,MATCH(887,'Transfer Engine'!$C$2:$C$1199,0)))</f>
        <v/>
      </c>
      <c r="F896" s="6" t="str">
        <f>IF(ISNA(MATCH(887,'Transfer Engine'!$C$2:$C$1199,0)),"",INDEX('Compliance Database'!$F$2:$F$1199,MATCH(887,'Transfer Engine'!$C$2:$C$1199,0)))</f>
        <v/>
      </c>
      <c r="G896" s="6" t="str">
        <f>IF(ISNA(MATCH(887,'Transfer Engine'!$C$2:$C$1199,0)),"",INDEX('Compliance Database'!$G$2:$G$1199,MATCH(887,'Transfer Engine'!$C$2:$C$1199,0)))</f>
        <v/>
      </c>
      <c r="H896" s="7" t="str">
        <f>IF(ISNA(MATCH(887,'Transfer Engine'!$C$2:$C$1199,0)),"",INDEX('Compliance Database'!$H$2:$H$1199,MATCH(887,'Transfer Engine'!$C$2:$C$1199,0)))</f>
        <v/>
      </c>
      <c r="I896" s="7" t="str">
        <f>IF(ISNA(MATCH(887,'Transfer Engine'!$C$2:$C$1199,0)),"",INDEX('Compliance Database'!$I$2:$I$1199,MATCH(887,'Transfer Engine'!$C$2:$C$1199,0)))</f>
        <v/>
      </c>
      <c r="J896" s="6" t="str">
        <f>IF(ISNA(MATCH(887,'Transfer Engine'!$C$2:$C$1199,0)),"",INDEX('Compliance Database'!$J$2:$J$1199,MATCH(887,'Transfer Engine'!$C$2:$C$1199,0)))</f>
        <v/>
      </c>
      <c r="K896" s="7" t="str">
        <f>IF(ISNA(MATCH(887,'Transfer Engine'!$C$2:$C$1199,0)),"",INDEX('Compliance Database'!$K$2:$K$1199,MATCH(887,'Transfer Engine'!$C$2:$C$1199,0)))</f>
        <v/>
      </c>
      <c r="L896" s="7" t="str">
        <f>IF(ISNA(MATCH(887,'Transfer Engine'!$C$2:$C$1199,0)),"",INDEX('Compliance Database'!$L$2:$L$1199,MATCH(887,'Transfer Engine'!$C$2:$C$1199,0)))</f>
        <v/>
      </c>
      <c r="M896" s="7" t="str">
        <f>IF(ISNA(MATCH(887,'Transfer Engine'!$C$2:$C$1199,0)),"",INDEX('Compliance Database'!$M$2:$M$1199,MATCH(887,'Transfer Engine'!$C$2:$C$1199,0)))</f>
        <v/>
      </c>
      <c r="N896" s="7" t="str">
        <f>IF(ISNA(MATCH(887,'Transfer Engine'!$C$2:$C$1199,0)),"",INDEX('Compliance Database'!$N$2:$N$1199,MATCH(887,'Transfer Engine'!$C$2:$C$1199,0)))</f>
        <v/>
      </c>
      <c r="O896" s="7" t="str">
        <f>IF(ISNA(MATCH(887,'Transfer Engine'!$C$2:$C$1199,0)),"",INDEX('Compliance Database'!$O$2:$O$1199,MATCH(887,'Transfer Engine'!$C$2:$C$1199,0)))</f>
        <v/>
      </c>
      <c r="P896" s="6" t="str">
        <f>IF(ISNA(MATCH(887,'Transfer Engine'!$C$2:$C$1199,0)),"",HYPERLINK("#Acts!A"&amp;INDEX('Compliance Database'!$P$2:$P$1199,MATCH(887,'Transfer Engine'!$C$2:$C$1199,0)),"Go to Act"))</f>
        <v/>
      </c>
    </row>
    <row r="897" spans="1:16" ht="172.95" customHeight="1" x14ac:dyDescent="0.3">
      <c r="A897" s="6" t="str">
        <f>IF(ISNA(MATCH(888,'Transfer Engine'!$C$2:$C$1199,0)),"",INDEX('Compliance Database'!$A$2:$A$1199,MATCH(888,'Transfer Engine'!$C$2:$C$1199,0)))</f>
        <v/>
      </c>
      <c r="B897" s="6" t="str">
        <f>IF(ISNA(MATCH(888,'Transfer Engine'!$C$2:$C$1199,0)),"",INDEX('Compliance Database'!$B$2:$B$1199,MATCH(888,'Transfer Engine'!$C$2:$C$1199,0)))</f>
        <v/>
      </c>
      <c r="C897" s="6" t="str">
        <f>IF(ISNA(MATCH(888,'Transfer Engine'!$C$2:$C$1199,0)),"",INDEX('Compliance Database'!$C$2:$C$1199,MATCH(888,'Transfer Engine'!$C$2:$C$1199,0)))</f>
        <v/>
      </c>
      <c r="D897" s="7" t="str">
        <f>IF(ISNA(MATCH(888,'Transfer Engine'!$C$2:$C$1199,0)),"",INDEX('Compliance Database'!$D$2:$D$1199,MATCH(888,'Transfer Engine'!$C$2:$C$1199,0)))</f>
        <v/>
      </c>
      <c r="E897" s="6" t="str">
        <f>IF(ISNA(MATCH(888,'Transfer Engine'!$C$2:$C$1199,0)),"",INDEX('Compliance Database'!$E$2:$E$1199,MATCH(888,'Transfer Engine'!$C$2:$C$1199,0)))</f>
        <v/>
      </c>
      <c r="F897" s="6" t="str">
        <f>IF(ISNA(MATCH(888,'Transfer Engine'!$C$2:$C$1199,0)),"",INDEX('Compliance Database'!$F$2:$F$1199,MATCH(888,'Transfer Engine'!$C$2:$C$1199,0)))</f>
        <v/>
      </c>
      <c r="G897" s="6" t="str">
        <f>IF(ISNA(MATCH(888,'Transfer Engine'!$C$2:$C$1199,0)),"",INDEX('Compliance Database'!$G$2:$G$1199,MATCH(888,'Transfer Engine'!$C$2:$C$1199,0)))</f>
        <v/>
      </c>
      <c r="H897" s="7" t="str">
        <f>IF(ISNA(MATCH(888,'Transfer Engine'!$C$2:$C$1199,0)),"",INDEX('Compliance Database'!$H$2:$H$1199,MATCH(888,'Transfer Engine'!$C$2:$C$1199,0)))</f>
        <v/>
      </c>
      <c r="I897" s="7" t="str">
        <f>IF(ISNA(MATCH(888,'Transfer Engine'!$C$2:$C$1199,0)),"",INDEX('Compliance Database'!$I$2:$I$1199,MATCH(888,'Transfer Engine'!$C$2:$C$1199,0)))</f>
        <v/>
      </c>
      <c r="J897" s="6" t="str">
        <f>IF(ISNA(MATCH(888,'Transfer Engine'!$C$2:$C$1199,0)),"",INDEX('Compliance Database'!$J$2:$J$1199,MATCH(888,'Transfer Engine'!$C$2:$C$1199,0)))</f>
        <v/>
      </c>
      <c r="K897" s="7" t="str">
        <f>IF(ISNA(MATCH(888,'Transfer Engine'!$C$2:$C$1199,0)),"",INDEX('Compliance Database'!$K$2:$K$1199,MATCH(888,'Transfer Engine'!$C$2:$C$1199,0)))</f>
        <v/>
      </c>
      <c r="L897" s="7" t="str">
        <f>IF(ISNA(MATCH(888,'Transfer Engine'!$C$2:$C$1199,0)),"",INDEX('Compliance Database'!$L$2:$L$1199,MATCH(888,'Transfer Engine'!$C$2:$C$1199,0)))</f>
        <v/>
      </c>
      <c r="M897" s="7" t="str">
        <f>IF(ISNA(MATCH(888,'Transfer Engine'!$C$2:$C$1199,0)),"",INDEX('Compliance Database'!$M$2:$M$1199,MATCH(888,'Transfer Engine'!$C$2:$C$1199,0)))</f>
        <v/>
      </c>
      <c r="N897" s="7" t="str">
        <f>IF(ISNA(MATCH(888,'Transfer Engine'!$C$2:$C$1199,0)),"",INDEX('Compliance Database'!$N$2:$N$1199,MATCH(888,'Transfer Engine'!$C$2:$C$1199,0)))</f>
        <v/>
      </c>
      <c r="O897" s="7" t="str">
        <f>IF(ISNA(MATCH(888,'Transfer Engine'!$C$2:$C$1199,0)),"",INDEX('Compliance Database'!$O$2:$O$1199,MATCH(888,'Transfer Engine'!$C$2:$C$1199,0)))</f>
        <v/>
      </c>
      <c r="P897" s="6" t="str">
        <f>IF(ISNA(MATCH(888,'Transfer Engine'!$C$2:$C$1199,0)),"",HYPERLINK("#Acts!A"&amp;INDEX('Compliance Database'!$P$2:$P$1199,MATCH(888,'Transfer Engine'!$C$2:$C$1199,0)),"Go to Act"))</f>
        <v/>
      </c>
    </row>
    <row r="898" spans="1:16" ht="172.95" customHeight="1" x14ac:dyDescent="0.3">
      <c r="A898" s="6" t="str">
        <f>IF(ISNA(MATCH(889,'Transfer Engine'!$C$2:$C$1199,0)),"",INDEX('Compliance Database'!$A$2:$A$1199,MATCH(889,'Transfer Engine'!$C$2:$C$1199,0)))</f>
        <v/>
      </c>
      <c r="B898" s="6" t="str">
        <f>IF(ISNA(MATCH(889,'Transfer Engine'!$C$2:$C$1199,0)),"",INDEX('Compliance Database'!$B$2:$B$1199,MATCH(889,'Transfer Engine'!$C$2:$C$1199,0)))</f>
        <v/>
      </c>
      <c r="C898" s="6" t="str">
        <f>IF(ISNA(MATCH(889,'Transfer Engine'!$C$2:$C$1199,0)),"",INDEX('Compliance Database'!$C$2:$C$1199,MATCH(889,'Transfer Engine'!$C$2:$C$1199,0)))</f>
        <v/>
      </c>
      <c r="D898" s="7" t="str">
        <f>IF(ISNA(MATCH(889,'Transfer Engine'!$C$2:$C$1199,0)),"",INDEX('Compliance Database'!$D$2:$D$1199,MATCH(889,'Transfer Engine'!$C$2:$C$1199,0)))</f>
        <v/>
      </c>
      <c r="E898" s="6" t="str">
        <f>IF(ISNA(MATCH(889,'Transfer Engine'!$C$2:$C$1199,0)),"",INDEX('Compliance Database'!$E$2:$E$1199,MATCH(889,'Transfer Engine'!$C$2:$C$1199,0)))</f>
        <v/>
      </c>
      <c r="F898" s="6" t="str">
        <f>IF(ISNA(MATCH(889,'Transfer Engine'!$C$2:$C$1199,0)),"",INDEX('Compliance Database'!$F$2:$F$1199,MATCH(889,'Transfer Engine'!$C$2:$C$1199,0)))</f>
        <v/>
      </c>
      <c r="G898" s="6" t="str">
        <f>IF(ISNA(MATCH(889,'Transfer Engine'!$C$2:$C$1199,0)),"",INDEX('Compliance Database'!$G$2:$G$1199,MATCH(889,'Transfer Engine'!$C$2:$C$1199,0)))</f>
        <v/>
      </c>
      <c r="H898" s="7" t="str">
        <f>IF(ISNA(MATCH(889,'Transfer Engine'!$C$2:$C$1199,0)),"",INDEX('Compliance Database'!$H$2:$H$1199,MATCH(889,'Transfer Engine'!$C$2:$C$1199,0)))</f>
        <v/>
      </c>
      <c r="I898" s="7" t="str">
        <f>IF(ISNA(MATCH(889,'Transfer Engine'!$C$2:$C$1199,0)),"",INDEX('Compliance Database'!$I$2:$I$1199,MATCH(889,'Transfer Engine'!$C$2:$C$1199,0)))</f>
        <v/>
      </c>
      <c r="J898" s="6" t="str">
        <f>IF(ISNA(MATCH(889,'Transfer Engine'!$C$2:$C$1199,0)),"",INDEX('Compliance Database'!$J$2:$J$1199,MATCH(889,'Transfer Engine'!$C$2:$C$1199,0)))</f>
        <v/>
      </c>
      <c r="K898" s="7" t="str">
        <f>IF(ISNA(MATCH(889,'Transfer Engine'!$C$2:$C$1199,0)),"",INDEX('Compliance Database'!$K$2:$K$1199,MATCH(889,'Transfer Engine'!$C$2:$C$1199,0)))</f>
        <v/>
      </c>
      <c r="L898" s="7" t="str">
        <f>IF(ISNA(MATCH(889,'Transfer Engine'!$C$2:$C$1199,0)),"",INDEX('Compliance Database'!$L$2:$L$1199,MATCH(889,'Transfer Engine'!$C$2:$C$1199,0)))</f>
        <v/>
      </c>
      <c r="M898" s="7" t="str">
        <f>IF(ISNA(MATCH(889,'Transfer Engine'!$C$2:$C$1199,0)),"",INDEX('Compliance Database'!$M$2:$M$1199,MATCH(889,'Transfer Engine'!$C$2:$C$1199,0)))</f>
        <v/>
      </c>
      <c r="N898" s="7" t="str">
        <f>IF(ISNA(MATCH(889,'Transfer Engine'!$C$2:$C$1199,0)),"",INDEX('Compliance Database'!$N$2:$N$1199,MATCH(889,'Transfer Engine'!$C$2:$C$1199,0)))</f>
        <v/>
      </c>
      <c r="O898" s="7" t="str">
        <f>IF(ISNA(MATCH(889,'Transfer Engine'!$C$2:$C$1199,0)),"",INDEX('Compliance Database'!$O$2:$O$1199,MATCH(889,'Transfer Engine'!$C$2:$C$1199,0)))</f>
        <v/>
      </c>
      <c r="P898" s="6" t="str">
        <f>IF(ISNA(MATCH(889,'Transfer Engine'!$C$2:$C$1199,0)),"",HYPERLINK("#Acts!A"&amp;INDEX('Compliance Database'!$P$2:$P$1199,MATCH(889,'Transfer Engine'!$C$2:$C$1199,0)),"Go to Act"))</f>
        <v/>
      </c>
    </row>
    <row r="899" spans="1:16" ht="172.95" customHeight="1" x14ac:dyDescent="0.3">
      <c r="A899" s="6" t="str">
        <f>IF(ISNA(MATCH(890,'Transfer Engine'!$C$2:$C$1199,0)),"",INDEX('Compliance Database'!$A$2:$A$1199,MATCH(890,'Transfer Engine'!$C$2:$C$1199,0)))</f>
        <v/>
      </c>
      <c r="B899" s="6" t="str">
        <f>IF(ISNA(MATCH(890,'Transfer Engine'!$C$2:$C$1199,0)),"",INDEX('Compliance Database'!$B$2:$B$1199,MATCH(890,'Transfer Engine'!$C$2:$C$1199,0)))</f>
        <v/>
      </c>
      <c r="C899" s="6" t="str">
        <f>IF(ISNA(MATCH(890,'Transfer Engine'!$C$2:$C$1199,0)),"",INDEX('Compliance Database'!$C$2:$C$1199,MATCH(890,'Transfer Engine'!$C$2:$C$1199,0)))</f>
        <v/>
      </c>
      <c r="D899" s="7" t="str">
        <f>IF(ISNA(MATCH(890,'Transfer Engine'!$C$2:$C$1199,0)),"",INDEX('Compliance Database'!$D$2:$D$1199,MATCH(890,'Transfer Engine'!$C$2:$C$1199,0)))</f>
        <v/>
      </c>
      <c r="E899" s="6" t="str">
        <f>IF(ISNA(MATCH(890,'Transfer Engine'!$C$2:$C$1199,0)),"",INDEX('Compliance Database'!$E$2:$E$1199,MATCH(890,'Transfer Engine'!$C$2:$C$1199,0)))</f>
        <v/>
      </c>
      <c r="F899" s="6" t="str">
        <f>IF(ISNA(MATCH(890,'Transfer Engine'!$C$2:$C$1199,0)),"",INDEX('Compliance Database'!$F$2:$F$1199,MATCH(890,'Transfer Engine'!$C$2:$C$1199,0)))</f>
        <v/>
      </c>
      <c r="G899" s="6" t="str">
        <f>IF(ISNA(MATCH(890,'Transfer Engine'!$C$2:$C$1199,0)),"",INDEX('Compliance Database'!$G$2:$G$1199,MATCH(890,'Transfer Engine'!$C$2:$C$1199,0)))</f>
        <v/>
      </c>
      <c r="H899" s="7" t="str">
        <f>IF(ISNA(MATCH(890,'Transfer Engine'!$C$2:$C$1199,0)),"",INDEX('Compliance Database'!$H$2:$H$1199,MATCH(890,'Transfer Engine'!$C$2:$C$1199,0)))</f>
        <v/>
      </c>
      <c r="I899" s="7" t="str">
        <f>IF(ISNA(MATCH(890,'Transfer Engine'!$C$2:$C$1199,0)),"",INDEX('Compliance Database'!$I$2:$I$1199,MATCH(890,'Transfer Engine'!$C$2:$C$1199,0)))</f>
        <v/>
      </c>
      <c r="J899" s="6" t="str">
        <f>IF(ISNA(MATCH(890,'Transfer Engine'!$C$2:$C$1199,0)),"",INDEX('Compliance Database'!$J$2:$J$1199,MATCH(890,'Transfer Engine'!$C$2:$C$1199,0)))</f>
        <v/>
      </c>
      <c r="K899" s="7" t="str">
        <f>IF(ISNA(MATCH(890,'Transfer Engine'!$C$2:$C$1199,0)),"",INDEX('Compliance Database'!$K$2:$K$1199,MATCH(890,'Transfer Engine'!$C$2:$C$1199,0)))</f>
        <v/>
      </c>
      <c r="L899" s="7" t="str">
        <f>IF(ISNA(MATCH(890,'Transfer Engine'!$C$2:$C$1199,0)),"",INDEX('Compliance Database'!$L$2:$L$1199,MATCH(890,'Transfer Engine'!$C$2:$C$1199,0)))</f>
        <v/>
      </c>
      <c r="M899" s="7" t="str">
        <f>IF(ISNA(MATCH(890,'Transfer Engine'!$C$2:$C$1199,0)),"",INDEX('Compliance Database'!$M$2:$M$1199,MATCH(890,'Transfer Engine'!$C$2:$C$1199,0)))</f>
        <v/>
      </c>
      <c r="N899" s="7" t="str">
        <f>IF(ISNA(MATCH(890,'Transfer Engine'!$C$2:$C$1199,0)),"",INDEX('Compliance Database'!$N$2:$N$1199,MATCH(890,'Transfer Engine'!$C$2:$C$1199,0)))</f>
        <v/>
      </c>
      <c r="O899" s="7" t="str">
        <f>IF(ISNA(MATCH(890,'Transfer Engine'!$C$2:$C$1199,0)),"",INDEX('Compliance Database'!$O$2:$O$1199,MATCH(890,'Transfer Engine'!$C$2:$C$1199,0)))</f>
        <v/>
      </c>
      <c r="P899" s="6" t="str">
        <f>IF(ISNA(MATCH(890,'Transfer Engine'!$C$2:$C$1199,0)),"",HYPERLINK("#Acts!A"&amp;INDEX('Compliance Database'!$P$2:$P$1199,MATCH(890,'Transfer Engine'!$C$2:$C$1199,0)),"Go to Act"))</f>
        <v/>
      </c>
    </row>
    <row r="900" spans="1:16" ht="172.95" customHeight="1" x14ac:dyDescent="0.3">
      <c r="A900" s="6" t="str">
        <f>IF(ISNA(MATCH(891,'Transfer Engine'!$C$2:$C$1199,0)),"",INDEX('Compliance Database'!$A$2:$A$1199,MATCH(891,'Transfer Engine'!$C$2:$C$1199,0)))</f>
        <v/>
      </c>
      <c r="B900" s="6" t="str">
        <f>IF(ISNA(MATCH(891,'Transfer Engine'!$C$2:$C$1199,0)),"",INDEX('Compliance Database'!$B$2:$B$1199,MATCH(891,'Transfer Engine'!$C$2:$C$1199,0)))</f>
        <v/>
      </c>
      <c r="C900" s="6" t="str">
        <f>IF(ISNA(MATCH(891,'Transfer Engine'!$C$2:$C$1199,0)),"",INDEX('Compliance Database'!$C$2:$C$1199,MATCH(891,'Transfer Engine'!$C$2:$C$1199,0)))</f>
        <v/>
      </c>
      <c r="D900" s="7" t="str">
        <f>IF(ISNA(MATCH(891,'Transfer Engine'!$C$2:$C$1199,0)),"",INDEX('Compliance Database'!$D$2:$D$1199,MATCH(891,'Transfer Engine'!$C$2:$C$1199,0)))</f>
        <v/>
      </c>
      <c r="E900" s="6" t="str">
        <f>IF(ISNA(MATCH(891,'Transfer Engine'!$C$2:$C$1199,0)),"",INDEX('Compliance Database'!$E$2:$E$1199,MATCH(891,'Transfer Engine'!$C$2:$C$1199,0)))</f>
        <v/>
      </c>
      <c r="F900" s="6" t="str">
        <f>IF(ISNA(MATCH(891,'Transfer Engine'!$C$2:$C$1199,0)),"",INDEX('Compliance Database'!$F$2:$F$1199,MATCH(891,'Transfer Engine'!$C$2:$C$1199,0)))</f>
        <v/>
      </c>
      <c r="G900" s="6" t="str">
        <f>IF(ISNA(MATCH(891,'Transfer Engine'!$C$2:$C$1199,0)),"",INDEX('Compliance Database'!$G$2:$G$1199,MATCH(891,'Transfer Engine'!$C$2:$C$1199,0)))</f>
        <v/>
      </c>
      <c r="H900" s="7" t="str">
        <f>IF(ISNA(MATCH(891,'Transfer Engine'!$C$2:$C$1199,0)),"",INDEX('Compliance Database'!$H$2:$H$1199,MATCH(891,'Transfer Engine'!$C$2:$C$1199,0)))</f>
        <v/>
      </c>
      <c r="I900" s="7" t="str">
        <f>IF(ISNA(MATCH(891,'Transfer Engine'!$C$2:$C$1199,0)),"",INDEX('Compliance Database'!$I$2:$I$1199,MATCH(891,'Transfer Engine'!$C$2:$C$1199,0)))</f>
        <v/>
      </c>
      <c r="J900" s="6" t="str">
        <f>IF(ISNA(MATCH(891,'Transfer Engine'!$C$2:$C$1199,0)),"",INDEX('Compliance Database'!$J$2:$J$1199,MATCH(891,'Transfer Engine'!$C$2:$C$1199,0)))</f>
        <v/>
      </c>
      <c r="K900" s="7" t="str">
        <f>IF(ISNA(MATCH(891,'Transfer Engine'!$C$2:$C$1199,0)),"",INDEX('Compliance Database'!$K$2:$K$1199,MATCH(891,'Transfer Engine'!$C$2:$C$1199,0)))</f>
        <v/>
      </c>
      <c r="L900" s="7" t="str">
        <f>IF(ISNA(MATCH(891,'Transfer Engine'!$C$2:$C$1199,0)),"",INDEX('Compliance Database'!$L$2:$L$1199,MATCH(891,'Transfer Engine'!$C$2:$C$1199,0)))</f>
        <v/>
      </c>
      <c r="M900" s="7" t="str">
        <f>IF(ISNA(MATCH(891,'Transfer Engine'!$C$2:$C$1199,0)),"",INDEX('Compliance Database'!$M$2:$M$1199,MATCH(891,'Transfer Engine'!$C$2:$C$1199,0)))</f>
        <v/>
      </c>
      <c r="N900" s="7" t="str">
        <f>IF(ISNA(MATCH(891,'Transfer Engine'!$C$2:$C$1199,0)),"",INDEX('Compliance Database'!$N$2:$N$1199,MATCH(891,'Transfer Engine'!$C$2:$C$1199,0)))</f>
        <v/>
      </c>
      <c r="O900" s="7" t="str">
        <f>IF(ISNA(MATCH(891,'Transfer Engine'!$C$2:$C$1199,0)),"",INDEX('Compliance Database'!$O$2:$O$1199,MATCH(891,'Transfer Engine'!$C$2:$C$1199,0)))</f>
        <v/>
      </c>
      <c r="P900" s="6" t="str">
        <f>IF(ISNA(MATCH(891,'Transfer Engine'!$C$2:$C$1199,0)),"",HYPERLINK("#Acts!A"&amp;INDEX('Compliance Database'!$P$2:$P$1199,MATCH(891,'Transfer Engine'!$C$2:$C$1199,0)),"Go to Act"))</f>
        <v/>
      </c>
    </row>
    <row r="901" spans="1:16" ht="172.95" customHeight="1" x14ac:dyDescent="0.3">
      <c r="A901" s="6" t="str">
        <f>IF(ISNA(MATCH(892,'Transfer Engine'!$C$2:$C$1199,0)),"",INDEX('Compliance Database'!$A$2:$A$1199,MATCH(892,'Transfer Engine'!$C$2:$C$1199,0)))</f>
        <v/>
      </c>
      <c r="B901" s="6" t="str">
        <f>IF(ISNA(MATCH(892,'Transfer Engine'!$C$2:$C$1199,0)),"",INDEX('Compliance Database'!$B$2:$B$1199,MATCH(892,'Transfer Engine'!$C$2:$C$1199,0)))</f>
        <v/>
      </c>
      <c r="C901" s="6" t="str">
        <f>IF(ISNA(MATCH(892,'Transfer Engine'!$C$2:$C$1199,0)),"",INDEX('Compliance Database'!$C$2:$C$1199,MATCH(892,'Transfer Engine'!$C$2:$C$1199,0)))</f>
        <v/>
      </c>
      <c r="D901" s="7" t="str">
        <f>IF(ISNA(MATCH(892,'Transfer Engine'!$C$2:$C$1199,0)),"",INDEX('Compliance Database'!$D$2:$D$1199,MATCH(892,'Transfer Engine'!$C$2:$C$1199,0)))</f>
        <v/>
      </c>
      <c r="E901" s="6" t="str">
        <f>IF(ISNA(MATCH(892,'Transfer Engine'!$C$2:$C$1199,0)),"",INDEX('Compliance Database'!$E$2:$E$1199,MATCH(892,'Transfer Engine'!$C$2:$C$1199,0)))</f>
        <v/>
      </c>
      <c r="F901" s="6" t="str">
        <f>IF(ISNA(MATCH(892,'Transfer Engine'!$C$2:$C$1199,0)),"",INDEX('Compliance Database'!$F$2:$F$1199,MATCH(892,'Transfer Engine'!$C$2:$C$1199,0)))</f>
        <v/>
      </c>
      <c r="G901" s="6" t="str">
        <f>IF(ISNA(MATCH(892,'Transfer Engine'!$C$2:$C$1199,0)),"",INDEX('Compliance Database'!$G$2:$G$1199,MATCH(892,'Transfer Engine'!$C$2:$C$1199,0)))</f>
        <v/>
      </c>
      <c r="H901" s="7" t="str">
        <f>IF(ISNA(MATCH(892,'Transfer Engine'!$C$2:$C$1199,0)),"",INDEX('Compliance Database'!$H$2:$H$1199,MATCH(892,'Transfer Engine'!$C$2:$C$1199,0)))</f>
        <v/>
      </c>
      <c r="I901" s="7" t="str">
        <f>IF(ISNA(MATCH(892,'Transfer Engine'!$C$2:$C$1199,0)),"",INDEX('Compliance Database'!$I$2:$I$1199,MATCH(892,'Transfer Engine'!$C$2:$C$1199,0)))</f>
        <v/>
      </c>
      <c r="J901" s="6" t="str">
        <f>IF(ISNA(MATCH(892,'Transfer Engine'!$C$2:$C$1199,0)),"",INDEX('Compliance Database'!$J$2:$J$1199,MATCH(892,'Transfer Engine'!$C$2:$C$1199,0)))</f>
        <v/>
      </c>
      <c r="K901" s="7" t="str">
        <f>IF(ISNA(MATCH(892,'Transfer Engine'!$C$2:$C$1199,0)),"",INDEX('Compliance Database'!$K$2:$K$1199,MATCH(892,'Transfer Engine'!$C$2:$C$1199,0)))</f>
        <v/>
      </c>
      <c r="L901" s="7" t="str">
        <f>IF(ISNA(MATCH(892,'Transfer Engine'!$C$2:$C$1199,0)),"",INDEX('Compliance Database'!$L$2:$L$1199,MATCH(892,'Transfer Engine'!$C$2:$C$1199,0)))</f>
        <v/>
      </c>
      <c r="M901" s="7" t="str">
        <f>IF(ISNA(MATCH(892,'Transfer Engine'!$C$2:$C$1199,0)),"",INDEX('Compliance Database'!$M$2:$M$1199,MATCH(892,'Transfer Engine'!$C$2:$C$1199,0)))</f>
        <v/>
      </c>
      <c r="N901" s="7" t="str">
        <f>IF(ISNA(MATCH(892,'Transfer Engine'!$C$2:$C$1199,0)),"",INDEX('Compliance Database'!$N$2:$N$1199,MATCH(892,'Transfer Engine'!$C$2:$C$1199,0)))</f>
        <v/>
      </c>
      <c r="O901" s="7" t="str">
        <f>IF(ISNA(MATCH(892,'Transfer Engine'!$C$2:$C$1199,0)),"",INDEX('Compliance Database'!$O$2:$O$1199,MATCH(892,'Transfer Engine'!$C$2:$C$1199,0)))</f>
        <v/>
      </c>
      <c r="P901" s="6" t="str">
        <f>IF(ISNA(MATCH(892,'Transfer Engine'!$C$2:$C$1199,0)),"",HYPERLINK("#Acts!A"&amp;INDEX('Compliance Database'!$P$2:$P$1199,MATCH(892,'Transfer Engine'!$C$2:$C$1199,0)),"Go to Act"))</f>
        <v/>
      </c>
    </row>
    <row r="902" spans="1:16" ht="172.95" customHeight="1" x14ac:dyDescent="0.3">
      <c r="A902" s="6" t="str">
        <f>IF(ISNA(MATCH(893,'Transfer Engine'!$C$2:$C$1199,0)),"",INDEX('Compliance Database'!$A$2:$A$1199,MATCH(893,'Transfer Engine'!$C$2:$C$1199,0)))</f>
        <v/>
      </c>
      <c r="B902" s="6" t="str">
        <f>IF(ISNA(MATCH(893,'Transfer Engine'!$C$2:$C$1199,0)),"",INDEX('Compliance Database'!$B$2:$B$1199,MATCH(893,'Transfer Engine'!$C$2:$C$1199,0)))</f>
        <v/>
      </c>
      <c r="C902" s="6" t="str">
        <f>IF(ISNA(MATCH(893,'Transfer Engine'!$C$2:$C$1199,0)),"",INDEX('Compliance Database'!$C$2:$C$1199,MATCH(893,'Transfer Engine'!$C$2:$C$1199,0)))</f>
        <v/>
      </c>
      <c r="D902" s="7" t="str">
        <f>IF(ISNA(MATCH(893,'Transfer Engine'!$C$2:$C$1199,0)),"",INDEX('Compliance Database'!$D$2:$D$1199,MATCH(893,'Transfer Engine'!$C$2:$C$1199,0)))</f>
        <v/>
      </c>
      <c r="E902" s="6" t="str">
        <f>IF(ISNA(MATCH(893,'Transfer Engine'!$C$2:$C$1199,0)),"",INDEX('Compliance Database'!$E$2:$E$1199,MATCH(893,'Transfer Engine'!$C$2:$C$1199,0)))</f>
        <v/>
      </c>
      <c r="F902" s="6" t="str">
        <f>IF(ISNA(MATCH(893,'Transfer Engine'!$C$2:$C$1199,0)),"",INDEX('Compliance Database'!$F$2:$F$1199,MATCH(893,'Transfer Engine'!$C$2:$C$1199,0)))</f>
        <v/>
      </c>
      <c r="G902" s="6" t="str">
        <f>IF(ISNA(MATCH(893,'Transfer Engine'!$C$2:$C$1199,0)),"",INDEX('Compliance Database'!$G$2:$G$1199,MATCH(893,'Transfer Engine'!$C$2:$C$1199,0)))</f>
        <v/>
      </c>
      <c r="H902" s="7" t="str">
        <f>IF(ISNA(MATCH(893,'Transfer Engine'!$C$2:$C$1199,0)),"",INDEX('Compliance Database'!$H$2:$H$1199,MATCH(893,'Transfer Engine'!$C$2:$C$1199,0)))</f>
        <v/>
      </c>
      <c r="I902" s="7" t="str">
        <f>IF(ISNA(MATCH(893,'Transfer Engine'!$C$2:$C$1199,0)),"",INDEX('Compliance Database'!$I$2:$I$1199,MATCH(893,'Transfer Engine'!$C$2:$C$1199,0)))</f>
        <v/>
      </c>
      <c r="J902" s="6" t="str">
        <f>IF(ISNA(MATCH(893,'Transfer Engine'!$C$2:$C$1199,0)),"",INDEX('Compliance Database'!$J$2:$J$1199,MATCH(893,'Transfer Engine'!$C$2:$C$1199,0)))</f>
        <v/>
      </c>
      <c r="K902" s="7" t="str">
        <f>IF(ISNA(MATCH(893,'Transfer Engine'!$C$2:$C$1199,0)),"",INDEX('Compliance Database'!$K$2:$K$1199,MATCH(893,'Transfer Engine'!$C$2:$C$1199,0)))</f>
        <v/>
      </c>
      <c r="L902" s="7" t="str">
        <f>IF(ISNA(MATCH(893,'Transfer Engine'!$C$2:$C$1199,0)),"",INDEX('Compliance Database'!$L$2:$L$1199,MATCH(893,'Transfer Engine'!$C$2:$C$1199,0)))</f>
        <v/>
      </c>
      <c r="M902" s="7" t="str">
        <f>IF(ISNA(MATCH(893,'Transfer Engine'!$C$2:$C$1199,0)),"",INDEX('Compliance Database'!$M$2:$M$1199,MATCH(893,'Transfer Engine'!$C$2:$C$1199,0)))</f>
        <v/>
      </c>
      <c r="N902" s="7" t="str">
        <f>IF(ISNA(MATCH(893,'Transfer Engine'!$C$2:$C$1199,0)),"",INDEX('Compliance Database'!$N$2:$N$1199,MATCH(893,'Transfer Engine'!$C$2:$C$1199,0)))</f>
        <v/>
      </c>
      <c r="O902" s="7" t="str">
        <f>IF(ISNA(MATCH(893,'Transfer Engine'!$C$2:$C$1199,0)),"",INDEX('Compliance Database'!$O$2:$O$1199,MATCH(893,'Transfer Engine'!$C$2:$C$1199,0)))</f>
        <v/>
      </c>
      <c r="P902" s="6" t="str">
        <f>IF(ISNA(MATCH(893,'Transfer Engine'!$C$2:$C$1199,0)),"",HYPERLINK("#Acts!A"&amp;INDEX('Compliance Database'!$P$2:$P$1199,MATCH(893,'Transfer Engine'!$C$2:$C$1199,0)),"Go to Act"))</f>
        <v/>
      </c>
    </row>
    <row r="903" spans="1:16" ht="172.95" customHeight="1" x14ac:dyDescent="0.3">
      <c r="A903" s="6" t="str">
        <f>IF(ISNA(MATCH(894,'Transfer Engine'!$C$2:$C$1199,0)),"",INDEX('Compliance Database'!$A$2:$A$1199,MATCH(894,'Transfer Engine'!$C$2:$C$1199,0)))</f>
        <v/>
      </c>
      <c r="B903" s="6" t="str">
        <f>IF(ISNA(MATCH(894,'Transfer Engine'!$C$2:$C$1199,0)),"",INDEX('Compliance Database'!$B$2:$B$1199,MATCH(894,'Transfer Engine'!$C$2:$C$1199,0)))</f>
        <v/>
      </c>
      <c r="C903" s="6" t="str">
        <f>IF(ISNA(MATCH(894,'Transfer Engine'!$C$2:$C$1199,0)),"",INDEX('Compliance Database'!$C$2:$C$1199,MATCH(894,'Transfer Engine'!$C$2:$C$1199,0)))</f>
        <v/>
      </c>
      <c r="D903" s="7" t="str">
        <f>IF(ISNA(MATCH(894,'Transfer Engine'!$C$2:$C$1199,0)),"",INDEX('Compliance Database'!$D$2:$D$1199,MATCH(894,'Transfer Engine'!$C$2:$C$1199,0)))</f>
        <v/>
      </c>
      <c r="E903" s="6" t="str">
        <f>IF(ISNA(MATCH(894,'Transfer Engine'!$C$2:$C$1199,0)),"",INDEX('Compliance Database'!$E$2:$E$1199,MATCH(894,'Transfer Engine'!$C$2:$C$1199,0)))</f>
        <v/>
      </c>
      <c r="F903" s="6" t="str">
        <f>IF(ISNA(MATCH(894,'Transfer Engine'!$C$2:$C$1199,0)),"",INDEX('Compliance Database'!$F$2:$F$1199,MATCH(894,'Transfer Engine'!$C$2:$C$1199,0)))</f>
        <v/>
      </c>
      <c r="G903" s="6" t="str">
        <f>IF(ISNA(MATCH(894,'Transfer Engine'!$C$2:$C$1199,0)),"",INDEX('Compliance Database'!$G$2:$G$1199,MATCH(894,'Transfer Engine'!$C$2:$C$1199,0)))</f>
        <v/>
      </c>
      <c r="H903" s="7" t="str">
        <f>IF(ISNA(MATCH(894,'Transfer Engine'!$C$2:$C$1199,0)),"",INDEX('Compliance Database'!$H$2:$H$1199,MATCH(894,'Transfer Engine'!$C$2:$C$1199,0)))</f>
        <v/>
      </c>
      <c r="I903" s="7" t="str">
        <f>IF(ISNA(MATCH(894,'Transfer Engine'!$C$2:$C$1199,0)),"",INDEX('Compliance Database'!$I$2:$I$1199,MATCH(894,'Transfer Engine'!$C$2:$C$1199,0)))</f>
        <v/>
      </c>
      <c r="J903" s="6" t="str">
        <f>IF(ISNA(MATCH(894,'Transfer Engine'!$C$2:$C$1199,0)),"",INDEX('Compliance Database'!$J$2:$J$1199,MATCH(894,'Transfer Engine'!$C$2:$C$1199,0)))</f>
        <v/>
      </c>
      <c r="K903" s="7" t="str">
        <f>IF(ISNA(MATCH(894,'Transfer Engine'!$C$2:$C$1199,0)),"",INDEX('Compliance Database'!$K$2:$K$1199,MATCH(894,'Transfer Engine'!$C$2:$C$1199,0)))</f>
        <v/>
      </c>
      <c r="L903" s="7" t="str">
        <f>IF(ISNA(MATCH(894,'Transfer Engine'!$C$2:$C$1199,0)),"",INDEX('Compliance Database'!$L$2:$L$1199,MATCH(894,'Transfer Engine'!$C$2:$C$1199,0)))</f>
        <v/>
      </c>
      <c r="M903" s="7" t="str">
        <f>IF(ISNA(MATCH(894,'Transfer Engine'!$C$2:$C$1199,0)),"",INDEX('Compliance Database'!$M$2:$M$1199,MATCH(894,'Transfer Engine'!$C$2:$C$1199,0)))</f>
        <v/>
      </c>
      <c r="N903" s="7" t="str">
        <f>IF(ISNA(MATCH(894,'Transfer Engine'!$C$2:$C$1199,0)),"",INDEX('Compliance Database'!$N$2:$N$1199,MATCH(894,'Transfer Engine'!$C$2:$C$1199,0)))</f>
        <v/>
      </c>
      <c r="O903" s="7" t="str">
        <f>IF(ISNA(MATCH(894,'Transfer Engine'!$C$2:$C$1199,0)),"",INDEX('Compliance Database'!$O$2:$O$1199,MATCH(894,'Transfer Engine'!$C$2:$C$1199,0)))</f>
        <v/>
      </c>
      <c r="P903" s="6" t="str">
        <f>IF(ISNA(MATCH(894,'Transfer Engine'!$C$2:$C$1199,0)),"",HYPERLINK("#Acts!A"&amp;INDEX('Compliance Database'!$P$2:$P$1199,MATCH(894,'Transfer Engine'!$C$2:$C$1199,0)),"Go to Act"))</f>
        <v/>
      </c>
    </row>
    <row r="904" spans="1:16" ht="172.95" customHeight="1" x14ac:dyDescent="0.3">
      <c r="A904" s="6" t="str">
        <f>IF(ISNA(MATCH(895,'Transfer Engine'!$C$2:$C$1199,0)),"",INDEX('Compliance Database'!$A$2:$A$1199,MATCH(895,'Transfer Engine'!$C$2:$C$1199,0)))</f>
        <v/>
      </c>
      <c r="B904" s="6" t="str">
        <f>IF(ISNA(MATCH(895,'Transfer Engine'!$C$2:$C$1199,0)),"",INDEX('Compliance Database'!$B$2:$B$1199,MATCH(895,'Transfer Engine'!$C$2:$C$1199,0)))</f>
        <v/>
      </c>
      <c r="C904" s="6" t="str">
        <f>IF(ISNA(MATCH(895,'Transfer Engine'!$C$2:$C$1199,0)),"",INDEX('Compliance Database'!$C$2:$C$1199,MATCH(895,'Transfer Engine'!$C$2:$C$1199,0)))</f>
        <v/>
      </c>
      <c r="D904" s="7" t="str">
        <f>IF(ISNA(MATCH(895,'Transfer Engine'!$C$2:$C$1199,0)),"",INDEX('Compliance Database'!$D$2:$D$1199,MATCH(895,'Transfer Engine'!$C$2:$C$1199,0)))</f>
        <v/>
      </c>
      <c r="E904" s="6" t="str">
        <f>IF(ISNA(MATCH(895,'Transfer Engine'!$C$2:$C$1199,0)),"",INDEX('Compliance Database'!$E$2:$E$1199,MATCH(895,'Transfer Engine'!$C$2:$C$1199,0)))</f>
        <v/>
      </c>
      <c r="F904" s="6" t="str">
        <f>IF(ISNA(MATCH(895,'Transfer Engine'!$C$2:$C$1199,0)),"",INDEX('Compliance Database'!$F$2:$F$1199,MATCH(895,'Transfer Engine'!$C$2:$C$1199,0)))</f>
        <v/>
      </c>
      <c r="G904" s="6" t="str">
        <f>IF(ISNA(MATCH(895,'Transfer Engine'!$C$2:$C$1199,0)),"",INDEX('Compliance Database'!$G$2:$G$1199,MATCH(895,'Transfer Engine'!$C$2:$C$1199,0)))</f>
        <v/>
      </c>
      <c r="H904" s="7" t="str">
        <f>IF(ISNA(MATCH(895,'Transfer Engine'!$C$2:$C$1199,0)),"",INDEX('Compliance Database'!$H$2:$H$1199,MATCH(895,'Transfer Engine'!$C$2:$C$1199,0)))</f>
        <v/>
      </c>
      <c r="I904" s="7" t="str">
        <f>IF(ISNA(MATCH(895,'Transfer Engine'!$C$2:$C$1199,0)),"",INDEX('Compliance Database'!$I$2:$I$1199,MATCH(895,'Transfer Engine'!$C$2:$C$1199,0)))</f>
        <v/>
      </c>
      <c r="J904" s="6" t="str">
        <f>IF(ISNA(MATCH(895,'Transfer Engine'!$C$2:$C$1199,0)),"",INDEX('Compliance Database'!$J$2:$J$1199,MATCH(895,'Transfer Engine'!$C$2:$C$1199,0)))</f>
        <v/>
      </c>
      <c r="K904" s="7" t="str">
        <f>IF(ISNA(MATCH(895,'Transfer Engine'!$C$2:$C$1199,0)),"",INDEX('Compliance Database'!$K$2:$K$1199,MATCH(895,'Transfer Engine'!$C$2:$C$1199,0)))</f>
        <v/>
      </c>
      <c r="L904" s="7" t="str">
        <f>IF(ISNA(MATCH(895,'Transfer Engine'!$C$2:$C$1199,0)),"",INDEX('Compliance Database'!$L$2:$L$1199,MATCH(895,'Transfer Engine'!$C$2:$C$1199,0)))</f>
        <v/>
      </c>
      <c r="M904" s="7" t="str">
        <f>IF(ISNA(MATCH(895,'Transfer Engine'!$C$2:$C$1199,0)),"",INDEX('Compliance Database'!$M$2:$M$1199,MATCH(895,'Transfer Engine'!$C$2:$C$1199,0)))</f>
        <v/>
      </c>
      <c r="N904" s="7" t="str">
        <f>IF(ISNA(MATCH(895,'Transfer Engine'!$C$2:$C$1199,0)),"",INDEX('Compliance Database'!$N$2:$N$1199,MATCH(895,'Transfer Engine'!$C$2:$C$1199,0)))</f>
        <v/>
      </c>
      <c r="O904" s="7" t="str">
        <f>IF(ISNA(MATCH(895,'Transfer Engine'!$C$2:$C$1199,0)),"",INDEX('Compliance Database'!$O$2:$O$1199,MATCH(895,'Transfer Engine'!$C$2:$C$1199,0)))</f>
        <v/>
      </c>
      <c r="P904" s="6" t="str">
        <f>IF(ISNA(MATCH(895,'Transfer Engine'!$C$2:$C$1199,0)),"",HYPERLINK("#Acts!A"&amp;INDEX('Compliance Database'!$P$2:$P$1199,MATCH(895,'Transfer Engine'!$C$2:$C$1199,0)),"Go to Act"))</f>
        <v/>
      </c>
    </row>
    <row r="905" spans="1:16" ht="172.95" customHeight="1" x14ac:dyDescent="0.3">
      <c r="A905" s="6" t="str">
        <f>IF(ISNA(MATCH(896,'Transfer Engine'!$C$2:$C$1199,0)),"",INDEX('Compliance Database'!$A$2:$A$1199,MATCH(896,'Transfer Engine'!$C$2:$C$1199,0)))</f>
        <v/>
      </c>
      <c r="B905" s="6" t="str">
        <f>IF(ISNA(MATCH(896,'Transfer Engine'!$C$2:$C$1199,0)),"",INDEX('Compliance Database'!$B$2:$B$1199,MATCH(896,'Transfer Engine'!$C$2:$C$1199,0)))</f>
        <v/>
      </c>
      <c r="C905" s="6" t="str">
        <f>IF(ISNA(MATCH(896,'Transfer Engine'!$C$2:$C$1199,0)),"",INDEX('Compliance Database'!$C$2:$C$1199,MATCH(896,'Transfer Engine'!$C$2:$C$1199,0)))</f>
        <v/>
      </c>
      <c r="D905" s="7" t="str">
        <f>IF(ISNA(MATCH(896,'Transfer Engine'!$C$2:$C$1199,0)),"",INDEX('Compliance Database'!$D$2:$D$1199,MATCH(896,'Transfer Engine'!$C$2:$C$1199,0)))</f>
        <v/>
      </c>
      <c r="E905" s="6" t="str">
        <f>IF(ISNA(MATCH(896,'Transfer Engine'!$C$2:$C$1199,0)),"",INDEX('Compliance Database'!$E$2:$E$1199,MATCH(896,'Transfer Engine'!$C$2:$C$1199,0)))</f>
        <v/>
      </c>
      <c r="F905" s="6" t="str">
        <f>IF(ISNA(MATCH(896,'Transfer Engine'!$C$2:$C$1199,0)),"",INDEX('Compliance Database'!$F$2:$F$1199,MATCH(896,'Transfer Engine'!$C$2:$C$1199,0)))</f>
        <v/>
      </c>
      <c r="G905" s="6" t="str">
        <f>IF(ISNA(MATCH(896,'Transfer Engine'!$C$2:$C$1199,0)),"",INDEX('Compliance Database'!$G$2:$G$1199,MATCH(896,'Transfer Engine'!$C$2:$C$1199,0)))</f>
        <v/>
      </c>
      <c r="H905" s="7" t="str">
        <f>IF(ISNA(MATCH(896,'Transfer Engine'!$C$2:$C$1199,0)),"",INDEX('Compliance Database'!$H$2:$H$1199,MATCH(896,'Transfer Engine'!$C$2:$C$1199,0)))</f>
        <v/>
      </c>
      <c r="I905" s="7" t="str">
        <f>IF(ISNA(MATCH(896,'Transfer Engine'!$C$2:$C$1199,0)),"",INDEX('Compliance Database'!$I$2:$I$1199,MATCH(896,'Transfer Engine'!$C$2:$C$1199,0)))</f>
        <v/>
      </c>
      <c r="J905" s="6" t="str">
        <f>IF(ISNA(MATCH(896,'Transfer Engine'!$C$2:$C$1199,0)),"",INDEX('Compliance Database'!$J$2:$J$1199,MATCH(896,'Transfer Engine'!$C$2:$C$1199,0)))</f>
        <v/>
      </c>
      <c r="K905" s="7" t="str">
        <f>IF(ISNA(MATCH(896,'Transfer Engine'!$C$2:$C$1199,0)),"",INDEX('Compliance Database'!$K$2:$K$1199,MATCH(896,'Transfer Engine'!$C$2:$C$1199,0)))</f>
        <v/>
      </c>
      <c r="L905" s="7" t="str">
        <f>IF(ISNA(MATCH(896,'Transfer Engine'!$C$2:$C$1199,0)),"",INDEX('Compliance Database'!$L$2:$L$1199,MATCH(896,'Transfer Engine'!$C$2:$C$1199,0)))</f>
        <v/>
      </c>
      <c r="M905" s="7" t="str">
        <f>IF(ISNA(MATCH(896,'Transfer Engine'!$C$2:$C$1199,0)),"",INDEX('Compliance Database'!$M$2:$M$1199,MATCH(896,'Transfer Engine'!$C$2:$C$1199,0)))</f>
        <v/>
      </c>
      <c r="N905" s="7" t="str">
        <f>IF(ISNA(MATCH(896,'Transfer Engine'!$C$2:$C$1199,0)),"",INDEX('Compliance Database'!$N$2:$N$1199,MATCH(896,'Transfer Engine'!$C$2:$C$1199,0)))</f>
        <v/>
      </c>
      <c r="O905" s="7" t="str">
        <f>IF(ISNA(MATCH(896,'Transfer Engine'!$C$2:$C$1199,0)),"",INDEX('Compliance Database'!$O$2:$O$1199,MATCH(896,'Transfer Engine'!$C$2:$C$1199,0)))</f>
        <v/>
      </c>
      <c r="P905" s="6" t="str">
        <f>IF(ISNA(MATCH(896,'Transfer Engine'!$C$2:$C$1199,0)),"",HYPERLINK("#Acts!A"&amp;INDEX('Compliance Database'!$P$2:$P$1199,MATCH(896,'Transfer Engine'!$C$2:$C$1199,0)),"Go to Act"))</f>
        <v/>
      </c>
    </row>
    <row r="906" spans="1:16" ht="172.95" customHeight="1" x14ac:dyDescent="0.3">
      <c r="A906" s="6" t="str">
        <f>IF(ISNA(MATCH(897,'Transfer Engine'!$C$2:$C$1199,0)),"",INDEX('Compliance Database'!$A$2:$A$1199,MATCH(897,'Transfer Engine'!$C$2:$C$1199,0)))</f>
        <v/>
      </c>
      <c r="B906" s="6" t="str">
        <f>IF(ISNA(MATCH(897,'Transfer Engine'!$C$2:$C$1199,0)),"",INDEX('Compliance Database'!$B$2:$B$1199,MATCH(897,'Transfer Engine'!$C$2:$C$1199,0)))</f>
        <v/>
      </c>
      <c r="C906" s="6" t="str">
        <f>IF(ISNA(MATCH(897,'Transfer Engine'!$C$2:$C$1199,0)),"",INDEX('Compliance Database'!$C$2:$C$1199,MATCH(897,'Transfer Engine'!$C$2:$C$1199,0)))</f>
        <v/>
      </c>
      <c r="D906" s="7" t="str">
        <f>IF(ISNA(MATCH(897,'Transfer Engine'!$C$2:$C$1199,0)),"",INDEX('Compliance Database'!$D$2:$D$1199,MATCH(897,'Transfer Engine'!$C$2:$C$1199,0)))</f>
        <v/>
      </c>
      <c r="E906" s="6" t="str">
        <f>IF(ISNA(MATCH(897,'Transfer Engine'!$C$2:$C$1199,0)),"",INDEX('Compliance Database'!$E$2:$E$1199,MATCH(897,'Transfer Engine'!$C$2:$C$1199,0)))</f>
        <v/>
      </c>
      <c r="F906" s="6" t="str">
        <f>IF(ISNA(MATCH(897,'Transfer Engine'!$C$2:$C$1199,0)),"",INDEX('Compliance Database'!$F$2:$F$1199,MATCH(897,'Transfer Engine'!$C$2:$C$1199,0)))</f>
        <v/>
      </c>
      <c r="G906" s="6" t="str">
        <f>IF(ISNA(MATCH(897,'Transfer Engine'!$C$2:$C$1199,0)),"",INDEX('Compliance Database'!$G$2:$G$1199,MATCH(897,'Transfer Engine'!$C$2:$C$1199,0)))</f>
        <v/>
      </c>
      <c r="H906" s="7" t="str">
        <f>IF(ISNA(MATCH(897,'Transfer Engine'!$C$2:$C$1199,0)),"",INDEX('Compliance Database'!$H$2:$H$1199,MATCH(897,'Transfer Engine'!$C$2:$C$1199,0)))</f>
        <v/>
      </c>
      <c r="I906" s="7" t="str">
        <f>IF(ISNA(MATCH(897,'Transfer Engine'!$C$2:$C$1199,0)),"",INDEX('Compliance Database'!$I$2:$I$1199,MATCH(897,'Transfer Engine'!$C$2:$C$1199,0)))</f>
        <v/>
      </c>
      <c r="J906" s="6" t="str">
        <f>IF(ISNA(MATCH(897,'Transfer Engine'!$C$2:$C$1199,0)),"",INDEX('Compliance Database'!$J$2:$J$1199,MATCH(897,'Transfer Engine'!$C$2:$C$1199,0)))</f>
        <v/>
      </c>
      <c r="K906" s="7" t="str">
        <f>IF(ISNA(MATCH(897,'Transfer Engine'!$C$2:$C$1199,0)),"",INDEX('Compliance Database'!$K$2:$K$1199,MATCH(897,'Transfer Engine'!$C$2:$C$1199,0)))</f>
        <v/>
      </c>
      <c r="L906" s="7" t="str">
        <f>IF(ISNA(MATCH(897,'Transfer Engine'!$C$2:$C$1199,0)),"",INDEX('Compliance Database'!$L$2:$L$1199,MATCH(897,'Transfer Engine'!$C$2:$C$1199,0)))</f>
        <v/>
      </c>
      <c r="M906" s="7" t="str">
        <f>IF(ISNA(MATCH(897,'Transfer Engine'!$C$2:$C$1199,0)),"",INDEX('Compliance Database'!$M$2:$M$1199,MATCH(897,'Transfer Engine'!$C$2:$C$1199,0)))</f>
        <v/>
      </c>
      <c r="N906" s="7" t="str">
        <f>IF(ISNA(MATCH(897,'Transfer Engine'!$C$2:$C$1199,0)),"",INDEX('Compliance Database'!$N$2:$N$1199,MATCH(897,'Transfer Engine'!$C$2:$C$1199,0)))</f>
        <v/>
      </c>
      <c r="O906" s="7" t="str">
        <f>IF(ISNA(MATCH(897,'Transfer Engine'!$C$2:$C$1199,0)),"",INDEX('Compliance Database'!$O$2:$O$1199,MATCH(897,'Transfer Engine'!$C$2:$C$1199,0)))</f>
        <v/>
      </c>
      <c r="P906" s="6" t="str">
        <f>IF(ISNA(MATCH(897,'Transfer Engine'!$C$2:$C$1199,0)),"",HYPERLINK("#Acts!A"&amp;INDEX('Compliance Database'!$P$2:$P$1199,MATCH(897,'Transfer Engine'!$C$2:$C$1199,0)),"Go to Act"))</f>
        <v/>
      </c>
    </row>
    <row r="907" spans="1:16" ht="172.95" customHeight="1" x14ac:dyDescent="0.3">
      <c r="A907" s="6" t="str">
        <f>IF(ISNA(MATCH(898,'Transfer Engine'!$C$2:$C$1199,0)),"",INDEX('Compliance Database'!$A$2:$A$1199,MATCH(898,'Transfer Engine'!$C$2:$C$1199,0)))</f>
        <v/>
      </c>
      <c r="B907" s="6" t="str">
        <f>IF(ISNA(MATCH(898,'Transfer Engine'!$C$2:$C$1199,0)),"",INDEX('Compliance Database'!$B$2:$B$1199,MATCH(898,'Transfer Engine'!$C$2:$C$1199,0)))</f>
        <v/>
      </c>
      <c r="C907" s="6" t="str">
        <f>IF(ISNA(MATCH(898,'Transfer Engine'!$C$2:$C$1199,0)),"",INDEX('Compliance Database'!$C$2:$C$1199,MATCH(898,'Transfer Engine'!$C$2:$C$1199,0)))</f>
        <v/>
      </c>
      <c r="D907" s="7" t="str">
        <f>IF(ISNA(MATCH(898,'Transfer Engine'!$C$2:$C$1199,0)),"",INDEX('Compliance Database'!$D$2:$D$1199,MATCH(898,'Transfer Engine'!$C$2:$C$1199,0)))</f>
        <v/>
      </c>
      <c r="E907" s="6" t="str">
        <f>IF(ISNA(MATCH(898,'Transfer Engine'!$C$2:$C$1199,0)),"",INDEX('Compliance Database'!$E$2:$E$1199,MATCH(898,'Transfer Engine'!$C$2:$C$1199,0)))</f>
        <v/>
      </c>
      <c r="F907" s="6" t="str">
        <f>IF(ISNA(MATCH(898,'Transfer Engine'!$C$2:$C$1199,0)),"",INDEX('Compliance Database'!$F$2:$F$1199,MATCH(898,'Transfer Engine'!$C$2:$C$1199,0)))</f>
        <v/>
      </c>
      <c r="G907" s="6" t="str">
        <f>IF(ISNA(MATCH(898,'Transfer Engine'!$C$2:$C$1199,0)),"",INDEX('Compliance Database'!$G$2:$G$1199,MATCH(898,'Transfer Engine'!$C$2:$C$1199,0)))</f>
        <v/>
      </c>
      <c r="H907" s="7" t="str">
        <f>IF(ISNA(MATCH(898,'Transfer Engine'!$C$2:$C$1199,0)),"",INDEX('Compliance Database'!$H$2:$H$1199,MATCH(898,'Transfer Engine'!$C$2:$C$1199,0)))</f>
        <v/>
      </c>
      <c r="I907" s="7" t="str">
        <f>IF(ISNA(MATCH(898,'Transfer Engine'!$C$2:$C$1199,0)),"",INDEX('Compliance Database'!$I$2:$I$1199,MATCH(898,'Transfer Engine'!$C$2:$C$1199,0)))</f>
        <v/>
      </c>
      <c r="J907" s="6" t="str">
        <f>IF(ISNA(MATCH(898,'Transfer Engine'!$C$2:$C$1199,0)),"",INDEX('Compliance Database'!$J$2:$J$1199,MATCH(898,'Transfer Engine'!$C$2:$C$1199,0)))</f>
        <v/>
      </c>
      <c r="K907" s="7" t="str">
        <f>IF(ISNA(MATCH(898,'Transfer Engine'!$C$2:$C$1199,0)),"",INDEX('Compliance Database'!$K$2:$K$1199,MATCH(898,'Transfer Engine'!$C$2:$C$1199,0)))</f>
        <v/>
      </c>
      <c r="L907" s="7" t="str">
        <f>IF(ISNA(MATCH(898,'Transfer Engine'!$C$2:$C$1199,0)),"",INDEX('Compliance Database'!$L$2:$L$1199,MATCH(898,'Transfer Engine'!$C$2:$C$1199,0)))</f>
        <v/>
      </c>
      <c r="M907" s="7" t="str">
        <f>IF(ISNA(MATCH(898,'Transfer Engine'!$C$2:$C$1199,0)),"",INDEX('Compliance Database'!$M$2:$M$1199,MATCH(898,'Transfer Engine'!$C$2:$C$1199,0)))</f>
        <v/>
      </c>
      <c r="N907" s="7" t="str">
        <f>IF(ISNA(MATCH(898,'Transfer Engine'!$C$2:$C$1199,0)),"",INDEX('Compliance Database'!$N$2:$N$1199,MATCH(898,'Transfer Engine'!$C$2:$C$1199,0)))</f>
        <v/>
      </c>
      <c r="O907" s="7" t="str">
        <f>IF(ISNA(MATCH(898,'Transfer Engine'!$C$2:$C$1199,0)),"",INDEX('Compliance Database'!$O$2:$O$1199,MATCH(898,'Transfer Engine'!$C$2:$C$1199,0)))</f>
        <v/>
      </c>
      <c r="P907" s="6" t="str">
        <f>IF(ISNA(MATCH(898,'Transfer Engine'!$C$2:$C$1199,0)),"",HYPERLINK("#Acts!A"&amp;INDEX('Compliance Database'!$P$2:$P$1199,MATCH(898,'Transfer Engine'!$C$2:$C$1199,0)),"Go to Act"))</f>
        <v/>
      </c>
    </row>
    <row r="908" spans="1:16" ht="172.95" customHeight="1" x14ac:dyDescent="0.3">
      <c r="A908" s="6" t="str">
        <f>IF(ISNA(MATCH(899,'Transfer Engine'!$C$2:$C$1199,0)),"",INDEX('Compliance Database'!$A$2:$A$1199,MATCH(899,'Transfer Engine'!$C$2:$C$1199,0)))</f>
        <v/>
      </c>
      <c r="B908" s="6" t="str">
        <f>IF(ISNA(MATCH(899,'Transfer Engine'!$C$2:$C$1199,0)),"",INDEX('Compliance Database'!$B$2:$B$1199,MATCH(899,'Transfer Engine'!$C$2:$C$1199,0)))</f>
        <v/>
      </c>
      <c r="C908" s="6" t="str">
        <f>IF(ISNA(MATCH(899,'Transfer Engine'!$C$2:$C$1199,0)),"",INDEX('Compliance Database'!$C$2:$C$1199,MATCH(899,'Transfer Engine'!$C$2:$C$1199,0)))</f>
        <v/>
      </c>
      <c r="D908" s="7" t="str">
        <f>IF(ISNA(MATCH(899,'Transfer Engine'!$C$2:$C$1199,0)),"",INDEX('Compliance Database'!$D$2:$D$1199,MATCH(899,'Transfer Engine'!$C$2:$C$1199,0)))</f>
        <v/>
      </c>
      <c r="E908" s="6" t="str">
        <f>IF(ISNA(MATCH(899,'Transfer Engine'!$C$2:$C$1199,0)),"",INDEX('Compliance Database'!$E$2:$E$1199,MATCH(899,'Transfer Engine'!$C$2:$C$1199,0)))</f>
        <v/>
      </c>
      <c r="F908" s="6" t="str">
        <f>IF(ISNA(MATCH(899,'Transfer Engine'!$C$2:$C$1199,0)),"",INDEX('Compliance Database'!$F$2:$F$1199,MATCH(899,'Transfer Engine'!$C$2:$C$1199,0)))</f>
        <v/>
      </c>
      <c r="G908" s="6" t="str">
        <f>IF(ISNA(MATCH(899,'Transfer Engine'!$C$2:$C$1199,0)),"",INDEX('Compliance Database'!$G$2:$G$1199,MATCH(899,'Transfer Engine'!$C$2:$C$1199,0)))</f>
        <v/>
      </c>
      <c r="H908" s="7" t="str">
        <f>IF(ISNA(MATCH(899,'Transfer Engine'!$C$2:$C$1199,0)),"",INDEX('Compliance Database'!$H$2:$H$1199,MATCH(899,'Transfer Engine'!$C$2:$C$1199,0)))</f>
        <v/>
      </c>
      <c r="I908" s="7" t="str">
        <f>IF(ISNA(MATCH(899,'Transfer Engine'!$C$2:$C$1199,0)),"",INDEX('Compliance Database'!$I$2:$I$1199,MATCH(899,'Transfer Engine'!$C$2:$C$1199,0)))</f>
        <v/>
      </c>
      <c r="J908" s="6" t="str">
        <f>IF(ISNA(MATCH(899,'Transfer Engine'!$C$2:$C$1199,0)),"",INDEX('Compliance Database'!$J$2:$J$1199,MATCH(899,'Transfer Engine'!$C$2:$C$1199,0)))</f>
        <v/>
      </c>
      <c r="K908" s="7" t="str">
        <f>IF(ISNA(MATCH(899,'Transfer Engine'!$C$2:$C$1199,0)),"",INDEX('Compliance Database'!$K$2:$K$1199,MATCH(899,'Transfer Engine'!$C$2:$C$1199,0)))</f>
        <v/>
      </c>
      <c r="L908" s="7" t="str">
        <f>IF(ISNA(MATCH(899,'Transfer Engine'!$C$2:$C$1199,0)),"",INDEX('Compliance Database'!$L$2:$L$1199,MATCH(899,'Transfer Engine'!$C$2:$C$1199,0)))</f>
        <v/>
      </c>
      <c r="M908" s="7" t="str">
        <f>IF(ISNA(MATCH(899,'Transfer Engine'!$C$2:$C$1199,0)),"",INDEX('Compliance Database'!$M$2:$M$1199,MATCH(899,'Transfer Engine'!$C$2:$C$1199,0)))</f>
        <v/>
      </c>
      <c r="N908" s="7" t="str">
        <f>IF(ISNA(MATCH(899,'Transfer Engine'!$C$2:$C$1199,0)),"",INDEX('Compliance Database'!$N$2:$N$1199,MATCH(899,'Transfer Engine'!$C$2:$C$1199,0)))</f>
        <v/>
      </c>
      <c r="O908" s="7" t="str">
        <f>IF(ISNA(MATCH(899,'Transfer Engine'!$C$2:$C$1199,0)),"",INDEX('Compliance Database'!$O$2:$O$1199,MATCH(899,'Transfer Engine'!$C$2:$C$1199,0)))</f>
        <v/>
      </c>
      <c r="P908" s="6" t="str">
        <f>IF(ISNA(MATCH(899,'Transfer Engine'!$C$2:$C$1199,0)),"",HYPERLINK("#Acts!A"&amp;INDEX('Compliance Database'!$P$2:$P$1199,MATCH(899,'Transfer Engine'!$C$2:$C$1199,0)),"Go to Act"))</f>
        <v/>
      </c>
    </row>
    <row r="909" spans="1:16" ht="172.95" customHeight="1" x14ac:dyDescent="0.3">
      <c r="A909" s="6" t="str">
        <f>IF(ISNA(MATCH(900,'Transfer Engine'!$C$2:$C$1199,0)),"",INDEX('Compliance Database'!$A$2:$A$1199,MATCH(900,'Transfer Engine'!$C$2:$C$1199,0)))</f>
        <v/>
      </c>
      <c r="B909" s="6" t="str">
        <f>IF(ISNA(MATCH(900,'Transfer Engine'!$C$2:$C$1199,0)),"",INDEX('Compliance Database'!$B$2:$B$1199,MATCH(900,'Transfer Engine'!$C$2:$C$1199,0)))</f>
        <v/>
      </c>
      <c r="C909" s="6" t="str">
        <f>IF(ISNA(MATCH(900,'Transfer Engine'!$C$2:$C$1199,0)),"",INDEX('Compliance Database'!$C$2:$C$1199,MATCH(900,'Transfer Engine'!$C$2:$C$1199,0)))</f>
        <v/>
      </c>
      <c r="D909" s="7" t="str">
        <f>IF(ISNA(MATCH(900,'Transfer Engine'!$C$2:$C$1199,0)),"",INDEX('Compliance Database'!$D$2:$D$1199,MATCH(900,'Transfer Engine'!$C$2:$C$1199,0)))</f>
        <v/>
      </c>
      <c r="E909" s="6" t="str">
        <f>IF(ISNA(MATCH(900,'Transfer Engine'!$C$2:$C$1199,0)),"",INDEX('Compliance Database'!$E$2:$E$1199,MATCH(900,'Transfer Engine'!$C$2:$C$1199,0)))</f>
        <v/>
      </c>
      <c r="F909" s="6" t="str">
        <f>IF(ISNA(MATCH(900,'Transfer Engine'!$C$2:$C$1199,0)),"",INDEX('Compliance Database'!$F$2:$F$1199,MATCH(900,'Transfer Engine'!$C$2:$C$1199,0)))</f>
        <v/>
      </c>
      <c r="G909" s="6" t="str">
        <f>IF(ISNA(MATCH(900,'Transfer Engine'!$C$2:$C$1199,0)),"",INDEX('Compliance Database'!$G$2:$G$1199,MATCH(900,'Transfer Engine'!$C$2:$C$1199,0)))</f>
        <v/>
      </c>
      <c r="H909" s="7" t="str">
        <f>IF(ISNA(MATCH(900,'Transfer Engine'!$C$2:$C$1199,0)),"",INDEX('Compliance Database'!$H$2:$H$1199,MATCH(900,'Transfer Engine'!$C$2:$C$1199,0)))</f>
        <v/>
      </c>
      <c r="I909" s="7" t="str">
        <f>IF(ISNA(MATCH(900,'Transfer Engine'!$C$2:$C$1199,0)),"",INDEX('Compliance Database'!$I$2:$I$1199,MATCH(900,'Transfer Engine'!$C$2:$C$1199,0)))</f>
        <v/>
      </c>
      <c r="J909" s="6" t="str">
        <f>IF(ISNA(MATCH(900,'Transfer Engine'!$C$2:$C$1199,0)),"",INDEX('Compliance Database'!$J$2:$J$1199,MATCH(900,'Transfer Engine'!$C$2:$C$1199,0)))</f>
        <v/>
      </c>
      <c r="K909" s="7" t="str">
        <f>IF(ISNA(MATCH(900,'Transfer Engine'!$C$2:$C$1199,0)),"",INDEX('Compliance Database'!$K$2:$K$1199,MATCH(900,'Transfer Engine'!$C$2:$C$1199,0)))</f>
        <v/>
      </c>
      <c r="L909" s="7" t="str">
        <f>IF(ISNA(MATCH(900,'Transfer Engine'!$C$2:$C$1199,0)),"",INDEX('Compliance Database'!$L$2:$L$1199,MATCH(900,'Transfer Engine'!$C$2:$C$1199,0)))</f>
        <v/>
      </c>
      <c r="M909" s="7" t="str">
        <f>IF(ISNA(MATCH(900,'Transfer Engine'!$C$2:$C$1199,0)),"",INDEX('Compliance Database'!$M$2:$M$1199,MATCH(900,'Transfer Engine'!$C$2:$C$1199,0)))</f>
        <v/>
      </c>
      <c r="N909" s="7" t="str">
        <f>IF(ISNA(MATCH(900,'Transfer Engine'!$C$2:$C$1199,0)),"",INDEX('Compliance Database'!$N$2:$N$1199,MATCH(900,'Transfer Engine'!$C$2:$C$1199,0)))</f>
        <v/>
      </c>
      <c r="O909" s="7" t="str">
        <f>IF(ISNA(MATCH(900,'Transfer Engine'!$C$2:$C$1199,0)),"",INDEX('Compliance Database'!$O$2:$O$1199,MATCH(900,'Transfer Engine'!$C$2:$C$1199,0)))</f>
        <v/>
      </c>
      <c r="P909" s="6" t="str">
        <f>IF(ISNA(MATCH(900,'Transfer Engine'!$C$2:$C$1199,0)),"",HYPERLINK("#Acts!A"&amp;INDEX('Compliance Database'!$P$2:$P$1199,MATCH(900,'Transfer Engine'!$C$2:$C$1199,0)),"Go to Act"))</f>
        <v/>
      </c>
    </row>
    <row r="910" spans="1:16" ht="172.95" customHeight="1" x14ac:dyDescent="0.3">
      <c r="A910" s="6" t="str">
        <f>IF(ISNA(MATCH(901,'Transfer Engine'!$C$2:$C$1199,0)),"",INDEX('Compliance Database'!$A$2:$A$1199,MATCH(901,'Transfer Engine'!$C$2:$C$1199,0)))</f>
        <v/>
      </c>
      <c r="B910" s="6" t="str">
        <f>IF(ISNA(MATCH(901,'Transfer Engine'!$C$2:$C$1199,0)),"",INDEX('Compliance Database'!$B$2:$B$1199,MATCH(901,'Transfer Engine'!$C$2:$C$1199,0)))</f>
        <v/>
      </c>
      <c r="C910" s="6" t="str">
        <f>IF(ISNA(MATCH(901,'Transfer Engine'!$C$2:$C$1199,0)),"",INDEX('Compliance Database'!$C$2:$C$1199,MATCH(901,'Transfer Engine'!$C$2:$C$1199,0)))</f>
        <v/>
      </c>
      <c r="D910" s="7" t="str">
        <f>IF(ISNA(MATCH(901,'Transfer Engine'!$C$2:$C$1199,0)),"",INDEX('Compliance Database'!$D$2:$D$1199,MATCH(901,'Transfer Engine'!$C$2:$C$1199,0)))</f>
        <v/>
      </c>
      <c r="E910" s="6" t="str">
        <f>IF(ISNA(MATCH(901,'Transfer Engine'!$C$2:$C$1199,0)),"",INDEX('Compliance Database'!$E$2:$E$1199,MATCH(901,'Transfer Engine'!$C$2:$C$1199,0)))</f>
        <v/>
      </c>
      <c r="F910" s="6" t="str">
        <f>IF(ISNA(MATCH(901,'Transfer Engine'!$C$2:$C$1199,0)),"",INDEX('Compliance Database'!$F$2:$F$1199,MATCH(901,'Transfer Engine'!$C$2:$C$1199,0)))</f>
        <v/>
      </c>
      <c r="G910" s="6" t="str">
        <f>IF(ISNA(MATCH(901,'Transfer Engine'!$C$2:$C$1199,0)),"",INDEX('Compliance Database'!$G$2:$G$1199,MATCH(901,'Transfer Engine'!$C$2:$C$1199,0)))</f>
        <v/>
      </c>
      <c r="H910" s="7" t="str">
        <f>IF(ISNA(MATCH(901,'Transfer Engine'!$C$2:$C$1199,0)),"",INDEX('Compliance Database'!$H$2:$H$1199,MATCH(901,'Transfer Engine'!$C$2:$C$1199,0)))</f>
        <v/>
      </c>
      <c r="I910" s="7" t="str">
        <f>IF(ISNA(MATCH(901,'Transfer Engine'!$C$2:$C$1199,0)),"",INDEX('Compliance Database'!$I$2:$I$1199,MATCH(901,'Transfer Engine'!$C$2:$C$1199,0)))</f>
        <v/>
      </c>
      <c r="J910" s="6" t="str">
        <f>IF(ISNA(MATCH(901,'Transfer Engine'!$C$2:$C$1199,0)),"",INDEX('Compliance Database'!$J$2:$J$1199,MATCH(901,'Transfer Engine'!$C$2:$C$1199,0)))</f>
        <v/>
      </c>
      <c r="K910" s="7" t="str">
        <f>IF(ISNA(MATCH(901,'Transfer Engine'!$C$2:$C$1199,0)),"",INDEX('Compliance Database'!$K$2:$K$1199,MATCH(901,'Transfer Engine'!$C$2:$C$1199,0)))</f>
        <v/>
      </c>
      <c r="L910" s="7" t="str">
        <f>IF(ISNA(MATCH(901,'Transfer Engine'!$C$2:$C$1199,0)),"",INDEX('Compliance Database'!$L$2:$L$1199,MATCH(901,'Transfer Engine'!$C$2:$C$1199,0)))</f>
        <v/>
      </c>
      <c r="M910" s="7" t="str">
        <f>IF(ISNA(MATCH(901,'Transfer Engine'!$C$2:$C$1199,0)),"",INDEX('Compliance Database'!$M$2:$M$1199,MATCH(901,'Transfer Engine'!$C$2:$C$1199,0)))</f>
        <v/>
      </c>
      <c r="N910" s="7" t="str">
        <f>IF(ISNA(MATCH(901,'Transfer Engine'!$C$2:$C$1199,0)),"",INDEX('Compliance Database'!$N$2:$N$1199,MATCH(901,'Transfer Engine'!$C$2:$C$1199,0)))</f>
        <v/>
      </c>
      <c r="O910" s="7" t="str">
        <f>IF(ISNA(MATCH(901,'Transfer Engine'!$C$2:$C$1199,0)),"",INDEX('Compliance Database'!$O$2:$O$1199,MATCH(901,'Transfer Engine'!$C$2:$C$1199,0)))</f>
        <v/>
      </c>
      <c r="P910" s="6" t="str">
        <f>IF(ISNA(MATCH(901,'Transfer Engine'!$C$2:$C$1199,0)),"",HYPERLINK("#Acts!A"&amp;INDEX('Compliance Database'!$P$2:$P$1199,MATCH(901,'Transfer Engine'!$C$2:$C$1199,0)),"Go to Act"))</f>
        <v/>
      </c>
    </row>
    <row r="911" spans="1:16" ht="172.95" customHeight="1" x14ac:dyDescent="0.3">
      <c r="A911" s="6" t="str">
        <f>IF(ISNA(MATCH(902,'Transfer Engine'!$C$2:$C$1199,0)),"",INDEX('Compliance Database'!$A$2:$A$1199,MATCH(902,'Transfer Engine'!$C$2:$C$1199,0)))</f>
        <v/>
      </c>
      <c r="B911" s="6" t="str">
        <f>IF(ISNA(MATCH(902,'Transfer Engine'!$C$2:$C$1199,0)),"",INDEX('Compliance Database'!$B$2:$B$1199,MATCH(902,'Transfer Engine'!$C$2:$C$1199,0)))</f>
        <v/>
      </c>
      <c r="C911" s="6" t="str">
        <f>IF(ISNA(MATCH(902,'Transfer Engine'!$C$2:$C$1199,0)),"",INDEX('Compliance Database'!$C$2:$C$1199,MATCH(902,'Transfer Engine'!$C$2:$C$1199,0)))</f>
        <v/>
      </c>
      <c r="D911" s="7" t="str">
        <f>IF(ISNA(MATCH(902,'Transfer Engine'!$C$2:$C$1199,0)),"",INDEX('Compliance Database'!$D$2:$D$1199,MATCH(902,'Transfer Engine'!$C$2:$C$1199,0)))</f>
        <v/>
      </c>
      <c r="E911" s="6" t="str">
        <f>IF(ISNA(MATCH(902,'Transfer Engine'!$C$2:$C$1199,0)),"",INDEX('Compliance Database'!$E$2:$E$1199,MATCH(902,'Transfer Engine'!$C$2:$C$1199,0)))</f>
        <v/>
      </c>
      <c r="F911" s="6" t="str">
        <f>IF(ISNA(MATCH(902,'Transfer Engine'!$C$2:$C$1199,0)),"",INDEX('Compliance Database'!$F$2:$F$1199,MATCH(902,'Transfer Engine'!$C$2:$C$1199,0)))</f>
        <v/>
      </c>
      <c r="G911" s="6" t="str">
        <f>IF(ISNA(MATCH(902,'Transfer Engine'!$C$2:$C$1199,0)),"",INDEX('Compliance Database'!$G$2:$G$1199,MATCH(902,'Transfer Engine'!$C$2:$C$1199,0)))</f>
        <v/>
      </c>
      <c r="H911" s="7" t="str">
        <f>IF(ISNA(MATCH(902,'Transfer Engine'!$C$2:$C$1199,0)),"",INDEX('Compliance Database'!$H$2:$H$1199,MATCH(902,'Transfer Engine'!$C$2:$C$1199,0)))</f>
        <v/>
      </c>
      <c r="I911" s="7" t="str">
        <f>IF(ISNA(MATCH(902,'Transfer Engine'!$C$2:$C$1199,0)),"",INDEX('Compliance Database'!$I$2:$I$1199,MATCH(902,'Transfer Engine'!$C$2:$C$1199,0)))</f>
        <v/>
      </c>
      <c r="J911" s="6" t="str">
        <f>IF(ISNA(MATCH(902,'Transfer Engine'!$C$2:$C$1199,0)),"",INDEX('Compliance Database'!$J$2:$J$1199,MATCH(902,'Transfer Engine'!$C$2:$C$1199,0)))</f>
        <v/>
      </c>
      <c r="K911" s="7" t="str">
        <f>IF(ISNA(MATCH(902,'Transfer Engine'!$C$2:$C$1199,0)),"",INDEX('Compliance Database'!$K$2:$K$1199,MATCH(902,'Transfer Engine'!$C$2:$C$1199,0)))</f>
        <v/>
      </c>
      <c r="L911" s="7" t="str">
        <f>IF(ISNA(MATCH(902,'Transfer Engine'!$C$2:$C$1199,0)),"",INDEX('Compliance Database'!$L$2:$L$1199,MATCH(902,'Transfer Engine'!$C$2:$C$1199,0)))</f>
        <v/>
      </c>
      <c r="M911" s="7" t="str">
        <f>IF(ISNA(MATCH(902,'Transfer Engine'!$C$2:$C$1199,0)),"",INDEX('Compliance Database'!$M$2:$M$1199,MATCH(902,'Transfer Engine'!$C$2:$C$1199,0)))</f>
        <v/>
      </c>
      <c r="N911" s="7" t="str">
        <f>IF(ISNA(MATCH(902,'Transfer Engine'!$C$2:$C$1199,0)),"",INDEX('Compliance Database'!$N$2:$N$1199,MATCH(902,'Transfer Engine'!$C$2:$C$1199,0)))</f>
        <v/>
      </c>
      <c r="O911" s="7" t="str">
        <f>IF(ISNA(MATCH(902,'Transfer Engine'!$C$2:$C$1199,0)),"",INDEX('Compliance Database'!$O$2:$O$1199,MATCH(902,'Transfer Engine'!$C$2:$C$1199,0)))</f>
        <v/>
      </c>
      <c r="P911" s="6" t="str">
        <f>IF(ISNA(MATCH(902,'Transfer Engine'!$C$2:$C$1199,0)),"",HYPERLINK("#Acts!A"&amp;INDEX('Compliance Database'!$P$2:$P$1199,MATCH(902,'Transfer Engine'!$C$2:$C$1199,0)),"Go to Act"))</f>
        <v/>
      </c>
    </row>
    <row r="912" spans="1:16" ht="172.95" customHeight="1" x14ac:dyDescent="0.3">
      <c r="A912" s="6" t="str">
        <f>IF(ISNA(MATCH(903,'Transfer Engine'!$C$2:$C$1199,0)),"",INDEX('Compliance Database'!$A$2:$A$1199,MATCH(903,'Transfer Engine'!$C$2:$C$1199,0)))</f>
        <v/>
      </c>
      <c r="B912" s="6" t="str">
        <f>IF(ISNA(MATCH(903,'Transfer Engine'!$C$2:$C$1199,0)),"",INDEX('Compliance Database'!$B$2:$B$1199,MATCH(903,'Transfer Engine'!$C$2:$C$1199,0)))</f>
        <v/>
      </c>
      <c r="C912" s="6" t="str">
        <f>IF(ISNA(MATCH(903,'Transfer Engine'!$C$2:$C$1199,0)),"",INDEX('Compliance Database'!$C$2:$C$1199,MATCH(903,'Transfer Engine'!$C$2:$C$1199,0)))</f>
        <v/>
      </c>
      <c r="D912" s="7" t="str">
        <f>IF(ISNA(MATCH(903,'Transfer Engine'!$C$2:$C$1199,0)),"",INDEX('Compliance Database'!$D$2:$D$1199,MATCH(903,'Transfer Engine'!$C$2:$C$1199,0)))</f>
        <v/>
      </c>
      <c r="E912" s="6" t="str">
        <f>IF(ISNA(MATCH(903,'Transfer Engine'!$C$2:$C$1199,0)),"",INDEX('Compliance Database'!$E$2:$E$1199,MATCH(903,'Transfer Engine'!$C$2:$C$1199,0)))</f>
        <v/>
      </c>
      <c r="F912" s="6" t="str">
        <f>IF(ISNA(MATCH(903,'Transfer Engine'!$C$2:$C$1199,0)),"",INDEX('Compliance Database'!$F$2:$F$1199,MATCH(903,'Transfer Engine'!$C$2:$C$1199,0)))</f>
        <v/>
      </c>
      <c r="G912" s="6" t="str">
        <f>IF(ISNA(MATCH(903,'Transfer Engine'!$C$2:$C$1199,0)),"",INDEX('Compliance Database'!$G$2:$G$1199,MATCH(903,'Transfer Engine'!$C$2:$C$1199,0)))</f>
        <v/>
      </c>
      <c r="H912" s="7" t="str">
        <f>IF(ISNA(MATCH(903,'Transfer Engine'!$C$2:$C$1199,0)),"",INDEX('Compliance Database'!$H$2:$H$1199,MATCH(903,'Transfer Engine'!$C$2:$C$1199,0)))</f>
        <v/>
      </c>
      <c r="I912" s="7" t="str">
        <f>IF(ISNA(MATCH(903,'Transfer Engine'!$C$2:$C$1199,0)),"",INDEX('Compliance Database'!$I$2:$I$1199,MATCH(903,'Transfer Engine'!$C$2:$C$1199,0)))</f>
        <v/>
      </c>
      <c r="J912" s="6" t="str">
        <f>IF(ISNA(MATCH(903,'Transfer Engine'!$C$2:$C$1199,0)),"",INDEX('Compliance Database'!$J$2:$J$1199,MATCH(903,'Transfer Engine'!$C$2:$C$1199,0)))</f>
        <v/>
      </c>
      <c r="K912" s="7" t="str">
        <f>IF(ISNA(MATCH(903,'Transfer Engine'!$C$2:$C$1199,0)),"",INDEX('Compliance Database'!$K$2:$K$1199,MATCH(903,'Transfer Engine'!$C$2:$C$1199,0)))</f>
        <v/>
      </c>
      <c r="L912" s="7" t="str">
        <f>IF(ISNA(MATCH(903,'Transfer Engine'!$C$2:$C$1199,0)),"",INDEX('Compliance Database'!$L$2:$L$1199,MATCH(903,'Transfer Engine'!$C$2:$C$1199,0)))</f>
        <v/>
      </c>
      <c r="M912" s="7" t="str">
        <f>IF(ISNA(MATCH(903,'Transfer Engine'!$C$2:$C$1199,0)),"",INDEX('Compliance Database'!$M$2:$M$1199,MATCH(903,'Transfer Engine'!$C$2:$C$1199,0)))</f>
        <v/>
      </c>
      <c r="N912" s="7" t="str">
        <f>IF(ISNA(MATCH(903,'Transfer Engine'!$C$2:$C$1199,0)),"",INDEX('Compliance Database'!$N$2:$N$1199,MATCH(903,'Transfer Engine'!$C$2:$C$1199,0)))</f>
        <v/>
      </c>
      <c r="O912" s="7" t="str">
        <f>IF(ISNA(MATCH(903,'Transfer Engine'!$C$2:$C$1199,0)),"",INDEX('Compliance Database'!$O$2:$O$1199,MATCH(903,'Transfer Engine'!$C$2:$C$1199,0)))</f>
        <v/>
      </c>
      <c r="P912" s="6" t="str">
        <f>IF(ISNA(MATCH(903,'Transfer Engine'!$C$2:$C$1199,0)),"",HYPERLINK("#Acts!A"&amp;INDEX('Compliance Database'!$P$2:$P$1199,MATCH(903,'Transfer Engine'!$C$2:$C$1199,0)),"Go to Act"))</f>
        <v/>
      </c>
    </row>
    <row r="913" spans="1:16" ht="172.95" customHeight="1" x14ac:dyDescent="0.3">
      <c r="A913" s="6" t="str">
        <f>IF(ISNA(MATCH(904,'Transfer Engine'!$C$2:$C$1199,0)),"",INDEX('Compliance Database'!$A$2:$A$1199,MATCH(904,'Transfer Engine'!$C$2:$C$1199,0)))</f>
        <v/>
      </c>
      <c r="B913" s="6" t="str">
        <f>IF(ISNA(MATCH(904,'Transfer Engine'!$C$2:$C$1199,0)),"",INDEX('Compliance Database'!$B$2:$B$1199,MATCH(904,'Transfer Engine'!$C$2:$C$1199,0)))</f>
        <v/>
      </c>
      <c r="C913" s="6" t="str">
        <f>IF(ISNA(MATCH(904,'Transfer Engine'!$C$2:$C$1199,0)),"",INDEX('Compliance Database'!$C$2:$C$1199,MATCH(904,'Transfer Engine'!$C$2:$C$1199,0)))</f>
        <v/>
      </c>
      <c r="D913" s="7" t="str">
        <f>IF(ISNA(MATCH(904,'Transfer Engine'!$C$2:$C$1199,0)),"",INDEX('Compliance Database'!$D$2:$D$1199,MATCH(904,'Transfer Engine'!$C$2:$C$1199,0)))</f>
        <v/>
      </c>
      <c r="E913" s="6" t="str">
        <f>IF(ISNA(MATCH(904,'Transfer Engine'!$C$2:$C$1199,0)),"",INDEX('Compliance Database'!$E$2:$E$1199,MATCH(904,'Transfer Engine'!$C$2:$C$1199,0)))</f>
        <v/>
      </c>
      <c r="F913" s="6" t="str">
        <f>IF(ISNA(MATCH(904,'Transfer Engine'!$C$2:$C$1199,0)),"",INDEX('Compliance Database'!$F$2:$F$1199,MATCH(904,'Transfer Engine'!$C$2:$C$1199,0)))</f>
        <v/>
      </c>
      <c r="G913" s="6" t="str">
        <f>IF(ISNA(MATCH(904,'Transfer Engine'!$C$2:$C$1199,0)),"",INDEX('Compliance Database'!$G$2:$G$1199,MATCH(904,'Transfer Engine'!$C$2:$C$1199,0)))</f>
        <v/>
      </c>
      <c r="H913" s="7" t="str">
        <f>IF(ISNA(MATCH(904,'Transfer Engine'!$C$2:$C$1199,0)),"",INDEX('Compliance Database'!$H$2:$H$1199,MATCH(904,'Transfer Engine'!$C$2:$C$1199,0)))</f>
        <v/>
      </c>
      <c r="I913" s="7" t="str">
        <f>IF(ISNA(MATCH(904,'Transfer Engine'!$C$2:$C$1199,0)),"",INDEX('Compliance Database'!$I$2:$I$1199,MATCH(904,'Transfer Engine'!$C$2:$C$1199,0)))</f>
        <v/>
      </c>
      <c r="J913" s="6" t="str">
        <f>IF(ISNA(MATCH(904,'Transfer Engine'!$C$2:$C$1199,0)),"",INDEX('Compliance Database'!$J$2:$J$1199,MATCH(904,'Transfer Engine'!$C$2:$C$1199,0)))</f>
        <v/>
      </c>
      <c r="K913" s="7" t="str">
        <f>IF(ISNA(MATCH(904,'Transfer Engine'!$C$2:$C$1199,0)),"",INDEX('Compliance Database'!$K$2:$K$1199,MATCH(904,'Transfer Engine'!$C$2:$C$1199,0)))</f>
        <v/>
      </c>
      <c r="L913" s="7" t="str">
        <f>IF(ISNA(MATCH(904,'Transfer Engine'!$C$2:$C$1199,0)),"",INDEX('Compliance Database'!$L$2:$L$1199,MATCH(904,'Transfer Engine'!$C$2:$C$1199,0)))</f>
        <v/>
      </c>
      <c r="M913" s="7" t="str">
        <f>IF(ISNA(MATCH(904,'Transfer Engine'!$C$2:$C$1199,0)),"",INDEX('Compliance Database'!$M$2:$M$1199,MATCH(904,'Transfer Engine'!$C$2:$C$1199,0)))</f>
        <v/>
      </c>
      <c r="N913" s="7" t="str">
        <f>IF(ISNA(MATCH(904,'Transfer Engine'!$C$2:$C$1199,0)),"",INDEX('Compliance Database'!$N$2:$N$1199,MATCH(904,'Transfer Engine'!$C$2:$C$1199,0)))</f>
        <v/>
      </c>
      <c r="O913" s="7" t="str">
        <f>IF(ISNA(MATCH(904,'Transfer Engine'!$C$2:$C$1199,0)),"",INDEX('Compliance Database'!$O$2:$O$1199,MATCH(904,'Transfer Engine'!$C$2:$C$1199,0)))</f>
        <v/>
      </c>
      <c r="P913" s="6" t="str">
        <f>IF(ISNA(MATCH(904,'Transfer Engine'!$C$2:$C$1199,0)),"",HYPERLINK("#Acts!A"&amp;INDEX('Compliance Database'!$P$2:$P$1199,MATCH(904,'Transfer Engine'!$C$2:$C$1199,0)),"Go to Act"))</f>
        <v/>
      </c>
    </row>
    <row r="914" spans="1:16" ht="172.95" customHeight="1" x14ac:dyDescent="0.3">
      <c r="A914" s="6" t="str">
        <f>IF(ISNA(MATCH(905,'Transfer Engine'!$C$2:$C$1199,0)),"",INDEX('Compliance Database'!$A$2:$A$1199,MATCH(905,'Transfer Engine'!$C$2:$C$1199,0)))</f>
        <v/>
      </c>
      <c r="B914" s="6" t="str">
        <f>IF(ISNA(MATCH(905,'Transfer Engine'!$C$2:$C$1199,0)),"",INDEX('Compliance Database'!$B$2:$B$1199,MATCH(905,'Transfer Engine'!$C$2:$C$1199,0)))</f>
        <v/>
      </c>
      <c r="C914" s="6" t="str">
        <f>IF(ISNA(MATCH(905,'Transfer Engine'!$C$2:$C$1199,0)),"",INDEX('Compliance Database'!$C$2:$C$1199,MATCH(905,'Transfer Engine'!$C$2:$C$1199,0)))</f>
        <v/>
      </c>
      <c r="D914" s="7" t="str">
        <f>IF(ISNA(MATCH(905,'Transfer Engine'!$C$2:$C$1199,0)),"",INDEX('Compliance Database'!$D$2:$D$1199,MATCH(905,'Transfer Engine'!$C$2:$C$1199,0)))</f>
        <v/>
      </c>
      <c r="E914" s="6" t="str">
        <f>IF(ISNA(MATCH(905,'Transfer Engine'!$C$2:$C$1199,0)),"",INDEX('Compliance Database'!$E$2:$E$1199,MATCH(905,'Transfer Engine'!$C$2:$C$1199,0)))</f>
        <v/>
      </c>
      <c r="F914" s="6" t="str">
        <f>IF(ISNA(MATCH(905,'Transfer Engine'!$C$2:$C$1199,0)),"",INDEX('Compliance Database'!$F$2:$F$1199,MATCH(905,'Transfer Engine'!$C$2:$C$1199,0)))</f>
        <v/>
      </c>
      <c r="G914" s="6" t="str">
        <f>IF(ISNA(MATCH(905,'Transfer Engine'!$C$2:$C$1199,0)),"",INDEX('Compliance Database'!$G$2:$G$1199,MATCH(905,'Transfer Engine'!$C$2:$C$1199,0)))</f>
        <v/>
      </c>
      <c r="H914" s="7" t="str">
        <f>IF(ISNA(MATCH(905,'Transfer Engine'!$C$2:$C$1199,0)),"",INDEX('Compliance Database'!$H$2:$H$1199,MATCH(905,'Transfer Engine'!$C$2:$C$1199,0)))</f>
        <v/>
      </c>
      <c r="I914" s="7" t="str">
        <f>IF(ISNA(MATCH(905,'Transfer Engine'!$C$2:$C$1199,0)),"",INDEX('Compliance Database'!$I$2:$I$1199,MATCH(905,'Transfer Engine'!$C$2:$C$1199,0)))</f>
        <v/>
      </c>
      <c r="J914" s="6" t="str">
        <f>IF(ISNA(MATCH(905,'Transfer Engine'!$C$2:$C$1199,0)),"",INDEX('Compliance Database'!$J$2:$J$1199,MATCH(905,'Transfer Engine'!$C$2:$C$1199,0)))</f>
        <v/>
      </c>
      <c r="K914" s="7" t="str">
        <f>IF(ISNA(MATCH(905,'Transfer Engine'!$C$2:$C$1199,0)),"",INDEX('Compliance Database'!$K$2:$K$1199,MATCH(905,'Transfer Engine'!$C$2:$C$1199,0)))</f>
        <v/>
      </c>
      <c r="L914" s="7" t="str">
        <f>IF(ISNA(MATCH(905,'Transfer Engine'!$C$2:$C$1199,0)),"",INDEX('Compliance Database'!$L$2:$L$1199,MATCH(905,'Transfer Engine'!$C$2:$C$1199,0)))</f>
        <v/>
      </c>
      <c r="M914" s="7" t="str">
        <f>IF(ISNA(MATCH(905,'Transfer Engine'!$C$2:$C$1199,0)),"",INDEX('Compliance Database'!$M$2:$M$1199,MATCH(905,'Transfer Engine'!$C$2:$C$1199,0)))</f>
        <v/>
      </c>
      <c r="N914" s="7" t="str">
        <f>IF(ISNA(MATCH(905,'Transfer Engine'!$C$2:$C$1199,0)),"",INDEX('Compliance Database'!$N$2:$N$1199,MATCH(905,'Transfer Engine'!$C$2:$C$1199,0)))</f>
        <v/>
      </c>
      <c r="O914" s="7" t="str">
        <f>IF(ISNA(MATCH(905,'Transfer Engine'!$C$2:$C$1199,0)),"",INDEX('Compliance Database'!$O$2:$O$1199,MATCH(905,'Transfer Engine'!$C$2:$C$1199,0)))</f>
        <v/>
      </c>
      <c r="P914" s="6" t="str">
        <f>IF(ISNA(MATCH(905,'Transfer Engine'!$C$2:$C$1199,0)),"",HYPERLINK("#Acts!A"&amp;INDEX('Compliance Database'!$P$2:$P$1199,MATCH(905,'Transfer Engine'!$C$2:$C$1199,0)),"Go to Act"))</f>
        <v/>
      </c>
    </row>
    <row r="915" spans="1:16" ht="172.95" customHeight="1" x14ac:dyDescent="0.3">
      <c r="A915" s="6" t="str">
        <f>IF(ISNA(MATCH(906,'Transfer Engine'!$C$2:$C$1199,0)),"",INDEX('Compliance Database'!$A$2:$A$1199,MATCH(906,'Transfer Engine'!$C$2:$C$1199,0)))</f>
        <v/>
      </c>
      <c r="B915" s="6" t="str">
        <f>IF(ISNA(MATCH(906,'Transfer Engine'!$C$2:$C$1199,0)),"",INDEX('Compliance Database'!$B$2:$B$1199,MATCH(906,'Transfer Engine'!$C$2:$C$1199,0)))</f>
        <v/>
      </c>
      <c r="C915" s="6" t="str">
        <f>IF(ISNA(MATCH(906,'Transfer Engine'!$C$2:$C$1199,0)),"",INDEX('Compliance Database'!$C$2:$C$1199,MATCH(906,'Transfer Engine'!$C$2:$C$1199,0)))</f>
        <v/>
      </c>
      <c r="D915" s="7" t="str">
        <f>IF(ISNA(MATCH(906,'Transfer Engine'!$C$2:$C$1199,0)),"",INDEX('Compliance Database'!$D$2:$D$1199,MATCH(906,'Transfer Engine'!$C$2:$C$1199,0)))</f>
        <v/>
      </c>
      <c r="E915" s="6" t="str">
        <f>IF(ISNA(MATCH(906,'Transfer Engine'!$C$2:$C$1199,0)),"",INDEX('Compliance Database'!$E$2:$E$1199,MATCH(906,'Transfer Engine'!$C$2:$C$1199,0)))</f>
        <v/>
      </c>
      <c r="F915" s="6" t="str">
        <f>IF(ISNA(MATCH(906,'Transfer Engine'!$C$2:$C$1199,0)),"",INDEX('Compliance Database'!$F$2:$F$1199,MATCH(906,'Transfer Engine'!$C$2:$C$1199,0)))</f>
        <v/>
      </c>
      <c r="G915" s="6" t="str">
        <f>IF(ISNA(MATCH(906,'Transfer Engine'!$C$2:$C$1199,0)),"",INDEX('Compliance Database'!$G$2:$G$1199,MATCH(906,'Transfer Engine'!$C$2:$C$1199,0)))</f>
        <v/>
      </c>
      <c r="H915" s="7" t="str">
        <f>IF(ISNA(MATCH(906,'Transfer Engine'!$C$2:$C$1199,0)),"",INDEX('Compliance Database'!$H$2:$H$1199,MATCH(906,'Transfer Engine'!$C$2:$C$1199,0)))</f>
        <v/>
      </c>
      <c r="I915" s="7" t="str">
        <f>IF(ISNA(MATCH(906,'Transfer Engine'!$C$2:$C$1199,0)),"",INDEX('Compliance Database'!$I$2:$I$1199,MATCH(906,'Transfer Engine'!$C$2:$C$1199,0)))</f>
        <v/>
      </c>
      <c r="J915" s="6" t="str">
        <f>IF(ISNA(MATCH(906,'Transfer Engine'!$C$2:$C$1199,0)),"",INDEX('Compliance Database'!$J$2:$J$1199,MATCH(906,'Transfer Engine'!$C$2:$C$1199,0)))</f>
        <v/>
      </c>
      <c r="K915" s="7" t="str">
        <f>IF(ISNA(MATCH(906,'Transfer Engine'!$C$2:$C$1199,0)),"",INDEX('Compliance Database'!$K$2:$K$1199,MATCH(906,'Transfer Engine'!$C$2:$C$1199,0)))</f>
        <v/>
      </c>
      <c r="L915" s="7" t="str">
        <f>IF(ISNA(MATCH(906,'Transfer Engine'!$C$2:$C$1199,0)),"",INDEX('Compliance Database'!$L$2:$L$1199,MATCH(906,'Transfer Engine'!$C$2:$C$1199,0)))</f>
        <v/>
      </c>
      <c r="M915" s="7" t="str">
        <f>IF(ISNA(MATCH(906,'Transfer Engine'!$C$2:$C$1199,0)),"",INDEX('Compliance Database'!$M$2:$M$1199,MATCH(906,'Transfer Engine'!$C$2:$C$1199,0)))</f>
        <v/>
      </c>
      <c r="N915" s="7" t="str">
        <f>IF(ISNA(MATCH(906,'Transfer Engine'!$C$2:$C$1199,0)),"",INDEX('Compliance Database'!$N$2:$N$1199,MATCH(906,'Transfer Engine'!$C$2:$C$1199,0)))</f>
        <v/>
      </c>
      <c r="O915" s="7" t="str">
        <f>IF(ISNA(MATCH(906,'Transfer Engine'!$C$2:$C$1199,0)),"",INDEX('Compliance Database'!$O$2:$O$1199,MATCH(906,'Transfer Engine'!$C$2:$C$1199,0)))</f>
        <v/>
      </c>
      <c r="P915" s="6" t="str">
        <f>IF(ISNA(MATCH(906,'Transfer Engine'!$C$2:$C$1199,0)),"",HYPERLINK("#Acts!A"&amp;INDEX('Compliance Database'!$P$2:$P$1199,MATCH(906,'Transfer Engine'!$C$2:$C$1199,0)),"Go to Act"))</f>
        <v/>
      </c>
    </row>
    <row r="916" spans="1:16" ht="172.95" customHeight="1" x14ac:dyDescent="0.3">
      <c r="A916" s="6" t="str">
        <f>IF(ISNA(MATCH(907,'Transfer Engine'!$C$2:$C$1199,0)),"",INDEX('Compliance Database'!$A$2:$A$1199,MATCH(907,'Transfer Engine'!$C$2:$C$1199,0)))</f>
        <v/>
      </c>
      <c r="B916" s="6" t="str">
        <f>IF(ISNA(MATCH(907,'Transfer Engine'!$C$2:$C$1199,0)),"",INDEX('Compliance Database'!$B$2:$B$1199,MATCH(907,'Transfer Engine'!$C$2:$C$1199,0)))</f>
        <v/>
      </c>
      <c r="C916" s="6" t="str">
        <f>IF(ISNA(MATCH(907,'Transfer Engine'!$C$2:$C$1199,0)),"",INDEX('Compliance Database'!$C$2:$C$1199,MATCH(907,'Transfer Engine'!$C$2:$C$1199,0)))</f>
        <v/>
      </c>
      <c r="D916" s="7" t="str">
        <f>IF(ISNA(MATCH(907,'Transfer Engine'!$C$2:$C$1199,0)),"",INDEX('Compliance Database'!$D$2:$D$1199,MATCH(907,'Transfer Engine'!$C$2:$C$1199,0)))</f>
        <v/>
      </c>
      <c r="E916" s="6" t="str">
        <f>IF(ISNA(MATCH(907,'Transfer Engine'!$C$2:$C$1199,0)),"",INDEX('Compliance Database'!$E$2:$E$1199,MATCH(907,'Transfer Engine'!$C$2:$C$1199,0)))</f>
        <v/>
      </c>
      <c r="F916" s="6" t="str">
        <f>IF(ISNA(MATCH(907,'Transfer Engine'!$C$2:$C$1199,0)),"",INDEX('Compliance Database'!$F$2:$F$1199,MATCH(907,'Transfer Engine'!$C$2:$C$1199,0)))</f>
        <v/>
      </c>
      <c r="G916" s="6" t="str">
        <f>IF(ISNA(MATCH(907,'Transfer Engine'!$C$2:$C$1199,0)),"",INDEX('Compliance Database'!$G$2:$G$1199,MATCH(907,'Transfer Engine'!$C$2:$C$1199,0)))</f>
        <v/>
      </c>
      <c r="H916" s="7" t="str">
        <f>IF(ISNA(MATCH(907,'Transfer Engine'!$C$2:$C$1199,0)),"",INDEX('Compliance Database'!$H$2:$H$1199,MATCH(907,'Transfer Engine'!$C$2:$C$1199,0)))</f>
        <v/>
      </c>
      <c r="I916" s="7" t="str">
        <f>IF(ISNA(MATCH(907,'Transfer Engine'!$C$2:$C$1199,0)),"",INDEX('Compliance Database'!$I$2:$I$1199,MATCH(907,'Transfer Engine'!$C$2:$C$1199,0)))</f>
        <v/>
      </c>
      <c r="J916" s="6" t="str">
        <f>IF(ISNA(MATCH(907,'Transfer Engine'!$C$2:$C$1199,0)),"",INDEX('Compliance Database'!$J$2:$J$1199,MATCH(907,'Transfer Engine'!$C$2:$C$1199,0)))</f>
        <v/>
      </c>
      <c r="K916" s="7" t="str">
        <f>IF(ISNA(MATCH(907,'Transfer Engine'!$C$2:$C$1199,0)),"",INDEX('Compliance Database'!$K$2:$K$1199,MATCH(907,'Transfer Engine'!$C$2:$C$1199,0)))</f>
        <v/>
      </c>
      <c r="L916" s="7" t="str">
        <f>IF(ISNA(MATCH(907,'Transfer Engine'!$C$2:$C$1199,0)),"",INDEX('Compliance Database'!$L$2:$L$1199,MATCH(907,'Transfer Engine'!$C$2:$C$1199,0)))</f>
        <v/>
      </c>
      <c r="M916" s="7" t="str">
        <f>IF(ISNA(MATCH(907,'Transfer Engine'!$C$2:$C$1199,0)),"",INDEX('Compliance Database'!$M$2:$M$1199,MATCH(907,'Transfer Engine'!$C$2:$C$1199,0)))</f>
        <v/>
      </c>
      <c r="N916" s="7" t="str">
        <f>IF(ISNA(MATCH(907,'Transfer Engine'!$C$2:$C$1199,0)),"",INDEX('Compliance Database'!$N$2:$N$1199,MATCH(907,'Transfer Engine'!$C$2:$C$1199,0)))</f>
        <v/>
      </c>
      <c r="O916" s="7" t="str">
        <f>IF(ISNA(MATCH(907,'Transfer Engine'!$C$2:$C$1199,0)),"",INDEX('Compliance Database'!$O$2:$O$1199,MATCH(907,'Transfer Engine'!$C$2:$C$1199,0)))</f>
        <v/>
      </c>
      <c r="P916" s="6" t="str">
        <f>IF(ISNA(MATCH(907,'Transfer Engine'!$C$2:$C$1199,0)),"",HYPERLINK("#Acts!A"&amp;INDEX('Compliance Database'!$P$2:$P$1199,MATCH(907,'Transfer Engine'!$C$2:$C$1199,0)),"Go to Act"))</f>
        <v/>
      </c>
    </row>
    <row r="917" spans="1:16" ht="172.95" customHeight="1" x14ac:dyDescent="0.3">
      <c r="A917" s="6" t="str">
        <f>IF(ISNA(MATCH(908,'Transfer Engine'!$C$2:$C$1199,0)),"",INDEX('Compliance Database'!$A$2:$A$1199,MATCH(908,'Transfer Engine'!$C$2:$C$1199,0)))</f>
        <v/>
      </c>
      <c r="B917" s="6" t="str">
        <f>IF(ISNA(MATCH(908,'Transfer Engine'!$C$2:$C$1199,0)),"",INDEX('Compliance Database'!$B$2:$B$1199,MATCH(908,'Transfer Engine'!$C$2:$C$1199,0)))</f>
        <v/>
      </c>
      <c r="C917" s="6" t="str">
        <f>IF(ISNA(MATCH(908,'Transfer Engine'!$C$2:$C$1199,0)),"",INDEX('Compliance Database'!$C$2:$C$1199,MATCH(908,'Transfer Engine'!$C$2:$C$1199,0)))</f>
        <v/>
      </c>
      <c r="D917" s="7" t="str">
        <f>IF(ISNA(MATCH(908,'Transfer Engine'!$C$2:$C$1199,0)),"",INDEX('Compliance Database'!$D$2:$D$1199,MATCH(908,'Transfer Engine'!$C$2:$C$1199,0)))</f>
        <v/>
      </c>
      <c r="E917" s="6" t="str">
        <f>IF(ISNA(MATCH(908,'Transfer Engine'!$C$2:$C$1199,0)),"",INDEX('Compliance Database'!$E$2:$E$1199,MATCH(908,'Transfer Engine'!$C$2:$C$1199,0)))</f>
        <v/>
      </c>
      <c r="F917" s="6" t="str">
        <f>IF(ISNA(MATCH(908,'Transfer Engine'!$C$2:$C$1199,0)),"",INDEX('Compliance Database'!$F$2:$F$1199,MATCH(908,'Transfer Engine'!$C$2:$C$1199,0)))</f>
        <v/>
      </c>
      <c r="G917" s="6" t="str">
        <f>IF(ISNA(MATCH(908,'Transfer Engine'!$C$2:$C$1199,0)),"",INDEX('Compliance Database'!$G$2:$G$1199,MATCH(908,'Transfer Engine'!$C$2:$C$1199,0)))</f>
        <v/>
      </c>
      <c r="H917" s="7" t="str">
        <f>IF(ISNA(MATCH(908,'Transfer Engine'!$C$2:$C$1199,0)),"",INDEX('Compliance Database'!$H$2:$H$1199,MATCH(908,'Transfer Engine'!$C$2:$C$1199,0)))</f>
        <v/>
      </c>
      <c r="I917" s="7" t="str">
        <f>IF(ISNA(MATCH(908,'Transfer Engine'!$C$2:$C$1199,0)),"",INDEX('Compliance Database'!$I$2:$I$1199,MATCH(908,'Transfer Engine'!$C$2:$C$1199,0)))</f>
        <v/>
      </c>
      <c r="J917" s="6" t="str">
        <f>IF(ISNA(MATCH(908,'Transfer Engine'!$C$2:$C$1199,0)),"",INDEX('Compliance Database'!$J$2:$J$1199,MATCH(908,'Transfer Engine'!$C$2:$C$1199,0)))</f>
        <v/>
      </c>
      <c r="K917" s="7" t="str">
        <f>IF(ISNA(MATCH(908,'Transfer Engine'!$C$2:$C$1199,0)),"",INDEX('Compliance Database'!$K$2:$K$1199,MATCH(908,'Transfer Engine'!$C$2:$C$1199,0)))</f>
        <v/>
      </c>
      <c r="L917" s="7" t="str">
        <f>IF(ISNA(MATCH(908,'Transfer Engine'!$C$2:$C$1199,0)),"",INDEX('Compliance Database'!$L$2:$L$1199,MATCH(908,'Transfer Engine'!$C$2:$C$1199,0)))</f>
        <v/>
      </c>
      <c r="M917" s="7" t="str">
        <f>IF(ISNA(MATCH(908,'Transfer Engine'!$C$2:$C$1199,0)),"",INDEX('Compliance Database'!$M$2:$M$1199,MATCH(908,'Transfer Engine'!$C$2:$C$1199,0)))</f>
        <v/>
      </c>
      <c r="N917" s="7" t="str">
        <f>IF(ISNA(MATCH(908,'Transfer Engine'!$C$2:$C$1199,0)),"",INDEX('Compliance Database'!$N$2:$N$1199,MATCH(908,'Transfer Engine'!$C$2:$C$1199,0)))</f>
        <v/>
      </c>
      <c r="O917" s="7" t="str">
        <f>IF(ISNA(MATCH(908,'Transfer Engine'!$C$2:$C$1199,0)),"",INDEX('Compliance Database'!$O$2:$O$1199,MATCH(908,'Transfer Engine'!$C$2:$C$1199,0)))</f>
        <v/>
      </c>
      <c r="P917" s="6" t="str">
        <f>IF(ISNA(MATCH(908,'Transfer Engine'!$C$2:$C$1199,0)),"",HYPERLINK("#Acts!A"&amp;INDEX('Compliance Database'!$P$2:$P$1199,MATCH(908,'Transfer Engine'!$C$2:$C$1199,0)),"Go to Act"))</f>
        <v/>
      </c>
    </row>
    <row r="918" spans="1:16" ht="172.95" customHeight="1" x14ac:dyDescent="0.3">
      <c r="A918" s="6" t="str">
        <f>IF(ISNA(MATCH(909,'Transfer Engine'!$C$2:$C$1199,0)),"",INDEX('Compliance Database'!$A$2:$A$1199,MATCH(909,'Transfer Engine'!$C$2:$C$1199,0)))</f>
        <v/>
      </c>
      <c r="B918" s="6" t="str">
        <f>IF(ISNA(MATCH(909,'Transfer Engine'!$C$2:$C$1199,0)),"",INDEX('Compliance Database'!$B$2:$B$1199,MATCH(909,'Transfer Engine'!$C$2:$C$1199,0)))</f>
        <v/>
      </c>
      <c r="C918" s="6" t="str">
        <f>IF(ISNA(MATCH(909,'Transfer Engine'!$C$2:$C$1199,0)),"",INDEX('Compliance Database'!$C$2:$C$1199,MATCH(909,'Transfer Engine'!$C$2:$C$1199,0)))</f>
        <v/>
      </c>
      <c r="D918" s="7" t="str">
        <f>IF(ISNA(MATCH(909,'Transfer Engine'!$C$2:$C$1199,0)),"",INDEX('Compliance Database'!$D$2:$D$1199,MATCH(909,'Transfer Engine'!$C$2:$C$1199,0)))</f>
        <v/>
      </c>
      <c r="E918" s="6" t="str">
        <f>IF(ISNA(MATCH(909,'Transfer Engine'!$C$2:$C$1199,0)),"",INDEX('Compliance Database'!$E$2:$E$1199,MATCH(909,'Transfer Engine'!$C$2:$C$1199,0)))</f>
        <v/>
      </c>
      <c r="F918" s="6" t="str">
        <f>IF(ISNA(MATCH(909,'Transfer Engine'!$C$2:$C$1199,0)),"",INDEX('Compliance Database'!$F$2:$F$1199,MATCH(909,'Transfer Engine'!$C$2:$C$1199,0)))</f>
        <v/>
      </c>
      <c r="G918" s="6" t="str">
        <f>IF(ISNA(MATCH(909,'Transfer Engine'!$C$2:$C$1199,0)),"",INDEX('Compliance Database'!$G$2:$G$1199,MATCH(909,'Transfer Engine'!$C$2:$C$1199,0)))</f>
        <v/>
      </c>
      <c r="H918" s="7" t="str">
        <f>IF(ISNA(MATCH(909,'Transfer Engine'!$C$2:$C$1199,0)),"",INDEX('Compliance Database'!$H$2:$H$1199,MATCH(909,'Transfer Engine'!$C$2:$C$1199,0)))</f>
        <v/>
      </c>
      <c r="I918" s="7" t="str">
        <f>IF(ISNA(MATCH(909,'Transfer Engine'!$C$2:$C$1199,0)),"",INDEX('Compliance Database'!$I$2:$I$1199,MATCH(909,'Transfer Engine'!$C$2:$C$1199,0)))</f>
        <v/>
      </c>
      <c r="J918" s="6" t="str">
        <f>IF(ISNA(MATCH(909,'Transfer Engine'!$C$2:$C$1199,0)),"",INDEX('Compliance Database'!$J$2:$J$1199,MATCH(909,'Transfer Engine'!$C$2:$C$1199,0)))</f>
        <v/>
      </c>
      <c r="K918" s="7" t="str">
        <f>IF(ISNA(MATCH(909,'Transfer Engine'!$C$2:$C$1199,0)),"",INDEX('Compliance Database'!$K$2:$K$1199,MATCH(909,'Transfer Engine'!$C$2:$C$1199,0)))</f>
        <v/>
      </c>
      <c r="L918" s="7" t="str">
        <f>IF(ISNA(MATCH(909,'Transfer Engine'!$C$2:$C$1199,0)),"",INDEX('Compliance Database'!$L$2:$L$1199,MATCH(909,'Transfer Engine'!$C$2:$C$1199,0)))</f>
        <v/>
      </c>
      <c r="M918" s="7" t="str">
        <f>IF(ISNA(MATCH(909,'Transfer Engine'!$C$2:$C$1199,0)),"",INDEX('Compliance Database'!$M$2:$M$1199,MATCH(909,'Transfer Engine'!$C$2:$C$1199,0)))</f>
        <v/>
      </c>
      <c r="N918" s="7" t="str">
        <f>IF(ISNA(MATCH(909,'Transfer Engine'!$C$2:$C$1199,0)),"",INDEX('Compliance Database'!$N$2:$N$1199,MATCH(909,'Transfer Engine'!$C$2:$C$1199,0)))</f>
        <v/>
      </c>
      <c r="O918" s="7" t="str">
        <f>IF(ISNA(MATCH(909,'Transfer Engine'!$C$2:$C$1199,0)),"",INDEX('Compliance Database'!$O$2:$O$1199,MATCH(909,'Transfer Engine'!$C$2:$C$1199,0)))</f>
        <v/>
      </c>
      <c r="P918" s="6" t="str">
        <f>IF(ISNA(MATCH(909,'Transfer Engine'!$C$2:$C$1199,0)),"",HYPERLINK("#Acts!A"&amp;INDEX('Compliance Database'!$P$2:$P$1199,MATCH(909,'Transfer Engine'!$C$2:$C$1199,0)),"Go to Act"))</f>
        <v/>
      </c>
    </row>
    <row r="919" spans="1:16" ht="172.95" customHeight="1" x14ac:dyDescent="0.3">
      <c r="A919" s="6" t="str">
        <f>IF(ISNA(MATCH(910,'Transfer Engine'!$C$2:$C$1199,0)),"",INDEX('Compliance Database'!$A$2:$A$1199,MATCH(910,'Transfer Engine'!$C$2:$C$1199,0)))</f>
        <v/>
      </c>
      <c r="B919" s="6" t="str">
        <f>IF(ISNA(MATCH(910,'Transfer Engine'!$C$2:$C$1199,0)),"",INDEX('Compliance Database'!$B$2:$B$1199,MATCH(910,'Transfer Engine'!$C$2:$C$1199,0)))</f>
        <v/>
      </c>
      <c r="C919" s="6" t="str">
        <f>IF(ISNA(MATCH(910,'Transfer Engine'!$C$2:$C$1199,0)),"",INDEX('Compliance Database'!$C$2:$C$1199,MATCH(910,'Transfer Engine'!$C$2:$C$1199,0)))</f>
        <v/>
      </c>
      <c r="D919" s="7" t="str">
        <f>IF(ISNA(MATCH(910,'Transfer Engine'!$C$2:$C$1199,0)),"",INDEX('Compliance Database'!$D$2:$D$1199,MATCH(910,'Transfer Engine'!$C$2:$C$1199,0)))</f>
        <v/>
      </c>
      <c r="E919" s="6" t="str">
        <f>IF(ISNA(MATCH(910,'Transfer Engine'!$C$2:$C$1199,0)),"",INDEX('Compliance Database'!$E$2:$E$1199,MATCH(910,'Transfer Engine'!$C$2:$C$1199,0)))</f>
        <v/>
      </c>
      <c r="F919" s="6" t="str">
        <f>IF(ISNA(MATCH(910,'Transfer Engine'!$C$2:$C$1199,0)),"",INDEX('Compliance Database'!$F$2:$F$1199,MATCH(910,'Transfer Engine'!$C$2:$C$1199,0)))</f>
        <v/>
      </c>
      <c r="G919" s="6" t="str">
        <f>IF(ISNA(MATCH(910,'Transfer Engine'!$C$2:$C$1199,0)),"",INDEX('Compliance Database'!$G$2:$G$1199,MATCH(910,'Transfer Engine'!$C$2:$C$1199,0)))</f>
        <v/>
      </c>
      <c r="H919" s="7" t="str">
        <f>IF(ISNA(MATCH(910,'Transfer Engine'!$C$2:$C$1199,0)),"",INDEX('Compliance Database'!$H$2:$H$1199,MATCH(910,'Transfer Engine'!$C$2:$C$1199,0)))</f>
        <v/>
      </c>
      <c r="I919" s="7" t="str">
        <f>IF(ISNA(MATCH(910,'Transfer Engine'!$C$2:$C$1199,0)),"",INDEX('Compliance Database'!$I$2:$I$1199,MATCH(910,'Transfer Engine'!$C$2:$C$1199,0)))</f>
        <v/>
      </c>
      <c r="J919" s="6" t="str">
        <f>IF(ISNA(MATCH(910,'Transfer Engine'!$C$2:$C$1199,0)),"",INDEX('Compliance Database'!$J$2:$J$1199,MATCH(910,'Transfer Engine'!$C$2:$C$1199,0)))</f>
        <v/>
      </c>
      <c r="K919" s="7" t="str">
        <f>IF(ISNA(MATCH(910,'Transfer Engine'!$C$2:$C$1199,0)),"",INDEX('Compliance Database'!$K$2:$K$1199,MATCH(910,'Transfer Engine'!$C$2:$C$1199,0)))</f>
        <v/>
      </c>
      <c r="L919" s="7" t="str">
        <f>IF(ISNA(MATCH(910,'Transfer Engine'!$C$2:$C$1199,0)),"",INDEX('Compliance Database'!$L$2:$L$1199,MATCH(910,'Transfer Engine'!$C$2:$C$1199,0)))</f>
        <v/>
      </c>
      <c r="M919" s="7" t="str">
        <f>IF(ISNA(MATCH(910,'Transfer Engine'!$C$2:$C$1199,0)),"",INDEX('Compliance Database'!$M$2:$M$1199,MATCH(910,'Transfer Engine'!$C$2:$C$1199,0)))</f>
        <v/>
      </c>
      <c r="N919" s="7" t="str">
        <f>IF(ISNA(MATCH(910,'Transfer Engine'!$C$2:$C$1199,0)),"",INDEX('Compliance Database'!$N$2:$N$1199,MATCH(910,'Transfer Engine'!$C$2:$C$1199,0)))</f>
        <v/>
      </c>
      <c r="O919" s="7" t="str">
        <f>IF(ISNA(MATCH(910,'Transfer Engine'!$C$2:$C$1199,0)),"",INDEX('Compliance Database'!$O$2:$O$1199,MATCH(910,'Transfer Engine'!$C$2:$C$1199,0)))</f>
        <v/>
      </c>
      <c r="P919" s="6" t="str">
        <f>IF(ISNA(MATCH(910,'Transfer Engine'!$C$2:$C$1199,0)),"",HYPERLINK("#Acts!A"&amp;INDEX('Compliance Database'!$P$2:$P$1199,MATCH(910,'Transfer Engine'!$C$2:$C$1199,0)),"Go to Act"))</f>
        <v/>
      </c>
    </row>
    <row r="920" spans="1:16" ht="172.95" customHeight="1" x14ac:dyDescent="0.3">
      <c r="A920" s="6" t="str">
        <f>IF(ISNA(MATCH(911,'Transfer Engine'!$C$2:$C$1199,0)),"",INDEX('Compliance Database'!$A$2:$A$1199,MATCH(911,'Transfer Engine'!$C$2:$C$1199,0)))</f>
        <v/>
      </c>
      <c r="B920" s="6" t="str">
        <f>IF(ISNA(MATCH(911,'Transfer Engine'!$C$2:$C$1199,0)),"",INDEX('Compliance Database'!$B$2:$B$1199,MATCH(911,'Transfer Engine'!$C$2:$C$1199,0)))</f>
        <v/>
      </c>
      <c r="C920" s="6" t="str">
        <f>IF(ISNA(MATCH(911,'Transfer Engine'!$C$2:$C$1199,0)),"",INDEX('Compliance Database'!$C$2:$C$1199,MATCH(911,'Transfer Engine'!$C$2:$C$1199,0)))</f>
        <v/>
      </c>
      <c r="D920" s="7" t="str">
        <f>IF(ISNA(MATCH(911,'Transfer Engine'!$C$2:$C$1199,0)),"",INDEX('Compliance Database'!$D$2:$D$1199,MATCH(911,'Transfer Engine'!$C$2:$C$1199,0)))</f>
        <v/>
      </c>
      <c r="E920" s="6" t="str">
        <f>IF(ISNA(MATCH(911,'Transfer Engine'!$C$2:$C$1199,0)),"",INDEX('Compliance Database'!$E$2:$E$1199,MATCH(911,'Transfer Engine'!$C$2:$C$1199,0)))</f>
        <v/>
      </c>
      <c r="F920" s="6" t="str">
        <f>IF(ISNA(MATCH(911,'Transfer Engine'!$C$2:$C$1199,0)),"",INDEX('Compliance Database'!$F$2:$F$1199,MATCH(911,'Transfer Engine'!$C$2:$C$1199,0)))</f>
        <v/>
      </c>
      <c r="G920" s="6" t="str">
        <f>IF(ISNA(MATCH(911,'Transfer Engine'!$C$2:$C$1199,0)),"",INDEX('Compliance Database'!$G$2:$G$1199,MATCH(911,'Transfer Engine'!$C$2:$C$1199,0)))</f>
        <v/>
      </c>
      <c r="H920" s="7" t="str">
        <f>IF(ISNA(MATCH(911,'Transfer Engine'!$C$2:$C$1199,0)),"",INDEX('Compliance Database'!$H$2:$H$1199,MATCH(911,'Transfer Engine'!$C$2:$C$1199,0)))</f>
        <v/>
      </c>
      <c r="I920" s="7" t="str">
        <f>IF(ISNA(MATCH(911,'Transfer Engine'!$C$2:$C$1199,0)),"",INDEX('Compliance Database'!$I$2:$I$1199,MATCH(911,'Transfer Engine'!$C$2:$C$1199,0)))</f>
        <v/>
      </c>
      <c r="J920" s="6" t="str">
        <f>IF(ISNA(MATCH(911,'Transfer Engine'!$C$2:$C$1199,0)),"",INDEX('Compliance Database'!$J$2:$J$1199,MATCH(911,'Transfer Engine'!$C$2:$C$1199,0)))</f>
        <v/>
      </c>
      <c r="K920" s="7" t="str">
        <f>IF(ISNA(MATCH(911,'Transfer Engine'!$C$2:$C$1199,0)),"",INDEX('Compliance Database'!$K$2:$K$1199,MATCH(911,'Transfer Engine'!$C$2:$C$1199,0)))</f>
        <v/>
      </c>
      <c r="L920" s="7" t="str">
        <f>IF(ISNA(MATCH(911,'Transfer Engine'!$C$2:$C$1199,0)),"",INDEX('Compliance Database'!$L$2:$L$1199,MATCH(911,'Transfer Engine'!$C$2:$C$1199,0)))</f>
        <v/>
      </c>
      <c r="M920" s="7" t="str">
        <f>IF(ISNA(MATCH(911,'Transfer Engine'!$C$2:$C$1199,0)),"",INDEX('Compliance Database'!$M$2:$M$1199,MATCH(911,'Transfer Engine'!$C$2:$C$1199,0)))</f>
        <v/>
      </c>
      <c r="N920" s="7" t="str">
        <f>IF(ISNA(MATCH(911,'Transfer Engine'!$C$2:$C$1199,0)),"",INDEX('Compliance Database'!$N$2:$N$1199,MATCH(911,'Transfer Engine'!$C$2:$C$1199,0)))</f>
        <v/>
      </c>
      <c r="O920" s="7" t="str">
        <f>IF(ISNA(MATCH(911,'Transfer Engine'!$C$2:$C$1199,0)),"",INDEX('Compliance Database'!$O$2:$O$1199,MATCH(911,'Transfer Engine'!$C$2:$C$1199,0)))</f>
        <v/>
      </c>
      <c r="P920" s="6" t="str">
        <f>IF(ISNA(MATCH(911,'Transfer Engine'!$C$2:$C$1199,0)),"",HYPERLINK("#Acts!A"&amp;INDEX('Compliance Database'!$P$2:$P$1199,MATCH(911,'Transfer Engine'!$C$2:$C$1199,0)),"Go to Act"))</f>
        <v/>
      </c>
    </row>
    <row r="921" spans="1:16" ht="172.95" customHeight="1" x14ac:dyDescent="0.3">
      <c r="A921" s="6" t="str">
        <f>IF(ISNA(MATCH(912,'Transfer Engine'!$C$2:$C$1199,0)),"",INDEX('Compliance Database'!$A$2:$A$1199,MATCH(912,'Transfer Engine'!$C$2:$C$1199,0)))</f>
        <v/>
      </c>
      <c r="B921" s="6" t="str">
        <f>IF(ISNA(MATCH(912,'Transfer Engine'!$C$2:$C$1199,0)),"",INDEX('Compliance Database'!$B$2:$B$1199,MATCH(912,'Transfer Engine'!$C$2:$C$1199,0)))</f>
        <v/>
      </c>
      <c r="C921" s="6" t="str">
        <f>IF(ISNA(MATCH(912,'Transfer Engine'!$C$2:$C$1199,0)),"",INDEX('Compliance Database'!$C$2:$C$1199,MATCH(912,'Transfer Engine'!$C$2:$C$1199,0)))</f>
        <v/>
      </c>
      <c r="D921" s="7" t="str">
        <f>IF(ISNA(MATCH(912,'Transfer Engine'!$C$2:$C$1199,0)),"",INDEX('Compliance Database'!$D$2:$D$1199,MATCH(912,'Transfer Engine'!$C$2:$C$1199,0)))</f>
        <v/>
      </c>
      <c r="E921" s="6" t="str">
        <f>IF(ISNA(MATCH(912,'Transfer Engine'!$C$2:$C$1199,0)),"",INDEX('Compliance Database'!$E$2:$E$1199,MATCH(912,'Transfer Engine'!$C$2:$C$1199,0)))</f>
        <v/>
      </c>
      <c r="F921" s="6" t="str">
        <f>IF(ISNA(MATCH(912,'Transfer Engine'!$C$2:$C$1199,0)),"",INDEX('Compliance Database'!$F$2:$F$1199,MATCH(912,'Transfer Engine'!$C$2:$C$1199,0)))</f>
        <v/>
      </c>
      <c r="G921" s="6" t="str">
        <f>IF(ISNA(MATCH(912,'Transfer Engine'!$C$2:$C$1199,0)),"",INDEX('Compliance Database'!$G$2:$G$1199,MATCH(912,'Transfer Engine'!$C$2:$C$1199,0)))</f>
        <v/>
      </c>
      <c r="H921" s="7" t="str">
        <f>IF(ISNA(MATCH(912,'Transfer Engine'!$C$2:$C$1199,0)),"",INDEX('Compliance Database'!$H$2:$H$1199,MATCH(912,'Transfer Engine'!$C$2:$C$1199,0)))</f>
        <v/>
      </c>
      <c r="I921" s="7" t="str">
        <f>IF(ISNA(MATCH(912,'Transfer Engine'!$C$2:$C$1199,0)),"",INDEX('Compliance Database'!$I$2:$I$1199,MATCH(912,'Transfer Engine'!$C$2:$C$1199,0)))</f>
        <v/>
      </c>
      <c r="J921" s="6" t="str">
        <f>IF(ISNA(MATCH(912,'Transfer Engine'!$C$2:$C$1199,0)),"",INDEX('Compliance Database'!$J$2:$J$1199,MATCH(912,'Transfer Engine'!$C$2:$C$1199,0)))</f>
        <v/>
      </c>
      <c r="K921" s="7" t="str">
        <f>IF(ISNA(MATCH(912,'Transfer Engine'!$C$2:$C$1199,0)),"",INDEX('Compliance Database'!$K$2:$K$1199,MATCH(912,'Transfer Engine'!$C$2:$C$1199,0)))</f>
        <v/>
      </c>
      <c r="L921" s="7" t="str">
        <f>IF(ISNA(MATCH(912,'Transfer Engine'!$C$2:$C$1199,0)),"",INDEX('Compliance Database'!$L$2:$L$1199,MATCH(912,'Transfer Engine'!$C$2:$C$1199,0)))</f>
        <v/>
      </c>
      <c r="M921" s="7" t="str">
        <f>IF(ISNA(MATCH(912,'Transfer Engine'!$C$2:$C$1199,0)),"",INDEX('Compliance Database'!$M$2:$M$1199,MATCH(912,'Transfer Engine'!$C$2:$C$1199,0)))</f>
        <v/>
      </c>
      <c r="N921" s="7" t="str">
        <f>IF(ISNA(MATCH(912,'Transfer Engine'!$C$2:$C$1199,0)),"",INDEX('Compliance Database'!$N$2:$N$1199,MATCH(912,'Transfer Engine'!$C$2:$C$1199,0)))</f>
        <v/>
      </c>
      <c r="O921" s="7" t="str">
        <f>IF(ISNA(MATCH(912,'Transfer Engine'!$C$2:$C$1199,0)),"",INDEX('Compliance Database'!$O$2:$O$1199,MATCH(912,'Transfer Engine'!$C$2:$C$1199,0)))</f>
        <v/>
      </c>
      <c r="P921" s="6" t="str">
        <f>IF(ISNA(MATCH(912,'Transfer Engine'!$C$2:$C$1199,0)),"",HYPERLINK("#Acts!A"&amp;INDEX('Compliance Database'!$P$2:$P$1199,MATCH(912,'Transfer Engine'!$C$2:$C$1199,0)),"Go to Act"))</f>
        <v/>
      </c>
    </row>
    <row r="922" spans="1:16" ht="172.95" customHeight="1" x14ac:dyDescent="0.3">
      <c r="A922" s="6" t="str">
        <f>IF(ISNA(MATCH(913,'Transfer Engine'!$C$2:$C$1199,0)),"",INDEX('Compliance Database'!$A$2:$A$1199,MATCH(913,'Transfer Engine'!$C$2:$C$1199,0)))</f>
        <v/>
      </c>
      <c r="B922" s="6" t="str">
        <f>IF(ISNA(MATCH(913,'Transfer Engine'!$C$2:$C$1199,0)),"",INDEX('Compliance Database'!$B$2:$B$1199,MATCH(913,'Transfer Engine'!$C$2:$C$1199,0)))</f>
        <v/>
      </c>
      <c r="C922" s="6" t="str">
        <f>IF(ISNA(MATCH(913,'Transfer Engine'!$C$2:$C$1199,0)),"",INDEX('Compliance Database'!$C$2:$C$1199,MATCH(913,'Transfer Engine'!$C$2:$C$1199,0)))</f>
        <v/>
      </c>
      <c r="D922" s="7" t="str">
        <f>IF(ISNA(MATCH(913,'Transfer Engine'!$C$2:$C$1199,0)),"",INDEX('Compliance Database'!$D$2:$D$1199,MATCH(913,'Transfer Engine'!$C$2:$C$1199,0)))</f>
        <v/>
      </c>
      <c r="E922" s="6" t="str">
        <f>IF(ISNA(MATCH(913,'Transfer Engine'!$C$2:$C$1199,0)),"",INDEX('Compliance Database'!$E$2:$E$1199,MATCH(913,'Transfer Engine'!$C$2:$C$1199,0)))</f>
        <v/>
      </c>
      <c r="F922" s="6" t="str">
        <f>IF(ISNA(MATCH(913,'Transfer Engine'!$C$2:$C$1199,0)),"",INDEX('Compliance Database'!$F$2:$F$1199,MATCH(913,'Transfer Engine'!$C$2:$C$1199,0)))</f>
        <v/>
      </c>
      <c r="G922" s="6" t="str">
        <f>IF(ISNA(MATCH(913,'Transfer Engine'!$C$2:$C$1199,0)),"",INDEX('Compliance Database'!$G$2:$G$1199,MATCH(913,'Transfer Engine'!$C$2:$C$1199,0)))</f>
        <v/>
      </c>
      <c r="H922" s="7" t="str">
        <f>IF(ISNA(MATCH(913,'Transfer Engine'!$C$2:$C$1199,0)),"",INDEX('Compliance Database'!$H$2:$H$1199,MATCH(913,'Transfer Engine'!$C$2:$C$1199,0)))</f>
        <v/>
      </c>
      <c r="I922" s="7" t="str">
        <f>IF(ISNA(MATCH(913,'Transfer Engine'!$C$2:$C$1199,0)),"",INDEX('Compliance Database'!$I$2:$I$1199,MATCH(913,'Transfer Engine'!$C$2:$C$1199,0)))</f>
        <v/>
      </c>
      <c r="J922" s="6" t="str">
        <f>IF(ISNA(MATCH(913,'Transfer Engine'!$C$2:$C$1199,0)),"",INDEX('Compliance Database'!$J$2:$J$1199,MATCH(913,'Transfer Engine'!$C$2:$C$1199,0)))</f>
        <v/>
      </c>
      <c r="K922" s="7" t="str">
        <f>IF(ISNA(MATCH(913,'Transfer Engine'!$C$2:$C$1199,0)),"",INDEX('Compliance Database'!$K$2:$K$1199,MATCH(913,'Transfer Engine'!$C$2:$C$1199,0)))</f>
        <v/>
      </c>
      <c r="L922" s="7" t="str">
        <f>IF(ISNA(MATCH(913,'Transfer Engine'!$C$2:$C$1199,0)),"",INDEX('Compliance Database'!$L$2:$L$1199,MATCH(913,'Transfer Engine'!$C$2:$C$1199,0)))</f>
        <v/>
      </c>
      <c r="M922" s="7" t="str">
        <f>IF(ISNA(MATCH(913,'Transfer Engine'!$C$2:$C$1199,0)),"",INDEX('Compliance Database'!$M$2:$M$1199,MATCH(913,'Transfer Engine'!$C$2:$C$1199,0)))</f>
        <v/>
      </c>
      <c r="N922" s="7" t="str">
        <f>IF(ISNA(MATCH(913,'Transfer Engine'!$C$2:$C$1199,0)),"",INDEX('Compliance Database'!$N$2:$N$1199,MATCH(913,'Transfer Engine'!$C$2:$C$1199,0)))</f>
        <v/>
      </c>
      <c r="O922" s="7" t="str">
        <f>IF(ISNA(MATCH(913,'Transfer Engine'!$C$2:$C$1199,0)),"",INDEX('Compliance Database'!$O$2:$O$1199,MATCH(913,'Transfer Engine'!$C$2:$C$1199,0)))</f>
        <v/>
      </c>
      <c r="P922" s="6" t="str">
        <f>IF(ISNA(MATCH(913,'Transfer Engine'!$C$2:$C$1199,0)),"",HYPERLINK("#Acts!A"&amp;INDEX('Compliance Database'!$P$2:$P$1199,MATCH(913,'Transfer Engine'!$C$2:$C$1199,0)),"Go to Act"))</f>
        <v/>
      </c>
    </row>
    <row r="923" spans="1:16" ht="172.95" customHeight="1" x14ac:dyDescent="0.3">
      <c r="A923" s="6" t="str">
        <f>IF(ISNA(MATCH(914,'Transfer Engine'!$C$2:$C$1199,0)),"",INDEX('Compliance Database'!$A$2:$A$1199,MATCH(914,'Transfer Engine'!$C$2:$C$1199,0)))</f>
        <v/>
      </c>
      <c r="B923" s="6" t="str">
        <f>IF(ISNA(MATCH(914,'Transfer Engine'!$C$2:$C$1199,0)),"",INDEX('Compliance Database'!$B$2:$B$1199,MATCH(914,'Transfer Engine'!$C$2:$C$1199,0)))</f>
        <v/>
      </c>
      <c r="C923" s="6" t="str">
        <f>IF(ISNA(MATCH(914,'Transfer Engine'!$C$2:$C$1199,0)),"",INDEX('Compliance Database'!$C$2:$C$1199,MATCH(914,'Transfer Engine'!$C$2:$C$1199,0)))</f>
        <v/>
      </c>
      <c r="D923" s="7" t="str">
        <f>IF(ISNA(MATCH(914,'Transfer Engine'!$C$2:$C$1199,0)),"",INDEX('Compliance Database'!$D$2:$D$1199,MATCH(914,'Transfer Engine'!$C$2:$C$1199,0)))</f>
        <v/>
      </c>
      <c r="E923" s="6" t="str">
        <f>IF(ISNA(MATCH(914,'Transfer Engine'!$C$2:$C$1199,0)),"",INDEX('Compliance Database'!$E$2:$E$1199,MATCH(914,'Transfer Engine'!$C$2:$C$1199,0)))</f>
        <v/>
      </c>
      <c r="F923" s="6" t="str">
        <f>IF(ISNA(MATCH(914,'Transfer Engine'!$C$2:$C$1199,0)),"",INDEX('Compliance Database'!$F$2:$F$1199,MATCH(914,'Transfer Engine'!$C$2:$C$1199,0)))</f>
        <v/>
      </c>
      <c r="G923" s="6" t="str">
        <f>IF(ISNA(MATCH(914,'Transfer Engine'!$C$2:$C$1199,0)),"",INDEX('Compliance Database'!$G$2:$G$1199,MATCH(914,'Transfer Engine'!$C$2:$C$1199,0)))</f>
        <v/>
      </c>
      <c r="H923" s="7" t="str">
        <f>IF(ISNA(MATCH(914,'Transfer Engine'!$C$2:$C$1199,0)),"",INDEX('Compliance Database'!$H$2:$H$1199,MATCH(914,'Transfer Engine'!$C$2:$C$1199,0)))</f>
        <v/>
      </c>
      <c r="I923" s="7" t="str">
        <f>IF(ISNA(MATCH(914,'Transfer Engine'!$C$2:$C$1199,0)),"",INDEX('Compliance Database'!$I$2:$I$1199,MATCH(914,'Transfer Engine'!$C$2:$C$1199,0)))</f>
        <v/>
      </c>
      <c r="J923" s="6" t="str">
        <f>IF(ISNA(MATCH(914,'Transfer Engine'!$C$2:$C$1199,0)),"",INDEX('Compliance Database'!$J$2:$J$1199,MATCH(914,'Transfer Engine'!$C$2:$C$1199,0)))</f>
        <v/>
      </c>
      <c r="K923" s="7" t="str">
        <f>IF(ISNA(MATCH(914,'Transfer Engine'!$C$2:$C$1199,0)),"",INDEX('Compliance Database'!$K$2:$K$1199,MATCH(914,'Transfer Engine'!$C$2:$C$1199,0)))</f>
        <v/>
      </c>
      <c r="L923" s="7" t="str">
        <f>IF(ISNA(MATCH(914,'Transfer Engine'!$C$2:$C$1199,0)),"",INDEX('Compliance Database'!$L$2:$L$1199,MATCH(914,'Transfer Engine'!$C$2:$C$1199,0)))</f>
        <v/>
      </c>
      <c r="M923" s="7" t="str">
        <f>IF(ISNA(MATCH(914,'Transfer Engine'!$C$2:$C$1199,0)),"",INDEX('Compliance Database'!$M$2:$M$1199,MATCH(914,'Transfer Engine'!$C$2:$C$1199,0)))</f>
        <v/>
      </c>
      <c r="N923" s="7" t="str">
        <f>IF(ISNA(MATCH(914,'Transfer Engine'!$C$2:$C$1199,0)),"",INDEX('Compliance Database'!$N$2:$N$1199,MATCH(914,'Transfer Engine'!$C$2:$C$1199,0)))</f>
        <v/>
      </c>
      <c r="O923" s="7" t="str">
        <f>IF(ISNA(MATCH(914,'Transfer Engine'!$C$2:$C$1199,0)),"",INDEX('Compliance Database'!$O$2:$O$1199,MATCH(914,'Transfer Engine'!$C$2:$C$1199,0)))</f>
        <v/>
      </c>
      <c r="P923" s="6" t="str">
        <f>IF(ISNA(MATCH(914,'Transfer Engine'!$C$2:$C$1199,0)),"",HYPERLINK("#Acts!A"&amp;INDEX('Compliance Database'!$P$2:$P$1199,MATCH(914,'Transfer Engine'!$C$2:$C$1199,0)),"Go to Act"))</f>
        <v/>
      </c>
    </row>
    <row r="924" spans="1:16" ht="172.95" customHeight="1" x14ac:dyDescent="0.3">
      <c r="A924" s="6" t="str">
        <f>IF(ISNA(MATCH(915,'Transfer Engine'!$C$2:$C$1199,0)),"",INDEX('Compliance Database'!$A$2:$A$1199,MATCH(915,'Transfer Engine'!$C$2:$C$1199,0)))</f>
        <v/>
      </c>
      <c r="B924" s="6" t="str">
        <f>IF(ISNA(MATCH(915,'Transfer Engine'!$C$2:$C$1199,0)),"",INDEX('Compliance Database'!$B$2:$B$1199,MATCH(915,'Transfer Engine'!$C$2:$C$1199,0)))</f>
        <v/>
      </c>
      <c r="C924" s="6" t="str">
        <f>IF(ISNA(MATCH(915,'Transfer Engine'!$C$2:$C$1199,0)),"",INDEX('Compliance Database'!$C$2:$C$1199,MATCH(915,'Transfer Engine'!$C$2:$C$1199,0)))</f>
        <v/>
      </c>
      <c r="D924" s="7" t="str">
        <f>IF(ISNA(MATCH(915,'Transfer Engine'!$C$2:$C$1199,0)),"",INDEX('Compliance Database'!$D$2:$D$1199,MATCH(915,'Transfer Engine'!$C$2:$C$1199,0)))</f>
        <v/>
      </c>
      <c r="E924" s="6" t="str">
        <f>IF(ISNA(MATCH(915,'Transfer Engine'!$C$2:$C$1199,0)),"",INDEX('Compliance Database'!$E$2:$E$1199,MATCH(915,'Transfer Engine'!$C$2:$C$1199,0)))</f>
        <v/>
      </c>
      <c r="F924" s="6" t="str">
        <f>IF(ISNA(MATCH(915,'Transfer Engine'!$C$2:$C$1199,0)),"",INDEX('Compliance Database'!$F$2:$F$1199,MATCH(915,'Transfer Engine'!$C$2:$C$1199,0)))</f>
        <v/>
      </c>
      <c r="G924" s="6" t="str">
        <f>IF(ISNA(MATCH(915,'Transfer Engine'!$C$2:$C$1199,0)),"",INDEX('Compliance Database'!$G$2:$G$1199,MATCH(915,'Transfer Engine'!$C$2:$C$1199,0)))</f>
        <v/>
      </c>
      <c r="H924" s="7" t="str">
        <f>IF(ISNA(MATCH(915,'Transfer Engine'!$C$2:$C$1199,0)),"",INDEX('Compliance Database'!$H$2:$H$1199,MATCH(915,'Transfer Engine'!$C$2:$C$1199,0)))</f>
        <v/>
      </c>
      <c r="I924" s="7" t="str">
        <f>IF(ISNA(MATCH(915,'Transfer Engine'!$C$2:$C$1199,0)),"",INDEX('Compliance Database'!$I$2:$I$1199,MATCH(915,'Transfer Engine'!$C$2:$C$1199,0)))</f>
        <v/>
      </c>
      <c r="J924" s="6" t="str">
        <f>IF(ISNA(MATCH(915,'Transfer Engine'!$C$2:$C$1199,0)),"",INDEX('Compliance Database'!$J$2:$J$1199,MATCH(915,'Transfer Engine'!$C$2:$C$1199,0)))</f>
        <v/>
      </c>
      <c r="K924" s="7" t="str">
        <f>IF(ISNA(MATCH(915,'Transfer Engine'!$C$2:$C$1199,0)),"",INDEX('Compliance Database'!$K$2:$K$1199,MATCH(915,'Transfer Engine'!$C$2:$C$1199,0)))</f>
        <v/>
      </c>
      <c r="L924" s="7" t="str">
        <f>IF(ISNA(MATCH(915,'Transfer Engine'!$C$2:$C$1199,0)),"",INDEX('Compliance Database'!$L$2:$L$1199,MATCH(915,'Transfer Engine'!$C$2:$C$1199,0)))</f>
        <v/>
      </c>
      <c r="M924" s="7" t="str">
        <f>IF(ISNA(MATCH(915,'Transfer Engine'!$C$2:$C$1199,0)),"",INDEX('Compliance Database'!$M$2:$M$1199,MATCH(915,'Transfer Engine'!$C$2:$C$1199,0)))</f>
        <v/>
      </c>
      <c r="N924" s="7" t="str">
        <f>IF(ISNA(MATCH(915,'Transfer Engine'!$C$2:$C$1199,0)),"",INDEX('Compliance Database'!$N$2:$N$1199,MATCH(915,'Transfer Engine'!$C$2:$C$1199,0)))</f>
        <v/>
      </c>
      <c r="O924" s="7" t="str">
        <f>IF(ISNA(MATCH(915,'Transfer Engine'!$C$2:$C$1199,0)),"",INDEX('Compliance Database'!$O$2:$O$1199,MATCH(915,'Transfer Engine'!$C$2:$C$1199,0)))</f>
        <v/>
      </c>
      <c r="P924" s="6" t="str">
        <f>IF(ISNA(MATCH(915,'Transfer Engine'!$C$2:$C$1199,0)),"",HYPERLINK("#Acts!A"&amp;INDEX('Compliance Database'!$P$2:$P$1199,MATCH(915,'Transfer Engine'!$C$2:$C$1199,0)),"Go to Act"))</f>
        <v/>
      </c>
    </row>
    <row r="925" spans="1:16" ht="172.95" customHeight="1" x14ac:dyDescent="0.3">
      <c r="A925" s="6" t="str">
        <f>IF(ISNA(MATCH(916,'Transfer Engine'!$C$2:$C$1199,0)),"",INDEX('Compliance Database'!$A$2:$A$1199,MATCH(916,'Transfer Engine'!$C$2:$C$1199,0)))</f>
        <v/>
      </c>
      <c r="B925" s="6" t="str">
        <f>IF(ISNA(MATCH(916,'Transfer Engine'!$C$2:$C$1199,0)),"",INDEX('Compliance Database'!$B$2:$B$1199,MATCH(916,'Transfer Engine'!$C$2:$C$1199,0)))</f>
        <v/>
      </c>
      <c r="C925" s="6" t="str">
        <f>IF(ISNA(MATCH(916,'Transfer Engine'!$C$2:$C$1199,0)),"",INDEX('Compliance Database'!$C$2:$C$1199,MATCH(916,'Transfer Engine'!$C$2:$C$1199,0)))</f>
        <v/>
      </c>
      <c r="D925" s="7" t="str">
        <f>IF(ISNA(MATCH(916,'Transfer Engine'!$C$2:$C$1199,0)),"",INDEX('Compliance Database'!$D$2:$D$1199,MATCH(916,'Transfer Engine'!$C$2:$C$1199,0)))</f>
        <v/>
      </c>
      <c r="E925" s="6" t="str">
        <f>IF(ISNA(MATCH(916,'Transfer Engine'!$C$2:$C$1199,0)),"",INDEX('Compliance Database'!$E$2:$E$1199,MATCH(916,'Transfer Engine'!$C$2:$C$1199,0)))</f>
        <v/>
      </c>
      <c r="F925" s="6" t="str">
        <f>IF(ISNA(MATCH(916,'Transfer Engine'!$C$2:$C$1199,0)),"",INDEX('Compliance Database'!$F$2:$F$1199,MATCH(916,'Transfer Engine'!$C$2:$C$1199,0)))</f>
        <v/>
      </c>
      <c r="G925" s="6" t="str">
        <f>IF(ISNA(MATCH(916,'Transfer Engine'!$C$2:$C$1199,0)),"",INDEX('Compliance Database'!$G$2:$G$1199,MATCH(916,'Transfer Engine'!$C$2:$C$1199,0)))</f>
        <v/>
      </c>
      <c r="H925" s="7" t="str">
        <f>IF(ISNA(MATCH(916,'Transfer Engine'!$C$2:$C$1199,0)),"",INDEX('Compliance Database'!$H$2:$H$1199,MATCH(916,'Transfer Engine'!$C$2:$C$1199,0)))</f>
        <v/>
      </c>
      <c r="I925" s="7" t="str">
        <f>IF(ISNA(MATCH(916,'Transfer Engine'!$C$2:$C$1199,0)),"",INDEX('Compliance Database'!$I$2:$I$1199,MATCH(916,'Transfer Engine'!$C$2:$C$1199,0)))</f>
        <v/>
      </c>
      <c r="J925" s="6" t="str">
        <f>IF(ISNA(MATCH(916,'Transfer Engine'!$C$2:$C$1199,0)),"",INDEX('Compliance Database'!$J$2:$J$1199,MATCH(916,'Transfer Engine'!$C$2:$C$1199,0)))</f>
        <v/>
      </c>
      <c r="K925" s="7" t="str">
        <f>IF(ISNA(MATCH(916,'Transfer Engine'!$C$2:$C$1199,0)),"",INDEX('Compliance Database'!$K$2:$K$1199,MATCH(916,'Transfer Engine'!$C$2:$C$1199,0)))</f>
        <v/>
      </c>
      <c r="L925" s="7" t="str">
        <f>IF(ISNA(MATCH(916,'Transfer Engine'!$C$2:$C$1199,0)),"",INDEX('Compliance Database'!$L$2:$L$1199,MATCH(916,'Transfer Engine'!$C$2:$C$1199,0)))</f>
        <v/>
      </c>
      <c r="M925" s="7" t="str">
        <f>IF(ISNA(MATCH(916,'Transfer Engine'!$C$2:$C$1199,0)),"",INDEX('Compliance Database'!$M$2:$M$1199,MATCH(916,'Transfer Engine'!$C$2:$C$1199,0)))</f>
        <v/>
      </c>
      <c r="N925" s="7" t="str">
        <f>IF(ISNA(MATCH(916,'Transfer Engine'!$C$2:$C$1199,0)),"",INDEX('Compliance Database'!$N$2:$N$1199,MATCH(916,'Transfer Engine'!$C$2:$C$1199,0)))</f>
        <v/>
      </c>
      <c r="O925" s="7" t="str">
        <f>IF(ISNA(MATCH(916,'Transfer Engine'!$C$2:$C$1199,0)),"",INDEX('Compliance Database'!$O$2:$O$1199,MATCH(916,'Transfer Engine'!$C$2:$C$1199,0)))</f>
        <v/>
      </c>
      <c r="P925" s="6" t="str">
        <f>IF(ISNA(MATCH(916,'Transfer Engine'!$C$2:$C$1199,0)),"",HYPERLINK("#Acts!A"&amp;INDEX('Compliance Database'!$P$2:$P$1199,MATCH(916,'Transfer Engine'!$C$2:$C$1199,0)),"Go to Act"))</f>
        <v/>
      </c>
    </row>
    <row r="926" spans="1:16" ht="172.95" customHeight="1" x14ac:dyDescent="0.3">
      <c r="A926" s="6" t="str">
        <f>IF(ISNA(MATCH(917,'Transfer Engine'!$C$2:$C$1199,0)),"",INDEX('Compliance Database'!$A$2:$A$1199,MATCH(917,'Transfer Engine'!$C$2:$C$1199,0)))</f>
        <v/>
      </c>
      <c r="B926" s="6" t="str">
        <f>IF(ISNA(MATCH(917,'Transfer Engine'!$C$2:$C$1199,0)),"",INDEX('Compliance Database'!$B$2:$B$1199,MATCH(917,'Transfer Engine'!$C$2:$C$1199,0)))</f>
        <v/>
      </c>
      <c r="C926" s="6" t="str">
        <f>IF(ISNA(MATCH(917,'Transfer Engine'!$C$2:$C$1199,0)),"",INDEX('Compliance Database'!$C$2:$C$1199,MATCH(917,'Transfer Engine'!$C$2:$C$1199,0)))</f>
        <v/>
      </c>
      <c r="D926" s="7" t="str">
        <f>IF(ISNA(MATCH(917,'Transfer Engine'!$C$2:$C$1199,0)),"",INDEX('Compliance Database'!$D$2:$D$1199,MATCH(917,'Transfer Engine'!$C$2:$C$1199,0)))</f>
        <v/>
      </c>
      <c r="E926" s="6" t="str">
        <f>IF(ISNA(MATCH(917,'Transfer Engine'!$C$2:$C$1199,0)),"",INDEX('Compliance Database'!$E$2:$E$1199,MATCH(917,'Transfer Engine'!$C$2:$C$1199,0)))</f>
        <v/>
      </c>
      <c r="F926" s="6" t="str">
        <f>IF(ISNA(MATCH(917,'Transfer Engine'!$C$2:$C$1199,0)),"",INDEX('Compliance Database'!$F$2:$F$1199,MATCH(917,'Transfer Engine'!$C$2:$C$1199,0)))</f>
        <v/>
      </c>
      <c r="G926" s="6" t="str">
        <f>IF(ISNA(MATCH(917,'Transfer Engine'!$C$2:$C$1199,0)),"",INDEX('Compliance Database'!$G$2:$G$1199,MATCH(917,'Transfer Engine'!$C$2:$C$1199,0)))</f>
        <v/>
      </c>
      <c r="H926" s="7" t="str">
        <f>IF(ISNA(MATCH(917,'Transfer Engine'!$C$2:$C$1199,0)),"",INDEX('Compliance Database'!$H$2:$H$1199,MATCH(917,'Transfer Engine'!$C$2:$C$1199,0)))</f>
        <v/>
      </c>
      <c r="I926" s="7" t="str">
        <f>IF(ISNA(MATCH(917,'Transfer Engine'!$C$2:$C$1199,0)),"",INDEX('Compliance Database'!$I$2:$I$1199,MATCH(917,'Transfer Engine'!$C$2:$C$1199,0)))</f>
        <v/>
      </c>
      <c r="J926" s="6" t="str">
        <f>IF(ISNA(MATCH(917,'Transfer Engine'!$C$2:$C$1199,0)),"",INDEX('Compliance Database'!$J$2:$J$1199,MATCH(917,'Transfer Engine'!$C$2:$C$1199,0)))</f>
        <v/>
      </c>
      <c r="K926" s="7" t="str">
        <f>IF(ISNA(MATCH(917,'Transfer Engine'!$C$2:$C$1199,0)),"",INDEX('Compliance Database'!$K$2:$K$1199,MATCH(917,'Transfer Engine'!$C$2:$C$1199,0)))</f>
        <v/>
      </c>
      <c r="L926" s="7" t="str">
        <f>IF(ISNA(MATCH(917,'Transfer Engine'!$C$2:$C$1199,0)),"",INDEX('Compliance Database'!$L$2:$L$1199,MATCH(917,'Transfer Engine'!$C$2:$C$1199,0)))</f>
        <v/>
      </c>
      <c r="M926" s="7" t="str">
        <f>IF(ISNA(MATCH(917,'Transfer Engine'!$C$2:$C$1199,0)),"",INDEX('Compliance Database'!$M$2:$M$1199,MATCH(917,'Transfer Engine'!$C$2:$C$1199,0)))</f>
        <v/>
      </c>
      <c r="N926" s="7" t="str">
        <f>IF(ISNA(MATCH(917,'Transfer Engine'!$C$2:$C$1199,0)),"",INDEX('Compliance Database'!$N$2:$N$1199,MATCH(917,'Transfer Engine'!$C$2:$C$1199,0)))</f>
        <v/>
      </c>
      <c r="O926" s="7" t="str">
        <f>IF(ISNA(MATCH(917,'Transfer Engine'!$C$2:$C$1199,0)),"",INDEX('Compliance Database'!$O$2:$O$1199,MATCH(917,'Transfer Engine'!$C$2:$C$1199,0)))</f>
        <v/>
      </c>
      <c r="P926" s="6" t="str">
        <f>IF(ISNA(MATCH(917,'Transfer Engine'!$C$2:$C$1199,0)),"",HYPERLINK("#Acts!A"&amp;INDEX('Compliance Database'!$P$2:$P$1199,MATCH(917,'Transfer Engine'!$C$2:$C$1199,0)),"Go to Act"))</f>
        <v/>
      </c>
    </row>
    <row r="927" spans="1:16" ht="172.95" customHeight="1" x14ac:dyDescent="0.3">
      <c r="A927" s="6" t="str">
        <f>IF(ISNA(MATCH(918,'Transfer Engine'!$C$2:$C$1199,0)),"",INDEX('Compliance Database'!$A$2:$A$1199,MATCH(918,'Transfer Engine'!$C$2:$C$1199,0)))</f>
        <v/>
      </c>
      <c r="B927" s="6" t="str">
        <f>IF(ISNA(MATCH(918,'Transfer Engine'!$C$2:$C$1199,0)),"",INDEX('Compliance Database'!$B$2:$B$1199,MATCH(918,'Transfer Engine'!$C$2:$C$1199,0)))</f>
        <v/>
      </c>
      <c r="C927" s="6" t="str">
        <f>IF(ISNA(MATCH(918,'Transfer Engine'!$C$2:$C$1199,0)),"",INDEX('Compliance Database'!$C$2:$C$1199,MATCH(918,'Transfer Engine'!$C$2:$C$1199,0)))</f>
        <v/>
      </c>
      <c r="D927" s="7" t="str">
        <f>IF(ISNA(MATCH(918,'Transfer Engine'!$C$2:$C$1199,0)),"",INDEX('Compliance Database'!$D$2:$D$1199,MATCH(918,'Transfer Engine'!$C$2:$C$1199,0)))</f>
        <v/>
      </c>
      <c r="E927" s="6" t="str">
        <f>IF(ISNA(MATCH(918,'Transfer Engine'!$C$2:$C$1199,0)),"",INDEX('Compliance Database'!$E$2:$E$1199,MATCH(918,'Transfer Engine'!$C$2:$C$1199,0)))</f>
        <v/>
      </c>
      <c r="F927" s="6" t="str">
        <f>IF(ISNA(MATCH(918,'Transfer Engine'!$C$2:$C$1199,0)),"",INDEX('Compliance Database'!$F$2:$F$1199,MATCH(918,'Transfer Engine'!$C$2:$C$1199,0)))</f>
        <v/>
      </c>
      <c r="G927" s="6" t="str">
        <f>IF(ISNA(MATCH(918,'Transfer Engine'!$C$2:$C$1199,0)),"",INDEX('Compliance Database'!$G$2:$G$1199,MATCH(918,'Transfer Engine'!$C$2:$C$1199,0)))</f>
        <v/>
      </c>
      <c r="H927" s="7" t="str">
        <f>IF(ISNA(MATCH(918,'Transfer Engine'!$C$2:$C$1199,0)),"",INDEX('Compliance Database'!$H$2:$H$1199,MATCH(918,'Transfer Engine'!$C$2:$C$1199,0)))</f>
        <v/>
      </c>
      <c r="I927" s="7" t="str">
        <f>IF(ISNA(MATCH(918,'Transfer Engine'!$C$2:$C$1199,0)),"",INDEX('Compliance Database'!$I$2:$I$1199,MATCH(918,'Transfer Engine'!$C$2:$C$1199,0)))</f>
        <v/>
      </c>
      <c r="J927" s="6" t="str">
        <f>IF(ISNA(MATCH(918,'Transfer Engine'!$C$2:$C$1199,0)),"",INDEX('Compliance Database'!$J$2:$J$1199,MATCH(918,'Transfer Engine'!$C$2:$C$1199,0)))</f>
        <v/>
      </c>
      <c r="K927" s="7" t="str">
        <f>IF(ISNA(MATCH(918,'Transfer Engine'!$C$2:$C$1199,0)),"",INDEX('Compliance Database'!$K$2:$K$1199,MATCH(918,'Transfer Engine'!$C$2:$C$1199,0)))</f>
        <v/>
      </c>
      <c r="L927" s="7" t="str">
        <f>IF(ISNA(MATCH(918,'Transfer Engine'!$C$2:$C$1199,0)),"",INDEX('Compliance Database'!$L$2:$L$1199,MATCH(918,'Transfer Engine'!$C$2:$C$1199,0)))</f>
        <v/>
      </c>
      <c r="M927" s="7" t="str">
        <f>IF(ISNA(MATCH(918,'Transfer Engine'!$C$2:$C$1199,0)),"",INDEX('Compliance Database'!$M$2:$M$1199,MATCH(918,'Transfer Engine'!$C$2:$C$1199,0)))</f>
        <v/>
      </c>
      <c r="N927" s="7" t="str">
        <f>IF(ISNA(MATCH(918,'Transfer Engine'!$C$2:$C$1199,0)),"",INDEX('Compliance Database'!$N$2:$N$1199,MATCH(918,'Transfer Engine'!$C$2:$C$1199,0)))</f>
        <v/>
      </c>
      <c r="O927" s="7" t="str">
        <f>IF(ISNA(MATCH(918,'Transfer Engine'!$C$2:$C$1199,0)),"",INDEX('Compliance Database'!$O$2:$O$1199,MATCH(918,'Transfer Engine'!$C$2:$C$1199,0)))</f>
        <v/>
      </c>
      <c r="P927" s="6" t="str">
        <f>IF(ISNA(MATCH(918,'Transfer Engine'!$C$2:$C$1199,0)),"",HYPERLINK("#Acts!A"&amp;INDEX('Compliance Database'!$P$2:$P$1199,MATCH(918,'Transfer Engine'!$C$2:$C$1199,0)),"Go to Act"))</f>
        <v/>
      </c>
    </row>
    <row r="928" spans="1:16" ht="172.95" customHeight="1" x14ac:dyDescent="0.3">
      <c r="A928" s="6" t="str">
        <f>IF(ISNA(MATCH(919,'Transfer Engine'!$C$2:$C$1199,0)),"",INDEX('Compliance Database'!$A$2:$A$1199,MATCH(919,'Transfer Engine'!$C$2:$C$1199,0)))</f>
        <v/>
      </c>
      <c r="B928" s="6" t="str">
        <f>IF(ISNA(MATCH(919,'Transfer Engine'!$C$2:$C$1199,0)),"",INDEX('Compliance Database'!$B$2:$B$1199,MATCH(919,'Transfer Engine'!$C$2:$C$1199,0)))</f>
        <v/>
      </c>
      <c r="C928" s="6" t="str">
        <f>IF(ISNA(MATCH(919,'Transfer Engine'!$C$2:$C$1199,0)),"",INDEX('Compliance Database'!$C$2:$C$1199,MATCH(919,'Transfer Engine'!$C$2:$C$1199,0)))</f>
        <v/>
      </c>
      <c r="D928" s="7" t="str">
        <f>IF(ISNA(MATCH(919,'Transfer Engine'!$C$2:$C$1199,0)),"",INDEX('Compliance Database'!$D$2:$D$1199,MATCH(919,'Transfer Engine'!$C$2:$C$1199,0)))</f>
        <v/>
      </c>
      <c r="E928" s="6" t="str">
        <f>IF(ISNA(MATCH(919,'Transfer Engine'!$C$2:$C$1199,0)),"",INDEX('Compliance Database'!$E$2:$E$1199,MATCH(919,'Transfer Engine'!$C$2:$C$1199,0)))</f>
        <v/>
      </c>
      <c r="F928" s="6" t="str">
        <f>IF(ISNA(MATCH(919,'Transfer Engine'!$C$2:$C$1199,0)),"",INDEX('Compliance Database'!$F$2:$F$1199,MATCH(919,'Transfer Engine'!$C$2:$C$1199,0)))</f>
        <v/>
      </c>
      <c r="G928" s="6" t="str">
        <f>IF(ISNA(MATCH(919,'Transfer Engine'!$C$2:$C$1199,0)),"",INDEX('Compliance Database'!$G$2:$G$1199,MATCH(919,'Transfer Engine'!$C$2:$C$1199,0)))</f>
        <v/>
      </c>
      <c r="H928" s="7" t="str">
        <f>IF(ISNA(MATCH(919,'Transfer Engine'!$C$2:$C$1199,0)),"",INDEX('Compliance Database'!$H$2:$H$1199,MATCH(919,'Transfer Engine'!$C$2:$C$1199,0)))</f>
        <v/>
      </c>
      <c r="I928" s="7" t="str">
        <f>IF(ISNA(MATCH(919,'Transfer Engine'!$C$2:$C$1199,0)),"",INDEX('Compliance Database'!$I$2:$I$1199,MATCH(919,'Transfer Engine'!$C$2:$C$1199,0)))</f>
        <v/>
      </c>
      <c r="J928" s="6" t="str">
        <f>IF(ISNA(MATCH(919,'Transfer Engine'!$C$2:$C$1199,0)),"",INDEX('Compliance Database'!$J$2:$J$1199,MATCH(919,'Transfer Engine'!$C$2:$C$1199,0)))</f>
        <v/>
      </c>
      <c r="K928" s="7" t="str">
        <f>IF(ISNA(MATCH(919,'Transfer Engine'!$C$2:$C$1199,0)),"",INDEX('Compliance Database'!$K$2:$K$1199,MATCH(919,'Transfer Engine'!$C$2:$C$1199,0)))</f>
        <v/>
      </c>
      <c r="L928" s="7" t="str">
        <f>IF(ISNA(MATCH(919,'Transfer Engine'!$C$2:$C$1199,0)),"",INDEX('Compliance Database'!$L$2:$L$1199,MATCH(919,'Transfer Engine'!$C$2:$C$1199,0)))</f>
        <v/>
      </c>
      <c r="M928" s="7" t="str">
        <f>IF(ISNA(MATCH(919,'Transfer Engine'!$C$2:$C$1199,0)),"",INDEX('Compliance Database'!$M$2:$M$1199,MATCH(919,'Transfer Engine'!$C$2:$C$1199,0)))</f>
        <v/>
      </c>
      <c r="N928" s="7" t="str">
        <f>IF(ISNA(MATCH(919,'Transfer Engine'!$C$2:$C$1199,0)),"",INDEX('Compliance Database'!$N$2:$N$1199,MATCH(919,'Transfer Engine'!$C$2:$C$1199,0)))</f>
        <v/>
      </c>
      <c r="O928" s="7" t="str">
        <f>IF(ISNA(MATCH(919,'Transfer Engine'!$C$2:$C$1199,0)),"",INDEX('Compliance Database'!$O$2:$O$1199,MATCH(919,'Transfer Engine'!$C$2:$C$1199,0)))</f>
        <v/>
      </c>
      <c r="P928" s="6" t="str">
        <f>IF(ISNA(MATCH(919,'Transfer Engine'!$C$2:$C$1199,0)),"",HYPERLINK("#Acts!A"&amp;INDEX('Compliance Database'!$P$2:$P$1199,MATCH(919,'Transfer Engine'!$C$2:$C$1199,0)),"Go to Act"))</f>
        <v/>
      </c>
    </row>
    <row r="929" spans="1:16" ht="172.95" customHeight="1" x14ac:dyDescent="0.3">
      <c r="A929" s="6" t="str">
        <f>IF(ISNA(MATCH(920,'Transfer Engine'!$C$2:$C$1199,0)),"",INDEX('Compliance Database'!$A$2:$A$1199,MATCH(920,'Transfer Engine'!$C$2:$C$1199,0)))</f>
        <v/>
      </c>
      <c r="B929" s="6" t="str">
        <f>IF(ISNA(MATCH(920,'Transfer Engine'!$C$2:$C$1199,0)),"",INDEX('Compliance Database'!$B$2:$B$1199,MATCH(920,'Transfer Engine'!$C$2:$C$1199,0)))</f>
        <v/>
      </c>
      <c r="C929" s="6" t="str">
        <f>IF(ISNA(MATCH(920,'Transfer Engine'!$C$2:$C$1199,0)),"",INDEX('Compliance Database'!$C$2:$C$1199,MATCH(920,'Transfer Engine'!$C$2:$C$1199,0)))</f>
        <v/>
      </c>
      <c r="D929" s="7" t="str">
        <f>IF(ISNA(MATCH(920,'Transfer Engine'!$C$2:$C$1199,0)),"",INDEX('Compliance Database'!$D$2:$D$1199,MATCH(920,'Transfer Engine'!$C$2:$C$1199,0)))</f>
        <v/>
      </c>
      <c r="E929" s="6" t="str">
        <f>IF(ISNA(MATCH(920,'Transfer Engine'!$C$2:$C$1199,0)),"",INDEX('Compliance Database'!$E$2:$E$1199,MATCH(920,'Transfer Engine'!$C$2:$C$1199,0)))</f>
        <v/>
      </c>
      <c r="F929" s="6" t="str">
        <f>IF(ISNA(MATCH(920,'Transfer Engine'!$C$2:$C$1199,0)),"",INDEX('Compliance Database'!$F$2:$F$1199,MATCH(920,'Transfer Engine'!$C$2:$C$1199,0)))</f>
        <v/>
      </c>
      <c r="G929" s="6" t="str">
        <f>IF(ISNA(MATCH(920,'Transfer Engine'!$C$2:$C$1199,0)),"",INDEX('Compliance Database'!$G$2:$G$1199,MATCH(920,'Transfer Engine'!$C$2:$C$1199,0)))</f>
        <v/>
      </c>
      <c r="H929" s="7" t="str">
        <f>IF(ISNA(MATCH(920,'Transfer Engine'!$C$2:$C$1199,0)),"",INDEX('Compliance Database'!$H$2:$H$1199,MATCH(920,'Transfer Engine'!$C$2:$C$1199,0)))</f>
        <v/>
      </c>
      <c r="I929" s="7" t="str">
        <f>IF(ISNA(MATCH(920,'Transfer Engine'!$C$2:$C$1199,0)),"",INDEX('Compliance Database'!$I$2:$I$1199,MATCH(920,'Transfer Engine'!$C$2:$C$1199,0)))</f>
        <v/>
      </c>
      <c r="J929" s="6" t="str">
        <f>IF(ISNA(MATCH(920,'Transfer Engine'!$C$2:$C$1199,0)),"",INDEX('Compliance Database'!$J$2:$J$1199,MATCH(920,'Transfer Engine'!$C$2:$C$1199,0)))</f>
        <v/>
      </c>
      <c r="K929" s="7" t="str">
        <f>IF(ISNA(MATCH(920,'Transfer Engine'!$C$2:$C$1199,0)),"",INDEX('Compliance Database'!$K$2:$K$1199,MATCH(920,'Transfer Engine'!$C$2:$C$1199,0)))</f>
        <v/>
      </c>
      <c r="L929" s="7" t="str">
        <f>IF(ISNA(MATCH(920,'Transfer Engine'!$C$2:$C$1199,0)),"",INDEX('Compliance Database'!$L$2:$L$1199,MATCH(920,'Transfer Engine'!$C$2:$C$1199,0)))</f>
        <v/>
      </c>
      <c r="M929" s="7" t="str">
        <f>IF(ISNA(MATCH(920,'Transfer Engine'!$C$2:$C$1199,0)),"",INDEX('Compliance Database'!$M$2:$M$1199,MATCH(920,'Transfer Engine'!$C$2:$C$1199,0)))</f>
        <v/>
      </c>
      <c r="N929" s="7" t="str">
        <f>IF(ISNA(MATCH(920,'Transfer Engine'!$C$2:$C$1199,0)),"",INDEX('Compliance Database'!$N$2:$N$1199,MATCH(920,'Transfer Engine'!$C$2:$C$1199,0)))</f>
        <v/>
      </c>
      <c r="O929" s="7" t="str">
        <f>IF(ISNA(MATCH(920,'Transfer Engine'!$C$2:$C$1199,0)),"",INDEX('Compliance Database'!$O$2:$O$1199,MATCH(920,'Transfer Engine'!$C$2:$C$1199,0)))</f>
        <v/>
      </c>
      <c r="P929" s="6" t="str">
        <f>IF(ISNA(MATCH(920,'Transfer Engine'!$C$2:$C$1199,0)),"",HYPERLINK("#Acts!A"&amp;INDEX('Compliance Database'!$P$2:$P$1199,MATCH(920,'Transfer Engine'!$C$2:$C$1199,0)),"Go to Act"))</f>
        <v/>
      </c>
    </row>
    <row r="930" spans="1:16" ht="172.95" customHeight="1" x14ac:dyDescent="0.3">
      <c r="A930" s="6" t="str">
        <f>IF(ISNA(MATCH(921,'Transfer Engine'!$C$2:$C$1199,0)),"",INDEX('Compliance Database'!$A$2:$A$1199,MATCH(921,'Transfer Engine'!$C$2:$C$1199,0)))</f>
        <v/>
      </c>
      <c r="B930" s="6" t="str">
        <f>IF(ISNA(MATCH(921,'Transfer Engine'!$C$2:$C$1199,0)),"",INDEX('Compliance Database'!$B$2:$B$1199,MATCH(921,'Transfer Engine'!$C$2:$C$1199,0)))</f>
        <v/>
      </c>
      <c r="C930" s="6" t="str">
        <f>IF(ISNA(MATCH(921,'Transfer Engine'!$C$2:$C$1199,0)),"",INDEX('Compliance Database'!$C$2:$C$1199,MATCH(921,'Transfer Engine'!$C$2:$C$1199,0)))</f>
        <v/>
      </c>
      <c r="D930" s="7" t="str">
        <f>IF(ISNA(MATCH(921,'Transfer Engine'!$C$2:$C$1199,0)),"",INDEX('Compliance Database'!$D$2:$D$1199,MATCH(921,'Transfer Engine'!$C$2:$C$1199,0)))</f>
        <v/>
      </c>
      <c r="E930" s="6" t="str">
        <f>IF(ISNA(MATCH(921,'Transfer Engine'!$C$2:$C$1199,0)),"",INDEX('Compliance Database'!$E$2:$E$1199,MATCH(921,'Transfer Engine'!$C$2:$C$1199,0)))</f>
        <v/>
      </c>
      <c r="F930" s="6" t="str">
        <f>IF(ISNA(MATCH(921,'Transfer Engine'!$C$2:$C$1199,0)),"",INDEX('Compliance Database'!$F$2:$F$1199,MATCH(921,'Transfer Engine'!$C$2:$C$1199,0)))</f>
        <v/>
      </c>
      <c r="G930" s="6" t="str">
        <f>IF(ISNA(MATCH(921,'Transfer Engine'!$C$2:$C$1199,0)),"",INDEX('Compliance Database'!$G$2:$G$1199,MATCH(921,'Transfer Engine'!$C$2:$C$1199,0)))</f>
        <v/>
      </c>
      <c r="H930" s="7" t="str">
        <f>IF(ISNA(MATCH(921,'Transfer Engine'!$C$2:$C$1199,0)),"",INDEX('Compliance Database'!$H$2:$H$1199,MATCH(921,'Transfer Engine'!$C$2:$C$1199,0)))</f>
        <v/>
      </c>
      <c r="I930" s="7" t="str">
        <f>IF(ISNA(MATCH(921,'Transfer Engine'!$C$2:$C$1199,0)),"",INDEX('Compliance Database'!$I$2:$I$1199,MATCH(921,'Transfer Engine'!$C$2:$C$1199,0)))</f>
        <v/>
      </c>
      <c r="J930" s="6" t="str">
        <f>IF(ISNA(MATCH(921,'Transfer Engine'!$C$2:$C$1199,0)),"",INDEX('Compliance Database'!$J$2:$J$1199,MATCH(921,'Transfer Engine'!$C$2:$C$1199,0)))</f>
        <v/>
      </c>
      <c r="K930" s="7" t="str">
        <f>IF(ISNA(MATCH(921,'Transfer Engine'!$C$2:$C$1199,0)),"",INDEX('Compliance Database'!$K$2:$K$1199,MATCH(921,'Transfer Engine'!$C$2:$C$1199,0)))</f>
        <v/>
      </c>
      <c r="L930" s="7" t="str">
        <f>IF(ISNA(MATCH(921,'Transfer Engine'!$C$2:$C$1199,0)),"",INDEX('Compliance Database'!$L$2:$L$1199,MATCH(921,'Transfer Engine'!$C$2:$C$1199,0)))</f>
        <v/>
      </c>
      <c r="M930" s="7" t="str">
        <f>IF(ISNA(MATCH(921,'Transfer Engine'!$C$2:$C$1199,0)),"",INDEX('Compliance Database'!$M$2:$M$1199,MATCH(921,'Transfer Engine'!$C$2:$C$1199,0)))</f>
        <v/>
      </c>
      <c r="N930" s="7" t="str">
        <f>IF(ISNA(MATCH(921,'Transfer Engine'!$C$2:$C$1199,0)),"",INDEX('Compliance Database'!$N$2:$N$1199,MATCH(921,'Transfer Engine'!$C$2:$C$1199,0)))</f>
        <v/>
      </c>
      <c r="O930" s="7" t="str">
        <f>IF(ISNA(MATCH(921,'Transfer Engine'!$C$2:$C$1199,0)),"",INDEX('Compliance Database'!$O$2:$O$1199,MATCH(921,'Transfer Engine'!$C$2:$C$1199,0)))</f>
        <v/>
      </c>
      <c r="P930" s="6" t="str">
        <f>IF(ISNA(MATCH(921,'Transfer Engine'!$C$2:$C$1199,0)),"",HYPERLINK("#Acts!A"&amp;INDEX('Compliance Database'!$P$2:$P$1199,MATCH(921,'Transfer Engine'!$C$2:$C$1199,0)),"Go to Act"))</f>
        <v/>
      </c>
    </row>
    <row r="931" spans="1:16" ht="172.95" customHeight="1" x14ac:dyDescent="0.3">
      <c r="A931" s="6" t="str">
        <f>IF(ISNA(MATCH(922,'Transfer Engine'!$C$2:$C$1199,0)),"",INDEX('Compliance Database'!$A$2:$A$1199,MATCH(922,'Transfer Engine'!$C$2:$C$1199,0)))</f>
        <v/>
      </c>
      <c r="B931" s="6" t="str">
        <f>IF(ISNA(MATCH(922,'Transfer Engine'!$C$2:$C$1199,0)),"",INDEX('Compliance Database'!$B$2:$B$1199,MATCH(922,'Transfer Engine'!$C$2:$C$1199,0)))</f>
        <v/>
      </c>
      <c r="C931" s="6" t="str">
        <f>IF(ISNA(MATCH(922,'Transfer Engine'!$C$2:$C$1199,0)),"",INDEX('Compliance Database'!$C$2:$C$1199,MATCH(922,'Transfer Engine'!$C$2:$C$1199,0)))</f>
        <v/>
      </c>
      <c r="D931" s="7" t="str">
        <f>IF(ISNA(MATCH(922,'Transfer Engine'!$C$2:$C$1199,0)),"",INDEX('Compliance Database'!$D$2:$D$1199,MATCH(922,'Transfer Engine'!$C$2:$C$1199,0)))</f>
        <v/>
      </c>
      <c r="E931" s="6" t="str">
        <f>IF(ISNA(MATCH(922,'Transfer Engine'!$C$2:$C$1199,0)),"",INDEX('Compliance Database'!$E$2:$E$1199,MATCH(922,'Transfer Engine'!$C$2:$C$1199,0)))</f>
        <v/>
      </c>
      <c r="F931" s="6" t="str">
        <f>IF(ISNA(MATCH(922,'Transfer Engine'!$C$2:$C$1199,0)),"",INDEX('Compliance Database'!$F$2:$F$1199,MATCH(922,'Transfer Engine'!$C$2:$C$1199,0)))</f>
        <v/>
      </c>
      <c r="G931" s="6" t="str">
        <f>IF(ISNA(MATCH(922,'Transfer Engine'!$C$2:$C$1199,0)),"",INDEX('Compliance Database'!$G$2:$G$1199,MATCH(922,'Transfer Engine'!$C$2:$C$1199,0)))</f>
        <v/>
      </c>
      <c r="H931" s="7" t="str">
        <f>IF(ISNA(MATCH(922,'Transfer Engine'!$C$2:$C$1199,0)),"",INDEX('Compliance Database'!$H$2:$H$1199,MATCH(922,'Transfer Engine'!$C$2:$C$1199,0)))</f>
        <v/>
      </c>
      <c r="I931" s="7" t="str">
        <f>IF(ISNA(MATCH(922,'Transfer Engine'!$C$2:$C$1199,0)),"",INDEX('Compliance Database'!$I$2:$I$1199,MATCH(922,'Transfer Engine'!$C$2:$C$1199,0)))</f>
        <v/>
      </c>
      <c r="J931" s="6" t="str">
        <f>IF(ISNA(MATCH(922,'Transfer Engine'!$C$2:$C$1199,0)),"",INDEX('Compliance Database'!$J$2:$J$1199,MATCH(922,'Transfer Engine'!$C$2:$C$1199,0)))</f>
        <v/>
      </c>
      <c r="K931" s="7" t="str">
        <f>IF(ISNA(MATCH(922,'Transfer Engine'!$C$2:$C$1199,0)),"",INDEX('Compliance Database'!$K$2:$K$1199,MATCH(922,'Transfer Engine'!$C$2:$C$1199,0)))</f>
        <v/>
      </c>
      <c r="L931" s="7" t="str">
        <f>IF(ISNA(MATCH(922,'Transfer Engine'!$C$2:$C$1199,0)),"",INDEX('Compliance Database'!$L$2:$L$1199,MATCH(922,'Transfer Engine'!$C$2:$C$1199,0)))</f>
        <v/>
      </c>
      <c r="M931" s="7" t="str">
        <f>IF(ISNA(MATCH(922,'Transfer Engine'!$C$2:$C$1199,0)),"",INDEX('Compliance Database'!$M$2:$M$1199,MATCH(922,'Transfer Engine'!$C$2:$C$1199,0)))</f>
        <v/>
      </c>
      <c r="N931" s="7" t="str">
        <f>IF(ISNA(MATCH(922,'Transfer Engine'!$C$2:$C$1199,0)),"",INDEX('Compliance Database'!$N$2:$N$1199,MATCH(922,'Transfer Engine'!$C$2:$C$1199,0)))</f>
        <v/>
      </c>
      <c r="O931" s="7" t="str">
        <f>IF(ISNA(MATCH(922,'Transfer Engine'!$C$2:$C$1199,0)),"",INDEX('Compliance Database'!$O$2:$O$1199,MATCH(922,'Transfer Engine'!$C$2:$C$1199,0)))</f>
        <v/>
      </c>
      <c r="P931" s="6" t="str">
        <f>IF(ISNA(MATCH(922,'Transfer Engine'!$C$2:$C$1199,0)),"",HYPERLINK("#Acts!A"&amp;INDEX('Compliance Database'!$P$2:$P$1199,MATCH(922,'Transfer Engine'!$C$2:$C$1199,0)),"Go to Act"))</f>
        <v/>
      </c>
    </row>
    <row r="932" spans="1:16" ht="172.95" customHeight="1" x14ac:dyDescent="0.3">
      <c r="A932" s="6" t="str">
        <f>IF(ISNA(MATCH(923,'Transfer Engine'!$C$2:$C$1199,0)),"",INDEX('Compliance Database'!$A$2:$A$1199,MATCH(923,'Transfer Engine'!$C$2:$C$1199,0)))</f>
        <v/>
      </c>
      <c r="B932" s="6" t="str">
        <f>IF(ISNA(MATCH(923,'Transfer Engine'!$C$2:$C$1199,0)),"",INDEX('Compliance Database'!$B$2:$B$1199,MATCH(923,'Transfer Engine'!$C$2:$C$1199,0)))</f>
        <v/>
      </c>
      <c r="C932" s="6" t="str">
        <f>IF(ISNA(MATCH(923,'Transfer Engine'!$C$2:$C$1199,0)),"",INDEX('Compliance Database'!$C$2:$C$1199,MATCH(923,'Transfer Engine'!$C$2:$C$1199,0)))</f>
        <v/>
      </c>
      <c r="D932" s="7" t="str">
        <f>IF(ISNA(MATCH(923,'Transfer Engine'!$C$2:$C$1199,0)),"",INDEX('Compliance Database'!$D$2:$D$1199,MATCH(923,'Transfer Engine'!$C$2:$C$1199,0)))</f>
        <v/>
      </c>
      <c r="E932" s="6" t="str">
        <f>IF(ISNA(MATCH(923,'Transfer Engine'!$C$2:$C$1199,0)),"",INDEX('Compliance Database'!$E$2:$E$1199,MATCH(923,'Transfer Engine'!$C$2:$C$1199,0)))</f>
        <v/>
      </c>
      <c r="F932" s="6" t="str">
        <f>IF(ISNA(MATCH(923,'Transfer Engine'!$C$2:$C$1199,0)),"",INDEX('Compliance Database'!$F$2:$F$1199,MATCH(923,'Transfer Engine'!$C$2:$C$1199,0)))</f>
        <v/>
      </c>
      <c r="G932" s="6" t="str">
        <f>IF(ISNA(MATCH(923,'Transfer Engine'!$C$2:$C$1199,0)),"",INDEX('Compliance Database'!$G$2:$G$1199,MATCH(923,'Transfer Engine'!$C$2:$C$1199,0)))</f>
        <v/>
      </c>
      <c r="H932" s="7" t="str">
        <f>IF(ISNA(MATCH(923,'Transfer Engine'!$C$2:$C$1199,0)),"",INDEX('Compliance Database'!$H$2:$H$1199,MATCH(923,'Transfer Engine'!$C$2:$C$1199,0)))</f>
        <v/>
      </c>
      <c r="I932" s="7" t="str">
        <f>IF(ISNA(MATCH(923,'Transfer Engine'!$C$2:$C$1199,0)),"",INDEX('Compliance Database'!$I$2:$I$1199,MATCH(923,'Transfer Engine'!$C$2:$C$1199,0)))</f>
        <v/>
      </c>
      <c r="J932" s="6" t="str">
        <f>IF(ISNA(MATCH(923,'Transfer Engine'!$C$2:$C$1199,0)),"",INDEX('Compliance Database'!$J$2:$J$1199,MATCH(923,'Transfer Engine'!$C$2:$C$1199,0)))</f>
        <v/>
      </c>
      <c r="K932" s="7" t="str">
        <f>IF(ISNA(MATCH(923,'Transfer Engine'!$C$2:$C$1199,0)),"",INDEX('Compliance Database'!$K$2:$K$1199,MATCH(923,'Transfer Engine'!$C$2:$C$1199,0)))</f>
        <v/>
      </c>
      <c r="L932" s="7" t="str">
        <f>IF(ISNA(MATCH(923,'Transfer Engine'!$C$2:$C$1199,0)),"",INDEX('Compliance Database'!$L$2:$L$1199,MATCH(923,'Transfer Engine'!$C$2:$C$1199,0)))</f>
        <v/>
      </c>
      <c r="M932" s="7" t="str">
        <f>IF(ISNA(MATCH(923,'Transfer Engine'!$C$2:$C$1199,0)),"",INDEX('Compliance Database'!$M$2:$M$1199,MATCH(923,'Transfer Engine'!$C$2:$C$1199,0)))</f>
        <v/>
      </c>
      <c r="N932" s="7" t="str">
        <f>IF(ISNA(MATCH(923,'Transfer Engine'!$C$2:$C$1199,0)),"",INDEX('Compliance Database'!$N$2:$N$1199,MATCH(923,'Transfer Engine'!$C$2:$C$1199,0)))</f>
        <v/>
      </c>
      <c r="O932" s="7" t="str">
        <f>IF(ISNA(MATCH(923,'Transfer Engine'!$C$2:$C$1199,0)),"",INDEX('Compliance Database'!$O$2:$O$1199,MATCH(923,'Transfer Engine'!$C$2:$C$1199,0)))</f>
        <v/>
      </c>
      <c r="P932" s="6" t="str">
        <f>IF(ISNA(MATCH(923,'Transfer Engine'!$C$2:$C$1199,0)),"",HYPERLINK("#Acts!A"&amp;INDEX('Compliance Database'!$P$2:$P$1199,MATCH(923,'Transfer Engine'!$C$2:$C$1199,0)),"Go to Act"))</f>
        <v/>
      </c>
    </row>
    <row r="933" spans="1:16" ht="172.95" customHeight="1" x14ac:dyDescent="0.3">
      <c r="A933" s="6" t="str">
        <f>IF(ISNA(MATCH(924,'Transfer Engine'!$C$2:$C$1199,0)),"",INDEX('Compliance Database'!$A$2:$A$1199,MATCH(924,'Transfer Engine'!$C$2:$C$1199,0)))</f>
        <v/>
      </c>
      <c r="B933" s="6" t="str">
        <f>IF(ISNA(MATCH(924,'Transfer Engine'!$C$2:$C$1199,0)),"",INDEX('Compliance Database'!$B$2:$B$1199,MATCH(924,'Transfer Engine'!$C$2:$C$1199,0)))</f>
        <v/>
      </c>
      <c r="C933" s="6" t="str">
        <f>IF(ISNA(MATCH(924,'Transfer Engine'!$C$2:$C$1199,0)),"",INDEX('Compliance Database'!$C$2:$C$1199,MATCH(924,'Transfer Engine'!$C$2:$C$1199,0)))</f>
        <v/>
      </c>
      <c r="D933" s="7" t="str">
        <f>IF(ISNA(MATCH(924,'Transfer Engine'!$C$2:$C$1199,0)),"",INDEX('Compliance Database'!$D$2:$D$1199,MATCH(924,'Transfer Engine'!$C$2:$C$1199,0)))</f>
        <v/>
      </c>
      <c r="E933" s="6" t="str">
        <f>IF(ISNA(MATCH(924,'Transfer Engine'!$C$2:$C$1199,0)),"",INDEX('Compliance Database'!$E$2:$E$1199,MATCH(924,'Transfer Engine'!$C$2:$C$1199,0)))</f>
        <v/>
      </c>
      <c r="F933" s="6" t="str">
        <f>IF(ISNA(MATCH(924,'Transfer Engine'!$C$2:$C$1199,0)),"",INDEX('Compliance Database'!$F$2:$F$1199,MATCH(924,'Transfer Engine'!$C$2:$C$1199,0)))</f>
        <v/>
      </c>
      <c r="G933" s="6" t="str">
        <f>IF(ISNA(MATCH(924,'Transfer Engine'!$C$2:$C$1199,0)),"",INDEX('Compliance Database'!$G$2:$G$1199,MATCH(924,'Transfer Engine'!$C$2:$C$1199,0)))</f>
        <v/>
      </c>
      <c r="H933" s="7" t="str">
        <f>IF(ISNA(MATCH(924,'Transfer Engine'!$C$2:$C$1199,0)),"",INDEX('Compliance Database'!$H$2:$H$1199,MATCH(924,'Transfer Engine'!$C$2:$C$1199,0)))</f>
        <v/>
      </c>
      <c r="I933" s="7" t="str">
        <f>IF(ISNA(MATCH(924,'Transfer Engine'!$C$2:$C$1199,0)),"",INDEX('Compliance Database'!$I$2:$I$1199,MATCH(924,'Transfer Engine'!$C$2:$C$1199,0)))</f>
        <v/>
      </c>
      <c r="J933" s="6" t="str">
        <f>IF(ISNA(MATCH(924,'Transfer Engine'!$C$2:$C$1199,0)),"",INDEX('Compliance Database'!$J$2:$J$1199,MATCH(924,'Transfer Engine'!$C$2:$C$1199,0)))</f>
        <v/>
      </c>
      <c r="K933" s="7" t="str">
        <f>IF(ISNA(MATCH(924,'Transfer Engine'!$C$2:$C$1199,0)),"",INDEX('Compliance Database'!$K$2:$K$1199,MATCH(924,'Transfer Engine'!$C$2:$C$1199,0)))</f>
        <v/>
      </c>
      <c r="L933" s="7" t="str">
        <f>IF(ISNA(MATCH(924,'Transfer Engine'!$C$2:$C$1199,0)),"",INDEX('Compliance Database'!$L$2:$L$1199,MATCH(924,'Transfer Engine'!$C$2:$C$1199,0)))</f>
        <v/>
      </c>
      <c r="M933" s="7" t="str">
        <f>IF(ISNA(MATCH(924,'Transfer Engine'!$C$2:$C$1199,0)),"",INDEX('Compliance Database'!$M$2:$M$1199,MATCH(924,'Transfer Engine'!$C$2:$C$1199,0)))</f>
        <v/>
      </c>
      <c r="N933" s="7" t="str">
        <f>IF(ISNA(MATCH(924,'Transfer Engine'!$C$2:$C$1199,0)),"",INDEX('Compliance Database'!$N$2:$N$1199,MATCH(924,'Transfer Engine'!$C$2:$C$1199,0)))</f>
        <v/>
      </c>
      <c r="O933" s="7" t="str">
        <f>IF(ISNA(MATCH(924,'Transfer Engine'!$C$2:$C$1199,0)),"",INDEX('Compliance Database'!$O$2:$O$1199,MATCH(924,'Transfer Engine'!$C$2:$C$1199,0)))</f>
        <v/>
      </c>
      <c r="P933" s="6" t="str">
        <f>IF(ISNA(MATCH(924,'Transfer Engine'!$C$2:$C$1199,0)),"",HYPERLINK("#Acts!A"&amp;INDEX('Compliance Database'!$P$2:$P$1199,MATCH(924,'Transfer Engine'!$C$2:$C$1199,0)),"Go to Act"))</f>
        <v/>
      </c>
    </row>
    <row r="934" spans="1:16" ht="172.95" customHeight="1" x14ac:dyDescent="0.3">
      <c r="A934" s="6" t="str">
        <f>IF(ISNA(MATCH(925,'Transfer Engine'!$C$2:$C$1199,0)),"",INDEX('Compliance Database'!$A$2:$A$1199,MATCH(925,'Transfer Engine'!$C$2:$C$1199,0)))</f>
        <v/>
      </c>
      <c r="B934" s="6" t="str">
        <f>IF(ISNA(MATCH(925,'Transfer Engine'!$C$2:$C$1199,0)),"",INDEX('Compliance Database'!$B$2:$B$1199,MATCH(925,'Transfer Engine'!$C$2:$C$1199,0)))</f>
        <v/>
      </c>
      <c r="C934" s="6" t="str">
        <f>IF(ISNA(MATCH(925,'Transfer Engine'!$C$2:$C$1199,0)),"",INDEX('Compliance Database'!$C$2:$C$1199,MATCH(925,'Transfer Engine'!$C$2:$C$1199,0)))</f>
        <v/>
      </c>
      <c r="D934" s="7" t="str">
        <f>IF(ISNA(MATCH(925,'Transfer Engine'!$C$2:$C$1199,0)),"",INDEX('Compliance Database'!$D$2:$D$1199,MATCH(925,'Transfer Engine'!$C$2:$C$1199,0)))</f>
        <v/>
      </c>
      <c r="E934" s="6" t="str">
        <f>IF(ISNA(MATCH(925,'Transfer Engine'!$C$2:$C$1199,0)),"",INDEX('Compliance Database'!$E$2:$E$1199,MATCH(925,'Transfer Engine'!$C$2:$C$1199,0)))</f>
        <v/>
      </c>
      <c r="F934" s="6" t="str">
        <f>IF(ISNA(MATCH(925,'Transfer Engine'!$C$2:$C$1199,0)),"",INDEX('Compliance Database'!$F$2:$F$1199,MATCH(925,'Transfer Engine'!$C$2:$C$1199,0)))</f>
        <v/>
      </c>
      <c r="G934" s="6" t="str">
        <f>IF(ISNA(MATCH(925,'Transfer Engine'!$C$2:$C$1199,0)),"",INDEX('Compliance Database'!$G$2:$G$1199,MATCH(925,'Transfer Engine'!$C$2:$C$1199,0)))</f>
        <v/>
      </c>
      <c r="H934" s="7" t="str">
        <f>IF(ISNA(MATCH(925,'Transfer Engine'!$C$2:$C$1199,0)),"",INDEX('Compliance Database'!$H$2:$H$1199,MATCH(925,'Transfer Engine'!$C$2:$C$1199,0)))</f>
        <v/>
      </c>
      <c r="I934" s="7" t="str">
        <f>IF(ISNA(MATCH(925,'Transfer Engine'!$C$2:$C$1199,0)),"",INDEX('Compliance Database'!$I$2:$I$1199,MATCH(925,'Transfer Engine'!$C$2:$C$1199,0)))</f>
        <v/>
      </c>
      <c r="J934" s="6" t="str">
        <f>IF(ISNA(MATCH(925,'Transfer Engine'!$C$2:$C$1199,0)),"",INDEX('Compliance Database'!$J$2:$J$1199,MATCH(925,'Transfer Engine'!$C$2:$C$1199,0)))</f>
        <v/>
      </c>
      <c r="K934" s="7" t="str">
        <f>IF(ISNA(MATCH(925,'Transfer Engine'!$C$2:$C$1199,0)),"",INDEX('Compliance Database'!$K$2:$K$1199,MATCH(925,'Transfer Engine'!$C$2:$C$1199,0)))</f>
        <v/>
      </c>
      <c r="L934" s="7" t="str">
        <f>IF(ISNA(MATCH(925,'Transfer Engine'!$C$2:$C$1199,0)),"",INDEX('Compliance Database'!$L$2:$L$1199,MATCH(925,'Transfer Engine'!$C$2:$C$1199,0)))</f>
        <v/>
      </c>
      <c r="M934" s="7" t="str">
        <f>IF(ISNA(MATCH(925,'Transfer Engine'!$C$2:$C$1199,0)),"",INDEX('Compliance Database'!$M$2:$M$1199,MATCH(925,'Transfer Engine'!$C$2:$C$1199,0)))</f>
        <v/>
      </c>
      <c r="N934" s="7" t="str">
        <f>IF(ISNA(MATCH(925,'Transfer Engine'!$C$2:$C$1199,0)),"",INDEX('Compliance Database'!$N$2:$N$1199,MATCH(925,'Transfer Engine'!$C$2:$C$1199,0)))</f>
        <v/>
      </c>
      <c r="O934" s="7" t="str">
        <f>IF(ISNA(MATCH(925,'Transfer Engine'!$C$2:$C$1199,0)),"",INDEX('Compliance Database'!$O$2:$O$1199,MATCH(925,'Transfer Engine'!$C$2:$C$1199,0)))</f>
        <v/>
      </c>
      <c r="P934" s="6" t="str">
        <f>IF(ISNA(MATCH(925,'Transfer Engine'!$C$2:$C$1199,0)),"",HYPERLINK("#Acts!A"&amp;INDEX('Compliance Database'!$P$2:$P$1199,MATCH(925,'Transfer Engine'!$C$2:$C$1199,0)),"Go to Act"))</f>
        <v/>
      </c>
    </row>
    <row r="935" spans="1:16" ht="172.95" customHeight="1" x14ac:dyDescent="0.3">
      <c r="A935" s="6" t="str">
        <f>IF(ISNA(MATCH(926,'Transfer Engine'!$C$2:$C$1199,0)),"",INDEX('Compliance Database'!$A$2:$A$1199,MATCH(926,'Transfer Engine'!$C$2:$C$1199,0)))</f>
        <v/>
      </c>
      <c r="B935" s="6" t="str">
        <f>IF(ISNA(MATCH(926,'Transfer Engine'!$C$2:$C$1199,0)),"",INDEX('Compliance Database'!$B$2:$B$1199,MATCH(926,'Transfer Engine'!$C$2:$C$1199,0)))</f>
        <v/>
      </c>
      <c r="C935" s="6" t="str">
        <f>IF(ISNA(MATCH(926,'Transfer Engine'!$C$2:$C$1199,0)),"",INDEX('Compliance Database'!$C$2:$C$1199,MATCH(926,'Transfer Engine'!$C$2:$C$1199,0)))</f>
        <v/>
      </c>
      <c r="D935" s="7" t="str">
        <f>IF(ISNA(MATCH(926,'Transfer Engine'!$C$2:$C$1199,0)),"",INDEX('Compliance Database'!$D$2:$D$1199,MATCH(926,'Transfer Engine'!$C$2:$C$1199,0)))</f>
        <v/>
      </c>
      <c r="E935" s="6" t="str">
        <f>IF(ISNA(MATCH(926,'Transfer Engine'!$C$2:$C$1199,0)),"",INDEX('Compliance Database'!$E$2:$E$1199,MATCH(926,'Transfer Engine'!$C$2:$C$1199,0)))</f>
        <v/>
      </c>
      <c r="F935" s="6" t="str">
        <f>IF(ISNA(MATCH(926,'Transfer Engine'!$C$2:$C$1199,0)),"",INDEX('Compliance Database'!$F$2:$F$1199,MATCH(926,'Transfer Engine'!$C$2:$C$1199,0)))</f>
        <v/>
      </c>
      <c r="G935" s="6" t="str">
        <f>IF(ISNA(MATCH(926,'Transfer Engine'!$C$2:$C$1199,0)),"",INDEX('Compliance Database'!$G$2:$G$1199,MATCH(926,'Transfer Engine'!$C$2:$C$1199,0)))</f>
        <v/>
      </c>
      <c r="H935" s="7" t="str">
        <f>IF(ISNA(MATCH(926,'Transfer Engine'!$C$2:$C$1199,0)),"",INDEX('Compliance Database'!$H$2:$H$1199,MATCH(926,'Transfer Engine'!$C$2:$C$1199,0)))</f>
        <v/>
      </c>
      <c r="I935" s="7" t="str">
        <f>IF(ISNA(MATCH(926,'Transfer Engine'!$C$2:$C$1199,0)),"",INDEX('Compliance Database'!$I$2:$I$1199,MATCH(926,'Transfer Engine'!$C$2:$C$1199,0)))</f>
        <v/>
      </c>
      <c r="J935" s="6" t="str">
        <f>IF(ISNA(MATCH(926,'Transfer Engine'!$C$2:$C$1199,0)),"",INDEX('Compliance Database'!$J$2:$J$1199,MATCH(926,'Transfer Engine'!$C$2:$C$1199,0)))</f>
        <v/>
      </c>
      <c r="K935" s="7" t="str">
        <f>IF(ISNA(MATCH(926,'Transfer Engine'!$C$2:$C$1199,0)),"",INDEX('Compliance Database'!$K$2:$K$1199,MATCH(926,'Transfer Engine'!$C$2:$C$1199,0)))</f>
        <v/>
      </c>
      <c r="L935" s="7" t="str">
        <f>IF(ISNA(MATCH(926,'Transfer Engine'!$C$2:$C$1199,0)),"",INDEX('Compliance Database'!$L$2:$L$1199,MATCH(926,'Transfer Engine'!$C$2:$C$1199,0)))</f>
        <v/>
      </c>
      <c r="M935" s="7" t="str">
        <f>IF(ISNA(MATCH(926,'Transfer Engine'!$C$2:$C$1199,0)),"",INDEX('Compliance Database'!$M$2:$M$1199,MATCH(926,'Transfer Engine'!$C$2:$C$1199,0)))</f>
        <v/>
      </c>
      <c r="N935" s="7" t="str">
        <f>IF(ISNA(MATCH(926,'Transfer Engine'!$C$2:$C$1199,0)),"",INDEX('Compliance Database'!$N$2:$N$1199,MATCH(926,'Transfer Engine'!$C$2:$C$1199,0)))</f>
        <v/>
      </c>
      <c r="O935" s="7" t="str">
        <f>IF(ISNA(MATCH(926,'Transfer Engine'!$C$2:$C$1199,0)),"",INDEX('Compliance Database'!$O$2:$O$1199,MATCH(926,'Transfer Engine'!$C$2:$C$1199,0)))</f>
        <v/>
      </c>
      <c r="P935" s="6" t="str">
        <f>IF(ISNA(MATCH(926,'Transfer Engine'!$C$2:$C$1199,0)),"",HYPERLINK("#Acts!A"&amp;INDEX('Compliance Database'!$P$2:$P$1199,MATCH(926,'Transfer Engine'!$C$2:$C$1199,0)),"Go to Act"))</f>
        <v/>
      </c>
    </row>
    <row r="936" spans="1:16" ht="172.95" customHeight="1" x14ac:dyDescent="0.3">
      <c r="A936" s="6" t="str">
        <f>IF(ISNA(MATCH(927,'Transfer Engine'!$C$2:$C$1199,0)),"",INDEX('Compliance Database'!$A$2:$A$1199,MATCH(927,'Transfer Engine'!$C$2:$C$1199,0)))</f>
        <v/>
      </c>
      <c r="B936" s="6" t="str">
        <f>IF(ISNA(MATCH(927,'Transfer Engine'!$C$2:$C$1199,0)),"",INDEX('Compliance Database'!$B$2:$B$1199,MATCH(927,'Transfer Engine'!$C$2:$C$1199,0)))</f>
        <v/>
      </c>
      <c r="C936" s="6" t="str">
        <f>IF(ISNA(MATCH(927,'Transfer Engine'!$C$2:$C$1199,0)),"",INDEX('Compliance Database'!$C$2:$C$1199,MATCH(927,'Transfer Engine'!$C$2:$C$1199,0)))</f>
        <v/>
      </c>
      <c r="D936" s="7" t="str">
        <f>IF(ISNA(MATCH(927,'Transfer Engine'!$C$2:$C$1199,0)),"",INDEX('Compliance Database'!$D$2:$D$1199,MATCH(927,'Transfer Engine'!$C$2:$C$1199,0)))</f>
        <v/>
      </c>
      <c r="E936" s="6" t="str">
        <f>IF(ISNA(MATCH(927,'Transfer Engine'!$C$2:$C$1199,0)),"",INDEX('Compliance Database'!$E$2:$E$1199,MATCH(927,'Transfer Engine'!$C$2:$C$1199,0)))</f>
        <v/>
      </c>
      <c r="F936" s="6" t="str">
        <f>IF(ISNA(MATCH(927,'Transfer Engine'!$C$2:$C$1199,0)),"",INDEX('Compliance Database'!$F$2:$F$1199,MATCH(927,'Transfer Engine'!$C$2:$C$1199,0)))</f>
        <v/>
      </c>
      <c r="G936" s="6" t="str">
        <f>IF(ISNA(MATCH(927,'Transfer Engine'!$C$2:$C$1199,0)),"",INDEX('Compliance Database'!$G$2:$G$1199,MATCH(927,'Transfer Engine'!$C$2:$C$1199,0)))</f>
        <v/>
      </c>
      <c r="H936" s="7" t="str">
        <f>IF(ISNA(MATCH(927,'Transfer Engine'!$C$2:$C$1199,0)),"",INDEX('Compliance Database'!$H$2:$H$1199,MATCH(927,'Transfer Engine'!$C$2:$C$1199,0)))</f>
        <v/>
      </c>
      <c r="I936" s="7" t="str">
        <f>IF(ISNA(MATCH(927,'Transfer Engine'!$C$2:$C$1199,0)),"",INDEX('Compliance Database'!$I$2:$I$1199,MATCH(927,'Transfer Engine'!$C$2:$C$1199,0)))</f>
        <v/>
      </c>
      <c r="J936" s="6" t="str">
        <f>IF(ISNA(MATCH(927,'Transfer Engine'!$C$2:$C$1199,0)),"",INDEX('Compliance Database'!$J$2:$J$1199,MATCH(927,'Transfer Engine'!$C$2:$C$1199,0)))</f>
        <v/>
      </c>
      <c r="K936" s="7" t="str">
        <f>IF(ISNA(MATCH(927,'Transfer Engine'!$C$2:$C$1199,0)),"",INDEX('Compliance Database'!$K$2:$K$1199,MATCH(927,'Transfer Engine'!$C$2:$C$1199,0)))</f>
        <v/>
      </c>
      <c r="L936" s="7" t="str">
        <f>IF(ISNA(MATCH(927,'Transfer Engine'!$C$2:$C$1199,0)),"",INDEX('Compliance Database'!$L$2:$L$1199,MATCH(927,'Transfer Engine'!$C$2:$C$1199,0)))</f>
        <v/>
      </c>
      <c r="M936" s="7" t="str">
        <f>IF(ISNA(MATCH(927,'Transfer Engine'!$C$2:$C$1199,0)),"",INDEX('Compliance Database'!$M$2:$M$1199,MATCH(927,'Transfer Engine'!$C$2:$C$1199,0)))</f>
        <v/>
      </c>
      <c r="N936" s="7" t="str">
        <f>IF(ISNA(MATCH(927,'Transfer Engine'!$C$2:$C$1199,0)),"",INDEX('Compliance Database'!$N$2:$N$1199,MATCH(927,'Transfer Engine'!$C$2:$C$1199,0)))</f>
        <v/>
      </c>
      <c r="O936" s="7" t="str">
        <f>IF(ISNA(MATCH(927,'Transfer Engine'!$C$2:$C$1199,0)),"",INDEX('Compliance Database'!$O$2:$O$1199,MATCH(927,'Transfer Engine'!$C$2:$C$1199,0)))</f>
        <v/>
      </c>
      <c r="P936" s="6" t="str">
        <f>IF(ISNA(MATCH(927,'Transfer Engine'!$C$2:$C$1199,0)),"",HYPERLINK("#Acts!A"&amp;INDEX('Compliance Database'!$P$2:$P$1199,MATCH(927,'Transfer Engine'!$C$2:$C$1199,0)),"Go to Act"))</f>
        <v/>
      </c>
    </row>
    <row r="937" spans="1:16" ht="172.95" customHeight="1" x14ac:dyDescent="0.3">
      <c r="A937" s="6" t="str">
        <f>IF(ISNA(MATCH(928,'Transfer Engine'!$C$2:$C$1199,0)),"",INDEX('Compliance Database'!$A$2:$A$1199,MATCH(928,'Transfer Engine'!$C$2:$C$1199,0)))</f>
        <v/>
      </c>
      <c r="B937" s="6" t="str">
        <f>IF(ISNA(MATCH(928,'Transfer Engine'!$C$2:$C$1199,0)),"",INDEX('Compliance Database'!$B$2:$B$1199,MATCH(928,'Transfer Engine'!$C$2:$C$1199,0)))</f>
        <v/>
      </c>
      <c r="C937" s="6" t="str">
        <f>IF(ISNA(MATCH(928,'Transfer Engine'!$C$2:$C$1199,0)),"",INDEX('Compliance Database'!$C$2:$C$1199,MATCH(928,'Transfer Engine'!$C$2:$C$1199,0)))</f>
        <v/>
      </c>
      <c r="D937" s="7" t="str">
        <f>IF(ISNA(MATCH(928,'Transfer Engine'!$C$2:$C$1199,0)),"",INDEX('Compliance Database'!$D$2:$D$1199,MATCH(928,'Transfer Engine'!$C$2:$C$1199,0)))</f>
        <v/>
      </c>
      <c r="E937" s="6" t="str">
        <f>IF(ISNA(MATCH(928,'Transfer Engine'!$C$2:$C$1199,0)),"",INDEX('Compliance Database'!$E$2:$E$1199,MATCH(928,'Transfer Engine'!$C$2:$C$1199,0)))</f>
        <v/>
      </c>
      <c r="F937" s="6" t="str">
        <f>IF(ISNA(MATCH(928,'Transfer Engine'!$C$2:$C$1199,0)),"",INDEX('Compliance Database'!$F$2:$F$1199,MATCH(928,'Transfer Engine'!$C$2:$C$1199,0)))</f>
        <v/>
      </c>
      <c r="G937" s="6" t="str">
        <f>IF(ISNA(MATCH(928,'Transfer Engine'!$C$2:$C$1199,0)),"",INDEX('Compliance Database'!$G$2:$G$1199,MATCH(928,'Transfer Engine'!$C$2:$C$1199,0)))</f>
        <v/>
      </c>
      <c r="H937" s="7" t="str">
        <f>IF(ISNA(MATCH(928,'Transfer Engine'!$C$2:$C$1199,0)),"",INDEX('Compliance Database'!$H$2:$H$1199,MATCH(928,'Transfer Engine'!$C$2:$C$1199,0)))</f>
        <v/>
      </c>
      <c r="I937" s="7" t="str">
        <f>IF(ISNA(MATCH(928,'Transfer Engine'!$C$2:$C$1199,0)),"",INDEX('Compliance Database'!$I$2:$I$1199,MATCH(928,'Transfer Engine'!$C$2:$C$1199,0)))</f>
        <v/>
      </c>
      <c r="J937" s="6" t="str">
        <f>IF(ISNA(MATCH(928,'Transfer Engine'!$C$2:$C$1199,0)),"",INDEX('Compliance Database'!$J$2:$J$1199,MATCH(928,'Transfer Engine'!$C$2:$C$1199,0)))</f>
        <v/>
      </c>
      <c r="K937" s="7" t="str">
        <f>IF(ISNA(MATCH(928,'Transfer Engine'!$C$2:$C$1199,0)),"",INDEX('Compliance Database'!$K$2:$K$1199,MATCH(928,'Transfer Engine'!$C$2:$C$1199,0)))</f>
        <v/>
      </c>
      <c r="L937" s="7" t="str">
        <f>IF(ISNA(MATCH(928,'Transfer Engine'!$C$2:$C$1199,0)),"",INDEX('Compliance Database'!$L$2:$L$1199,MATCH(928,'Transfer Engine'!$C$2:$C$1199,0)))</f>
        <v/>
      </c>
      <c r="M937" s="7" t="str">
        <f>IF(ISNA(MATCH(928,'Transfer Engine'!$C$2:$C$1199,0)),"",INDEX('Compliance Database'!$M$2:$M$1199,MATCH(928,'Transfer Engine'!$C$2:$C$1199,0)))</f>
        <v/>
      </c>
      <c r="N937" s="7" t="str">
        <f>IF(ISNA(MATCH(928,'Transfer Engine'!$C$2:$C$1199,0)),"",INDEX('Compliance Database'!$N$2:$N$1199,MATCH(928,'Transfer Engine'!$C$2:$C$1199,0)))</f>
        <v/>
      </c>
      <c r="O937" s="7" t="str">
        <f>IF(ISNA(MATCH(928,'Transfer Engine'!$C$2:$C$1199,0)),"",INDEX('Compliance Database'!$O$2:$O$1199,MATCH(928,'Transfer Engine'!$C$2:$C$1199,0)))</f>
        <v/>
      </c>
      <c r="P937" s="6" t="str">
        <f>IF(ISNA(MATCH(928,'Transfer Engine'!$C$2:$C$1199,0)),"",HYPERLINK("#Acts!A"&amp;INDEX('Compliance Database'!$P$2:$P$1199,MATCH(928,'Transfer Engine'!$C$2:$C$1199,0)),"Go to Act"))</f>
        <v/>
      </c>
    </row>
    <row r="938" spans="1:16" ht="172.95" customHeight="1" x14ac:dyDescent="0.3">
      <c r="A938" s="6" t="str">
        <f>IF(ISNA(MATCH(929,'Transfer Engine'!$C$2:$C$1199,0)),"",INDEX('Compliance Database'!$A$2:$A$1199,MATCH(929,'Transfer Engine'!$C$2:$C$1199,0)))</f>
        <v/>
      </c>
      <c r="B938" s="6" t="str">
        <f>IF(ISNA(MATCH(929,'Transfer Engine'!$C$2:$C$1199,0)),"",INDEX('Compliance Database'!$B$2:$B$1199,MATCH(929,'Transfer Engine'!$C$2:$C$1199,0)))</f>
        <v/>
      </c>
      <c r="C938" s="6" t="str">
        <f>IF(ISNA(MATCH(929,'Transfer Engine'!$C$2:$C$1199,0)),"",INDEX('Compliance Database'!$C$2:$C$1199,MATCH(929,'Transfer Engine'!$C$2:$C$1199,0)))</f>
        <v/>
      </c>
      <c r="D938" s="7" t="str">
        <f>IF(ISNA(MATCH(929,'Transfer Engine'!$C$2:$C$1199,0)),"",INDEX('Compliance Database'!$D$2:$D$1199,MATCH(929,'Transfer Engine'!$C$2:$C$1199,0)))</f>
        <v/>
      </c>
      <c r="E938" s="6" t="str">
        <f>IF(ISNA(MATCH(929,'Transfer Engine'!$C$2:$C$1199,0)),"",INDEX('Compliance Database'!$E$2:$E$1199,MATCH(929,'Transfer Engine'!$C$2:$C$1199,0)))</f>
        <v/>
      </c>
      <c r="F938" s="6" t="str">
        <f>IF(ISNA(MATCH(929,'Transfer Engine'!$C$2:$C$1199,0)),"",INDEX('Compliance Database'!$F$2:$F$1199,MATCH(929,'Transfer Engine'!$C$2:$C$1199,0)))</f>
        <v/>
      </c>
      <c r="G938" s="6" t="str">
        <f>IF(ISNA(MATCH(929,'Transfer Engine'!$C$2:$C$1199,0)),"",INDEX('Compliance Database'!$G$2:$G$1199,MATCH(929,'Transfer Engine'!$C$2:$C$1199,0)))</f>
        <v/>
      </c>
      <c r="H938" s="7" t="str">
        <f>IF(ISNA(MATCH(929,'Transfer Engine'!$C$2:$C$1199,0)),"",INDEX('Compliance Database'!$H$2:$H$1199,MATCH(929,'Transfer Engine'!$C$2:$C$1199,0)))</f>
        <v/>
      </c>
      <c r="I938" s="7" t="str">
        <f>IF(ISNA(MATCH(929,'Transfer Engine'!$C$2:$C$1199,0)),"",INDEX('Compliance Database'!$I$2:$I$1199,MATCH(929,'Transfer Engine'!$C$2:$C$1199,0)))</f>
        <v/>
      </c>
      <c r="J938" s="6" t="str">
        <f>IF(ISNA(MATCH(929,'Transfer Engine'!$C$2:$C$1199,0)),"",INDEX('Compliance Database'!$J$2:$J$1199,MATCH(929,'Transfer Engine'!$C$2:$C$1199,0)))</f>
        <v/>
      </c>
      <c r="K938" s="7" t="str">
        <f>IF(ISNA(MATCH(929,'Transfer Engine'!$C$2:$C$1199,0)),"",INDEX('Compliance Database'!$K$2:$K$1199,MATCH(929,'Transfer Engine'!$C$2:$C$1199,0)))</f>
        <v/>
      </c>
      <c r="L938" s="7" t="str">
        <f>IF(ISNA(MATCH(929,'Transfer Engine'!$C$2:$C$1199,0)),"",INDEX('Compliance Database'!$L$2:$L$1199,MATCH(929,'Transfer Engine'!$C$2:$C$1199,0)))</f>
        <v/>
      </c>
      <c r="M938" s="7" t="str">
        <f>IF(ISNA(MATCH(929,'Transfer Engine'!$C$2:$C$1199,0)),"",INDEX('Compliance Database'!$M$2:$M$1199,MATCH(929,'Transfer Engine'!$C$2:$C$1199,0)))</f>
        <v/>
      </c>
      <c r="N938" s="7" t="str">
        <f>IF(ISNA(MATCH(929,'Transfer Engine'!$C$2:$C$1199,0)),"",INDEX('Compliance Database'!$N$2:$N$1199,MATCH(929,'Transfer Engine'!$C$2:$C$1199,0)))</f>
        <v/>
      </c>
      <c r="O938" s="7" t="str">
        <f>IF(ISNA(MATCH(929,'Transfer Engine'!$C$2:$C$1199,0)),"",INDEX('Compliance Database'!$O$2:$O$1199,MATCH(929,'Transfer Engine'!$C$2:$C$1199,0)))</f>
        <v/>
      </c>
      <c r="P938" s="6" t="str">
        <f>IF(ISNA(MATCH(929,'Transfer Engine'!$C$2:$C$1199,0)),"",HYPERLINK("#Acts!A"&amp;INDEX('Compliance Database'!$P$2:$P$1199,MATCH(929,'Transfer Engine'!$C$2:$C$1199,0)),"Go to Act"))</f>
        <v/>
      </c>
    </row>
    <row r="939" spans="1:16" ht="172.95" customHeight="1" x14ac:dyDescent="0.3">
      <c r="A939" s="6" t="str">
        <f>IF(ISNA(MATCH(930,'Transfer Engine'!$C$2:$C$1199,0)),"",INDEX('Compliance Database'!$A$2:$A$1199,MATCH(930,'Transfer Engine'!$C$2:$C$1199,0)))</f>
        <v/>
      </c>
      <c r="B939" s="6" t="str">
        <f>IF(ISNA(MATCH(930,'Transfer Engine'!$C$2:$C$1199,0)),"",INDEX('Compliance Database'!$B$2:$B$1199,MATCH(930,'Transfer Engine'!$C$2:$C$1199,0)))</f>
        <v/>
      </c>
      <c r="C939" s="6" t="str">
        <f>IF(ISNA(MATCH(930,'Transfer Engine'!$C$2:$C$1199,0)),"",INDEX('Compliance Database'!$C$2:$C$1199,MATCH(930,'Transfer Engine'!$C$2:$C$1199,0)))</f>
        <v/>
      </c>
      <c r="D939" s="7" t="str">
        <f>IF(ISNA(MATCH(930,'Transfer Engine'!$C$2:$C$1199,0)),"",INDEX('Compliance Database'!$D$2:$D$1199,MATCH(930,'Transfer Engine'!$C$2:$C$1199,0)))</f>
        <v/>
      </c>
      <c r="E939" s="6" t="str">
        <f>IF(ISNA(MATCH(930,'Transfer Engine'!$C$2:$C$1199,0)),"",INDEX('Compliance Database'!$E$2:$E$1199,MATCH(930,'Transfer Engine'!$C$2:$C$1199,0)))</f>
        <v/>
      </c>
      <c r="F939" s="6" t="str">
        <f>IF(ISNA(MATCH(930,'Transfer Engine'!$C$2:$C$1199,0)),"",INDEX('Compliance Database'!$F$2:$F$1199,MATCH(930,'Transfer Engine'!$C$2:$C$1199,0)))</f>
        <v/>
      </c>
      <c r="G939" s="6" t="str">
        <f>IF(ISNA(MATCH(930,'Transfer Engine'!$C$2:$C$1199,0)),"",INDEX('Compliance Database'!$G$2:$G$1199,MATCH(930,'Transfer Engine'!$C$2:$C$1199,0)))</f>
        <v/>
      </c>
      <c r="H939" s="7" t="str">
        <f>IF(ISNA(MATCH(930,'Transfer Engine'!$C$2:$C$1199,0)),"",INDEX('Compliance Database'!$H$2:$H$1199,MATCH(930,'Transfer Engine'!$C$2:$C$1199,0)))</f>
        <v/>
      </c>
      <c r="I939" s="7" t="str">
        <f>IF(ISNA(MATCH(930,'Transfer Engine'!$C$2:$C$1199,0)),"",INDEX('Compliance Database'!$I$2:$I$1199,MATCH(930,'Transfer Engine'!$C$2:$C$1199,0)))</f>
        <v/>
      </c>
      <c r="J939" s="6" t="str">
        <f>IF(ISNA(MATCH(930,'Transfer Engine'!$C$2:$C$1199,0)),"",INDEX('Compliance Database'!$J$2:$J$1199,MATCH(930,'Transfer Engine'!$C$2:$C$1199,0)))</f>
        <v/>
      </c>
      <c r="K939" s="7" t="str">
        <f>IF(ISNA(MATCH(930,'Transfer Engine'!$C$2:$C$1199,0)),"",INDEX('Compliance Database'!$K$2:$K$1199,MATCH(930,'Transfer Engine'!$C$2:$C$1199,0)))</f>
        <v/>
      </c>
      <c r="L939" s="7" t="str">
        <f>IF(ISNA(MATCH(930,'Transfer Engine'!$C$2:$C$1199,0)),"",INDEX('Compliance Database'!$L$2:$L$1199,MATCH(930,'Transfer Engine'!$C$2:$C$1199,0)))</f>
        <v/>
      </c>
      <c r="M939" s="7" t="str">
        <f>IF(ISNA(MATCH(930,'Transfer Engine'!$C$2:$C$1199,0)),"",INDEX('Compliance Database'!$M$2:$M$1199,MATCH(930,'Transfer Engine'!$C$2:$C$1199,0)))</f>
        <v/>
      </c>
      <c r="N939" s="7" t="str">
        <f>IF(ISNA(MATCH(930,'Transfer Engine'!$C$2:$C$1199,0)),"",INDEX('Compliance Database'!$N$2:$N$1199,MATCH(930,'Transfer Engine'!$C$2:$C$1199,0)))</f>
        <v/>
      </c>
      <c r="O939" s="7" t="str">
        <f>IF(ISNA(MATCH(930,'Transfer Engine'!$C$2:$C$1199,0)),"",INDEX('Compliance Database'!$O$2:$O$1199,MATCH(930,'Transfer Engine'!$C$2:$C$1199,0)))</f>
        <v/>
      </c>
      <c r="P939" s="6" t="str">
        <f>IF(ISNA(MATCH(930,'Transfer Engine'!$C$2:$C$1199,0)),"",HYPERLINK("#Acts!A"&amp;INDEX('Compliance Database'!$P$2:$P$1199,MATCH(930,'Transfer Engine'!$C$2:$C$1199,0)),"Go to Act"))</f>
        <v/>
      </c>
    </row>
    <row r="940" spans="1:16" ht="172.95" customHeight="1" x14ac:dyDescent="0.3">
      <c r="A940" s="6" t="str">
        <f>IF(ISNA(MATCH(931,'Transfer Engine'!$C$2:$C$1199,0)),"",INDEX('Compliance Database'!$A$2:$A$1199,MATCH(931,'Transfer Engine'!$C$2:$C$1199,0)))</f>
        <v/>
      </c>
      <c r="B940" s="6" t="str">
        <f>IF(ISNA(MATCH(931,'Transfer Engine'!$C$2:$C$1199,0)),"",INDEX('Compliance Database'!$B$2:$B$1199,MATCH(931,'Transfer Engine'!$C$2:$C$1199,0)))</f>
        <v/>
      </c>
      <c r="C940" s="6" t="str">
        <f>IF(ISNA(MATCH(931,'Transfer Engine'!$C$2:$C$1199,0)),"",INDEX('Compliance Database'!$C$2:$C$1199,MATCH(931,'Transfer Engine'!$C$2:$C$1199,0)))</f>
        <v/>
      </c>
      <c r="D940" s="7" t="str">
        <f>IF(ISNA(MATCH(931,'Transfer Engine'!$C$2:$C$1199,0)),"",INDEX('Compliance Database'!$D$2:$D$1199,MATCH(931,'Transfer Engine'!$C$2:$C$1199,0)))</f>
        <v/>
      </c>
      <c r="E940" s="6" t="str">
        <f>IF(ISNA(MATCH(931,'Transfer Engine'!$C$2:$C$1199,0)),"",INDEX('Compliance Database'!$E$2:$E$1199,MATCH(931,'Transfer Engine'!$C$2:$C$1199,0)))</f>
        <v/>
      </c>
      <c r="F940" s="6" t="str">
        <f>IF(ISNA(MATCH(931,'Transfer Engine'!$C$2:$C$1199,0)),"",INDEX('Compliance Database'!$F$2:$F$1199,MATCH(931,'Transfer Engine'!$C$2:$C$1199,0)))</f>
        <v/>
      </c>
      <c r="G940" s="6" t="str">
        <f>IF(ISNA(MATCH(931,'Transfer Engine'!$C$2:$C$1199,0)),"",INDEX('Compliance Database'!$G$2:$G$1199,MATCH(931,'Transfer Engine'!$C$2:$C$1199,0)))</f>
        <v/>
      </c>
      <c r="H940" s="7" t="str">
        <f>IF(ISNA(MATCH(931,'Transfer Engine'!$C$2:$C$1199,0)),"",INDEX('Compliance Database'!$H$2:$H$1199,MATCH(931,'Transfer Engine'!$C$2:$C$1199,0)))</f>
        <v/>
      </c>
      <c r="I940" s="7" t="str">
        <f>IF(ISNA(MATCH(931,'Transfer Engine'!$C$2:$C$1199,0)),"",INDEX('Compliance Database'!$I$2:$I$1199,MATCH(931,'Transfer Engine'!$C$2:$C$1199,0)))</f>
        <v/>
      </c>
      <c r="J940" s="6" t="str">
        <f>IF(ISNA(MATCH(931,'Transfer Engine'!$C$2:$C$1199,0)),"",INDEX('Compliance Database'!$J$2:$J$1199,MATCH(931,'Transfer Engine'!$C$2:$C$1199,0)))</f>
        <v/>
      </c>
      <c r="K940" s="7" t="str">
        <f>IF(ISNA(MATCH(931,'Transfer Engine'!$C$2:$C$1199,0)),"",INDEX('Compliance Database'!$K$2:$K$1199,MATCH(931,'Transfer Engine'!$C$2:$C$1199,0)))</f>
        <v/>
      </c>
      <c r="L940" s="7" t="str">
        <f>IF(ISNA(MATCH(931,'Transfer Engine'!$C$2:$C$1199,0)),"",INDEX('Compliance Database'!$L$2:$L$1199,MATCH(931,'Transfer Engine'!$C$2:$C$1199,0)))</f>
        <v/>
      </c>
      <c r="M940" s="7" t="str">
        <f>IF(ISNA(MATCH(931,'Transfer Engine'!$C$2:$C$1199,0)),"",INDEX('Compliance Database'!$M$2:$M$1199,MATCH(931,'Transfer Engine'!$C$2:$C$1199,0)))</f>
        <v/>
      </c>
      <c r="N940" s="7" t="str">
        <f>IF(ISNA(MATCH(931,'Transfer Engine'!$C$2:$C$1199,0)),"",INDEX('Compliance Database'!$N$2:$N$1199,MATCH(931,'Transfer Engine'!$C$2:$C$1199,0)))</f>
        <v/>
      </c>
      <c r="O940" s="7" t="str">
        <f>IF(ISNA(MATCH(931,'Transfer Engine'!$C$2:$C$1199,0)),"",INDEX('Compliance Database'!$O$2:$O$1199,MATCH(931,'Transfer Engine'!$C$2:$C$1199,0)))</f>
        <v/>
      </c>
      <c r="P940" s="6" t="str">
        <f>IF(ISNA(MATCH(931,'Transfer Engine'!$C$2:$C$1199,0)),"",HYPERLINK("#Acts!A"&amp;INDEX('Compliance Database'!$P$2:$P$1199,MATCH(931,'Transfer Engine'!$C$2:$C$1199,0)),"Go to Act"))</f>
        <v/>
      </c>
    </row>
    <row r="941" spans="1:16" ht="172.95" customHeight="1" x14ac:dyDescent="0.3">
      <c r="A941" s="6" t="str">
        <f>IF(ISNA(MATCH(932,'Transfer Engine'!$C$2:$C$1199,0)),"",INDEX('Compliance Database'!$A$2:$A$1199,MATCH(932,'Transfer Engine'!$C$2:$C$1199,0)))</f>
        <v/>
      </c>
      <c r="B941" s="6" t="str">
        <f>IF(ISNA(MATCH(932,'Transfer Engine'!$C$2:$C$1199,0)),"",INDEX('Compliance Database'!$B$2:$B$1199,MATCH(932,'Transfer Engine'!$C$2:$C$1199,0)))</f>
        <v/>
      </c>
      <c r="C941" s="6" t="str">
        <f>IF(ISNA(MATCH(932,'Transfer Engine'!$C$2:$C$1199,0)),"",INDEX('Compliance Database'!$C$2:$C$1199,MATCH(932,'Transfer Engine'!$C$2:$C$1199,0)))</f>
        <v/>
      </c>
      <c r="D941" s="7" t="str">
        <f>IF(ISNA(MATCH(932,'Transfer Engine'!$C$2:$C$1199,0)),"",INDEX('Compliance Database'!$D$2:$D$1199,MATCH(932,'Transfer Engine'!$C$2:$C$1199,0)))</f>
        <v/>
      </c>
      <c r="E941" s="6" t="str">
        <f>IF(ISNA(MATCH(932,'Transfer Engine'!$C$2:$C$1199,0)),"",INDEX('Compliance Database'!$E$2:$E$1199,MATCH(932,'Transfer Engine'!$C$2:$C$1199,0)))</f>
        <v/>
      </c>
      <c r="F941" s="6" t="str">
        <f>IF(ISNA(MATCH(932,'Transfer Engine'!$C$2:$C$1199,0)),"",INDEX('Compliance Database'!$F$2:$F$1199,MATCH(932,'Transfer Engine'!$C$2:$C$1199,0)))</f>
        <v/>
      </c>
      <c r="G941" s="6" t="str">
        <f>IF(ISNA(MATCH(932,'Transfer Engine'!$C$2:$C$1199,0)),"",INDEX('Compliance Database'!$G$2:$G$1199,MATCH(932,'Transfer Engine'!$C$2:$C$1199,0)))</f>
        <v/>
      </c>
      <c r="H941" s="7" t="str">
        <f>IF(ISNA(MATCH(932,'Transfer Engine'!$C$2:$C$1199,0)),"",INDEX('Compliance Database'!$H$2:$H$1199,MATCH(932,'Transfer Engine'!$C$2:$C$1199,0)))</f>
        <v/>
      </c>
      <c r="I941" s="7" t="str">
        <f>IF(ISNA(MATCH(932,'Transfer Engine'!$C$2:$C$1199,0)),"",INDEX('Compliance Database'!$I$2:$I$1199,MATCH(932,'Transfer Engine'!$C$2:$C$1199,0)))</f>
        <v/>
      </c>
      <c r="J941" s="6" t="str">
        <f>IF(ISNA(MATCH(932,'Transfer Engine'!$C$2:$C$1199,0)),"",INDEX('Compliance Database'!$J$2:$J$1199,MATCH(932,'Transfer Engine'!$C$2:$C$1199,0)))</f>
        <v/>
      </c>
      <c r="K941" s="7" t="str">
        <f>IF(ISNA(MATCH(932,'Transfer Engine'!$C$2:$C$1199,0)),"",INDEX('Compliance Database'!$K$2:$K$1199,MATCH(932,'Transfer Engine'!$C$2:$C$1199,0)))</f>
        <v/>
      </c>
      <c r="L941" s="7" t="str">
        <f>IF(ISNA(MATCH(932,'Transfer Engine'!$C$2:$C$1199,0)),"",INDEX('Compliance Database'!$L$2:$L$1199,MATCH(932,'Transfer Engine'!$C$2:$C$1199,0)))</f>
        <v/>
      </c>
      <c r="M941" s="7" t="str">
        <f>IF(ISNA(MATCH(932,'Transfer Engine'!$C$2:$C$1199,0)),"",INDEX('Compliance Database'!$M$2:$M$1199,MATCH(932,'Transfer Engine'!$C$2:$C$1199,0)))</f>
        <v/>
      </c>
      <c r="N941" s="7" t="str">
        <f>IF(ISNA(MATCH(932,'Transfer Engine'!$C$2:$C$1199,0)),"",INDEX('Compliance Database'!$N$2:$N$1199,MATCH(932,'Transfer Engine'!$C$2:$C$1199,0)))</f>
        <v/>
      </c>
      <c r="O941" s="7" t="str">
        <f>IF(ISNA(MATCH(932,'Transfer Engine'!$C$2:$C$1199,0)),"",INDEX('Compliance Database'!$O$2:$O$1199,MATCH(932,'Transfer Engine'!$C$2:$C$1199,0)))</f>
        <v/>
      </c>
      <c r="P941" s="6" t="str">
        <f>IF(ISNA(MATCH(932,'Transfer Engine'!$C$2:$C$1199,0)),"",HYPERLINK("#Acts!A"&amp;INDEX('Compliance Database'!$P$2:$P$1199,MATCH(932,'Transfer Engine'!$C$2:$C$1199,0)),"Go to Act"))</f>
        <v/>
      </c>
    </row>
    <row r="942" spans="1:16" ht="172.95" customHeight="1" x14ac:dyDescent="0.3">
      <c r="A942" s="6" t="str">
        <f>IF(ISNA(MATCH(933,'Transfer Engine'!$C$2:$C$1199,0)),"",INDEX('Compliance Database'!$A$2:$A$1199,MATCH(933,'Transfer Engine'!$C$2:$C$1199,0)))</f>
        <v/>
      </c>
      <c r="B942" s="6" t="str">
        <f>IF(ISNA(MATCH(933,'Transfer Engine'!$C$2:$C$1199,0)),"",INDEX('Compliance Database'!$B$2:$B$1199,MATCH(933,'Transfer Engine'!$C$2:$C$1199,0)))</f>
        <v/>
      </c>
      <c r="C942" s="6" t="str">
        <f>IF(ISNA(MATCH(933,'Transfer Engine'!$C$2:$C$1199,0)),"",INDEX('Compliance Database'!$C$2:$C$1199,MATCH(933,'Transfer Engine'!$C$2:$C$1199,0)))</f>
        <v/>
      </c>
      <c r="D942" s="7" t="str">
        <f>IF(ISNA(MATCH(933,'Transfer Engine'!$C$2:$C$1199,0)),"",INDEX('Compliance Database'!$D$2:$D$1199,MATCH(933,'Transfer Engine'!$C$2:$C$1199,0)))</f>
        <v/>
      </c>
      <c r="E942" s="6" t="str">
        <f>IF(ISNA(MATCH(933,'Transfer Engine'!$C$2:$C$1199,0)),"",INDEX('Compliance Database'!$E$2:$E$1199,MATCH(933,'Transfer Engine'!$C$2:$C$1199,0)))</f>
        <v/>
      </c>
      <c r="F942" s="6" t="str">
        <f>IF(ISNA(MATCH(933,'Transfer Engine'!$C$2:$C$1199,0)),"",INDEX('Compliance Database'!$F$2:$F$1199,MATCH(933,'Transfer Engine'!$C$2:$C$1199,0)))</f>
        <v/>
      </c>
      <c r="G942" s="6" t="str">
        <f>IF(ISNA(MATCH(933,'Transfer Engine'!$C$2:$C$1199,0)),"",INDEX('Compliance Database'!$G$2:$G$1199,MATCH(933,'Transfer Engine'!$C$2:$C$1199,0)))</f>
        <v/>
      </c>
      <c r="H942" s="7" t="str">
        <f>IF(ISNA(MATCH(933,'Transfer Engine'!$C$2:$C$1199,0)),"",INDEX('Compliance Database'!$H$2:$H$1199,MATCH(933,'Transfer Engine'!$C$2:$C$1199,0)))</f>
        <v/>
      </c>
      <c r="I942" s="7" t="str">
        <f>IF(ISNA(MATCH(933,'Transfer Engine'!$C$2:$C$1199,0)),"",INDEX('Compliance Database'!$I$2:$I$1199,MATCH(933,'Transfer Engine'!$C$2:$C$1199,0)))</f>
        <v/>
      </c>
      <c r="J942" s="6" t="str">
        <f>IF(ISNA(MATCH(933,'Transfer Engine'!$C$2:$C$1199,0)),"",INDEX('Compliance Database'!$J$2:$J$1199,MATCH(933,'Transfer Engine'!$C$2:$C$1199,0)))</f>
        <v/>
      </c>
      <c r="K942" s="7" t="str">
        <f>IF(ISNA(MATCH(933,'Transfer Engine'!$C$2:$C$1199,0)),"",INDEX('Compliance Database'!$K$2:$K$1199,MATCH(933,'Transfer Engine'!$C$2:$C$1199,0)))</f>
        <v/>
      </c>
      <c r="L942" s="7" t="str">
        <f>IF(ISNA(MATCH(933,'Transfer Engine'!$C$2:$C$1199,0)),"",INDEX('Compliance Database'!$L$2:$L$1199,MATCH(933,'Transfer Engine'!$C$2:$C$1199,0)))</f>
        <v/>
      </c>
      <c r="M942" s="7" t="str">
        <f>IF(ISNA(MATCH(933,'Transfer Engine'!$C$2:$C$1199,0)),"",INDEX('Compliance Database'!$M$2:$M$1199,MATCH(933,'Transfer Engine'!$C$2:$C$1199,0)))</f>
        <v/>
      </c>
      <c r="N942" s="7" t="str">
        <f>IF(ISNA(MATCH(933,'Transfer Engine'!$C$2:$C$1199,0)),"",INDEX('Compliance Database'!$N$2:$N$1199,MATCH(933,'Transfer Engine'!$C$2:$C$1199,0)))</f>
        <v/>
      </c>
      <c r="O942" s="7" t="str">
        <f>IF(ISNA(MATCH(933,'Transfer Engine'!$C$2:$C$1199,0)),"",INDEX('Compliance Database'!$O$2:$O$1199,MATCH(933,'Transfer Engine'!$C$2:$C$1199,0)))</f>
        <v/>
      </c>
      <c r="P942" s="6" t="str">
        <f>IF(ISNA(MATCH(933,'Transfer Engine'!$C$2:$C$1199,0)),"",HYPERLINK("#Acts!A"&amp;INDEX('Compliance Database'!$P$2:$P$1199,MATCH(933,'Transfer Engine'!$C$2:$C$1199,0)),"Go to Act"))</f>
        <v/>
      </c>
    </row>
    <row r="943" spans="1:16" ht="172.95" customHeight="1" x14ac:dyDescent="0.3">
      <c r="A943" s="6" t="str">
        <f>IF(ISNA(MATCH(934,'Transfer Engine'!$C$2:$C$1199,0)),"",INDEX('Compliance Database'!$A$2:$A$1199,MATCH(934,'Transfer Engine'!$C$2:$C$1199,0)))</f>
        <v/>
      </c>
      <c r="B943" s="6" t="str">
        <f>IF(ISNA(MATCH(934,'Transfer Engine'!$C$2:$C$1199,0)),"",INDEX('Compliance Database'!$B$2:$B$1199,MATCH(934,'Transfer Engine'!$C$2:$C$1199,0)))</f>
        <v/>
      </c>
      <c r="C943" s="6" t="str">
        <f>IF(ISNA(MATCH(934,'Transfer Engine'!$C$2:$C$1199,0)),"",INDEX('Compliance Database'!$C$2:$C$1199,MATCH(934,'Transfer Engine'!$C$2:$C$1199,0)))</f>
        <v/>
      </c>
      <c r="D943" s="7" t="str">
        <f>IF(ISNA(MATCH(934,'Transfer Engine'!$C$2:$C$1199,0)),"",INDEX('Compliance Database'!$D$2:$D$1199,MATCH(934,'Transfer Engine'!$C$2:$C$1199,0)))</f>
        <v/>
      </c>
      <c r="E943" s="6" t="str">
        <f>IF(ISNA(MATCH(934,'Transfer Engine'!$C$2:$C$1199,0)),"",INDEX('Compliance Database'!$E$2:$E$1199,MATCH(934,'Transfer Engine'!$C$2:$C$1199,0)))</f>
        <v/>
      </c>
      <c r="F943" s="6" t="str">
        <f>IF(ISNA(MATCH(934,'Transfer Engine'!$C$2:$C$1199,0)),"",INDEX('Compliance Database'!$F$2:$F$1199,MATCH(934,'Transfer Engine'!$C$2:$C$1199,0)))</f>
        <v/>
      </c>
      <c r="G943" s="6" t="str">
        <f>IF(ISNA(MATCH(934,'Transfer Engine'!$C$2:$C$1199,0)),"",INDEX('Compliance Database'!$G$2:$G$1199,MATCH(934,'Transfer Engine'!$C$2:$C$1199,0)))</f>
        <v/>
      </c>
      <c r="H943" s="7" t="str">
        <f>IF(ISNA(MATCH(934,'Transfer Engine'!$C$2:$C$1199,0)),"",INDEX('Compliance Database'!$H$2:$H$1199,MATCH(934,'Transfer Engine'!$C$2:$C$1199,0)))</f>
        <v/>
      </c>
      <c r="I943" s="7" t="str">
        <f>IF(ISNA(MATCH(934,'Transfer Engine'!$C$2:$C$1199,0)),"",INDEX('Compliance Database'!$I$2:$I$1199,MATCH(934,'Transfer Engine'!$C$2:$C$1199,0)))</f>
        <v/>
      </c>
      <c r="J943" s="6" t="str">
        <f>IF(ISNA(MATCH(934,'Transfer Engine'!$C$2:$C$1199,0)),"",INDEX('Compliance Database'!$J$2:$J$1199,MATCH(934,'Transfer Engine'!$C$2:$C$1199,0)))</f>
        <v/>
      </c>
      <c r="K943" s="7" t="str">
        <f>IF(ISNA(MATCH(934,'Transfer Engine'!$C$2:$C$1199,0)),"",INDEX('Compliance Database'!$K$2:$K$1199,MATCH(934,'Transfer Engine'!$C$2:$C$1199,0)))</f>
        <v/>
      </c>
      <c r="L943" s="7" t="str">
        <f>IF(ISNA(MATCH(934,'Transfer Engine'!$C$2:$C$1199,0)),"",INDEX('Compliance Database'!$L$2:$L$1199,MATCH(934,'Transfer Engine'!$C$2:$C$1199,0)))</f>
        <v/>
      </c>
      <c r="M943" s="7" t="str">
        <f>IF(ISNA(MATCH(934,'Transfer Engine'!$C$2:$C$1199,0)),"",INDEX('Compliance Database'!$M$2:$M$1199,MATCH(934,'Transfer Engine'!$C$2:$C$1199,0)))</f>
        <v/>
      </c>
      <c r="N943" s="7" t="str">
        <f>IF(ISNA(MATCH(934,'Transfer Engine'!$C$2:$C$1199,0)),"",INDEX('Compliance Database'!$N$2:$N$1199,MATCH(934,'Transfer Engine'!$C$2:$C$1199,0)))</f>
        <v/>
      </c>
      <c r="O943" s="7" t="str">
        <f>IF(ISNA(MATCH(934,'Transfer Engine'!$C$2:$C$1199,0)),"",INDEX('Compliance Database'!$O$2:$O$1199,MATCH(934,'Transfer Engine'!$C$2:$C$1199,0)))</f>
        <v/>
      </c>
      <c r="P943" s="6" t="str">
        <f>IF(ISNA(MATCH(934,'Transfer Engine'!$C$2:$C$1199,0)),"",HYPERLINK("#Acts!A"&amp;INDEX('Compliance Database'!$P$2:$P$1199,MATCH(934,'Transfer Engine'!$C$2:$C$1199,0)),"Go to Act"))</f>
        <v/>
      </c>
    </row>
    <row r="944" spans="1:16" ht="172.95" customHeight="1" x14ac:dyDescent="0.3">
      <c r="A944" s="6" t="str">
        <f>IF(ISNA(MATCH(935,'Transfer Engine'!$C$2:$C$1199,0)),"",INDEX('Compliance Database'!$A$2:$A$1199,MATCH(935,'Transfer Engine'!$C$2:$C$1199,0)))</f>
        <v/>
      </c>
      <c r="B944" s="6" t="str">
        <f>IF(ISNA(MATCH(935,'Transfer Engine'!$C$2:$C$1199,0)),"",INDEX('Compliance Database'!$B$2:$B$1199,MATCH(935,'Transfer Engine'!$C$2:$C$1199,0)))</f>
        <v/>
      </c>
      <c r="C944" s="6" t="str">
        <f>IF(ISNA(MATCH(935,'Transfer Engine'!$C$2:$C$1199,0)),"",INDEX('Compliance Database'!$C$2:$C$1199,MATCH(935,'Transfer Engine'!$C$2:$C$1199,0)))</f>
        <v/>
      </c>
      <c r="D944" s="7" t="str">
        <f>IF(ISNA(MATCH(935,'Transfer Engine'!$C$2:$C$1199,0)),"",INDEX('Compliance Database'!$D$2:$D$1199,MATCH(935,'Transfer Engine'!$C$2:$C$1199,0)))</f>
        <v/>
      </c>
      <c r="E944" s="6" t="str">
        <f>IF(ISNA(MATCH(935,'Transfer Engine'!$C$2:$C$1199,0)),"",INDEX('Compliance Database'!$E$2:$E$1199,MATCH(935,'Transfer Engine'!$C$2:$C$1199,0)))</f>
        <v/>
      </c>
      <c r="F944" s="6" t="str">
        <f>IF(ISNA(MATCH(935,'Transfer Engine'!$C$2:$C$1199,0)),"",INDEX('Compliance Database'!$F$2:$F$1199,MATCH(935,'Transfer Engine'!$C$2:$C$1199,0)))</f>
        <v/>
      </c>
      <c r="G944" s="6" t="str">
        <f>IF(ISNA(MATCH(935,'Transfer Engine'!$C$2:$C$1199,0)),"",INDEX('Compliance Database'!$G$2:$G$1199,MATCH(935,'Transfer Engine'!$C$2:$C$1199,0)))</f>
        <v/>
      </c>
      <c r="H944" s="7" t="str">
        <f>IF(ISNA(MATCH(935,'Transfer Engine'!$C$2:$C$1199,0)),"",INDEX('Compliance Database'!$H$2:$H$1199,MATCH(935,'Transfer Engine'!$C$2:$C$1199,0)))</f>
        <v/>
      </c>
      <c r="I944" s="7" t="str">
        <f>IF(ISNA(MATCH(935,'Transfer Engine'!$C$2:$C$1199,0)),"",INDEX('Compliance Database'!$I$2:$I$1199,MATCH(935,'Transfer Engine'!$C$2:$C$1199,0)))</f>
        <v/>
      </c>
      <c r="J944" s="6" t="str">
        <f>IF(ISNA(MATCH(935,'Transfer Engine'!$C$2:$C$1199,0)),"",INDEX('Compliance Database'!$J$2:$J$1199,MATCH(935,'Transfer Engine'!$C$2:$C$1199,0)))</f>
        <v/>
      </c>
      <c r="K944" s="7" t="str">
        <f>IF(ISNA(MATCH(935,'Transfer Engine'!$C$2:$C$1199,0)),"",INDEX('Compliance Database'!$K$2:$K$1199,MATCH(935,'Transfer Engine'!$C$2:$C$1199,0)))</f>
        <v/>
      </c>
      <c r="L944" s="7" t="str">
        <f>IF(ISNA(MATCH(935,'Transfer Engine'!$C$2:$C$1199,0)),"",INDEX('Compliance Database'!$L$2:$L$1199,MATCH(935,'Transfer Engine'!$C$2:$C$1199,0)))</f>
        <v/>
      </c>
      <c r="M944" s="7" t="str">
        <f>IF(ISNA(MATCH(935,'Transfer Engine'!$C$2:$C$1199,0)),"",INDEX('Compliance Database'!$M$2:$M$1199,MATCH(935,'Transfer Engine'!$C$2:$C$1199,0)))</f>
        <v/>
      </c>
      <c r="N944" s="7" t="str">
        <f>IF(ISNA(MATCH(935,'Transfer Engine'!$C$2:$C$1199,0)),"",INDEX('Compliance Database'!$N$2:$N$1199,MATCH(935,'Transfer Engine'!$C$2:$C$1199,0)))</f>
        <v/>
      </c>
      <c r="O944" s="7" t="str">
        <f>IF(ISNA(MATCH(935,'Transfer Engine'!$C$2:$C$1199,0)),"",INDEX('Compliance Database'!$O$2:$O$1199,MATCH(935,'Transfer Engine'!$C$2:$C$1199,0)))</f>
        <v/>
      </c>
      <c r="P944" s="6" t="str">
        <f>IF(ISNA(MATCH(935,'Transfer Engine'!$C$2:$C$1199,0)),"",HYPERLINK("#Acts!A"&amp;INDEX('Compliance Database'!$P$2:$P$1199,MATCH(935,'Transfer Engine'!$C$2:$C$1199,0)),"Go to Act"))</f>
        <v/>
      </c>
    </row>
    <row r="945" spans="1:16" ht="172.95" customHeight="1" x14ac:dyDescent="0.3">
      <c r="A945" s="6" t="str">
        <f>IF(ISNA(MATCH(936,'Transfer Engine'!$C$2:$C$1199,0)),"",INDEX('Compliance Database'!$A$2:$A$1199,MATCH(936,'Transfer Engine'!$C$2:$C$1199,0)))</f>
        <v/>
      </c>
      <c r="B945" s="6" t="str">
        <f>IF(ISNA(MATCH(936,'Transfer Engine'!$C$2:$C$1199,0)),"",INDEX('Compliance Database'!$B$2:$B$1199,MATCH(936,'Transfer Engine'!$C$2:$C$1199,0)))</f>
        <v/>
      </c>
      <c r="C945" s="6" t="str">
        <f>IF(ISNA(MATCH(936,'Transfer Engine'!$C$2:$C$1199,0)),"",INDEX('Compliance Database'!$C$2:$C$1199,MATCH(936,'Transfer Engine'!$C$2:$C$1199,0)))</f>
        <v/>
      </c>
      <c r="D945" s="7" t="str">
        <f>IF(ISNA(MATCH(936,'Transfer Engine'!$C$2:$C$1199,0)),"",INDEX('Compliance Database'!$D$2:$D$1199,MATCH(936,'Transfer Engine'!$C$2:$C$1199,0)))</f>
        <v/>
      </c>
      <c r="E945" s="6" t="str">
        <f>IF(ISNA(MATCH(936,'Transfer Engine'!$C$2:$C$1199,0)),"",INDEX('Compliance Database'!$E$2:$E$1199,MATCH(936,'Transfer Engine'!$C$2:$C$1199,0)))</f>
        <v/>
      </c>
      <c r="F945" s="6" t="str">
        <f>IF(ISNA(MATCH(936,'Transfer Engine'!$C$2:$C$1199,0)),"",INDEX('Compliance Database'!$F$2:$F$1199,MATCH(936,'Transfer Engine'!$C$2:$C$1199,0)))</f>
        <v/>
      </c>
      <c r="G945" s="6" t="str">
        <f>IF(ISNA(MATCH(936,'Transfer Engine'!$C$2:$C$1199,0)),"",INDEX('Compliance Database'!$G$2:$G$1199,MATCH(936,'Transfer Engine'!$C$2:$C$1199,0)))</f>
        <v/>
      </c>
      <c r="H945" s="7" t="str">
        <f>IF(ISNA(MATCH(936,'Transfer Engine'!$C$2:$C$1199,0)),"",INDEX('Compliance Database'!$H$2:$H$1199,MATCH(936,'Transfer Engine'!$C$2:$C$1199,0)))</f>
        <v/>
      </c>
      <c r="I945" s="7" t="str">
        <f>IF(ISNA(MATCH(936,'Transfer Engine'!$C$2:$C$1199,0)),"",INDEX('Compliance Database'!$I$2:$I$1199,MATCH(936,'Transfer Engine'!$C$2:$C$1199,0)))</f>
        <v/>
      </c>
      <c r="J945" s="6" t="str">
        <f>IF(ISNA(MATCH(936,'Transfer Engine'!$C$2:$C$1199,0)),"",INDEX('Compliance Database'!$J$2:$J$1199,MATCH(936,'Transfer Engine'!$C$2:$C$1199,0)))</f>
        <v/>
      </c>
      <c r="K945" s="7" t="str">
        <f>IF(ISNA(MATCH(936,'Transfer Engine'!$C$2:$C$1199,0)),"",INDEX('Compliance Database'!$K$2:$K$1199,MATCH(936,'Transfer Engine'!$C$2:$C$1199,0)))</f>
        <v/>
      </c>
      <c r="L945" s="7" t="str">
        <f>IF(ISNA(MATCH(936,'Transfer Engine'!$C$2:$C$1199,0)),"",INDEX('Compliance Database'!$L$2:$L$1199,MATCH(936,'Transfer Engine'!$C$2:$C$1199,0)))</f>
        <v/>
      </c>
      <c r="M945" s="7" t="str">
        <f>IF(ISNA(MATCH(936,'Transfer Engine'!$C$2:$C$1199,0)),"",INDEX('Compliance Database'!$M$2:$M$1199,MATCH(936,'Transfer Engine'!$C$2:$C$1199,0)))</f>
        <v/>
      </c>
      <c r="N945" s="7" t="str">
        <f>IF(ISNA(MATCH(936,'Transfer Engine'!$C$2:$C$1199,0)),"",INDEX('Compliance Database'!$N$2:$N$1199,MATCH(936,'Transfer Engine'!$C$2:$C$1199,0)))</f>
        <v/>
      </c>
      <c r="O945" s="7" t="str">
        <f>IF(ISNA(MATCH(936,'Transfer Engine'!$C$2:$C$1199,0)),"",INDEX('Compliance Database'!$O$2:$O$1199,MATCH(936,'Transfer Engine'!$C$2:$C$1199,0)))</f>
        <v/>
      </c>
      <c r="P945" s="6" t="str">
        <f>IF(ISNA(MATCH(936,'Transfer Engine'!$C$2:$C$1199,0)),"",HYPERLINK("#Acts!A"&amp;INDEX('Compliance Database'!$P$2:$P$1199,MATCH(936,'Transfer Engine'!$C$2:$C$1199,0)),"Go to Act"))</f>
        <v/>
      </c>
    </row>
    <row r="946" spans="1:16" ht="172.95" customHeight="1" x14ac:dyDescent="0.3">
      <c r="A946" s="6" t="str">
        <f>IF(ISNA(MATCH(937,'Transfer Engine'!$C$2:$C$1199,0)),"",INDEX('Compliance Database'!$A$2:$A$1199,MATCH(937,'Transfer Engine'!$C$2:$C$1199,0)))</f>
        <v/>
      </c>
      <c r="B946" s="6" t="str">
        <f>IF(ISNA(MATCH(937,'Transfer Engine'!$C$2:$C$1199,0)),"",INDEX('Compliance Database'!$B$2:$B$1199,MATCH(937,'Transfer Engine'!$C$2:$C$1199,0)))</f>
        <v/>
      </c>
      <c r="C946" s="6" t="str">
        <f>IF(ISNA(MATCH(937,'Transfer Engine'!$C$2:$C$1199,0)),"",INDEX('Compliance Database'!$C$2:$C$1199,MATCH(937,'Transfer Engine'!$C$2:$C$1199,0)))</f>
        <v/>
      </c>
      <c r="D946" s="7" t="str">
        <f>IF(ISNA(MATCH(937,'Transfer Engine'!$C$2:$C$1199,0)),"",INDEX('Compliance Database'!$D$2:$D$1199,MATCH(937,'Transfer Engine'!$C$2:$C$1199,0)))</f>
        <v/>
      </c>
      <c r="E946" s="6" t="str">
        <f>IF(ISNA(MATCH(937,'Transfer Engine'!$C$2:$C$1199,0)),"",INDEX('Compliance Database'!$E$2:$E$1199,MATCH(937,'Transfer Engine'!$C$2:$C$1199,0)))</f>
        <v/>
      </c>
      <c r="F946" s="6" t="str">
        <f>IF(ISNA(MATCH(937,'Transfer Engine'!$C$2:$C$1199,0)),"",INDEX('Compliance Database'!$F$2:$F$1199,MATCH(937,'Transfer Engine'!$C$2:$C$1199,0)))</f>
        <v/>
      </c>
      <c r="G946" s="6" t="str">
        <f>IF(ISNA(MATCH(937,'Transfer Engine'!$C$2:$C$1199,0)),"",INDEX('Compliance Database'!$G$2:$G$1199,MATCH(937,'Transfer Engine'!$C$2:$C$1199,0)))</f>
        <v/>
      </c>
      <c r="H946" s="7" t="str">
        <f>IF(ISNA(MATCH(937,'Transfer Engine'!$C$2:$C$1199,0)),"",INDEX('Compliance Database'!$H$2:$H$1199,MATCH(937,'Transfer Engine'!$C$2:$C$1199,0)))</f>
        <v/>
      </c>
      <c r="I946" s="7" t="str">
        <f>IF(ISNA(MATCH(937,'Transfer Engine'!$C$2:$C$1199,0)),"",INDEX('Compliance Database'!$I$2:$I$1199,MATCH(937,'Transfer Engine'!$C$2:$C$1199,0)))</f>
        <v/>
      </c>
      <c r="J946" s="6" t="str">
        <f>IF(ISNA(MATCH(937,'Transfer Engine'!$C$2:$C$1199,0)),"",INDEX('Compliance Database'!$J$2:$J$1199,MATCH(937,'Transfer Engine'!$C$2:$C$1199,0)))</f>
        <v/>
      </c>
      <c r="K946" s="7" t="str">
        <f>IF(ISNA(MATCH(937,'Transfer Engine'!$C$2:$C$1199,0)),"",INDEX('Compliance Database'!$K$2:$K$1199,MATCH(937,'Transfer Engine'!$C$2:$C$1199,0)))</f>
        <v/>
      </c>
      <c r="L946" s="7" t="str">
        <f>IF(ISNA(MATCH(937,'Transfer Engine'!$C$2:$C$1199,0)),"",INDEX('Compliance Database'!$L$2:$L$1199,MATCH(937,'Transfer Engine'!$C$2:$C$1199,0)))</f>
        <v/>
      </c>
      <c r="M946" s="7" t="str">
        <f>IF(ISNA(MATCH(937,'Transfer Engine'!$C$2:$C$1199,0)),"",INDEX('Compliance Database'!$M$2:$M$1199,MATCH(937,'Transfer Engine'!$C$2:$C$1199,0)))</f>
        <v/>
      </c>
      <c r="N946" s="7" t="str">
        <f>IF(ISNA(MATCH(937,'Transfer Engine'!$C$2:$C$1199,0)),"",INDEX('Compliance Database'!$N$2:$N$1199,MATCH(937,'Transfer Engine'!$C$2:$C$1199,0)))</f>
        <v/>
      </c>
      <c r="O946" s="7" t="str">
        <f>IF(ISNA(MATCH(937,'Transfer Engine'!$C$2:$C$1199,0)),"",INDEX('Compliance Database'!$O$2:$O$1199,MATCH(937,'Transfer Engine'!$C$2:$C$1199,0)))</f>
        <v/>
      </c>
      <c r="P946" s="6" t="str">
        <f>IF(ISNA(MATCH(937,'Transfer Engine'!$C$2:$C$1199,0)),"",HYPERLINK("#Acts!A"&amp;INDEX('Compliance Database'!$P$2:$P$1199,MATCH(937,'Transfer Engine'!$C$2:$C$1199,0)),"Go to Act"))</f>
        <v/>
      </c>
    </row>
    <row r="947" spans="1:16" ht="172.95" customHeight="1" x14ac:dyDescent="0.3">
      <c r="A947" s="6" t="str">
        <f>IF(ISNA(MATCH(938,'Transfer Engine'!$C$2:$C$1199,0)),"",INDEX('Compliance Database'!$A$2:$A$1199,MATCH(938,'Transfer Engine'!$C$2:$C$1199,0)))</f>
        <v/>
      </c>
      <c r="B947" s="6" t="str">
        <f>IF(ISNA(MATCH(938,'Transfer Engine'!$C$2:$C$1199,0)),"",INDEX('Compliance Database'!$B$2:$B$1199,MATCH(938,'Transfer Engine'!$C$2:$C$1199,0)))</f>
        <v/>
      </c>
      <c r="C947" s="6" t="str">
        <f>IF(ISNA(MATCH(938,'Transfer Engine'!$C$2:$C$1199,0)),"",INDEX('Compliance Database'!$C$2:$C$1199,MATCH(938,'Transfer Engine'!$C$2:$C$1199,0)))</f>
        <v/>
      </c>
      <c r="D947" s="7" t="str">
        <f>IF(ISNA(MATCH(938,'Transfer Engine'!$C$2:$C$1199,0)),"",INDEX('Compliance Database'!$D$2:$D$1199,MATCH(938,'Transfer Engine'!$C$2:$C$1199,0)))</f>
        <v/>
      </c>
      <c r="E947" s="6" t="str">
        <f>IF(ISNA(MATCH(938,'Transfer Engine'!$C$2:$C$1199,0)),"",INDEX('Compliance Database'!$E$2:$E$1199,MATCH(938,'Transfer Engine'!$C$2:$C$1199,0)))</f>
        <v/>
      </c>
      <c r="F947" s="6" t="str">
        <f>IF(ISNA(MATCH(938,'Transfer Engine'!$C$2:$C$1199,0)),"",INDEX('Compliance Database'!$F$2:$F$1199,MATCH(938,'Transfer Engine'!$C$2:$C$1199,0)))</f>
        <v/>
      </c>
      <c r="G947" s="6" t="str">
        <f>IF(ISNA(MATCH(938,'Transfer Engine'!$C$2:$C$1199,0)),"",INDEX('Compliance Database'!$G$2:$G$1199,MATCH(938,'Transfer Engine'!$C$2:$C$1199,0)))</f>
        <v/>
      </c>
      <c r="H947" s="7" t="str">
        <f>IF(ISNA(MATCH(938,'Transfer Engine'!$C$2:$C$1199,0)),"",INDEX('Compliance Database'!$H$2:$H$1199,MATCH(938,'Transfer Engine'!$C$2:$C$1199,0)))</f>
        <v/>
      </c>
      <c r="I947" s="7" t="str">
        <f>IF(ISNA(MATCH(938,'Transfer Engine'!$C$2:$C$1199,0)),"",INDEX('Compliance Database'!$I$2:$I$1199,MATCH(938,'Transfer Engine'!$C$2:$C$1199,0)))</f>
        <v/>
      </c>
      <c r="J947" s="6" t="str">
        <f>IF(ISNA(MATCH(938,'Transfer Engine'!$C$2:$C$1199,0)),"",INDEX('Compliance Database'!$J$2:$J$1199,MATCH(938,'Transfer Engine'!$C$2:$C$1199,0)))</f>
        <v/>
      </c>
      <c r="K947" s="7" t="str">
        <f>IF(ISNA(MATCH(938,'Transfer Engine'!$C$2:$C$1199,0)),"",INDEX('Compliance Database'!$K$2:$K$1199,MATCH(938,'Transfer Engine'!$C$2:$C$1199,0)))</f>
        <v/>
      </c>
      <c r="L947" s="7" t="str">
        <f>IF(ISNA(MATCH(938,'Transfer Engine'!$C$2:$C$1199,0)),"",INDEX('Compliance Database'!$L$2:$L$1199,MATCH(938,'Transfer Engine'!$C$2:$C$1199,0)))</f>
        <v/>
      </c>
      <c r="M947" s="7" t="str">
        <f>IF(ISNA(MATCH(938,'Transfer Engine'!$C$2:$C$1199,0)),"",INDEX('Compliance Database'!$M$2:$M$1199,MATCH(938,'Transfer Engine'!$C$2:$C$1199,0)))</f>
        <v/>
      </c>
      <c r="N947" s="7" t="str">
        <f>IF(ISNA(MATCH(938,'Transfer Engine'!$C$2:$C$1199,0)),"",INDEX('Compliance Database'!$N$2:$N$1199,MATCH(938,'Transfer Engine'!$C$2:$C$1199,0)))</f>
        <v/>
      </c>
      <c r="O947" s="7" t="str">
        <f>IF(ISNA(MATCH(938,'Transfer Engine'!$C$2:$C$1199,0)),"",INDEX('Compliance Database'!$O$2:$O$1199,MATCH(938,'Transfer Engine'!$C$2:$C$1199,0)))</f>
        <v/>
      </c>
      <c r="P947" s="6" t="str">
        <f>IF(ISNA(MATCH(938,'Transfer Engine'!$C$2:$C$1199,0)),"",HYPERLINK("#Acts!A"&amp;INDEX('Compliance Database'!$P$2:$P$1199,MATCH(938,'Transfer Engine'!$C$2:$C$1199,0)),"Go to Act"))</f>
        <v/>
      </c>
    </row>
    <row r="948" spans="1:16" ht="172.95" customHeight="1" x14ac:dyDescent="0.3">
      <c r="A948" s="6" t="str">
        <f>IF(ISNA(MATCH(939,'Transfer Engine'!$C$2:$C$1199,0)),"",INDEX('Compliance Database'!$A$2:$A$1199,MATCH(939,'Transfer Engine'!$C$2:$C$1199,0)))</f>
        <v/>
      </c>
      <c r="B948" s="6" t="str">
        <f>IF(ISNA(MATCH(939,'Transfer Engine'!$C$2:$C$1199,0)),"",INDEX('Compliance Database'!$B$2:$B$1199,MATCH(939,'Transfer Engine'!$C$2:$C$1199,0)))</f>
        <v/>
      </c>
      <c r="C948" s="6" t="str">
        <f>IF(ISNA(MATCH(939,'Transfer Engine'!$C$2:$C$1199,0)),"",INDEX('Compliance Database'!$C$2:$C$1199,MATCH(939,'Transfer Engine'!$C$2:$C$1199,0)))</f>
        <v/>
      </c>
      <c r="D948" s="7" t="str">
        <f>IF(ISNA(MATCH(939,'Transfer Engine'!$C$2:$C$1199,0)),"",INDEX('Compliance Database'!$D$2:$D$1199,MATCH(939,'Transfer Engine'!$C$2:$C$1199,0)))</f>
        <v/>
      </c>
      <c r="E948" s="6" t="str">
        <f>IF(ISNA(MATCH(939,'Transfer Engine'!$C$2:$C$1199,0)),"",INDEX('Compliance Database'!$E$2:$E$1199,MATCH(939,'Transfer Engine'!$C$2:$C$1199,0)))</f>
        <v/>
      </c>
      <c r="F948" s="6" t="str">
        <f>IF(ISNA(MATCH(939,'Transfer Engine'!$C$2:$C$1199,0)),"",INDEX('Compliance Database'!$F$2:$F$1199,MATCH(939,'Transfer Engine'!$C$2:$C$1199,0)))</f>
        <v/>
      </c>
      <c r="G948" s="6" t="str">
        <f>IF(ISNA(MATCH(939,'Transfer Engine'!$C$2:$C$1199,0)),"",INDEX('Compliance Database'!$G$2:$G$1199,MATCH(939,'Transfer Engine'!$C$2:$C$1199,0)))</f>
        <v/>
      </c>
      <c r="H948" s="7" t="str">
        <f>IF(ISNA(MATCH(939,'Transfer Engine'!$C$2:$C$1199,0)),"",INDEX('Compliance Database'!$H$2:$H$1199,MATCH(939,'Transfer Engine'!$C$2:$C$1199,0)))</f>
        <v/>
      </c>
      <c r="I948" s="7" t="str">
        <f>IF(ISNA(MATCH(939,'Transfer Engine'!$C$2:$C$1199,0)),"",INDEX('Compliance Database'!$I$2:$I$1199,MATCH(939,'Transfer Engine'!$C$2:$C$1199,0)))</f>
        <v/>
      </c>
      <c r="J948" s="6" t="str">
        <f>IF(ISNA(MATCH(939,'Transfer Engine'!$C$2:$C$1199,0)),"",INDEX('Compliance Database'!$J$2:$J$1199,MATCH(939,'Transfer Engine'!$C$2:$C$1199,0)))</f>
        <v/>
      </c>
      <c r="K948" s="7" t="str">
        <f>IF(ISNA(MATCH(939,'Transfer Engine'!$C$2:$C$1199,0)),"",INDEX('Compliance Database'!$K$2:$K$1199,MATCH(939,'Transfer Engine'!$C$2:$C$1199,0)))</f>
        <v/>
      </c>
      <c r="L948" s="7" t="str">
        <f>IF(ISNA(MATCH(939,'Transfer Engine'!$C$2:$C$1199,0)),"",INDEX('Compliance Database'!$L$2:$L$1199,MATCH(939,'Transfer Engine'!$C$2:$C$1199,0)))</f>
        <v/>
      </c>
      <c r="M948" s="7" t="str">
        <f>IF(ISNA(MATCH(939,'Transfer Engine'!$C$2:$C$1199,0)),"",INDEX('Compliance Database'!$M$2:$M$1199,MATCH(939,'Transfer Engine'!$C$2:$C$1199,0)))</f>
        <v/>
      </c>
      <c r="N948" s="7" t="str">
        <f>IF(ISNA(MATCH(939,'Transfer Engine'!$C$2:$C$1199,0)),"",INDEX('Compliance Database'!$N$2:$N$1199,MATCH(939,'Transfer Engine'!$C$2:$C$1199,0)))</f>
        <v/>
      </c>
      <c r="O948" s="7" t="str">
        <f>IF(ISNA(MATCH(939,'Transfer Engine'!$C$2:$C$1199,0)),"",INDEX('Compliance Database'!$O$2:$O$1199,MATCH(939,'Transfer Engine'!$C$2:$C$1199,0)))</f>
        <v/>
      </c>
      <c r="P948" s="6" t="str">
        <f>IF(ISNA(MATCH(939,'Transfer Engine'!$C$2:$C$1199,0)),"",HYPERLINK("#Acts!A"&amp;INDEX('Compliance Database'!$P$2:$P$1199,MATCH(939,'Transfer Engine'!$C$2:$C$1199,0)),"Go to Act"))</f>
        <v/>
      </c>
    </row>
    <row r="949" spans="1:16" ht="172.95" customHeight="1" x14ac:dyDescent="0.3">
      <c r="A949" s="6" t="str">
        <f>IF(ISNA(MATCH(940,'Transfer Engine'!$C$2:$C$1199,0)),"",INDEX('Compliance Database'!$A$2:$A$1199,MATCH(940,'Transfer Engine'!$C$2:$C$1199,0)))</f>
        <v/>
      </c>
      <c r="B949" s="6" t="str">
        <f>IF(ISNA(MATCH(940,'Transfer Engine'!$C$2:$C$1199,0)),"",INDEX('Compliance Database'!$B$2:$B$1199,MATCH(940,'Transfer Engine'!$C$2:$C$1199,0)))</f>
        <v/>
      </c>
      <c r="C949" s="6" t="str">
        <f>IF(ISNA(MATCH(940,'Transfer Engine'!$C$2:$C$1199,0)),"",INDEX('Compliance Database'!$C$2:$C$1199,MATCH(940,'Transfer Engine'!$C$2:$C$1199,0)))</f>
        <v/>
      </c>
      <c r="D949" s="7" t="str">
        <f>IF(ISNA(MATCH(940,'Transfer Engine'!$C$2:$C$1199,0)),"",INDEX('Compliance Database'!$D$2:$D$1199,MATCH(940,'Transfer Engine'!$C$2:$C$1199,0)))</f>
        <v/>
      </c>
      <c r="E949" s="6" t="str">
        <f>IF(ISNA(MATCH(940,'Transfer Engine'!$C$2:$C$1199,0)),"",INDEX('Compliance Database'!$E$2:$E$1199,MATCH(940,'Transfer Engine'!$C$2:$C$1199,0)))</f>
        <v/>
      </c>
      <c r="F949" s="6" t="str">
        <f>IF(ISNA(MATCH(940,'Transfer Engine'!$C$2:$C$1199,0)),"",INDEX('Compliance Database'!$F$2:$F$1199,MATCH(940,'Transfer Engine'!$C$2:$C$1199,0)))</f>
        <v/>
      </c>
      <c r="G949" s="6" t="str">
        <f>IF(ISNA(MATCH(940,'Transfer Engine'!$C$2:$C$1199,0)),"",INDEX('Compliance Database'!$G$2:$G$1199,MATCH(940,'Transfer Engine'!$C$2:$C$1199,0)))</f>
        <v/>
      </c>
      <c r="H949" s="7" t="str">
        <f>IF(ISNA(MATCH(940,'Transfer Engine'!$C$2:$C$1199,0)),"",INDEX('Compliance Database'!$H$2:$H$1199,MATCH(940,'Transfer Engine'!$C$2:$C$1199,0)))</f>
        <v/>
      </c>
      <c r="I949" s="7" t="str">
        <f>IF(ISNA(MATCH(940,'Transfer Engine'!$C$2:$C$1199,0)),"",INDEX('Compliance Database'!$I$2:$I$1199,MATCH(940,'Transfer Engine'!$C$2:$C$1199,0)))</f>
        <v/>
      </c>
      <c r="J949" s="6" t="str">
        <f>IF(ISNA(MATCH(940,'Transfer Engine'!$C$2:$C$1199,0)),"",INDEX('Compliance Database'!$J$2:$J$1199,MATCH(940,'Transfer Engine'!$C$2:$C$1199,0)))</f>
        <v/>
      </c>
      <c r="K949" s="7" t="str">
        <f>IF(ISNA(MATCH(940,'Transfer Engine'!$C$2:$C$1199,0)),"",INDEX('Compliance Database'!$K$2:$K$1199,MATCH(940,'Transfer Engine'!$C$2:$C$1199,0)))</f>
        <v/>
      </c>
      <c r="L949" s="7" t="str">
        <f>IF(ISNA(MATCH(940,'Transfer Engine'!$C$2:$C$1199,0)),"",INDEX('Compliance Database'!$L$2:$L$1199,MATCH(940,'Transfer Engine'!$C$2:$C$1199,0)))</f>
        <v/>
      </c>
      <c r="M949" s="7" t="str">
        <f>IF(ISNA(MATCH(940,'Transfer Engine'!$C$2:$C$1199,0)),"",INDEX('Compliance Database'!$M$2:$M$1199,MATCH(940,'Transfer Engine'!$C$2:$C$1199,0)))</f>
        <v/>
      </c>
      <c r="N949" s="7" t="str">
        <f>IF(ISNA(MATCH(940,'Transfer Engine'!$C$2:$C$1199,0)),"",INDEX('Compliance Database'!$N$2:$N$1199,MATCH(940,'Transfer Engine'!$C$2:$C$1199,0)))</f>
        <v/>
      </c>
      <c r="O949" s="7" t="str">
        <f>IF(ISNA(MATCH(940,'Transfer Engine'!$C$2:$C$1199,0)),"",INDEX('Compliance Database'!$O$2:$O$1199,MATCH(940,'Transfer Engine'!$C$2:$C$1199,0)))</f>
        <v/>
      </c>
      <c r="P949" s="6" t="str">
        <f>IF(ISNA(MATCH(940,'Transfer Engine'!$C$2:$C$1199,0)),"",HYPERLINK("#Acts!A"&amp;INDEX('Compliance Database'!$P$2:$P$1199,MATCH(940,'Transfer Engine'!$C$2:$C$1199,0)),"Go to Act"))</f>
        <v/>
      </c>
    </row>
    <row r="950" spans="1:16" ht="172.95" customHeight="1" x14ac:dyDescent="0.3">
      <c r="A950" s="6" t="str">
        <f>IF(ISNA(MATCH(941,'Transfer Engine'!$C$2:$C$1199,0)),"",INDEX('Compliance Database'!$A$2:$A$1199,MATCH(941,'Transfer Engine'!$C$2:$C$1199,0)))</f>
        <v/>
      </c>
      <c r="B950" s="6" t="str">
        <f>IF(ISNA(MATCH(941,'Transfer Engine'!$C$2:$C$1199,0)),"",INDEX('Compliance Database'!$B$2:$B$1199,MATCH(941,'Transfer Engine'!$C$2:$C$1199,0)))</f>
        <v/>
      </c>
      <c r="C950" s="6" t="str">
        <f>IF(ISNA(MATCH(941,'Transfer Engine'!$C$2:$C$1199,0)),"",INDEX('Compliance Database'!$C$2:$C$1199,MATCH(941,'Transfer Engine'!$C$2:$C$1199,0)))</f>
        <v/>
      </c>
      <c r="D950" s="7" t="str">
        <f>IF(ISNA(MATCH(941,'Transfer Engine'!$C$2:$C$1199,0)),"",INDEX('Compliance Database'!$D$2:$D$1199,MATCH(941,'Transfer Engine'!$C$2:$C$1199,0)))</f>
        <v/>
      </c>
      <c r="E950" s="6" t="str">
        <f>IF(ISNA(MATCH(941,'Transfer Engine'!$C$2:$C$1199,0)),"",INDEX('Compliance Database'!$E$2:$E$1199,MATCH(941,'Transfer Engine'!$C$2:$C$1199,0)))</f>
        <v/>
      </c>
      <c r="F950" s="6" t="str">
        <f>IF(ISNA(MATCH(941,'Transfer Engine'!$C$2:$C$1199,0)),"",INDEX('Compliance Database'!$F$2:$F$1199,MATCH(941,'Transfer Engine'!$C$2:$C$1199,0)))</f>
        <v/>
      </c>
      <c r="G950" s="6" t="str">
        <f>IF(ISNA(MATCH(941,'Transfer Engine'!$C$2:$C$1199,0)),"",INDEX('Compliance Database'!$G$2:$G$1199,MATCH(941,'Transfer Engine'!$C$2:$C$1199,0)))</f>
        <v/>
      </c>
      <c r="H950" s="7" t="str">
        <f>IF(ISNA(MATCH(941,'Transfer Engine'!$C$2:$C$1199,0)),"",INDEX('Compliance Database'!$H$2:$H$1199,MATCH(941,'Transfer Engine'!$C$2:$C$1199,0)))</f>
        <v/>
      </c>
      <c r="I950" s="7" t="str">
        <f>IF(ISNA(MATCH(941,'Transfer Engine'!$C$2:$C$1199,0)),"",INDEX('Compliance Database'!$I$2:$I$1199,MATCH(941,'Transfer Engine'!$C$2:$C$1199,0)))</f>
        <v/>
      </c>
      <c r="J950" s="6" t="str">
        <f>IF(ISNA(MATCH(941,'Transfer Engine'!$C$2:$C$1199,0)),"",INDEX('Compliance Database'!$J$2:$J$1199,MATCH(941,'Transfer Engine'!$C$2:$C$1199,0)))</f>
        <v/>
      </c>
      <c r="K950" s="7" t="str">
        <f>IF(ISNA(MATCH(941,'Transfer Engine'!$C$2:$C$1199,0)),"",INDEX('Compliance Database'!$K$2:$K$1199,MATCH(941,'Transfer Engine'!$C$2:$C$1199,0)))</f>
        <v/>
      </c>
      <c r="L950" s="7" t="str">
        <f>IF(ISNA(MATCH(941,'Transfer Engine'!$C$2:$C$1199,0)),"",INDEX('Compliance Database'!$L$2:$L$1199,MATCH(941,'Transfer Engine'!$C$2:$C$1199,0)))</f>
        <v/>
      </c>
      <c r="M950" s="7" t="str">
        <f>IF(ISNA(MATCH(941,'Transfer Engine'!$C$2:$C$1199,0)),"",INDEX('Compliance Database'!$M$2:$M$1199,MATCH(941,'Transfer Engine'!$C$2:$C$1199,0)))</f>
        <v/>
      </c>
      <c r="N950" s="7" t="str">
        <f>IF(ISNA(MATCH(941,'Transfer Engine'!$C$2:$C$1199,0)),"",INDEX('Compliance Database'!$N$2:$N$1199,MATCH(941,'Transfer Engine'!$C$2:$C$1199,0)))</f>
        <v/>
      </c>
      <c r="O950" s="7" t="str">
        <f>IF(ISNA(MATCH(941,'Transfer Engine'!$C$2:$C$1199,0)),"",INDEX('Compliance Database'!$O$2:$O$1199,MATCH(941,'Transfer Engine'!$C$2:$C$1199,0)))</f>
        <v/>
      </c>
      <c r="P950" s="6" t="str">
        <f>IF(ISNA(MATCH(941,'Transfer Engine'!$C$2:$C$1199,0)),"",HYPERLINK("#Acts!A"&amp;INDEX('Compliance Database'!$P$2:$P$1199,MATCH(941,'Transfer Engine'!$C$2:$C$1199,0)),"Go to Act"))</f>
        <v/>
      </c>
    </row>
    <row r="951" spans="1:16" ht="172.95" customHeight="1" x14ac:dyDescent="0.3">
      <c r="A951" s="6" t="str">
        <f>IF(ISNA(MATCH(942,'Transfer Engine'!$C$2:$C$1199,0)),"",INDEX('Compliance Database'!$A$2:$A$1199,MATCH(942,'Transfer Engine'!$C$2:$C$1199,0)))</f>
        <v/>
      </c>
      <c r="B951" s="6" t="str">
        <f>IF(ISNA(MATCH(942,'Transfer Engine'!$C$2:$C$1199,0)),"",INDEX('Compliance Database'!$B$2:$B$1199,MATCH(942,'Transfer Engine'!$C$2:$C$1199,0)))</f>
        <v/>
      </c>
      <c r="C951" s="6" t="str">
        <f>IF(ISNA(MATCH(942,'Transfer Engine'!$C$2:$C$1199,0)),"",INDEX('Compliance Database'!$C$2:$C$1199,MATCH(942,'Transfer Engine'!$C$2:$C$1199,0)))</f>
        <v/>
      </c>
      <c r="D951" s="7" t="str">
        <f>IF(ISNA(MATCH(942,'Transfer Engine'!$C$2:$C$1199,0)),"",INDEX('Compliance Database'!$D$2:$D$1199,MATCH(942,'Transfer Engine'!$C$2:$C$1199,0)))</f>
        <v/>
      </c>
      <c r="E951" s="6" t="str">
        <f>IF(ISNA(MATCH(942,'Transfer Engine'!$C$2:$C$1199,0)),"",INDEX('Compliance Database'!$E$2:$E$1199,MATCH(942,'Transfer Engine'!$C$2:$C$1199,0)))</f>
        <v/>
      </c>
      <c r="F951" s="6" t="str">
        <f>IF(ISNA(MATCH(942,'Transfer Engine'!$C$2:$C$1199,0)),"",INDEX('Compliance Database'!$F$2:$F$1199,MATCH(942,'Transfer Engine'!$C$2:$C$1199,0)))</f>
        <v/>
      </c>
      <c r="G951" s="6" t="str">
        <f>IF(ISNA(MATCH(942,'Transfer Engine'!$C$2:$C$1199,0)),"",INDEX('Compliance Database'!$G$2:$G$1199,MATCH(942,'Transfer Engine'!$C$2:$C$1199,0)))</f>
        <v/>
      </c>
      <c r="H951" s="7" t="str">
        <f>IF(ISNA(MATCH(942,'Transfer Engine'!$C$2:$C$1199,0)),"",INDEX('Compliance Database'!$H$2:$H$1199,MATCH(942,'Transfer Engine'!$C$2:$C$1199,0)))</f>
        <v/>
      </c>
      <c r="I951" s="7" t="str">
        <f>IF(ISNA(MATCH(942,'Transfer Engine'!$C$2:$C$1199,0)),"",INDEX('Compliance Database'!$I$2:$I$1199,MATCH(942,'Transfer Engine'!$C$2:$C$1199,0)))</f>
        <v/>
      </c>
      <c r="J951" s="6" t="str">
        <f>IF(ISNA(MATCH(942,'Transfer Engine'!$C$2:$C$1199,0)),"",INDEX('Compliance Database'!$J$2:$J$1199,MATCH(942,'Transfer Engine'!$C$2:$C$1199,0)))</f>
        <v/>
      </c>
      <c r="K951" s="7" t="str">
        <f>IF(ISNA(MATCH(942,'Transfer Engine'!$C$2:$C$1199,0)),"",INDEX('Compliance Database'!$K$2:$K$1199,MATCH(942,'Transfer Engine'!$C$2:$C$1199,0)))</f>
        <v/>
      </c>
      <c r="L951" s="7" t="str">
        <f>IF(ISNA(MATCH(942,'Transfer Engine'!$C$2:$C$1199,0)),"",INDEX('Compliance Database'!$L$2:$L$1199,MATCH(942,'Transfer Engine'!$C$2:$C$1199,0)))</f>
        <v/>
      </c>
      <c r="M951" s="7" t="str">
        <f>IF(ISNA(MATCH(942,'Transfer Engine'!$C$2:$C$1199,0)),"",INDEX('Compliance Database'!$M$2:$M$1199,MATCH(942,'Transfer Engine'!$C$2:$C$1199,0)))</f>
        <v/>
      </c>
      <c r="N951" s="7" t="str">
        <f>IF(ISNA(MATCH(942,'Transfer Engine'!$C$2:$C$1199,0)),"",INDEX('Compliance Database'!$N$2:$N$1199,MATCH(942,'Transfer Engine'!$C$2:$C$1199,0)))</f>
        <v/>
      </c>
      <c r="O951" s="7" t="str">
        <f>IF(ISNA(MATCH(942,'Transfer Engine'!$C$2:$C$1199,0)),"",INDEX('Compliance Database'!$O$2:$O$1199,MATCH(942,'Transfer Engine'!$C$2:$C$1199,0)))</f>
        <v/>
      </c>
      <c r="P951" s="6" t="str">
        <f>IF(ISNA(MATCH(942,'Transfer Engine'!$C$2:$C$1199,0)),"",HYPERLINK("#Acts!A"&amp;INDEX('Compliance Database'!$P$2:$P$1199,MATCH(942,'Transfer Engine'!$C$2:$C$1199,0)),"Go to Act"))</f>
        <v/>
      </c>
    </row>
    <row r="952" spans="1:16" ht="172.95" customHeight="1" x14ac:dyDescent="0.3">
      <c r="A952" s="6" t="str">
        <f>IF(ISNA(MATCH(943,'Transfer Engine'!$C$2:$C$1199,0)),"",INDEX('Compliance Database'!$A$2:$A$1199,MATCH(943,'Transfer Engine'!$C$2:$C$1199,0)))</f>
        <v/>
      </c>
      <c r="B952" s="6" t="str">
        <f>IF(ISNA(MATCH(943,'Transfer Engine'!$C$2:$C$1199,0)),"",INDEX('Compliance Database'!$B$2:$B$1199,MATCH(943,'Transfer Engine'!$C$2:$C$1199,0)))</f>
        <v/>
      </c>
      <c r="C952" s="6" t="str">
        <f>IF(ISNA(MATCH(943,'Transfer Engine'!$C$2:$C$1199,0)),"",INDEX('Compliance Database'!$C$2:$C$1199,MATCH(943,'Transfer Engine'!$C$2:$C$1199,0)))</f>
        <v/>
      </c>
      <c r="D952" s="7" t="str">
        <f>IF(ISNA(MATCH(943,'Transfer Engine'!$C$2:$C$1199,0)),"",INDEX('Compliance Database'!$D$2:$D$1199,MATCH(943,'Transfer Engine'!$C$2:$C$1199,0)))</f>
        <v/>
      </c>
      <c r="E952" s="6" t="str">
        <f>IF(ISNA(MATCH(943,'Transfer Engine'!$C$2:$C$1199,0)),"",INDEX('Compliance Database'!$E$2:$E$1199,MATCH(943,'Transfer Engine'!$C$2:$C$1199,0)))</f>
        <v/>
      </c>
      <c r="F952" s="6" t="str">
        <f>IF(ISNA(MATCH(943,'Transfer Engine'!$C$2:$C$1199,0)),"",INDEX('Compliance Database'!$F$2:$F$1199,MATCH(943,'Transfer Engine'!$C$2:$C$1199,0)))</f>
        <v/>
      </c>
      <c r="G952" s="6" t="str">
        <f>IF(ISNA(MATCH(943,'Transfer Engine'!$C$2:$C$1199,0)),"",INDEX('Compliance Database'!$G$2:$G$1199,MATCH(943,'Transfer Engine'!$C$2:$C$1199,0)))</f>
        <v/>
      </c>
      <c r="H952" s="7" t="str">
        <f>IF(ISNA(MATCH(943,'Transfer Engine'!$C$2:$C$1199,0)),"",INDEX('Compliance Database'!$H$2:$H$1199,MATCH(943,'Transfer Engine'!$C$2:$C$1199,0)))</f>
        <v/>
      </c>
      <c r="I952" s="7" t="str">
        <f>IF(ISNA(MATCH(943,'Transfer Engine'!$C$2:$C$1199,0)),"",INDEX('Compliance Database'!$I$2:$I$1199,MATCH(943,'Transfer Engine'!$C$2:$C$1199,0)))</f>
        <v/>
      </c>
      <c r="J952" s="6" t="str">
        <f>IF(ISNA(MATCH(943,'Transfer Engine'!$C$2:$C$1199,0)),"",INDEX('Compliance Database'!$J$2:$J$1199,MATCH(943,'Transfer Engine'!$C$2:$C$1199,0)))</f>
        <v/>
      </c>
      <c r="K952" s="7" t="str">
        <f>IF(ISNA(MATCH(943,'Transfer Engine'!$C$2:$C$1199,0)),"",INDEX('Compliance Database'!$K$2:$K$1199,MATCH(943,'Transfer Engine'!$C$2:$C$1199,0)))</f>
        <v/>
      </c>
      <c r="L952" s="7" t="str">
        <f>IF(ISNA(MATCH(943,'Transfer Engine'!$C$2:$C$1199,0)),"",INDEX('Compliance Database'!$L$2:$L$1199,MATCH(943,'Transfer Engine'!$C$2:$C$1199,0)))</f>
        <v/>
      </c>
      <c r="M952" s="7" t="str">
        <f>IF(ISNA(MATCH(943,'Transfer Engine'!$C$2:$C$1199,0)),"",INDEX('Compliance Database'!$M$2:$M$1199,MATCH(943,'Transfer Engine'!$C$2:$C$1199,0)))</f>
        <v/>
      </c>
      <c r="N952" s="7" t="str">
        <f>IF(ISNA(MATCH(943,'Transfer Engine'!$C$2:$C$1199,0)),"",INDEX('Compliance Database'!$N$2:$N$1199,MATCH(943,'Transfer Engine'!$C$2:$C$1199,0)))</f>
        <v/>
      </c>
      <c r="O952" s="7" t="str">
        <f>IF(ISNA(MATCH(943,'Transfer Engine'!$C$2:$C$1199,0)),"",INDEX('Compliance Database'!$O$2:$O$1199,MATCH(943,'Transfer Engine'!$C$2:$C$1199,0)))</f>
        <v/>
      </c>
      <c r="P952" s="6" t="str">
        <f>IF(ISNA(MATCH(943,'Transfer Engine'!$C$2:$C$1199,0)),"",HYPERLINK("#Acts!A"&amp;INDEX('Compliance Database'!$P$2:$P$1199,MATCH(943,'Transfer Engine'!$C$2:$C$1199,0)),"Go to Act"))</f>
        <v/>
      </c>
    </row>
    <row r="953" spans="1:16" ht="172.95" customHeight="1" x14ac:dyDescent="0.3">
      <c r="A953" s="6" t="str">
        <f>IF(ISNA(MATCH(944,'Transfer Engine'!$C$2:$C$1199,0)),"",INDEX('Compliance Database'!$A$2:$A$1199,MATCH(944,'Transfer Engine'!$C$2:$C$1199,0)))</f>
        <v/>
      </c>
      <c r="B953" s="6" t="str">
        <f>IF(ISNA(MATCH(944,'Transfer Engine'!$C$2:$C$1199,0)),"",INDEX('Compliance Database'!$B$2:$B$1199,MATCH(944,'Transfer Engine'!$C$2:$C$1199,0)))</f>
        <v/>
      </c>
      <c r="C953" s="6" t="str">
        <f>IF(ISNA(MATCH(944,'Transfer Engine'!$C$2:$C$1199,0)),"",INDEX('Compliance Database'!$C$2:$C$1199,MATCH(944,'Transfer Engine'!$C$2:$C$1199,0)))</f>
        <v/>
      </c>
      <c r="D953" s="7" t="str">
        <f>IF(ISNA(MATCH(944,'Transfer Engine'!$C$2:$C$1199,0)),"",INDEX('Compliance Database'!$D$2:$D$1199,MATCH(944,'Transfer Engine'!$C$2:$C$1199,0)))</f>
        <v/>
      </c>
      <c r="E953" s="6" t="str">
        <f>IF(ISNA(MATCH(944,'Transfer Engine'!$C$2:$C$1199,0)),"",INDEX('Compliance Database'!$E$2:$E$1199,MATCH(944,'Transfer Engine'!$C$2:$C$1199,0)))</f>
        <v/>
      </c>
      <c r="F953" s="6" t="str">
        <f>IF(ISNA(MATCH(944,'Transfer Engine'!$C$2:$C$1199,0)),"",INDEX('Compliance Database'!$F$2:$F$1199,MATCH(944,'Transfer Engine'!$C$2:$C$1199,0)))</f>
        <v/>
      </c>
      <c r="G953" s="6" t="str">
        <f>IF(ISNA(MATCH(944,'Transfer Engine'!$C$2:$C$1199,0)),"",INDEX('Compliance Database'!$G$2:$G$1199,MATCH(944,'Transfer Engine'!$C$2:$C$1199,0)))</f>
        <v/>
      </c>
      <c r="H953" s="7" t="str">
        <f>IF(ISNA(MATCH(944,'Transfer Engine'!$C$2:$C$1199,0)),"",INDEX('Compliance Database'!$H$2:$H$1199,MATCH(944,'Transfer Engine'!$C$2:$C$1199,0)))</f>
        <v/>
      </c>
      <c r="I953" s="7" t="str">
        <f>IF(ISNA(MATCH(944,'Transfer Engine'!$C$2:$C$1199,0)),"",INDEX('Compliance Database'!$I$2:$I$1199,MATCH(944,'Transfer Engine'!$C$2:$C$1199,0)))</f>
        <v/>
      </c>
      <c r="J953" s="6" t="str">
        <f>IF(ISNA(MATCH(944,'Transfer Engine'!$C$2:$C$1199,0)),"",INDEX('Compliance Database'!$J$2:$J$1199,MATCH(944,'Transfer Engine'!$C$2:$C$1199,0)))</f>
        <v/>
      </c>
      <c r="K953" s="7" t="str">
        <f>IF(ISNA(MATCH(944,'Transfer Engine'!$C$2:$C$1199,0)),"",INDEX('Compliance Database'!$K$2:$K$1199,MATCH(944,'Transfer Engine'!$C$2:$C$1199,0)))</f>
        <v/>
      </c>
      <c r="L953" s="7" t="str">
        <f>IF(ISNA(MATCH(944,'Transfer Engine'!$C$2:$C$1199,0)),"",INDEX('Compliance Database'!$L$2:$L$1199,MATCH(944,'Transfer Engine'!$C$2:$C$1199,0)))</f>
        <v/>
      </c>
      <c r="M953" s="7" t="str">
        <f>IF(ISNA(MATCH(944,'Transfer Engine'!$C$2:$C$1199,0)),"",INDEX('Compliance Database'!$M$2:$M$1199,MATCH(944,'Transfer Engine'!$C$2:$C$1199,0)))</f>
        <v/>
      </c>
      <c r="N953" s="7" t="str">
        <f>IF(ISNA(MATCH(944,'Transfer Engine'!$C$2:$C$1199,0)),"",INDEX('Compliance Database'!$N$2:$N$1199,MATCH(944,'Transfer Engine'!$C$2:$C$1199,0)))</f>
        <v/>
      </c>
      <c r="O953" s="7" t="str">
        <f>IF(ISNA(MATCH(944,'Transfer Engine'!$C$2:$C$1199,0)),"",INDEX('Compliance Database'!$O$2:$O$1199,MATCH(944,'Transfer Engine'!$C$2:$C$1199,0)))</f>
        <v/>
      </c>
      <c r="P953" s="6" t="str">
        <f>IF(ISNA(MATCH(944,'Transfer Engine'!$C$2:$C$1199,0)),"",HYPERLINK("#Acts!A"&amp;INDEX('Compliance Database'!$P$2:$P$1199,MATCH(944,'Transfer Engine'!$C$2:$C$1199,0)),"Go to Act"))</f>
        <v/>
      </c>
    </row>
    <row r="954" spans="1:16" ht="172.95" customHeight="1" x14ac:dyDescent="0.3">
      <c r="A954" s="6" t="str">
        <f>IF(ISNA(MATCH(945,'Transfer Engine'!$C$2:$C$1199,0)),"",INDEX('Compliance Database'!$A$2:$A$1199,MATCH(945,'Transfer Engine'!$C$2:$C$1199,0)))</f>
        <v/>
      </c>
      <c r="B954" s="6" t="str">
        <f>IF(ISNA(MATCH(945,'Transfer Engine'!$C$2:$C$1199,0)),"",INDEX('Compliance Database'!$B$2:$B$1199,MATCH(945,'Transfer Engine'!$C$2:$C$1199,0)))</f>
        <v/>
      </c>
      <c r="C954" s="6" t="str">
        <f>IF(ISNA(MATCH(945,'Transfer Engine'!$C$2:$C$1199,0)),"",INDEX('Compliance Database'!$C$2:$C$1199,MATCH(945,'Transfer Engine'!$C$2:$C$1199,0)))</f>
        <v/>
      </c>
      <c r="D954" s="7" t="str">
        <f>IF(ISNA(MATCH(945,'Transfer Engine'!$C$2:$C$1199,0)),"",INDEX('Compliance Database'!$D$2:$D$1199,MATCH(945,'Transfer Engine'!$C$2:$C$1199,0)))</f>
        <v/>
      </c>
      <c r="E954" s="6" t="str">
        <f>IF(ISNA(MATCH(945,'Transfer Engine'!$C$2:$C$1199,0)),"",INDEX('Compliance Database'!$E$2:$E$1199,MATCH(945,'Transfer Engine'!$C$2:$C$1199,0)))</f>
        <v/>
      </c>
      <c r="F954" s="6" t="str">
        <f>IF(ISNA(MATCH(945,'Transfer Engine'!$C$2:$C$1199,0)),"",INDEX('Compliance Database'!$F$2:$F$1199,MATCH(945,'Transfer Engine'!$C$2:$C$1199,0)))</f>
        <v/>
      </c>
      <c r="G954" s="6" t="str">
        <f>IF(ISNA(MATCH(945,'Transfer Engine'!$C$2:$C$1199,0)),"",INDEX('Compliance Database'!$G$2:$G$1199,MATCH(945,'Transfer Engine'!$C$2:$C$1199,0)))</f>
        <v/>
      </c>
      <c r="H954" s="7" t="str">
        <f>IF(ISNA(MATCH(945,'Transfer Engine'!$C$2:$C$1199,0)),"",INDEX('Compliance Database'!$H$2:$H$1199,MATCH(945,'Transfer Engine'!$C$2:$C$1199,0)))</f>
        <v/>
      </c>
      <c r="I954" s="7" t="str">
        <f>IF(ISNA(MATCH(945,'Transfer Engine'!$C$2:$C$1199,0)),"",INDEX('Compliance Database'!$I$2:$I$1199,MATCH(945,'Transfer Engine'!$C$2:$C$1199,0)))</f>
        <v/>
      </c>
      <c r="J954" s="6" t="str">
        <f>IF(ISNA(MATCH(945,'Transfer Engine'!$C$2:$C$1199,0)),"",INDEX('Compliance Database'!$J$2:$J$1199,MATCH(945,'Transfer Engine'!$C$2:$C$1199,0)))</f>
        <v/>
      </c>
      <c r="K954" s="7" t="str">
        <f>IF(ISNA(MATCH(945,'Transfer Engine'!$C$2:$C$1199,0)),"",INDEX('Compliance Database'!$K$2:$K$1199,MATCH(945,'Transfer Engine'!$C$2:$C$1199,0)))</f>
        <v/>
      </c>
      <c r="L954" s="7" t="str">
        <f>IF(ISNA(MATCH(945,'Transfer Engine'!$C$2:$C$1199,0)),"",INDEX('Compliance Database'!$L$2:$L$1199,MATCH(945,'Transfer Engine'!$C$2:$C$1199,0)))</f>
        <v/>
      </c>
      <c r="M954" s="7" t="str">
        <f>IF(ISNA(MATCH(945,'Transfer Engine'!$C$2:$C$1199,0)),"",INDEX('Compliance Database'!$M$2:$M$1199,MATCH(945,'Transfer Engine'!$C$2:$C$1199,0)))</f>
        <v/>
      </c>
      <c r="N954" s="7" t="str">
        <f>IF(ISNA(MATCH(945,'Transfer Engine'!$C$2:$C$1199,0)),"",INDEX('Compliance Database'!$N$2:$N$1199,MATCH(945,'Transfer Engine'!$C$2:$C$1199,0)))</f>
        <v/>
      </c>
      <c r="O954" s="7" t="str">
        <f>IF(ISNA(MATCH(945,'Transfer Engine'!$C$2:$C$1199,0)),"",INDEX('Compliance Database'!$O$2:$O$1199,MATCH(945,'Transfer Engine'!$C$2:$C$1199,0)))</f>
        <v/>
      </c>
      <c r="P954" s="6" t="str">
        <f>IF(ISNA(MATCH(945,'Transfer Engine'!$C$2:$C$1199,0)),"",HYPERLINK("#Acts!A"&amp;INDEX('Compliance Database'!$P$2:$P$1199,MATCH(945,'Transfer Engine'!$C$2:$C$1199,0)),"Go to Act"))</f>
        <v/>
      </c>
    </row>
    <row r="955" spans="1:16" ht="172.95" customHeight="1" x14ac:dyDescent="0.3">
      <c r="A955" s="6" t="str">
        <f>IF(ISNA(MATCH(946,'Transfer Engine'!$C$2:$C$1199,0)),"",INDEX('Compliance Database'!$A$2:$A$1199,MATCH(946,'Transfer Engine'!$C$2:$C$1199,0)))</f>
        <v/>
      </c>
      <c r="B955" s="6" t="str">
        <f>IF(ISNA(MATCH(946,'Transfer Engine'!$C$2:$C$1199,0)),"",INDEX('Compliance Database'!$B$2:$B$1199,MATCH(946,'Transfer Engine'!$C$2:$C$1199,0)))</f>
        <v/>
      </c>
      <c r="C955" s="6" t="str">
        <f>IF(ISNA(MATCH(946,'Transfer Engine'!$C$2:$C$1199,0)),"",INDEX('Compliance Database'!$C$2:$C$1199,MATCH(946,'Transfer Engine'!$C$2:$C$1199,0)))</f>
        <v/>
      </c>
      <c r="D955" s="7" t="str">
        <f>IF(ISNA(MATCH(946,'Transfer Engine'!$C$2:$C$1199,0)),"",INDEX('Compliance Database'!$D$2:$D$1199,MATCH(946,'Transfer Engine'!$C$2:$C$1199,0)))</f>
        <v/>
      </c>
      <c r="E955" s="6" t="str">
        <f>IF(ISNA(MATCH(946,'Transfer Engine'!$C$2:$C$1199,0)),"",INDEX('Compliance Database'!$E$2:$E$1199,MATCH(946,'Transfer Engine'!$C$2:$C$1199,0)))</f>
        <v/>
      </c>
      <c r="F955" s="6" t="str">
        <f>IF(ISNA(MATCH(946,'Transfer Engine'!$C$2:$C$1199,0)),"",INDEX('Compliance Database'!$F$2:$F$1199,MATCH(946,'Transfer Engine'!$C$2:$C$1199,0)))</f>
        <v/>
      </c>
      <c r="G955" s="6" t="str">
        <f>IF(ISNA(MATCH(946,'Transfer Engine'!$C$2:$C$1199,0)),"",INDEX('Compliance Database'!$G$2:$G$1199,MATCH(946,'Transfer Engine'!$C$2:$C$1199,0)))</f>
        <v/>
      </c>
      <c r="H955" s="7" t="str">
        <f>IF(ISNA(MATCH(946,'Transfer Engine'!$C$2:$C$1199,0)),"",INDEX('Compliance Database'!$H$2:$H$1199,MATCH(946,'Transfer Engine'!$C$2:$C$1199,0)))</f>
        <v/>
      </c>
      <c r="I955" s="7" t="str">
        <f>IF(ISNA(MATCH(946,'Transfer Engine'!$C$2:$C$1199,0)),"",INDEX('Compliance Database'!$I$2:$I$1199,MATCH(946,'Transfer Engine'!$C$2:$C$1199,0)))</f>
        <v/>
      </c>
      <c r="J955" s="6" t="str">
        <f>IF(ISNA(MATCH(946,'Transfer Engine'!$C$2:$C$1199,0)),"",INDEX('Compliance Database'!$J$2:$J$1199,MATCH(946,'Transfer Engine'!$C$2:$C$1199,0)))</f>
        <v/>
      </c>
      <c r="K955" s="7" t="str">
        <f>IF(ISNA(MATCH(946,'Transfer Engine'!$C$2:$C$1199,0)),"",INDEX('Compliance Database'!$K$2:$K$1199,MATCH(946,'Transfer Engine'!$C$2:$C$1199,0)))</f>
        <v/>
      </c>
      <c r="L955" s="7" t="str">
        <f>IF(ISNA(MATCH(946,'Transfer Engine'!$C$2:$C$1199,0)),"",INDEX('Compliance Database'!$L$2:$L$1199,MATCH(946,'Transfer Engine'!$C$2:$C$1199,0)))</f>
        <v/>
      </c>
      <c r="M955" s="7" t="str">
        <f>IF(ISNA(MATCH(946,'Transfer Engine'!$C$2:$C$1199,0)),"",INDEX('Compliance Database'!$M$2:$M$1199,MATCH(946,'Transfer Engine'!$C$2:$C$1199,0)))</f>
        <v/>
      </c>
      <c r="N955" s="7" t="str">
        <f>IF(ISNA(MATCH(946,'Transfer Engine'!$C$2:$C$1199,0)),"",INDEX('Compliance Database'!$N$2:$N$1199,MATCH(946,'Transfer Engine'!$C$2:$C$1199,0)))</f>
        <v/>
      </c>
      <c r="O955" s="7" t="str">
        <f>IF(ISNA(MATCH(946,'Transfer Engine'!$C$2:$C$1199,0)),"",INDEX('Compliance Database'!$O$2:$O$1199,MATCH(946,'Transfer Engine'!$C$2:$C$1199,0)))</f>
        <v/>
      </c>
      <c r="P955" s="6" t="str">
        <f>IF(ISNA(MATCH(946,'Transfer Engine'!$C$2:$C$1199,0)),"",HYPERLINK("#Acts!A"&amp;INDEX('Compliance Database'!$P$2:$P$1199,MATCH(946,'Transfer Engine'!$C$2:$C$1199,0)),"Go to Act"))</f>
        <v/>
      </c>
    </row>
    <row r="956" spans="1:16" ht="172.95" customHeight="1" x14ac:dyDescent="0.3">
      <c r="A956" s="6" t="str">
        <f>IF(ISNA(MATCH(947,'Transfer Engine'!$C$2:$C$1199,0)),"",INDEX('Compliance Database'!$A$2:$A$1199,MATCH(947,'Transfer Engine'!$C$2:$C$1199,0)))</f>
        <v/>
      </c>
      <c r="B956" s="6" t="str">
        <f>IF(ISNA(MATCH(947,'Transfer Engine'!$C$2:$C$1199,0)),"",INDEX('Compliance Database'!$B$2:$B$1199,MATCH(947,'Transfer Engine'!$C$2:$C$1199,0)))</f>
        <v/>
      </c>
      <c r="C956" s="6" t="str">
        <f>IF(ISNA(MATCH(947,'Transfer Engine'!$C$2:$C$1199,0)),"",INDEX('Compliance Database'!$C$2:$C$1199,MATCH(947,'Transfer Engine'!$C$2:$C$1199,0)))</f>
        <v/>
      </c>
      <c r="D956" s="7" t="str">
        <f>IF(ISNA(MATCH(947,'Transfer Engine'!$C$2:$C$1199,0)),"",INDEX('Compliance Database'!$D$2:$D$1199,MATCH(947,'Transfer Engine'!$C$2:$C$1199,0)))</f>
        <v/>
      </c>
      <c r="E956" s="6" t="str">
        <f>IF(ISNA(MATCH(947,'Transfer Engine'!$C$2:$C$1199,0)),"",INDEX('Compliance Database'!$E$2:$E$1199,MATCH(947,'Transfer Engine'!$C$2:$C$1199,0)))</f>
        <v/>
      </c>
      <c r="F956" s="6" t="str">
        <f>IF(ISNA(MATCH(947,'Transfer Engine'!$C$2:$C$1199,0)),"",INDEX('Compliance Database'!$F$2:$F$1199,MATCH(947,'Transfer Engine'!$C$2:$C$1199,0)))</f>
        <v/>
      </c>
      <c r="G956" s="6" t="str">
        <f>IF(ISNA(MATCH(947,'Transfer Engine'!$C$2:$C$1199,0)),"",INDEX('Compliance Database'!$G$2:$G$1199,MATCH(947,'Transfer Engine'!$C$2:$C$1199,0)))</f>
        <v/>
      </c>
      <c r="H956" s="7" t="str">
        <f>IF(ISNA(MATCH(947,'Transfer Engine'!$C$2:$C$1199,0)),"",INDEX('Compliance Database'!$H$2:$H$1199,MATCH(947,'Transfer Engine'!$C$2:$C$1199,0)))</f>
        <v/>
      </c>
      <c r="I956" s="7" t="str">
        <f>IF(ISNA(MATCH(947,'Transfer Engine'!$C$2:$C$1199,0)),"",INDEX('Compliance Database'!$I$2:$I$1199,MATCH(947,'Transfer Engine'!$C$2:$C$1199,0)))</f>
        <v/>
      </c>
      <c r="J956" s="6" t="str">
        <f>IF(ISNA(MATCH(947,'Transfer Engine'!$C$2:$C$1199,0)),"",INDEX('Compliance Database'!$J$2:$J$1199,MATCH(947,'Transfer Engine'!$C$2:$C$1199,0)))</f>
        <v/>
      </c>
      <c r="K956" s="7" t="str">
        <f>IF(ISNA(MATCH(947,'Transfer Engine'!$C$2:$C$1199,0)),"",INDEX('Compliance Database'!$K$2:$K$1199,MATCH(947,'Transfer Engine'!$C$2:$C$1199,0)))</f>
        <v/>
      </c>
      <c r="L956" s="7" t="str">
        <f>IF(ISNA(MATCH(947,'Transfer Engine'!$C$2:$C$1199,0)),"",INDEX('Compliance Database'!$L$2:$L$1199,MATCH(947,'Transfer Engine'!$C$2:$C$1199,0)))</f>
        <v/>
      </c>
      <c r="M956" s="7" t="str">
        <f>IF(ISNA(MATCH(947,'Transfer Engine'!$C$2:$C$1199,0)),"",INDEX('Compliance Database'!$M$2:$M$1199,MATCH(947,'Transfer Engine'!$C$2:$C$1199,0)))</f>
        <v/>
      </c>
      <c r="N956" s="7" t="str">
        <f>IF(ISNA(MATCH(947,'Transfer Engine'!$C$2:$C$1199,0)),"",INDEX('Compliance Database'!$N$2:$N$1199,MATCH(947,'Transfer Engine'!$C$2:$C$1199,0)))</f>
        <v/>
      </c>
      <c r="O956" s="7" t="str">
        <f>IF(ISNA(MATCH(947,'Transfer Engine'!$C$2:$C$1199,0)),"",INDEX('Compliance Database'!$O$2:$O$1199,MATCH(947,'Transfer Engine'!$C$2:$C$1199,0)))</f>
        <v/>
      </c>
      <c r="P956" s="6" t="str">
        <f>IF(ISNA(MATCH(947,'Transfer Engine'!$C$2:$C$1199,0)),"",HYPERLINK("#Acts!A"&amp;INDEX('Compliance Database'!$P$2:$P$1199,MATCH(947,'Transfer Engine'!$C$2:$C$1199,0)),"Go to Act"))</f>
        <v/>
      </c>
    </row>
    <row r="957" spans="1:16" ht="172.95" customHeight="1" x14ac:dyDescent="0.3">
      <c r="A957" s="6" t="str">
        <f>IF(ISNA(MATCH(948,'Transfer Engine'!$C$2:$C$1199,0)),"",INDEX('Compliance Database'!$A$2:$A$1199,MATCH(948,'Transfer Engine'!$C$2:$C$1199,0)))</f>
        <v/>
      </c>
      <c r="B957" s="6" t="str">
        <f>IF(ISNA(MATCH(948,'Transfer Engine'!$C$2:$C$1199,0)),"",INDEX('Compliance Database'!$B$2:$B$1199,MATCH(948,'Transfer Engine'!$C$2:$C$1199,0)))</f>
        <v/>
      </c>
      <c r="C957" s="6" t="str">
        <f>IF(ISNA(MATCH(948,'Transfer Engine'!$C$2:$C$1199,0)),"",INDEX('Compliance Database'!$C$2:$C$1199,MATCH(948,'Transfer Engine'!$C$2:$C$1199,0)))</f>
        <v/>
      </c>
      <c r="D957" s="7" t="str">
        <f>IF(ISNA(MATCH(948,'Transfer Engine'!$C$2:$C$1199,0)),"",INDEX('Compliance Database'!$D$2:$D$1199,MATCH(948,'Transfer Engine'!$C$2:$C$1199,0)))</f>
        <v/>
      </c>
      <c r="E957" s="6" t="str">
        <f>IF(ISNA(MATCH(948,'Transfer Engine'!$C$2:$C$1199,0)),"",INDEX('Compliance Database'!$E$2:$E$1199,MATCH(948,'Transfer Engine'!$C$2:$C$1199,0)))</f>
        <v/>
      </c>
      <c r="F957" s="6" t="str">
        <f>IF(ISNA(MATCH(948,'Transfer Engine'!$C$2:$C$1199,0)),"",INDEX('Compliance Database'!$F$2:$F$1199,MATCH(948,'Transfer Engine'!$C$2:$C$1199,0)))</f>
        <v/>
      </c>
      <c r="G957" s="6" t="str">
        <f>IF(ISNA(MATCH(948,'Transfer Engine'!$C$2:$C$1199,0)),"",INDEX('Compliance Database'!$G$2:$G$1199,MATCH(948,'Transfer Engine'!$C$2:$C$1199,0)))</f>
        <v/>
      </c>
      <c r="H957" s="7" t="str">
        <f>IF(ISNA(MATCH(948,'Transfer Engine'!$C$2:$C$1199,0)),"",INDEX('Compliance Database'!$H$2:$H$1199,MATCH(948,'Transfer Engine'!$C$2:$C$1199,0)))</f>
        <v/>
      </c>
      <c r="I957" s="7" t="str">
        <f>IF(ISNA(MATCH(948,'Transfer Engine'!$C$2:$C$1199,0)),"",INDEX('Compliance Database'!$I$2:$I$1199,MATCH(948,'Transfer Engine'!$C$2:$C$1199,0)))</f>
        <v/>
      </c>
      <c r="J957" s="6" t="str">
        <f>IF(ISNA(MATCH(948,'Transfer Engine'!$C$2:$C$1199,0)),"",INDEX('Compliance Database'!$J$2:$J$1199,MATCH(948,'Transfer Engine'!$C$2:$C$1199,0)))</f>
        <v/>
      </c>
      <c r="K957" s="7" t="str">
        <f>IF(ISNA(MATCH(948,'Transfer Engine'!$C$2:$C$1199,0)),"",INDEX('Compliance Database'!$K$2:$K$1199,MATCH(948,'Transfer Engine'!$C$2:$C$1199,0)))</f>
        <v/>
      </c>
      <c r="L957" s="7" t="str">
        <f>IF(ISNA(MATCH(948,'Transfer Engine'!$C$2:$C$1199,0)),"",INDEX('Compliance Database'!$L$2:$L$1199,MATCH(948,'Transfer Engine'!$C$2:$C$1199,0)))</f>
        <v/>
      </c>
      <c r="M957" s="7" t="str">
        <f>IF(ISNA(MATCH(948,'Transfer Engine'!$C$2:$C$1199,0)),"",INDEX('Compliance Database'!$M$2:$M$1199,MATCH(948,'Transfer Engine'!$C$2:$C$1199,0)))</f>
        <v/>
      </c>
      <c r="N957" s="7" t="str">
        <f>IF(ISNA(MATCH(948,'Transfer Engine'!$C$2:$C$1199,0)),"",INDEX('Compliance Database'!$N$2:$N$1199,MATCH(948,'Transfer Engine'!$C$2:$C$1199,0)))</f>
        <v/>
      </c>
      <c r="O957" s="7" t="str">
        <f>IF(ISNA(MATCH(948,'Transfer Engine'!$C$2:$C$1199,0)),"",INDEX('Compliance Database'!$O$2:$O$1199,MATCH(948,'Transfer Engine'!$C$2:$C$1199,0)))</f>
        <v/>
      </c>
      <c r="P957" s="6" t="str">
        <f>IF(ISNA(MATCH(948,'Transfer Engine'!$C$2:$C$1199,0)),"",HYPERLINK("#Acts!A"&amp;INDEX('Compliance Database'!$P$2:$P$1199,MATCH(948,'Transfer Engine'!$C$2:$C$1199,0)),"Go to Act"))</f>
        <v/>
      </c>
    </row>
    <row r="958" spans="1:16" ht="172.95" customHeight="1" x14ac:dyDescent="0.3">
      <c r="A958" s="6" t="str">
        <f>IF(ISNA(MATCH(949,'Transfer Engine'!$C$2:$C$1199,0)),"",INDEX('Compliance Database'!$A$2:$A$1199,MATCH(949,'Transfer Engine'!$C$2:$C$1199,0)))</f>
        <v/>
      </c>
      <c r="B958" s="6" t="str">
        <f>IF(ISNA(MATCH(949,'Transfer Engine'!$C$2:$C$1199,0)),"",INDEX('Compliance Database'!$B$2:$B$1199,MATCH(949,'Transfer Engine'!$C$2:$C$1199,0)))</f>
        <v/>
      </c>
      <c r="C958" s="6" t="str">
        <f>IF(ISNA(MATCH(949,'Transfer Engine'!$C$2:$C$1199,0)),"",INDEX('Compliance Database'!$C$2:$C$1199,MATCH(949,'Transfer Engine'!$C$2:$C$1199,0)))</f>
        <v/>
      </c>
      <c r="D958" s="7" t="str">
        <f>IF(ISNA(MATCH(949,'Transfer Engine'!$C$2:$C$1199,0)),"",INDEX('Compliance Database'!$D$2:$D$1199,MATCH(949,'Transfer Engine'!$C$2:$C$1199,0)))</f>
        <v/>
      </c>
      <c r="E958" s="6" t="str">
        <f>IF(ISNA(MATCH(949,'Transfer Engine'!$C$2:$C$1199,0)),"",INDEX('Compliance Database'!$E$2:$E$1199,MATCH(949,'Transfer Engine'!$C$2:$C$1199,0)))</f>
        <v/>
      </c>
      <c r="F958" s="6" t="str">
        <f>IF(ISNA(MATCH(949,'Transfer Engine'!$C$2:$C$1199,0)),"",INDEX('Compliance Database'!$F$2:$F$1199,MATCH(949,'Transfer Engine'!$C$2:$C$1199,0)))</f>
        <v/>
      </c>
      <c r="G958" s="6" t="str">
        <f>IF(ISNA(MATCH(949,'Transfer Engine'!$C$2:$C$1199,0)),"",INDEX('Compliance Database'!$G$2:$G$1199,MATCH(949,'Transfer Engine'!$C$2:$C$1199,0)))</f>
        <v/>
      </c>
      <c r="H958" s="7" t="str">
        <f>IF(ISNA(MATCH(949,'Transfer Engine'!$C$2:$C$1199,0)),"",INDEX('Compliance Database'!$H$2:$H$1199,MATCH(949,'Transfer Engine'!$C$2:$C$1199,0)))</f>
        <v/>
      </c>
      <c r="I958" s="7" t="str">
        <f>IF(ISNA(MATCH(949,'Transfer Engine'!$C$2:$C$1199,0)),"",INDEX('Compliance Database'!$I$2:$I$1199,MATCH(949,'Transfer Engine'!$C$2:$C$1199,0)))</f>
        <v/>
      </c>
      <c r="J958" s="6" t="str">
        <f>IF(ISNA(MATCH(949,'Transfer Engine'!$C$2:$C$1199,0)),"",INDEX('Compliance Database'!$J$2:$J$1199,MATCH(949,'Transfer Engine'!$C$2:$C$1199,0)))</f>
        <v/>
      </c>
      <c r="K958" s="7" t="str">
        <f>IF(ISNA(MATCH(949,'Transfer Engine'!$C$2:$C$1199,0)),"",INDEX('Compliance Database'!$K$2:$K$1199,MATCH(949,'Transfer Engine'!$C$2:$C$1199,0)))</f>
        <v/>
      </c>
      <c r="L958" s="7" t="str">
        <f>IF(ISNA(MATCH(949,'Transfer Engine'!$C$2:$C$1199,0)),"",INDEX('Compliance Database'!$L$2:$L$1199,MATCH(949,'Transfer Engine'!$C$2:$C$1199,0)))</f>
        <v/>
      </c>
      <c r="M958" s="7" t="str">
        <f>IF(ISNA(MATCH(949,'Transfer Engine'!$C$2:$C$1199,0)),"",INDEX('Compliance Database'!$M$2:$M$1199,MATCH(949,'Transfer Engine'!$C$2:$C$1199,0)))</f>
        <v/>
      </c>
      <c r="N958" s="7" t="str">
        <f>IF(ISNA(MATCH(949,'Transfer Engine'!$C$2:$C$1199,0)),"",INDEX('Compliance Database'!$N$2:$N$1199,MATCH(949,'Transfer Engine'!$C$2:$C$1199,0)))</f>
        <v/>
      </c>
      <c r="O958" s="7" t="str">
        <f>IF(ISNA(MATCH(949,'Transfer Engine'!$C$2:$C$1199,0)),"",INDEX('Compliance Database'!$O$2:$O$1199,MATCH(949,'Transfer Engine'!$C$2:$C$1199,0)))</f>
        <v/>
      </c>
      <c r="P958" s="6" t="str">
        <f>IF(ISNA(MATCH(949,'Transfer Engine'!$C$2:$C$1199,0)),"",HYPERLINK("#Acts!A"&amp;INDEX('Compliance Database'!$P$2:$P$1199,MATCH(949,'Transfer Engine'!$C$2:$C$1199,0)),"Go to Act"))</f>
        <v/>
      </c>
    </row>
    <row r="959" spans="1:16" ht="172.95" customHeight="1" x14ac:dyDescent="0.3">
      <c r="A959" s="6" t="str">
        <f>IF(ISNA(MATCH(950,'Transfer Engine'!$C$2:$C$1199,0)),"",INDEX('Compliance Database'!$A$2:$A$1199,MATCH(950,'Transfer Engine'!$C$2:$C$1199,0)))</f>
        <v/>
      </c>
      <c r="B959" s="6" t="str">
        <f>IF(ISNA(MATCH(950,'Transfer Engine'!$C$2:$C$1199,0)),"",INDEX('Compliance Database'!$B$2:$B$1199,MATCH(950,'Transfer Engine'!$C$2:$C$1199,0)))</f>
        <v/>
      </c>
      <c r="C959" s="6" t="str">
        <f>IF(ISNA(MATCH(950,'Transfer Engine'!$C$2:$C$1199,0)),"",INDEX('Compliance Database'!$C$2:$C$1199,MATCH(950,'Transfer Engine'!$C$2:$C$1199,0)))</f>
        <v/>
      </c>
      <c r="D959" s="7" t="str">
        <f>IF(ISNA(MATCH(950,'Transfer Engine'!$C$2:$C$1199,0)),"",INDEX('Compliance Database'!$D$2:$D$1199,MATCH(950,'Transfer Engine'!$C$2:$C$1199,0)))</f>
        <v/>
      </c>
      <c r="E959" s="6" t="str">
        <f>IF(ISNA(MATCH(950,'Transfer Engine'!$C$2:$C$1199,0)),"",INDEX('Compliance Database'!$E$2:$E$1199,MATCH(950,'Transfer Engine'!$C$2:$C$1199,0)))</f>
        <v/>
      </c>
      <c r="F959" s="6" t="str">
        <f>IF(ISNA(MATCH(950,'Transfer Engine'!$C$2:$C$1199,0)),"",INDEX('Compliance Database'!$F$2:$F$1199,MATCH(950,'Transfer Engine'!$C$2:$C$1199,0)))</f>
        <v/>
      </c>
      <c r="G959" s="6" t="str">
        <f>IF(ISNA(MATCH(950,'Transfer Engine'!$C$2:$C$1199,0)),"",INDEX('Compliance Database'!$G$2:$G$1199,MATCH(950,'Transfer Engine'!$C$2:$C$1199,0)))</f>
        <v/>
      </c>
      <c r="H959" s="7" t="str">
        <f>IF(ISNA(MATCH(950,'Transfer Engine'!$C$2:$C$1199,0)),"",INDEX('Compliance Database'!$H$2:$H$1199,MATCH(950,'Transfer Engine'!$C$2:$C$1199,0)))</f>
        <v/>
      </c>
      <c r="I959" s="7" t="str">
        <f>IF(ISNA(MATCH(950,'Transfer Engine'!$C$2:$C$1199,0)),"",INDEX('Compliance Database'!$I$2:$I$1199,MATCH(950,'Transfer Engine'!$C$2:$C$1199,0)))</f>
        <v/>
      </c>
      <c r="J959" s="6" t="str">
        <f>IF(ISNA(MATCH(950,'Transfer Engine'!$C$2:$C$1199,0)),"",INDEX('Compliance Database'!$J$2:$J$1199,MATCH(950,'Transfer Engine'!$C$2:$C$1199,0)))</f>
        <v/>
      </c>
      <c r="K959" s="7" t="str">
        <f>IF(ISNA(MATCH(950,'Transfer Engine'!$C$2:$C$1199,0)),"",INDEX('Compliance Database'!$K$2:$K$1199,MATCH(950,'Transfer Engine'!$C$2:$C$1199,0)))</f>
        <v/>
      </c>
      <c r="L959" s="7" t="str">
        <f>IF(ISNA(MATCH(950,'Transfer Engine'!$C$2:$C$1199,0)),"",INDEX('Compliance Database'!$L$2:$L$1199,MATCH(950,'Transfer Engine'!$C$2:$C$1199,0)))</f>
        <v/>
      </c>
      <c r="M959" s="7" t="str">
        <f>IF(ISNA(MATCH(950,'Transfer Engine'!$C$2:$C$1199,0)),"",INDEX('Compliance Database'!$M$2:$M$1199,MATCH(950,'Transfer Engine'!$C$2:$C$1199,0)))</f>
        <v/>
      </c>
      <c r="N959" s="7" t="str">
        <f>IF(ISNA(MATCH(950,'Transfer Engine'!$C$2:$C$1199,0)),"",INDEX('Compliance Database'!$N$2:$N$1199,MATCH(950,'Transfer Engine'!$C$2:$C$1199,0)))</f>
        <v/>
      </c>
      <c r="O959" s="7" t="str">
        <f>IF(ISNA(MATCH(950,'Transfer Engine'!$C$2:$C$1199,0)),"",INDEX('Compliance Database'!$O$2:$O$1199,MATCH(950,'Transfer Engine'!$C$2:$C$1199,0)))</f>
        <v/>
      </c>
      <c r="P959" s="6" t="str">
        <f>IF(ISNA(MATCH(950,'Transfer Engine'!$C$2:$C$1199,0)),"",HYPERLINK("#Acts!A"&amp;INDEX('Compliance Database'!$P$2:$P$1199,MATCH(950,'Transfer Engine'!$C$2:$C$1199,0)),"Go to Act"))</f>
        <v/>
      </c>
    </row>
    <row r="960" spans="1:16" ht="172.95" customHeight="1" x14ac:dyDescent="0.3">
      <c r="A960" s="6" t="str">
        <f>IF(ISNA(MATCH(951,'Transfer Engine'!$C$2:$C$1199,0)),"",INDEX('Compliance Database'!$A$2:$A$1199,MATCH(951,'Transfer Engine'!$C$2:$C$1199,0)))</f>
        <v/>
      </c>
      <c r="B960" s="6" t="str">
        <f>IF(ISNA(MATCH(951,'Transfer Engine'!$C$2:$C$1199,0)),"",INDEX('Compliance Database'!$B$2:$B$1199,MATCH(951,'Transfer Engine'!$C$2:$C$1199,0)))</f>
        <v/>
      </c>
      <c r="C960" s="6" t="str">
        <f>IF(ISNA(MATCH(951,'Transfer Engine'!$C$2:$C$1199,0)),"",INDEX('Compliance Database'!$C$2:$C$1199,MATCH(951,'Transfer Engine'!$C$2:$C$1199,0)))</f>
        <v/>
      </c>
      <c r="D960" s="7" t="str">
        <f>IF(ISNA(MATCH(951,'Transfer Engine'!$C$2:$C$1199,0)),"",INDEX('Compliance Database'!$D$2:$D$1199,MATCH(951,'Transfer Engine'!$C$2:$C$1199,0)))</f>
        <v/>
      </c>
      <c r="E960" s="6" t="str">
        <f>IF(ISNA(MATCH(951,'Transfer Engine'!$C$2:$C$1199,0)),"",INDEX('Compliance Database'!$E$2:$E$1199,MATCH(951,'Transfer Engine'!$C$2:$C$1199,0)))</f>
        <v/>
      </c>
      <c r="F960" s="6" t="str">
        <f>IF(ISNA(MATCH(951,'Transfer Engine'!$C$2:$C$1199,0)),"",INDEX('Compliance Database'!$F$2:$F$1199,MATCH(951,'Transfer Engine'!$C$2:$C$1199,0)))</f>
        <v/>
      </c>
      <c r="G960" s="6" t="str">
        <f>IF(ISNA(MATCH(951,'Transfer Engine'!$C$2:$C$1199,0)),"",INDEX('Compliance Database'!$G$2:$G$1199,MATCH(951,'Transfer Engine'!$C$2:$C$1199,0)))</f>
        <v/>
      </c>
      <c r="H960" s="7" t="str">
        <f>IF(ISNA(MATCH(951,'Transfer Engine'!$C$2:$C$1199,0)),"",INDEX('Compliance Database'!$H$2:$H$1199,MATCH(951,'Transfer Engine'!$C$2:$C$1199,0)))</f>
        <v/>
      </c>
      <c r="I960" s="7" t="str">
        <f>IF(ISNA(MATCH(951,'Transfer Engine'!$C$2:$C$1199,0)),"",INDEX('Compliance Database'!$I$2:$I$1199,MATCH(951,'Transfer Engine'!$C$2:$C$1199,0)))</f>
        <v/>
      </c>
      <c r="J960" s="6" t="str">
        <f>IF(ISNA(MATCH(951,'Transfer Engine'!$C$2:$C$1199,0)),"",INDEX('Compliance Database'!$J$2:$J$1199,MATCH(951,'Transfer Engine'!$C$2:$C$1199,0)))</f>
        <v/>
      </c>
      <c r="K960" s="7" t="str">
        <f>IF(ISNA(MATCH(951,'Transfer Engine'!$C$2:$C$1199,0)),"",INDEX('Compliance Database'!$K$2:$K$1199,MATCH(951,'Transfer Engine'!$C$2:$C$1199,0)))</f>
        <v/>
      </c>
      <c r="L960" s="7" t="str">
        <f>IF(ISNA(MATCH(951,'Transfer Engine'!$C$2:$C$1199,0)),"",INDEX('Compliance Database'!$L$2:$L$1199,MATCH(951,'Transfer Engine'!$C$2:$C$1199,0)))</f>
        <v/>
      </c>
      <c r="M960" s="7" t="str">
        <f>IF(ISNA(MATCH(951,'Transfer Engine'!$C$2:$C$1199,0)),"",INDEX('Compliance Database'!$M$2:$M$1199,MATCH(951,'Transfer Engine'!$C$2:$C$1199,0)))</f>
        <v/>
      </c>
      <c r="N960" s="7" t="str">
        <f>IF(ISNA(MATCH(951,'Transfer Engine'!$C$2:$C$1199,0)),"",INDEX('Compliance Database'!$N$2:$N$1199,MATCH(951,'Transfer Engine'!$C$2:$C$1199,0)))</f>
        <v/>
      </c>
      <c r="O960" s="7" t="str">
        <f>IF(ISNA(MATCH(951,'Transfer Engine'!$C$2:$C$1199,0)),"",INDEX('Compliance Database'!$O$2:$O$1199,MATCH(951,'Transfer Engine'!$C$2:$C$1199,0)))</f>
        <v/>
      </c>
      <c r="P960" s="6" t="str">
        <f>IF(ISNA(MATCH(951,'Transfer Engine'!$C$2:$C$1199,0)),"",HYPERLINK("#Acts!A"&amp;INDEX('Compliance Database'!$P$2:$P$1199,MATCH(951,'Transfer Engine'!$C$2:$C$1199,0)),"Go to Act"))</f>
        <v/>
      </c>
    </row>
    <row r="961" spans="1:16" ht="172.95" customHeight="1" x14ac:dyDescent="0.3">
      <c r="A961" s="6" t="str">
        <f>IF(ISNA(MATCH(952,'Transfer Engine'!$C$2:$C$1199,0)),"",INDEX('Compliance Database'!$A$2:$A$1199,MATCH(952,'Transfer Engine'!$C$2:$C$1199,0)))</f>
        <v/>
      </c>
      <c r="B961" s="6" t="str">
        <f>IF(ISNA(MATCH(952,'Transfer Engine'!$C$2:$C$1199,0)),"",INDEX('Compliance Database'!$B$2:$B$1199,MATCH(952,'Transfer Engine'!$C$2:$C$1199,0)))</f>
        <v/>
      </c>
      <c r="C961" s="6" t="str">
        <f>IF(ISNA(MATCH(952,'Transfer Engine'!$C$2:$C$1199,0)),"",INDEX('Compliance Database'!$C$2:$C$1199,MATCH(952,'Transfer Engine'!$C$2:$C$1199,0)))</f>
        <v/>
      </c>
      <c r="D961" s="7" t="str">
        <f>IF(ISNA(MATCH(952,'Transfer Engine'!$C$2:$C$1199,0)),"",INDEX('Compliance Database'!$D$2:$D$1199,MATCH(952,'Transfer Engine'!$C$2:$C$1199,0)))</f>
        <v/>
      </c>
      <c r="E961" s="6" t="str">
        <f>IF(ISNA(MATCH(952,'Transfer Engine'!$C$2:$C$1199,0)),"",INDEX('Compliance Database'!$E$2:$E$1199,MATCH(952,'Transfer Engine'!$C$2:$C$1199,0)))</f>
        <v/>
      </c>
      <c r="F961" s="6" t="str">
        <f>IF(ISNA(MATCH(952,'Transfer Engine'!$C$2:$C$1199,0)),"",INDEX('Compliance Database'!$F$2:$F$1199,MATCH(952,'Transfer Engine'!$C$2:$C$1199,0)))</f>
        <v/>
      </c>
      <c r="G961" s="6" t="str">
        <f>IF(ISNA(MATCH(952,'Transfer Engine'!$C$2:$C$1199,0)),"",INDEX('Compliance Database'!$G$2:$G$1199,MATCH(952,'Transfer Engine'!$C$2:$C$1199,0)))</f>
        <v/>
      </c>
      <c r="H961" s="7" t="str">
        <f>IF(ISNA(MATCH(952,'Transfer Engine'!$C$2:$C$1199,0)),"",INDEX('Compliance Database'!$H$2:$H$1199,MATCH(952,'Transfer Engine'!$C$2:$C$1199,0)))</f>
        <v/>
      </c>
      <c r="I961" s="7" t="str">
        <f>IF(ISNA(MATCH(952,'Transfer Engine'!$C$2:$C$1199,0)),"",INDEX('Compliance Database'!$I$2:$I$1199,MATCH(952,'Transfer Engine'!$C$2:$C$1199,0)))</f>
        <v/>
      </c>
      <c r="J961" s="6" t="str">
        <f>IF(ISNA(MATCH(952,'Transfer Engine'!$C$2:$C$1199,0)),"",INDEX('Compliance Database'!$J$2:$J$1199,MATCH(952,'Transfer Engine'!$C$2:$C$1199,0)))</f>
        <v/>
      </c>
      <c r="K961" s="7" t="str">
        <f>IF(ISNA(MATCH(952,'Transfer Engine'!$C$2:$C$1199,0)),"",INDEX('Compliance Database'!$K$2:$K$1199,MATCH(952,'Transfer Engine'!$C$2:$C$1199,0)))</f>
        <v/>
      </c>
      <c r="L961" s="7" t="str">
        <f>IF(ISNA(MATCH(952,'Transfer Engine'!$C$2:$C$1199,0)),"",INDEX('Compliance Database'!$L$2:$L$1199,MATCH(952,'Transfer Engine'!$C$2:$C$1199,0)))</f>
        <v/>
      </c>
      <c r="M961" s="7" t="str">
        <f>IF(ISNA(MATCH(952,'Transfer Engine'!$C$2:$C$1199,0)),"",INDEX('Compliance Database'!$M$2:$M$1199,MATCH(952,'Transfer Engine'!$C$2:$C$1199,0)))</f>
        <v/>
      </c>
      <c r="N961" s="7" t="str">
        <f>IF(ISNA(MATCH(952,'Transfer Engine'!$C$2:$C$1199,0)),"",INDEX('Compliance Database'!$N$2:$N$1199,MATCH(952,'Transfer Engine'!$C$2:$C$1199,0)))</f>
        <v/>
      </c>
      <c r="O961" s="7" t="str">
        <f>IF(ISNA(MATCH(952,'Transfer Engine'!$C$2:$C$1199,0)),"",INDEX('Compliance Database'!$O$2:$O$1199,MATCH(952,'Transfer Engine'!$C$2:$C$1199,0)))</f>
        <v/>
      </c>
      <c r="P961" s="6" t="str">
        <f>IF(ISNA(MATCH(952,'Transfer Engine'!$C$2:$C$1199,0)),"",HYPERLINK("#Acts!A"&amp;INDEX('Compliance Database'!$P$2:$P$1199,MATCH(952,'Transfer Engine'!$C$2:$C$1199,0)),"Go to Act"))</f>
        <v/>
      </c>
    </row>
    <row r="962" spans="1:16" ht="172.95" customHeight="1" x14ac:dyDescent="0.3">
      <c r="A962" s="6" t="str">
        <f>IF(ISNA(MATCH(953,'Transfer Engine'!$C$2:$C$1199,0)),"",INDEX('Compliance Database'!$A$2:$A$1199,MATCH(953,'Transfer Engine'!$C$2:$C$1199,0)))</f>
        <v/>
      </c>
      <c r="B962" s="6" t="str">
        <f>IF(ISNA(MATCH(953,'Transfer Engine'!$C$2:$C$1199,0)),"",INDEX('Compliance Database'!$B$2:$B$1199,MATCH(953,'Transfer Engine'!$C$2:$C$1199,0)))</f>
        <v/>
      </c>
      <c r="C962" s="6" t="str">
        <f>IF(ISNA(MATCH(953,'Transfer Engine'!$C$2:$C$1199,0)),"",INDEX('Compliance Database'!$C$2:$C$1199,MATCH(953,'Transfer Engine'!$C$2:$C$1199,0)))</f>
        <v/>
      </c>
      <c r="D962" s="7" t="str">
        <f>IF(ISNA(MATCH(953,'Transfer Engine'!$C$2:$C$1199,0)),"",INDEX('Compliance Database'!$D$2:$D$1199,MATCH(953,'Transfer Engine'!$C$2:$C$1199,0)))</f>
        <v/>
      </c>
      <c r="E962" s="6" t="str">
        <f>IF(ISNA(MATCH(953,'Transfer Engine'!$C$2:$C$1199,0)),"",INDEX('Compliance Database'!$E$2:$E$1199,MATCH(953,'Transfer Engine'!$C$2:$C$1199,0)))</f>
        <v/>
      </c>
      <c r="F962" s="6" t="str">
        <f>IF(ISNA(MATCH(953,'Transfer Engine'!$C$2:$C$1199,0)),"",INDEX('Compliance Database'!$F$2:$F$1199,MATCH(953,'Transfer Engine'!$C$2:$C$1199,0)))</f>
        <v/>
      </c>
      <c r="G962" s="6" t="str">
        <f>IF(ISNA(MATCH(953,'Transfer Engine'!$C$2:$C$1199,0)),"",INDEX('Compliance Database'!$G$2:$G$1199,MATCH(953,'Transfer Engine'!$C$2:$C$1199,0)))</f>
        <v/>
      </c>
      <c r="H962" s="7" t="str">
        <f>IF(ISNA(MATCH(953,'Transfer Engine'!$C$2:$C$1199,0)),"",INDEX('Compliance Database'!$H$2:$H$1199,MATCH(953,'Transfer Engine'!$C$2:$C$1199,0)))</f>
        <v/>
      </c>
      <c r="I962" s="7" t="str">
        <f>IF(ISNA(MATCH(953,'Transfer Engine'!$C$2:$C$1199,0)),"",INDEX('Compliance Database'!$I$2:$I$1199,MATCH(953,'Transfer Engine'!$C$2:$C$1199,0)))</f>
        <v/>
      </c>
      <c r="J962" s="6" t="str">
        <f>IF(ISNA(MATCH(953,'Transfer Engine'!$C$2:$C$1199,0)),"",INDEX('Compliance Database'!$J$2:$J$1199,MATCH(953,'Transfer Engine'!$C$2:$C$1199,0)))</f>
        <v/>
      </c>
      <c r="K962" s="7" t="str">
        <f>IF(ISNA(MATCH(953,'Transfer Engine'!$C$2:$C$1199,0)),"",INDEX('Compliance Database'!$K$2:$K$1199,MATCH(953,'Transfer Engine'!$C$2:$C$1199,0)))</f>
        <v/>
      </c>
      <c r="L962" s="7" t="str">
        <f>IF(ISNA(MATCH(953,'Transfer Engine'!$C$2:$C$1199,0)),"",INDEX('Compliance Database'!$L$2:$L$1199,MATCH(953,'Transfer Engine'!$C$2:$C$1199,0)))</f>
        <v/>
      </c>
      <c r="M962" s="7" t="str">
        <f>IF(ISNA(MATCH(953,'Transfer Engine'!$C$2:$C$1199,0)),"",INDEX('Compliance Database'!$M$2:$M$1199,MATCH(953,'Transfer Engine'!$C$2:$C$1199,0)))</f>
        <v/>
      </c>
      <c r="N962" s="7" t="str">
        <f>IF(ISNA(MATCH(953,'Transfer Engine'!$C$2:$C$1199,0)),"",INDEX('Compliance Database'!$N$2:$N$1199,MATCH(953,'Transfer Engine'!$C$2:$C$1199,0)))</f>
        <v/>
      </c>
      <c r="O962" s="7" t="str">
        <f>IF(ISNA(MATCH(953,'Transfer Engine'!$C$2:$C$1199,0)),"",INDEX('Compliance Database'!$O$2:$O$1199,MATCH(953,'Transfer Engine'!$C$2:$C$1199,0)))</f>
        <v/>
      </c>
      <c r="P962" s="6" t="str">
        <f>IF(ISNA(MATCH(953,'Transfer Engine'!$C$2:$C$1199,0)),"",HYPERLINK("#Acts!A"&amp;INDEX('Compliance Database'!$P$2:$P$1199,MATCH(953,'Transfer Engine'!$C$2:$C$1199,0)),"Go to Act"))</f>
        <v/>
      </c>
    </row>
    <row r="963" spans="1:16" ht="172.95" customHeight="1" x14ac:dyDescent="0.3">
      <c r="A963" s="6" t="str">
        <f>IF(ISNA(MATCH(954,'Transfer Engine'!$C$2:$C$1199,0)),"",INDEX('Compliance Database'!$A$2:$A$1199,MATCH(954,'Transfer Engine'!$C$2:$C$1199,0)))</f>
        <v/>
      </c>
      <c r="B963" s="6" t="str">
        <f>IF(ISNA(MATCH(954,'Transfer Engine'!$C$2:$C$1199,0)),"",INDEX('Compliance Database'!$B$2:$B$1199,MATCH(954,'Transfer Engine'!$C$2:$C$1199,0)))</f>
        <v/>
      </c>
      <c r="C963" s="6" t="str">
        <f>IF(ISNA(MATCH(954,'Transfer Engine'!$C$2:$C$1199,0)),"",INDEX('Compliance Database'!$C$2:$C$1199,MATCH(954,'Transfer Engine'!$C$2:$C$1199,0)))</f>
        <v/>
      </c>
      <c r="D963" s="7" t="str">
        <f>IF(ISNA(MATCH(954,'Transfer Engine'!$C$2:$C$1199,0)),"",INDEX('Compliance Database'!$D$2:$D$1199,MATCH(954,'Transfer Engine'!$C$2:$C$1199,0)))</f>
        <v/>
      </c>
      <c r="E963" s="6" t="str">
        <f>IF(ISNA(MATCH(954,'Transfer Engine'!$C$2:$C$1199,0)),"",INDEX('Compliance Database'!$E$2:$E$1199,MATCH(954,'Transfer Engine'!$C$2:$C$1199,0)))</f>
        <v/>
      </c>
      <c r="F963" s="6" t="str">
        <f>IF(ISNA(MATCH(954,'Transfer Engine'!$C$2:$C$1199,0)),"",INDEX('Compliance Database'!$F$2:$F$1199,MATCH(954,'Transfer Engine'!$C$2:$C$1199,0)))</f>
        <v/>
      </c>
      <c r="G963" s="6" t="str">
        <f>IF(ISNA(MATCH(954,'Transfer Engine'!$C$2:$C$1199,0)),"",INDEX('Compliance Database'!$G$2:$G$1199,MATCH(954,'Transfer Engine'!$C$2:$C$1199,0)))</f>
        <v/>
      </c>
      <c r="H963" s="7" t="str">
        <f>IF(ISNA(MATCH(954,'Transfer Engine'!$C$2:$C$1199,0)),"",INDEX('Compliance Database'!$H$2:$H$1199,MATCH(954,'Transfer Engine'!$C$2:$C$1199,0)))</f>
        <v/>
      </c>
      <c r="I963" s="7" t="str">
        <f>IF(ISNA(MATCH(954,'Transfer Engine'!$C$2:$C$1199,0)),"",INDEX('Compliance Database'!$I$2:$I$1199,MATCH(954,'Transfer Engine'!$C$2:$C$1199,0)))</f>
        <v/>
      </c>
      <c r="J963" s="6" t="str">
        <f>IF(ISNA(MATCH(954,'Transfer Engine'!$C$2:$C$1199,0)),"",INDEX('Compliance Database'!$J$2:$J$1199,MATCH(954,'Transfer Engine'!$C$2:$C$1199,0)))</f>
        <v/>
      </c>
      <c r="K963" s="7" t="str">
        <f>IF(ISNA(MATCH(954,'Transfer Engine'!$C$2:$C$1199,0)),"",INDEX('Compliance Database'!$K$2:$K$1199,MATCH(954,'Transfer Engine'!$C$2:$C$1199,0)))</f>
        <v/>
      </c>
      <c r="L963" s="7" t="str">
        <f>IF(ISNA(MATCH(954,'Transfer Engine'!$C$2:$C$1199,0)),"",INDEX('Compliance Database'!$L$2:$L$1199,MATCH(954,'Transfer Engine'!$C$2:$C$1199,0)))</f>
        <v/>
      </c>
      <c r="M963" s="7" t="str">
        <f>IF(ISNA(MATCH(954,'Transfer Engine'!$C$2:$C$1199,0)),"",INDEX('Compliance Database'!$M$2:$M$1199,MATCH(954,'Transfer Engine'!$C$2:$C$1199,0)))</f>
        <v/>
      </c>
      <c r="N963" s="7" t="str">
        <f>IF(ISNA(MATCH(954,'Transfer Engine'!$C$2:$C$1199,0)),"",INDEX('Compliance Database'!$N$2:$N$1199,MATCH(954,'Transfer Engine'!$C$2:$C$1199,0)))</f>
        <v/>
      </c>
      <c r="O963" s="7" t="str">
        <f>IF(ISNA(MATCH(954,'Transfer Engine'!$C$2:$C$1199,0)),"",INDEX('Compliance Database'!$O$2:$O$1199,MATCH(954,'Transfer Engine'!$C$2:$C$1199,0)))</f>
        <v/>
      </c>
      <c r="P963" s="6" t="str">
        <f>IF(ISNA(MATCH(954,'Transfer Engine'!$C$2:$C$1199,0)),"",HYPERLINK("#Acts!A"&amp;INDEX('Compliance Database'!$P$2:$P$1199,MATCH(954,'Transfer Engine'!$C$2:$C$1199,0)),"Go to Act"))</f>
        <v/>
      </c>
    </row>
    <row r="964" spans="1:16" ht="172.95" customHeight="1" x14ac:dyDescent="0.3">
      <c r="A964" s="6" t="str">
        <f>IF(ISNA(MATCH(955,'Transfer Engine'!$C$2:$C$1199,0)),"",INDEX('Compliance Database'!$A$2:$A$1199,MATCH(955,'Transfer Engine'!$C$2:$C$1199,0)))</f>
        <v/>
      </c>
      <c r="B964" s="6" t="str">
        <f>IF(ISNA(MATCH(955,'Transfer Engine'!$C$2:$C$1199,0)),"",INDEX('Compliance Database'!$B$2:$B$1199,MATCH(955,'Transfer Engine'!$C$2:$C$1199,0)))</f>
        <v/>
      </c>
      <c r="C964" s="6" t="str">
        <f>IF(ISNA(MATCH(955,'Transfer Engine'!$C$2:$C$1199,0)),"",INDEX('Compliance Database'!$C$2:$C$1199,MATCH(955,'Transfer Engine'!$C$2:$C$1199,0)))</f>
        <v/>
      </c>
      <c r="D964" s="7" t="str">
        <f>IF(ISNA(MATCH(955,'Transfer Engine'!$C$2:$C$1199,0)),"",INDEX('Compliance Database'!$D$2:$D$1199,MATCH(955,'Transfer Engine'!$C$2:$C$1199,0)))</f>
        <v/>
      </c>
      <c r="E964" s="6" t="str">
        <f>IF(ISNA(MATCH(955,'Transfer Engine'!$C$2:$C$1199,0)),"",INDEX('Compliance Database'!$E$2:$E$1199,MATCH(955,'Transfer Engine'!$C$2:$C$1199,0)))</f>
        <v/>
      </c>
      <c r="F964" s="6" t="str">
        <f>IF(ISNA(MATCH(955,'Transfer Engine'!$C$2:$C$1199,0)),"",INDEX('Compliance Database'!$F$2:$F$1199,MATCH(955,'Transfer Engine'!$C$2:$C$1199,0)))</f>
        <v/>
      </c>
      <c r="G964" s="6" t="str">
        <f>IF(ISNA(MATCH(955,'Transfer Engine'!$C$2:$C$1199,0)),"",INDEX('Compliance Database'!$G$2:$G$1199,MATCH(955,'Transfer Engine'!$C$2:$C$1199,0)))</f>
        <v/>
      </c>
      <c r="H964" s="7" t="str">
        <f>IF(ISNA(MATCH(955,'Transfer Engine'!$C$2:$C$1199,0)),"",INDEX('Compliance Database'!$H$2:$H$1199,MATCH(955,'Transfer Engine'!$C$2:$C$1199,0)))</f>
        <v/>
      </c>
      <c r="I964" s="7" t="str">
        <f>IF(ISNA(MATCH(955,'Transfer Engine'!$C$2:$C$1199,0)),"",INDEX('Compliance Database'!$I$2:$I$1199,MATCH(955,'Transfer Engine'!$C$2:$C$1199,0)))</f>
        <v/>
      </c>
      <c r="J964" s="6" t="str">
        <f>IF(ISNA(MATCH(955,'Transfer Engine'!$C$2:$C$1199,0)),"",INDEX('Compliance Database'!$J$2:$J$1199,MATCH(955,'Transfer Engine'!$C$2:$C$1199,0)))</f>
        <v/>
      </c>
      <c r="K964" s="7" t="str">
        <f>IF(ISNA(MATCH(955,'Transfer Engine'!$C$2:$C$1199,0)),"",INDEX('Compliance Database'!$K$2:$K$1199,MATCH(955,'Transfer Engine'!$C$2:$C$1199,0)))</f>
        <v/>
      </c>
      <c r="L964" s="7" t="str">
        <f>IF(ISNA(MATCH(955,'Transfer Engine'!$C$2:$C$1199,0)),"",INDEX('Compliance Database'!$L$2:$L$1199,MATCH(955,'Transfer Engine'!$C$2:$C$1199,0)))</f>
        <v/>
      </c>
      <c r="M964" s="7" t="str">
        <f>IF(ISNA(MATCH(955,'Transfer Engine'!$C$2:$C$1199,0)),"",INDEX('Compliance Database'!$M$2:$M$1199,MATCH(955,'Transfer Engine'!$C$2:$C$1199,0)))</f>
        <v/>
      </c>
      <c r="N964" s="7" t="str">
        <f>IF(ISNA(MATCH(955,'Transfer Engine'!$C$2:$C$1199,0)),"",INDEX('Compliance Database'!$N$2:$N$1199,MATCH(955,'Transfer Engine'!$C$2:$C$1199,0)))</f>
        <v/>
      </c>
      <c r="O964" s="7" t="str">
        <f>IF(ISNA(MATCH(955,'Transfer Engine'!$C$2:$C$1199,0)),"",INDEX('Compliance Database'!$O$2:$O$1199,MATCH(955,'Transfer Engine'!$C$2:$C$1199,0)))</f>
        <v/>
      </c>
      <c r="P964" s="6" t="str">
        <f>IF(ISNA(MATCH(955,'Transfer Engine'!$C$2:$C$1199,0)),"",HYPERLINK("#Acts!A"&amp;INDEX('Compliance Database'!$P$2:$P$1199,MATCH(955,'Transfer Engine'!$C$2:$C$1199,0)),"Go to Act"))</f>
        <v/>
      </c>
    </row>
    <row r="965" spans="1:16" ht="172.95" customHeight="1" x14ac:dyDescent="0.3">
      <c r="A965" s="6" t="str">
        <f>IF(ISNA(MATCH(956,'Transfer Engine'!$C$2:$C$1199,0)),"",INDEX('Compliance Database'!$A$2:$A$1199,MATCH(956,'Transfer Engine'!$C$2:$C$1199,0)))</f>
        <v/>
      </c>
      <c r="B965" s="6" t="str">
        <f>IF(ISNA(MATCH(956,'Transfer Engine'!$C$2:$C$1199,0)),"",INDEX('Compliance Database'!$B$2:$B$1199,MATCH(956,'Transfer Engine'!$C$2:$C$1199,0)))</f>
        <v/>
      </c>
      <c r="C965" s="6" t="str">
        <f>IF(ISNA(MATCH(956,'Transfer Engine'!$C$2:$C$1199,0)),"",INDEX('Compliance Database'!$C$2:$C$1199,MATCH(956,'Transfer Engine'!$C$2:$C$1199,0)))</f>
        <v/>
      </c>
      <c r="D965" s="7" t="str">
        <f>IF(ISNA(MATCH(956,'Transfer Engine'!$C$2:$C$1199,0)),"",INDEX('Compliance Database'!$D$2:$D$1199,MATCH(956,'Transfer Engine'!$C$2:$C$1199,0)))</f>
        <v/>
      </c>
      <c r="E965" s="6" t="str">
        <f>IF(ISNA(MATCH(956,'Transfer Engine'!$C$2:$C$1199,0)),"",INDEX('Compliance Database'!$E$2:$E$1199,MATCH(956,'Transfer Engine'!$C$2:$C$1199,0)))</f>
        <v/>
      </c>
      <c r="F965" s="6" t="str">
        <f>IF(ISNA(MATCH(956,'Transfer Engine'!$C$2:$C$1199,0)),"",INDEX('Compliance Database'!$F$2:$F$1199,MATCH(956,'Transfer Engine'!$C$2:$C$1199,0)))</f>
        <v/>
      </c>
      <c r="G965" s="6" t="str">
        <f>IF(ISNA(MATCH(956,'Transfer Engine'!$C$2:$C$1199,0)),"",INDEX('Compliance Database'!$G$2:$G$1199,MATCH(956,'Transfer Engine'!$C$2:$C$1199,0)))</f>
        <v/>
      </c>
      <c r="H965" s="7" t="str">
        <f>IF(ISNA(MATCH(956,'Transfer Engine'!$C$2:$C$1199,0)),"",INDEX('Compliance Database'!$H$2:$H$1199,MATCH(956,'Transfer Engine'!$C$2:$C$1199,0)))</f>
        <v/>
      </c>
      <c r="I965" s="7" t="str">
        <f>IF(ISNA(MATCH(956,'Transfer Engine'!$C$2:$C$1199,0)),"",INDEX('Compliance Database'!$I$2:$I$1199,MATCH(956,'Transfer Engine'!$C$2:$C$1199,0)))</f>
        <v/>
      </c>
      <c r="J965" s="6" t="str">
        <f>IF(ISNA(MATCH(956,'Transfer Engine'!$C$2:$C$1199,0)),"",INDEX('Compliance Database'!$J$2:$J$1199,MATCH(956,'Transfer Engine'!$C$2:$C$1199,0)))</f>
        <v/>
      </c>
      <c r="K965" s="7" t="str">
        <f>IF(ISNA(MATCH(956,'Transfer Engine'!$C$2:$C$1199,0)),"",INDEX('Compliance Database'!$K$2:$K$1199,MATCH(956,'Transfer Engine'!$C$2:$C$1199,0)))</f>
        <v/>
      </c>
      <c r="L965" s="7" t="str">
        <f>IF(ISNA(MATCH(956,'Transfer Engine'!$C$2:$C$1199,0)),"",INDEX('Compliance Database'!$L$2:$L$1199,MATCH(956,'Transfer Engine'!$C$2:$C$1199,0)))</f>
        <v/>
      </c>
      <c r="M965" s="7" t="str">
        <f>IF(ISNA(MATCH(956,'Transfer Engine'!$C$2:$C$1199,0)),"",INDEX('Compliance Database'!$M$2:$M$1199,MATCH(956,'Transfer Engine'!$C$2:$C$1199,0)))</f>
        <v/>
      </c>
      <c r="N965" s="7" t="str">
        <f>IF(ISNA(MATCH(956,'Transfer Engine'!$C$2:$C$1199,0)),"",INDEX('Compliance Database'!$N$2:$N$1199,MATCH(956,'Transfer Engine'!$C$2:$C$1199,0)))</f>
        <v/>
      </c>
      <c r="O965" s="7" t="str">
        <f>IF(ISNA(MATCH(956,'Transfer Engine'!$C$2:$C$1199,0)),"",INDEX('Compliance Database'!$O$2:$O$1199,MATCH(956,'Transfer Engine'!$C$2:$C$1199,0)))</f>
        <v/>
      </c>
      <c r="P965" s="6" t="str">
        <f>IF(ISNA(MATCH(956,'Transfer Engine'!$C$2:$C$1199,0)),"",HYPERLINK("#Acts!A"&amp;INDEX('Compliance Database'!$P$2:$P$1199,MATCH(956,'Transfer Engine'!$C$2:$C$1199,0)),"Go to Act"))</f>
        <v/>
      </c>
    </row>
    <row r="966" spans="1:16" ht="172.95" customHeight="1" x14ac:dyDescent="0.3">
      <c r="A966" s="6" t="str">
        <f>IF(ISNA(MATCH(957,'Transfer Engine'!$C$2:$C$1199,0)),"",INDEX('Compliance Database'!$A$2:$A$1199,MATCH(957,'Transfer Engine'!$C$2:$C$1199,0)))</f>
        <v/>
      </c>
      <c r="B966" s="6" t="str">
        <f>IF(ISNA(MATCH(957,'Transfer Engine'!$C$2:$C$1199,0)),"",INDEX('Compliance Database'!$B$2:$B$1199,MATCH(957,'Transfer Engine'!$C$2:$C$1199,0)))</f>
        <v/>
      </c>
      <c r="C966" s="6" t="str">
        <f>IF(ISNA(MATCH(957,'Transfer Engine'!$C$2:$C$1199,0)),"",INDEX('Compliance Database'!$C$2:$C$1199,MATCH(957,'Transfer Engine'!$C$2:$C$1199,0)))</f>
        <v/>
      </c>
      <c r="D966" s="7" t="str">
        <f>IF(ISNA(MATCH(957,'Transfer Engine'!$C$2:$C$1199,0)),"",INDEX('Compliance Database'!$D$2:$D$1199,MATCH(957,'Transfer Engine'!$C$2:$C$1199,0)))</f>
        <v/>
      </c>
      <c r="E966" s="6" t="str">
        <f>IF(ISNA(MATCH(957,'Transfer Engine'!$C$2:$C$1199,0)),"",INDEX('Compliance Database'!$E$2:$E$1199,MATCH(957,'Transfer Engine'!$C$2:$C$1199,0)))</f>
        <v/>
      </c>
      <c r="F966" s="6" t="str">
        <f>IF(ISNA(MATCH(957,'Transfer Engine'!$C$2:$C$1199,0)),"",INDEX('Compliance Database'!$F$2:$F$1199,MATCH(957,'Transfer Engine'!$C$2:$C$1199,0)))</f>
        <v/>
      </c>
      <c r="G966" s="6" t="str">
        <f>IF(ISNA(MATCH(957,'Transfer Engine'!$C$2:$C$1199,0)),"",INDEX('Compliance Database'!$G$2:$G$1199,MATCH(957,'Transfer Engine'!$C$2:$C$1199,0)))</f>
        <v/>
      </c>
      <c r="H966" s="7" t="str">
        <f>IF(ISNA(MATCH(957,'Transfer Engine'!$C$2:$C$1199,0)),"",INDEX('Compliance Database'!$H$2:$H$1199,MATCH(957,'Transfer Engine'!$C$2:$C$1199,0)))</f>
        <v/>
      </c>
      <c r="I966" s="7" t="str">
        <f>IF(ISNA(MATCH(957,'Transfer Engine'!$C$2:$C$1199,0)),"",INDEX('Compliance Database'!$I$2:$I$1199,MATCH(957,'Transfer Engine'!$C$2:$C$1199,0)))</f>
        <v/>
      </c>
      <c r="J966" s="6" t="str">
        <f>IF(ISNA(MATCH(957,'Transfer Engine'!$C$2:$C$1199,0)),"",INDEX('Compliance Database'!$J$2:$J$1199,MATCH(957,'Transfer Engine'!$C$2:$C$1199,0)))</f>
        <v/>
      </c>
      <c r="K966" s="7" t="str">
        <f>IF(ISNA(MATCH(957,'Transfer Engine'!$C$2:$C$1199,0)),"",INDEX('Compliance Database'!$K$2:$K$1199,MATCH(957,'Transfer Engine'!$C$2:$C$1199,0)))</f>
        <v/>
      </c>
      <c r="L966" s="7" t="str">
        <f>IF(ISNA(MATCH(957,'Transfer Engine'!$C$2:$C$1199,0)),"",INDEX('Compliance Database'!$L$2:$L$1199,MATCH(957,'Transfer Engine'!$C$2:$C$1199,0)))</f>
        <v/>
      </c>
      <c r="M966" s="7" t="str">
        <f>IF(ISNA(MATCH(957,'Transfer Engine'!$C$2:$C$1199,0)),"",INDEX('Compliance Database'!$M$2:$M$1199,MATCH(957,'Transfer Engine'!$C$2:$C$1199,0)))</f>
        <v/>
      </c>
      <c r="N966" s="7" t="str">
        <f>IF(ISNA(MATCH(957,'Transfer Engine'!$C$2:$C$1199,0)),"",INDEX('Compliance Database'!$N$2:$N$1199,MATCH(957,'Transfer Engine'!$C$2:$C$1199,0)))</f>
        <v/>
      </c>
      <c r="O966" s="7" t="str">
        <f>IF(ISNA(MATCH(957,'Transfer Engine'!$C$2:$C$1199,0)),"",INDEX('Compliance Database'!$O$2:$O$1199,MATCH(957,'Transfer Engine'!$C$2:$C$1199,0)))</f>
        <v/>
      </c>
      <c r="P966" s="6" t="str">
        <f>IF(ISNA(MATCH(957,'Transfer Engine'!$C$2:$C$1199,0)),"",HYPERLINK("#Acts!A"&amp;INDEX('Compliance Database'!$P$2:$P$1199,MATCH(957,'Transfer Engine'!$C$2:$C$1199,0)),"Go to Act"))</f>
        <v/>
      </c>
    </row>
    <row r="967" spans="1:16" ht="172.95" customHeight="1" x14ac:dyDescent="0.3">
      <c r="A967" s="6" t="str">
        <f>IF(ISNA(MATCH(958,'Transfer Engine'!$C$2:$C$1199,0)),"",INDEX('Compliance Database'!$A$2:$A$1199,MATCH(958,'Transfer Engine'!$C$2:$C$1199,0)))</f>
        <v/>
      </c>
      <c r="B967" s="6" t="str">
        <f>IF(ISNA(MATCH(958,'Transfer Engine'!$C$2:$C$1199,0)),"",INDEX('Compliance Database'!$B$2:$B$1199,MATCH(958,'Transfer Engine'!$C$2:$C$1199,0)))</f>
        <v/>
      </c>
      <c r="C967" s="6" t="str">
        <f>IF(ISNA(MATCH(958,'Transfer Engine'!$C$2:$C$1199,0)),"",INDEX('Compliance Database'!$C$2:$C$1199,MATCH(958,'Transfer Engine'!$C$2:$C$1199,0)))</f>
        <v/>
      </c>
      <c r="D967" s="7" t="str">
        <f>IF(ISNA(MATCH(958,'Transfer Engine'!$C$2:$C$1199,0)),"",INDEX('Compliance Database'!$D$2:$D$1199,MATCH(958,'Transfer Engine'!$C$2:$C$1199,0)))</f>
        <v/>
      </c>
      <c r="E967" s="6" t="str">
        <f>IF(ISNA(MATCH(958,'Transfer Engine'!$C$2:$C$1199,0)),"",INDEX('Compliance Database'!$E$2:$E$1199,MATCH(958,'Transfer Engine'!$C$2:$C$1199,0)))</f>
        <v/>
      </c>
      <c r="F967" s="6" t="str">
        <f>IF(ISNA(MATCH(958,'Transfer Engine'!$C$2:$C$1199,0)),"",INDEX('Compliance Database'!$F$2:$F$1199,MATCH(958,'Transfer Engine'!$C$2:$C$1199,0)))</f>
        <v/>
      </c>
      <c r="G967" s="6" t="str">
        <f>IF(ISNA(MATCH(958,'Transfer Engine'!$C$2:$C$1199,0)),"",INDEX('Compliance Database'!$G$2:$G$1199,MATCH(958,'Transfer Engine'!$C$2:$C$1199,0)))</f>
        <v/>
      </c>
      <c r="H967" s="7" t="str">
        <f>IF(ISNA(MATCH(958,'Transfer Engine'!$C$2:$C$1199,0)),"",INDEX('Compliance Database'!$H$2:$H$1199,MATCH(958,'Transfer Engine'!$C$2:$C$1199,0)))</f>
        <v/>
      </c>
      <c r="I967" s="7" t="str">
        <f>IF(ISNA(MATCH(958,'Transfer Engine'!$C$2:$C$1199,0)),"",INDEX('Compliance Database'!$I$2:$I$1199,MATCH(958,'Transfer Engine'!$C$2:$C$1199,0)))</f>
        <v/>
      </c>
      <c r="J967" s="6" t="str">
        <f>IF(ISNA(MATCH(958,'Transfer Engine'!$C$2:$C$1199,0)),"",INDEX('Compliance Database'!$J$2:$J$1199,MATCH(958,'Transfer Engine'!$C$2:$C$1199,0)))</f>
        <v/>
      </c>
      <c r="K967" s="7" t="str">
        <f>IF(ISNA(MATCH(958,'Transfer Engine'!$C$2:$C$1199,0)),"",INDEX('Compliance Database'!$K$2:$K$1199,MATCH(958,'Transfer Engine'!$C$2:$C$1199,0)))</f>
        <v/>
      </c>
      <c r="L967" s="7" t="str">
        <f>IF(ISNA(MATCH(958,'Transfer Engine'!$C$2:$C$1199,0)),"",INDEX('Compliance Database'!$L$2:$L$1199,MATCH(958,'Transfer Engine'!$C$2:$C$1199,0)))</f>
        <v/>
      </c>
      <c r="M967" s="7" t="str">
        <f>IF(ISNA(MATCH(958,'Transfer Engine'!$C$2:$C$1199,0)),"",INDEX('Compliance Database'!$M$2:$M$1199,MATCH(958,'Transfer Engine'!$C$2:$C$1199,0)))</f>
        <v/>
      </c>
      <c r="N967" s="7" t="str">
        <f>IF(ISNA(MATCH(958,'Transfer Engine'!$C$2:$C$1199,0)),"",INDEX('Compliance Database'!$N$2:$N$1199,MATCH(958,'Transfer Engine'!$C$2:$C$1199,0)))</f>
        <v/>
      </c>
      <c r="O967" s="7" t="str">
        <f>IF(ISNA(MATCH(958,'Transfer Engine'!$C$2:$C$1199,0)),"",INDEX('Compliance Database'!$O$2:$O$1199,MATCH(958,'Transfer Engine'!$C$2:$C$1199,0)))</f>
        <v/>
      </c>
      <c r="P967" s="6" t="str">
        <f>IF(ISNA(MATCH(958,'Transfer Engine'!$C$2:$C$1199,0)),"",HYPERLINK("#Acts!A"&amp;INDEX('Compliance Database'!$P$2:$P$1199,MATCH(958,'Transfer Engine'!$C$2:$C$1199,0)),"Go to Act"))</f>
        <v/>
      </c>
    </row>
    <row r="968" spans="1:16" ht="172.95" customHeight="1" x14ac:dyDescent="0.3">
      <c r="A968" s="6" t="str">
        <f>IF(ISNA(MATCH(959,'Transfer Engine'!$C$2:$C$1199,0)),"",INDEX('Compliance Database'!$A$2:$A$1199,MATCH(959,'Transfer Engine'!$C$2:$C$1199,0)))</f>
        <v/>
      </c>
      <c r="B968" s="6" t="str">
        <f>IF(ISNA(MATCH(959,'Transfer Engine'!$C$2:$C$1199,0)),"",INDEX('Compliance Database'!$B$2:$B$1199,MATCH(959,'Transfer Engine'!$C$2:$C$1199,0)))</f>
        <v/>
      </c>
      <c r="C968" s="6" t="str">
        <f>IF(ISNA(MATCH(959,'Transfer Engine'!$C$2:$C$1199,0)),"",INDEX('Compliance Database'!$C$2:$C$1199,MATCH(959,'Transfer Engine'!$C$2:$C$1199,0)))</f>
        <v/>
      </c>
      <c r="D968" s="7" t="str">
        <f>IF(ISNA(MATCH(959,'Transfer Engine'!$C$2:$C$1199,0)),"",INDEX('Compliance Database'!$D$2:$D$1199,MATCH(959,'Transfer Engine'!$C$2:$C$1199,0)))</f>
        <v/>
      </c>
      <c r="E968" s="6" t="str">
        <f>IF(ISNA(MATCH(959,'Transfer Engine'!$C$2:$C$1199,0)),"",INDEX('Compliance Database'!$E$2:$E$1199,MATCH(959,'Transfer Engine'!$C$2:$C$1199,0)))</f>
        <v/>
      </c>
      <c r="F968" s="6" t="str">
        <f>IF(ISNA(MATCH(959,'Transfer Engine'!$C$2:$C$1199,0)),"",INDEX('Compliance Database'!$F$2:$F$1199,MATCH(959,'Transfer Engine'!$C$2:$C$1199,0)))</f>
        <v/>
      </c>
      <c r="G968" s="6" t="str">
        <f>IF(ISNA(MATCH(959,'Transfer Engine'!$C$2:$C$1199,0)),"",INDEX('Compliance Database'!$G$2:$G$1199,MATCH(959,'Transfer Engine'!$C$2:$C$1199,0)))</f>
        <v/>
      </c>
      <c r="H968" s="7" t="str">
        <f>IF(ISNA(MATCH(959,'Transfer Engine'!$C$2:$C$1199,0)),"",INDEX('Compliance Database'!$H$2:$H$1199,MATCH(959,'Transfer Engine'!$C$2:$C$1199,0)))</f>
        <v/>
      </c>
      <c r="I968" s="7" t="str">
        <f>IF(ISNA(MATCH(959,'Transfer Engine'!$C$2:$C$1199,0)),"",INDEX('Compliance Database'!$I$2:$I$1199,MATCH(959,'Transfer Engine'!$C$2:$C$1199,0)))</f>
        <v/>
      </c>
      <c r="J968" s="6" t="str">
        <f>IF(ISNA(MATCH(959,'Transfer Engine'!$C$2:$C$1199,0)),"",INDEX('Compliance Database'!$J$2:$J$1199,MATCH(959,'Transfer Engine'!$C$2:$C$1199,0)))</f>
        <v/>
      </c>
      <c r="K968" s="7" t="str">
        <f>IF(ISNA(MATCH(959,'Transfer Engine'!$C$2:$C$1199,0)),"",INDEX('Compliance Database'!$K$2:$K$1199,MATCH(959,'Transfer Engine'!$C$2:$C$1199,0)))</f>
        <v/>
      </c>
      <c r="L968" s="7" t="str">
        <f>IF(ISNA(MATCH(959,'Transfer Engine'!$C$2:$C$1199,0)),"",INDEX('Compliance Database'!$L$2:$L$1199,MATCH(959,'Transfer Engine'!$C$2:$C$1199,0)))</f>
        <v/>
      </c>
      <c r="M968" s="7" t="str">
        <f>IF(ISNA(MATCH(959,'Transfer Engine'!$C$2:$C$1199,0)),"",INDEX('Compliance Database'!$M$2:$M$1199,MATCH(959,'Transfer Engine'!$C$2:$C$1199,0)))</f>
        <v/>
      </c>
      <c r="N968" s="7" t="str">
        <f>IF(ISNA(MATCH(959,'Transfer Engine'!$C$2:$C$1199,0)),"",INDEX('Compliance Database'!$N$2:$N$1199,MATCH(959,'Transfer Engine'!$C$2:$C$1199,0)))</f>
        <v/>
      </c>
      <c r="O968" s="7" t="str">
        <f>IF(ISNA(MATCH(959,'Transfer Engine'!$C$2:$C$1199,0)),"",INDEX('Compliance Database'!$O$2:$O$1199,MATCH(959,'Transfer Engine'!$C$2:$C$1199,0)))</f>
        <v/>
      </c>
      <c r="P968" s="6" t="str">
        <f>IF(ISNA(MATCH(959,'Transfer Engine'!$C$2:$C$1199,0)),"",HYPERLINK("#Acts!A"&amp;INDEX('Compliance Database'!$P$2:$P$1199,MATCH(959,'Transfer Engine'!$C$2:$C$1199,0)),"Go to Act"))</f>
        <v/>
      </c>
    </row>
    <row r="969" spans="1:16" ht="172.95" customHeight="1" x14ac:dyDescent="0.3">
      <c r="A969" s="6" t="str">
        <f>IF(ISNA(MATCH(960,'Transfer Engine'!$C$2:$C$1199,0)),"",INDEX('Compliance Database'!$A$2:$A$1199,MATCH(960,'Transfer Engine'!$C$2:$C$1199,0)))</f>
        <v/>
      </c>
      <c r="B969" s="6" t="str">
        <f>IF(ISNA(MATCH(960,'Transfer Engine'!$C$2:$C$1199,0)),"",INDEX('Compliance Database'!$B$2:$B$1199,MATCH(960,'Transfer Engine'!$C$2:$C$1199,0)))</f>
        <v/>
      </c>
      <c r="C969" s="6" t="str">
        <f>IF(ISNA(MATCH(960,'Transfer Engine'!$C$2:$C$1199,0)),"",INDEX('Compliance Database'!$C$2:$C$1199,MATCH(960,'Transfer Engine'!$C$2:$C$1199,0)))</f>
        <v/>
      </c>
      <c r="D969" s="7" t="str">
        <f>IF(ISNA(MATCH(960,'Transfer Engine'!$C$2:$C$1199,0)),"",INDEX('Compliance Database'!$D$2:$D$1199,MATCH(960,'Transfer Engine'!$C$2:$C$1199,0)))</f>
        <v/>
      </c>
      <c r="E969" s="6" t="str">
        <f>IF(ISNA(MATCH(960,'Transfer Engine'!$C$2:$C$1199,0)),"",INDEX('Compliance Database'!$E$2:$E$1199,MATCH(960,'Transfer Engine'!$C$2:$C$1199,0)))</f>
        <v/>
      </c>
      <c r="F969" s="6" t="str">
        <f>IF(ISNA(MATCH(960,'Transfer Engine'!$C$2:$C$1199,0)),"",INDEX('Compliance Database'!$F$2:$F$1199,MATCH(960,'Transfer Engine'!$C$2:$C$1199,0)))</f>
        <v/>
      </c>
      <c r="G969" s="6" t="str">
        <f>IF(ISNA(MATCH(960,'Transfer Engine'!$C$2:$C$1199,0)),"",INDEX('Compliance Database'!$G$2:$G$1199,MATCH(960,'Transfer Engine'!$C$2:$C$1199,0)))</f>
        <v/>
      </c>
      <c r="H969" s="7" t="str">
        <f>IF(ISNA(MATCH(960,'Transfer Engine'!$C$2:$C$1199,0)),"",INDEX('Compliance Database'!$H$2:$H$1199,MATCH(960,'Transfer Engine'!$C$2:$C$1199,0)))</f>
        <v/>
      </c>
      <c r="I969" s="7" t="str">
        <f>IF(ISNA(MATCH(960,'Transfer Engine'!$C$2:$C$1199,0)),"",INDEX('Compliance Database'!$I$2:$I$1199,MATCH(960,'Transfer Engine'!$C$2:$C$1199,0)))</f>
        <v/>
      </c>
      <c r="J969" s="6" t="str">
        <f>IF(ISNA(MATCH(960,'Transfer Engine'!$C$2:$C$1199,0)),"",INDEX('Compliance Database'!$J$2:$J$1199,MATCH(960,'Transfer Engine'!$C$2:$C$1199,0)))</f>
        <v/>
      </c>
      <c r="K969" s="7" t="str">
        <f>IF(ISNA(MATCH(960,'Transfer Engine'!$C$2:$C$1199,0)),"",INDEX('Compliance Database'!$K$2:$K$1199,MATCH(960,'Transfer Engine'!$C$2:$C$1199,0)))</f>
        <v/>
      </c>
      <c r="L969" s="7" t="str">
        <f>IF(ISNA(MATCH(960,'Transfer Engine'!$C$2:$C$1199,0)),"",INDEX('Compliance Database'!$L$2:$L$1199,MATCH(960,'Transfer Engine'!$C$2:$C$1199,0)))</f>
        <v/>
      </c>
      <c r="M969" s="7" t="str">
        <f>IF(ISNA(MATCH(960,'Transfer Engine'!$C$2:$C$1199,0)),"",INDEX('Compliance Database'!$M$2:$M$1199,MATCH(960,'Transfer Engine'!$C$2:$C$1199,0)))</f>
        <v/>
      </c>
      <c r="N969" s="7" t="str">
        <f>IF(ISNA(MATCH(960,'Transfer Engine'!$C$2:$C$1199,0)),"",INDEX('Compliance Database'!$N$2:$N$1199,MATCH(960,'Transfer Engine'!$C$2:$C$1199,0)))</f>
        <v/>
      </c>
      <c r="O969" s="7" t="str">
        <f>IF(ISNA(MATCH(960,'Transfer Engine'!$C$2:$C$1199,0)),"",INDEX('Compliance Database'!$O$2:$O$1199,MATCH(960,'Transfer Engine'!$C$2:$C$1199,0)))</f>
        <v/>
      </c>
      <c r="P969" s="6" t="str">
        <f>IF(ISNA(MATCH(960,'Transfer Engine'!$C$2:$C$1199,0)),"",HYPERLINK("#Acts!A"&amp;INDEX('Compliance Database'!$P$2:$P$1199,MATCH(960,'Transfer Engine'!$C$2:$C$1199,0)),"Go to Act"))</f>
        <v/>
      </c>
    </row>
    <row r="970" spans="1:16" ht="172.95" customHeight="1" x14ac:dyDescent="0.3">
      <c r="A970" s="6" t="str">
        <f>IF(ISNA(MATCH(961,'Transfer Engine'!$C$2:$C$1199,0)),"",INDEX('Compliance Database'!$A$2:$A$1199,MATCH(961,'Transfer Engine'!$C$2:$C$1199,0)))</f>
        <v/>
      </c>
      <c r="B970" s="6" t="str">
        <f>IF(ISNA(MATCH(961,'Transfer Engine'!$C$2:$C$1199,0)),"",INDEX('Compliance Database'!$B$2:$B$1199,MATCH(961,'Transfer Engine'!$C$2:$C$1199,0)))</f>
        <v/>
      </c>
      <c r="C970" s="6" t="str">
        <f>IF(ISNA(MATCH(961,'Transfer Engine'!$C$2:$C$1199,0)),"",INDEX('Compliance Database'!$C$2:$C$1199,MATCH(961,'Transfer Engine'!$C$2:$C$1199,0)))</f>
        <v/>
      </c>
      <c r="D970" s="7" t="str">
        <f>IF(ISNA(MATCH(961,'Transfer Engine'!$C$2:$C$1199,0)),"",INDEX('Compliance Database'!$D$2:$D$1199,MATCH(961,'Transfer Engine'!$C$2:$C$1199,0)))</f>
        <v/>
      </c>
      <c r="E970" s="6" t="str">
        <f>IF(ISNA(MATCH(961,'Transfer Engine'!$C$2:$C$1199,0)),"",INDEX('Compliance Database'!$E$2:$E$1199,MATCH(961,'Transfer Engine'!$C$2:$C$1199,0)))</f>
        <v/>
      </c>
      <c r="F970" s="6" t="str">
        <f>IF(ISNA(MATCH(961,'Transfer Engine'!$C$2:$C$1199,0)),"",INDEX('Compliance Database'!$F$2:$F$1199,MATCH(961,'Transfer Engine'!$C$2:$C$1199,0)))</f>
        <v/>
      </c>
      <c r="G970" s="6" t="str">
        <f>IF(ISNA(MATCH(961,'Transfer Engine'!$C$2:$C$1199,0)),"",INDEX('Compliance Database'!$G$2:$G$1199,MATCH(961,'Transfer Engine'!$C$2:$C$1199,0)))</f>
        <v/>
      </c>
      <c r="H970" s="7" t="str">
        <f>IF(ISNA(MATCH(961,'Transfer Engine'!$C$2:$C$1199,0)),"",INDEX('Compliance Database'!$H$2:$H$1199,MATCH(961,'Transfer Engine'!$C$2:$C$1199,0)))</f>
        <v/>
      </c>
      <c r="I970" s="7" t="str">
        <f>IF(ISNA(MATCH(961,'Transfer Engine'!$C$2:$C$1199,0)),"",INDEX('Compliance Database'!$I$2:$I$1199,MATCH(961,'Transfer Engine'!$C$2:$C$1199,0)))</f>
        <v/>
      </c>
      <c r="J970" s="6" t="str">
        <f>IF(ISNA(MATCH(961,'Transfer Engine'!$C$2:$C$1199,0)),"",INDEX('Compliance Database'!$J$2:$J$1199,MATCH(961,'Transfer Engine'!$C$2:$C$1199,0)))</f>
        <v/>
      </c>
      <c r="K970" s="7" t="str">
        <f>IF(ISNA(MATCH(961,'Transfer Engine'!$C$2:$C$1199,0)),"",INDEX('Compliance Database'!$K$2:$K$1199,MATCH(961,'Transfer Engine'!$C$2:$C$1199,0)))</f>
        <v/>
      </c>
      <c r="L970" s="7" t="str">
        <f>IF(ISNA(MATCH(961,'Transfer Engine'!$C$2:$C$1199,0)),"",INDEX('Compliance Database'!$L$2:$L$1199,MATCH(961,'Transfer Engine'!$C$2:$C$1199,0)))</f>
        <v/>
      </c>
      <c r="M970" s="7" t="str">
        <f>IF(ISNA(MATCH(961,'Transfer Engine'!$C$2:$C$1199,0)),"",INDEX('Compliance Database'!$M$2:$M$1199,MATCH(961,'Transfer Engine'!$C$2:$C$1199,0)))</f>
        <v/>
      </c>
      <c r="N970" s="7" t="str">
        <f>IF(ISNA(MATCH(961,'Transfer Engine'!$C$2:$C$1199,0)),"",INDEX('Compliance Database'!$N$2:$N$1199,MATCH(961,'Transfer Engine'!$C$2:$C$1199,0)))</f>
        <v/>
      </c>
      <c r="O970" s="7" t="str">
        <f>IF(ISNA(MATCH(961,'Transfer Engine'!$C$2:$C$1199,0)),"",INDEX('Compliance Database'!$O$2:$O$1199,MATCH(961,'Transfer Engine'!$C$2:$C$1199,0)))</f>
        <v/>
      </c>
      <c r="P970" s="6" t="str">
        <f>IF(ISNA(MATCH(961,'Transfer Engine'!$C$2:$C$1199,0)),"",HYPERLINK("#Acts!A"&amp;INDEX('Compliance Database'!$P$2:$P$1199,MATCH(961,'Transfer Engine'!$C$2:$C$1199,0)),"Go to Act"))</f>
        <v/>
      </c>
    </row>
    <row r="971" spans="1:16" ht="172.95" customHeight="1" x14ac:dyDescent="0.3">
      <c r="A971" s="6" t="str">
        <f>IF(ISNA(MATCH(962,'Transfer Engine'!$C$2:$C$1199,0)),"",INDEX('Compliance Database'!$A$2:$A$1199,MATCH(962,'Transfer Engine'!$C$2:$C$1199,0)))</f>
        <v/>
      </c>
      <c r="B971" s="6" t="str">
        <f>IF(ISNA(MATCH(962,'Transfer Engine'!$C$2:$C$1199,0)),"",INDEX('Compliance Database'!$B$2:$B$1199,MATCH(962,'Transfer Engine'!$C$2:$C$1199,0)))</f>
        <v/>
      </c>
      <c r="C971" s="6" t="str">
        <f>IF(ISNA(MATCH(962,'Transfer Engine'!$C$2:$C$1199,0)),"",INDEX('Compliance Database'!$C$2:$C$1199,MATCH(962,'Transfer Engine'!$C$2:$C$1199,0)))</f>
        <v/>
      </c>
      <c r="D971" s="7" t="str">
        <f>IF(ISNA(MATCH(962,'Transfer Engine'!$C$2:$C$1199,0)),"",INDEX('Compliance Database'!$D$2:$D$1199,MATCH(962,'Transfer Engine'!$C$2:$C$1199,0)))</f>
        <v/>
      </c>
      <c r="E971" s="6" t="str">
        <f>IF(ISNA(MATCH(962,'Transfer Engine'!$C$2:$C$1199,0)),"",INDEX('Compliance Database'!$E$2:$E$1199,MATCH(962,'Transfer Engine'!$C$2:$C$1199,0)))</f>
        <v/>
      </c>
      <c r="F971" s="6" t="str">
        <f>IF(ISNA(MATCH(962,'Transfer Engine'!$C$2:$C$1199,0)),"",INDEX('Compliance Database'!$F$2:$F$1199,MATCH(962,'Transfer Engine'!$C$2:$C$1199,0)))</f>
        <v/>
      </c>
      <c r="G971" s="6" t="str">
        <f>IF(ISNA(MATCH(962,'Transfer Engine'!$C$2:$C$1199,0)),"",INDEX('Compliance Database'!$G$2:$G$1199,MATCH(962,'Transfer Engine'!$C$2:$C$1199,0)))</f>
        <v/>
      </c>
      <c r="H971" s="7" t="str">
        <f>IF(ISNA(MATCH(962,'Transfer Engine'!$C$2:$C$1199,0)),"",INDEX('Compliance Database'!$H$2:$H$1199,MATCH(962,'Transfer Engine'!$C$2:$C$1199,0)))</f>
        <v/>
      </c>
      <c r="I971" s="7" t="str">
        <f>IF(ISNA(MATCH(962,'Transfer Engine'!$C$2:$C$1199,0)),"",INDEX('Compliance Database'!$I$2:$I$1199,MATCH(962,'Transfer Engine'!$C$2:$C$1199,0)))</f>
        <v/>
      </c>
      <c r="J971" s="6" t="str">
        <f>IF(ISNA(MATCH(962,'Transfer Engine'!$C$2:$C$1199,0)),"",INDEX('Compliance Database'!$J$2:$J$1199,MATCH(962,'Transfer Engine'!$C$2:$C$1199,0)))</f>
        <v/>
      </c>
      <c r="K971" s="7" t="str">
        <f>IF(ISNA(MATCH(962,'Transfer Engine'!$C$2:$C$1199,0)),"",INDEX('Compliance Database'!$K$2:$K$1199,MATCH(962,'Transfer Engine'!$C$2:$C$1199,0)))</f>
        <v/>
      </c>
      <c r="L971" s="7" t="str">
        <f>IF(ISNA(MATCH(962,'Transfer Engine'!$C$2:$C$1199,0)),"",INDEX('Compliance Database'!$L$2:$L$1199,MATCH(962,'Transfer Engine'!$C$2:$C$1199,0)))</f>
        <v/>
      </c>
      <c r="M971" s="7" t="str">
        <f>IF(ISNA(MATCH(962,'Transfer Engine'!$C$2:$C$1199,0)),"",INDEX('Compliance Database'!$M$2:$M$1199,MATCH(962,'Transfer Engine'!$C$2:$C$1199,0)))</f>
        <v/>
      </c>
      <c r="N971" s="7" t="str">
        <f>IF(ISNA(MATCH(962,'Transfer Engine'!$C$2:$C$1199,0)),"",INDEX('Compliance Database'!$N$2:$N$1199,MATCH(962,'Transfer Engine'!$C$2:$C$1199,0)))</f>
        <v/>
      </c>
      <c r="O971" s="7" t="str">
        <f>IF(ISNA(MATCH(962,'Transfer Engine'!$C$2:$C$1199,0)),"",INDEX('Compliance Database'!$O$2:$O$1199,MATCH(962,'Transfer Engine'!$C$2:$C$1199,0)))</f>
        <v/>
      </c>
      <c r="P971" s="6" t="str">
        <f>IF(ISNA(MATCH(962,'Transfer Engine'!$C$2:$C$1199,0)),"",HYPERLINK("#Acts!A"&amp;INDEX('Compliance Database'!$P$2:$P$1199,MATCH(962,'Transfer Engine'!$C$2:$C$1199,0)),"Go to Act"))</f>
        <v/>
      </c>
    </row>
    <row r="972" spans="1:16" ht="172.95" customHeight="1" x14ac:dyDescent="0.3">
      <c r="A972" s="6" t="str">
        <f>IF(ISNA(MATCH(963,'Transfer Engine'!$C$2:$C$1199,0)),"",INDEX('Compliance Database'!$A$2:$A$1199,MATCH(963,'Transfer Engine'!$C$2:$C$1199,0)))</f>
        <v/>
      </c>
      <c r="B972" s="6" t="str">
        <f>IF(ISNA(MATCH(963,'Transfer Engine'!$C$2:$C$1199,0)),"",INDEX('Compliance Database'!$B$2:$B$1199,MATCH(963,'Transfer Engine'!$C$2:$C$1199,0)))</f>
        <v/>
      </c>
      <c r="C972" s="6" t="str">
        <f>IF(ISNA(MATCH(963,'Transfer Engine'!$C$2:$C$1199,0)),"",INDEX('Compliance Database'!$C$2:$C$1199,MATCH(963,'Transfer Engine'!$C$2:$C$1199,0)))</f>
        <v/>
      </c>
      <c r="D972" s="7" t="str">
        <f>IF(ISNA(MATCH(963,'Transfer Engine'!$C$2:$C$1199,0)),"",INDEX('Compliance Database'!$D$2:$D$1199,MATCH(963,'Transfer Engine'!$C$2:$C$1199,0)))</f>
        <v/>
      </c>
      <c r="E972" s="6" t="str">
        <f>IF(ISNA(MATCH(963,'Transfer Engine'!$C$2:$C$1199,0)),"",INDEX('Compliance Database'!$E$2:$E$1199,MATCH(963,'Transfer Engine'!$C$2:$C$1199,0)))</f>
        <v/>
      </c>
      <c r="F972" s="6" t="str">
        <f>IF(ISNA(MATCH(963,'Transfer Engine'!$C$2:$C$1199,0)),"",INDEX('Compliance Database'!$F$2:$F$1199,MATCH(963,'Transfer Engine'!$C$2:$C$1199,0)))</f>
        <v/>
      </c>
      <c r="G972" s="6" t="str">
        <f>IF(ISNA(MATCH(963,'Transfer Engine'!$C$2:$C$1199,0)),"",INDEX('Compliance Database'!$G$2:$G$1199,MATCH(963,'Transfer Engine'!$C$2:$C$1199,0)))</f>
        <v/>
      </c>
      <c r="H972" s="7" t="str">
        <f>IF(ISNA(MATCH(963,'Transfer Engine'!$C$2:$C$1199,0)),"",INDEX('Compliance Database'!$H$2:$H$1199,MATCH(963,'Transfer Engine'!$C$2:$C$1199,0)))</f>
        <v/>
      </c>
      <c r="I972" s="7" t="str">
        <f>IF(ISNA(MATCH(963,'Transfer Engine'!$C$2:$C$1199,0)),"",INDEX('Compliance Database'!$I$2:$I$1199,MATCH(963,'Transfer Engine'!$C$2:$C$1199,0)))</f>
        <v/>
      </c>
      <c r="J972" s="6" t="str">
        <f>IF(ISNA(MATCH(963,'Transfer Engine'!$C$2:$C$1199,0)),"",INDEX('Compliance Database'!$J$2:$J$1199,MATCH(963,'Transfer Engine'!$C$2:$C$1199,0)))</f>
        <v/>
      </c>
      <c r="K972" s="7" t="str">
        <f>IF(ISNA(MATCH(963,'Transfer Engine'!$C$2:$C$1199,0)),"",INDEX('Compliance Database'!$K$2:$K$1199,MATCH(963,'Transfer Engine'!$C$2:$C$1199,0)))</f>
        <v/>
      </c>
      <c r="L972" s="7" t="str">
        <f>IF(ISNA(MATCH(963,'Transfer Engine'!$C$2:$C$1199,0)),"",INDEX('Compliance Database'!$L$2:$L$1199,MATCH(963,'Transfer Engine'!$C$2:$C$1199,0)))</f>
        <v/>
      </c>
      <c r="M972" s="7" t="str">
        <f>IF(ISNA(MATCH(963,'Transfer Engine'!$C$2:$C$1199,0)),"",INDEX('Compliance Database'!$M$2:$M$1199,MATCH(963,'Transfer Engine'!$C$2:$C$1199,0)))</f>
        <v/>
      </c>
      <c r="N972" s="7" t="str">
        <f>IF(ISNA(MATCH(963,'Transfer Engine'!$C$2:$C$1199,0)),"",INDEX('Compliance Database'!$N$2:$N$1199,MATCH(963,'Transfer Engine'!$C$2:$C$1199,0)))</f>
        <v/>
      </c>
      <c r="O972" s="7" t="str">
        <f>IF(ISNA(MATCH(963,'Transfer Engine'!$C$2:$C$1199,0)),"",INDEX('Compliance Database'!$O$2:$O$1199,MATCH(963,'Transfer Engine'!$C$2:$C$1199,0)))</f>
        <v/>
      </c>
      <c r="P972" s="6" t="str">
        <f>IF(ISNA(MATCH(963,'Transfer Engine'!$C$2:$C$1199,0)),"",HYPERLINK("#Acts!A"&amp;INDEX('Compliance Database'!$P$2:$P$1199,MATCH(963,'Transfer Engine'!$C$2:$C$1199,0)),"Go to Act"))</f>
        <v/>
      </c>
    </row>
    <row r="973" spans="1:16" ht="172.95" customHeight="1" x14ac:dyDescent="0.3">
      <c r="A973" s="6" t="str">
        <f>IF(ISNA(MATCH(964,'Transfer Engine'!$C$2:$C$1199,0)),"",INDEX('Compliance Database'!$A$2:$A$1199,MATCH(964,'Transfer Engine'!$C$2:$C$1199,0)))</f>
        <v/>
      </c>
      <c r="B973" s="6" t="str">
        <f>IF(ISNA(MATCH(964,'Transfer Engine'!$C$2:$C$1199,0)),"",INDEX('Compliance Database'!$B$2:$B$1199,MATCH(964,'Transfer Engine'!$C$2:$C$1199,0)))</f>
        <v/>
      </c>
      <c r="C973" s="6" t="str">
        <f>IF(ISNA(MATCH(964,'Transfer Engine'!$C$2:$C$1199,0)),"",INDEX('Compliance Database'!$C$2:$C$1199,MATCH(964,'Transfer Engine'!$C$2:$C$1199,0)))</f>
        <v/>
      </c>
      <c r="D973" s="7" t="str">
        <f>IF(ISNA(MATCH(964,'Transfer Engine'!$C$2:$C$1199,0)),"",INDEX('Compliance Database'!$D$2:$D$1199,MATCH(964,'Transfer Engine'!$C$2:$C$1199,0)))</f>
        <v/>
      </c>
      <c r="E973" s="6" t="str">
        <f>IF(ISNA(MATCH(964,'Transfer Engine'!$C$2:$C$1199,0)),"",INDEX('Compliance Database'!$E$2:$E$1199,MATCH(964,'Transfer Engine'!$C$2:$C$1199,0)))</f>
        <v/>
      </c>
      <c r="F973" s="6" t="str">
        <f>IF(ISNA(MATCH(964,'Transfer Engine'!$C$2:$C$1199,0)),"",INDEX('Compliance Database'!$F$2:$F$1199,MATCH(964,'Transfer Engine'!$C$2:$C$1199,0)))</f>
        <v/>
      </c>
      <c r="G973" s="6" t="str">
        <f>IF(ISNA(MATCH(964,'Transfer Engine'!$C$2:$C$1199,0)),"",INDEX('Compliance Database'!$G$2:$G$1199,MATCH(964,'Transfer Engine'!$C$2:$C$1199,0)))</f>
        <v/>
      </c>
      <c r="H973" s="7" t="str">
        <f>IF(ISNA(MATCH(964,'Transfer Engine'!$C$2:$C$1199,0)),"",INDEX('Compliance Database'!$H$2:$H$1199,MATCH(964,'Transfer Engine'!$C$2:$C$1199,0)))</f>
        <v/>
      </c>
      <c r="I973" s="7" t="str">
        <f>IF(ISNA(MATCH(964,'Transfer Engine'!$C$2:$C$1199,0)),"",INDEX('Compliance Database'!$I$2:$I$1199,MATCH(964,'Transfer Engine'!$C$2:$C$1199,0)))</f>
        <v/>
      </c>
      <c r="J973" s="6" t="str">
        <f>IF(ISNA(MATCH(964,'Transfer Engine'!$C$2:$C$1199,0)),"",INDEX('Compliance Database'!$J$2:$J$1199,MATCH(964,'Transfer Engine'!$C$2:$C$1199,0)))</f>
        <v/>
      </c>
      <c r="K973" s="7" t="str">
        <f>IF(ISNA(MATCH(964,'Transfer Engine'!$C$2:$C$1199,0)),"",INDEX('Compliance Database'!$K$2:$K$1199,MATCH(964,'Transfer Engine'!$C$2:$C$1199,0)))</f>
        <v/>
      </c>
      <c r="L973" s="7" t="str">
        <f>IF(ISNA(MATCH(964,'Transfer Engine'!$C$2:$C$1199,0)),"",INDEX('Compliance Database'!$L$2:$L$1199,MATCH(964,'Transfer Engine'!$C$2:$C$1199,0)))</f>
        <v/>
      </c>
      <c r="M973" s="7" t="str">
        <f>IF(ISNA(MATCH(964,'Transfer Engine'!$C$2:$C$1199,0)),"",INDEX('Compliance Database'!$M$2:$M$1199,MATCH(964,'Transfer Engine'!$C$2:$C$1199,0)))</f>
        <v/>
      </c>
      <c r="N973" s="7" t="str">
        <f>IF(ISNA(MATCH(964,'Transfer Engine'!$C$2:$C$1199,0)),"",INDEX('Compliance Database'!$N$2:$N$1199,MATCH(964,'Transfer Engine'!$C$2:$C$1199,0)))</f>
        <v/>
      </c>
      <c r="O973" s="7" t="str">
        <f>IF(ISNA(MATCH(964,'Transfer Engine'!$C$2:$C$1199,0)),"",INDEX('Compliance Database'!$O$2:$O$1199,MATCH(964,'Transfer Engine'!$C$2:$C$1199,0)))</f>
        <v/>
      </c>
      <c r="P973" s="6" t="str">
        <f>IF(ISNA(MATCH(964,'Transfer Engine'!$C$2:$C$1199,0)),"",HYPERLINK("#Acts!A"&amp;INDEX('Compliance Database'!$P$2:$P$1199,MATCH(964,'Transfer Engine'!$C$2:$C$1199,0)),"Go to Act"))</f>
        <v/>
      </c>
    </row>
    <row r="974" spans="1:16" ht="172.95" customHeight="1" x14ac:dyDescent="0.3">
      <c r="A974" s="6" t="str">
        <f>IF(ISNA(MATCH(965,'Transfer Engine'!$C$2:$C$1199,0)),"",INDEX('Compliance Database'!$A$2:$A$1199,MATCH(965,'Transfer Engine'!$C$2:$C$1199,0)))</f>
        <v/>
      </c>
      <c r="B974" s="6" t="str">
        <f>IF(ISNA(MATCH(965,'Transfer Engine'!$C$2:$C$1199,0)),"",INDEX('Compliance Database'!$B$2:$B$1199,MATCH(965,'Transfer Engine'!$C$2:$C$1199,0)))</f>
        <v/>
      </c>
      <c r="C974" s="6" t="str">
        <f>IF(ISNA(MATCH(965,'Transfer Engine'!$C$2:$C$1199,0)),"",INDEX('Compliance Database'!$C$2:$C$1199,MATCH(965,'Transfer Engine'!$C$2:$C$1199,0)))</f>
        <v/>
      </c>
      <c r="D974" s="7" t="str">
        <f>IF(ISNA(MATCH(965,'Transfer Engine'!$C$2:$C$1199,0)),"",INDEX('Compliance Database'!$D$2:$D$1199,MATCH(965,'Transfer Engine'!$C$2:$C$1199,0)))</f>
        <v/>
      </c>
      <c r="E974" s="6" t="str">
        <f>IF(ISNA(MATCH(965,'Transfer Engine'!$C$2:$C$1199,0)),"",INDEX('Compliance Database'!$E$2:$E$1199,MATCH(965,'Transfer Engine'!$C$2:$C$1199,0)))</f>
        <v/>
      </c>
      <c r="F974" s="6" t="str">
        <f>IF(ISNA(MATCH(965,'Transfer Engine'!$C$2:$C$1199,0)),"",INDEX('Compliance Database'!$F$2:$F$1199,MATCH(965,'Transfer Engine'!$C$2:$C$1199,0)))</f>
        <v/>
      </c>
      <c r="G974" s="6" t="str">
        <f>IF(ISNA(MATCH(965,'Transfer Engine'!$C$2:$C$1199,0)),"",INDEX('Compliance Database'!$G$2:$G$1199,MATCH(965,'Transfer Engine'!$C$2:$C$1199,0)))</f>
        <v/>
      </c>
      <c r="H974" s="7" t="str">
        <f>IF(ISNA(MATCH(965,'Transfer Engine'!$C$2:$C$1199,0)),"",INDEX('Compliance Database'!$H$2:$H$1199,MATCH(965,'Transfer Engine'!$C$2:$C$1199,0)))</f>
        <v/>
      </c>
      <c r="I974" s="7" t="str">
        <f>IF(ISNA(MATCH(965,'Transfer Engine'!$C$2:$C$1199,0)),"",INDEX('Compliance Database'!$I$2:$I$1199,MATCH(965,'Transfer Engine'!$C$2:$C$1199,0)))</f>
        <v/>
      </c>
      <c r="J974" s="6" t="str">
        <f>IF(ISNA(MATCH(965,'Transfer Engine'!$C$2:$C$1199,0)),"",INDEX('Compliance Database'!$J$2:$J$1199,MATCH(965,'Transfer Engine'!$C$2:$C$1199,0)))</f>
        <v/>
      </c>
      <c r="K974" s="7" t="str">
        <f>IF(ISNA(MATCH(965,'Transfer Engine'!$C$2:$C$1199,0)),"",INDEX('Compliance Database'!$K$2:$K$1199,MATCH(965,'Transfer Engine'!$C$2:$C$1199,0)))</f>
        <v/>
      </c>
      <c r="L974" s="7" t="str">
        <f>IF(ISNA(MATCH(965,'Transfer Engine'!$C$2:$C$1199,0)),"",INDEX('Compliance Database'!$L$2:$L$1199,MATCH(965,'Transfer Engine'!$C$2:$C$1199,0)))</f>
        <v/>
      </c>
      <c r="M974" s="7" t="str">
        <f>IF(ISNA(MATCH(965,'Transfer Engine'!$C$2:$C$1199,0)),"",INDEX('Compliance Database'!$M$2:$M$1199,MATCH(965,'Transfer Engine'!$C$2:$C$1199,0)))</f>
        <v/>
      </c>
      <c r="N974" s="7" t="str">
        <f>IF(ISNA(MATCH(965,'Transfer Engine'!$C$2:$C$1199,0)),"",INDEX('Compliance Database'!$N$2:$N$1199,MATCH(965,'Transfer Engine'!$C$2:$C$1199,0)))</f>
        <v/>
      </c>
      <c r="O974" s="7" t="str">
        <f>IF(ISNA(MATCH(965,'Transfer Engine'!$C$2:$C$1199,0)),"",INDEX('Compliance Database'!$O$2:$O$1199,MATCH(965,'Transfer Engine'!$C$2:$C$1199,0)))</f>
        <v/>
      </c>
      <c r="P974" s="6" t="str">
        <f>IF(ISNA(MATCH(965,'Transfer Engine'!$C$2:$C$1199,0)),"",HYPERLINK("#Acts!A"&amp;INDEX('Compliance Database'!$P$2:$P$1199,MATCH(965,'Transfer Engine'!$C$2:$C$1199,0)),"Go to Act"))</f>
        <v/>
      </c>
    </row>
    <row r="975" spans="1:16" ht="172.95" customHeight="1" x14ac:dyDescent="0.3">
      <c r="A975" s="6" t="str">
        <f>IF(ISNA(MATCH(966,'Transfer Engine'!$C$2:$C$1199,0)),"",INDEX('Compliance Database'!$A$2:$A$1199,MATCH(966,'Transfer Engine'!$C$2:$C$1199,0)))</f>
        <v/>
      </c>
      <c r="B975" s="6" t="str">
        <f>IF(ISNA(MATCH(966,'Transfer Engine'!$C$2:$C$1199,0)),"",INDEX('Compliance Database'!$B$2:$B$1199,MATCH(966,'Transfer Engine'!$C$2:$C$1199,0)))</f>
        <v/>
      </c>
      <c r="C975" s="6" t="str">
        <f>IF(ISNA(MATCH(966,'Transfer Engine'!$C$2:$C$1199,0)),"",INDEX('Compliance Database'!$C$2:$C$1199,MATCH(966,'Transfer Engine'!$C$2:$C$1199,0)))</f>
        <v/>
      </c>
      <c r="D975" s="7" t="str">
        <f>IF(ISNA(MATCH(966,'Transfer Engine'!$C$2:$C$1199,0)),"",INDEX('Compliance Database'!$D$2:$D$1199,MATCH(966,'Transfer Engine'!$C$2:$C$1199,0)))</f>
        <v/>
      </c>
      <c r="E975" s="6" t="str">
        <f>IF(ISNA(MATCH(966,'Transfer Engine'!$C$2:$C$1199,0)),"",INDEX('Compliance Database'!$E$2:$E$1199,MATCH(966,'Transfer Engine'!$C$2:$C$1199,0)))</f>
        <v/>
      </c>
      <c r="F975" s="6" t="str">
        <f>IF(ISNA(MATCH(966,'Transfer Engine'!$C$2:$C$1199,0)),"",INDEX('Compliance Database'!$F$2:$F$1199,MATCH(966,'Transfer Engine'!$C$2:$C$1199,0)))</f>
        <v/>
      </c>
      <c r="G975" s="6" t="str">
        <f>IF(ISNA(MATCH(966,'Transfer Engine'!$C$2:$C$1199,0)),"",INDEX('Compliance Database'!$G$2:$G$1199,MATCH(966,'Transfer Engine'!$C$2:$C$1199,0)))</f>
        <v/>
      </c>
      <c r="H975" s="7" t="str">
        <f>IF(ISNA(MATCH(966,'Transfer Engine'!$C$2:$C$1199,0)),"",INDEX('Compliance Database'!$H$2:$H$1199,MATCH(966,'Transfer Engine'!$C$2:$C$1199,0)))</f>
        <v/>
      </c>
      <c r="I975" s="7" t="str">
        <f>IF(ISNA(MATCH(966,'Transfer Engine'!$C$2:$C$1199,0)),"",INDEX('Compliance Database'!$I$2:$I$1199,MATCH(966,'Transfer Engine'!$C$2:$C$1199,0)))</f>
        <v/>
      </c>
      <c r="J975" s="6" t="str">
        <f>IF(ISNA(MATCH(966,'Transfer Engine'!$C$2:$C$1199,0)),"",INDEX('Compliance Database'!$J$2:$J$1199,MATCH(966,'Transfer Engine'!$C$2:$C$1199,0)))</f>
        <v/>
      </c>
      <c r="K975" s="7" t="str">
        <f>IF(ISNA(MATCH(966,'Transfer Engine'!$C$2:$C$1199,0)),"",INDEX('Compliance Database'!$K$2:$K$1199,MATCH(966,'Transfer Engine'!$C$2:$C$1199,0)))</f>
        <v/>
      </c>
      <c r="L975" s="7" t="str">
        <f>IF(ISNA(MATCH(966,'Transfer Engine'!$C$2:$C$1199,0)),"",INDEX('Compliance Database'!$L$2:$L$1199,MATCH(966,'Transfer Engine'!$C$2:$C$1199,0)))</f>
        <v/>
      </c>
      <c r="M975" s="7" t="str">
        <f>IF(ISNA(MATCH(966,'Transfer Engine'!$C$2:$C$1199,0)),"",INDEX('Compliance Database'!$M$2:$M$1199,MATCH(966,'Transfer Engine'!$C$2:$C$1199,0)))</f>
        <v/>
      </c>
      <c r="N975" s="7" t="str">
        <f>IF(ISNA(MATCH(966,'Transfer Engine'!$C$2:$C$1199,0)),"",INDEX('Compliance Database'!$N$2:$N$1199,MATCH(966,'Transfer Engine'!$C$2:$C$1199,0)))</f>
        <v/>
      </c>
      <c r="O975" s="7" t="str">
        <f>IF(ISNA(MATCH(966,'Transfer Engine'!$C$2:$C$1199,0)),"",INDEX('Compliance Database'!$O$2:$O$1199,MATCH(966,'Transfer Engine'!$C$2:$C$1199,0)))</f>
        <v/>
      </c>
      <c r="P975" s="6" t="str">
        <f>IF(ISNA(MATCH(966,'Transfer Engine'!$C$2:$C$1199,0)),"",HYPERLINK("#Acts!A"&amp;INDEX('Compliance Database'!$P$2:$P$1199,MATCH(966,'Transfer Engine'!$C$2:$C$1199,0)),"Go to Act"))</f>
        <v/>
      </c>
    </row>
    <row r="976" spans="1:16" ht="172.95" customHeight="1" x14ac:dyDescent="0.3">
      <c r="A976" s="6" t="str">
        <f>IF(ISNA(MATCH(967,'Transfer Engine'!$C$2:$C$1199,0)),"",INDEX('Compliance Database'!$A$2:$A$1199,MATCH(967,'Transfer Engine'!$C$2:$C$1199,0)))</f>
        <v/>
      </c>
      <c r="B976" s="6" t="str">
        <f>IF(ISNA(MATCH(967,'Transfer Engine'!$C$2:$C$1199,0)),"",INDEX('Compliance Database'!$B$2:$B$1199,MATCH(967,'Transfer Engine'!$C$2:$C$1199,0)))</f>
        <v/>
      </c>
      <c r="C976" s="6" t="str">
        <f>IF(ISNA(MATCH(967,'Transfer Engine'!$C$2:$C$1199,0)),"",INDEX('Compliance Database'!$C$2:$C$1199,MATCH(967,'Transfer Engine'!$C$2:$C$1199,0)))</f>
        <v/>
      </c>
      <c r="D976" s="7" t="str">
        <f>IF(ISNA(MATCH(967,'Transfer Engine'!$C$2:$C$1199,0)),"",INDEX('Compliance Database'!$D$2:$D$1199,MATCH(967,'Transfer Engine'!$C$2:$C$1199,0)))</f>
        <v/>
      </c>
      <c r="E976" s="6" t="str">
        <f>IF(ISNA(MATCH(967,'Transfer Engine'!$C$2:$C$1199,0)),"",INDEX('Compliance Database'!$E$2:$E$1199,MATCH(967,'Transfer Engine'!$C$2:$C$1199,0)))</f>
        <v/>
      </c>
      <c r="F976" s="6" t="str">
        <f>IF(ISNA(MATCH(967,'Transfer Engine'!$C$2:$C$1199,0)),"",INDEX('Compliance Database'!$F$2:$F$1199,MATCH(967,'Transfer Engine'!$C$2:$C$1199,0)))</f>
        <v/>
      </c>
      <c r="G976" s="6" t="str">
        <f>IF(ISNA(MATCH(967,'Transfer Engine'!$C$2:$C$1199,0)),"",INDEX('Compliance Database'!$G$2:$G$1199,MATCH(967,'Transfer Engine'!$C$2:$C$1199,0)))</f>
        <v/>
      </c>
      <c r="H976" s="7" t="str">
        <f>IF(ISNA(MATCH(967,'Transfer Engine'!$C$2:$C$1199,0)),"",INDEX('Compliance Database'!$H$2:$H$1199,MATCH(967,'Transfer Engine'!$C$2:$C$1199,0)))</f>
        <v/>
      </c>
      <c r="I976" s="7" t="str">
        <f>IF(ISNA(MATCH(967,'Transfer Engine'!$C$2:$C$1199,0)),"",INDEX('Compliance Database'!$I$2:$I$1199,MATCH(967,'Transfer Engine'!$C$2:$C$1199,0)))</f>
        <v/>
      </c>
      <c r="J976" s="6" t="str">
        <f>IF(ISNA(MATCH(967,'Transfer Engine'!$C$2:$C$1199,0)),"",INDEX('Compliance Database'!$J$2:$J$1199,MATCH(967,'Transfer Engine'!$C$2:$C$1199,0)))</f>
        <v/>
      </c>
      <c r="K976" s="7" t="str">
        <f>IF(ISNA(MATCH(967,'Transfer Engine'!$C$2:$C$1199,0)),"",INDEX('Compliance Database'!$K$2:$K$1199,MATCH(967,'Transfer Engine'!$C$2:$C$1199,0)))</f>
        <v/>
      </c>
      <c r="L976" s="7" t="str">
        <f>IF(ISNA(MATCH(967,'Transfer Engine'!$C$2:$C$1199,0)),"",INDEX('Compliance Database'!$L$2:$L$1199,MATCH(967,'Transfer Engine'!$C$2:$C$1199,0)))</f>
        <v/>
      </c>
      <c r="M976" s="7" t="str">
        <f>IF(ISNA(MATCH(967,'Transfer Engine'!$C$2:$C$1199,0)),"",INDEX('Compliance Database'!$M$2:$M$1199,MATCH(967,'Transfer Engine'!$C$2:$C$1199,0)))</f>
        <v/>
      </c>
      <c r="N976" s="7" t="str">
        <f>IF(ISNA(MATCH(967,'Transfer Engine'!$C$2:$C$1199,0)),"",INDEX('Compliance Database'!$N$2:$N$1199,MATCH(967,'Transfer Engine'!$C$2:$C$1199,0)))</f>
        <v/>
      </c>
      <c r="O976" s="7" t="str">
        <f>IF(ISNA(MATCH(967,'Transfer Engine'!$C$2:$C$1199,0)),"",INDEX('Compliance Database'!$O$2:$O$1199,MATCH(967,'Transfer Engine'!$C$2:$C$1199,0)))</f>
        <v/>
      </c>
      <c r="P976" s="6" t="str">
        <f>IF(ISNA(MATCH(967,'Transfer Engine'!$C$2:$C$1199,0)),"",HYPERLINK("#Acts!A"&amp;INDEX('Compliance Database'!$P$2:$P$1199,MATCH(967,'Transfer Engine'!$C$2:$C$1199,0)),"Go to Act"))</f>
        <v/>
      </c>
    </row>
    <row r="977" spans="1:16" ht="172.95" customHeight="1" x14ac:dyDescent="0.3">
      <c r="A977" s="6" t="str">
        <f>IF(ISNA(MATCH(968,'Transfer Engine'!$C$2:$C$1199,0)),"",INDEX('Compliance Database'!$A$2:$A$1199,MATCH(968,'Transfer Engine'!$C$2:$C$1199,0)))</f>
        <v/>
      </c>
      <c r="B977" s="6" t="str">
        <f>IF(ISNA(MATCH(968,'Transfer Engine'!$C$2:$C$1199,0)),"",INDEX('Compliance Database'!$B$2:$B$1199,MATCH(968,'Transfer Engine'!$C$2:$C$1199,0)))</f>
        <v/>
      </c>
      <c r="C977" s="6" t="str">
        <f>IF(ISNA(MATCH(968,'Transfer Engine'!$C$2:$C$1199,0)),"",INDEX('Compliance Database'!$C$2:$C$1199,MATCH(968,'Transfer Engine'!$C$2:$C$1199,0)))</f>
        <v/>
      </c>
      <c r="D977" s="7" t="str">
        <f>IF(ISNA(MATCH(968,'Transfer Engine'!$C$2:$C$1199,0)),"",INDEX('Compliance Database'!$D$2:$D$1199,MATCH(968,'Transfer Engine'!$C$2:$C$1199,0)))</f>
        <v/>
      </c>
      <c r="E977" s="6" t="str">
        <f>IF(ISNA(MATCH(968,'Transfer Engine'!$C$2:$C$1199,0)),"",INDEX('Compliance Database'!$E$2:$E$1199,MATCH(968,'Transfer Engine'!$C$2:$C$1199,0)))</f>
        <v/>
      </c>
      <c r="F977" s="6" t="str">
        <f>IF(ISNA(MATCH(968,'Transfer Engine'!$C$2:$C$1199,0)),"",INDEX('Compliance Database'!$F$2:$F$1199,MATCH(968,'Transfer Engine'!$C$2:$C$1199,0)))</f>
        <v/>
      </c>
      <c r="G977" s="6" t="str">
        <f>IF(ISNA(MATCH(968,'Transfer Engine'!$C$2:$C$1199,0)),"",INDEX('Compliance Database'!$G$2:$G$1199,MATCH(968,'Transfer Engine'!$C$2:$C$1199,0)))</f>
        <v/>
      </c>
      <c r="H977" s="7" t="str">
        <f>IF(ISNA(MATCH(968,'Transfer Engine'!$C$2:$C$1199,0)),"",INDEX('Compliance Database'!$H$2:$H$1199,MATCH(968,'Transfer Engine'!$C$2:$C$1199,0)))</f>
        <v/>
      </c>
      <c r="I977" s="7" t="str">
        <f>IF(ISNA(MATCH(968,'Transfer Engine'!$C$2:$C$1199,0)),"",INDEX('Compliance Database'!$I$2:$I$1199,MATCH(968,'Transfer Engine'!$C$2:$C$1199,0)))</f>
        <v/>
      </c>
      <c r="J977" s="6" t="str">
        <f>IF(ISNA(MATCH(968,'Transfer Engine'!$C$2:$C$1199,0)),"",INDEX('Compliance Database'!$J$2:$J$1199,MATCH(968,'Transfer Engine'!$C$2:$C$1199,0)))</f>
        <v/>
      </c>
      <c r="K977" s="7" t="str">
        <f>IF(ISNA(MATCH(968,'Transfer Engine'!$C$2:$C$1199,0)),"",INDEX('Compliance Database'!$K$2:$K$1199,MATCH(968,'Transfer Engine'!$C$2:$C$1199,0)))</f>
        <v/>
      </c>
      <c r="L977" s="7" t="str">
        <f>IF(ISNA(MATCH(968,'Transfer Engine'!$C$2:$C$1199,0)),"",INDEX('Compliance Database'!$L$2:$L$1199,MATCH(968,'Transfer Engine'!$C$2:$C$1199,0)))</f>
        <v/>
      </c>
      <c r="M977" s="7" t="str">
        <f>IF(ISNA(MATCH(968,'Transfer Engine'!$C$2:$C$1199,0)),"",INDEX('Compliance Database'!$M$2:$M$1199,MATCH(968,'Transfer Engine'!$C$2:$C$1199,0)))</f>
        <v/>
      </c>
      <c r="N977" s="7" t="str">
        <f>IF(ISNA(MATCH(968,'Transfer Engine'!$C$2:$C$1199,0)),"",INDEX('Compliance Database'!$N$2:$N$1199,MATCH(968,'Transfer Engine'!$C$2:$C$1199,0)))</f>
        <v/>
      </c>
      <c r="O977" s="7" t="str">
        <f>IF(ISNA(MATCH(968,'Transfer Engine'!$C$2:$C$1199,0)),"",INDEX('Compliance Database'!$O$2:$O$1199,MATCH(968,'Transfer Engine'!$C$2:$C$1199,0)))</f>
        <v/>
      </c>
      <c r="P977" s="6" t="str">
        <f>IF(ISNA(MATCH(968,'Transfer Engine'!$C$2:$C$1199,0)),"",HYPERLINK("#Acts!A"&amp;INDEX('Compliance Database'!$P$2:$P$1199,MATCH(968,'Transfer Engine'!$C$2:$C$1199,0)),"Go to Act"))</f>
        <v/>
      </c>
    </row>
    <row r="978" spans="1:16" ht="172.95" customHeight="1" x14ac:dyDescent="0.3">
      <c r="A978" s="6" t="str">
        <f>IF(ISNA(MATCH(969,'Transfer Engine'!$C$2:$C$1199,0)),"",INDEX('Compliance Database'!$A$2:$A$1199,MATCH(969,'Transfer Engine'!$C$2:$C$1199,0)))</f>
        <v/>
      </c>
      <c r="B978" s="6" t="str">
        <f>IF(ISNA(MATCH(969,'Transfer Engine'!$C$2:$C$1199,0)),"",INDEX('Compliance Database'!$B$2:$B$1199,MATCH(969,'Transfer Engine'!$C$2:$C$1199,0)))</f>
        <v/>
      </c>
      <c r="C978" s="6" t="str">
        <f>IF(ISNA(MATCH(969,'Transfer Engine'!$C$2:$C$1199,0)),"",INDEX('Compliance Database'!$C$2:$C$1199,MATCH(969,'Transfer Engine'!$C$2:$C$1199,0)))</f>
        <v/>
      </c>
      <c r="D978" s="7" t="str">
        <f>IF(ISNA(MATCH(969,'Transfer Engine'!$C$2:$C$1199,0)),"",INDEX('Compliance Database'!$D$2:$D$1199,MATCH(969,'Transfer Engine'!$C$2:$C$1199,0)))</f>
        <v/>
      </c>
      <c r="E978" s="6" t="str">
        <f>IF(ISNA(MATCH(969,'Transfer Engine'!$C$2:$C$1199,0)),"",INDEX('Compliance Database'!$E$2:$E$1199,MATCH(969,'Transfer Engine'!$C$2:$C$1199,0)))</f>
        <v/>
      </c>
      <c r="F978" s="6" t="str">
        <f>IF(ISNA(MATCH(969,'Transfer Engine'!$C$2:$C$1199,0)),"",INDEX('Compliance Database'!$F$2:$F$1199,MATCH(969,'Transfer Engine'!$C$2:$C$1199,0)))</f>
        <v/>
      </c>
      <c r="G978" s="6" t="str">
        <f>IF(ISNA(MATCH(969,'Transfer Engine'!$C$2:$C$1199,0)),"",INDEX('Compliance Database'!$G$2:$G$1199,MATCH(969,'Transfer Engine'!$C$2:$C$1199,0)))</f>
        <v/>
      </c>
      <c r="H978" s="7" t="str">
        <f>IF(ISNA(MATCH(969,'Transfer Engine'!$C$2:$C$1199,0)),"",INDEX('Compliance Database'!$H$2:$H$1199,MATCH(969,'Transfer Engine'!$C$2:$C$1199,0)))</f>
        <v/>
      </c>
      <c r="I978" s="7" t="str">
        <f>IF(ISNA(MATCH(969,'Transfer Engine'!$C$2:$C$1199,0)),"",INDEX('Compliance Database'!$I$2:$I$1199,MATCH(969,'Transfer Engine'!$C$2:$C$1199,0)))</f>
        <v/>
      </c>
      <c r="J978" s="6" t="str">
        <f>IF(ISNA(MATCH(969,'Transfer Engine'!$C$2:$C$1199,0)),"",INDEX('Compliance Database'!$J$2:$J$1199,MATCH(969,'Transfer Engine'!$C$2:$C$1199,0)))</f>
        <v/>
      </c>
      <c r="K978" s="7" t="str">
        <f>IF(ISNA(MATCH(969,'Transfer Engine'!$C$2:$C$1199,0)),"",INDEX('Compliance Database'!$K$2:$K$1199,MATCH(969,'Transfer Engine'!$C$2:$C$1199,0)))</f>
        <v/>
      </c>
      <c r="L978" s="7" t="str">
        <f>IF(ISNA(MATCH(969,'Transfer Engine'!$C$2:$C$1199,0)),"",INDEX('Compliance Database'!$L$2:$L$1199,MATCH(969,'Transfer Engine'!$C$2:$C$1199,0)))</f>
        <v/>
      </c>
      <c r="M978" s="7" t="str">
        <f>IF(ISNA(MATCH(969,'Transfer Engine'!$C$2:$C$1199,0)),"",INDEX('Compliance Database'!$M$2:$M$1199,MATCH(969,'Transfer Engine'!$C$2:$C$1199,0)))</f>
        <v/>
      </c>
      <c r="N978" s="7" t="str">
        <f>IF(ISNA(MATCH(969,'Transfer Engine'!$C$2:$C$1199,0)),"",INDEX('Compliance Database'!$N$2:$N$1199,MATCH(969,'Transfer Engine'!$C$2:$C$1199,0)))</f>
        <v/>
      </c>
      <c r="O978" s="7" t="str">
        <f>IF(ISNA(MATCH(969,'Transfer Engine'!$C$2:$C$1199,0)),"",INDEX('Compliance Database'!$O$2:$O$1199,MATCH(969,'Transfer Engine'!$C$2:$C$1199,0)))</f>
        <v/>
      </c>
      <c r="P978" s="6" t="str">
        <f>IF(ISNA(MATCH(969,'Transfer Engine'!$C$2:$C$1199,0)),"",HYPERLINK("#Acts!A"&amp;INDEX('Compliance Database'!$P$2:$P$1199,MATCH(969,'Transfer Engine'!$C$2:$C$1199,0)),"Go to Act"))</f>
        <v/>
      </c>
    </row>
    <row r="979" spans="1:16" ht="172.95" customHeight="1" x14ac:dyDescent="0.3">
      <c r="A979" s="6" t="str">
        <f>IF(ISNA(MATCH(970,'Transfer Engine'!$C$2:$C$1199,0)),"",INDEX('Compliance Database'!$A$2:$A$1199,MATCH(970,'Transfer Engine'!$C$2:$C$1199,0)))</f>
        <v/>
      </c>
      <c r="B979" s="6" t="str">
        <f>IF(ISNA(MATCH(970,'Transfer Engine'!$C$2:$C$1199,0)),"",INDEX('Compliance Database'!$B$2:$B$1199,MATCH(970,'Transfer Engine'!$C$2:$C$1199,0)))</f>
        <v/>
      </c>
      <c r="C979" s="6" t="str">
        <f>IF(ISNA(MATCH(970,'Transfer Engine'!$C$2:$C$1199,0)),"",INDEX('Compliance Database'!$C$2:$C$1199,MATCH(970,'Transfer Engine'!$C$2:$C$1199,0)))</f>
        <v/>
      </c>
      <c r="D979" s="7" t="str">
        <f>IF(ISNA(MATCH(970,'Transfer Engine'!$C$2:$C$1199,0)),"",INDEX('Compliance Database'!$D$2:$D$1199,MATCH(970,'Transfer Engine'!$C$2:$C$1199,0)))</f>
        <v/>
      </c>
      <c r="E979" s="6" t="str">
        <f>IF(ISNA(MATCH(970,'Transfer Engine'!$C$2:$C$1199,0)),"",INDEX('Compliance Database'!$E$2:$E$1199,MATCH(970,'Transfer Engine'!$C$2:$C$1199,0)))</f>
        <v/>
      </c>
      <c r="F979" s="6" t="str">
        <f>IF(ISNA(MATCH(970,'Transfer Engine'!$C$2:$C$1199,0)),"",INDEX('Compliance Database'!$F$2:$F$1199,MATCH(970,'Transfer Engine'!$C$2:$C$1199,0)))</f>
        <v/>
      </c>
      <c r="G979" s="6" t="str">
        <f>IF(ISNA(MATCH(970,'Transfer Engine'!$C$2:$C$1199,0)),"",INDEX('Compliance Database'!$G$2:$G$1199,MATCH(970,'Transfer Engine'!$C$2:$C$1199,0)))</f>
        <v/>
      </c>
      <c r="H979" s="7" t="str">
        <f>IF(ISNA(MATCH(970,'Transfer Engine'!$C$2:$C$1199,0)),"",INDEX('Compliance Database'!$H$2:$H$1199,MATCH(970,'Transfer Engine'!$C$2:$C$1199,0)))</f>
        <v/>
      </c>
      <c r="I979" s="7" t="str">
        <f>IF(ISNA(MATCH(970,'Transfer Engine'!$C$2:$C$1199,0)),"",INDEX('Compliance Database'!$I$2:$I$1199,MATCH(970,'Transfer Engine'!$C$2:$C$1199,0)))</f>
        <v/>
      </c>
      <c r="J979" s="6" t="str">
        <f>IF(ISNA(MATCH(970,'Transfer Engine'!$C$2:$C$1199,0)),"",INDEX('Compliance Database'!$J$2:$J$1199,MATCH(970,'Transfer Engine'!$C$2:$C$1199,0)))</f>
        <v/>
      </c>
      <c r="K979" s="7" t="str">
        <f>IF(ISNA(MATCH(970,'Transfer Engine'!$C$2:$C$1199,0)),"",INDEX('Compliance Database'!$K$2:$K$1199,MATCH(970,'Transfer Engine'!$C$2:$C$1199,0)))</f>
        <v/>
      </c>
      <c r="L979" s="7" t="str">
        <f>IF(ISNA(MATCH(970,'Transfer Engine'!$C$2:$C$1199,0)),"",INDEX('Compliance Database'!$L$2:$L$1199,MATCH(970,'Transfer Engine'!$C$2:$C$1199,0)))</f>
        <v/>
      </c>
      <c r="M979" s="7" t="str">
        <f>IF(ISNA(MATCH(970,'Transfer Engine'!$C$2:$C$1199,0)),"",INDEX('Compliance Database'!$M$2:$M$1199,MATCH(970,'Transfer Engine'!$C$2:$C$1199,0)))</f>
        <v/>
      </c>
      <c r="N979" s="7" t="str">
        <f>IF(ISNA(MATCH(970,'Transfer Engine'!$C$2:$C$1199,0)),"",INDEX('Compliance Database'!$N$2:$N$1199,MATCH(970,'Transfer Engine'!$C$2:$C$1199,0)))</f>
        <v/>
      </c>
      <c r="O979" s="7" t="str">
        <f>IF(ISNA(MATCH(970,'Transfer Engine'!$C$2:$C$1199,0)),"",INDEX('Compliance Database'!$O$2:$O$1199,MATCH(970,'Transfer Engine'!$C$2:$C$1199,0)))</f>
        <v/>
      </c>
      <c r="P979" s="6" t="str">
        <f>IF(ISNA(MATCH(970,'Transfer Engine'!$C$2:$C$1199,0)),"",HYPERLINK("#Acts!A"&amp;INDEX('Compliance Database'!$P$2:$P$1199,MATCH(970,'Transfer Engine'!$C$2:$C$1199,0)),"Go to Act"))</f>
        <v/>
      </c>
    </row>
    <row r="980" spans="1:16" ht="172.95" customHeight="1" x14ac:dyDescent="0.3">
      <c r="A980" s="6" t="str">
        <f>IF(ISNA(MATCH(971,'Transfer Engine'!$C$2:$C$1199,0)),"",INDEX('Compliance Database'!$A$2:$A$1199,MATCH(971,'Transfer Engine'!$C$2:$C$1199,0)))</f>
        <v/>
      </c>
      <c r="B980" s="6" t="str">
        <f>IF(ISNA(MATCH(971,'Transfer Engine'!$C$2:$C$1199,0)),"",INDEX('Compliance Database'!$B$2:$B$1199,MATCH(971,'Transfer Engine'!$C$2:$C$1199,0)))</f>
        <v/>
      </c>
      <c r="C980" s="6" t="str">
        <f>IF(ISNA(MATCH(971,'Transfer Engine'!$C$2:$C$1199,0)),"",INDEX('Compliance Database'!$C$2:$C$1199,MATCH(971,'Transfer Engine'!$C$2:$C$1199,0)))</f>
        <v/>
      </c>
      <c r="D980" s="7" t="str">
        <f>IF(ISNA(MATCH(971,'Transfer Engine'!$C$2:$C$1199,0)),"",INDEX('Compliance Database'!$D$2:$D$1199,MATCH(971,'Transfer Engine'!$C$2:$C$1199,0)))</f>
        <v/>
      </c>
      <c r="E980" s="6" t="str">
        <f>IF(ISNA(MATCH(971,'Transfer Engine'!$C$2:$C$1199,0)),"",INDEX('Compliance Database'!$E$2:$E$1199,MATCH(971,'Transfer Engine'!$C$2:$C$1199,0)))</f>
        <v/>
      </c>
      <c r="F980" s="6" t="str">
        <f>IF(ISNA(MATCH(971,'Transfer Engine'!$C$2:$C$1199,0)),"",INDEX('Compliance Database'!$F$2:$F$1199,MATCH(971,'Transfer Engine'!$C$2:$C$1199,0)))</f>
        <v/>
      </c>
      <c r="G980" s="6" t="str">
        <f>IF(ISNA(MATCH(971,'Transfer Engine'!$C$2:$C$1199,0)),"",INDEX('Compliance Database'!$G$2:$G$1199,MATCH(971,'Transfer Engine'!$C$2:$C$1199,0)))</f>
        <v/>
      </c>
      <c r="H980" s="7" t="str">
        <f>IF(ISNA(MATCH(971,'Transfer Engine'!$C$2:$C$1199,0)),"",INDEX('Compliance Database'!$H$2:$H$1199,MATCH(971,'Transfer Engine'!$C$2:$C$1199,0)))</f>
        <v/>
      </c>
      <c r="I980" s="7" t="str">
        <f>IF(ISNA(MATCH(971,'Transfer Engine'!$C$2:$C$1199,0)),"",INDEX('Compliance Database'!$I$2:$I$1199,MATCH(971,'Transfer Engine'!$C$2:$C$1199,0)))</f>
        <v/>
      </c>
      <c r="J980" s="6" t="str">
        <f>IF(ISNA(MATCH(971,'Transfer Engine'!$C$2:$C$1199,0)),"",INDEX('Compliance Database'!$J$2:$J$1199,MATCH(971,'Transfer Engine'!$C$2:$C$1199,0)))</f>
        <v/>
      </c>
      <c r="K980" s="7" t="str">
        <f>IF(ISNA(MATCH(971,'Transfer Engine'!$C$2:$C$1199,0)),"",INDEX('Compliance Database'!$K$2:$K$1199,MATCH(971,'Transfer Engine'!$C$2:$C$1199,0)))</f>
        <v/>
      </c>
      <c r="L980" s="7" t="str">
        <f>IF(ISNA(MATCH(971,'Transfer Engine'!$C$2:$C$1199,0)),"",INDEX('Compliance Database'!$L$2:$L$1199,MATCH(971,'Transfer Engine'!$C$2:$C$1199,0)))</f>
        <v/>
      </c>
      <c r="M980" s="7" t="str">
        <f>IF(ISNA(MATCH(971,'Transfer Engine'!$C$2:$C$1199,0)),"",INDEX('Compliance Database'!$M$2:$M$1199,MATCH(971,'Transfer Engine'!$C$2:$C$1199,0)))</f>
        <v/>
      </c>
      <c r="N980" s="7" t="str">
        <f>IF(ISNA(MATCH(971,'Transfer Engine'!$C$2:$C$1199,0)),"",INDEX('Compliance Database'!$N$2:$N$1199,MATCH(971,'Transfer Engine'!$C$2:$C$1199,0)))</f>
        <v/>
      </c>
      <c r="O980" s="7" t="str">
        <f>IF(ISNA(MATCH(971,'Transfer Engine'!$C$2:$C$1199,0)),"",INDEX('Compliance Database'!$O$2:$O$1199,MATCH(971,'Transfer Engine'!$C$2:$C$1199,0)))</f>
        <v/>
      </c>
      <c r="P980" s="6" t="str">
        <f>IF(ISNA(MATCH(971,'Transfer Engine'!$C$2:$C$1199,0)),"",HYPERLINK("#Acts!A"&amp;INDEX('Compliance Database'!$P$2:$P$1199,MATCH(971,'Transfer Engine'!$C$2:$C$1199,0)),"Go to Act"))</f>
        <v/>
      </c>
    </row>
    <row r="981" spans="1:16" ht="172.95" customHeight="1" x14ac:dyDescent="0.3">
      <c r="A981" s="6" t="str">
        <f>IF(ISNA(MATCH(972,'Transfer Engine'!$C$2:$C$1199,0)),"",INDEX('Compliance Database'!$A$2:$A$1199,MATCH(972,'Transfer Engine'!$C$2:$C$1199,0)))</f>
        <v/>
      </c>
      <c r="B981" s="6" t="str">
        <f>IF(ISNA(MATCH(972,'Transfer Engine'!$C$2:$C$1199,0)),"",INDEX('Compliance Database'!$B$2:$B$1199,MATCH(972,'Transfer Engine'!$C$2:$C$1199,0)))</f>
        <v/>
      </c>
      <c r="C981" s="6" t="str">
        <f>IF(ISNA(MATCH(972,'Transfer Engine'!$C$2:$C$1199,0)),"",INDEX('Compliance Database'!$C$2:$C$1199,MATCH(972,'Transfer Engine'!$C$2:$C$1199,0)))</f>
        <v/>
      </c>
      <c r="D981" s="7" t="str">
        <f>IF(ISNA(MATCH(972,'Transfer Engine'!$C$2:$C$1199,0)),"",INDEX('Compliance Database'!$D$2:$D$1199,MATCH(972,'Transfer Engine'!$C$2:$C$1199,0)))</f>
        <v/>
      </c>
      <c r="E981" s="6" t="str">
        <f>IF(ISNA(MATCH(972,'Transfer Engine'!$C$2:$C$1199,0)),"",INDEX('Compliance Database'!$E$2:$E$1199,MATCH(972,'Transfer Engine'!$C$2:$C$1199,0)))</f>
        <v/>
      </c>
      <c r="F981" s="6" t="str">
        <f>IF(ISNA(MATCH(972,'Transfer Engine'!$C$2:$C$1199,0)),"",INDEX('Compliance Database'!$F$2:$F$1199,MATCH(972,'Transfer Engine'!$C$2:$C$1199,0)))</f>
        <v/>
      </c>
      <c r="G981" s="6" t="str">
        <f>IF(ISNA(MATCH(972,'Transfer Engine'!$C$2:$C$1199,0)),"",INDEX('Compliance Database'!$G$2:$G$1199,MATCH(972,'Transfer Engine'!$C$2:$C$1199,0)))</f>
        <v/>
      </c>
      <c r="H981" s="7" t="str">
        <f>IF(ISNA(MATCH(972,'Transfer Engine'!$C$2:$C$1199,0)),"",INDEX('Compliance Database'!$H$2:$H$1199,MATCH(972,'Transfer Engine'!$C$2:$C$1199,0)))</f>
        <v/>
      </c>
      <c r="I981" s="7" t="str">
        <f>IF(ISNA(MATCH(972,'Transfer Engine'!$C$2:$C$1199,0)),"",INDEX('Compliance Database'!$I$2:$I$1199,MATCH(972,'Transfer Engine'!$C$2:$C$1199,0)))</f>
        <v/>
      </c>
      <c r="J981" s="6" t="str">
        <f>IF(ISNA(MATCH(972,'Transfer Engine'!$C$2:$C$1199,0)),"",INDEX('Compliance Database'!$J$2:$J$1199,MATCH(972,'Transfer Engine'!$C$2:$C$1199,0)))</f>
        <v/>
      </c>
      <c r="K981" s="7" t="str">
        <f>IF(ISNA(MATCH(972,'Transfer Engine'!$C$2:$C$1199,0)),"",INDEX('Compliance Database'!$K$2:$K$1199,MATCH(972,'Transfer Engine'!$C$2:$C$1199,0)))</f>
        <v/>
      </c>
      <c r="L981" s="7" t="str">
        <f>IF(ISNA(MATCH(972,'Transfer Engine'!$C$2:$C$1199,0)),"",INDEX('Compliance Database'!$L$2:$L$1199,MATCH(972,'Transfer Engine'!$C$2:$C$1199,0)))</f>
        <v/>
      </c>
      <c r="M981" s="7" t="str">
        <f>IF(ISNA(MATCH(972,'Transfer Engine'!$C$2:$C$1199,0)),"",INDEX('Compliance Database'!$M$2:$M$1199,MATCH(972,'Transfer Engine'!$C$2:$C$1199,0)))</f>
        <v/>
      </c>
      <c r="N981" s="7" t="str">
        <f>IF(ISNA(MATCH(972,'Transfer Engine'!$C$2:$C$1199,0)),"",INDEX('Compliance Database'!$N$2:$N$1199,MATCH(972,'Transfer Engine'!$C$2:$C$1199,0)))</f>
        <v/>
      </c>
      <c r="O981" s="7" t="str">
        <f>IF(ISNA(MATCH(972,'Transfer Engine'!$C$2:$C$1199,0)),"",INDEX('Compliance Database'!$O$2:$O$1199,MATCH(972,'Transfer Engine'!$C$2:$C$1199,0)))</f>
        <v/>
      </c>
      <c r="P981" s="6" t="str">
        <f>IF(ISNA(MATCH(972,'Transfer Engine'!$C$2:$C$1199,0)),"",HYPERLINK("#Acts!A"&amp;INDEX('Compliance Database'!$P$2:$P$1199,MATCH(972,'Transfer Engine'!$C$2:$C$1199,0)),"Go to Act"))</f>
        <v/>
      </c>
    </row>
    <row r="982" spans="1:16" ht="172.95" customHeight="1" x14ac:dyDescent="0.3">
      <c r="A982" s="6" t="str">
        <f>IF(ISNA(MATCH(973,'Transfer Engine'!$C$2:$C$1199,0)),"",INDEX('Compliance Database'!$A$2:$A$1199,MATCH(973,'Transfer Engine'!$C$2:$C$1199,0)))</f>
        <v/>
      </c>
      <c r="B982" s="6" t="str">
        <f>IF(ISNA(MATCH(973,'Transfer Engine'!$C$2:$C$1199,0)),"",INDEX('Compliance Database'!$B$2:$B$1199,MATCH(973,'Transfer Engine'!$C$2:$C$1199,0)))</f>
        <v/>
      </c>
      <c r="C982" s="6" t="str">
        <f>IF(ISNA(MATCH(973,'Transfer Engine'!$C$2:$C$1199,0)),"",INDEX('Compliance Database'!$C$2:$C$1199,MATCH(973,'Transfer Engine'!$C$2:$C$1199,0)))</f>
        <v/>
      </c>
      <c r="D982" s="7" t="str">
        <f>IF(ISNA(MATCH(973,'Transfer Engine'!$C$2:$C$1199,0)),"",INDEX('Compliance Database'!$D$2:$D$1199,MATCH(973,'Transfer Engine'!$C$2:$C$1199,0)))</f>
        <v/>
      </c>
      <c r="E982" s="6" t="str">
        <f>IF(ISNA(MATCH(973,'Transfer Engine'!$C$2:$C$1199,0)),"",INDEX('Compliance Database'!$E$2:$E$1199,MATCH(973,'Transfer Engine'!$C$2:$C$1199,0)))</f>
        <v/>
      </c>
      <c r="F982" s="6" t="str">
        <f>IF(ISNA(MATCH(973,'Transfer Engine'!$C$2:$C$1199,0)),"",INDEX('Compliance Database'!$F$2:$F$1199,MATCH(973,'Transfer Engine'!$C$2:$C$1199,0)))</f>
        <v/>
      </c>
      <c r="G982" s="6" t="str">
        <f>IF(ISNA(MATCH(973,'Transfer Engine'!$C$2:$C$1199,0)),"",INDEX('Compliance Database'!$G$2:$G$1199,MATCH(973,'Transfer Engine'!$C$2:$C$1199,0)))</f>
        <v/>
      </c>
      <c r="H982" s="7" t="str">
        <f>IF(ISNA(MATCH(973,'Transfer Engine'!$C$2:$C$1199,0)),"",INDEX('Compliance Database'!$H$2:$H$1199,MATCH(973,'Transfer Engine'!$C$2:$C$1199,0)))</f>
        <v/>
      </c>
      <c r="I982" s="7" t="str">
        <f>IF(ISNA(MATCH(973,'Transfer Engine'!$C$2:$C$1199,0)),"",INDEX('Compliance Database'!$I$2:$I$1199,MATCH(973,'Transfer Engine'!$C$2:$C$1199,0)))</f>
        <v/>
      </c>
      <c r="J982" s="6" t="str">
        <f>IF(ISNA(MATCH(973,'Transfer Engine'!$C$2:$C$1199,0)),"",INDEX('Compliance Database'!$J$2:$J$1199,MATCH(973,'Transfer Engine'!$C$2:$C$1199,0)))</f>
        <v/>
      </c>
      <c r="K982" s="7" t="str">
        <f>IF(ISNA(MATCH(973,'Transfer Engine'!$C$2:$C$1199,0)),"",INDEX('Compliance Database'!$K$2:$K$1199,MATCH(973,'Transfer Engine'!$C$2:$C$1199,0)))</f>
        <v/>
      </c>
      <c r="L982" s="7" t="str">
        <f>IF(ISNA(MATCH(973,'Transfer Engine'!$C$2:$C$1199,0)),"",INDEX('Compliance Database'!$L$2:$L$1199,MATCH(973,'Transfer Engine'!$C$2:$C$1199,0)))</f>
        <v/>
      </c>
      <c r="M982" s="7" t="str">
        <f>IF(ISNA(MATCH(973,'Transfer Engine'!$C$2:$C$1199,0)),"",INDEX('Compliance Database'!$M$2:$M$1199,MATCH(973,'Transfer Engine'!$C$2:$C$1199,0)))</f>
        <v/>
      </c>
      <c r="N982" s="7" t="str">
        <f>IF(ISNA(MATCH(973,'Transfer Engine'!$C$2:$C$1199,0)),"",INDEX('Compliance Database'!$N$2:$N$1199,MATCH(973,'Transfer Engine'!$C$2:$C$1199,0)))</f>
        <v/>
      </c>
      <c r="O982" s="7" t="str">
        <f>IF(ISNA(MATCH(973,'Transfer Engine'!$C$2:$C$1199,0)),"",INDEX('Compliance Database'!$O$2:$O$1199,MATCH(973,'Transfer Engine'!$C$2:$C$1199,0)))</f>
        <v/>
      </c>
      <c r="P982" s="6" t="str">
        <f>IF(ISNA(MATCH(973,'Transfer Engine'!$C$2:$C$1199,0)),"",HYPERLINK("#Acts!A"&amp;INDEX('Compliance Database'!$P$2:$P$1199,MATCH(973,'Transfer Engine'!$C$2:$C$1199,0)),"Go to Act"))</f>
        <v/>
      </c>
    </row>
    <row r="983" spans="1:16" ht="172.95" customHeight="1" x14ac:dyDescent="0.3">
      <c r="A983" s="6" t="str">
        <f>IF(ISNA(MATCH(974,'Transfer Engine'!$C$2:$C$1199,0)),"",INDEX('Compliance Database'!$A$2:$A$1199,MATCH(974,'Transfer Engine'!$C$2:$C$1199,0)))</f>
        <v/>
      </c>
      <c r="B983" s="6" t="str">
        <f>IF(ISNA(MATCH(974,'Transfer Engine'!$C$2:$C$1199,0)),"",INDEX('Compliance Database'!$B$2:$B$1199,MATCH(974,'Transfer Engine'!$C$2:$C$1199,0)))</f>
        <v/>
      </c>
      <c r="C983" s="6" t="str">
        <f>IF(ISNA(MATCH(974,'Transfer Engine'!$C$2:$C$1199,0)),"",INDEX('Compliance Database'!$C$2:$C$1199,MATCH(974,'Transfer Engine'!$C$2:$C$1199,0)))</f>
        <v/>
      </c>
      <c r="D983" s="7" t="str">
        <f>IF(ISNA(MATCH(974,'Transfer Engine'!$C$2:$C$1199,0)),"",INDEX('Compliance Database'!$D$2:$D$1199,MATCH(974,'Transfer Engine'!$C$2:$C$1199,0)))</f>
        <v/>
      </c>
      <c r="E983" s="6" t="str">
        <f>IF(ISNA(MATCH(974,'Transfer Engine'!$C$2:$C$1199,0)),"",INDEX('Compliance Database'!$E$2:$E$1199,MATCH(974,'Transfer Engine'!$C$2:$C$1199,0)))</f>
        <v/>
      </c>
      <c r="F983" s="6" t="str">
        <f>IF(ISNA(MATCH(974,'Transfer Engine'!$C$2:$C$1199,0)),"",INDEX('Compliance Database'!$F$2:$F$1199,MATCH(974,'Transfer Engine'!$C$2:$C$1199,0)))</f>
        <v/>
      </c>
      <c r="G983" s="6" t="str">
        <f>IF(ISNA(MATCH(974,'Transfer Engine'!$C$2:$C$1199,0)),"",INDEX('Compliance Database'!$G$2:$G$1199,MATCH(974,'Transfer Engine'!$C$2:$C$1199,0)))</f>
        <v/>
      </c>
      <c r="H983" s="7" t="str">
        <f>IF(ISNA(MATCH(974,'Transfer Engine'!$C$2:$C$1199,0)),"",INDEX('Compliance Database'!$H$2:$H$1199,MATCH(974,'Transfer Engine'!$C$2:$C$1199,0)))</f>
        <v/>
      </c>
      <c r="I983" s="7" t="str">
        <f>IF(ISNA(MATCH(974,'Transfer Engine'!$C$2:$C$1199,0)),"",INDEX('Compliance Database'!$I$2:$I$1199,MATCH(974,'Transfer Engine'!$C$2:$C$1199,0)))</f>
        <v/>
      </c>
      <c r="J983" s="6" t="str">
        <f>IF(ISNA(MATCH(974,'Transfer Engine'!$C$2:$C$1199,0)),"",INDEX('Compliance Database'!$J$2:$J$1199,MATCH(974,'Transfer Engine'!$C$2:$C$1199,0)))</f>
        <v/>
      </c>
      <c r="K983" s="7" t="str">
        <f>IF(ISNA(MATCH(974,'Transfer Engine'!$C$2:$C$1199,0)),"",INDEX('Compliance Database'!$K$2:$K$1199,MATCH(974,'Transfer Engine'!$C$2:$C$1199,0)))</f>
        <v/>
      </c>
      <c r="L983" s="7" t="str">
        <f>IF(ISNA(MATCH(974,'Transfer Engine'!$C$2:$C$1199,0)),"",INDEX('Compliance Database'!$L$2:$L$1199,MATCH(974,'Transfer Engine'!$C$2:$C$1199,0)))</f>
        <v/>
      </c>
      <c r="M983" s="7" t="str">
        <f>IF(ISNA(MATCH(974,'Transfer Engine'!$C$2:$C$1199,0)),"",INDEX('Compliance Database'!$M$2:$M$1199,MATCH(974,'Transfer Engine'!$C$2:$C$1199,0)))</f>
        <v/>
      </c>
      <c r="N983" s="7" t="str">
        <f>IF(ISNA(MATCH(974,'Transfer Engine'!$C$2:$C$1199,0)),"",INDEX('Compliance Database'!$N$2:$N$1199,MATCH(974,'Transfer Engine'!$C$2:$C$1199,0)))</f>
        <v/>
      </c>
      <c r="O983" s="7" t="str">
        <f>IF(ISNA(MATCH(974,'Transfer Engine'!$C$2:$C$1199,0)),"",INDEX('Compliance Database'!$O$2:$O$1199,MATCH(974,'Transfer Engine'!$C$2:$C$1199,0)))</f>
        <v/>
      </c>
      <c r="P983" s="6" t="str">
        <f>IF(ISNA(MATCH(974,'Transfer Engine'!$C$2:$C$1199,0)),"",HYPERLINK("#Acts!A"&amp;INDEX('Compliance Database'!$P$2:$P$1199,MATCH(974,'Transfer Engine'!$C$2:$C$1199,0)),"Go to Act"))</f>
        <v/>
      </c>
    </row>
    <row r="984" spans="1:16" ht="172.95" customHeight="1" x14ac:dyDescent="0.3">
      <c r="A984" s="6" t="str">
        <f>IF(ISNA(MATCH(975,'Transfer Engine'!$C$2:$C$1199,0)),"",INDEX('Compliance Database'!$A$2:$A$1199,MATCH(975,'Transfer Engine'!$C$2:$C$1199,0)))</f>
        <v/>
      </c>
      <c r="B984" s="6" t="str">
        <f>IF(ISNA(MATCH(975,'Transfer Engine'!$C$2:$C$1199,0)),"",INDEX('Compliance Database'!$B$2:$B$1199,MATCH(975,'Transfer Engine'!$C$2:$C$1199,0)))</f>
        <v/>
      </c>
      <c r="C984" s="6" t="str">
        <f>IF(ISNA(MATCH(975,'Transfer Engine'!$C$2:$C$1199,0)),"",INDEX('Compliance Database'!$C$2:$C$1199,MATCH(975,'Transfer Engine'!$C$2:$C$1199,0)))</f>
        <v/>
      </c>
      <c r="D984" s="7" t="str">
        <f>IF(ISNA(MATCH(975,'Transfer Engine'!$C$2:$C$1199,0)),"",INDEX('Compliance Database'!$D$2:$D$1199,MATCH(975,'Transfer Engine'!$C$2:$C$1199,0)))</f>
        <v/>
      </c>
      <c r="E984" s="6" t="str">
        <f>IF(ISNA(MATCH(975,'Transfer Engine'!$C$2:$C$1199,0)),"",INDEX('Compliance Database'!$E$2:$E$1199,MATCH(975,'Transfer Engine'!$C$2:$C$1199,0)))</f>
        <v/>
      </c>
      <c r="F984" s="6" t="str">
        <f>IF(ISNA(MATCH(975,'Transfer Engine'!$C$2:$C$1199,0)),"",INDEX('Compliance Database'!$F$2:$F$1199,MATCH(975,'Transfer Engine'!$C$2:$C$1199,0)))</f>
        <v/>
      </c>
      <c r="G984" s="6" t="str">
        <f>IF(ISNA(MATCH(975,'Transfer Engine'!$C$2:$C$1199,0)),"",INDEX('Compliance Database'!$G$2:$G$1199,MATCH(975,'Transfer Engine'!$C$2:$C$1199,0)))</f>
        <v/>
      </c>
      <c r="H984" s="7" t="str">
        <f>IF(ISNA(MATCH(975,'Transfer Engine'!$C$2:$C$1199,0)),"",INDEX('Compliance Database'!$H$2:$H$1199,MATCH(975,'Transfer Engine'!$C$2:$C$1199,0)))</f>
        <v/>
      </c>
      <c r="I984" s="7" t="str">
        <f>IF(ISNA(MATCH(975,'Transfer Engine'!$C$2:$C$1199,0)),"",INDEX('Compliance Database'!$I$2:$I$1199,MATCH(975,'Transfer Engine'!$C$2:$C$1199,0)))</f>
        <v/>
      </c>
      <c r="J984" s="6" t="str">
        <f>IF(ISNA(MATCH(975,'Transfer Engine'!$C$2:$C$1199,0)),"",INDEX('Compliance Database'!$J$2:$J$1199,MATCH(975,'Transfer Engine'!$C$2:$C$1199,0)))</f>
        <v/>
      </c>
      <c r="K984" s="7" t="str">
        <f>IF(ISNA(MATCH(975,'Transfer Engine'!$C$2:$C$1199,0)),"",INDEX('Compliance Database'!$K$2:$K$1199,MATCH(975,'Transfer Engine'!$C$2:$C$1199,0)))</f>
        <v/>
      </c>
      <c r="L984" s="7" t="str">
        <f>IF(ISNA(MATCH(975,'Transfer Engine'!$C$2:$C$1199,0)),"",INDEX('Compliance Database'!$L$2:$L$1199,MATCH(975,'Transfer Engine'!$C$2:$C$1199,0)))</f>
        <v/>
      </c>
      <c r="M984" s="7" t="str">
        <f>IF(ISNA(MATCH(975,'Transfer Engine'!$C$2:$C$1199,0)),"",INDEX('Compliance Database'!$M$2:$M$1199,MATCH(975,'Transfer Engine'!$C$2:$C$1199,0)))</f>
        <v/>
      </c>
      <c r="N984" s="7" t="str">
        <f>IF(ISNA(MATCH(975,'Transfer Engine'!$C$2:$C$1199,0)),"",INDEX('Compliance Database'!$N$2:$N$1199,MATCH(975,'Transfer Engine'!$C$2:$C$1199,0)))</f>
        <v/>
      </c>
      <c r="O984" s="7" t="str">
        <f>IF(ISNA(MATCH(975,'Transfer Engine'!$C$2:$C$1199,0)),"",INDEX('Compliance Database'!$O$2:$O$1199,MATCH(975,'Transfer Engine'!$C$2:$C$1199,0)))</f>
        <v/>
      </c>
      <c r="P984" s="6" t="str">
        <f>IF(ISNA(MATCH(975,'Transfer Engine'!$C$2:$C$1199,0)),"",HYPERLINK("#Acts!A"&amp;INDEX('Compliance Database'!$P$2:$P$1199,MATCH(975,'Transfer Engine'!$C$2:$C$1199,0)),"Go to Act"))</f>
        <v/>
      </c>
    </row>
    <row r="985" spans="1:16" ht="172.95" customHeight="1" x14ac:dyDescent="0.3">
      <c r="A985" s="6" t="str">
        <f>IF(ISNA(MATCH(976,'Transfer Engine'!$C$2:$C$1199,0)),"",INDEX('Compliance Database'!$A$2:$A$1199,MATCH(976,'Transfer Engine'!$C$2:$C$1199,0)))</f>
        <v/>
      </c>
      <c r="B985" s="6" t="str">
        <f>IF(ISNA(MATCH(976,'Transfer Engine'!$C$2:$C$1199,0)),"",INDEX('Compliance Database'!$B$2:$B$1199,MATCH(976,'Transfer Engine'!$C$2:$C$1199,0)))</f>
        <v/>
      </c>
      <c r="C985" s="6" t="str">
        <f>IF(ISNA(MATCH(976,'Transfer Engine'!$C$2:$C$1199,0)),"",INDEX('Compliance Database'!$C$2:$C$1199,MATCH(976,'Transfer Engine'!$C$2:$C$1199,0)))</f>
        <v/>
      </c>
      <c r="D985" s="7" t="str">
        <f>IF(ISNA(MATCH(976,'Transfer Engine'!$C$2:$C$1199,0)),"",INDEX('Compliance Database'!$D$2:$D$1199,MATCH(976,'Transfer Engine'!$C$2:$C$1199,0)))</f>
        <v/>
      </c>
      <c r="E985" s="6" t="str">
        <f>IF(ISNA(MATCH(976,'Transfer Engine'!$C$2:$C$1199,0)),"",INDEX('Compliance Database'!$E$2:$E$1199,MATCH(976,'Transfer Engine'!$C$2:$C$1199,0)))</f>
        <v/>
      </c>
      <c r="F985" s="6" t="str">
        <f>IF(ISNA(MATCH(976,'Transfer Engine'!$C$2:$C$1199,0)),"",INDEX('Compliance Database'!$F$2:$F$1199,MATCH(976,'Transfer Engine'!$C$2:$C$1199,0)))</f>
        <v/>
      </c>
      <c r="G985" s="6" t="str">
        <f>IF(ISNA(MATCH(976,'Transfer Engine'!$C$2:$C$1199,0)),"",INDEX('Compliance Database'!$G$2:$G$1199,MATCH(976,'Transfer Engine'!$C$2:$C$1199,0)))</f>
        <v/>
      </c>
      <c r="H985" s="7" t="str">
        <f>IF(ISNA(MATCH(976,'Transfer Engine'!$C$2:$C$1199,0)),"",INDEX('Compliance Database'!$H$2:$H$1199,MATCH(976,'Transfer Engine'!$C$2:$C$1199,0)))</f>
        <v/>
      </c>
      <c r="I985" s="7" t="str">
        <f>IF(ISNA(MATCH(976,'Transfer Engine'!$C$2:$C$1199,0)),"",INDEX('Compliance Database'!$I$2:$I$1199,MATCH(976,'Transfer Engine'!$C$2:$C$1199,0)))</f>
        <v/>
      </c>
      <c r="J985" s="6" t="str">
        <f>IF(ISNA(MATCH(976,'Transfer Engine'!$C$2:$C$1199,0)),"",INDEX('Compliance Database'!$J$2:$J$1199,MATCH(976,'Transfer Engine'!$C$2:$C$1199,0)))</f>
        <v/>
      </c>
      <c r="K985" s="7" t="str">
        <f>IF(ISNA(MATCH(976,'Transfer Engine'!$C$2:$C$1199,0)),"",INDEX('Compliance Database'!$K$2:$K$1199,MATCH(976,'Transfer Engine'!$C$2:$C$1199,0)))</f>
        <v/>
      </c>
      <c r="L985" s="7" t="str">
        <f>IF(ISNA(MATCH(976,'Transfer Engine'!$C$2:$C$1199,0)),"",INDEX('Compliance Database'!$L$2:$L$1199,MATCH(976,'Transfer Engine'!$C$2:$C$1199,0)))</f>
        <v/>
      </c>
      <c r="M985" s="7" t="str">
        <f>IF(ISNA(MATCH(976,'Transfer Engine'!$C$2:$C$1199,0)),"",INDEX('Compliance Database'!$M$2:$M$1199,MATCH(976,'Transfer Engine'!$C$2:$C$1199,0)))</f>
        <v/>
      </c>
      <c r="N985" s="7" t="str">
        <f>IF(ISNA(MATCH(976,'Transfer Engine'!$C$2:$C$1199,0)),"",INDEX('Compliance Database'!$N$2:$N$1199,MATCH(976,'Transfer Engine'!$C$2:$C$1199,0)))</f>
        <v/>
      </c>
      <c r="O985" s="7" t="str">
        <f>IF(ISNA(MATCH(976,'Transfer Engine'!$C$2:$C$1199,0)),"",INDEX('Compliance Database'!$O$2:$O$1199,MATCH(976,'Transfer Engine'!$C$2:$C$1199,0)))</f>
        <v/>
      </c>
      <c r="P985" s="6" t="str">
        <f>IF(ISNA(MATCH(976,'Transfer Engine'!$C$2:$C$1199,0)),"",HYPERLINK("#Acts!A"&amp;INDEX('Compliance Database'!$P$2:$P$1199,MATCH(976,'Transfer Engine'!$C$2:$C$1199,0)),"Go to Act"))</f>
        <v/>
      </c>
    </row>
    <row r="986" spans="1:16" ht="172.95" customHeight="1" x14ac:dyDescent="0.3">
      <c r="A986" s="6" t="str">
        <f>IF(ISNA(MATCH(977,'Transfer Engine'!$C$2:$C$1199,0)),"",INDEX('Compliance Database'!$A$2:$A$1199,MATCH(977,'Transfer Engine'!$C$2:$C$1199,0)))</f>
        <v/>
      </c>
      <c r="B986" s="6" t="str">
        <f>IF(ISNA(MATCH(977,'Transfer Engine'!$C$2:$C$1199,0)),"",INDEX('Compliance Database'!$B$2:$B$1199,MATCH(977,'Transfer Engine'!$C$2:$C$1199,0)))</f>
        <v/>
      </c>
      <c r="C986" s="6" t="str">
        <f>IF(ISNA(MATCH(977,'Transfer Engine'!$C$2:$C$1199,0)),"",INDEX('Compliance Database'!$C$2:$C$1199,MATCH(977,'Transfer Engine'!$C$2:$C$1199,0)))</f>
        <v/>
      </c>
      <c r="D986" s="7" t="str">
        <f>IF(ISNA(MATCH(977,'Transfer Engine'!$C$2:$C$1199,0)),"",INDEX('Compliance Database'!$D$2:$D$1199,MATCH(977,'Transfer Engine'!$C$2:$C$1199,0)))</f>
        <v/>
      </c>
      <c r="E986" s="6" t="str">
        <f>IF(ISNA(MATCH(977,'Transfer Engine'!$C$2:$C$1199,0)),"",INDEX('Compliance Database'!$E$2:$E$1199,MATCH(977,'Transfer Engine'!$C$2:$C$1199,0)))</f>
        <v/>
      </c>
      <c r="F986" s="6" t="str">
        <f>IF(ISNA(MATCH(977,'Transfer Engine'!$C$2:$C$1199,0)),"",INDEX('Compliance Database'!$F$2:$F$1199,MATCH(977,'Transfer Engine'!$C$2:$C$1199,0)))</f>
        <v/>
      </c>
      <c r="G986" s="6" t="str">
        <f>IF(ISNA(MATCH(977,'Transfer Engine'!$C$2:$C$1199,0)),"",INDEX('Compliance Database'!$G$2:$G$1199,MATCH(977,'Transfer Engine'!$C$2:$C$1199,0)))</f>
        <v/>
      </c>
      <c r="H986" s="7" t="str">
        <f>IF(ISNA(MATCH(977,'Transfer Engine'!$C$2:$C$1199,0)),"",INDEX('Compliance Database'!$H$2:$H$1199,MATCH(977,'Transfer Engine'!$C$2:$C$1199,0)))</f>
        <v/>
      </c>
      <c r="I986" s="7" t="str">
        <f>IF(ISNA(MATCH(977,'Transfer Engine'!$C$2:$C$1199,0)),"",INDEX('Compliance Database'!$I$2:$I$1199,MATCH(977,'Transfer Engine'!$C$2:$C$1199,0)))</f>
        <v/>
      </c>
      <c r="J986" s="6" t="str">
        <f>IF(ISNA(MATCH(977,'Transfer Engine'!$C$2:$C$1199,0)),"",INDEX('Compliance Database'!$J$2:$J$1199,MATCH(977,'Transfer Engine'!$C$2:$C$1199,0)))</f>
        <v/>
      </c>
      <c r="K986" s="7" t="str">
        <f>IF(ISNA(MATCH(977,'Transfer Engine'!$C$2:$C$1199,0)),"",INDEX('Compliance Database'!$K$2:$K$1199,MATCH(977,'Transfer Engine'!$C$2:$C$1199,0)))</f>
        <v/>
      </c>
      <c r="L986" s="7" t="str">
        <f>IF(ISNA(MATCH(977,'Transfer Engine'!$C$2:$C$1199,0)),"",INDEX('Compliance Database'!$L$2:$L$1199,MATCH(977,'Transfer Engine'!$C$2:$C$1199,0)))</f>
        <v/>
      </c>
      <c r="M986" s="7" t="str">
        <f>IF(ISNA(MATCH(977,'Transfer Engine'!$C$2:$C$1199,0)),"",INDEX('Compliance Database'!$M$2:$M$1199,MATCH(977,'Transfer Engine'!$C$2:$C$1199,0)))</f>
        <v/>
      </c>
      <c r="N986" s="7" t="str">
        <f>IF(ISNA(MATCH(977,'Transfer Engine'!$C$2:$C$1199,0)),"",INDEX('Compliance Database'!$N$2:$N$1199,MATCH(977,'Transfer Engine'!$C$2:$C$1199,0)))</f>
        <v/>
      </c>
      <c r="O986" s="7" t="str">
        <f>IF(ISNA(MATCH(977,'Transfer Engine'!$C$2:$C$1199,0)),"",INDEX('Compliance Database'!$O$2:$O$1199,MATCH(977,'Transfer Engine'!$C$2:$C$1199,0)))</f>
        <v/>
      </c>
      <c r="P986" s="6" t="str">
        <f>IF(ISNA(MATCH(977,'Transfer Engine'!$C$2:$C$1199,0)),"",HYPERLINK("#Acts!A"&amp;INDEX('Compliance Database'!$P$2:$P$1199,MATCH(977,'Transfer Engine'!$C$2:$C$1199,0)),"Go to Act"))</f>
        <v/>
      </c>
    </row>
    <row r="987" spans="1:16" ht="172.95" customHeight="1" x14ac:dyDescent="0.3">
      <c r="A987" s="6" t="str">
        <f>IF(ISNA(MATCH(978,'Transfer Engine'!$C$2:$C$1199,0)),"",INDEX('Compliance Database'!$A$2:$A$1199,MATCH(978,'Transfer Engine'!$C$2:$C$1199,0)))</f>
        <v/>
      </c>
      <c r="B987" s="6" t="str">
        <f>IF(ISNA(MATCH(978,'Transfer Engine'!$C$2:$C$1199,0)),"",INDEX('Compliance Database'!$B$2:$B$1199,MATCH(978,'Transfer Engine'!$C$2:$C$1199,0)))</f>
        <v/>
      </c>
      <c r="C987" s="6" t="str">
        <f>IF(ISNA(MATCH(978,'Transfer Engine'!$C$2:$C$1199,0)),"",INDEX('Compliance Database'!$C$2:$C$1199,MATCH(978,'Transfer Engine'!$C$2:$C$1199,0)))</f>
        <v/>
      </c>
      <c r="D987" s="7" t="str">
        <f>IF(ISNA(MATCH(978,'Transfer Engine'!$C$2:$C$1199,0)),"",INDEX('Compliance Database'!$D$2:$D$1199,MATCH(978,'Transfer Engine'!$C$2:$C$1199,0)))</f>
        <v/>
      </c>
      <c r="E987" s="6" t="str">
        <f>IF(ISNA(MATCH(978,'Transfer Engine'!$C$2:$C$1199,0)),"",INDEX('Compliance Database'!$E$2:$E$1199,MATCH(978,'Transfer Engine'!$C$2:$C$1199,0)))</f>
        <v/>
      </c>
      <c r="F987" s="6" t="str">
        <f>IF(ISNA(MATCH(978,'Transfer Engine'!$C$2:$C$1199,0)),"",INDEX('Compliance Database'!$F$2:$F$1199,MATCH(978,'Transfer Engine'!$C$2:$C$1199,0)))</f>
        <v/>
      </c>
      <c r="G987" s="6" t="str">
        <f>IF(ISNA(MATCH(978,'Transfer Engine'!$C$2:$C$1199,0)),"",INDEX('Compliance Database'!$G$2:$G$1199,MATCH(978,'Transfer Engine'!$C$2:$C$1199,0)))</f>
        <v/>
      </c>
      <c r="H987" s="7" t="str">
        <f>IF(ISNA(MATCH(978,'Transfer Engine'!$C$2:$C$1199,0)),"",INDEX('Compliance Database'!$H$2:$H$1199,MATCH(978,'Transfer Engine'!$C$2:$C$1199,0)))</f>
        <v/>
      </c>
      <c r="I987" s="7" t="str">
        <f>IF(ISNA(MATCH(978,'Transfer Engine'!$C$2:$C$1199,0)),"",INDEX('Compliance Database'!$I$2:$I$1199,MATCH(978,'Transfer Engine'!$C$2:$C$1199,0)))</f>
        <v/>
      </c>
      <c r="J987" s="6" t="str">
        <f>IF(ISNA(MATCH(978,'Transfer Engine'!$C$2:$C$1199,0)),"",INDEX('Compliance Database'!$J$2:$J$1199,MATCH(978,'Transfer Engine'!$C$2:$C$1199,0)))</f>
        <v/>
      </c>
      <c r="K987" s="7" t="str">
        <f>IF(ISNA(MATCH(978,'Transfer Engine'!$C$2:$C$1199,0)),"",INDEX('Compliance Database'!$K$2:$K$1199,MATCH(978,'Transfer Engine'!$C$2:$C$1199,0)))</f>
        <v/>
      </c>
      <c r="L987" s="7" t="str">
        <f>IF(ISNA(MATCH(978,'Transfer Engine'!$C$2:$C$1199,0)),"",INDEX('Compliance Database'!$L$2:$L$1199,MATCH(978,'Transfer Engine'!$C$2:$C$1199,0)))</f>
        <v/>
      </c>
      <c r="M987" s="7" t="str">
        <f>IF(ISNA(MATCH(978,'Transfer Engine'!$C$2:$C$1199,0)),"",INDEX('Compliance Database'!$M$2:$M$1199,MATCH(978,'Transfer Engine'!$C$2:$C$1199,0)))</f>
        <v/>
      </c>
      <c r="N987" s="7" t="str">
        <f>IF(ISNA(MATCH(978,'Transfer Engine'!$C$2:$C$1199,0)),"",INDEX('Compliance Database'!$N$2:$N$1199,MATCH(978,'Transfer Engine'!$C$2:$C$1199,0)))</f>
        <v/>
      </c>
      <c r="O987" s="7" t="str">
        <f>IF(ISNA(MATCH(978,'Transfer Engine'!$C$2:$C$1199,0)),"",INDEX('Compliance Database'!$O$2:$O$1199,MATCH(978,'Transfer Engine'!$C$2:$C$1199,0)))</f>
        <v/>
      </c>
      <c r="P987" s="6" t="str">
        <f>IF(ISNA(MATCH(978,'Transfer Engine'!$C$2:$C$1199,0)),"",HYPERLINK("#Acts!A"&amp;INDEX('Compliance Database'!$P$2:$P$1199,MATCH(978,'Transfer Engine'!$C$2:$C$1199,0)),"Go to Act"))</f>
        <v/>
      </c>
    </row>
    <row r="988" spans="1:16" ht="172.95" customHeight="1" x14ac:dyDescent="0.3">
      <c r="A988" s="6" t="str">
        <f>IF(ISNA(MATCH(979,'Transfer Engine'!$C$2:$C$1199,0)),"",INDEX('Compliance Database'!$A$2:$A$1199,MATCH(979,'Transfer Engine'!$C$2:$C$1199,0)))</f>
        <v/>
      </c>
      <c r="B988" s="6" t="str">
        <f>IF(ISNA(MATCH(979,'Transfer Engine'!$C$2:$C$1199,0)),"",INDEX('Compliance Database'!$B$2:$B$1199,MATCH(979,'Transfer Engine'!$C$2:$C$1199,0)))</f>
        <v/>
      </c>
      <c r="C988" s="6" t="str">
        <f>IF(ISNA(MATCH(979,'Transfer Engine'!$C$2:$C$1199,0)),"",INDEX('Compliance Database'!$C$2:$C$1199,MATCH(979,'Transfer Engine'!$C$2:$C$1199,0)))</f>
        <v/>
      </c>
      <c r="D988" s="7" t="str">
        <f>IF(ISNA(MATCH(979,'Transfer Engine'!$C$2:$C$1199,0)),"",INDEX('Compliance Database'!$D$2:$D$1199,MATCH(979,'Transfer Engine'!$C$2:$C$1199,0)))</f>
        <v/>
      </c>
      <c r="E988" s="6" t="str">
        <f>IF(ISNA(MATCH(979,'Transfer Engine'!$C$2:$C$1199,0)),"",INDEX('Compliance Database'!$E$2:$E$1199,MATCH(979,'Transfer Engine'!$C$2:$C$1199,0)))</f>
        <v/>
      </c>
      <c r="F988" s="6" t="str">
        <f>IF(ISNA(MATCH(979,'Transfer Engine'!$C$2:$C$1199,0)),"",INDEX('Compliance Database'!$F$2:$F$1199,MATCH(979,'Transfer Engine'!$C$2:$C$1199,0)))</f>
        <v/>
      </c>
      <c r="G988" s="6" t="str">
        <f>IF(ISNA(MATCH(979,'Transfer Engine'!$C$2:$C$1199,0)),"",INDEX('Compliance Database'!$G$2:$G$1199,MATCH(979,'Transfer Engine'!$C$2:$C$1199,0)))</f>
        <v/>
      </c>
      <c r="H988" s="7" t="str">
        <f>IF(ISNA(MATCH(979,'Transfer Engine'!$C$2:$C$1199,0)),"",INDEX('Compliance Database'!$H$2:$H$1199,MATCH(979,'Transfer Engine'!$C$2:$C$1199,0)))</f>
        <v/>
      </c>
      <c r="I988" s="7" t="str">
        <f>IF(ISNA(MATCH(979,'Transfer Engine'!$C$2:$C$1199,0)),"",INDEX('Compliance Database'!$I$2:$I$1199,MATCH(979,'Transfer Engine'!$C$2:$C$1199,0)))</f>
        <v/>
      </c>
      <c r="J988" s="6" t="str">
        <f>IF(ISNA(MATCH(979,'Transfer Engine'!$C$2:$C$1199,0)),"",INDEX('Compliance Database'!$J$2:$J$1199,MATCH(979,'Transfer Engine'!$C$2:$C$1199,0)))</f>
        <v/>
      </c>
      <c r="K988" s="7" t="str">
        <f>IF(ISNA(MATCH(979,'Transfer Engine'!$C$2:$C$1199,0)),"",INDEX('Compliance Database'!$K$2:$K$1199,MATCH(979,'Transfer Engine'!$C$2:$C$1199,0)))</f>
        <v/>
      </c>
      <c r="L988" s="7" t="str">
        <f>IF(ISNA(MATCH(979,'Transfer Engine'!$C$2:$C$1199,0)),"",INDEX('Compliance Database'!$L$2:$L$1199,MATCH(979,'Transfer Engine'!$C$2:$C$1199,0)))</f>
        <v/>
      </c>
      <c r="M988" s="7" t="str">
        <f>IF(ISNA(MATCH(979,'Transfer Engine'!$C$2:$C$1199,0)),"",INDEX('Compliance Database'!$M$2:$M$1199,MATCH(979,'Transfer Engine'!$C$2:$C$1199,0)))</f>
        <v/>
      </c>
      <c r="N988" s="7" t="str">
        <f>IF(ISNA(MATCH(979,'Transfer Engine'!$C$2:$C$1199,0)),"",INDEX('Compliance Database'!$N$2:$N$1199,MATCH(979,'Transfer Engine'!$C$2:$C$1199,0)))</f>
        <v/>
      </c>
      <c r="O988" s="7" t="str">
        <f>IF(ISNA(MATCH(979,'Transfer Engine'!$C$2:$C$1199,0)),"",INDEX('Compliance Database'!$O$2:$O$1199,MATCH(979,'Transfer Engine'!$C$2:$C$1199,0)))</f>
        <v/>
      </c>
      <c r="P988" s="6" t="str">
        <f>IF(ISNA(MATCH(979,'Transfer Engine'!$C$2:$C$1199,0)),"",HYPERLINK("#Acts!A"&amp;INDEX('Compliance Database'!$P$2:$P$1199,MATCH(979,'Transfer Engine'!$C$2:$C$1199,0)),"Go to Act"))</f>
        <v/>
      </c>
    </row>
    <row r="989" spans="1:16" ht="172.95" customHeight="1" x14ac:dyDescent="0.3">
      <c r="A989" s="6" t="str">
        <f>IF(ISNA(MATCH(980,'Transfer Engine'!$C$2:$C$1199,0)),"",INDEX('Compliance Database'!$A$2:$A$1199,MATCH(980,'Transfer Engine'!$C$2:$C$1199,0)))</f>
        <v/>
      </c>
      <c r="B989" s="6" t="str">
        <f>IF(ISNA(MATCH(980,'Transfer Engine'!$C$2:$C$1199,0)),"",INDEX('Compliance Database'!$B$2:$B$1199,MATCH(980,'Transfer Engine'!$C$2:$C$1199,0)))</f>
        <v/>
      </c>
      <c r="C989" s="6" t="str">
        <f>IF(ISNA(MATCH(980,'Transfer Engine'!$C$2:$C$1199,0)),"",INDEX('Compliance Database'!$C$2:$C$1199,MATCH(980,'Transfer Engine'!$C$2:$C$1199,0)))</f>
        <v/>
      </c>
      <c r="D989" s="7" t="str">
        <f>IF(ISNA(MATCH(980,'Transfer Engine'!$C$2:$C$1199,0)),"",INDEX('Compliance Database'!$D$2:$D$1199,MATCH(980,'Transfer Engine'!$C$2:$C$1199,0)))</f>
        <v/>
      </c>
      <c r="E989" s="6" t="str">
        <f>IF(ISNA(MATCH(980,'Transfer Engine'!$C$2:$C$1199,0)),"",INDEX('Compliance Database'!$E$2:$E$1199,MATCH(980,'Transfer Engine'!$C$2:$C$1199,0)))</f>
        <v/>
      </c>
      <c r="F989" s="6" t="str">
        <f>IF(ISNA(MATCH(980,'Transfer Engine'!$C$2:$C$1199,0)),"",INDEX('Compliance Database'!$F$2:$F$1199,MATCH(980,'Transfer Engine'!$C$2:$C$1199,0)))</f>
        <v/>
      </c>
      <c r="G989" s="6" t="str">
        <f>IF(ISNA(MATCH(980,'Transfer Engine'!$C$2:$C$1199,0)),"",INDEX('Compliance Database'!$G$2:$G$1199,MATCH(980,'Transfer Engine'!$C$2:$C$1199,0)))</f>
        <v/>
      </c>
      <c r="H989" s="7" t="str">
        <f>IF(ISNA(MATCH(980,'Transfer Engine'!$C$2:$C$1199,0)),"",INDEX('Compliance Database'!$H$2:$H$1199,MATCH(980,'Transfer Engine'!$C$2:$C$1199,0)))</f>
        <v/>
      </c>
      <c r="I989" s="7" t="str">
        <f>IF(ISNA(MATCH(980,'Transfer Engine'!$C$2:$C$1199,0)),"",INDEX('Compliance Database'!$I$2:$I$1199,MATCH(980,'Transfer Engine'!$C$2:$C$1199,0)))</f>
        <v/>
      </c>
      <c r="J989" s="6" t="str">
        <f>IF(ISNA(MATCH(980,'Transfer Engine'!$C$2:$C$1199,0)),"",INDEX('Compliance Database'!$J$2:$J$1199,MATCH(980,'Transfer Engine'!$C$2:$C$1199,0)))</f>
        <v/>
      </c>
      <c r="K989" s="7" t="str">
        <f>IF(ISNA(MATCH(980,'Transfer Engine'!$C$2:$C$1199,0)),"",INDEX('Compliance Database'!$K$2:$K$1199,MATCH(980,'Transfer Engine'!$C$2:$C$1199,0)))</f>
        <v/>
      </c>
      <c r="L989" s="7" t="str">
        <f>IF(ISNA(MATCH(980,'Transfer Engine'!$C$2:$C$1199,0)),"",INDEX('Compliance Database'!$L$2:$L$1199,MATCH(980,'Transfer Engine'!$C$2:$C$1199,0)))</f>
        <v/>
      </c>
      <c r="M989" s="7" t="str">
        <f>IF(ISNA(MATCH(980,'Transfer Engine'!$C$2:$C$1199,0)),"",INDEX('Compliance Database'!$M$2:$M$1199,MATCH(980,'Transfer Engine'!$C$2:$C$1199,0)))</f>
        <v/>
      </c>
      <c r="N989" s="7" t="str">
        <f>IF(ISNA(MATCH(980,'Transfer Engine'!$C$2:$C$1199,0)),"",INDEX('Compliance Database'!$N$2:$N$1199,MATCH(980,'Transfer Engine'!$C$2:$C$1199,0)))</f>
        <v/>
      </c>
      <c r="O989" s="7" t="str">
        <f>IF(ISNA(MATCH(980,'Transfer Engine'!$C$2:$C$1199,0)),"",INDEX('Compliance Database'!$O$2:$O$1199,MATCH(980,'Transfer Engine'!$C$2:$C$1199,0)))</f>
        <v/>
      </c>
      <c r="P989" s="6" t="str">
        <f>IF(ISNA(MATCH(980,'Transfer Engine'!$C$2:$C$1199,0)),"",HYPERLINK("#Acts!A"&amp;INDEX('Compliance Database'!$P$2:$P$1199,MATCH(980,'Transfer Engine'!$C$2:$C$1199,0)),"Go to Act"))</f>
        <v/>
      </c>
    </row>
    <row r="990" spans="1:16" ht="172.95" customHeight="1" x14ac:dyDescent="0.3">
      <c r="A990" s="6" t="str">
        <f>IF(ISNA(MATCH(981,'Transfer Engine'!$C$2:$C$1199,0)),"",INDEX('Compliance Database'!$A$2:$A$1199,MATCH(981,'Transfer Engine'!$C$2:$C$1199,0)))</f>
        <v/>
      </c>
      <c r="B990" s="6" t="str">
        <f>IF(ISNA(MATCH(981,'Transfer Engine'!$C$2:$C$1199,0)),"",INDEX('Compliance Database'!$B$2:$B$1199,MATCH(981,'Transfer Engine'!$C$2:$C$1199,0)))</f>
        <v/>
      </c>
      <c r="C990" s="6" t="str">
        <f>IF(ISNA(MATCH(981,'Transfer Engine'!$C$2:$C$1199,0)),"",INDEX('Compliance Database'!$C$2:$C$1199,MATCH(981,'Transfer Engine'!$C$2:$C$1199,0)))</f>
        <v/>
      </c>
      <c r="D990" s="7" t="str">
        <f>IF(ISNA(MATCH(981,'Transfer Engine'!$C$2:$C$1199,0)),"",INDEX('Compliance Database'!$D$2:$D$1199,MATCH(981,'Transfer Engine'!$C$2:$C$1199,0)))</f>
        <v/>
      </c>
      <c r="E990" s="6" t="str">
        <f>IF(ISNA(MATCH(981,'Transfer Engine'!$C$2:$C$1199,0)),"",INDEX('Compliance Database'!$E$2:$E$1199,MATCH(981,'Transfer Engine'!$C$2:$C$1199,0)))</f>
        <v/>
      </c>
      <c r="F990" s="6" t="str">
        <f>IF(ISNA(MATCH(981,'Transfer Engine'!$C$2:$C$1199,0)),"",INDEX('Compliance Database'!$F$2:$F$1199,MATCH(981,'Transfer Engine'!$C$2:$C$1199,0)))</f>
        <v/>
      </c>
      <c r="G990" s="6" t="str">
        <f>IF(ISNA(MATCH(981,'Transfer Engine'!$C$2:$C$1199,0)),"",INDEX('Compliance Database'!$G$2:$G$1199,MATCH(981,'Transfer Engine'!$C$2:$C$1199,0)))</f>
        <v/>
      </c>
      <c r="H990" s="7" t="str">
        <f>IF(ISNA(MATCH(981,'Transfer Engine'!$C$2:$C$1199,0)),"",INDEX('Compliance Database'!$H$2:$H$1199,MATCH(981,'Transfer Engine'!$C$2:$C$1199,0)))</f>
        <v/>
      </c>
      <c r="I990" s="7" t="str">
        <f>IF(ISNA(MATCH(981,'Transfer Engine'!$C$2:$C$1199,0)),"",INDEX('Compliance Database'!$I$2:$I$1199,MATCH(981,'Transfer Engine'!$C$2:$C$1199,0)))</f>
        <v/>
      </c>
      <c r="J990" s="6" t="str">
        <f>IF(ISNA(MATCH(981,'Transfer Engine'!$C$2:$C$1199,0)),"",INDEX('Compliance Database'!$J$2:$J$1199,MATCH(981,'Transfer Engine'!$C$2:$C$1199,0)))</f>
        <v/>
      </c>
      <c r="K990" s="7" t="str">
        <f>IF(ISNA(MATCH(981,'Transfer Engine'!$C$2:$C$1199,0)),"",INDEX('Compliance Database'!$K$2:$K$1199,MATCH(981,'Transfer Engine'!$C$2:$C$1199,0)))</f>
        <v/>
      </c>
      <c r="L990" s="7" t="str">
        <f>IF(ISNA(MATCH(981,'Transfer Engine'!$C$2:$C$1199,0)),"",INDEX('Compliance Database'!$L$2:$L$1199,MATCH(981,'Transfer Engine'!$C$2:$C$1199,0)))</f>
        <v/>
      </c>
      <c r="M990" s="7" t="str">
        <f>IF(ISNA(MATCH(981,'Transfer Engine'!$C$2:$C$1199,0)),"",INDEX('Compliance Database'!$M$2:$M$1199,MATCH(981,'Transfer Engine'!$C$2:$C$1199,0)))</f>
        <v/>
      </c>
      <c r="N990" s="7" t="str">
        <f>IF(ISNA(MATCH(981,'Transfer Engine'!$C$2:$C$1199,0)),"",INDEX('Compliance Database'!$N$2:$N$1199,MATCH(981,'Transfer Engine'!$C$2:$C$1199,0)))</f>
        <v/>
      </c>
      <c r="O990" s="7" t="str">
        <f>IF(ISNA(MATCH(981,'Transfer Engine'!$C$2:$C$1199,0)),"",INDEX('Compliance Database'!$O$2:$O$1199,MATCH(981,'Transfer Engine'!$C$2:$C$1199,0)))</f>
        <v/>
      </c>
      <c r="P990" s="6" t="str">
        <f>IF(ISNA(MATCH(981,'Transfer Engine'!$C$2:$C$1199,0)),"",HYPERLINK("#Acts!A"&amp;INDEX('Compliance Database'!$P$2:$P$1199,MATCH(981,'Transfer Engine'!$C$2:$C$1199,0)),"Go to Act"))</f>
        <v/>
      </c>
    </row>
    <row r="991" spans="1:16" ht="172.95" customHeight="1" x14ac:dyDescent="0.3">
      <c r="A991" s="6" t="str">
        <f>IF(ISNA(MATCH(982,'Transfer Engine'!$C$2:$C$1199,0)),"",INDEX('Compliance Database'!$A$2:$A$1199,MATCH(982,'Transfer Engine'!$C$2:$C$1199,0)))</f>
        <v/>
      </c>
      <c r="B991" s="6" t="str">
        <f>IF(ISNA(MATCH(982,'Transfer Engine'!$C$2:$C$1199,0)),"",INDEX('Compliance Database'!$B$2:$B$1199,MATCH(982,'Transfer Engine'!$C$2:$C$1199,0)))</f>
        <v/>
      </c>
      <c r="C991" s="6" t="str">
        <f>IF(ISNA(MATCH(982,'Transfer Engine'!$C$2:$C$1199,0)),"",INDEX('Compliance Database'!$C$2:$C$1199,MATCH(982,'Transfer Engine'!$C$2:$C$1199,0)))</f>
        <v/>
      </c>
      <c r="D991" s="7" t="str">
        <f>IF(ISNA(MATCH(982,'Transfer Engine'!$C$2:$C$1199,0)),"",INDEX('Compliance Database'!$D$2:$D$1199,MATCH(982,'Transfer Engine'!$C$2:$C$1199,0)))</f>
        <v/>
      </c>
      <c r="E991" s="6" t="str">
        <f>IF(ISNA(MATCH(982,'Transfer Engine'!$C$2:$C$1199,0)),"",INDEX('Compliance Database'!$E$2:$E$1199,MATCH(982,'Transfer Engine'!$C$2:$C$1199,0)))</f>
        <v/>
      </c>
      <c r="F991" s="6" t="str">
        <f>IF(ISNA(MATCH(982,'Transfer Engine'!$C$2:$C$1199,0)),"",INDEX('Compliance Database'!$F$2:$F$1199,MATCH(982,'Transfer Engine'!$C$2:$C$1199,0)))</f>
        <v/>
      </c>
      <c r="G991" s="6" t="str">
        <f>IF(ISNA(MATCH(982,'Transfer Engine'!$C$2:$C$1199,0)),"",INDEX('Compliance Database'!$G$2:$G$1199,MATCH(982,'Transfer Engine'!$C$2:$C$1199,0)))</f>
        <v/>
      </c>
      <c r="H991" s="7" t="str">
        <f>IF(ISNA(MATCH(982,'Transfer Engine'!$C$2:$C$1199,0)),"",INDEX('Compliance Database'!$H$2:$H$1199,MATCH(982,'Transfer Engine'!$C$2:$C$1199,0)))</f>
        <v/>
      </c>
      <c r="I991" s="7" t="str">
        <f>IF(ISNA(MATCH(982,'Transfer Engine'!$C$2:$C$1199,0)),"",INDEX('Compliance Database'!$I$2:$I$1199,MATCH(982,'Transfer Engine'!$C$2:$C$1199,0)))</f>
        <v/>
      </c>
      <c r="J991" s="6" t="str">
        <f>IF(ISNA(MATCH(982,'Transfer Engine'!$C$2:$C$1199,0)),"",INDEX('Compliance Database'!$J$2:$J$1199,MATCH(982,'Transfer Engine'!$C$2:$C$1199,0)))</f>
        <v/>
      </c>
      <c r="K991" s="7" t="str">
        <f>IF(ISNA(MATCH(982,'Transfer Engine'!$C$2:$C$1199,0)),"",INDEX('Compliance Database'!$K$2:$K$1199,MATCH(982,'Transfer Engine'!$C$2:$C$1199,0)))</f>
        <v/>
      </c>
      <c r="L991" s="7" t="str">
        <f>IF(ISNA(MATCH(982,'Transfer Engine'!$C$2:$C$1199,0)),"",INDEX('Compliance Database'!$L$2:$L$1199,MATCH(982,'Transfer Engine'!$C$2:$C$1199,0)))</f>
        <v/>
      </c>
      <c r="M991" s="7" t="str">
        <f>IF(ISNA(MATCH(982,'Transfer Engine'!$C$2:$C$1199,0)),"",INDEX('Compliance Database'!$M$2:$M$1199,MATCH(982,'Transfer Engine'!$C$2:$C$1199,0)))</f>
        <v/>
      </c>
      <c r="N991" s="7" t="str">
        <f>IF(ISNA(MATCH(982,'Transfer Engine'!$C$2:$C$1199,0)),"",INDEX('Compliance Database'!$N$2:$N$1199,MATCH(982,'Transfer Engine'!$C$2:$C$1199,0)))</f>
        <v/>
      </c>
      <c r="O991" s="7" t="str">
        <f>IF(ISNA(MATCH(982,'Transfer Engine'!$C$2:$C$1199,0)),"",INDEX('Compliance Database'!$O$2:$O$1199,MATCH(982,'Transfer Engine'!$C$2:$C$1199,0)))</f>
        <v/>
      </c>
      <c r="P991" s="6" t="str">
        <f>IF(ISNA(MATCH(982,'Transfer Engine'!$C$2:$C$1199,0)),"",HYPERLINK("#Acts!A"&amp;INDEX('Compliance Database'!$P$2:$P$1199,MATCH(982,'Transfer Engine'!$C$2:$C$1199,0)),"Go to Act"))</f>
        <v/>
      </c>
    </row>
    <row r="992" spans="1:16" ht="172.95" customHeight="1" x14ac:dyDescent="0.3">
      <c r="A992" s="6" t="str">
        <f>IF(ISNA(MATCH(983,'Transfer Engine'!$C$2:$C$1199,0)),"",INDEX('Compliance Database'!$A$2:$A$1199,MATCH(983,'Transfer Engine'!$C$2:$C$1199,0)))</f>
        <v/>
      </c>
      <c r="B992" s="6" t="str">
        <f>IF(ISNA(MATCH(983,'Transfer Engine'!$C$2:$C$1199,0)),"",INDEX('Compliance Database'!$B$2:$B$1199,MATCH(983,'Transfer Engine'!$C$2:$C$1199,0)))</f>
        <v/>
      </c>
      <c r="C992" s="6" t="str">
        <f>IF(ISNA(MATCH(983,'Transfer Engine'!$C$2:$C$1199,0)),"",INDEX('Compliance Database'!$C$2:$C$1199,MATCH(983,'Transfer Engine'!$C$2:$C$1199,0)))</f>
        <v/>
      </c>
      <c r="D992" s="7" t="str">
        <f>IF(ISNA(MATCH(983,'Transfer Engine'!$C$2:$C$1199,0)),"",INDEX('Compliance Database'!$D$2:$D$1199,MATCH(983,'Transfer Engine'!$C$2:$C$1199,0)))</f>
        <v/>
      </c>
      <c r="E992" s="6" t="str">
        <f>IF(ISNA(MATCH(983,'Transfer Engine'!$C$2:$C$1199,0)),"",INDEX('Compliance Database'!$E$2:$E$1199,MATCH(983,'Transfer Engine'!$C$2:$C$1199,0)))</f>
        <v/>
      </c>
      <c r="F992" s="6" t="str">
        <f>IF(ISNA(MATCH(983,'Transfer Engine'!$C$2:$C$1199,0)),"",INDEX('Compliance Database'!$F$2:$F$1199,MATCH(983,'Transfer Engine'!$C$2:$C$1199,0)))</f>
        <v/>
      </c>
      <c r="G992" s="6" t="str">
        <f>IF(ISNA(MATCH(983,'Transfer Engine'!$C$2:$C$1199,0)),"",INDEX('Compliance Database'!$G$2:$G$1199,MATCH(983,'Transfer Engine'!$C$2:$C$1199,0)))</f>
        <v/>
      </c>
      <c r="H992" s="7" t="str">
        <f>IF(ISNA(MATCH(983,'Transfer Engine'!$C$2:$C$1199,0)),"",INDEX('Compliance Database'!$H$2:$H$1199,MATCH(983,'Transfer Engine'!$C$2:$C$1199,0)))</f>
        <v/>
      </c>
      <c r="I992" s="7" t="str">
        <f>IF(ISNA(MATCH(983,'Transfer Engine'!$C$2:$C$1199,0)),"",INDEX('Compliance Database'!$I$2:$I$1199,MATCH(983,'Transfer Engine'!$C$2:$C$1199,0)))</f>
        <v/>
      </c>
      <c r="J992" s="6" t="str">
        <f>IF(ISNA(MATCH(983,'Transfer Engine'!$C$2:$C$1199,0)),"",INDEX('Compliance Database'!$J$2:$J$1199,MATCH(983,'Transfer Engine'!$C$2:$C$1199,0)))</f>
        <v/>
      </c>
      <c r="K992" s="7" t="str">
        <f>IF(ISNA(MATCH(983,'Transfer Engine'!$C$2:$C$1199,0)),"",INDEX('Compliance Database'!$K$2:$K$1199,MATCH(983,'Transfer Engine'!$C$2:$C$1199,0)))</f>
        <v/>
      </c>
      <c r="L992" s="7" t="str">
        <f>IF(ISNA(MATCH(983,'Transfer Engine'!$C$2:$C$1199,0)),"",INDEX('Compliance Database'!$L$2:$L$1199,MATCH(983,'Transfer Engine'!$C$2:$C$1199,0)))</f>
        <v/>
      </c>
      <c r="M992" s="7" t="str">
        <f>IF(ISNA(MATCH(983,'Transfer Engine'!$C$2:$C$1199,0)),"",INDEX('Compliance Database'!$M$2:$M$1199,MATCH(983,'Transfer Engine'!$C$2:$C$1199,0)))</f>
        <v/>
      </c>
      <c r="N992" s="7" t="str">
        <f>IF(ISNA(MATCH(983,'Transfer Engine'!$C$2:$C$1199,0)),"",INDEX('Compliance Database'!$N$2:$N$1199,MATCH(983,'Transfer Engine'!$C$2:$C$1199,0)))</f>
        <v/>
      </c>
      <c r="O992" s="7" t="str">
        <f>IF(ISNA(MATCH(983,'Transfer Engine'!$C$2:$C$1199,0)),"",INDEX('Compliance Database'!$O$2:$O$1199,MATCH(983,'Transfer Engine'!$C$2:$C$1199,0)))</f>
        <v/>
      </c>
      <c r="P992" s="6" t="str">
        <f>IF(ISNA(MATCH(983,'Transfer Engine'!$C$2:$C$1199,0)),"",HYPERLINK("#Acts!A"&amp;INDEX('Compliance Database'!$P$2:$P$1199,MATCH(983,'Transfer Engine'!$C$2:$C$1199,0)),"Go to Act"))</f>
        <v/>
      </c>
    </row>
    <row r="993" spans="1:16" ht="172.95" customHeight="1" x14ac:dyDescent="0.3">
      <c r="A993" s="6" t="str">
        <f>IF(ISNA(MATCH(984,'Transfer Engine'!$C$2:$C$1199,0)),"",INDEX('Compliance Database'!$A$2:$A$1199,MATCH(984,'Transfer Engine'!$C$2:$C$1199,0)))</f>
        <v/>
      </c>
      <c r="B993" s="6" t="str">
        <f>IF(ISNA(MATCH(984,'Transfer Engine'!$C$2:$C$1199,0)),"",INDEX('Compliance Database'!$B$2:$B$1199,MATCH(984,'Transfer Engine'!$C$2:$C$1199,0)))</f>
        <v/>
      </c>
      <c r="C993" s="6" t="str">
        <f>IF(ISNA(MATCH(984,'Transfer Engine'!$C$2:$C$1199,0)),"",INDEX('Compliance Database'!$C$2:$C$1199,MATCH(984,'Transfer Engine'!$C$2:$C$1199,0)))</f>
        <v/>
      </c>
      <c r="D993" s="7" t="str">
        <f>IF(ISNA(MATCH(984,'Transfer Engine'!$C$2:$C$1199,0)),"",INDEX('Compliance Database'!$D$2:$D$1199,MATCH(984,'Transfer Engine'!$C$2:$C$1199,0)))</f>
        <v/>
      </c>
      <c r="E993" s="6" t="str">
        <f>IF(ISNA(MATCH(984,'Transfer Engine'!$C$2:$C$1199,0)),"",INDEX('Compliance Database'!$E$2:$E$1199,MATCH(984,'Transfer Engine'!$C$2:$C$1199,0)))</f>
        <v/>
      </c>
      <c r="F993" s="6" t="str">
        <f>IF(ISNA(MATCH(984,'Transfer Engine'!$C$2:$C$1199,0)),"",INDEX('Compliance Database'!$F$2:$F$1199,MATCH(984,'Transfer Engine'!$C$2:$C$1199,0)))</f>
        <v/>
      </c>
      <c r="G993" s="6" t="str">
        <f>IF(ISNA(MATCH(984,'Transfer Engine'!$C$2:$C$1199,0)),"",INDEX('Compliance Database'!$G$2:$G$1199,MATCH(984,'Transfer Engine'!$C$2:$C$1199,0)))</f>
        <v/>
      </c>
      <c r="H993" s="7" t="str">
        <f>IF(ISNA(MATCH(984,'Transfer Engine'!$C$2:$C$1199,0)),"",INDEX('Compliance Database'!$H$2:$H$1199,MATCH(984,'Transfer Engine'!$C$2:$C$1199,0)))</f>
        <v/>
      </c>
      <c r="I993" s="7" t="str">
        <f>IF(ISNA(MATCH(984,'Transfer Engine'!$C$2:$C$1199,0)),"",INDEX('Compliance Database'!$I$2:$I$1199,MATCH(984,'Transfer Engine'!$C$2:$C$1199,0)))</f>
        <v/>
      </c>
      <c r="J993" s="6" t="str">
        <f>IF(ISNA(MATCH(984,'Transfer Engine'!$C$2:$C$1199,0)),"",INDEX('Compliance Database'!$J$2:$J$1199,MATCH(984,'Transfer Engine'!$C$2:$C$1199,0)))</f>
        <v/>
      </c>
      <c r="K993" s="7" t="str">
        <f>IF(ISNA(MATCH(984,'Transfer Engine'!$C$2:$C$1199,0)),"",INDEX('Compliance Database'!$K$2:$K$1199,MATCH(984,'Transfer Engine'!$C$2:$C$1199,0)))</f>
        <v/>
      </c>
      <c r="L993" s="7" t="str">
        <f>IF(ISNA(MATCH(984,'Transfer Engine'!$C$2:$C$1199,0)),"",INDEX('Compliance Database'!$L$2:$L$1199,MATCH(984,'Transfer Engine'!$C$2:$C$1199,0)))</f>
        <v/>
      </c>
      <c r="M993" s="7" t="str">
        <f>IF(ISNA(MATCH(984,'Transfer Engine'!$C$2:$C$1199,0)),"",INDEX('Compliance Database'!$M$2:$M$1199,MATCH(984,'Transfer Engine'!$C$2:$C$1199,0)))</f>
        <v/>
      </c>
      <c r="N993" s="7" t="str">
        <f>IF(ISNA(MATCH(984,'Transfer Engine'!$C$2:$C$1199,0)),"",INDEX('Compliance Database'!$N$2:$N$1199,MATCH(984,'Transfer Engine'!$C$2:$C$1199,0)))</f>
        <v/>
      </c>
      <c r="O993" s="7" t="str">
        <f>IF(ISNA(MATCH(984,'Transfer Engine'!$C$2:$C$1199,0)),"",INDEX('Compliance Database'!$O$2:$O$1199,MATCH(984,'Transfer Engine'!$C$2:$C$1199,0)))</f>
        <v/>
      </c>
      <c r="P993" s="6" t="str">
        <f>IF(ISNA(MATCH(984,'Transfer Engine'!$C$2:$C$1199,0)),"",HYPERLINK("#Acts!A"&amp;INDEX('Compliance Database'!$P$2:$P$1199,MATCH(984,'Transfer Engine'!$C$2:$C$1199,0)),"Go to Act"))</f>
        <v/>
      </c>
    </row>
    <row r="994" spans="1:16" ht="172.95" customHeight="1" x14ac:dyDescent="0.3">
      <c r="A994" s="6" t="str">
        <f>IF(ISNA(MATCH(985,'Transfer Engine'!$C$2:$C$1199,0)),"",INDEX('Compliance Database'!$A$2:$A$1199,MATCH(985,'Transfer Engine'!$C$2:$C$1199,0)))</f>
        <v/>
      </c>
      <c r="B994" s="6" t="str">
        <f>IF(ISNA(MATCH(985,'Transfer Engine'!$C$2:$C$1199,0)),"",INDEX('Compliance Database'!$B$2:$B$1199,MATCH(985,'Transfer Engine'!$C$2:$C$1199,0)))</f>
        <v/>
      </c>
      <c r="C994" s="6" t="str">
        <f>IF(ISNA(MATCH(985,'Transfer Engine'!$C$2:$C$1199,0)),"",INDEX('Compliance Database'!$C$2:$C$1199,MATCH(985,'Transfer Engine'!$C$2:$C$1199,0)))</f>
        <v/>
      </c>
      <c r="D994" s="7" t="str">
        <f>IF(ISNA(MATCH(985,'Transfer Engine'!$C$2:$C$1199,0)),"",INDEX('Compliance Database'!$D$2:$D$1199,MATCH(985,'Transfer Engine'!$C$2:$C$1199,0)))</f>
        <v/>
      </c>
      <c r="E994" s="6" t="str">
        <f>IF(ISNA(MATCH(985,'Transfer Engine'!$C$2:$C$1199,0)),"",INDEX('Compliance Database'!$E$2:$E$1199,MATCH(985,'Transfer Engine'!$C$2:$C$1199,0)))</f>
        <v/>
      </c>
      <c r="F994" s="6" t="str">
        <f>IF(ISNA(MATCH(985,'Transfer Engine'!$C$2:$C$1199,0)),"",INDEX('Compliance Database'!$F$2:$F$1199,MATCH(985,'Transfer Engine'!$C$2:$C$1199,0)))</f>
        <v/>
      </c>
      <c r="G994" s="6" t="str">
        <f>IF(ISNA(MATCH(985,'Transfer Engine'!$C$2:$C$1199,0)),"",INDEX('Compliance Database'!$G$2:$G$1199,MATCH(985,'Transfer Engine'!$C$2:$C$1199,0)))</f>
        <v/>
      </c>
      <c r="H994" s="7" t="str">
        <f>IF(ISNA(MATCH(985,'Transfer Engine'!$C$2:$C$1199,0)),"",INDEX('Compliance Database'!$H$2:$H$1199,MATCH(985,'Transfer Engine'!$C$2:$C$1199,0)))</f>
        <v/>
      </c>
      <c r="I994" s="7" t="str">
        <f>IF(ISNA(MATCH(985,'Transfer Engine'!$C$2:$C$1199,0)),"",INDEX('Compliance Database'!$I$2:$I$1199,MATCH(985,'Transfer Engine'!$C$2:$C$1199,0)))</f>
        <v/>
      </c>
      <c r="J994" s="6" t="str">
        <f>IF(ISNA(MATCH(985,'Transfer Engine'!$C$2:$C$1199,0)),"",INDEX('Compliance Database'!$J$2:$J$1199,MATCH(985,'Transfer Engine'!$C$2:$C$1199,0)))</f>
        <v/>
      </c>
      <c r="K994" s="7" t="str">
        <f>IF(ISNA(MATCH(985,'Transfer Engine'!$C$2:$C$1199,0)),"",INDEX('Compliance Database'!$K$2:$K$1199,MATCH(985,'Transfer Engine'!$C$2:$C$1199,0)))</f>
        <v/>
      </c>
      <c r="L994" s="7" t="str">
        <f>IF(ISNA(MATCH(985,'Transfer Engine'!$C$2:$C$1199,0)),"",INDEX('Compliance Database'!$L$2:$L$1199,MATCH(985,'Transfer Engine'!$C$2:$C$1199,0)))</f>
        <v/>
      </c>
      <c r="M994" s="7" t="str">
        <f>IF(ISNA(MATCH(985,'Transfer Engine'!$C$2:$C$1199,0)),"",INDEX('Compliance Database'!$M$2:$M$1199,MATCH(985,'Transfer Engine'!$C$2:$C$1199,0)))</f>
        <v/>
      </c>
      <c r="N994" s="7" t="str">
        <f>IF(ISNA(MATCH(985,'Transfer Engine'!$C$2:$C$1199,0)),"",INDEX('Compliance Database'!$N$2:$N$1199,MATCH(985,'Transfer Engine'!$C$2:$C$1199,0)))</f>
        <v/>
      </c>
      <c r="O994" s="7" t="str">
        <f>IF(ISNA(MATCH(985,'Transfer Engine'!$C$2:$C$1199,0)),"",INDEX('Compliance Database'!$O$2:$O$1199,MATCH(985,'Transfer Engine'!$C$2:$C$1199,0)))</f>
        <v/>
      </c>
      <c r="P994" s="6" t="str">
        <f>IF(ISNA(MATCH(985,'Transfer Engine'!$C$2:$C$1199,0)),"",HYPERLINK("#Acts!A"&amp;INDEX('Compliance Database'!$P$2:$P$1199,MATCH(985,'Transfer Engine'!$C$2:$C$1199,0)),"Go to Act"))</f>
        <v/>
      </c>
    </row>
    <row r="995" spans="1:16" ht="172.95" customHeight="1" x14ac:dyDescent="0.3">
      <c r="A995" s="6" t="str">
        <f>IF(ISNA(MATCH(986,'Transfer Engine'!$C$2:$C$1199,0)),"",INDEX('Compliance Database'!$A$2:$A$1199,MATCH(986,'Transfer Engine'!$C$2:$C$1199,0)))</f>
        <v/>
      </c>
      <c r="B995" s="6" t="str">
        <f>IF(ISNA(MATCH(986,'Transfer Engine'!$C$2:$C$1199,0)),"",INDEX('Compliance Database'!$B$2:$B$1199,MATCH(986,'Transfer Engine'!$C$2:$C$1199,0)))</f>
        <v/>
      </c>
      <c r="C995" s="6" t="str">
        <f>IF(ISNA(MATCH(986,'Transfer Engine'!$C$2:$C$1199,0)),"",INDEX('Compliance Database'!$C$2:$C$1199,MATCH(986,'Transfer Engine'!$C$2:$C$1199,0)))</f>
        <v/>
      </c>
      <c r="D995" s="7" t="str">
        <f>IF(ISNA(MATCH(986,'Transfer Engine'!$C$2:$C$1199,0)),"",INDEX('Compliance Database'!$D$2:$D$1199,MATCH(986,'Transfer Engine'!$C$2:$C$1199,0)))</f>
        <v/>
      </c>
      <c r="E995" s="6" t="str">
        <f>IF(ISNA(MATCH(986,'Transfer Engine'!$C$2:$C$1199,0)),"",INDEX('Compliance Database'!$E$2:$E$1199,MATCH(986,'Transfer Engine'!$C$2:$C$1199,0)))</f>
        <v/>
      </c>
      <c r="F995" s="6" t="str">
        <f>IF(ISNA(MATCH(986,'Transfer Engine'!$C$2:$C$1199,0)),"",INDEX('Compliance Database'!$F$2:$F$1199,MATCH(986,'Transfer Engine'!$C$2:$C$1199,0)))</f>
        <v/>
      </c>
      <c r="G995" s="6" t="str">
        <f>IF(ISNA(MATCH(986,'Transfer Engine'!$C$2:$C$1199,0)),"",INDEX('Compliance Database'!$G$2:$G$1199,MATCH(986,'Transfer Engine'!$C$2:$C$1199,0)))</f>
        <v/>
      </c>
      <c r="H995" s="7" t="str">
        <f>IF(ISNA(MATCH(986,'Transfer Engine'!$C$2:$C$1199,0)),"",INDEX('Compliance Database'!$H$2:$H$1199,MATCH(986,'Transfer Engine'!$C$2:$C$1199,0)))</f>
        <v/>
      </c>
      <c r="I995" s="7" t="str">
        <f>IF(ISNA(MATCH(986,'Transfer Engine'!$C$2:$C$1199,0)),"",INDEX('Compliance Database'!$I$2:$I$1199,MATCH(986,'Transfer Engine'!$C$2:$C$1199,0)))</f>
        <v/>
      </c>
      <c r="J995" s="6" t="str">
        <f>IF(ISNA(MATCH(986,'Transfer Engine'!$C$2:$C$1199,0)),"",INDEX('Compliance Database'!$J$2:$J$1199,MATCH(986,'Transfer Engine'!$C$2:$C$1199,0)))</f>
        <v/>
      </c>
      <c r="K995" s="7" t="str">
        <f>IF(ISNA(MATCH(986,'Transfer Engine'!$C$2:$C$1199,0)),"",INDEX('Compliance Database'!$K$2:$K$1199,MATCH(986,'Transfer Engine'!$C$2:$C$1199,0)))</f>
        <v/>
      </c>
      <c r="L995" s="7" t="str">
        <f>IF(ISNA(MATCH(986,'Transfer Engine'!$C$2:$C$1199,0)),"",INDEX('Compliance Database'!$L$2:$L$1199,MATCH(986,'Transfer Engine'!$C$2:$C$1199,0)))</f>
        <v/>
      </c>
      <c r="M995" s="7" t="str">
        <f>IF(ISNA(MATCH(986,'Transfer Engine'!$C$2:$C$1199,0)),"",INDEX('Compliance Database'!$M$2:$M$1199,MATCH(986,'Transfer Engine'!$C$2:$C$1199,0)))</f>
        <v/>
      </c>
      <c r="N995" s="7" t="str">
        <f>IF(ISNA(MATCH(986,'Transfer Engine'!$C$2:$C$1199,0)),"",INDEX('Compliance Database'!$N$2:$N$1199,MATCH(986,'Transfer Engine'!$C$2:$C$1199,0)))</f>
        <v/>
      </c>
      <c r="O995" s="7" t="str">
        <f>IF(ISNA(MATCH(986,'Transfer Engine'!$C$2:$C$1199,0)),"",INDEX('Compliance Database'!$O$2:$O$1199,MATCH(986,'Transfer Engine'!$C$2:$C$1199,0)))</f>
        <v/>
      </c>
      <c r="P995" s="6" t="str">
        <f>IF(ISNA(MATCH(986,'Transfer Engine'!$C$2:$C$1199,0)),"",HYPERLINK("#Acts!A"&amp;INDEX('Compliance Database'!$P$2:$P$1199,MATCH(986,'Transfer Engine'!$C$2:$C$1199,0)),"Go to Act"))</f>
        <v/>
      </c>
    </row>
    <row r="996" spans="1:16" ht="172.95" customHeight="1" x14ac:dyDescent="0.3">
      <c r="A996" s="6" t="str">
        <f>IF(ISNA(MATCH(987,'Transfer Engine'!$C$2:$C$1199,0)),"",INDEX('Compliance Database'!$A$2:$A$1199,MATCH(987,'Transfer Engine'!$C$2:$C$1199,0)))</f>
        <v/>
      </c>
      <c r="B996" s="6" t="str">
        <f>IF(ISNA(MATCH(987,'Transfer Engine'!$C$2:$C$1199,0)),"",INDEX('Compliance Database'!$B$2:$B$1199,MATCH(987,'Transfer Engine'!$C$2:$C$1199,0)))</f>
        <v/>
      </c>
      <c r="C996" s="6" t="str">
        <f>IF(ISNA(MATCH(987,'Transfer Engine'!$C$2:$C$1199,0)),"",INDEX('Compliance Database'!$C$2:$C$1199,MATCH(987,'Transfer Engine'!$C$2:$C$1199,0)))</f>
        <v/>
      </c>
      <c r="D996" s="7" t="str">
        <f>IF(ISNA(MATCH(987,'Transfer Engine'!$C$2:$C$1199,0)),"",INDEX('Compliance Database'!$D$2:$D$1199,MATCH(987,'Transfer Engine'!$C$2:$C$1199,0)))</f>
        <v/>
      </c>
      <c r="E996" s="6" t="str">
        <f>IF(ISNA(MATCH(987,'Transfer Engine'!$C$2:$C$1199,0)),"",INDEX('Compliance Database'!$E$2:$E$1199,MATCH(987,'Transfer Engine'!$C$2:$C$1199,0)))</f>
        <v/>
      </c>
      <c r="F996" s="6" t="str">
        <f>IF(ISNA(MATCH(987,'Transfer Engine'!$C$2:$C$1199,0)),"",INDEX('Compliance Database'!$F$2:$F$1199,MATCH(987,'Transfer Engine'!$C$2:$C$1199,0)))</f>
        <v/>
      </c>
      <c r="G996" s="6" t="str">
        <f>IF(ISNA(MATCH(987,'Transfer Engine'!$C$2:$C$1199,0)),"",INDEX('Compliance Database'!$G$2:$G$1199,MATCH(987,'Transfer Engine'!$C$2:$C$1199,0)))</f>
        <v/>
      </c>
      <c r="H996" s="7" t="str">
        <f>IF(ISNA(MATCH(987,'Transfer Engine'!$C$2:$C$1199,0)),"",INDEX('Compliance Database'!$H$2:$H$1199,MATCH(987,'Transfer Engine'!$C$2:$C$1199,0)))</f>
        <v/>
      </c>
      <c r="I996" s="7" t="str">
        <f>IF(ISNA(MATCH(987,'Transfer Engine'!$C$2:$C$1199,0)),"",INDEX('Compliance Database'!$I$2:$I$1199,MATCH(987,'Transfer Engine'!$C$2:$C$1199,0)))</f>
        <v/>
      </c>
      <c r="J996" s="6" t="str">
        <f>IF(ISNA(MATCH(987,'Transfer Engine'!$C$2:$C$1199,0)),"",INDEX('Compliance Database'!$J$2:$J$1199,MATCH(987,'Transfer Engine'!$C$2:$C$1199,0)))</f>
        <v/>
      </c>
      <c r="K996" s="7" t="str">
        <f>IF(ISNA(MATCH(987,'Transfer Engine'!$C$2:$C$1199,0)),"",INDEX('Compliance Database'!$K$2:$K$1199,MATCH(987,'Transfer Engine'!$C$2:$C$1199,0)))</f>
        <v/>
      </c>
      <c r="L996" s="7" t="str">
        <f>IF(ISNA(MATCH(987,'Transfer Engine'!$C$2:$C$1199,0)),"",INDEX('Compliance Database'!$L$2:$L$1199,MATCH(987,'Transfer Engine'!$C$2:$C$1199,0)))</f>
        <v/>
      </c>
      <c r="M996" s="7" t="str">
        <f>IF(ISNA(MATCH(987,'Transfer Engine'!$C$2:$C$1199,0)),"",INDEX('Compliance Database'!$M$2:$M$1199,MATCH(987,'Transfer Engine'!$C$2:$C$1199,0)))</f>
        <v/>
      </c>
      <c r="N996" s="7" t="str">
        <f>IF(ISNA(MATCH(987,'Transfer Engine'!$C$2:$C$1199,0)),"",INDEX('Compliance Database'!$N$2:$N$1199,MATCH(987,'Transfer Engine'!$C$2:$C$1199,0)))</f>
        <v/>
      </c>
      <c r="O996" s="7" t="str">
        <f>IF(ISNA(MATCH(987,'Transfer Engine'!$C$2:$C$1199,0)),"",INDEX('Compliance Database'!$O$2:$O$1199,MATCH(987,'Transfer Engine'!$C$2:$C$1199,0)))</f>
        <v/>
      </c>
      <c r="P996" s="6" t="str">
        <f>IF(ISNA(MATCH(987,'Transfer Engine'!$C$2:$C$1199,0)),"",HYPERLINK("#Acts!A"&amp;INDEX('Compliance Database'!$P$2:$P$1199,MATCH(987,'Transfer Engine'!$C$2:$C$1199,0)),"Go to Act"))</f>
        <v/>
      </c>
    </row>
    <row r="997" spans="1:16" ht="172.95" customHeight="1" x14ac:dyDescent="0.3">
      <c r="A997" s="6" t="str">
        <f>IF(ISNA(MATCH(988,'Transfer Engine'!$C$2:$C$1199,0)),"",INDEX('Compliance Database'!$A$2:$A$1199,MATCH(988,'Transfer Engine'!$C$2:$C$1199,0)))</f>
        <v/>
      </c>
      <c r="B997" s="6" t="str">
        <f>IF(ISNA(MATCH(988,'Transfer Engine'!$C$2:$C$1199,0)),"",INDEX('Compliance Database'!$B$2:$B$1199,MATCH(988,'Transfer Engine'!$C$2:$C$1199,0)))</f>
        <v/>
      </c>
      <c r="C997" s="6" t="str">
        <f>IF(ISNA(MATCH(988,'Transfer Engine'!$C$2:$C$1199,0)),"",INDEX('Compliance Database'!$C$2:$C$1199,MATCH(988,'Transfer Engine'!$C$2:$C$1199,0)))</f>
        <v/>
      </c>
      <c r="D997" s="7" t="str">
        <f>IF(ISNA(MATCH(988,'Transfer Engine'!$C$2:$C$1199,0)),"",INDEX('Compliance Database'!$D$2:$D$1199,MATCH(988,'Transfer Engine'!$C$2:$C$1199,0)))</f>
        <v/>
      </c>
      <c r="E997" s="6" t="str">
        <f>IF(ISNA(MATCH(988,'Transfer Engine'!$C$2:$C$1199,0)),"",INDEX('Compliance Database'!$E$2:$E$1199,MATCH(988,'Transfer Engine'!$C$2:$C$1199,0)))</f>
        <v/>
      </c>
      <c r="F997" s="6" t="str">
        <f>IF(ISNA(MATCH(988,'Transfer Engine'!$C$2:$C$1199,0)),"",INDEX('Compliance Database'!$F$2:$F$1199,MATCH(988,'Transfer Engine'!$C$2:$C$1199,0)))</f>
        <v/>
      </c>
      <c r="G997" s="6" t="str">
        <f>IF(ISNA(MATCH(988,'Transfer Engine'!$C$2:$C$1199,0)),"",INDEX('Compliance Database'!$G$2:$G$1199,MATCH(988,'Transfer Engine'!$C$2:$C$1199,0)))</f>
        <v/>
      </c>
      <c r="H997" s="7" t="str">
        <f>IF(ISNA(MATCH(988,'Transfer Engine'!$C$2:$C$1199,0)),"",INDEX('Compliance Database'!$H$2:$H$1199,MATCH(988,'Transfer Engine'!$C$2:$C$1199,0)))</f>
        <v/>
      </c>
      <c r="I997" s="7" t="str">
        <f>IF(ISNA(MATCH(988,'Transfer Engine'!$C$2:$C$1199,0)),"",INDEX('Compliance Database'!$I$2:$I$1199,MATCH(988,'Transfer Engine'!$C$2:$C$1199,0)))</f>
        <v/>
      </c>
      <c r="J997" s="6" t="str">
        <f>IF(ISNA(MATCH(988,'Transfer Engine'!$C$2:$C$1199,0)),"",INDEX('Compliance Database'!$J$2:$J$1199,MATCH(988,'Transfer Engine'!$C$2:$C$1199,0)))</f>
        <v/>
      </c>
      <c r="K997" s="7" t="str">
        <f>IF(ISNA(MATCH(988,'Transfer Engine'!$C$2:$C$1199,0)),"",INDEX('Compliance Database'!$K$2:$K$1199,MATCH(988,'Transfer Engine'!$C$2:$C$1199,0)))</f>
        <v/>
      </c>
      <c r="L997" s="7" t="str">
        <f>IF(ISNA(MATCH(988,'Transfer Engine'!$C$2:$C$1199,0)),"",INDEX('Compliance Database'!$L$2:$L$1199,MATCH(988,'Transfer Engine'!$C$2:$C$1199,0)))</f>
        <v/>
      </c>
      <c r="M997" s="7" t="str">
        <f>IF(ISNA(MATCH(988,'Transfer Engine'!$C$2:$C$1199,0)),"",INDEX('Compliance Database'!$M$2:$M$1199,MATCH(988,'Transfer Engine'!$C$2:$C$1199,0)))</f>
        <v/>
      </c>
      <c r="N997" s="7" t="str">
        <f>IF(ISNA(MATCH(988,'Transfer Engine'!$C$2:$C$1199,0)),"",INDEX('Compliance Database'!$N$2:$N$1199,MATCH(988,'Transfer Engine'!$C$2:$C$1199,0)))</f>
        <v/>
      </c>
      <c r="O997" s="7" t="str">
        <f>IF(ISNA(MATCH(988,'Transfer Engine'!$C$2:$C$1199,0)),"",INDEX('Compliance Database'!$O$2:$O$1199,MATCH(988,'Transfer Engine'!$C$2:$C$1199,0)))</f>
        <v/>
      </c>
      <c r="P997" s="6" t="str">
        <f>IF(ISNA(MATCH(988,'Transfer Engine'!$C$2:$C$1199,0)),"",HYPERLINK("#Acts!A"&amp;INDEX('Compliance Database'!$P$2:$P$1199,MATCH(988,'Transfer Engine'!$C$2:$C$1199,0)),"Go to Act"))</f>
        <v/>
      </c>
    </row>
    <row r="998" spans="1:16" ht="172.95" customHeight="1" x14ac:dyDescent="0.3">
      <c r="A998" s="6" t="str">
        <f>IF(ISNA(MATCH(989,'Transfer Engine'!$C$2:$C$1199,0)),"",INDEX('Compliance Database'!$A$2:$A$1199,MATCH(989,'Transfer Engine'!$C$2:$C$1199,0)))</f>
        <v/>
      </c>
      <c r="B998" s="6" t="str">
        <f>IF(ISNA(MATCH(989,'Transfer Engine'!$C$2:$C$1199,0)),"",INDEX('Compliance Database'!$B$2:$B$1199,MATCH(989,'Transfer Engine'!$C$2:$C$1199,0)))</f>
        <v/>
      </c>
      <c r="C998" s="6" t="str">
        <f>IF(ISNA(MATCH(989,'Transfer Engine'!$C$2:$C$1199,0)),"",INDEX('Compliance Database'!$C$2:$C$1199,MATCH(989,'Transfer Engine'!$C$2:$C$1199,0)))</f>
        <v/>
      </c>
      <c r="D998" s="7" t="str">
        <f>IF(ISNA(MATCH(989,'Transfer Engine'!$C$2:$C$1199,0)),"",INDEX('Compliance Database'!$D$2:$D$1199,MATCH(989,'Transfer Engine'!$C$2:$C$1199,0)))</f>
        <v/>
      </c>
      <c r="E998" s="6" t="str">
        <f>IF(ISNA(MATCH(989,'Transfer Engine'!$C$2:$C$1199,0)),"",INDEX('Compliance Database'!$E$2:$E$1199,MATCH(989,'Transfer Engine'!$C$2:$C$1199,0)))</f>
        <v/>
      </c>
      <c r="F998" s="6" t="str">
        <f>IF(ISNA(MATCH(989,'Transfer Engine'!$C$2:$C$1199,0)),"",INDEX('Compliance Database'!$F$2:$F$1199,MATCH(989,'Transfer Engine'!$C$2:$C$1199,0)))</f>
        <v/>
      </c>
      <c r="G998" s="6" t="str">
        <f>IF(ISNA(MATCH(989,'Transfer Engine'!$C$2:$C$1199,0)),"",INDEX('Compliance Database'!$G$2:$G$1199,MATCH(989,'Transfer Engine'!$C$2:$C$1199,0)))</f>
        <v/>
      </c>
      <c r="H998" s="7" t="str">
        <f>IF(ISNA(MATCH(989,'Transfer Engine'!$C$2:$C$1199,0)),"",INDEX('Compliance Database'!$H$2:$H$1199,MATCH(989,'Transfer Engine'!$C$2:$C$1199,0)))</f>
        <v/>
      </c>
      <c r="I998" s="7" t="str">
        <f>IF(ISNA(MATCH(989,'Transfer Engine'!$C$2:$C$1199,0)),"",INDEX('Compliance Database'!$I$2:$I$1199,MATCH(989,'Transfer Engine'!$C$2:$C$1199,0)))</f>
        <v/>
      </c>
      <c r="J998" s="6" t="str">
        <f>IF(ISNA(MATCH(989,'Transfer Engine'!$C$2:$C$1199,0)),"",INDEX('Compliance Database'!$J$2:$J$1199,MATCH(989,'Transfer Engine'!$C$2:$C$1199,0)))</f>
        <v/>
      </c>
      <c r="K998" s="7" t="str">
        <f>IF(ISNA(MATCH(989,'Transfer Engine'!$C$2:$C$1199,0)),"",INDEX('Compliance Database'!$K$2:$K$1199,MATCH(989,'Transfer Engine'!$C$2:$C$1199,0)))</f>
        <v/>
      </c>
      <c r="L998" s="7" t="str">
        <f>IF(ISNA(MATCH(989,'Transfer Engine'!$C$2:$C$1199,0)),"",INDEX('Compliance Database'!$L$2:$L$1199,MATCH(989,'Transfer Engine'!$C$2:$C$1199,0)))</f>
        <v/>
      </c>
      <c r="M998" s="7" t="str">
        <f>IF(ISNA(MATCH(989,'Transfer Engine'!$C$2:$C$1199,0)),"",INDEX('Compliance Database'!$M$2:$M$1199,MATCH(989,'Transfer Engine'!$C$2:$C$1199,0)))</f>
        <v/>
      </c>
      <c r="N998" s="7" t="str">
        <f>IF(ISNA(MATCH(989,'Transfer Engine'!$C$2:$C$1199,0)),"",INDEX('Compliance Database'!$N$2:$N$1199,MATCH(989,'Transfer Engine'!$C$2:$C$1199,0)))</f>
        <v/>
      </c>
      <c r="O998" s="7" t="str">
        <f>IF(ISNA(MATCH(989,'Transfer Engine'!$C$2:$C$1199,0)),"",INDEX('Compliance Database'!$O$2:$O$1199,MATCH(989,'Transfer Engine'!$C$2:$C$1199,0)))</f>
        <v/>
      </c>
      <c r="P998" s="6" t="str">
        <f>IF(ISNA(MATCH(989,'Transfer Engine'!$C$2:$C$1199,0)),"",HYPERLINK("#Acts!A"&amp;INDEX('Compliance Database'!$P$2:$P$1199,MATCH(989,'Transfer Engine'!$C$2:$C$1199,0)),"Go to Act"))</f>
        <v/>
      </c>
    </row>
    <row r="999" spans="1:16" ht="172.95" customHeight="1" x14ac:dyDescent="0.3">
      <c r="A999" s="6" t="str">
        <f>IF(ISNA(MATCH(990,'Transfer Engine'!$C$2:$C$1199,0)),"",INDEX('Compliance Database'!$A$2:$A$1199,MATCH(990,'Transfer Engine'!$C$2:$C$1199,0)))</f>
        <v/>
      </c>
      <c r="B999" s="6" t="str">
        <f>IF(ISNA(MATCH(990,'Transfer Engine'!$C$2:$C$1199,0)),"",INDEX('Compliance Database'!$B$2:$B$1199,MATCH(990,'Transfer Engine'!$C$2:$C$1199,0)))</f>
        <v/>
      </c>
      <c r="C999" s="6" t="str">
        <f>IF(ISNA(MATCH(990,'Transfer Engine'!$C$2:$C$1199,0)),"",INDEX('Compliance Database'!$C$2:$C$1199,MATCH(990,'Transfer Engine'!$C$2:$C$1199,0)))</f>
        <v/>
      </c>
      <c r="D999" s="7" t="str">
        <f>IF(ISNA(MATCH(990,'Transfer Engine'!$C$2:$C$1199,0)),"",INDEX('Compliance Database'!$D$2:$D$1199,MATCH(990,'Transfer Engine'!$C$2:$C$1199,0)))</f>
        <v/>
      </c>
      <c r="E999" s="6" t="str">
        <f>IF(ISNA(MATCH(990,'Transfer Engine'!$C$2:$C$1199,0)),"",INDEX('Compliance Database'!$E$2:$E$1199,MATCH(990,'Transfer Engine'!$C$2:$C$1199,0)))</f>
        <v/>
      </c>
      <c r="F999" s="6" t="str">
        <f>IF(ISNA(MATCH(990,'Transfer Engine'!$C$2:$C$1199,0)),"",INDEX('Compliance Database'!$F$2:$F$1199,MATCH(990,'Transfer Engine'!$C$2:$C$1199,0)))</f>
        <v/>
      </c>
      <c r="G999" s="6" t="str">
        <f>IF(ISNA(MATCH(990,'Transfer Engine'!$C$2:$C$1199,0)),"",INDEX('Compliance Database'!$G$2:$G$1199,MATCH(990,'Transfer Engine'!$C$2:$C$1199,0)))</f>
        <v/>
      </c>
      <c r="H999" s="7" t="str">
        <f>IF(ISNA(MATCH(990,'Transfer Engine'!$C$2:$C$1199,0)),"",INDEX('Compliance Database'!$H$2:$H$1199,MATCH(990,'Transfer Engine'!$C$2:$C$1199,0)))</f>
        <v/>
      </c>
      <c r="I999" s="7" t="str">
        <f>IF(ISNA(MATCH(990,'Transfer Engine'!$C$2:$C$1199,0)),"",INDEX('Compliance Database'!$I$2:$I$1199,MATCH(990,'Transfer Engine'!$C$2:$C$1199,0)))</f>
        <v/>
      </c>
      <c r="J999" s="6" t="str">
        <f>IF(ISNA(MATCH(990,'Transfer Engine'!$C$2:$C$1199,0)),"",INDEX('Compliance Database'!$J$2:$J$1199,MATCH(990,'Transfer Engine'!$C$2:$C$1199,0)))</f>
        <v/>
      </c>
      <c r="K999" s="7" t="str">
        <f>IF(ISNA(MATCH(990,'Transfer Engine'!$C$2:$C$1199,0)),"",INDEX('Compliance Database'!$K$2:$K$1199,MATCH(990,'Transfer Engine'!$C$2:$C$1199,0)))</f>
        <v/>
      </c>
      <c r="L999" s="7" t="str">
        <f>IF(ISNA(MATCH(990,'Transfer Engine'!$C$2:$C$1199,0)),"",INDEX('Compliance Database'!$L$2:$L$1199,MATCH(990,'Transfer Engine'!$C$2:$C$1199,0)))</f>
        <v/>
      </c>
      <c r="M999" s="7" t="str">
        <f>IF(ISNA(MATCH(990,'Transfer Engine'!$C$2:$C$1199,0)),"",INDEX('Compliance Database'!$M$2:$M$1199,MATCH(990,'Transfer Engine'!$C$2:$C$1199,0)))</f>
        <v/>
      </c>
      <c r="N999" s="7" t="str">
        <f>IF(ISNA(MATCH(990,'Transfer Engine'!$C$2:$C$1199,0)),"",INDEX('Compliance Database'!$N$2:$N$1199,MATCH(990,'Transfer Engine'!$C$2:$C$1199,0)))</f>
        <v/>
      </c>
      <c r="O999" s="7" t="str">
        <f>IF(ISNA(MATCH(990,'Transfer Engine'!$C$2:$C$1199,0)),"",INDEX('Compliance Database'!$O$2:$O$1199,MATCH(990,'Transfer Engine'!$C$2:$C$1199,0)))</f>
        <v/>
      </c>
      <c r="P999" s="6" t="str">
        <f>IF(ISNA(MATCH(990,'Transfer Engine'!$C$2:$C$1199,0)),"",HYPERLINK("#Acts!A"&amp;INDEX('Compliance Database'!$P$2:$P$1199,MATCH(990,'Transfer Engine'!$C$2:$C$1199,0)),"Go to Act"))</f>
        <v/>
      </c>
    </row>
    <row r="1000" spans="1:16" ht="172.95" customHeight="1" x14ac:dyDescent="0.3">
      <c r="A1000" s="6" t="str">
        <f>IF(ISNA(MATCH(991,'Transfer Engine'!$C$2:$C$1199,0)),"",INDEX('Compliance Database'!$A$2:$A$1199,MATCH(991,'Transfer Engine'!$C$2:$C$1199,0)))</f>
        <v/>
      </c>
      <c r="B1000" s="6" t="str">
        <f>IF(ISNA(MATCH(991,'Transfer Engine'!$C$2:$C$1199,0)),"",INDEX('Compliance Database'!$B$2:$B$1199,MATCH(991,'Transfer Engine'!$C$2:$C$1199,0)))</f>
        <v/>
      </c>
      <c r="C1000" s="6" t="str">
        <f>IF(ISNA(MATCH(991,'Transfer Engine'!$C$2:$C$1199,0)),"",INDEX('Compliance Database'!$C$2:$C$1199,MATCH(991,'Transfer Engine'!$C$2:$C$1199,0)))</f>
        <v/>
      </c>
      <c r="D1000" s="7" t="str">
        <f>IF(ISNA(MATCH(991,'Transfer Engine'!$C$2:$C$1199,0)),"",INDEX('Compliance Database'!$D$2:$D$1199,MATCH(991,'Transfer Engine'!$C$2:$C$1199,0)))</f>
        <v/>
      </c>
      <c r="E1000" s="6" t="str">
        <f>IF(ISNA(MATCH(991,'Transfer Engine'!$C$2:$C$1199,0)),"",INDEX('Compliance Database'!$E$2:$E$1199,MATCH(991,'Transfer Engine'!$C$2:$C$1199,0)))</f>
        <v/>
      </c>
      <c r="F1000" s="6" t="str">
        <f>IF(ISNA(MATCH(991,'Transfer Engine'!$C$2:$C$1199,0)),"",INDEX('Compliance Database'!$F$2:$F$1199,MATCH(991,'Transfer Engine'!$C$2:$C$1199,0)))</f>
        <v/>
      </c>
      <c r="G1000" s="6" t="str">
        <f>IF(ISNA(MATCH(991,'Transfer Engine'!$C$2:$C$1199,0)),"",INDEX('Compliance Database'!$G$2:$G$1199,MATCH(991,'Transfer Engine'!$C$2:$C$1199,0)))</f>
        <v/>
      </c>
      <c r="H1000" s="7" t="str">
        <f>IF(ISNA(MATCH(991,'Transfer Engine'!$C$2:$C$1199,0)),"",INDEX('Compliance Database'!$H$2:$H$1199,MATCH(991,'Transfer Engine'!$C$2:$C$1199,0)))</f>
        <v/>
      </c>
      <c r="I1000" s="7" t="str">
        <f>IF(ISNA(MATCH(991,'Transfer Engine'!$C$2:$C$1199,0)),"",INDEX('Compliance Database'!$I$2:$I$1199,MATCH(991,'Transfer Engine'!$C$2:$C$1199,0)))</f>
        <v/>
      </c>
      <c r="J1000" s="6" t="str">
        <f>IF(ISNA(MATCH(991,'Transfer Engine'!$C$2:$C$1199,0)),"",INDEX('Compliance Database'!$J$2:$J$1199,MATCH(991,'Transfer Engine'!$C$2:$C$1199,0)))</f>
        <v/>
      </c>
      <c r="K1000" s="7" t="str">
        <f>IF(ISNA(MATCH(991,'Transfer Engine'!$C$2:$C$1199,0)),"",INDEX('Compliance Database'!$K$2:$K$1199,MATCH(991,'Transfer Engine'!$C$2:$C$1199,0)))</f>
        <v/>
      </c>
      <c r="L1000" s="7" t="str">
        <f>IF(ISNA(MATCH(991,'Transfer Engine'!$C$2:$C$1199,0)),"",INDEX('Compliance Database'!$L$2:$L$1199,MATCH(991,'Transfer Engine'!$C$2:$C$1199,0)))</f>
        <v/>
      </c>
      <c r="M1000" s="7" t="str">
        <f>IF(ISNA(MATCH(991,'Transfer Engine'!$C$2:$C$1199,0)),"",INDEX('Compliance Database'!$M$2:$M$1199,MATCH(991,'Transfer Engine'!$C$2:$C$1199,0)))</f>
        <v/>
      </c>
      <c r="N1000" s="7" t="str">
        <f>IF(ISNA(MATCH(991,'Transfer Engine'!$C$2:$C$1199,0)),"",INDEX('Compliance Database'!$N$2:$N$1199,MATCH(991,'Transfer Engine'!$C$2:$C$1199,0)))</f>
        <v/>
      </c>
      <c r="O1000" s="7" t="str">
        <f>IF(ISNA(MATCH(991,'Transfer Engine'!$C$2:$C$1199,0)),"",INDEX('Compliance Database'!$O$2:$O$1199,MATCH(991,'Transfer Engine'!$C$2:$C$1199,0)))</f>
        <v/>
      </c>
      <c r="P1000" s="6" t="str">
        <f>IF(ISNA(MATCH(991,'Transfer Engine'!$C$2:$C$1199,0)),"",HYPERLINK("#Acts!A"&amp;INDEX('Compliance Database'!$P$2:$P$1199,MATCH(991,'Transfer Engine'!$C$2:$C$1199,0)),"Go to Act"))</f>
        <v/>
      </c>
    </row>
    <row r="1001" spans="1:16" ht="172.95" customHeight="1" x14ac:dyDescent="0.3">
      <c r="A1001" s="6" t="str">
        <f>IF(ISNA(MATCH(992,'Transfer Engine'!$C$2:$C$1199,0)),"",INDEX('Compliance Database'!$A$2:$A$1199,MATCH(992,'Transfer Engine'!$C$2:$C$1199,0)))</f>
        <v/>
      </c>
      <c r="B1001" s="6" t="str">
        <f>IF(ISNA(MATCH(992,'Transfer Engine'!$C$2:$C$1199,0)),"",INDEX('Compliance Database'!$B$2:$B$1199,MATCH(992,'Transfer Engine'!$C$2:$C$1199,0)))</f>
        <v/>
      </c>
      <c r="C1001" s="6" t="str">
        <f>IF(ISNA(MATCH(992,'Transfer Engine'!$C$2:$C$1199,0)),"",INDEX('Compliance Database'!$C$2:$C$1199,MATCH(992,'Transfer Engine'!$C$2:$C$1199,0)))</f>
        <v/>
      </c>
      <c r="D1001" s="7" t="str">
        <f>IF(ISNA(MATCH(992,'Transfer Engine'!$C$2:$C$1199,0)),"",INDEX('Compliance Database'!$D$2:$D$1199,MATCH(992,'Transfer Engine'!$C$2:$C$1199,0)))</f>
        <v/>
      </c>
      <c r="E1001" s="6" t="str">
        <f>IF(ISNA(MATCH(992,'Transfer Engine'!$C$2:$C$1199,0)),"",INDEX('Compliance Database'!$E$2:$E$1199,MATCH(992,'Transfer Engine'!$C$2:$C$1199,0)))</f>
        <v/>
      </c>
      <c r="F1001" s="6" t="str">
        <f>IF(ISNA(MATCH(992,'Transfer Engine'!$C$2:$C$1199,0)),"",INDEX('Compliance Database'!$F$2:$F$1199,MATCH(992,'Transfer Engine'!$C$2:$C$1199,0)))</f>
        <v/>
      </c>
      <c r="G1001" s="6" t="str">
        <f>IF(ISNA(MATCH(992,'Transfer Engine'!$C$2:$C$1199,0)),"",INDEX('Compliance Database'!$G$2:$G$1199,MATCH(992,'Transfer Engine'!$C$2:$C$1199,0)))</f>
        <v/>
      </c>
      <c r="H1001" s="7" t="str">
        <f>IF(ISNA(MATCH(992,'Transfer Engine'!$C$2:$C$1199,0)),"",INDEX('Compliance Database'!$H$2:$H$1199,MATCH(992,'Transfer Engine'!$C$2:$C$1199,0)))</f>
        <v/>
      </c>
      <c r="I1001" s="7" t="str">
        <f>IF(ISNA(MATCH(992,'Transfer Engine'!$C$2:$C$1199,0)),"",INDEX('Compliance Database'!$I$2:$I$1199,MATCH(992,'Transfer Engine'!$C$2:$C$1199,0)))</f>
        <v/>
      </c>
      <c r="J1001" s="6" t="str">
        <f>IF(ISNA(MATCH(992,'Transfer Engine'!$C$2:$C$1199,0)),"",INDEX('Compliance Database'!$J$2:$J$1199,MATCH(992,'Transfer Engine'!$C$2:$C$1199,0)))</f>
        <v/>
      </c>
      <c r="K1001" s="7" t="str">
        <f>IF(ISNA(MATCH(992,'Transfer Engine'!$C$2:$C$1199,0)),"",INDEX('Compliance Database'!$K$2:$K$1199,MATCH(992,'Transfer Engine'!$C$2:$C$1199,0)))</f>
        <v/>
      </c>
      <c r="L1001" s="7" t="str">
        <f>IF(ISNA(MATCH(992,'Transfer Engine'!$C$2:$C$1199,0)),"",INDEX('Compliance Database'!$L$2:$L$1199,MATCH(992,'Transfer Engine'!$C$2:$C$1199,0)))</f>
        <v/>
      </c>
      <c r="M1001" s="7" t="str">
        <f>IF(ISNA(MATCH(992,'Transfer Engine'!$C$2:$C$1199,0)),"",INDEX('Compliance Database'!$M$2:$M$1199,MATCH(992,'Transfer Engine'!$C$2:$C$1199,0)))</f>
        <v/>
      </c>
      <c r="N1001" s="7" t="str">
        <f>IF(ISNA(MATCH(992,'Transfer Engine'!$C$2:$C$1199,0)),"",INDEX('Compliance Database'!$N$2:$N$1199,MATCH(992,'Transfer Engine'!$C$2:$C$1199,0)))</f>
        <v/>
      </c>
      <c r="O1001" s="7" t="str">
        <f>IF(ISNA(MATCH(992,'Transfer Engine'!$C$2:$C$1199,0)),"",INDEX('Compliance Database'!$O$2:$O$1199,MATCH(992,'Transfer Engine'!$C$2:$C$1199,0)))</f>
        <v/>
      </c>
      <c r="P1001" s="6" t="str">
        <f>IF(ISNA(MATCH(992,'Transfer Engine'!$C$2:$C$1199,0)),"",HYPERLINK("#Acts!A"&amp;INDEX('Compliance Database'!$P$2:$P$1199,MATCH(992,'Transfer Engine'!$C$2:$C$1199,0)),"Go to Act"))</f>
        <v/>
      </c>
    </row>
    <row r="1002" spans="1:16" ht="172.95" customHeight="1" x14ac:dyDescent="0.3">
      <c r="A1002" s="6" t="str">
        <f>IF(ISNA(MATCH(993,'Transfer Engine'!$C$2:$C$1199,0)),"",INDEX('Compliance Database'!$A$2:$A$1199,MATCH(993,'Transfer Engine'!$C$2:$C$1199,0)))</f>
        <v/>
      </c>
      <c r="B1002" s="6" t="str">
        <f>IF(ISNA(MATCH(993,'Transfer Engine'!$C$2:$C$1199,0)),"",INDEX('Compliance Database'!$B$2:$B$1199,MATCH(993,'Transfer Engine'!$C$2:$C$1199,0)))</f>
        <v/>
      </c>
      <c r="C1002" s="6" t="str">
        <f>IF(ISNA(MATCH(993,'Transfer Engine'!$C$2:$C$1199,0)),"",INDEX('Compliance Database'!$C$2:$C$1199,MATCH(993,'Transfer Engine'!$C$2:$C$1199,0)))</f>
        <v/>
      </c>
      <c r="D1002" s="7" t="str">
        <f>IF(ISNA(MATCH(993,'Transfer Engine'!$C$2:$C$1199,0)),"",INDEX('Compliance Database'!$D$2:$D$1199,MATCH(993,'Transfer Engine'!$C$2:$C$1199,0)))</f>
        <v/>
      </c>
      <c r="E1002" s="6" t="str">
        <f>IF(ISNA(MATCH(993,'Transfer Engine'!$C$2:$C$1199,0)),"",INDEX('Compliance Database'!$E$2:$E$1199,MATCH(993,'Transfer Engine'!$C$2:$C$1199,0)))</f>
        <v/>
      </c>
      <c r="F1002" s="6" t="str">
        <f>IF(ISNA(MATCH(993,'Transfer Engine'!$C$2:$C$1199,0)),"",INDEX('Compliance Database'!$F$2:$F$1199,MATCH(993,'Transfer Engine'!$C$2:$C$1199,0)))</f>
        <v/>
      </c>
      <c r="G1002" s="6" t="str">
        <f>IF(ISNA(MATCH(993,'Transfer Engine'!$C$2:$C$1199,0)),"",INDEX('Compliance Database'!$G$2:$G$1199,MATCH(993,'Transfer Engine'!$C$2:$C$1199,0)))</f>
        <v/>
      </c>
      <c r="H1002" s="7" t="str">
        <f>IF(ISNA(MATCH(993,'Transfer Engine'!$C$2:$C$1199,0)),"",INDEX('Compliance Database'!$H$2:$H$1199,MATCH(993,'Transfer Engine'!$C$2:$C$1199,0)))</f>
        <v/>
      </c>
      <c r="I1002" s="7" t="str">
        <f>IF(ISNA(MATCH(993,'Transfer Engine'!$C$2:$C$1199,0)),"",INDEX('Compliance Database'!$I$2:$I$1199,MATCH(993,'Transfer Engine'!$C$2:$C$1199,0)))</f>
        <v/>
      </c>
      <c r="J1002" s="6" t="str">
        <f>IF(ISNA(MATCH(993,'Transfer Engine'!$C$2:$C$1199,0)),"",INDEX('Compliance Database'!$J$2:$J$1199,MATCH(993,'Transfer Engine'!$C$2:$C$1199,0)))</f>
        <v/>
      </c>
      <c r="K1002" s="7" t="str">
        <f>IF(ISNA(MATCH(993,'Transfer Engine'!$C$2:$C$1199,0)),"",INDEX('Compliance Database'!$K$2:$K$1199,MATCH(993,'Transfer Engine'!$C$2:$C$1199,0)))</f>
        <v/>
      </c>
      <c r="L1002" s="7" t="str">
        <f>IF(ISNA(MATCH(993,'Transfer Engine'!$C$2:$C$1199,0)),"",INDEX('Compliance Database'!$L$2:$L$1199,MATCH(993,'Transfer Engine'!$C$2:$C$1199,0)))</f>
        <v/>
      </c>
      <c r="M1002" s="7" t="str">
        <f>IF(ISNA(MATCH(993,'Transfer Engine'!$C$2:$C$1199,0)),"",INDEX('Compliance Database'!$M$2:$M$1199,MATCH(993,'Transfer Engine'!$C$2:$C$1199,0)))</f>
        <v/>
      </c>
      <c r="N1002" s="7" t="str">
        <f>IF(ISNA(MATCH(993,'Transfer Engine'!$C$2:$C$1199,0)),"",INDEX('Compliance Database'!$N$2:$N$1199,MATCH(993,'Transfer Engine'!$C$2:$C$1199,0)))</f>
        <v/>
      </c>
      <c r="O1002" s="7" t="str">
        <f>IF(ISNA(MATCH(993,'Transfer Engine'!$C$2:$C$1199,0)),"",INDEX('Compliance Database'!$O$2:$O$1199,MATCH(993,'Transfer Engine'!$C$2:$C$1199,0)))</f>
        <v/>
      </c>
      <c r="P1002" s="6" t="str">
        <f>IF(ISNA(MATCH(993,'Transfer Engine'!$C$2:$C$1199,0)),"",HYPERLINK("#Acts!A"&amp;INDEX('Compliance Database'!$P$2:$P$1199,MATCH(993,'Transfer Engine'!$C$2:$C$1199,0)),"Go to Act"))</f>
        <v/>
      </c>
    </row>
    <row r="1003" spans="1:16" ht="172.95" customHeight="1" x14ac:dyDescent="0.3">
      <c r="A1003" s="6" t="str">
        <f>IF(ISNA(MATCH(994,'Transfer Engine'!$C$2:$C$1199,0)),"",INDEX('Compliance Database'!$A$2:$A$1199,MATCH(994,'Transfer Engine'!$C$2:$C$1199,0)))</f>
        <v/>
      </c>
      <c r="B1003" s="6" t="str">
        <f>IF(ISNA(MATCH(994,'Transfer Engine'!$C$2:$C$1199,0)),"",INDEX('Compliance Database'!$B$2:$B$1199,MATCH(994,'Transfer Engine'!$C$2:$C$1199,0)))</f>
        <v/>
      </c>
      <c r="C1003" s="6" t="str">
        <f>IF(ISNA(MATCH(994,'Transfer Engine'!$C$2:$C$1199,0)),"",INDEX('Compliance Database'!$C$2:$C$1199,MATCH(994,'Transfer Engine'!$C$2:$C$1199,0)))</f>
        <v/>
      </c>
      <c r="D1003" s="7" t="str">
        <f>IF(ISNA(MATCH(994,'Transfer Engine'!$C$2:$C$1199,0)),"",INDEX('Compliance Database'!$D$2:$D$1199,MATCH(994,'Transfer Engine'!$C$2:$C$1199,0)))</f>
        <v/>
      </c>
      <c r="E1003" s="6" t="str">
        <f>IF(ISNA(MATCH(994,'Transfer Engine'!$C$2:$C$1199,0)),"",INDEX('Compliance Database'!$E$2:$E$1199,MATCH(994,'Transfer Engine'!$C$2:$C$1199,0)))</f>
        <v/>
      </c>
      <c r="F1003" s="6" t="str">
        <f>IF(ISNA(MATCH(994,'Transfer Engine'!$C$2:$C$1199,0)),"",INDEX('Compliance Database'!$F$2:$F$1199,MATCH(994,'Transfer Engine'!$C$2:$C$1199,0)))</f>
        <v/>
      </c>
      <c r="G1003" s="6" t="str">
        <f>IF(ISNA(MATCH(994,'Transfer Engine'!$C$2:$C$1199,0)),"",INDEX('Compliance Database'!$G$2:$G$1199,MATCH(994,'Transfer Engine'!$C$2:$C$1199,0)))</f>
        <v/>
      </c>
      <c r="H1003" s="7" t="str">
        <f>IF(ISNA(MATCH(994,'Transfer Engine'!$C$2:$C$1199,0)),"",INDEX('Compliance Database'!$H$2:$H$1199,MATCH(994,'Transfer Engine'!$C$2:$C$1199,0)))</f>
        <v/>
      </c>
      <c r="I1003" s="7" t="str">
        <f>IF(ISNA(MATCH(994,'Transfer Engine'!$C$2:$C$1199,0)),"",INDEX('Compliance Database'!$I$2:$I$1199,MATCH(994,'Transfer Engine'!$C$2:$C$1199,0)))</f>
        <v/>
      </c>
      <c r="J1003" s="6" t="str">
        <f>IF(ISNA(MATCH(994,'Transfer Engine'!$C$2:$C$1199,0)),"",INDEX('Compliance Database'!$J$2:$J$1199,MATCH(994,'Transfer Engine'!$C$2:$C$1199,0)))</f>
        <v/>
      </c>
      <c r="K1003" s="7" t="str">
        <f>IF(ISNA(MATCH(994,'Transfer Engine'!$C$2:$C$1199,0)),"",INDEX('Compliance Database'!$K$2:$K$1199,MATCH(994,'Transfer Engine'!$C$2:$C$1199,0)))</f>
        <v/>
      </c>
      <c r="L1003" s="7" t="str">
        <f>IF(ISNA(MATCH(994,'Transfer Engine'!$C$2:$C$1199,0)),"",INDEX('Compliance Database'!$L$2:$L$1199,MATCH(994,'Transfer Engine'!$C$2:$C$1199,0)))</f>
        <v/>
      </c>
      <c r="M1003" s="7" t="str">
        <f>IF(ISNA(MATCH(994,'Transfer Engine'!$C$2:$C$1199,0)),"",INDEX('Compliance Database'!$M$2:$M$1199,MATCH(994,'Transfer Engine'!$C$2:$C$1199,0)))</f>
        <v/>
      </c>
      <c r="N1003" s="7" t="str">
        <f>IF(ISNA(MATCH(994,'Transfer Engine'!$C$2:$C$1199,0)),"",INDEX('Compliance Database'!$N$2:$N$1199,MATCH(994,'Transfer Engine'!$C$2:$C$1199,0)))</f>
        <v/>
      </c>
      <c r="O1003" s="7" t="str">
        <f>IF(ISNA(MATCH(994,'Transfer Engine'!$C$2:$C$1199,0)),"",INDEX('Compliance Database'!$O$2:$O$1199,MATCH(994,'Transfer Engine'!$C$2:$C$1199,0)))</f>
        <v/>
      </c>
      <c r="P1003" s="6" t="str">
        <f>IF(ISNA(MATCH(994,'Transfer Engine'!$C$2:$C$1199,0)),"",HYPERLINK("#Acts!A"&amp;INDEX('Compliance Database'!$P$2:$P$1199,MATCH(994,'Transfer Engine'!$C$2:$C$1199,0)),"Go to Act"))</f>
        <v/>
      </c>
    </row>
    <row r="1004" spans="1:16" ht="172.95" customHeight="1" x14ac:dyDescent="0.3">
      <c r="A1004" s="6" t="str">
        <f>IF(ISNA(MATCH(995,'Transfer Engine'!$C$2:$C$1199,0)),"",INDEX('Compliance Database'!$A$2:$A$1199,MATCH(995,'Transfer Engine'!$C$2:$C$1199,0)))</f>
        <v/>
      </c>
      <c r="B1004" s="6" t="str">
        <f>IF(ISNA(MATCH(995,'Transfer Engine'!$C$2:$C$1199,0)),"",INDEX('Compliance Database'!$B$2:$B$1199,MATCH(995,'Transfer Engine'!$C$2:$C$1199,0)))</f>
        <v/>
      </c>
      <c r="C1004" s="6" t="str">
        <f>IF(ISNA(MATCH(995,'Transfer Engine'!$C$2:$C$1199,0)),"",INDEX('Compliance Database'!$C$2:$C$1199,MATCH(995,'Transfer Engine'!$C$2:$C$1199,0)))</f>
        <v/>
      </c>
      <c r="D1004" s="7" t="str">
        <f>IF(ISNA(MATCH(995,'Transfer Engine'!$C$2:$C$1199,0)),"",INDEX('Compliance Database'!$D$2:$D$1199,MATCH(995,'Transfer Engine'!$C$2:$C$1199,0)))</f>
        <v/>
      </c>
      <c r="E1004" s="6" t="str">
        <f>IF(ISNA(MATCH(995,'Transfer Engine'!$C$2:$C$1199,0)),"",INDEX('Compliance Database'!$E$2:$E$1199,MATCH(995,'Transfer Engine'!$C$2:$C$1199,0)))</f>
        <v/>
      </c>
      <c r="F1004" s="6" t="str">
        <f>IF(ISNA(MATCH(995,'Transfer Engine'!$C$2:$C$1199,0)),"",INDEX('Compliance Database'!$F$2:$F$1199,MATCH(995,'Transfer Engine'!$C$2:$C$1199,0)))</f>
        <v/>
      </c>
      <c r="G1004" s="6" t="str">
        <f>IF(ISNA(MATCH(995,'Transfer Engine'!$C$2:$C$1199,0)),"",INDEX('Compliance Database'!$G$2:$G$1199,MATCH(995,'Transfer Engine'!$C$2:$C$1199,0)))</f>
        <v/>
      </c>
      <c r="H1004" s="7" t="str">
        <f>IF(ISNA(MATCH(995,'Transfer Engine'!$C$2:$C$1199,0)),"",INDEX('Compliance Database'!$H$2:$H$1199,MATCH(995,'Transfer Engine'!$C$2:$C$1199,0)))</f>
        <v/>
      </c>
      <c r="I1004" s="7" t="str">
        <f>IF(ISNA(MATCH(995,'Transfer Engine'!$C$2:$C$1199,0)),"",INDEX('Compliance Database'!$I$2:$I$1199,MATCH(995,'Transfer Engine'!$C$2:$C$1199,0)))</f>
        <v/>
      </c>
      <c r="J1004" s="6" t="str">
        <f>IF(ISNA(MATCH(995,'Transfer Engine'!$C$2:$C$1199,0)),"",INDEX('Compliance Database'!$J$2:$J$1199,MATCH(995,'Transfer Engine'!$C$2:$C$1199,0)))</f>
        <v/>
      </c>
      <c r="K1004" s="7" t="str">
        <f>IF(ISNA(MATCH(995,'Transfer Engine'!$C$2:$C$1199,0)),"",INDEX('Compliance Database'!$K$2:$K$1199,MATCH(995,'Transfer Engine'!$C$2:$C$1199,0)))</f>
        <v/>
      </c>
      <c r="L1004" s="7" t="str">
        <f>IF(ISNA(MATCH(995,'Transfer Engine'!$C$2:$C$1199,0)),"",INDEX('Compliance Database'!$L$2:$L$1199,MATCH(995,'Transfer Engine'!$C$2:$C$1199,0)))</f>
        <v/>
      </c>
      <c r="M1004" s="7" t="str">
        <f>IF(ISNA(MATCH(995,'Transfer Engine'!$C$2:$C$1199,0)),"",INDEX('Compliance Database'!$M$2:$M$1199,MATCH(995,'Transfer Engine'!$C$2:$C$1199,0)))</f>
        <v/>
      </c>
      <c r="N1004" s="7" t="str">
        <f>IF(ISNA(MATCH(995,'Transfer Engine'!$C$2:$C$1199,0)),"",INDEX('Compliance Database'!$N$2:$N$1199,MATCH(995,'Transfer Engine'!$C$2:$C$1199,0)))</f>
        <v/>
      </c>
      <c r="O1004" s="7" t="str">
        <f>IF(ISNA(MATCH(995,'Transfer Engine'!$C$2:$C$1199,0)),"",INDEX('Compliance Database'!$O$2:$O$1199,MATCH(995,'Transfer Engine'!$C$2:$C$1199,0)))</f>
        <v/>
      </c>
      <c r="P1004" s="6" t="str">
        <f>IF(ISNA(MATCH(995,'Transfer Engine'!$C$2:$C$1199,0)),"",HYPERLINK("#Acts!A"&amp;INDEX('Compliance Database'!$P$2:$P$1199,MATCH(995,'Transfer Engine'!$C$2:$C$1199,0)),"Go to Act"))</f>
        <v/>
      </c>
    </row>
    <row r="1005" spans="1:16" ht="172.95" customHeight="1" x14ac:dyDescent="0.3">
      <c r="A1005" s="6" t="str">
        <f>IF(ISNA(MATCH(996,'Transfer Engine'!$C$2:$C$1199,0)),"",INDEX('Compliance Database'!$A$2:$A$1199,MATCH(996,'Transfer Engine'!$C$2:$C$1199,0)))</f>
        <v/>
      </c>
      <c r="B1005" s="6" t="str">
        <f>IF(ISNA(MATCH(996,'Transfer Engine'!$C$2:$C$1199,0)),"",INDEX('Compliance Database'!$B$2:$B$1199,MATCH(996,'Transfer Engine'!$C$2:$C$1199,0)))</f>
        <v/>
      </c>
      <c r="C1005" s="6" t="str">
        <f>IF(ISNA(MATCH(996,'Transfer Engine'!$C$2:$C$1199,0)),"",INDEX('Compliance Database'!$C$2:$C$1199,MATCH(996,'Transfer Engine'!$C$2:$C$1199,0)))</f>
        <v/>
      </c>
      <c r="D1005" s="7" t="str">
        <f>IF(ISNA(MATCH(996,'Transfer Engine'!$C$2:$C$1199,0)),"",INDEX('Compliance Database'!$D$2:$D$1199,MATCH(996,'Transfer Engine'!$C$2:$C$1199,0)))</f>
        <v/>
      </c>
      <c r="E1005" s="6" t="str">
        <f>IF(ISNA(MATCH(996,'Transfer Engine'!$C$2:$C$1199,0)),"",INDEX('Compliance Database'!$E$2:$E$1199,MATCH(996,'Transfer Engine'!$C$2:$C$1199,0)))</f>
        <v/>
      </c>
      <c r="F1005" s="6" t="str">
        <f>IF(ISNA(MATCH(996,'Transfer Engine'!$C$2:$C$1199,0)),"",INDEX('Compliance Database'!$F$2:$F$1199,MATCH(996,'Transfer Engine'!$C$2:$C$1199,0)))</f>
        <v/>
      </c>
      <c r="G1005" s="6" t="str">
        <f>IF(ISNA(MATCH(996,'Transfer Engine'!$C$2:$C$1199,0)),"",INDEX('Compliance Database'!$G$2:$G$1199,MATCH(996,'Transfer Engine'!$C$2:$C$1199,0)))</f>
        <v/>
      </c>
      <c r="H1005" s="7" t="str">
        <f>IF(ISNA(MATCH(996,'Transfer Engine'!$C$2:$C$1199,0)),"",INDEX('Compliance Database'!$H$2:$H$1199,MATCH(996,'Transfer Engine'!$C$2:$C$1199,0)))</f>
        <v/>
      </c>
      <c r="I1005" s="7" t="str">
        <f>IF(ISNA(MATCH(996,'Transfer Engine'!$C$2:$C$1199,0)),"",INDEX('Compliance Database'!$I$2:$I$1199,MATCH(996,'Transfer Engine'!$C$2:$C$1199,0)))</f>
        <v/>
      </c>
      <c r="J1005" s="6" t="str">
        <f>IF(ISNA(MATCH(996,'Transfer Engine'!$C$2:$C$1199,0)),"",INDEX('Compliance Database'!$J$2:$J$1199,MATCH(996,'Transfer Engine'!$C$2:$C$1199,0)))</f>
        <v/>
      </c>
      <c r="K1005" s="7" t="str">
        <f>IF(ISNA(MATCH(996,'Transfer Engine'!$C$2:$C$1199,0)),"",INDEX('Compliance Database'!$K$2:$K$1199,MATCH(996,'Transfer Engine'!$C$2:$C$1199,0)))</f>
        <v/>
      </c>
      <c r="L1005" s="7" t="str">
        <f>IF(ISNA(MATCH(996,'Transfer Engine'!$C$2:$C$1199,0)),"",INDEX('Compliance Database'!$L$2:$L$1199,MATCH(996,'Transfer Engine'!$C$2:$C$1199,0)))</f>
        <v/>
      </c>
      <c r="M1005" s="7" t="str">
        <f>IF(ISNA(MATCH(996,'Transfer Engine'!$C$2:$C$1199,0)),"",INDEX('Compliance Database'!$M$2:$M$1199,MATCH(996,'Transfer Engine'!$C$2:$C$1199,0)))</f>
        <v/>
      </c>
      <c r="N1005" s="7" t="str">
        <f>IF(ISNA(MATCH(996,'Transfer Engine'!$C$2:$C$1199,0)),"",INDEX('Compliance Database'!$N$2:$N$1199,MATCH(996,'Transfer Engine'!$C$2:$C$1199,0)))</f>
        <v/>
      </c>
      <c r="O1005" s="7" t="str">
        <f>IF(ISNA(MATCH(996,'Transfer Engine'!$C$2:$C$1199,0)),"",INDEX('Compliance Database'!$O$2:$O$1199,MATCH(996,'Transfer Engine'!$C$2:$C$1199,0)))</f>
        <v/>
      </c>
      <c r="P1005" s="6" t="str">
        <f>IF(ISNA(MATCH(996,'Transfer Engine'!$C$2:$C$1199,0)),"",HYPERLINK("#Acts!A"&amp;INDEX('Compliance Database'!$P$2:$P$1199,MATCH(996,'Transfer Engine'!$C$2:$C$1199,0)),"Go to Act"))</f>
        <v/>
      </c>
    </row>
    <row r="1006" spans="1:16" ht="172.95" customHeight="1" x14ac:dyDescent="0.3">
      <c r="A1006" s="6" t="str">
        <f>IF(ISNA(MATCH(997,'Transfer Engine'!$C$2:$C$1199,0)),"",INDEX('Compliance Database'!$A$2:$A$1199,MATCH(997,'Transfer Engine'!$C$2:$C$1199,0)))</f>
        <v/>
      </c>
      <c r="B1006" s="6" t="str">
        <f>IF(ISNA(MATCH(997,'Transfer Engine'!$C$2:$C$1199,0)),"",INDEX('Compliance Database'!$B$2:$B$1199,MATCH(997,'Transfer Engine'!$C$2:$C$1199,0)))</f>
        <v/>
      </c>
      <c r="C1006" s="6" t="str">
        <f>IF(ISNA(MATCH(997,'Transfer Engine'!$C$2:$C$1199,0)),"",INDEX('Compliance Database'!$C$2:$C$1199,MATCH(997,'Transfer Engine'!$C$2:$C$1199,0)))</f>
        <v/>
      </c>
      <c r="D1006" s="7" t="str">
        <f>IF(ISNA(MATCH(997,'Transfer Engine'!$C$2:$C$1199,0)),"",INDEX('Compliance Database'!$D$2:$D$1199,MATCH(997,'Transfer Engine'!$C$2:$C$1199,0)))</f>
        <v/>
      </c>
      <c r="E1006" s="6" t="str">
        <f>IF(ISNA(MATCH(997,'Transfer Engine'!$C$2:$C$1199,0)),"",INDEX('Compliance Database'!$E$2:$E$1199,MATCH(997,'Transfer Engine'!$C$2:$C$1199,0)))</f>
        <v/>
      </c>
      <c r="F1006" s="6" t="str">
        <f>IF(ISNA(MATCH(997,'Transfer Engine'!$C$2:$C$1199,0)),"",INDEX('Compliance Database'!$F$2:$F$1199,MATCH(997,'Transfer Engine'!$C$2:$C$1199,0)))</f>
        <v/>
      </c>
      <c r="G1006" s="6" t="str">
        <f>IF(ISNA(MATCH(997,'Transfer Engine'!$C$2:$C$1199,0)),"",INDEX('Compliance Database'!$G$2:$G$1199,MATCH(997,'Transfer Engine'!$C$2:$C$1199,0)))</f>
        <v/>
      </c>
      <c r="H1006" s="7" t="str">
        <f>IF(ISNA(MATCH(997,'Transfer Engine'!$C$2:$C$1199,0)),"",INDEX('Compliance Database'!$H$2:$H$1199,MATCH(997,'Transfer Engine'!$C$2:$C$1199,0)))</f>
        <v/>
      </c>
      <c r="I1006" s="7" t="str">
        <f>IF(ISNA(MATCH(997,'Transfer Engine'!$C$2:$C$1199,0)),"",INDEX('Compliance Database'!$I$2:$I$1199,MATCH(997,'Transfer Engine'!$C$2:$C$1199,0)))</f>
        <v/>
      </c>
      <c r="J1006" s="6" t="str">
        <f>IF(ISNA(MATCH(997,'Transfer Engine'!$C$2:$C$1199,0)),"",INDEX('Compliance Database'!$J$2:$J$1199,MATCH(997,'Transfer Engine'!$C$2:$C$1199,0)))</f>
        <v/>
      </c>
      <c r="K1006" s="7" t="str">
        <f>IF(ISNA(MATCH(997,'Transfer Engine'!$C$2:$C$1199,0)),"",INDEX('Compliance Database'!$K$2:$K$1199,MATCH(997,'Transfer Engine'!$C$2:$C$1199,0)))</f>
        <v/>
      </c>
      <c r="L1006" s="7" t="str">
        <f>IF(ISNA(MATCH(997,'Transfer Engine'!$C$2:$C$1199,0)),"",INDEX('Compliance Database'!$L$2:$L$1199,MATCH(997,'Transfer Engine'!$C$2:$C$1199,0)))</f>
        <v/>
      </c>
      <c r="M1006" s="7" t="str">
        <f>IF(ISNA(MATCH(997,'Transfer Engine'!$C$2:$C$1199,0)),"",INDEX('Compliance Database'!$M$2:$M$1199,MATCH(997,'Transfer Engine'!$C$2:$C$1199,0)))</f>
        <v/>
      </c>
      <c r="N1006" s="7" t="str">
        <f>IF(ISNA(MATCH(997,'Transfer Engine'!$C$2:$C$1199,0)),"",INDEX('Compliance Database'!$N$2:$N$1199,MATCH(997,'Transfer Engine'!$C$2:$C$1199,0)))</f>
        <v/>
      </c>
      <c r="O1006" s="7" t="str">
        <f>IF(ISNA(MATCH(997,'Transfer Engine'!$C$2:$C$1199,0)),"",INDEX('Compliance Database'!$O$2:$O$1199,MATCH(997,'Transfer Engine'!$C$2:$C$1199,0)))</f>
        <v/>
      </c>
      <c r="P1006" s="6" t="str">
        <f>IF(ISNA(MATCH(997,'Transfer Engine'!$C$2:$C$1199,0)),"",HYPERLINK("#Acts!A"&amp;INDEX('Compliance Database'!$P$2:$P$1199,MATCH(997,'Transfer Engine'!$C$2:$C$1199,0)),"Go to Act"))</f>
        <v/>
      </c>
    </row>
    <row r="1007" spans="1:16" ht="172.95" customHeight="1" x14ac:dyDescent="0.3">
      <c r="A1007" s="6" t="str">
        <f>IF(ISNA(MATCH(998,'Transfer Engine'!$C$2:$C$1199,0)),"",INDEX('Compliance Database'!$A$2:$A$1199,MATCH(998,'Transfer Engine'!$C$2:$C$1199,0)))</f>
        <v/>
      </c>
      <c r="B1007" s="6" t="str">
        <f>IF(ISNA(MATCH(998,'Transfer Engine'!$C$2:$C$1199,0)),"",INDEX('Compliance Database'!$B$2:$B$1199,MATCH(998,'Transfer Engine'!$C$2:$C$1199,0)))</f>
        <v/>
      </c>
      <c r="C1007" s="6" t="str">
        <f>IF(ISNA(MATCH(998,'Transfer Engine'!$C$2:$C$1199,0)),"",INDEX('Compliance Database'!$C$2:$C$1199,MATCH(998,'Transfer Engine'!$C$2:$C$1199,0)))</f>
        <v/>
      </c>
      <c r="D1007" s="7" t="str">
        <f>IF(ISNA(MATCH(998,'Transfer Engine'!$C$2:$C$1199,0)),"",INDEX('Compliance Database'!$D$2:$D$1199,MATCH(998,'Transfer Engine'!$C$2:$C$1199,0)))</f>
        <v/>
      </c>
      <c r="E1007" s="6" t="str">
        <f>IF(ISNA(MATCH(998,'Transfer Engine'!$C$2:$C$1199,0)),"",INDEX('Compliance Database'!$E$2:$E$1199,MATCH(998,'Transfer Engine'!$C$2:$C$1199,0)))</f>
        <v/>
      </c>
      <c r="F1007" s="6" t="str">
        <f>IF(ISNA(MATCH(998,'Transfer Engine'!$C$2:$C$1199,0)),"",INDEX('Compliance Database'!$F$2:$F$1199,MATCH(998,'Transfer Engine'!$C$2:$C$1199,0)))</f>
        <v/>
      </c>
      <c r="G1007" s="6" t="str">
        <f>IF(ISNA(MATCH(998,'Transfer Engine'!$C$2:$C$1199,0)),"",INDEX('Compliance Database'!$G$2:$G$1199,MATCH(998,'Transfer Engine'!$C$2:$C$1199,0)))</f>
        <v/>
      </c>
      <c r="H1007" s="7" t="str">
        <f>IF(ISNA(MATCH(998,'Transfer Engine'!$C$2:$C$1199,0)),"",INDEX('Compliance Database'!$H$2:$H$1199,MATCH(998,'Transfer Engine'!$C$2:$C$1199,0)))</f>
        <v/>
      </c>
      <c r="I1007" s="7" t="str">
        <f>IF(ISNA(MATCH(998,'Transfer Engine'!$C$2:$C$1199,0)),"",INDEX('Compliance Database'!$I$2:$I$1199,MATCH(998,'Transfer Engine'!$C$2:$C$1199,0)))</f>
        <v/>
      </c>
      <c r="J1007" s="6" t="str">
        <f>IF(ISNA(MATCH(998,'Transfer Engine'!$C$2:$C$1199,0)),"",INDEX('Compliance Database'!$J$2:$J$1199,MATCH(998,'Transfer Engine'!$C$2:$C$1199,0)))</f>
        <v/>
      </c>
      <c r="K1007" s="7" t="str">
        <f>IF(ISNA(MATCH(998,'Transfer Engine'!$C$2:$C$1199,0)),"",INDEX('Compliance Database'!$K$2:$K$1199,MATCH(998,'Transfer Engine'!$C$2:$C$1199,0)))</f>
        <v/>
      </c>
      <c r="L1007" s="7" t="str">
        <f>IF(ISNA(MATCH(998,'Transfer Engine'!$C$2:$C$1199,0)),"",INDEX('Compliance Database'!$L$2:$L$1199,MATCH(998,'Transfer Engine'!$C$2:$C$1199,0)))</f>
        <v/>
      </c>
      <c r="M1007" s="7" t="str">
        <f>IF(ISNA(MATCH(998,'Transfer Engine'!$C$2:$C$1199,0)),"",INDEX('Compliance Database'!$M$2:$M$1199,MATCH(998,'Transfer Engine'!$C$2:$C$1199,0)))</f>
        <v/>
      </c>
      <c r="N1007" s="7" t="str">
        <f>IF(ISNA(MATCH(998,'Transfer Engine'!$C$2:$C$1199,0)),"",INDEX('Compliance Database'!$N$2:$N$1199,MATCH(998,'Transfer Engine'!$C$2:$C$1199,0)))</f>
        <v/>
      </c>
      <c r="O1007" s="7" t="str">
        <f>IF(ISNA(MATCH(998,'Transfer Engine'!$C$2:$C$1199,0)),"",INDEX('Compliance Database'!$O$2:$O$1199,MATCH(998,'Transfer Engine'!$C$2:$C$1199,0)))</f>
        <v/>
      </c>
      <c r="P1007" s="6" t="str">
        <f>IF(ISNA(MATCH(998,'Transfer Engine'!$C$2:$C$1199,0)),"",HYPERLINK("#Acts!A"&amp;INDEX('Compliance Database'!$P$2:$P$1199,MATCH(998,'Transfer Engine'!$C$2:$C$1199,0)),"Go to Act"))</f>
        <v/>
      </c>
    </row>
    <row r="1008" spans="1:16" ht="172.95" customHeight="1" x14ac:dyDescent="0.3">
      <c r="A1008" s="6" t="str">
        <f>IF(ISNA(MATCH(999,'Transfer Engine'!$C$2:$C$1199,0)),"",INDEX('Compliance Database'!$A$2:$A$1199,MATCH(999,'Transfer Engine'!$C$2:$C$1199,0)))</f>
        <v/>
      </c>
      <c r="B1008" s="6" t="str">
        <f>IF(ISNA(MATCH(999,'Transfer Engine'!$C$2:$C$1199,0)),"",INDEX('Compliance Database'!$B$2:$B$1199,MATCH(999,'Transfer Engine'!$C$2:$C$1199,0)))</f>
        <v/>
      </c>
      <c r="C1008" s="6" t="str">
        <f>IF(ISNA(MATCH(999,'Transfer Engine'!$C$2:$C$1199,0)),"",INDEX('Compliance Database'!$C$2:$C$1199,MATCH(999,'Transfer Engine'!$C$2:$C$1199,0)))</f>
        <v/>
      </c>
      <c r="D1008" s="7" t="str">
        <f>IF(ISNA(MATCH(999,'Transfer Engine'!$C$2:$C$1199,0)),"",INDEX('Compliance Database'!$D$2:$D$1199,MATCH(999,'Transfer Engine'!$C$2:$C$1199,0)))</f>
        <v/>
      </c>
      <c r="E1008" s="6" t="str">
        <f>IF(ISNA(MATCH(999,'Transfer Engine'!$C$2:$C$1199,0)),"",INDEX('Compliance Database'!$E$2:$E$1199,MATCH(999,'Transfer Engine'!$C$2:$C$1199,0)))</f>
        <v/>
      </c>
      <c r="F1008" s="6" t="str">
        <f>IF(ISNA(MATCH(999,'Transfer Engine'!$C$2:$C$1199,0)),"",INDEX('Compliance Database'!$F$2:$F$1199,MATCH(999,'Transfer Engine'!$C$2:$C$1199,0)))</f>
        <v/>
      </c>
      <c r="G1008" s="6" t="str">
        <f>IF(ISNA(MATCH(999,'Transfer Engine'!$C$2:$C$1199,0)),"",INDEX('Compliance Database'!$G$2:$G$1199,MATCH(999,'Transfer Engine'!$C$2:$C$1199,0)))</f>
        <v/>
      </c>
      <c r="H1008" s="7" t="str">
        <f>IF(ISNA(MATCH(999,'Transfer Engine'!$C$2:$C$1199,0)),"",INDEX('Compliance Database'!$H$2:$H$1199,MATCH(999,'Transfer Engine'!$C$2:$C$1199,0)))</f>
        <v/>
      </c>
      <c r="I1008" s="7" t="str">
        <f>IF(ISNA(MATCH(999,'Transfer Engine'!$C$2:$C$1199,0)),"",INDEX('Compliance Database'!$I$2:$I$1199,MATCH(999,'Transfer Engine'!$C$2:$C$1199,0)))</f>
        <v/>
      </c>
      <c r="J1008" s="6" t="str">
        <f>IF(ISNA(MATCH(999,'Transfer Engine'!$C$2:$C$1199,0)),"",INDEX('Compliance Database'!$J$2:$J$1199,MATCH(999,'Transfer Engine'!$C$2:$C$1199,0)))</f>
        <v/>
      </c>
      <c r="K1008" s="7" t="str">
        <f>IF(ISNA(MATCH(999,'Transfer Engine'!$C$2:$C$1199,0)),"",INDEX('Compliance Database'!$K$2:$K$1199,MATCH(999,'Transfer Engine'!$C$2:$C$1199,0)))</f>
        <v/>
      </c>
      <c r="L1008" s="7" t="str">
        <f>IF(ISNA(MATCH(999,'Transfer Engine'!$C$2:$C$1199,0)),"",INDEX('Compliance Database'!$L$2:$L$1199,MATCH(999,'Transfer Engine'!$C$2:$C$1199,0)))</f>
        <v/>
      </c>
      <c r="M1008" s="7" t="str">
        <f>IF(ISNA(MATCH(999,'Transfer Engine'!$C$2:$C$1199,0)),"",INDEX('Compliance Database'!$M$2:$M$1199,MATCH(999,'Transfer Engine'!$C$2:$C$1199,0)))</f>
        <v/>
      </c>
      <c r="N1008" s="7" t="str">
        <f>IF(ISNA(MATCH(999,'Transfer Engine'!$C$2:$C$1199,0)),"",INDEX('Compliance Database'!$N$2:$N$1199,MATCH(999,'Transfer Engine'!$C$2:$C$1199,0)))</f>
        <v/>
      </c>
      <c r="O1008" s="7" t="str">
        <f>IF(ISNA(MATCH(999,'Transfer Engine'!$C$2:$C$1199,0)),"",INDEX('Compliance Database'!$O$2:$O$1199,MATCH(999,'Transfer Engine'!$C$2:$C$1199,0)))</f>
        <v/>
      </c>
      <c r="P1008" s="6" t="str">
        <f>IF(ISNA(MATCH(999,'Transfer Engine'!$C$2:$C$1199,0)),"",HYPERLINK("#Acts!A"&amp;INDEX('Compliance Database'!$P$2:$P$1199,MATCH(999,'Transfer Engine'!$C$2:$C$1199,0)),"Go to Act"))</f>
        <v/>
      </c>
    </row>
    <row r="1009" spans="1:16" ht="172.95" customHeight="1" x14ac:dyDescent="0.3">
      <c r="A1009" s="6" t="str">
        <f>IF(ISNA(MATCH(1000,'Transfer Engine'!$C$2:$C$1199,0)),"",INDEX('Compliance Database'!$A$2:$A$1199,MATCH(1000,'Transfer Engine'!$C$2:$C$1199,0)))</f>
        <v/>
      </c>
      <c r="B1009" s="6" t="str">
        <f>IF(ISNA(MATCH(1000,'Transfer Engine'!$C$2:$C$1199,0)),"",INDEX('Compliance Database'!$B$2:$B$1199,MATCH(1000,'Transfer Engine'!$C$2:$C$1199,0)))</f>
        <v/>
      </c>
      <c r="C1009" s="6" t="str">
        <f>IF(ISNA(MATCH(1000,'Transfer Engine'!$C$2:$C$1199,0)),"",INDEX('Compliance Database'!$C$2:$C$1199,MATCH(1000,'Transfer Engine'!$C$2:$C$1199,0)))</f>
        <v/>
      </c>
      <c r="D1009" s="7" t="str">
        <f>IF(ISNA(MATCH(1000,'Transfer Engine'!$C$2:$C$1199,0)),"",INDEX('Compliance Database'!$D$2:$D$1199,MATCH(1000,'Transfer Engine'!$C$2:$C$1199,0)))</f>
        <v/>
      </c>
      <c r="E1009" s="6" t="str">
        <f>IF(ISNA(MATCH(1000,'Transfer Engine'!$C$2:$C$1199,0)),"",INDEX('Compliance Database'!$E$2:$E$1199,MATCH(1000,'Transfer Engine'!$C$2:$C$1199,0)))</f>
        <v/>
      </c>
      <c r="F1009" s="6" t="str">
        <f>IF(ISNA(MATCH(1000,'Transfer Engine'!$C$2:$C$1199,0)),"",INDEX('Compliance Database'!$F$2:$F$1199,MATCH(1000,'Transfer Engine'!$C$2:$C$1199,0)))</f>
        <v/>
      </c>
      <c r="G1009" s="6" t="str">
        <f>IF(ISNA(MATCH(1000,'Transfer Engine'!$C$2:$C$1199,0)),"",INDEX('Compliance Database'!$G$2:$G$1199,MATCH(1000,'Transfer Engine'!$C$2:$C$1199,0)))</f>
        <v/>
      </c>
      <c r="H1009" s="7" t="str">
        <f>IF(ISNA(MATCH(1000,'Transfer Engine'!$C$2:$C$1199,0)),"",INDEX('Compliance Database'!$H$2:$H$1199,MATCH(1000,'Transfer Engine'!$C$2:$C$1199,0)))</f>
        <v/>
      </c>
      <c r="I1009" s="7" t="str">
        <f>IF(ISNA(MATCH(1000,'Transfer Engine'!$C$2:$C$1199,0)),"",INDEX('Compliance Database'!$I$2:$I$1199,MATCH(1000,'Transfer Engine'!$C$2:$C$1199,0)))</f>
        <v/>
      </c>
      <c r="J1009" s="6" t="str">
        <f>IF(ISNA(MATCH(1000,'Transfer Engine'!$C$2:$C$1199,0)),"",INDEX('Compliance Database'!$J$2:$J$1199,MATCH(1000,'Transfer Engine'!$C$2:$C$1199,0)))</f>
        <v/>
      </c>
      <c r="K1009" s="7" t="str">
        <f>IF(ISNA(MATCH(1000,'Transfer Engine'!$C$2:$C$1199,0)),"",INDEX('Compliance Database'!$K$2:$K$1199,MATCH(1000,'Transfer Engine'!$C$2:$C$1199,0)))</f>
        <v/>
      </c>
      <c r="L1009" s="7" t="str">
        <f>IF(ISNA(MATCH(1000,'Transfer Engine'!$C$2:$C$1199,0)),"",INDEX('Compliance Database'!$L$2:$L$1199,MATCH(1000,'Transfer Engine'!$C$2:$C$1199,0)))</f>
        <v/>
      </c>
      <c r="M1009" s="7" t="str">
        <f>IF(ISNA(MATCH(1000,'Transfer Engine'!$C$2:$C$1199,0)),"",INDEX('Compliance Database'!$M$2:$M$1199,MATCH(1000,'Transfer Engine'!$C$2:$C$1199,0)))</f>
        <v/>
      </c>
      <c r="N1009" s="7" t="str">
        <f>IF(ISNA(MATCH(1000,'Transfer Engine'!$C$2:$C$1199,0)),"",INDEX('Compliance Database'!$N$2:$N$1199,MATCH(1000,'Transfer Engine'!$C$2:$C$1199,0)))</f>
        <v/>
      </c>
      <c r="O1009" s="7" t="str">
        <f>IF(ISNA(MATCH(1000,'Transfer Engine'!$C$2:$C$1199,0)),"",INDEX('Compliance Database'!$O$2:$O$1199,MATCH(1000,'Transfer Engine'!$C$2:$C$1199,0)))</f>
        <v/>
      </c>
      <c r="P1009" s="6" t="str">
        <f>IF(ISNA(MATCH(1000,'Transfer Engine'!$C$2:$C$1199,0)),"",HYPERLINK("#Acts!A"&amp;INDEX('Compliance Database'!$P$2:$P$1199,MATCH(1000,'Transfer Engine'!$C$2:$C$1199,0)),"Go to Act"))</f>
        <v/>
      </c>
    </row>
    <row r="1010" spans="1:16" ht="172.95" customHeight="1" x14ac:dyDescent="0.3">
      <c r="A1010" s="6" t="str">
        <f>IF(ISNA(MATCH(1001,'Transfer Engine'!$C$2:$C$1199,0)),"",INDEX('Compliance Database'!$A$2:$A$1199,MATCH(1001,'Transfer Engine'!$C$2:$C$1199,0)))</f>
        <v/>
      </c>
      <c r="B1010" s="6" t="str">
        <f>IF(ISNA(MATCH(1001,'Transfer Engine'!$C$2:$C$1199,0)),"",INDEX('Compliance Database'!$B$2:$B$1199,MATCH(1001,'Transfer Engine'!$C$2:$C$1199,0)))</f>
        <v/>
      </c>
      <c r="C1010" s="6" t="str">
        <f>IF(ISNA(MATCH(1001,'Transfer Engine'!$C$2:$C$1199,0)),"",INDEX('Compliance Database'!$C$2:$C$1199,MATCH(1001,'Transfer Engine'!$C$2:$C$1199,0)))</f>
        <v/>
      </c>
      <c r="D1010" s="7" t="str">
        <f>IF(ISNA(MATCH(1001,'Transfer Engine'!$C$2:$C$1199,0)),"",INDEX('Compliance Database'!$D$2:$D$1199,MATCH(1001,'Transfer Engine'!$C$2:$C$1199,0)))</f>
        <v/>
      </c>
      <c r="E1010" s="6" t="str">
        <f>IF(ISNA(MATCH(1001,'Transfer Engine'!$C$2:$C$1199,0)),"",INDEX('Compliance Database'!$E$2:$E$1199,MATCH(1001,'Transfer Engine'!$C$2:$C$1199,0)))</f>
        <v/>
      </c>
      <c r="F1010" s="6" t="str">
        <f>IF(ISNA(MATCH(1001,'Transfer Engine'!$C$2:$C$1199,0)),"",INDEX('Compliance Database'!$F$2:$F$1199,MATCH(1001,'Transfer Engine'!$C$2:$C$1199,0)))</f>
        <v/>
      </c>
      <c r="G1010" s="6" t="str">
        <f>IF(ISNA(MATCH(1001,'Transfer Engine'!$C$2:$C$1199,0)),"",INDEX('Compliance Database'!$G$2:$G$1199,MATCH(1001,'Transfer Engine'!$C$2:$C$1199,0)))</f>
        <v/>
      </c>
      <c r="H1010" s="7" t="str">
        <f>IF(ISNA(MATCH(1001,'Transfer Engine'!$C$2:$C$1199,0)),"",INDEX('Compliance Database'!$H$2:$H$1199,MATCH(1001,'Transfer Engine'!$C$2:$C$1199,0)))</f>
        <v/>
      </c>
      <c r="I1010" s="7" t="str">
        <f>IF(ISNA(MATCH(1001,'Transfer Engine'!$C$2:$C$1199,0)),"",INDEX('Compliance Database'!$I$2:$I$1199,MATCH(1001,'Transfer Engine'!$C$2:$C$1199,0)))</f>
        <v/>
      </c>
      <c r="J1010" s="6" t="str">
        <f>IF(ISNA(MATCH(1001,'Transfer Engine'!$C$2:$C$1199,0)),"",INDEX('Compliance Database'!$J$2:$J$1199,MATCH(1001,'Transfer Engine'!$C$2:$C$1199,0)))</f>
        <v/>
      </c>
      <c r="K1010" s="7" t="str">
        <f>IF(ISNA(MATCH(1001,'Transfer Engine'!$C$2:$C$1199,0)),"",INDEX('Compliance Database'!$K$2:$K$1199,MATCH(1001,'Transfer Engine'!$C$2:$C$1199,0)))</f>
        <v/>
      </c>
      <c r="L1010" s="7" t="str">
        <f>IF(ISNA(MATCH(1001,'Transfer Engine'!$C$2:$C$1199,0)),"",INDEX('Compliance Database'!$L$2:$L$1199,MATCH(1001,'Transfer Engine'!$C$2:$C$1199,0)))</f>
        <v/>
      </c>
      <c r="M1010" s="7" t="str">
        <f>IF(ISNA(MATCH(1001,'Transfer Engine'!$C$2:$C$1199,0)),"",INDEX('Compliance Database'!$M$2:$M$1199,MATCH(1001,'Transfer Engine'!$C$2:$C$1199,0)))</f>
        <v/>
      </c>
      <c r="N1010" s="7" t="str">
        <f>IF(ISNA(MATCH(1001,'Transfer Engine'!$C$2:$C$1199,0)),"",INDEX('Compliance Database'!$N$2:$N$1199,MATCH(1001,'Transfer Engine'!$C$2:$C$1199,0)))</f>
        <v/>
      </c>
      <c r="O1010" s="7" t="str">
        <f>IF(ISNA(MATCH(1001,'Transfer Engine'!$C$2:$C$1199,0)),"",INDEX('Compliance Database'!$O$2:$O$1199,MATCH(1001,'Transfer Engine'!$C$2:$C$1199,0)))</f>
        <v/>
      </c>
      <c r="P1010" s="6" t="str">
        <f>IF(ISNA(MATCH(1001,'Transfer Engine'!$C$2:$C$1199,0)),"",HYPERLINK("#Acts!A"&amp;INDEX('Compliance Database'!$P$2:$P$1199,MATCH(1001,'Transfer Engine'!$C$2:$C$1199,0)),"Go to Act"))</f>
        <v/>
      </c>
    </row>
    <row r="1011" spans="1:16" ht="172.95" customHeight="1" x14ac:dyDescent="0.3">
      <c r="A1011" s="6" t="str">
        <f>IF(ISNA(MATCH(1002,'Transfer Engine'!$C$2:$C$1199,0)),"",INDEX('Compliance Database'!$A$2:$A$1199,MATCH(1002,'Transfer Engine'!$C$2:$C$1199,0)))</f>
        <v/>
      </c>
      <c r="B1011" s="6" t="str">
        <f>IF(ISNA(MATCH(1002,'Transfer Engine'!$C$2:$C$1199,0)),"",INDEX('Compliance Database'!$B$2:$B$1199,MATCH(1002,'Transfer Engine'!$C$2:$C$1199,0)))</f>
        <v/>
      </c>
      <c r="C1011" s="6" t="str">
        <f>IF(ISNA(MATCH(1002,'Transfer Engine'!$C$2:$C$1199,0)),"",INDEX('Compliance Database'!$C$2:$C$1199,MATCH(1002,'Transfer Engine'!$C$2:$C$1199,0)))</f>
        <v/>
      </c>
      <c r="D1011" s="7" t="str">
        <f>IF(ISNA(MATCH(1002,'Transfer Engine'!$C$2:$C$1199,0)),"",INDEX('Compliance Database'!$D$2:$D$1199,MATCH(1002,'Transfer Engine'!$C$2:$C$1199,0)))</f>
        <v/>
      </c>
      <c r="E1011" s="6" t="str">
        <f>IF(ISNA(MATCH(1002,'Transfer Engine'!$C$2:$C$1199,0)),"",INDEX('Compliance Database'!$E$2:$E$1199,MATCH(1002,'Transfer Engine'!$C$2:$C$1199,0)))</f>
        <v/>
      </c>
      <c r="F1011" s="6" t="str">
        <f>IF(ISNA(MATCH(1002,'Transfer Engine'!$C$2:$C$1199,0)),"",INDEX('Compliance Database'!$F$2:$F$1199,MATCH(1002,'Transfer Engine'!$C$2:$C$1199,0)))</f>
        <v/>
      </c>
      <c r="G1011" s="6" t="str">
        <f>IF(ISNA(MATCH(1002,'Transfer Engine'!$C$2:$C$1199,0)),"",INDEX('Compliance Database'!$G$2:$G$1199,MATCH(1002,'Transfer Engine'!$C$2:$C$1199,0)))</f>
        <v/>
      </c>
      <c r="H1011" s="7" t="str">
        <f>IF(ISNA(MATCH(1002,'Transfer Engine'!$C$2:$C$1199,0)),"",INDEX('Compliance Database'!$H$2:$H$1199,MATCH(1002,'Transfer Engine'!$C$2:$C$1199,0)))</f>
        <v/>
      </c>
      <c r="I1011" s="7" t="str">
        <f>IF(ISNA(MATCH(1002,'Transfer Engine'!$C$2:$C$1199,0)),"",INDEX('Compliance Database'!$I$2:$I$1199,MATCH(1002,'Transfer Engine'!$C$2:$C$1199,0)))</f>
        <v/>
      </c>
      <c r="J1011" s="6" t="str">
        <f>IF(ISNA(MATCH(1002,'Transfer Engine'!$C$2:$C$1199,0)),"",INDEX('Compliance Database'!$J$2:$J$1199,MATCH(1002,'Transfer Engine'!$C$2:$C$1199,0)))</f>
        <v/>
      </c>
      <c r="K1011" s="7" t="str">
        <f>IF(ISNA(MATCH(1002,'Transfer Engine'!$C$2:$C$1199,0)),"",INDEX('Compliance Database'!$K$2:$K$1199,MATCH(1002,'Transfer Engine'!$C$2:$C$1199,0)))</f>
        <v/>
      </c>
      <c r="L1011" s="7" t="str">
        <f>IF(ISNA(MATCH(1002,'Transfer Engine'!$C$2:$C$1199,0)),"",INDEX('Compliance Database'!$L$2:$L$1199,MATCH(1002,'Transfer Engine'!$C$2:$C$1199,0)))</f>
        <v/>
      </c>
      <c r="M1011" s="7" t="str">
        <f>IF(ISNA(MATCH(1002,'Transfer Engine'!$C$2:$C$1199,0)),"",INDEX('Compliance Database'!$M$2:$M$1199,MATCH(1002,'Transfer Engine'!$C$2:$C$1199,0)))</f>
        <v/>
      </c>
      <c r="N1011" s="7" t="str">
        <f>IF(ISNA(MATCH(1002,'Transfer Engine'!$C$2:$C$1199,0)),"",INDEX('Compliance Database'!$N$2:$N$1199,MATCH(1002,'Transfer Engine'!$C$2:$C$1199,0)))</f>
        <v/>
      </c>
      <c r="O1011" s="7" t="str">
        <f>IF(ISNA(MATCH(1002,'Transfer Engine'!$C$2:$C$1199,0)),"",INDEX('Compliance Database'!$O$2:$O$1199,MATCH(1002,'Transfer Engine'!$C$2:$C$1199,0)))</f>
        <v/>
      </c>
      <c r="P1011" s="6" t="str">
        <f>IF(ISNA(MATCH(1002,'Transfer Engine'!$C$2:$C$1199,0)),"",HYPERLINK("#Acts!A"&amp;INDEX('Compliance Database'!$P$2:$P$1199,MATCH(1002,'Transfer Engine'!$C$2:$C$1199,0)),"Go to Act"))</f>
        <v/>
      </c>
    </row>
    <row r="1012" spans="1:16" ht="172.95" customHeight="1" x14ac:dyDescent="0.3">
      <c r="A1012" s="6" t="str">
        <f>IF(ISNA(MATCH(1003,'Transfer Engine'!$C$2:$C$1199,0)),"",INDEX('Compliance Database'!$A$2:$A$1199,MATCH(1003,'Transfer Engine'!$C$2:$C$1199,0)))</f>
        <v/>
      </c>
      <c r="B1012" s="6" t="str">
        <f>IF(ISNA(MATCH(1003,'Transfer Engine'!$C$2:$C$1199,0)),"",INDEX('Compliance Database'!$B$2:$B$1199,MATCH(1003,'Transfer Engine'!$C$2:$C$1199,0)))</f>
        <v/>
      </c>
      <c r="C1012" s="6" t="str">
        <f>IF(ISNA(MATCH(1003,'Transfer Engine'!$C$2:$C$1199,0)),"",INDEX('Compliance Database'!$C$2:$C$1199,MATCH(1003,'Transfer Engine'!$C$2:$C$1199,0)))</f>
        <v/>
      </c>
      <c r="D1012" s="7" t="str">
        <f>IF(ISNA(MATCH(1003,'Transfer Engine'!$C$2:$C$1199,0)),"",INDEX('Compliance Database'!$D$2:$D$1199,MATCH(1003,'Transfer Engine'!$C$2:$C$1199,0)))</f>
        <v/>
      </c>
      <c r="E1012" s="6" t="str">
        <f>IF(ISNA(MATCH(1003,'Transfer Engine'!$C$2:$C$1199,0)),"",INDEX('Compliance Database'!$E$2:$E$1199,MATCH(1003,'Transfer Engine'!$C$2:$C$1199,0)))</f>
        <v/>
      </c>
      <c r="F1012" s="6" t="str">
        <f>IF(ISNA(MATCH(1003,'Transfer Engine'!$C$2:$C$1199,0)),"",INDEX('Compliance Database'!$F$2:$F$1199,MATCH(1003,'Transfer Engine'!$C$2:$C$1199,0)))</f>
        <v/>
      </c>
      <c r="G1012" s="6" t="str">
        <f>IF(ISNA(MATCH(1003,'Transfer Engine'!$C$2:$C$1199,0)),"",INDEX('Compliance Database'!$G$2:$G$1199,MATCH(1003,'Transfer Engine'!$C$2:$C$1199,0)))</f>
        <v/>
      </c>
      <c r="H1012" s="7" t="str">
        <f>IF(ISNA(MATCH(1003,'Transfer Engine'!$C$2:$C$1199,0)),"",INDEX('Compliance Database'!$H$2:$H$1199,MATCH(1003,'Transfer Engine'!$C$2:$C$1199,0)))</f>
        <v/>
      </c>
      <c r="I1012" s="7" t="str">
        <f>IF(ISNA(MATCH(1003,'Transfer Engine'!$C$2:$C$1199,0)),"",INDEX('Compliance Database'!$I$2:$I$1199,MATCH(1003,'Transfer Engine'!$C$2:$C$1199,0)))</f>
        <v/>
      </c>
      <c r="J1012" s="6" t="str">
        <f>IF(ISNA(MATCH(1003,'Transfer Engine'!$C$2:$C$1199,0)),"",INDEX('Compliance Database'!$J$2:$J$1199,MATCH(1003,'Transfer Engine'!$C$2:$C$1199,0)))</f>
        <v/>
      </c>
      <c r="K1012" s="7" t="str">
        <f>IF(ISNA(MATCH(1003,'Transfer Engine'!$C$2:$C$1199,0)),"",INDEX('Compliance Database'!$K$2:$K$1199,MATCH(1003,'Transfer Engine'!$C$2:$C$1199,0)))</f>
        <v/>
      </c>
      <c r="L1012" s="7" t="str">
        <f>IF(ISNA(MATCH(1003,'Transfer Engine'!$C$2:$C$1199,0)),"",INDEX('Compliance Database'!$L$2:$L$1199,MATCH(1003,'Transfer Engine'!$C$2:$C$1199,0)))</f>
        <v/>
      </c>
      <c r="M1012" s="7" t="str">
        <f>IF(ISNA(MATCH(1003,'Transfer Engine'!$C$2:$C$1199,0)),"",INDEX('Compliance Database'!$M$2:$M$1199,MATCH(1003,'Transfer Engine'!$C$2:$C$1199,0)))</f>
        <v/>
      </c>
      <c r="N1012" s="7" t="str">
        <f>IF(ISNA(MATCH(1003,'Transfer Engine'!$C$2:$C$1199,0)),"",INDEX('Compliance Database'!$N$2:$N$1199,MATCH(1003,'Transfer Engine'!$C$2:$C$1199,0)))</f>
        <v/>
      </c>
      <c r="O1012" s="7" t="str">
        <f>IF(ISNA(MATCH(1003,'Transfer Engine'!$C$2:$C$1199,0)),"",INDEX('Compliance Database'!$O$2:$O$1199,MATCH(1003,'Transfer Engine'!$C$2:$C$1199,0)))</f>
        <v/>
      </c>
      <c r="P1012" s="6" t="str">
        <f>IF(ISNA(MATCH(1003,'Transfer Engine'!$C$2:$C$1199,0)),"",HYPERLINK("#Acts!A"&amp;INDEX('Compliance Database'!$P$2:$P$1199,MATCH(1003,'Transfer Engine'!$C$2:$C$1199,0)),"Go to Act"))</f>
        <v/>
      </c>
    </row>
    <row r="1013" spans="1:16" ht="172.95" customHeight="1" x14ac:dyDescent="0.3">
      <c r="A1013" s="6" t="str">
        <f>IF(ISNA(MATCH(1004,'Transfer Engine'!$C$2:$C$1199,0)),"",INDEX('Compliance Database'!$A$2:$A$1199,MATCH(1004,'Transfer Engine'!$C$2:$C$1199,0)))</f>
        <v/>
      </c>
      <c r="B1013" s="6" t="str">
        <f>IF(ISNA(MATCH(1004,'Transfer Engine'!$C$2:$C$1199,0)),"",INDEX('Compliance Database'!$B$2:$B$1199,MATCH(1004,'Transfer Engine'!$C$2:$C$1199,0)))</f>
        <v/>
      </c>
      <c r="C1013" s="6" t="str">
        <f>IF(ISNA(MATCH(1004,'Transfer Engine'!$C$2:$C$1199,0)),"",INDEX('Compliance Database'!$C$2:$C$1199,MATCH(1004,'Transfer Engine'!$C$2:$C$1199,0)))</f>
        <v/>
      </c>
      <c r="D1013" s="7" t="str">
        <f>IF(ISNA(MATCH(1004,'Transfer Engine'!$C$2:$C$1199,0)),"",INDEX('Compliance Database'!$D$2:$D$1199,MATCH(1004,'Transfer Engine'!$C$2:$C$1199,0)))</f>
        <v/>
      </c>
      <c r="E1013" s="6" t="str">
        <f>IF(ISNA(MATCH(1004,'Transfer Engine'!$C$2:$C$1199,0)),"",INDEX('Compliance Database'!$E$2:$E$1199,MATCH(1004,'Transfer Engine'!$C$2:$C$1199,0)))</f>
        <v/>
      </c>
      <c r="F1013" s="6" t="str">
        <f>IF(ISNA(MATCH(1004,'Transfer Engine'!$C$2:$C$1199,0)),"",INDEX('Compliance Database'!$F$2:$F$1199,MATCH(1004,'Transfer Engine'!$C$2:$C$1199,0)))</f>
        <v/>
      </c>
      <c r="G1013" s="6" t="str">
        <f>IF(ISNA(MATCH(1004,'Transfer Engine'!$C$2:$C$1199,0)),"",INDEX('Compliance Database'!$G$2:$G$1199,MATCH(1004,'Transfer Engine'!$C$2:$C$1199,0)))</f>
        <v/>
      </c>
      <c r="H1013" s="7" t="str">
        <f>IF(ISNA(MATCH(1004,'Transfer Engine'!$C$2:$C$1199,0)),"",INDEX('Compliance Database'!$H$2:$H$1199,MATCH(1004,'Transfer Engine'!$C$2:$C$1199,0)))</f>
        <v/>
      </c>
      <c r="I1013" s="7" t="str">
        <f>IF(ISNA(MATCH(1004,'Transfer Engine'!$C$2:$C$1199,0)),"",INDEX('Compliance Database'!$I$2:$I$1199,MATCH(1004,'Transfer Engine'!$C$2:$C$1199,0)))</f>
        <v/>
      </c>
      <c r="J1013" s="6" t="str">
        <f>IF(ISNA(MATCH(1004,'Transfer Engine'!$C$2:$C$1199,0)),"",INDEX('Compliance Database'!$J$2:$J$1199,MATCH(1004,'Transfer Engine'!$C$2:$C$1199,0)))</f>
        <v/>
      </c>
      <c r="K1013" s="7" t="str">
        <f>IF(ISNA(MATCH(1004,'Transfer Engine'!$C$2:$C$1199,0)),"",INDEX('Compliance Database'!$K$2:$K$1199,MATCH(1004,'Transfer Engine'!$C$2:$C$1199,0)))</f>
        <v/>
      </c>
      <c r="L1013" s="7" t="str">
        <f>IF(ISNA(MATCH(1004,'Transfer Engine'!$C$2:$C$1199,0)),"",INDEX('Compliance Database'!$L$2:$L$1199,MATCH(1004,'Transfer Engine'!$C$2:$C$1199,0)))</f>
        <v/>
      </c>
      <c r="M1013" s="7" t="str">
        <f>IF(ISNA(MATCH(1004,'Transfer Engine'!$C$2:$C$1199,0)),"",INDEX('Compliance Database'!$M$2:$M$1199,MATCH(1004,'Transfer Engine'!$C$2:$C$1199,0)))</f>
        <v/>
      </c>
      <c r="N1013" s="7" t="str">
        <f>IF(ISNA(MATCH(1004,'Transfer Engine'!$C$2:$C$1199,0)),"",INDEX('Compliance Database'!$N$2:$N$1199,MATCH(1004,'Transfer Engine'!$C$2:$C$1199,0)))</f>
        <v/>
      </c>
      <c r="O1013" s="7" t="str">
        <f>IF(ISNA(MATCH(1004,'Transfer Engine'!$C$2:$C$1199,0)),"",INDEX('Compliance Database'!$O$2:$O$1199,MATCH(1004,'Transfer Engine'!$C$2:$C$1199,0)))</f>
        <v/>
      </c>
      <c r="P1013" s="6" t="str">
        <f>IF(ISNA(MATCH(1004,'Transfer Engine'!$C$2:$C$1199,0)),"",HYPERLINK("#Acts!A"&amp;INDEX('Compliance Database'!$P$2:$P$1199,MATCH(1004,'Transfer Engine'!$C$2:$C$1199,0)),"Go to Act"))</f>
        <v/>
      </c>
    </row>
    <row r="1014" spans="1:16" ht="172.95" customHeight="1" x14ac:dyDescent="0.3">
      <c r="A1014" s="6" t="str">
        <f>IF(ISNA(MATCH(1005,'Transfer Engine'!$C$2:$C$1199,0)),"",INDEX('Compliance Database'!$A$2:$A$1199,MATCH(1005,'Transfer Engine'!$C$2:$C$1199,0)))</f>
        <v/>
      </c>
      <c r="B1014" s="6" t="str">
        <f>IF(ISNA(MATCH(1005,'Transfer Engine'!$C$2:$C$1199,0)),"",INDEX('Compliance Database'!$B$2:$B$1199,MATCH(1005,'Transfer Engine'!$C$2:$C$1199,0)))</f>
        <v/>
      </c>
      <c r="C1014" s="6" t="str">
        <f>IF(ISNA(MATCH(1005,'Transfer Engine'!$C$2:$C$1199,0)),"",INDEX('Compliance Database'!$C$2:$C$1199,MATCH(1005,'Transfer Engine'!$C$2:$C$1199,0)))</f>
        <v/>
      </c>
      <c r="D1014" s="7" t="str">
        <f>IF(ISNA(MATCH(1005,'Transfer Engine'!$C$2:$C$1199,0)),"",INDEX('Compliance Database'!$D$2:$D$1199,MATCH(1005,'Transfer Engine'!$C$2:$C$1199,0)))</f>
        <v/>
      </c>
      <c r="E1014" s="6" t="str">
        <f>IF(ISNA(MATCH(1005,'Transfer Engine'!$C$2:$C$1199,0)),"",INDEX('Compliance Database'!$E$2:$E$1199,MATCH(1005,'Transfer Engine'!$C$2:$C$1199,0)))</f>
        <v/>
      </c>
      <c r="F1014" s="6" t="str">
        <f>IF(ISNA(MATCH(1005,'Transfer Engine'!$C$2:$C$1199,0)),"",INDEX('Compliance Database'!$F$2:$F$1199,MATCH(1005,'Transfer Engine'!$C$2:$C$1199,0)))</f>
        <v/>
      </c>
      <c r="G1014" s="6" t="str">
        <f>IF(ISNA(MATCH(1005,'Transfer Engine'!$C$2:$C$1199,0)),"",INDEX('Compliance Database'!$G$2:$G$1199,MATCH(1005,'Transfer Engine'!$C$2:$C$1199,0)))</f>
        <v/>
      </c>
      <c r="H1014" s="7" t="str">
        <f>IF(ISNA(MATCH(1005,'Transfer Engine'!$C$2:$C$1199,0)),"",INDEX('Compliance Database'!$H$2:$H$1199,MATCH(1005,'Transfer Engine'!$C$2:$C$1199,0)))</f>
        <v/>
      </c>
      <c r="I1014" s="7" t="str">
        <f>IF(ISNA(MATCH(1005,'Transfer Engine'!$C$2:$C$1199,0)),"",INDEX('Compliance Database'!$I$2:$I$1199,MATCH(1005,'Transfer Engine'!$C$2:$C$1199,0)))</f>
        <v/>
      </c>
      <c r="J1014" s="6" t="str">
        <f>IF(ISNA(MATCH(1005,'Transfer Engine'!$C$2:$C$1199,0)),"",INDEX('Compliance Database'!$J$2:$J$1199,MATCH(1005,'Transfer Engine'!$C$2:$C$1199,0)))</f>
        <v/>
      </c>
      <c r="K1014" s="7" t="str">
        <f>IF(ISNA(MATCH(1005,'Transfer Engine'!$C$2:$C$1199,0)),"",INDEX('Compliance Database'!$K$2:$K$1199,MATCH(1005,'Transfer Engine'!$C$2:$C$1199,0)))</f>
        <v/>
      </c>
      <c r="L1014" s="7" t="str">
        <f>IF(ISNA(MATCH(1005,'Transfer Engine'!$C$2:$C$1199,0)),"",INDEX('Compliance Database'!$L$2:$L$1199,MATCH(1005,'Transfer Engine'!$C$2:$C$1199,0)))</f>
        <v/>
      </c>
      <c r="M1014" s="7" t="str">
        <f>IF(ISNA(MATCH(1005,'Transfer Engine'!$C$2:$C$1199,0)),"",INDEX('Compliance Database'!$M$2:$M$1199,MATCH(1005,'Transfer Engine'!$C$2:$C$1199,0)))</f>
        <v/>
      </c>
      <c r="N1014" s="7" t="str">
        <f>IF(ISNA(MATCH(1005,'Transfer Engine'!$C$2:$C$1199,0)),"",INDEX('Compliance Database'!$N$2:$N$1199,MATCH(1005,'Transfer Engine'!$C$2:$C$1199,0)))</f>
        <v/>
      </c>
      <c r="O1014" s="7" t="str">
        <f>IF(ISNA(MATCH(1005,'Transfer Engine'!$C$2:$C$1199,0)),"",INDEX('Compliance Database'!$O$2:$O$1199,MATCH(1005,'Transfer Engine'!$C$2:$C$1199,0)))</f>
        <v/>
      </c>
      <c r="P1014" s="6" t="str">
        <f>IF(ISNA(MATCH(1005,'Transfer Engine'!$C$2:$C$1199,0)),"",HYPERLINK("#Acts!A"&amp;INDEX('Compliance Database'!$P$2:$P$1199,MATCH(1005,'Transfer Engine'!$C$2:$C$1199,0)),"Go to Act"))</f>
        <v/>
      </c>
    </row>
    <row r="1015" spans="1:16" ht="172.95" customHeight="1" x14ac:dyDescent="0.3">
      <c r="A1015" s="6" t="str">
        <f>IF(ISNA(MATCH(1006,'Transfer Engine'!$C$2:$C$1199,0)),"",INDEX('Compliance Database'!$A$2:$A$1199,MATCH(1006,'Transfer Engine'!$C$2:$C$1199,0)))</f>
        <v/>
      </c>
      <c r="B1015" s="6" t="str">
        <f>IF(ISNA(MATCH(1006,'Transfer Engine'!$C$2:$C$1199,0)),"",INDEX('Compliance Database'!$B$2:$B$1199,MATCH(1006,'Transfer Engine'!$C$2:$C$1199,0)))</f>
        <v/>
      </c>
      <c r="C1015" s="6" t="str">
        <f>IF(ISNA(MATCH(1006,'Transfer Engine'!$C$2:$C$1199,0)),"",INDEX('Compliance Database'!$C$2:$C$1199,MATCH(1006,'Transfer Engine'!$C$2:$C$1199,0)))</f>
        <v/>
      </c>
      <c r="D1015" s="7" t="str">
        <f>IF(ISNA(MATCH(1006,'Transfer Engine'!$C$2:$C$1199,0)),"",INDEX('Compliance Database'!$D$2:$D$1199,MATCH(1006,'Transfer Engine'!$C$2:$C$1199,0)))</f>
        <v/>
      </c>
      <c r="E1015" s="6" t="str">
        <f>IF(ISNA(MATCH(1006,'Transfer Engine'!$C$2:$C$1199,0)),"",INDEX('Compliance Database'!$E$2:$E$1199,MATCH(1006,'Transfer Engine'!$C$2:$C$1199,0)))</f>
        <v/>
      </c>
      <c r="F1015" s="6" t="str">
        <f>IF(ISNA(MATCH(1006,'Transfer Engine'!$C$2:$C$1199,0)),"",INDEX('Compliance Database'!$F$2:$F$1199,MATCH(1006,'Transfer Engine'!$C$2:$C$1199,0)))</f>
        <v/>
      </c>
      <c r="G1015" s="6" t="str">
        <f>IF(ISNA(MATCH(1006,'Transfer Engine'!$C$2:$C$1199,0)),"",INDEX('Compliance Database'!$G$2:$G$1199,MATCH(1006,'Transfer Engine'!$C$2:$C$1199,0)))</f>
        <v/>
      </c>
      <c r="H1015" s="7" t="str">
        <f>IF(ISNA(MATCH(1006,'Transfer Engine'!$C$2:$C$1199,0)),"",INDEX('Compliance Database'!$H$2:$H$1199,MATCH(1006,'Transfer Engine'!$C$2:$C$1199,0)))</f>
        <v/>
      </c>
      <c r="I1015" s="7" t="str">
        <f>IF(ISNA(MATCH(1006,'Transfer Engine'!$C$2:$C$1199,0)),"",INDEX('Compliance Database'!$I$2:$I$1199,MATCH(1006,'Transfer Engine'!$C$2:$C$1199,0)))</f>
        <v/>
      </c>
      <c r="J1015" s="6" t="str">
        <f>IF(ISNA(MATCH(1006,'Transfer Engine'!$C$2:$C$1199,0)),"",INDEX('Compliance Database'!$J$2:$J$1199,MATCH(1006,'Transfer Engine'!$C$2:$C$1199,0)))</f>
        <v/>
      </c>
      <c r="K1015" s="7" t="str">
        <f>IF(ISNA(MATCH(1006,'Transfer Engine'!$C$2:$C$1199,0)),"",INDEX('Compliance Database'!$K$2:$K$1199,MATCH(1006,'Transfer Engine'!$C$2:$C$1199,0)))</f>
        <v/>
      </c>
      <c r="L1015" s="7" t="str">
        <f>IF(ISNA(MATCH(1006,'Transfer Engine'!$C$2:$C$1199,0)),"",INDEX('Compliance Database'!$L$2:$L$1199,MATCH(1006,'Transfer Engine'!$C$2:$C$1199,0)))</f>
        <v/>
      </c>
      <c r="M1015" s="7" t="str">
        <f>IF(ISNA(MATCH(1006,'Transfer Engine'!$C$2:$C$1199,0)),"",INDEX('Compliance Database'!$M$2:$M$1199,MATCH(1006,'Transfer Engine'!$C$2:$C$1199,0)))</f>
        <v/>
      </c>
      <c r="N1015" s="7" t="str">
        <f>IF(ISNA(MATCH(1006,'Transfer Engine'!$C$2:$C$1199,0)),"",INDEX('Compliance Database'!$N$2:$N$1199,MATCH(1006,'Transfer Engine'!$C$2:$C$1199,0)))</f>
        <v/>
      </c>
      <c r="O1015" s="7" t="str">
        <f>IF(ISNA(MATCH(1006,'Transfer Engine'!$C$2:$C$1199,0)),"",INDEX('Compliance Database'!$O$2:$O$1199,MATCH(1006,'Transfer Engine'!$C$2:$C$1199,0)))</f>
        <v/>
      </c>
      <c r="P1015" s="6" t="str">
        <f>IF(ISNA(MATCH(1006,'Transfer Engine'!$C$2:$C$1199,0)),"",HYPERLINK("#Acts!A"&amp;INDEX('Compliance Database'!$P$2:$P$1199,MATCH(1006,'Transfer Engine'!$C$2:$C$1199,0)),"Go to Act"))</f>
        <v/>
      </c>
    </row>
    <row r="1016" spans="1:16" ht="172.95" customHeight="1" x14ac:dyDescent="0.3">
      <c r="A1016" s="6" t="str">
        <f>IF(ISNA(MATCH(1007,'Transfer Engine'!$C$2:$C$1199,0)),"",INDEX('Compliance Database'!$A$2:$A$1199,MATCH(1007,'Transfer Engine'!$C$2:$C$1199,0)))</f>
        <v/>
      </c>
      <c r="B1016" s="6" t="str">
        <f>IF(ISNA(MATCH(1007,'Transfer Engine'!$C$2:$C$1199,0)),"",INDEX('Compliance Database'!$B$2:$B$1199,MATCH(1007,'Transfer Engine'!$C$2:$C$1199,0)))</f>
        <v/>
      </c>
      <c r="C1016" s="6" t="str">
        <f>IF(ISNA(MATCH(1007,'Transfer Engine'!$C$2:$C$1199,0)),"",INDEX('Compliance Database'!$C$2:$C$1199,MATCH(1007,'Transfer Engine'!$C$2:$C$1199,0)))</f>
        <v/>
      </c>
      <c r="D1016" s="7" t="str">
        <f>IF(ISNA(MATCH(1007,'Transfer Engine'!$C$2:$C$1199,0)),"",INDEX('Compliance Database'!$D$2:$D$1199,MATCH(1007,'Transfer Engine'!$C$2:$C$1199,0)))</f>
        <v/>
      </c>
      <c r="E1016" s="6" t="str">
        <f>IF(ISNA(MATCH(1007,'Transfer Engine'!$C$2:$C$1199,0)),"",INDEX('Compliance Database'!$E$2:$E$1199,MATCH(1007,'Transfer Engine'!$C$2:$C$1199,0)))</f>
        <v/>
      </c>
      <c r="F1016" s="6" t="str">
        <f>IF(ISNA(MATCH(1007,'Transfer Engine'!$C$2:$C$1199,0)),"",INDEX('Compliance Database'!$F$2:$F$1199,MATCH(1007,'Transfer Engine'!$C$2:$C$1199,0)))</f>
        <v/>
      </c>
      <c r="G1016" s="6" t="str">
        <f>IF(ISNA(MATCH(1007,'Transfer Engine'!$C$2:$C$1199,0)),"",INDEX('Compliance Database'!$G$2:$G$1199,MATCH(1007,'Transfer Engine'!$C$2:$C$1199,0)))</f>
        <v/>
      </c>
      <c r="H1016" s="7" t="str">
        <f>IF(ISNA(MATCH(1007,'Transfer Engine'!$C$2:$C$1199,0)),"",INDEX('Compliance Database'!$H$2:$H$1199,MATCH(1007,'Transfer Engine'!$C$2:$C$1199,0)))</f>
        <v/>
      </c>
      <c r="I1016" s="7" t="str">
        <f>IF(ISNA(MATCH(1007,'Transfer Engine'!$C$2:$C$1199,0)),"",INDEX('Compliance Database'!$I$2:$I$1199,MATCH(1007,'Transfer Engine'!$C$2:$C$1199,0)))</f>
        <v/>
      </c>
      <c r="J1016" s="6" t="str">
        <f>IF(ISNA(MATCH(1007,'Transfer Engine'!$C$2:$C$1199,0)),"",INDEX('Compliance Database'!$J$2:$J$1199,MATCH(1007,'Transfer Engine'!$C$2:$C$1199,0)))</f>
        <v/>
      </c>
      <c r="K1016" s="7" t="str">
        <f>IF(ISNA(MATCH(1007,'Transfer Engine'!$C$2:$C$1199,0)),"",INDEX('Compliance Database'!$K$2:$K$1199,MATCH(1007,'Transfer Engine'!$C$2:$C$1199,0)))</f>
        <v/>
      </c>
      <c r="L1016" s="7" t="str">
        <f>IF(ISNA(MATCH(1007,'Transfer Engine'!$C$2:$C$1199,0)),"",INDEX('Compliance Database'!$L$2:$L$1199,MATCH(1007,'Transfer Engine'!$C$2:$C$1199,0)))</f>
        <v/>
      </c>
      <c r="M1016" s="7" t="str">
        <f>IF(ISNA(MATCH(1007,'Transfer Engine'!$C$2:$C$1199,0)),"",INDEX('Compliance Database'!$M$2:$M$1199,MATCH(1007,'Transfer Engine'!$C$2:$C$1199,0)))</f>
        <v/>
      </c>
      <c r="N1016" s="7" t="str">
        <f>IF(ISNA(MATCH(1007,'Transfer Engine'!$C$2:$C$1199,0)),"",INDEX('Compliance Database'!$N$2:$N$1199,MATCH(1007,'Transfer Engine'!$C$2:$C$1199,0)))</f>
        <v/>
      </c>
      <c r="O1016" s="7" t="str">
        <f>IF(ISNA(MATCH(1007,'Transfer Engine'!$C$2:$C$1199,0)),"",INDEX('Compliance Database'!$O$2:$O$1199,MATCH(1007,'Transfer Engine'!$C$2:$C$1199,0)))</f>
        <v/>
      </c>
      <c r="P1016" s="6" t="str">
        <f>IF(ISNA(MATCH(1007,'Transfer Engine'!$C$2:$C$1199,0)),"",HYPERLINK("#Acts!A"&amp;INDEX('Compliance Database'!$P$2:$P$1199,MATCH(1007,'Transfer Engine'!$C$2:$C$1199,0)),"Go to Act"))</f>
        <v/>
      </c>
    </row>
    <row r="1017" spans="1:16" ht="172.95" customHeight="1" x14ac:dyDescent="0.3">
      <c r="A1017" s="6" t="str">
        <f>IF(ISNA(MATCH(1008,'Transfer Engine'!$C$2:$C$1199,0)),"",INDEX('Compliance Database'!$A$2:$A$1199,MATCH(1008,'Transfer Engine'!$C$2:$C$1199,0)))</f>
        <v/>
      </c>
      <c r="B1017" s="6" t="str">
        <f>IF(ISNA(MATCH(1008,'Transfer Engine'!$C$2:$C$1199,0)),"",INDEX('Compliance Database'!$B$2:$B$1199,MATCH(1008,'Transfer Engine'!$C$2:$C$1199,0)))</f>
        <v/>
      </c>
      <c r="C1017" s="6" t="str">
        <f>IF(ISNA(MATCH(1008,'Transfer Engine'!$C$2:$C$1199,0)),"",INDEX('Compliance Database'!$C$2:$C$1199,MATCH(1008,'Transfer Engine'!$C$2:$C$1199,0)))</f>
        <v/>
      </c>
      <c r="D1017" s="7" t="str">
        <f>IF(ISNA(MATCH(1008,'Transfer Engine'!$C$2:$C$1199,0)),"",INDEX('Compliance Database'!$D$2:$D$1199,MATCH(1008,'Transfer Engine'!$C$2:$C$1199,0)))</f>
        <v/>
      </c>
      <c r="E1017" s="6" t="str">
        <f>IF(ISNA(MATCH(1008,'Transfer Engine'!$C$2:$C$1199,0)),"",INDEX('Compliance Database'!$E$2:$E$1199,MATCH(1008,'Transfer Engine'!$C$2:$C$1199,0)))</f>
        <v/>
      </c>
      <c r="F1017" s="6" t="str">
        <f>IF(ISNA(MATCH(1008,'Transfer Engine'!$C$2:$C$1199,0)),"",INDEX('Compliance Database'!$F$2:$F$1199,MATCH(1008,'Transfer Engine'!$C$2:$C$1199,0)))</f>
        <v/>
      </c>
      <c r="G1017" s="6" t="str">
        <f>IF(ISNA(MATCH(1008,'Transfer Engine'!$C$2:$C$1199,0)),"",INDEX('Compliance Database'!$G$2:$G$1199,MATCH(1008,'Transfer Engine'!$C$2:$C$1199,0)))</f>
        <v/>
      </c>
      <c r="H1017" s="7" t="str">
        <f>IF(ISNA(MATCH(1008,'Transfer Engine'!$C$2:$C$1199,0)),"",INDEX('Compliance Database'!$H$2:$H$1199,MATCH(1008,'Transfer Engine'!$C$2:$C$1199,0)))</f>
        <v/>
      </c>
      <c r="I1017" s="7" t="str">
        <f>IF(ISNA(MATCH(1008,'Transfer Engine'!$C$2:$C$1199,0)),"",INDEX('Compliance Database'!$I$2:$I$1199,MATCH(1008,'Transfer Engine'!$C$2:$C$1199,0)))</f>
        <v/>
      </c>
      <c r="J1017" s="6" t="str">
        <f>IF(ISNA(MATCH(1008,'Transfer Engine'!$C$2:$C$1199,0)),"",INDEX('Compliance Database'!$J$2:$J$1199,MATCH(1008,'Transfer Engine'!$C$2:$C$1199,0)))</f>
        <v/>
      </c>
      <c r="K1017" s="7" t="str">
        <f>IF(ISNA(MATCH(1008,'Transfer Engine'!$C$2:$C$1199,0)),"",INDEX('Compliance Database'!$K$2:$K$1199,MATCH(1008,'Transfer Engine'!$C$2:$C$1199,0)))</f>
        <v/>
      </c>
      <c r="L1017" s="7" t="str">
        <f>IF(ISNA(MATCH(1008,'Transfer Engine'!$C$2:$C$1199,0)),"",INDEX('Compliance Database'!$L$2:$L$1199,MATCH(1008,'Transfer Engine'!$C$2:$C$1199,0)))</f>
        <v/>
      </c>
      <c r="M1017" s="7" t="str">
        <f>IF(ISNA(MATCH(1008,'Transfer Engine'!$C$2:$C$1199,0)),"",INDEX('Compliance Database'!$M$2:$M$1199,MATCH(1008,'Transfer Engine'!$C$2:$C$1199,0)))</f>
        <v/>
      </c>
      <c r="N1017" s="7" t="str">
        <f>IF(ISNA(MATCH(1008,'Transfer Engine'!$C$2:$C$1199,0)),"",INDEX('Compliance Database'!$N$2:$N$1199,MATCH(1008,'Transfer Engine'!$C$2:$C$1199,0)))</f>
        <v/>
      </c>
      <c r="O1017" s="7" t="str">
        <f>IF(ISNA(MATCH(1008,'Transfer Engine'!$C$2:$C$1199,0)),"",INDEX('Compliance Database'!$O$2:$O$1199,MATCH(1008,'Transfer Engine'!$C$2:$C$1199,0)))</f>
        <v/>
      </c>
      <c r="P1017" s="6" t="str">
        <f>IF(ISNA(MATCH(1008,'Transfer Engine'!$C$2:$C$1199,0)),"",HYPERLINK("#Acts!A"&amp;INDEX('Compliance Database'!$P$2:$P$1199,MATCH(1008,'Transfer Engine'!$C$2:$C$1199,0)),"Go to Act"))</f>
        <v/>
      </c>
    </row>
    <row r="1018" spans="1:16" ht="172.95" customHeight="1" x14ac:dyDescent="0.3">
      <c r="A1018" s="6" t="str">
        <f>IF(ISNA(MATCH(1009,'Transfer Engine'!$C$2:$C$1199,0)),"",INDEX('Compliance Database'!$A$2:$A$1199,MATCH(1009,'Transfer Engine'!$C$2:$C$1199,0)))</f>
        <v/>
      </c>
      <c r="B1018" s="6" t="str">
        <f>IF(ISNA(MATCH(1009,'Transfer Engine'!$C$2:$C$1199,0)),"",INDEX('Compliance Database'!$B$2:$B$1199,MATCH(1009,'Transfer Engine'!$C$2:$C$1199,0)))</f>
        <v/>
      </c>
      <c r="C1018" s="6" t="str">
        <f>IF(ISNA(MATCH(1009,'Transfer Engine'!$C$2:$C$1199,0)),"",INDEX('Compliance Database'!$C$2:$C$1199,MATCH(1009,'Transfer Engine'!$C$2:$C$1199,0)))</f>
        <v/>
      </c>
      <c r="D1018" s="7" t="str">
        <f>IF(ISNA(MATCH(1009,'Transfer Engine'!$C$2:$C$1199,0)),"",INDEX('Compliance Database'!$D$2:$D$1199,MATCH(1009,'Transfer Engine'!$C$2:$C$1199,0)))</f>
        <v/>
      </c>
      <c r="E1018" s="6" t="str">
        <f>IF(ISNA(MATCH(1009,'Transfer Engine'!$C$2:$C$1199,0)),"",INDEX('Compliance Database'!$E$2:$E$1199,MATCH(1009,'Transfer Engine'!$C$2:$C$1199,0)))</f>
        <v/>
      </c>
      <c r="F1018" s="6" t="str">
        <f>IF(ISNA(MATCH(1009,'Transfer Engine'!$C$2:$C$1199,0)),"",INDEX('Compliance Database'!$F$2:$F$1199,MATCH(1009,'Transfer Engine'!$C$2:$C$1199,0)))</f>
        <v/>
      </c>
      <c r="G1018" s="6" t="str">
        <f>IF(ISNA(MATCH(1009,'Transfer Engine'!$C$2:$C$1199,0)),"",INDEX('Compliance Database'!$G$2:$G$1199,MATCH(1009,'Transfer Engine'!$C$2:$C$1199,0)))</f>
        <v/>
      </c>
      <c r="H1018" s="7" t="str">
        <f>IF(ISNA(MATCH(1009,'Transfer Engine'!$C$2:$C$1199,0)),"",INDEX('Compliance Database'!$H$2:$H$1199,MATCH(1009,'Transfer Engine'!$C$2:$C$1199,0)))</f>
        <v/>
      </c>
      <c r="I1018" s="7" t="str">
        <f>IF(ISNA(MATCH(1009,'Transfer Engine'!$C$2:$C$1199,0)),"",INDEX('Compliance Database'!$I$2:$I$1199,MATCH(1009,'Transfer Engine'!$C$2:$C$1199,0)))</f>
        <v/>
      </c>
      <c r="J1018" s="6" t="str">
        <f>IF(ISNA(MATCH(1009,'Transfer Engine'!$C$2:$C$1199,0)),"",INDEX('Compliance Database'!$J$2:$J$1199,MATCH(1009,'Transfer Engine'!$C$2:$C$1199,0)))</f>
        <v/>
      </c>
      <c r="K1018" s="7" t="str">
        <f>IF(ISNA(MATCH(1009,'Transfer Engine'!$C$2:$C$1199,0)),"",INDEX('Compliance Database'!$K$2:$K$1199,MATCH(1009,'Transfer Engine'!$C$2:$C$1199,0)))</f>
        <v/>
      </c>
      <c r="L1018" s="7" t="str">
        <f>IF(ISNA(MATCH(1009,'Transfer Engine'!$C$2:$C$1199,0)),"",INDEX('Compliance Database'!$L$2:$L$1199,MATCH(1009,'Transfer Engine'!$C$2:$C$1199,0)))</f>
        <v/>
      </c>
      <c r="M1018" s="7" t="str">
        <f>IF(ISNA(MATCH(1009,'Transfer Engine'!$C$2:$C$1199,0)),"",INDEX('Compliance Database'!$M$2:$M$1199,MATCH(1009,'Transfer Engine'!$C$2:$C$1199,0)))</f>
        <v/>
      </c>
      <c r="N1018" s="7" t="str">
        <f>IF(ISNA(MATCH(1009,'Transfer Engine'!$C$2:$C$1199,0)),"",INDEX('Compliance Database'!$N$2:$N$1199,MATCH(1009,'Transfer Engine'!$C$2:$C$1199,0)))</f>
        <v/>
      </c>
      <c r="O1018" s="7" t="str">
        <f>IF(ISNA(MATCH(1009,'Transfer Engine'!$C$2:$C$1199,0)),"",INDEX('Compliance Database'!$O$2:$O$1199,MATCH(1009,'Transfer Engine'!$C$2:$C$1199,0)))</f>
        <v/>
      </c>
      <c r="P1018" s="6" t="str">
        <f>IF(ISNA(MATCH(1009,'Transfer Engine'!$C$2:$C$1199,0)),"",HYPERLINK("#Acts!A"&amp;INDEX('Compliance Database'!$P$2:$P$1199,MATCH(1009,'Transfer Engine'!$C$2:$C$1199,0)),"Go to Act"))</f>
        <v/>
      </c>
    </row>
    <row r="1019" spans="1:16" ht="172.95" customHeight="1" x14ac:dyDescent="0.3">
      <c r="A1019" s="6" t="str">
        <f>IF(ISNA(MATCH(1010,'Transfer Engine'!$C$2:$C$1199,0)),"",INDEX('Compliance Database'!$A$2:$A$1199,MATCH(1010,'Transfer Engine'!$C$2:$C$1199,0)))</f>
        <v/>
      </c>
      <c r="B1019" s="6" t="str">
        <f>IF(ISNA(MATCH(1010,'Transfer Engine'!$C$2:$C$1199,0)),"",INDEX('Compliance Database'!$B$2:$B$1199,MATCH(1010,'Transfer Engine'!$C$2:$C$1199,0)))</f>
        <v/>
      </c>
      <c r="C1019" s="6" t="str">
        <f>IF(ISNA(MATCH(1010,'Transfer Engine'!$C$2:$C$1199,0)),"",INDEX('Compliance Database'!$C$2:$C$1199,MATCH(1010,'Transfer Engine'!$C$2:$C$1199,0)))</f>
        <v/>
      </c>
      <c r="D1019" s="7" t="str">
        <f>IF(ISNA(MATCH(1010,'Transfer Engine'!$C$2:$C$1199,0)),"",INDEX('Compliance Database'!$D$2:$D$1199,MATCH(1010,'Transfer Engine'!$C$2:$C$1199,0)))</f>
        <v/>
      </c>
      <c r="E1019" s="6" t="str">
        <f>IF(ISNA(MATCH(1010,'Transfer Engine'!$C$2:$C$1199,0)),"",INDEX('Compliance Database'!$E$2:$E$1199,MATCH(1010,'Transfer Engine'!$C$2:$C$1199,0)))</f>
        <v/>
      </c>
      <c r="F1019" s="6" t="str">
        <f>IF(ISNA(MATCH(1010,'Transfer Engine'!$C$2:$C$1199,0)),"",INDEX('Compliance Database'!$F$2:$F$1199,MATCH(1010,'Transfer Engine'!$C$2:$C$1199,0)))</f>
        <v/>
      </c>
      <c r="G1019" s="6" t="str">
        <f>IF(ISNA(MATCH(1010,'Transfer Engine'!$C$2:$C$1199,0)),"",INDEX('Compliance Database'!$G$2:$G$1199,MATCH(1010,'Transfer Engine'!$C$2:$C$1199,0)))</f>
        <v/>
      </c>
      <c r="H1019" s="7" t="str">
        <f>IF(ISNA(MATCH(1010,'Transfer Engine'!$C$2:$C$1199,0)),"",INDEX('Compliance Database'!$H$2:$H$1199,MATCH(1010,'Transfer Engine'!$C$2:$C$1199,0)))</f>
        <v/>
      </c>
      <c r="I1019" s="7" t="str">
        <f>IF(ISNA(MATCH(1010,'Transfer Engine'!$C$2:$C$1199,0)),"",INDEX('Compliance Database'!$I$2:$I$1199,MATCH(1010,'Transfer Engine'!$C$2:$C$1199,0)))</f>
        <v/>
      </c>
      <c r="J1019" s="6" t="str">
        <f>IF(ISNA(MATCH(1010,'Transfer Engine'!$C$2:$C$1199,0)),"",INDEX('Compliance Database'!$J$2:$J$1199,MATCH(1010,'Transfer Engine'!$C$2:$C$1199,0)))</f>
        <v/>
      </c>
      <c r="K1019" s="7" t="str">
        <f>IF(ISNA(MATCH(1010,'Transfer Engine'!$C$2:$C$1199,0)),"",INDEX('Compliance Database'!$K$2:$K$1199,MATCH(1010,'Transfer Engine'!$C$2:$C$1199,0)))</f>
        <v/>
      </c>
      <c r="L1019" s="7" t="str">
        <f>IF(ISNA(MATCH(1010,'Transfer Engine'!$C$2:$C$1199,0)),"",INDEX('Compliance Database'!$L$2:$L$1199,MATCH(1010,'Transfer Engine'!$C$2:$C$1199,0)))</f>
        <v/>
      </c>
      <c r="M1019" s="7" t="str">
        <f>IF(ISNA(MATCH(1010,'Transfer Engine'!$C$2:$C$1199,0)),"",INDEX('Compliance Database'!$M$2:$M$1199,MATCH(1010,'Transfer Engine'!$C$2:$C$1199,0)))</f>
        <v/>
      </c>
      <c r="N1019" s="7" t="str">
        <f>IF(ISNA(MATCH(1010,'Transfer Engine'!$C$2:$C$1199,0)),"",INDEX('Compliance Database'!$N$2:$N$1199,MATCH(1010,'Transfer Engine'!$C$2:$C$1199,0)))</f>
        <v/>
      </c>
      <c r="O1019" s="7" t="str">
        <f>IF(ISNA(MATCH(1010,'Transfer Engine'!$C$2:$C$1199,0)),"",INDEX('Compliance Database'!$O$2:$O$1199,MATCH(1010,'Transfer Engine'!$C$2:$C$1199,0)))</f>
        <v/>
      </c>
      <c r="P1019" s="6" t="str">
        <f>IF(ISNA(MATCH(1010,'Transfer Engine'!$C$2:$C$1199,0)),"",HYPERLINK("#Acts!A"&amp;INDEX('Compliance Database'!$P$2:$P$1199,MATCH(1010,'Transfer Engine'!$C$2:$C$1199,0)),"Go to Act"))</f>
        <v/>
      </c>
    </row>
    <row r="1020" spans="1:16" ht="172.95" customHeight="1" x14ac:dyDescent="0.3">
      <c r="A1020" s="6" t="str">
        <f>IF(ISNA(MATCH(1011,'Transfer Engine'!$C$2:$C$1199,0)),"",INDEX('Compliance Database'!$A$2:$A$1199,MATCH(1011,'Transfer Engine'!$C$2:$C$1199,0)))</f>
        <v/>
      </c>
      <c r="B1020" s="6" t="str">
        <f>IF(ISNA(MATCH(1011,'Transfer Engine'!$C$2:$C$1199,0)),"",INDEX('Compliance Database'!$B$2:$B$1199,MATCH(1011,'Transfer Engine'!$C$2:$C$1199,0)))</f>
        <v/>
      </c>
      <c r="C1020" s="6" t="str">
        <f>IF(ISNA(MATCH(1011,'Transfer Engine'!$C$2:$C$1199,0)),"",INDEX('Compliance Database'!$C$2:$C$1199,MATCH(1011,'Transfer Engine'!$C$2:$C$1199,0)))</f>
        <v/>
      </c>
      <c r="D1020" s="7" t="str">
        <f>IF(ISNA(MATCH(1011,'Transfer Engine'!$C$2:$C$1199,0)),"",INDEX('Compliance Database'!$D$2:$D$1199,MATCH(1011,'Transfer Engine'!$C$2:$C$1199,0)))</f>
        <v/>
      </c>
      <c r="E1020" s="6" t="str">
        <f>IF(ISNA(MATCH(1011,'Transfer Engine'!$C$2:$C$1199,0)),"",INDEX('Compliance Database'!$E$2:$E$1199,MATCH(1011,'Transfer Engine'!$C$2:$C$1199,0)))</f>
        <v/>
      </c>
      <c r="F1020" s="6" t="str">
        <f>IF(ISNA(MATCH(1011,'Transfer Engine'!$C$2:$C$1199,0)),"",INDEX('Compliance Database'!$F$2:$F$1199,MATCH(1011,'Transfer Engine'!$C$2:$C$1199,0)))</f>
        <v/>
      </c>
      <c r="G1020" s="6" t="str">
        <f>IF(ISNA(MATCH(1011,'Transfer Engine'!$C$2:$C$1199,0)),"",INDEX('Compliance Database'!$G$2:$G$1199,MATCH(1011,'Transfer Engine'!$C$2:$C$1199,0)))</f>
        <v/>
      </c>
      <c r="H1020" s="7" t="str">
        <f>IF(ISNA(MATCH(1011,'Transfer Engine'!$C$2:$C$1199,0)),"",INDEX('Compliance Database'!$H$2:$H$1199,MATCH(1011,'Transfer Engine'!$C$2:$C$1199,0)))</f>
        <v/>
      </c>
      <c r="I1020" s="7" t="str">
        <f>IF(ISNA(MATCH(1011,'Transfer Engine'!$C$2:$C$1199,0)),"",INDEX('Compliance Database'!$I$2:$I$1199,MATCH(1011,'Transfer Engine'!$C$2:$C$1199,0)))</f>
        <v/>
      </c>
      <c r="J1020" s="6" t="str">
        <f>IF(ISNA(MATCH(1011,'Transfer Engine'!$C$2:$C$1199,0)),"",INDEX('Compliance Database'!$J$2:$J$1199,MATCH(1011,'Transfer Engine'!$C$2:$C$1199,0)))</f>
        <v/>
      </c>
      <c r="K1020" s="7" t="str">
        <f>IF(ISNA(MATCH(1011,'Transfer Engine'!$C$2:$C$1199,0)),"",INDEX('Compliance Database'!$K$2:$K$1199,MATCH(1011,'Transfer Engine'!$C$2:$C$1199,0)))</f>
        <v/>
      </c>
      <c r="L1020" s="7" t="str">
        <f>IF(ISNA(MATCH(1011,'Transfer Engine'!$C$2:$C$1199,0)),"",INDEX('Compliance Database'!$L$2:$L$1199,MATCH(1011,'Transfer Engine'!$C$2:$C$1199,0)))</f>
        <v/>
      </c>
      <c r="M1020" s="7" t="str">
        <f>IF(ISNA(MATCH(1011,'Transfer Engine'!$C$2:$C$1199,0)),"",INDEX('Compliance Database'!$M$2:$M$1199,MATCH(1011,'Transfer Engine'!$C$2:$C$1199,0)))</f>
        <v/>
      </c>
      <c r="N1020" s="7" t="str">
        <f>IF(ISNA(MATCH(1011,'Transfer Engine'!$C$2:$C$1199,0)),"",INDEX('Compliance Database'!$N$2:$N$1199,MATCH(1011,'Transfer Engine'!$C$2:$C$1199,0)))</f>
        <v/>
      </c>
      <c r="O1020" s="7" t="str">
        <f>IF(ISNA(MATCH(1011,'Transfer Engine'!$C$2:$C$1199,0)),"",INDEX('Compliance Database'!$O$2:$O$1199,MATCH(1011,'Transfer Engine'!$C$2:$C$1199,0)))</f>
        <v/>
      </c>
      <c r="P1020" s="6" t="str">
        <f>IF(ISNA(MATCH(1011,'Transfer Engine'!$C$2:$C$1199,0)),"",HYPERLINK("#Acts!A"&amp;INDEX('Compliance Database'!$P$2:$P$1199,MATCH(1011,'Transfer Engine'!$C$2:$C$1199,0)),"Go to Act"))</f>
        <v/>
      </c>
    </row>
    <row r="1021" spans="1:16" ht="172.95" customHeight="1" x14ac:dyDescent="0.3">
      <c r="A1021" s="6" t="str">
        <f>IF(ISNA(MATCH(1012,'Transfer Engine'!$C$2:$C$1199,0)),"",INDEX('Compliance Database'!$A$2:$A$1199,MATCH(1012,'Transfer Engine'!$C$2:$C$1199,0)))</f>
        <v/>
      </c>
      <c r="B1021" s="6" t="str">
        <f>IF(ISNA(MATCH(1012,'Transfer Engine'!$C$2:$C$1199,0)),"",INDEX('Compliance Database'!$B$2:$B$1199,MATCH(1012,'Transfer Engine'!$C$2:$C$1199,0)))</f>
        <v/>
      </c>
      <c r="C1021" s="6" t="str">
        <f>IF(ISNA(MATCH(1012,'Transfer Engine'!$C$2:$C$1199,0)),"",INDEX('Compliance Database'!$C$2:$C$1199,MATCH(1012,'Transfer Engine'!$C$2:$C$1199,0)))</f>
        <v/>
      </c>
      <c r="D1021" s="7" t="str">
        <f>IF(ISNA(MATCH(1012,'Transfer Engine'!$C$2:$C$1199,0)),"",INDEX('Compliance Database'!$D$2:$D$1199,MATCH(1012,'Transfer Engine'!$C$2:$C$1199,0)))</f>
        <v/>
      </c>
      <c r="E1021" s="6" t="str">
        <f>IF(ISNA(MATCH(1012,'Transfer Engine'!$C$2:$C$1199,0)),"",INDEX('Compliance Database'!$E$2:$E$1199,MATCH(1012,'Transfer Engine'!$C$2:$C$1199,0)))</f>
        <v/>
      </c>
      <c r="F1021" s="6" t="str">
        <f>IF(ISNA(MATCH(1012,'Transfer Engine'!$C$2:$C$1199,0)),"",INDEX('Compliance Database'!$F$2:$F$1199,MATCH(1012,'Transfer Engine'!$C$2:$C$1199,0)))</f>
        <v/>
      </c>
      <c r="G1021" s="6" t="str">
        <f>IF(ISNA(MATCH(1012,'Transfer Engine'!$C$2:$C$1199,0)),"",INDEX('Compliance Database'!$G$2:$G$1199,MATCH(1012,'Transfer Engine'!$C$2:$C$1199,0)))</f>
        <v/>
      </c>
      <c r="H1021" s="7" t="str">
        <f>IF(ISNA(MATCH(1012,'Transfer Engine'!$C$2:$C$1199,0)),"",INDEX('Compliance Database'!$H$2:$H$1199,MATCH(1012,'Transfer Engine'!$C$2:$C$1199,0)))</f>
        <v/>
      </c>
      <c r="I1021" s="7" t="str">
        <f>IF(ISNA(MATCH(1012,'Transfer Engine'!$C$2:$C$1199,0)),"",INDEX('Compliance Database'!$I$2:$I$1199,MATCH(1012,'Transfer Engine'!$C$2:$C$1199,0)))</f>
        <v/>
      </c>
      <c r="J1021" s="6" t="str">
        <f>IF(ISNA(MATCH(1012,'Transfer Engine'!$C$2:$C$1199,0)),"",INDEX('Compliance Database'!$J$2:$J$1199,MATCH(1012,'Transfer Engine'!$C$2:$C$1199,0)))</f>
        <v/>
      </c>
      <c r="K1021" s="7" t="str">
        <f>IF(ISNA(MATCH(1012,'Transfer Engine'!$C$2:$C$1199,0)),"",INDEX('Compliance Database'!$K$2:$K$1199,MATCH(1012,'Transfer Engine'!$C$2:$C$1199,0)))</f>
        <v/>
      </c>
      <c r="L1021" s="7" t="str">
        <f>IF(ISNA(MATCH(1012,'Transfer Engine'!$C$2:$C$1199,0)),"",INDEX('Compliance Database'!$L$2:$L$1199,MATCH(1012,'Transfer Engine'!$C$2:$C$1199,0)))</f>
        <v/>
      </c>
      <c r="M1021" s="7" t="str">
        <f>IF(ISNA(MATCH(1012,'Transfer Engine'!$C$2:$C$1199,0)),"",INDEX('Compliance Database'!$M$2:$M$1199,MATCH(1012,'Transfer Engine'!$C$2:$C$1199,0)))</f>
        <v/>
      </c>
      <c r="N1021" s="7" t="str">
        <f>IF(ISNA(MATCH(1012,'Transfer Engine'!$C$2:$C$1199,0)),"",INDEX('Compliance Database'!$N$2:$N$1199,MATCH(1012,'Transfer Engine'!$C$2:$C$1199,0)))</f>
        <v/>
      </c>
      <c r="O1021" s="7" t="str">
        <f>IF(ISNA(MATCH(1012,'Transfer Engine'!$C$2:$C$1199,0)),"",INDEX('Compliance Database'!$O$2:$O$1199,MATCH(1012,'Transfer Engine'!$C$2:$C$1199,0)))</f>
        <v/>
      </c>
      <c r="P1021" s="6" t="str">
        <f>IF(ISNA(MATCH(1012,'Transfer Engine'!$C$2:$C$1199,0)),"",HYPERLINK("#Acts!A"&amp;INDEX('Compliance Database'!$P$2:$P$1199,MATCH(1012,'Transfer Engine'!$C$2:$C$1199,0)),"Go to Act"))</f>
        <v/>
      </c>
    </row>
    <row r="1022" spans="1:16" ht="172.95" customHeight="1" x14ac:dyDescent="0.3">
      <c r="A1022" s="6" t="str">
        <f>IF(ISNA(MATCH(1013,'Transfer Engine'!$C$2:$C$1199,0)),"",INDEX('Compliance Database'!$A$2:$A$1199,MATCH(1013,'Transfer Engine'!$C$2:$C$1199,0)))</f>
        <v/>
      </c>
      <c r="B1022" s="6" t="str">
        <f>IF(ISNA(MATCH(1013,'Transfer Engine'!$C$2:$C$1199,0)),"",INDEX('Compliance Database'!$B$2:$B$1199,MATCH(1013,'Transfer Engine'!$C$2:$C$1199,0)))</f>
        <v/>
      </c>
      <c r="C1022" s="6" t="str">
        <f>IF(ISNA(MATCH(1013,'Transfer Engine'!$C$2:$C$1199,0)),"",INDEX('Compliance Database'!$C$2:$C$1199,MATCH(1013,'Transfer Engine'!$C$2:$C$1199,0)))</f>
        <v/>
      </c>
      <c r="D1022" s="7" t="str">
        <f>IF(ISNA(MATCH(1013,'Transfer Engine'!$C$2:$C$1199,0)),"",INDEX('Compliance Database'!$D$2:$D$1199,MATCH(1013,'Transfer Engine'!$C$2:$C$1199,0)))</f>
        <v/>
      </c>
      <c r="E1022" s="6" t="str">
        <f>IF(ISNA(MATCH(1013,'Transfer Engine'!$C$2:$C$1199,0)),"",INDEX('Compliance Database'!$E$2:$E$1199,MATCH(1013,'Transfer Engine'!$C$2:$C$1199,0)))</f>
        <v/>
      </c>
      <c r="F1022" s="6" t="str">
        <f>IF(ISNA(MATCH(1013,'Transfer Engine'!$C$2:$C$1199,0)),"",INDEX('Compliance Database'!$F$2:$F$1199,MATCH(1013,'Transfer Engine'!$C$2:$C$1199,0)))</f>
        <v/>
      </c>
      <c r="G1022" s="6" t="str">
        <f>IF(ISNA(MATCH(1013,'Transfer Engine'!$C$2:$C$1199,0)),"",INDEX('Compliance Database'!$G$2:$G$1199,MATCH(1013,'Transfer Engine'!$C$2:$C$1199,0)))</f>
        <v/>
      </c>
      <c r="H1022" s="7" t="str">
        <f>IF(ISNA(MATCH(1013,'Transfer Engine'!$C$2:$C$1199,0)),"",INDEX('Compliance Database'!$H$2:$H$1199,MATCH(1013,'Transfer Engine'!$C$2:$C$1199,0)))</f>
        <v/>
      </c>
      <c r="I1022" s="7" t="str">
        <f>IF(ISNA(MATCH(1013,'Transfer Engine'!$C$2:$C$1199,0)),"",INDEX('Compliance Database'!$I$2:$I$1199,MATCH(1013,'Transfer Engine'!$C$2:$C$1199,0)))</f>
        <v/>
      </c>
      <c r="J1022" s="6" t="str">
        <f>IF(ISNA(MATCH(1013,'Transfer Engine'!$C$2:$C$1199,0)),"",INDEX('Compliance Database'!$J$2:$J$1199,MATCH(1013,'Transfer Engine'!$C$2:$C$1199,0)))</f>
        <v/>
      </c>
      <c r="K1022" s="7" t="str">
        <f>IF(ISNA(MATCH(1013,'Transfer Engine'!$C$2:$C$1199,0)),"",INDEX('Compliance Database'!$K$2:$K$1199,MATCH(1013,'Transfer Engine'!$C$2:$C$1199,0)))</f>
        <v/>
      </c>
      <c r="L1022" s="7" t="str">
        <f>IF(ISNA(MATCH(1013,'Transfer Engine'!$C$2:$C$1199,0)),"",INDEX('Compliance Database'!$L$2:$L$1199,MATCH(1013,'Transfer Engine'!$C$2:$C$1199,0)))</f>
        <v/>
      </c>
      <c r="M1022" s="7" t="str">
        <f>IF(ISNA(MATCH(1013,'Transfer Engine'!$C$2:$C$1199,0)),"",INDEX('Compliance Database'!$M$2:$M$1199,MATCH(1013,'Transfer Engine'!$C$2:$C$1199,0)))</f>
        <v/>
      </c>
      <c r="N1022" s="7" t="str">
        <f>IF(ISNA(MATCH(1013,'Transfer Engine'!$C$2:$C$1199,0)),"",INDEX('Compliance Database'!$N$2:$N$1199,MATCH(1013,'Transfer Engine'!$C$2:$C$1199,0)))</f>
        <v/>
      </c>
      <c r="O1022" s="7" t="str">
        <f>IF(ISNA(MATCH(1013,'Transfer Engine'!$C$2:$C$1199,0)),"",INDEX('Compliance Database'!$O$2:$O$1199,MATCH(1013,'Transfer Engine'!$C$2:$C$1199,0)))</f>
        <v/>
      </c>
      <c r="P1022" s="6" t="str">
        <f>IF(ISNA(MATCH(1013,'Transfer Engine'!$C$2:$C$1199,0)),"",HYPERLINK("#Acts!A"&amp;INDEX('Compliance Database'!$P$2:$P$1199,MATCH(1013,'Transfer Engine'!$C$2:$C$1199,0)),"Go to Act"))</f>
        <v/>
      </c>
    </row>
    <row r="1023" spans="1:16" ht="172.95" customHeight="1" x14ac:dyDescent="0.3">
      <c r="A1023" s="6" t="str">
        <f>IF(ISNA(MATCH(1014,'Transfer Engine'!$C$2:$C$1199,0)),"",INDEX('Compliance Database'!$A$2:$A$1199,MATCH(1014,'Transfer Engine'!$C$2:$C$1199,0)))</f>
        <v/>
      </c>
      <c r="B1023" s="6" t="str">
        <f>IF(ISNA(MATCH(1014,'Transfer Engine'!$C$2:$C$1199,0)),"",INDEX('Compliance Database'!$B$2:$B$1199,MATCH(1014,'Transfer Engine'!$C$2:$C$1199,0)))</f>
        <v/>
      </c>
      <c r="C1023" s="6" t="str">
        <f>IF(ISNA(MATCH(1014,'Transfer Engine'!$C$2:$C$1199,0)),"",INDEX('Compliance Database'!$C$2:$C$1199,MATCH(1014,'Transfer Engine'!$C$2:$C$1199,0)))</f>
        <v/>
      </c>
      <c r="D1023" s="7" t="str">
        <f>IF(ISNA(MATCH(1014,'Transfer Engine'!$C$2:$C$1199,0)),"",INDEX('Compliance Database'!$D$2:$D$1199,MATCH(1014,'Transfer Engine'!$C$2:$C$1199,0)))</f>
        <v/>
      </c>
      <c r="E1023" s="6" t="str">
        <f>IF(ISNA(MATCH(1014,'Transfer Engine'!$C$2:$C$1199,0)),"",INDEX('Compliance Database'!$E$2:$E$1199,MATCH(1014,'Transfer Engine'!$C$2:$C$1199,0)))</f>
        <v/>
      </c>
      <c r="F1023" s="6" t="str">
        <f>IF(ISNA(MATCH(1014,'Transfer Engine'!$C$2:$C$1199,0)),"",INDEX('Compliance Database'!$F$2:$F$1199,MATCH(1014,'Transfer Engine'!$C$2:$C$1199,0)))</f>
        <v/>
      </c>
      <c r="G1023" s="6" t="str">
        <f>IF(ISNA(MATCH(1014,'Transfer Engine'!$C$2:$C$1199,0)),"",INDEX('Compliance Database'!$G$2:$G$1199,MATCH(1014,'Transfer Engine'!$C$2:$C$1199,0)))</f>
        <v/>
      </c>
      <c r="H1023" s="7" t="str">
        <f>IF(ISNA(MATCH(1014,'Transfer Engine'!$C$2:$C$1199,0)),"",INDEX('Compliance Database'!$H$2:$H$1199,MATCH(1014,'Transfer Engine'!$C$2:$C$1199,0)))</f>
        <v/>
      </c>
      <c r="I1023" s="7" t="str">
        <f>IF(ISNA(MATCH(1014,'Transfer Engine'!$C$2:$C$1199,0)),"",INDEX('Compliance Database'!$I$2:$I$1199,MATCH(1014,'Transfer Engine'!$C$2:$C$1199,0)))</f>
        <v/>
      </c>
      <c r="J1023" s="6" t="str">
        <f>IF(ISNA(MATCH(1014,'Transfer Engine'!$C$2:$C$1199,0)),"",INDEX('Compliance Database'!$J$2:$J$1199,MATCH(1014,'Transfer Engine'!$C$2:$C$1199,0)))</f>
        <v/>
      </c>
      <c r="K1023" s="7" t="str">
        <f>IF(ISNA(MATCH(1014,'Transfer Engine'!$C$2:$C$1199,0)),"",INDEX('Compliance Database'!$K$2:$K$1199,MATCH(1014,'Transfer Engine'!$C$2:$C$1199,0)))</f>
        <v/>
      </c>
      <c r="L1023" s="7" t="str">
        <f>IF(ISNA(MATCH(1014,'Transfer Engine'!$C$2:$C$1199,0)),"",INDEX('Compliance Database'!$L$2:$L$1199,MATCH(1014,'Transfer Engine'!$C$2:$C$1199,0)))</f>
        <v/>
      </c>
      <c r="M1023" s="7" t="str">
        <f>IF(ISNA(MATCH(1014,'Transfer Engine'!$C$2:$C$1199,0)),"",INDEX('Compliance Database'!$M$2:$M$1199,MATCH(1014,'Transfer Engine'!$C$2:$C$1199,0)))</f>
        <v/>
      </c>
      <c r="N1023" s="7" t="str">
        <f>IF(ISNA(MATCH(1014,'Transfer Engine'!$C$2:$C$1199,0)),"",INDEX('Compliance Database'!$N$2:$N$1199,MATCH(1014,'Transfer Engine'!$C$2:$C$1199,0)))</f>
        <v/>
      </c>
      <c r="O1023" s="7" t="str">
        <f>IF(ISNA(MATCH(1014,'Transfer Engine'!$C$2:$C$1199,0)),"",INDEX('Compliance Database'!$O$2:$O$1199,MATCH(1014,'Transfer Engine'!$C$2:$C$1199,0)))</f>
        <v/>
      </c>
      <c r="P1023" s="6" t="str">
        <f>IF(ISNA(MATCH(1014,'Transfer Engine'!$C$2:$C$1199,0)),"",HYPERLINK("#Acts!A"&amp;INDEX('Compliance Database'!$P$2:$P$1199,MATCH(1014,'Transfer Engine'!$C$2:$C$1199,0)),"Go to Act"))</f>
        <v/>
      </c>
    </row>
    <row r="1024" spans="1:16" ht="172.95" customHeight="1" x14ac:dyDescent="0.3">
      <c r="A1024" s="6" t="str">
        <f>IF(ISNA(MATCH(1015,'Transfer Engine'!$C$2:$C$1199,0)),"",INDEX('Compliance Database'!$A$2:$A$1199,MATCH(1015,'Transfer Engine'!$C$2:$C$1199,0)))</f>
        <v/>
      </c>
      <c r="B1024" s="6" t="str">
        <f>IF(ISNA(MATCH(1015,'Transfer Engine'!$C$2:$C$1199,0)),"",INDEX('Compliance Database'!$B$2:$B$1199,MATCH(1015,'Transfer Engine'!$C$2:$C$1199,0)))</f>
        <v/>
      </c>
      <c r="C1024" s="6" t="str">
        <f>IF(ISNA(MATCH(1015,'Transfer Engine'!$C$2:$C$1199,0)),"",INDEX('Compliance Database'!$C$2:$C$1199,MATCH(1015,'Transfer Engine'!$C$2:$C$1199,0)))</f>
        <v/>
      </c>
      <c r="D1024" s="7" t="str">
        <f>IF(ISNA(MATCH(1015,'Transfer Engine'!$C$2:$C$1199,0)),"",INDEX('Compliance Database'!$D$2:$D$1199,MATCH(1015,'Transfer Engine'!$C$2:$C$1199,0)))</f>
        <v/>
      </c>
      <c r="E1024" s="6" t="str">
        <f>IF(ISNA(MATCH(1015,'Transfer Engine'!$C$2:$C$1199,0)),"",INDEX('Compliance Database'!$E$2:$E$1199,MATCH(1015,'Transfer Engine'!$C$2:$C$1199,0)))</f>
        <v/>
      </c>
      <c r="F1024" s="6" t="str">
        <f>IF(ISNA(MATCH(1015,'Transfer Engine'!$C$2:$C$1199,0)),"",INDEX('Compliance Database'!$F$2:$F$1199,MATCH(1015,'Transfer Engine'!$C$2:$C$1199,0)))</f>
        <v/>
      </c>
      <c r="G1024" s="6" t="str">
        <f>IF(ISNA(MATCH(1015,'Transfer Engine'!$C$2:$C$1199,0)),"",INDEX('Compliance Database'!$G$2:$G$1199,MATCH(1015,'Transfer Engine'!$C$2:$C$1199,0)))</f>
        <v/>
      </c>
      <c r="H1024" s="7" t="str">
        <f>IF(ISNA(MATCH(1015,'Transfer Engine'!$C$2:$C$1199,0)),"",INDEX('Compliance Database'!$H$2:$H$1199,MATCH(1015,'Transfer Engine'!$C$2:$C$1199,0)))</f>
        <v/>
      </c>
      <c r="I1024" s="7" t="str">
        <f>IF(ISNA(MATCH(1015,'Transfer Engine'!$C$2:$C$1199,0)),"",INDEX('Compliance Database'!$I$2:$I$1199,MATCH(1015,'Transfer Engine'!$C$2:$C$1199,0)))</f>
        <v/>
      </c>
      <c r="J1024" s="6" t="str">
        <f>IF(ISNA(MATCH(1015,'Transfer Engine'!$C$2:$C$1199,0)),"",INDEX('Compliance Database'!$J$2:$J$1199,MATCH(1015,'Transfer Engine'!$C$2:$C$1199,0)))</f>
        <v/>
      </c>
      <c r="K1024" s="7" t="str">
        <f>IF(ISNA(MATCH(1015,'Transfer Engine'!$C$2:$C$1199,0)),"",INDEX('Compliance Database'!$K$2:$K$1199,MATCH(1015,'Transfer Engine'!$C$2:$C$1199,0)))</f>
        <v/>
      </c>
      <c r="L1024" s="7" t="str">
        <f>IF(ISNA(MATCH(1015,'Transfer Engine'!$C$2:$C$1199,0)),"",INDEX('Compliance Database'!$L$2:$L$1199,MATCH(1015,'Transfer Engine'!$C$2:$C$1199,0)))</f>
        <v/>
      </c>
      <c r="M1024" s="7" t="str">
        <f>IF(ISNA(MATCH(1015,'Transfer Engine'!$C$2:$C$1199,0)),"",INDEX('Compliance Database'!$M$2:$M$1199,MATCH(1015,'Transfer Engine'!$C$2:$C$1199,0)))</f>
        <v/>
      </c>
      <c r="N1024" s="7" t="str">
        <f>IF(ISNA(MATCH(1015,'Transfer Engine'!$C$2:$C$1199,0)),"",INDEX('Compliance Database'!$N$2:$N$1199,MATCH(1015,'Transfer Engine'!$C$2:$C$1199,0)))</f>
        <v/>
      </c>
      <c r="O1024" s="7" t="str">
        <f>IF(ISNA(MATCH(1015,'Transfer Engine'!$C$2:$C$1199,0)),"",INDEX('Compliance Database'!$O$2:$O$1199,MATCH(1015,'Transfer Engine'!$C$2:$C$1199,0)))</f>
        <v/>
      </c>
      <c r="P1024" s="6" t="str">
        <f>IF(ISNA(MATCH(1015,'Transfer Engine'!$C$2:$C$1199,0)),"",HYPERLINK("#Acts!A"&amp;INDEX('Compliance Database'!$P$2:$P$1199,MATCH(1015,'Transfer Engine'!$C$2:$C$1199,0)),"Go to Act"))</f>
        <v/>
      </c>
    </row>
    <row r="1025" spans="1:16" ht="172.95" customHeight="1" x14ac:dyDescent="0.3">
      <c r="A1025" s="6" t="str">
        <f>IF(ISNA(MATCH(1016,'Transfer Engine'!$C$2:$C$1199,0)),"",INDEX('Compliance Database'!$A$2:$A$1199,MATCH(1016,'Transfer Engine'!$C$2:$C$1199,0)))</f>
        <v/>
      </c>
      <c r="B1025" s="6" t="str">
        <f>IF(ISNA(MATCH(1016,'Transfer Engine'!$C$2:$C$1199,0)),"",INDEX('Compliance Database'!$B$2:$B$1199,MATCH(1016,'Transfer Engine'!$C$2:$C$1199,0)))</f>
        <v/>
      </c>
      <c r="C1025" s="6" t="str">
        <f>IF(ISNA(MATCH(1016,'Transfer Engine'!$C$2:$C$1199,0)),"",INDEX('Compliance Database'!$C$2:$C$1199,MATCH(1016,'Transfer Engine'!$C$2:$C$1199,0)))</f>
        <v/>
      </c>
      <c r="D1025" s="7" t="str">
        <f>IF(ISNA(MATCH(1016,'Transfer Engine'!$C$2:$C$1199,0)),"",INDEX('Compliance Database'!$D$2:$D$1199,MATCH(1016,'Transfer Engine'!$C$2:$C$1199,0)))</f>
        <v/>
      </c>
      <c r="E1025" s="6" t="str">
        <f>IF(ISNA(MATCH(1016,'Transfer Engine'!$C$2:$C$1199,0)),"",INDEX('Compliance Database'!$E$2:$E$1199,MATCH(1016,'Transfer Engine'!$C$2:$C$1199,0)))</f>
        <v/>
      </c>
      <c r="F1025" s="6" t="str">
        <f>IF(ISNA(MATCH(1016,'Transfer Engine'!$C$2:$C$1199,0)),"",INDEX('Compliance Database'!$F$2:$F$1199,MATCH(1016,'Transfer Engine'!$C$2:$C$1199,0)))</f>
        <v/>
      </c>
      <c r="G1025" s="6" t="str">
        <f>IF(ISNA(MATCH(1016,'Transfer Engine'!$C$2:$C$1199,0)),"",INDEX('Compliance Database'!$G$2:$G$1199,MATCH(1016,'Transfer Engine'!$C$2:$C$1199,0)))</f>
        <v/>
      </c>
      <c r="H1025" s="7" t="str">
        <f>IF(ISNA(MATCH(1016,'Transfer Engine'!$C$2:$C$1199,0)),"",INDEX('Compliance Database'!$H$2:$H$1199,MATCH(1016,'Transfer Engine'!$C$2:$C$1199,0)))</f>
        <v/>
      </c>
      <c r="I1025" s="7" t="str">
        <f>IF(ISNA(MATCH(1016,'Transfer Engine'!$C$2:$C$1199,0)),"",INDEX('Compliance Database'!$I$2:$I$1199,MATCH(1016,'Transfer Engine'!$C$2:$C$1199,0)))</f>
        <v/>
      </c>
      <c r="J1025" s="6" t="str">
        <f>IF(ISNA(MATCH(1016,'Transfer Engine'!$C$2:$C$1199,0)),"",INDEX('Compliance Database'!$J$2:$J$1199,MATCH(1016,'Transfer Engine'!$C$2:$C$1199,0)))</f>
        <v/>
      </c>
      <c r="K1025" s="7" t="str">
        <f>IF(ISNA(MATCH(1016,'Transfer Engine'!$C$2:$C$1199,0)),"",INDEX('Compliance Database'!$K$2:$K$1199,MATCH(1016,'Transfer Engine'!$C$2:$C$1199,0)))</f>
        <v/>
      </c>
      <c r="L1025" s="7" t="str">
        <f>IF(ISNA(MATCH(1016,'Transfer Engine'!$C$2:$C$1199,0)),"",INDEX('Compliance Database'!$L$2:$L$1199,MATCH(1016,'Transfer Engine'!$C$2:$C$1199,0)))</f>
        <v/>
      </c>
      <c r="M1025" s="7" t="str">
        <f>IF(ISNA(MATCH(1016,'Transfer Engine'!$C$2:$C$1199,0)),"",INDEX('Compliance Database'!$M$2:$M$1199,MATCH(1016,'Transfer Engine'!$C$2:$C$1199,0)))</f>
        <v/>
      </c>
      <c r="N1025" s="7" t="str">
        <f>IF(ISNA(MATCH(1016,'Transfer Engine'!$C$2:$C$1199,0)),"",INDEX('Compliance Database'!$N$2:$N$1199,MATCH(1016,'Transfer Engine'!$C$2:$C$1199,0)))</f>
        <v/>
      </c>
      <c r="O1025" s="7" t="str">
        <f>IF(ISNA(MATCH(1016,'Transfer Engine'!$C$2:$C$1199,0)),"",INDEX('Compliance Database'!$O$2:$O$1199,MATCH(1016,'Transfer Engine'!$C$2:$C$1199,0)))</f>
        <v/>
      </c>
      <c r="P1025" s="6" t="str">
        <f>IF(ISNA(MATCH(1016,'Transfer Engine'!$C$2:$C$1199,0)),"",HYPERLINK("#Acts!A"&amp;INDEX('Compliance Database'!$P$2:$P$1199,MATCH(1016,'Transfer Engine'!$C$2:$C$1199,0)),"Go to Act"))</f>
        <v/>
      </c>
    </row>
    <row r="1026" spans="1:16" ht="172.95" customHeight="1" x14ac:dyDescent="0.3">
      <c r="A1026" s="6" t="str">
        <f>IF(ISNA(MATCH(1017,'Transfer Engine'!$C$2:$C$1199,0)),"",INDEX('Compliance Database'!$A$2:$A$1199,MATCH(1017,'Transfer Engine'!$C$2:$C$1199,0)))</f>
        <v/>
      </c>
      <c r="B1026" s="6" t="str">
        <f>IF(ISNA(MATCH(1017,'Transfer Engine'!$C$2:$C$1199,0)),"",INDEX('Compliance Database'!$B$2:$B$1199,MATCH(1017,'Transfer Engine'!$C$2:$C$1199,0)))</f>
        <v/>
      </c>
      <c r="C1026" s="6" t="str">
        <f>IF(ISNA(MATCH(1017,'Transfer Engine'!$C$2:$C$1199,0)),"",INDEX('Compliance Database'!$C$2:$C$1199,MATCH(1017,'Transfer Engine'!$C$2:$C$1199,0)))</f>
        <v/>
      </c>
      <c r="D1026" s="7" t="str">
        <f>IF(ISNA(MATCH(1017,'Transfer Engine'!$C$2:$C$1199,0)),"",INDEX('Compliance Database'!$D$2:$D$1199,MATCH(1017,'Transfer Engine'!$C$2:$C$1199,0)))</f>
        <v/>
      </c>
      <c r="E1026" s="6" t="str">
        <f>IF(ISNA(MATCH(1017,'Transfer Engine'!$C$2:$C$1199,0)),"",INDEX('Compliance Database'!$E$2:$E$1199,MATCH(1017,'Transfer Engine'!$C$2:$C$1199,0)))</f>
        <v/>
      </c>
      <c r="F1026" s="6" t="str">
        <f>IF(ISNA(MATCH(1017,'Transfer Engine'!$C$2:$C$1199,0)),"",INDEX('Compliance Database'!$F$2:$F$1199,MATCH(1017,'Transfer Engine'!$C$2:$C$1199,0)))</f>
        <v/>
      </c>
      <c r="G1026" s="6" t="str">
        <f>IF(ISNA(MATCH(1017,'Transfer Engine'!$C$2:$C$1199,0)),"",INDEX('Compliance Database'!$G$2:$G$1199,MATCH(1017,'Transfer Engine'!$C$2:$C$1199,0)))</f>
        <v/>
      </c>
      <c r="H1026" s="7" t="str">
        <f>IF(ISNA(MATCH(1017,'Transfer Engine'!$C$2:$C$1199,0)),"",INDEX('Compliance Database'!$H$2:$H$1199,MATCH(1017,'Transfer Engine'!$C$2:$C$1199,0)))</f>
        <v/>
      </c>
      <c r="I1026" s="7" t="str">
        <f>IF(ISNA(MATCH(1017,'Transfer Engine'!$C$2:$C$1199,0)),"",INDEX('Compliance Database'!$I$2:$I$1199,MATCH(1017,'Transfer Engine'!$C$2:$C$1199,0)))</f>
        <v/>
      </c>
      <c r="J1026" s="6" t="str">
        <f>IF(ISNA(MATCH(1017,'Transfer Engine'!$C$2:$C$1199,0)),"",INDEX('Compliance Database'!$J$2:$J$1199,MATCH(1017,'Transfer Engine'!$C$2:$C$1199,0)))</f>
        <v/>
      </c>
      <c r="K1026" s="7" t="str">
        <f>IF(ISNA(MATCH(1017,'Transfer Engine'!$C$2:$C$1199,0)),"",INDEX('Compliance Database'!$K$2:$K$1199,MATCH(1017,'Transfer Engine'!$C$2:$C$1199,0)))</f>
        <v/>
      </c>
      <c r="L1026" s="7" t="str">
        <f>IF(ISNA(MATCH(1017,'Transfer Engine'!$C$2:$C$1199,0)),"",INDEX('Compliance Database'!$L$2:$L$1199,MATCH(1017,'Transfer Engine'!$C$2:$C$1199,0)))</f>
        <v/>
      </c>
      <c r="M1026" s="7" t="str">
        <f>IF(ISNA(MATCH(1017,'Transfer Engine'!$C$2:$C$1199,0)),"",INDEX('Compliance Database'!$M$2:$M$1199,MATCH(1017,'Transfer Engine'!$C$2:$C$1199,0)))</f>
        <v/>
      </c>
      <c r="N1026" s="7" t="str">
        <f>IF(ISNA(MATCH(1017,'Transfer Engine'!$C$2:$C$1199,0)),"",INDEX('Compliance Database'!$N$2:$N$1199,MATCH(1017,'Transfer Engine'!$C$2:$C$1199,0)))</f>
        <v/>
      </c>
      <c r="O1026" s="7" t="str">
        <f>IF(ISNA(MATCH(1017,'Transfer Engine'!$C$2:$C$1199,0)),"",INDEX('Compliance Database'!$O$2:$O$1199,MATCH(1017,'Transfer Engine'!$C$2:$C$1199,0)))</f>
        <v/>
      </c>
      <c r="P1026" s="6" t="str">
        <f>IF(ISNA(MATCH(1017,'Transfer Engine'!$C$2:$C$1199,0)),"",HYPERLINK("#Acts!A"&amp;INDEX('Compliance Database'!$P$2:$P$1199,MATCH(1017,'Transfer Engine'!$C$2:$C$1199,0)),"Go to Act"))</f>
        <v/>
      </c>
    </row>
    <row r="1027" spans="1:16" ht="172.95" customHeight="1" x14ac:dyDescent="0.3">
      <c r="A1027" s="6" t="str">
        <f>IF(ISNA(MATCH(1018,'Transfer Engine'!$C$2:$C$1199,0)),"",INDEX('Compliance Database'!$A$2:$A$1199,MATCH(1018,'Transfer Engine'!$C$2:$C$1199,0)))</f>
        <v/>
      </c>
      <c r="B1027" s="6" t="str">
        <f>IF(ISNA(MATCH(1018,'Transfer Engine'!$C$2:$C$1199,0)),"",INDEX('Compliance Database'!$B$2:$B$1199,MATCH(1018,'Transfer Engine'!$C$2:$C$1199,0)))</f>
        <v/>
      </c>
      <c r="C1027" s="6" t="str">
        <f>IF(ISNA(MATCH(1018,'Transfer Engine'!$C$2:$C$1199,0)),"",INDEX('Compliance Database'!$C$2:$C$1199,MATCH(1018,'Transfer Engine'!$C$2:$C$1199,0)))</f>
        <v/>
      </c>
      <c r="D1027" s="7" t="str">
        <f>IF(ISNA(MATCH(1018,'Transfer Engine'!$C$2:$C$1199,0)),"",INDEX('Compliance Database'!$D$2:$D$1199,MATCH(1018,'Transfer Engine'!$C$2:$C$1199,0)))</f>
        <v/>
      </c>
      <c r="E1027" s="6" t="str">
        <f>IF(ISNA(MATCH(1018,'Transfer Engine'!$C$2:$C$1199,0)),"",INDEX('Compliance Database'!$E$2:$E$1199,MATCH(1018,'Transfer Engine'!$C$2:$C$1199,0)))</f>
        <v/>
      </c>
      <c r="F1027" s="6" t="str">
        <f>IF(ISNA(MATCH(1018,'Transfer Engine'!$C$2:$C$1199,0)),"",INDEX('Compliance Database'!$F$2:$F$1199,MATCH(1018,'Transfer Engine'!$C$2:$C$1199,0)))</f>
        <v/>
      </c>
      <c r="G1027" s="6" t="str">
        <f>IF(ISNA(MATCH(1018,'Transfer Engine'!$C$2:$C$1199,0)),"",INDEX('Compliance Database'!$G$2:$G$1199,MATCH(1018,'Transfer Engine'!$C$2:$C$1199,0)))</f>
        <v/>
      </c>
      <c r="H1027" s="7" t="str">
        <f>IF(ISNA(MATCH(1018,'Transfer Engine'!$C$2:$C$1199,0)),"",INDEX('Compliance Database'!$H$2:$H$1199,MATCH(1018,'Transfer Engine'!$C$2:$C$1199,0)))</f>
        <v/>
      </c>
      <c r="I1027" s="7" t="str">
        <f>IF(ISNA(MATCH(1018,'Transfer Engine'!$C$2:$C$1199,0)),"",INDEX('Compliance Database'!$I$2:$I$1199,MATCH(1018,'Transfer Engine'!$C$2:$C$1199,0)))</f>
        <v/>
      </c>
      <c r="J1027" s="6" t="str">
        <f>IF(ISNA(MATCH(1018,'Transfer Engine'!$C$2:$C$1199,0)),"",INDEX('Compliance Database'!$J$2:$J$1199,MATCH(1018,'Transfer Engine'!$C$2:$C$1199,0)))</f>
        <v/>
      </c>
      <c r="K1027" s="7" t="str">
        <f>IF(ISNA(MATCH(1018,'Transfer Engine'!$C$2:$C$1199,0)),"",INDEX('Compliance Database'!$K$2:$K$1199,MATCH(1018,'Transfer Engine'!$C$2:$C$1199,0)))</f>
        <v/>
      </c>
      <c r="L1027" s="7" t="str">
        <f>IF(ISNA(MATCH(1018,'Transfer Engine'!$C$2:$C$1199,0)),"",INDEX('Compliance Database'!$L$2:$L$1199,MATCH(1018,'Transfer Engine'!$C$2:$C$1199,0)))</f>
        <v/>
      </c>
      <c r="M1027" s="7" t="str">
        <f>IF(ISNA(MATCH(1018,'Transfer Engine'!$C$2:$C$1199,0)),"",INDEX('Compliance Database'!$M$2:$M$1199,MATCH(1018,'Transfer Engine'!$C$2:$C$1199,0)))</f>
        <v/>
      </c>
      <c r="N1027" s="7" t="str">
        <f>IF(ISNA(MATCH(1018,'Transfer Engine'!$C$2:$C$1199,0)),"",INDEX('Compliance Database'!$N$2:$N$1199,MATCH(1018,'Transfer Engine'!$C$2:$C$1199,0)))</f>
        <v/>
      </c>
      <c r="O1027" s="7" t="str">
        <f>IF(ISNA(MATCH(1018,'Transfer Engine'!$C$2:$C$1199,0)),"",INDEX('Compliance Database'!$O$2:$O$1199,MATCH(1018,'Transfer Engine'!$C$2:$C$1199,0)))</f>
        <v/>
      </c>
      <c r="P1027" s="6" t="str">
        <f>IF(ISNA(MATCH(1018,'Transfer Engine'!$C$2:$C$1199,0)),"",HYPERLINK("#Acts!A"&amp;INDEX('Compliance Database'!$P$2:$P$1199,MATCH(1018,'Transfer Engine'!$C$2:$C$1199,0)),"Go to Act"))</f>
        <v/>
      </c>
    </row>
    <row r="1028" spans="1:16" ht="172.95" customHeight="1" x14ac:dyDescent="0.3">
      <c r="A1028" s="6" t="str">
        <f>IF(ISNA(MATCH(1019,'Transfer Engine'!$C$2:$C$1199,0)),"",INDEX('Compliance Database'!$A$2:$A$1199,MATCH(1019,'Transfer Engine'!$C$2:$C$1199,0)))</f>
        <v/>
      </c>
      <c r="B1028" s="6" t="str">
        <f>IF(ISNA(MATCH(1019,'Transfer Engine'!$C$2:$C$1199,0)),"",INDEX('Compliance Database'!$B$2:$B$1199,MATCH(1019,'Transfer Engine'!$C$2:$C$1199,0)))</f>
        <v/>
      </c>
      <c r="C1028" s="6" t="str">
        <f>IF(ISNA(MATCH(1019,'Transfer Engine'!$C$2:$C$1199,0)),"",INDEX('Compliance Database'!$C$2:$C$1199,MATCH(1019,'Transfer Engine'!$C$2:$C$1199,0)))</f>
        <v/>
      </c>
      <c r="D1028" s="7" t="str">
        <f>IF(ISNA(MATCH(1019,'Transfer Engine'!$C$2:$C$1199,0)),"",INDEX('Compliance Database'!$D$2:$D$1199,MATCH(1019,'Transfer Engine'!$C$2:$C$1199,0)))</f>
        <v/>
      </c>
      <c r="E1028" s="6" t="str">
        <f>IF(ISNA(MATCH(1019,'Transfer Engine'!$C$2:$C$1199,0)),"",INDEX('Compliance Database'!$E$2:$E$1199,MATCH(1019,'Transfer Engine'!$C$2:$C$1199,0)))</f>
        <v/>
      </c>
      <c r="F1028" s="6" t="str">
        <f>IF(ISNA(MATCH(1019,'Transfer Engine'!$C$2:$C$1199,0)),"",INDEX('Compliance Database'!$F$2:$F$1199,MATCH(1019,'Transfer Engine'!$C$2:$C$1199,0)))</f>
        <v/>
      </c>
      <c r="G1028" s="6" t="str">
        <f>IF(ISNA(MATCH(1019,'Transfer Engine'!$C$2:$C$1199,0)),"",INDEX('Compliance Database'!$G$2:$G$1199,MATCH(1019,'Transfer Engine'!$C$2:$C$1199,0)))</f>
        <v/>
      </c>
      <c r="H1028" s="7" t="str">
        <f>IF(ISNA(MATCH(1019,'Transfer Engine'!$C$2:$C$1199,0)),"",INDEX('Compliance Database'!$H$2:$H$1199,MATCH(1019,'Transfer Engine'!$C$2:$C$1199,0)))</f>
        <v/>
      </c>
      <c r="I1028" s="7" t="str">
        <f>IF(ISNA(MATCH(1019,'Transfer Engine'!$C$2:$C$1199,0)),"",INDEX('Compliance Database'!$I$2:$I$1199,MATCH(1019,'Transfer Engine'!$C$2:$C$1199,0)))</f>
        <v/>
      </c>
      <c r="J1028" s="6" t="str">
        <f>IF(ISNA(MATCH(1019,'Transfer Engine'!$C$2:$C$1199,0)),"",INDEX('Compliance Database'!$J$2:$J$1199,MATCH(1019,'Transfer Engine'!$C$2:$C$1199,0)))</f>
        <v/>
      </c>
      <c r="K1028" s="7" t="str">
        <f>IF(ISNA(MATCH(1019,'Transfer Engine'!$C$2:$C$1199,0)),"",INDEX('Compliance Database'!$K$2:$K$1199,MATCH(1019,'Transfer Engine'!$C$2:$C$1199,0)))</f>
        <v/>
      </c>
      <c r="L1028" s="7" t="str">
        <f>IF(ISNA(MATCH(1019,'Transfer Engine'!$C$2:$C$1199,0)),"",INDEX('Compliance Database'!$L$2:$L$1199,MATCH(1019,'Transfer Engine'!$C$2:$C$1199,0)))</f>
        <v/>
      </c>
      <c r="M1028" s="7" t="str">
        <f>IF(ISNA(MATCH(1019,'Transfer Engine'!$C$2:$C$1199,0)),"",INDEX('Compliance Database'!$M$2:$M$1199,MATCH(1019,'Transfer Engine'!$C$2:$C$1199,0)))</f>
        <v/>
      </c>
      <c r="N1028" s="7" t="str">
        <f>IF(ISNA(MATCH(1019,'Transfer Engine'!$C$2:$C$1199,0)),"",INDEX('Compliance Database'!$N$2:$N$1199,MATCH(1019,'Transfer Engine'!$C$2:$C$1199,0)))</f>
        <v/>
      </c>
      <c r="O1028" s="7" t="str">
        <f>IF(ISNA(MATCH(1019,'Transfer Engine'!$C$2:$C$1199,0)),"",INDEX('Compliance Database'!$O$2:$O$1199,MATCH(1019,'Transfer Engine'!$C$2:$C$1199,0)))</f>
        <v/>
      </c>
      <c r="P1028" s="6" t="str">
        <f>IF(ISNA(MATCH(1019,'Transfer Engine'!$C$2:$C$1199,0)),"",HYPERLINK("#Acts!A"&amp;INDEX('Compliance Database'!$P$2:$P$1199,MATCH(1019,'Transfer Engine'!$C$2:$C$1199,0)),"Go to Act"))</f>
        <v/>
      </c>
    </row>
    <row r="1029" spans="1:16" ht="172.95" customHeight="1" x14ac:dyDescent="0.3">
      <c r="A1029" s="6" t="str">
        <f>IF(ISNA(MATCH(1020,'Transfer Engine'!$C$2:$C$1199,0)),"",INDEX('Compliance Database'!$A$2:$A$1199,MATCH(1020,'Transfer Engine'!$C$2:$C$1199,0)))</f>
        <v/>
      </c>
      <c r="B1029" s="6" t="str">
        <f>IF(ISNA(MATCH(1020,'Transfer Engine'!$C$2:$C$1199,0)),"",INDEX('Compliance Database'!$B$2:$B$1199,MATCH(1020,'Transfer Engine'!$C$2:$C$1199,0)))</f>
        <v/>
      </c>
      <c r="C1029" s="6" t="str">
        <f>IF(ISNA(MATCH(1020,'Transfer Engine'!$C$2:$C$1199,0)),"",INDEX('Compliance Database'!$C$2:$C$1199,MATCH(1020,'Transfer Engine'!$C$2:$C$1199,0)))</f>
        <v/>
      </c>
      <c r="D1029" s="7" t="str">
        <f>IF(ISNA(MATCH(1020,'Transfer Engine'!$C$2:$C$1199,0)),"",INDEX('Compliance Database'!$D$2:$D$1199,MATCH(1020,'Transfer Engine'!$C$2:$C$1199,0)))</f>
        <v/>
      </c>
      <c r="E1029" s="6" t="str">
        <f>IF(ISNA(MATCH(1020,'Transfer Engine'!$C$2:$C$1199,0)),"",INDEX('Compliance Database'!$E$2:$E$1199,MATCH(1020,'Transfer Engine'!$C$2:$C$1199,0)))</f>
        <v/>
      </c>
      <c r="F1029" s="6" t="str">
        <f>IF(ISNA(MATCH(1020,'Transfer Engine'!$C$2:$C$1199,0)),"",INDEX('Compliance Database'!$F$2:$F$1199,MATCH(1020,'Transfer Engine'!$C$2:$C$1199,0)))</f>
        <v/>
      </c>
      <c r="G1029" s="6" t="str">
        <f>IF(ISNA(MATCH(1020,'Transfer Engine'!$C$2:$C$1199,0)),"",INDEX('Compliance Database'!$G$2:$G$1199,MATCH(1020,'Transfer Engine'!$C$2:$C$1199,0)))</f>
        <v/>
      </c>
      <c r="H1029" s="7" t="str">
        <f>IF(ISNA(MATCH(1020,'Transfer Engine'!$C$2:$C$1199,0)),"",INDEX('Compliance Database'!$H$2:$H$1199,MATCH(1020,'Transfer Engine'!$C$2:$C$1199,0)))</f>
        <v/>
      </c>
      <c r="I1029" s="7" t="str">
        <f>IF(ISNA(MATCH(1020,'Transfer Engine'!$C$2:$C$1199,0)),"",INDEX('Compliance Database'!$I$2:$I$1199,MATCH(1020,'Transfer Engine'!$C$2:$C$1199,0)))</f>
        <v/>
      </c>
      <c r="J1029" s="6" t="str">
        <f>IF(ISNA(MATCH(1020,'Transfer Engine'!$C$2:$C$1199,0)),"",INDEX('Compliance Database'!$J$2:$J$1199,MATCH(1020,'Transfer Engine'!$C$2:$C$1199,0)))</f>
        <v/>
      </c>
      <c r="K1029" s="7" t="str">
        <f>IF(ISNA(MATCH(1020,'Transfer Engine'!$C$2:$C$1199,0)),"",INDEX('Compliance Database'!$K$2:$K$1199,MATCH(1020,'Transfer Engine'!$C$2:$C$1199,0)))</f>
        <v/>
      </c>
      <c r="L1029" s="7" t="str">
        <f>IF(ISNA(MATCH(1020,'Transfer Engine'!$C$2:$C$1199,0)),"",INDEX('Compliance Database'!$L$2:$L$1199,MATCH(1020,'Transfer Engine'!$C$2:$C$1199,0)))</f>
        <v/>
      </c>
      <c r="M1029" s="7" t="str">
        <f>IF(ISNA(MATCH(1020,'Transfer Engine'!$C$2:$C$1199,0)),"",INDEX('Compliance Database'!$M$2:$M$1199,MATCH(1020,'Transfer Engine'!$C$2:$C$1199,0)))</f>
        <v/>
      </c>
      <c r="N1029" s="7" t="str">
        <f>IF(ISNA(MATCH(1020,'Transfer Engine'!$C$2:$C$1199,0)),"",INDEX('Compliance Database'!$N$2:$N$1199,MATCH(1020,'Transfer Engine'!$C$2:$C$1199,0)))</f>
        <v/>
      </c>
      <c r="O1029" s="7" t="str">
        <f>IF(ISNA(MATCH(1020,'Transfer Engine'!$C$2:$C$1199,0)),"",INDEX('Compliance Database'!$O$2:$O$1199,MATCH(1020,'Transfer Engine'!$C$2:$C$1199,0)))</f>
        <v/>
      </c>
      <c r="P1029" s="6" t="str">
        <f>IF(ISNA(MATCH(1020,'Transfer Engine'!$C$2:$C$1199,0)),"",HYPERLINK("#Acts!A"&amp;INDEX('Compliance Database'!$P$2:$P$1199,MATCH(1020,'Transfer Engine'!$C$2:$C$1199,0)),"Go to Act"))</f>
        <v/>
      </c>
    </row>
    <row r="1030" spans="1:16" ht="172.95" customHeight="1" x14ac:dyDescent="0.3">
      <c r="A1030" s="6" t="str">
        <f>IF(ISNA(MATCH(1021,'Transfer Engine'!$C$2:$C$1199,0)),"",INDEX('Compliance Database'!$A$2:$A$1199,MATCH(1021,'Transfer Engine'!$C$2:$C$1199,0)))</f>
        <v/>
      </c>
      <c r="B1030" s="6" t="str">
        <f>IF(ISNA(MATCH(1021,'Transfer Engine'!$C$2:$C$1199,0)),"",INDEX('Compliance Database'!$B$2:$B$1199,MATCH(1021,'Transfer Engine'!$C$2:$C$1199,0)))</f>
        <v/>
      </c>
      <c r="C1030" s="6" t="str">
        <f>IF(ISNA(MATCH(1021,'Transfer Engine'!$C$2:$C$1199,0)),"",INDEX('Compliance Database'!$C$2:$C$1199,MATCH(1021,'Transfer Engine'!$C$2:$C$1199,0)))</f>
        <v/>
      </c>
      <c r="D1030" s="7" t="str">
        <f>IF(ISNA(MATCH(1021,'Transfer Engine'!$C$2:$C$1199,0)),"",INDEX('Compliance Database'!$D$2:$D$1199,MATCH(1021,'Transfer Engine'!$C$2:$C$1199,0)))</f>
        <v/>
      </c>
      <c r="E1030" s="6" t="str">
        <f>IF(ISNA(MATCH(1021,'Transfer Engine'!$C$2:$C$1199,0)),"",INDEX('Compliance Database'!$E$2:$E$1199,MATCH(1021,'Transfer Engine'!$C$2:$C$1199,0)))</f>
        <v/>
      </c>
      <c r="F1030" s="6" t="str">
        <f>IF(ISNA(MATCH(1021,'Transfer Engine'!$C$2:$C$1199,0)),"",INDEX('Compliance Database'!$F$2:$F$1199,MATCH(1021,'Transfer Engine'!$C$2:$C$1199,0)))</f>
        <v/>
      </c>
      <c r="G1030" s="6" t="str">
        <f>IF(ISNA(MATCH(1021,'Transfer Engine'!$C$2:$C$1199,0)),"",INDEX('Compliance Database'!$G$2:$G$1199,MATCH(1021,'Transfer Engine'!$C$2:$C$1199,0)))</f>
        <v/>
      </c>
      <c r="H1030" s="7" t="str">
        <f>IF(ISNA(MATCH(1021,'Transfer Engine'!$C$2:$C$1199,0)),"",INDEX('Compliance Database'!$H$2:$H$1199,MATCH(1021,'Transfer Engine'!$C$2:$C$1199,0)))</f>
        <v/>
      </c>
      <c r="I1030" s="7" t="str">
        <f>IF(ISNA(MATCH(1021,'Transfer Engine'!$C$2:$C$1199,0)),"",INDEX('Compliance Database'!$I$2:$I$1199,MATCH(1021,'Transfer Engine'!$C$2:$C$1199,0)))</f>
        <v/>
      </c>
      <c r="J1030" s="6" t="str">
        <f>IF(ISNA(MATCH(1021,'Transfer Engine'!$C$2:$C$1199,0)),"",INDEX('Compliance Database'!$J$2:$J$1199,MATCH(1021,'Transfer Engine'!$C$2:$C$1199,0)))</f>
        <v/>
      </c>
      <c r="K1030" s="7" t="str">
        <f>IF(ISNA(MATCH(1021,'Transfer Engine'!$C$2:$C$1199,0)),"",INDEX('Compliance Database'!$K$2:$K$1199,MATCH(1021,'Transfer Engine'!$C$2:$C$1199,0)))</f>
        <v/>
      </c>
      <c r="L1030" s="7" t="str">
        <f>IF(ISNA(MATCH(1021,'Transfer Engine'!$C$2:$C$1199,0)),"",INDEX('Compliance Database'!$L$2:$L$1199,MATCH(1021,'Transfer Engine'!$C$2:$C$1199,0)))</f>
        <v/>
      </c>
      <c r="M1030" s="7" t="str">
        <f>IF(ISNA(MATCH(1021,'Transfer Engine'!$C$2:$C$1199,0)),"",INDEX('Compliance Database'!$M$2:$M$1199,MATCH(1021,'Transfer Engine'!$C$2:$C$1199,0)))</f>
        <v/>
      </c>
      <c r="N1030" s="7" t="str">
        <f>IF(ISNA(MATCH(1021,'Transfer Engine'!$C$2:$C$1199,0)),"",INDEX('Compliance Database'!$N$2:$N$1199,MATCH(1021,'Transfer Engine'!$C$2:$C$1199,0)))</f>
        <v/>
      </c>
      <c r="O1030" s="7" t="str">
        <f>IF(ISNA(MATCH(1021,'Transfer Engine'!$C$2:$C$1199,0)),"",INDEX('Compliance Database'!$O$2:$O$1199,MATCH(1021,'Transfer Engine'!$C$2:$C$1199,0)))</f>
        <v/>
      </c>
      <c r="P1030" s="6" t="str">
        <f>IF(ISNA(MATCH(1021,'Transfer Engine'!$C$2:$C$1199,0)),"",HYPERLINK("#Acts!A"&amp;INDEX('Compliance Database'!$P$2:$P$1199,MATCH(1021,'Transfer Engine'!$C$2:$C$1199,0)),"Go to Act"))</f>
        <v/>
      </c>
    </row>
    <row r="1031" spans="1:16" ht="172.95" customHeight="1" x14ac:dyDescent="0.3">
      <c r="A1031" s="6" t="str">
        <f>IF(ISNA(MATCH(1022,'Transfer Engine'!$C$2:$C$1199,0)),"",INDEX('Compliance Database'!$A$2:$A$1199,MATCH(1022,'Transfer Engine'!$C$2:$C$1199,0)))</f>
        <v/>
      </c>
      <c r="B1031" s="6" t="str">
        <f>IF(ISNA(MATCH(1022,'Transfer Engine'!$C$2:$C$1199,0)),"",INDEX('Compliance Database'!$B$2:$B$1199,MATCH(1022,'Transfer Engine'!$C$2:$C$1199,0)))</f>
        <v/>
      </c>
      <c r="C1031" s="6" t="str">
        <f>IF(ISNA(MATCH(1022,'Transfer Engine'!$C$2:$C$1199,0)),"",INDEX('Compliance Database'!$C$2:$C$1199,MATCH(1022,'Transfer Engine'!$C$2:$C$1199,0)))</f>
        <v/>
      </c>
      <c r="D1031" s="7" t="str">
        <f>IF(ISNA(MATCH(1022,'Transfer Engine'!$C$2:$C$1199,0)),"",INDEX('Compliance Database'!$D$2:$D$1199,MATCH(1022,'Transfer Engine'!$C$2:$C$1199,0)))</f>
        <v/>
      </c>
      <c r="E1031" s="6" t="str">
        <f>IF(ISNA(MATCH(1022,'Transfer Engine'!$C$2:$C$1199,0)),"",INDEX('Compliance Database'!$E$2:$E$1199,MATCH(1022,'Transfer Engine'!$C$2:$C$1199,0)))</f>
        <v/>
      </c>
      <c r="F1031" s="6" t="str">
        <f>IF(ISNA(MATCH(1022,'Transfer Engine'!$C$2:$C$1199,0)),"",INDEX('Compliance Database'!$F$2:$F$1199,MATCH(1022,'Transfer Engine'!$C$2:$C$1199,0)))</f>
        <v/>
      </c>
      <c r="G1031" s="6" t="str">
        <f>IF(ISNA(MATCH(1022,'Transfer Engine'!$C$2:$C$1199,0)),"",INDEX('Compliance Database'!$G$2:$G$1199,MATCH(1022,'Transfer Engine'!$C$2:$C$1199,0)))</f>
        <v/>
      </c>
      <c r="H1031" s="7" t="str">
        <f>IF(ISNA(MATCH(1022,'Transfer Engine'!$C$2:$C$1199,0)),"",INDEX('Compliance Database'!$H$2:$H$1199,MATCH(1022,'Transfer Engine'!$C$2:$C$1199,0)))</f>
        <v/>
      </c>
      <c r="I1031" s="7" t="str">
        <f>IF(ISNA(MATCH(1022,'Transfer Engine'!$C$2:$C$1199,0)),"",INDEX('Compliance Database'!$I$2:$I$1199,MATCH(1022,'Transfer Engine'!$C$2:$C$1199,0)))</f>
        <v/>
      </c>
      <c r="J1031" s="6" t="str">
        <f>IF(ISNA(MATCH(1022,'Transfer Engine'!$C$2:$C$1199,0)),"",INDEX('Compliance Database'!$J$2:$J$1199,MATCH(1022,'Transfer Engine'!$C$2:$C$1199,0)))</f>
        <v/>
      </c>
      <c r="K1031" s="7" t="str">
        <f>IF(ISNA(MATCH(1022,'Transfer Engine'!$C$2:$C$1199,0)),"",INDEX('Compliance Database'!$K$2:$K$1199,MATCH(1022,'Transfer Engine'!$C$2:$C$1199,0)))</f>
        <v/>
      </c>
      <c r="L1031" s="7" t="str">
        <f>IF(ISNA(MATCH(1022,'Transfer Engine'!$C$2:$C$1199,0)),"",INDEX('Compliance Database'!$L$2:$L$1199,MATCH(1022,'Transfer Engine'!$C$2:$C$1199,0)))</f>
        <v/>
      </c>
      <c r="M1031" s="7" t="str">
        <f>IF(ISNA(MATCH(1022,'Transfer Engine'!$C$2:$C$1199,0)),"",INDEX('Compliance Database'!$M$2:$M$1199,MATCH(1022,'Transfer Engine'!$C$2:$C$1199,0)))</f>
        <v/>
      </c>
      <c r="N1031" s="7" t="str">
        <f>IF(ISNA(MATCH(1022,'Transfer Engine'!$C$2:$C$1199,0)),"",INDEX('Compliance Database'!$N$2:$N$1199,MATCH(1022,'Transfer Engine'!$C$2:$C$1199,0)))</f>
        <v/>
      </c>
      <c r="O1031" s="7" t="str">
        <f>IF(ISNA(MATCH(1022,'Transfer Engine'!$C$2:$C$1199,0)),"",INDEX('Compliance Database'!$O$2:$O$1199,MATCH(1022,'Transfer Engine'!$C$2:$C$1199,0)))</f>
        <v/>
      </c>
      <c r="P1031" s="6" t="str">
        <f>IF(ISNA(MATCH(1022,'Transfer Engine'!$C$2:$C$1199,0)),"",HYPERLINK("#Acts!A"&amp;INDEX('Compliance Database'!$P$2:$P$1199,MATCH(1022,'Transfer Engine'!$C$2:$C$1199,0)),"Go to Act"))</f>
        <v/>
      </c>
    </row>
    <row r="1032" spans="1:16" ht="172.95" customHeight="1" x14ac:dyDescent="0.3">
      <c r="A1032" s="6" t="str">
        <f>IF(ISNA(MATCH(1023,'Transfer Engine'!$C$2:$C$1199,0)),"",INDEX('Compliance Database'!$A$2:$A$1199,MATCH(1023,'Transfer Engine'!$C$2:$C$1199,0)))</f>
        <v/>
      </c>
      <c r="B1032" s="6" t="str">
        <f>IF(ISNA(MATCH(1023,'Transfer Engine'!$C$2:$C$1199,0)),"",INDEX('Compliance Database'!$B$2:$B$1199,MATCH(1023,'Transfer Engine'!$C$2:$C$1199,0)))</f>
        <v/>
      </c>
      <c r="C1032" s="6" t="str">
        <f>IF(ISNA(MATCH(1023,'Transfer Engine'!$C$2:$C$1199,0)),"",INDEX('Compliance Database'!$C$2:$C$1199,MATCH(1023,'Transfer Engine'!$C$2:$C$1199,0)))</f>
        <v/>
      </c>
      <c r="D1032" s="7" t="str">
        <f>IF(ISNA(MATCH(1023,'Transfer Engine'!$C$2:$C$1199,0)),"",INDEX('Compliance Database'!$D$2:$D$1199,MATCH(1023,'Transfer Engine'!$C$2:$C$1199,0)))</f>
        <v/>
      </c>
      <c r="E1032" s="6" t="str">
        <f>IF(ISNA(MATCH(1023,'Transfer Engine'!$C$2:$C$1199,0)),"",INDEX('Compliance Database'!$E$2:$E$1199,MATCH(1023,'Transfer Engine'!$C$2:$C$1199,0)))</f>
        <v/>
      </c>
      <c r="F1032" s="6" t="str">
        <f>IF(ISNA(MATCH(1023,'Transfer Engine'!$C$2:$C$1199,0)),"",INDEX('Compliance Database'!$F$2:$F$1199,MATCH(1023,'Transfer Engine'!$C$2:$C$1199,0)))</f>
        <v/>
      </c>
      <c r="G1032" s="6" t="str">
        <f>IF(ISNA(MATCH(1023,'Transfer Engine'!$C$2:$C$1199,0)),"",INDEX('Compliance Database'!$G$2:$G$1199,MATCH(1023,'Transfer Engine'!$C$2:$C$1199,0)))</f>
        <v/>
      </c>
      <c r="H1032" s="7" t="str">
        <f>IF(ISNA(MATCH(1023,'Transfer Engine'!$C$2:$C$1199,0)),"",INDEX('Compliance Database'!$H$2:$H$1199,MATCH(1023,'Transfer Engine'!$C$2:$C$1199,0)))</f>
        <v/>
      </c>
      <c r="I1032" s="7" t="str">
        <f>IF(ISNA(MATCH(1023,'Transfer Engine'!$C$2:$C$1199,0)),"",INDEX('Compliance Database'!$I$2:$I$1199,MATCH(1023,'Transfer Engine'!$C$2:$C$1199,0)))</f>
        <v/>
      </c>
      <c r="J1032" s="6" t="str">
        <f>IF(ISNA(MATCH(1023,'Transfer Engine'!$C$2:$C$1199,0)),"",INDEX('Compliance Database'!$J$2:$J$1199,MATCH(1023,'Transfer Engine'!$C$2:$C$1199,0)))</f>
        <v/>
      </c>
      <c r="K1032" s="7" t="str">
        <f>IF(ISNA(MATCH(1023,'Transfer Engine'!$C$2:$C$1199,0)),"",INDEX('Compliance Database'!$K$2:$K$1199,MATCH(1023,'Transfer Engine'!$C$2:$C$1199,0)))</f>
        <v/>
      </c>
      <c r="L1032" s="7" t="str">
        <f>IF(ISNA(MATCH(1023,'Transfer Engine'!$C$2:$C$1199,0)),"",INDEX('Compliance Database'!$L$2:$L$1199,MATCH(1023,'Transfer Engine'!$C$2:$C$1199,0)))</f>
        <v/>
      </c>
      <c r="M1032" s="7" t="str">
        <f>IF(ISNA(MATCH(1023,'Transfer Engine'!$C$2:$C$1199,0)),"",INDEX('Compliance Database'!$M$2:$M$1199,MATCH(1023,'Transfer Engine'!$C$2:$C$1199,0)))</f>
        <v/>
      </c>
      <c r="N1032" s="7" t="str">
        <f>IF(ISNA(MATCH(1023,'Transfer Engine'!$C$2:$C$1199,0)),"",INDEX('Compliance Database'!$N$2:$N$1199,MATCH(1023,'Transfer Engine'!$C$2:$C$1199,0)))</f>
        <v/>
      </c>
      <c r="O1032" s="7" t="str">
        <f>IF(ISNA(MATCH(1023,'Transfer Engine'!$C$2:$C$1199,0)),"",INDEX('Compliance Database'!$O$2:$O$1199,MATCH(1023,'Transfer Engine'!$C$2:$C$1199,0)))</f>
        <v/>
      </c>
      <c r="P1032" s="6" t="str">
        <f>IF(ISNA(MATCH(1023,'Transfer Engine'!$C$2:$C$1199,0)),"",HYPERLINK("#Acts!A"&amp;INDEX('Compliance Database'!$P$2:$P$1199,MATCH(1023,'Transfer Engine'!$C$2:$C$1199,0)),"Go to Act"))</f>
        <v/>
      </c>
    </row>
    <row r="1033" spans="1:16" ht="172.95" customHeight="1" x14ac:dyDescent="0.3">
      <c r="A1033" s="6" t="str">
        <f>IF(ISNA(MATCH(1024,'Transfer Engine'!$C$2:$C$1199,0)),"",INDEX('Compliance Database'!$A$2:$A$1199,MATCH(1024,'Transfer Engine'!$C$2:$C$1199,0)))</f>
        <v/>
      </c>
      <c r="B1033" s="6" t="str">
        <f>IF(ISNA(MATCH(1024,'Transfer Engine'!$C$2:$C$1199,0)),"",INDEX('Compliance Database'!$B$2:$B$1199,MATCH(1024,'Transfer Engine'!$C$2:$C$1199,0)))</f>
        <v/>
      </c>
      <c r="C1033" s="6" t="str">
        <f>IF(ISNA(MATCH(1024,'Transfer Engine'!$C$2:$C$1199,0)),"",INDEX('Compliance Database'!$C$2:$C$1199,MATCH(1024,'Transfer Engine'!$C$2:$C$1199,0)))</f>
        <v/>
      </c>
      <c r="D1033" s="7" t="str">
        <f>IF(ISNA(MATCH(1024,'Transfer Engine'!$C$2:$C$1199,0)),"",INDEX('Compliance Database'!$D$2:$D$1199,MATCH(1024,'Transfer Engine'!$C$2:$C$1199,0)))</f>
        <v/>
      </c>
      <c r="E1033" s="6" t="str">
        <f>IF(ISNA(MATCH(1024,'Transfer Engine'!$C$2:$C$1199,0)),"",INDEX('Compliance Database'!$E$2:$E$1199,MATCH(1024,'Transfer Engine'!$C$2:$C$1199,0)))</f>
        <v/>
      </c>
      <c r="F1033" s="6" t="str">
        <f>IF(ISNA(MATCH(1024,'Transfer Engine'!$C$2:$C$1199,0)),"",INDEX('Compliance Database'!$F$2:$F$1199,MATCH(1024,'Transfer Engine'!$C$2:$C$1199,0)))</f>
        <v/>
      </c>
      <c r="G1033" s="6" t="str">
        <f>IF(ISNA(MATCH(1024,'Transfer Engine'!$C$2:$C$1199,0)),"",INDEX('Compliance Database'!$G$2:$G$1199,MATCH(1024,'Transfer Engine'!$C$2:$C$1199,0)))</f>
        <v/>
      </c>
      <c r="H1033" s="7" t="str">
        <f>IF(ISNA(MATCH(1024,'Transfer Engine'!$C$2:$C$1199,0)),"",INDEX('Compliance Database'!$H$2:$H$1199,MATCH(1024,'Transfer Engine'!$C$2:$C$1199,0)))</f>
        <v/>
      </c>
      <c r="I1033" s="7" t="str">
        <f>IF(ISNA(MATCH(1024,'Transfer Engine'!$C$2:$C$1199,0)),"",INDEX('Compliance Database'!$I$2:$I$1199,MATCH(1024,'Transfer Engine'!$C$2:$C$1199,0)))</f>
        <v/>
      </c>
      <c r="J1033" s="6" t="str">
        <f>IF(ISNA(MATCH(1024,'Transfer Engine'!$C$2:$C$1199,0)),"",INDEX('Compliance Database'!$J$2:$J$1199,MATCH(1024,'Transfer Engine'!$C$2:$C$1199,0)))</f>
        <v/>
      </c>
      <c r="K1033" s="7" t="str">
        <f>IF(ISNA(MATCH(1024,'Transfer Engine'!$C$2:$C$1199,0)),"",INDEX('Compliance Database'!$K$2:$K$1199,MATCH(1024,'Transfer Engine'!$C$2:$C$1199,0)))</f>
        <v/>
      </c>
      <c r="L1033" s="7" t="str">
        <f>IF(ISNA(MATCH(1024,'Transfer Engine'!$C$2:$C$1199,0)),"",INDEX('Compliance Database'!$L$2:$L$1199,MATCH(1024,'Transfer Engine'!$C$2:$C$1199,0)))</f>
        <v/>
      </c>
      <c r="M1033" s="7" t="str">
        <f>IF(ISNA(MATCH(1024,'Transfer Engine'!$C$2:$C$1199,0)),"",INDEX('Compliance Database'!$M$2:$M$1199,MATCH(1024,'Transfer Engine'!$C$2:$C$1199,0)))</f>
        <v/>
      </c>
      <c r="N1033" s="7" t="str">
        <f>IF(ISNA(MATCH(1024,'Transfer Engine'!$C$2:$C$1199,0)),"",INDEX('Compliance Database'!$N$2:$N$1199,MATCH(1024,'Transfer Engine'!$C$2:$C$1199,0)))</f>
        <v/>
      </c>
      <c r="O1033" s="7" t="str">
        <f>IF(ISNA(MATCH(1024,'Transfer Engine'!$C$2:$C$1199,0)),"",INDEX('Compliance Database'!$O$2:$O$1199,MATCH(1024,'Transfer Engine'!$C$2:$C$1199,0)))</f>
        <v/>
      </c>
      <c r="P1033" s="6" t="str">
        <f>IF(ISNA(MATCH(1024,'Transfer Engine'!$C$2:$C$1199,0)),"",HYPERLINK("#Acts!A"&amp;INDEX('Compliance Database'!$P$2:$P$1199,MATCH(1024,'Transfer Engine'!$C$2:$C$1199,0)),"Go to Act"))</f>
        <v/>
      </c>
    </row>
    <row r="1034" spans="1:16" ht="172.95" customHeight="1" x14ac:dyDescent="0.3">
      <c r="A1034" s="6" t="str">
        <f>IF(ISNA(MATCH(1025,'Transfer Engine'!$C$2:$C$1199,0)),"",INDEX('Compliance Database'!$A$2:$A$1199,MATCH(1025,'Transfer Engine'!$C$2:$C$1199,0)))</f>
        <v/>
      </c>
      <c r="B1034" s="6" t="str">
        <f>IF(ISNA(MATCH(1025,'Transfer Engine'!$C$2:$C$1199,0)),"",INDEX('Compliance Database'!$B$2:$B$1199,MATCH(1025,'Transfer Engine'!$C$2:$C$1199,0)))</f>
        <v/>
      </c>
      <c r="C1034" s="6" t="str">
        <f>IF(ISNA(MATCH(1025,'Transfer Engine'!$C$2:$C$1199,0)),"",INDEX('Compliance Database'!$C$2:$C$1199,MATCH(1025,'Transfer Engine'!$C$2:$C$1199,0)))</f>
        <v/>
      </c>
      <c r="D1034" s="7" t="str">
        <f>IF(ISNA(MATCH(1025,'Transfer Engine'!$C$2:$C$1199,0)),"",INDEX('Compliance Database'!$D$2:$D$1199,MATCH(1025,'Transfer Engine'!$C$2:$C$1199,0)))</f>
        <v/>
      </c>
      <c r="E1034" s="6" t="str">
        <f>IF(ISNA(MATCH(1025,'Transfer Engine'!$C$2:$C$1199,0)),"",INDEX('Compliance Database'!$E$2:$E$1199,MATCH(1025,'Transfer Engine'!$C$2:$C$1199,0)))</f>
        <v/>
      </c>
      <c r="F1034" s="6" t="str">
        <f>IF(ISNA(MATCH(1025,'Transfer Engine'!$C$2:$C$1199,0)),"",INDEX('Compliance Database'!$F$2:$F$1199,MATCH(1025,'Transfer Engine'!$C$2:$C$1199,0)))</f>
        <v/>
      </c>
      <c r="G1034" s="6" t="str">
        <f>IF(ISNA(MATCH(1025,'Transfer Engine'!$C$2:$C$1199,0)),"",INDEX('Compliance Database'!$G$2:$G$1199,MATCH(1025,'Transfer Engine'!$C$2:$C$1199,0)))</f>
        <v/>
      </c>
      <c r="H1034" s="7" t="str">
        <f>IF(ISNA(MATCH(1025,'Transfer Engine'!$C$2:$C$1199,0)),"",INDEX('Compliance Database'!$H$2:$H$1199,MATCH(1025,'Transfer Engine'!$C$2:$C$1199,0)))</f>
        <v/>
      </c>
      <c r="I1034" s="7" t="str">
        <f>IF(ISNA(MATCH(1025,'Transfer Engine'!$C$2:$C$1199,0)),"",INDEX('Compliance Database'!$I$2:$I$1199,MATCH(1025,'Transfer Engine'!$C$2:$C$1199,0)))</f>
        <v/>
      </c>
      <c r="J1034" s="6" t="str">
        <f>IF(ISNA(MATCH(1025,'Transfer Engine'!$C$2:$C$1199,0)),"",INDEX('Compliance Database'!$J$2:$J$1199,MATCH(1025,'Transfer Engine'!$C$2:$C$1199,0)))</f>
        <v/>
      </c>
      <c r="K1034" s="7" t="str">
        <f>IF(ISNA(MATCH(1025,'Transfer Engine'!$C$2:$C$1199,0)),"",INDEX('Compliance Database'!$K$2:$K$1199,MATCH(1025,'Transfer Engine'!$C$2:$C$1199,0)))</f>
        <v/>
      </c>
      <c r="L1034" s="7" t="str">
        <f>IF(ISNA(MATCH(1025,'Transfer Engine'!$C$2:$C$1199,0)),"",INDEX('Compliance Database'!$L$2:$L$1199,MATCH(1025,'Transfer Engine'!$C$2:$C$1199,0)))</f>
        <v/>
      </c>
      <c r="M1034" s="7" t="str">
        <f>IF(ISNA(MATCH(1025,'Transfer Engine'!$C$2:$C$1199,0)),"",INDEX('Compliance Database'!$M$2:$M$1199,MATCH(1025,'Transfer Engine'!$C$2:$C$1199,0)))</f>
        <v/>
      </c>
      <c r="N1034" s="7" t="str">
        <f>IF(ISNA(MATCH(1025,'Transfer Engine'!$C$2:$C$1199,0)),"",INDEX('Compliance Database'!$N$2:$N$1199,MATCH(1025,'Transfer Engine'!$C$2:$C$1199,0)))</f>
        <v/>
      </c>
      <c r="O1034" s="7" t="str">
        <f>IF(ISNA(MATCH(1025,'Transfer Engine'!$C$2:$C$1199,0)),"",INDEX('Compliance Database'!$O$2:$O$1199,MATCH(1025,'Transfer Engine'!$C$2:$C$1199,0)))</f>
        <v/>
      </c>
      <c r="P1034" s="6" t="str">
        <f>IF(ISNA(MATCH(1025,'Transfer Engine'!$C$2:$C$1199,0)),"",HYPERLINK("#Acts!A"&amp;INDEX('Compliance Database'!$P$2:$P$1199,MATCH(1025,'Transfer Engine'!$C$2:$C$1199,0)),"Go to Act"))</f>
        <v/>
      </c>
    </row>
    <row r="1035" spans="1:16" ht="172.95" customHeight="1" x14ac:dyDescent="0.3">
      <c r="A1035" s="6" t="str">
        <f>IF(ISNA(MATCH(1026,'Transfer Engine'!$C$2:$C$1199,0)),"",INDEX('Compliance Database'!$A$2:$A$1199,MATCH(1026,'Transfer Engine'!$C$2:$C$1199,0)))</f>
        <v/>
      </c>
      <c r="B1035" s="6" t="str">
        <f>IF(ISNA(MATCH(1026,'Transfer Engine'!$C$2:$C$1199,0)),"",INDEX('Compliance Database'!$B$2:$B$1199,MATCH(1026,'Transfer Engine'!$C$2:$C$1199,0)))</f>
        <v/>
      </c>
      <c r="C1035" s="6" t="str">
        <f>IF(ISNA(MATCH(1026,'Transfer Engine'!$C$2:$C$1199,0)),"",INDEX('Compliance Database'!$C$2:$C$1199,MATCH(1026,'Transfer Engine'!$C$2:$C$1199,0)))</f>
        <v/>
      </c>
      <c r="D1035" s="7" t="str">
        <f>IF(ISNA(MATCH(1026,'Transfer Engine'!$C$2:$C$1199,0)),"",INDEX('Compliance Database'!$D$2:$D$1199,MATCH(1026,'Transfer Engine'!$C$2:$C$1199,0)))</f>
        <v/>
      </c>
      <c r="E1035" s="6" t="str">
        <f>IF(ISNA(MATCH(1026,'Transfer Engine'!$C$2:$C$1199,0)),"",INDEX('Compliance Database'!$E$2:$E$1199,MATCH(1026,'Transfer Engine'!$C$2:$C$1199,0)))</f>
        <v/>
      </c>
      <c r="F1035" s="6" t="str">
        <f>IF(ISNA(MATCH(1026,'Transfer Engine'!$C$2:$C$1199,0)),"",INDEX('Compliance Database'!$F$2:$F$1199,MATCH(1026,'Transfer Engine'!$C$2:$C$1199,0)))</f>
        <v/>
      </c>
      <c r="G1035" s="6" t="str">
        <f>IF(ISNA(MATCH(1026,'Transfer Engine'!$C$2:$C$1199,0)),"",INDEX('Compliance Database'!$G$2:$G$1199,MATCH(1026,'Transfer Engine'!$C$2:$C$1199,0)))</f>
        <v/>
      </c>
      <c r="H1035" s="7" t="str">
        <f>IF(ISNA(MATCH(1026,'Transfer Engine'!$C$2:$C$1199,0)),"",INDEX('Compliance Database'!$H$2:$H$1199,MATCH(1026,'Transfer Engine'!$C$2:$C$1199,0)))</f>
        <v/>
      </c>
      <c r="I1035" s="7" t="str">
        <f>IF(ISNA(MATCH(1026,'Transfer Engine'!$C$2:$C$1199,0)),"",INDEX('Compliance Database'!$I$2:$I$1199,MATCH(1026,'Transfer Engine'!$C$2:$C$1199,0)))</f>
        <v/>
      </c>
      <c r="J1035" s="6" t="str">
        <f>IF(ISNA(MATCH(1026,'Transfer Engine'!$C$2:$C$1199,0)),"",INDEX('Compliance Database'!$J$2:$J$1199,MATCH(1026,'Transfer Engine'!$C$2:$C$1199,0)))</f>
        <v/>
      </c>
      <c r="K1035" s="7" t="str">
        <f>IF(ISNA(MATCH(1026,'Transfer Engine'!$C$2:$C$1199,0)),"",INDEX('Compliance Database'!$K$2:$K$1199,MATCH(1026,'Transfer Engine'!$C$2:$C$1199,0)))</f>
        <v/>
      </c>
      <c r="L1035" s="7" t="str">
        <f>IF(ISNA(MATCH(1026,'Transfer Engine'!$C$2:$C$1199,0)),"",INDEX('Compliance Database'!$L$2:$L$1199,MATCH(1026,'Transfer Engine'!$C$2:$C$1199,0)))</f>
        <v/>
      </c>
      <c r="M1035" s="7" t="str">
        <f>IF(ISNA(MATCH(1026,'Transfer Engine'!$C$2:$C$1199,0)),"",INDEX('Compliance Database'!$M$2:$M$1199,MATCH(1026,'Transfer Engine'!$C$2:$C$1199,0)))</f>
        <v/>
      </c>
      <c r="N1035" s="7" t="str">
        <f>IF(ISNA(MATCH(1026,'Transfer Engine'!$C$2:$C$1199,0)),"",INDEX('Compliance Database'!$N$2:$N$1199,MATCH(1026,'Transfer Engine'!$C$2:$C$1199,0)))</f>
        <v/>
      </c>
      <c r="O1035" s="7" t="str">
        <f>IF(ISNA(MATCH(1026,'Transfer Engine'!$C$2:$C$1199,0)),"",INDEX('Compliance Database'!$O$2:$O$1199,MATCH(1026,'Transfer Engine'!$C$2:$C$1199,0)))</f>
        <v/>
      </c>
      <c r="P1035" s="6" t="str">
        <f>IF(ISNA(MATCH(1026,'Transfer Engine'!$C$2:$C$1199,0)),"",HYPERLINK("#Acts!A"&amp;INDEX('Compliance Database'!$P$2:$P$1199,MATCH(1026,'Transfer Engine'!$C$2:$C$1199,0)),"Go to Act"))</f>
        <v/>
      </c>
    </row>
    <row r="1036" spans="1:16" ht="172.95" customHeight="1" x14ac:dyDescent="0.3">
      <c r="A1036" s="6" t="str">
        <f>IF(ISNA(MATCH(1027,'Transfer Engine'!$C$2:$C$1199,0)),"",INDEX('Compliance Database'!$A$2:$A$1199,MATCH(1027,'Transfer Engine'!$C$2:$C$1199,0)))</f>
        <v/>
      </c>
      <c r="B1036" s="6" t="str">
        <f>IF(ISNA(MATCH(1027,'Transfer Engine'!$C$2:$C$1199,0)),"",INDEX('Compliance Database'!$B$2:$B$1199,MATCH(1027,'Transfer Engine'!$C$2:$C$1199,0)))</f>
        <v/>
      </c>
      <c r="C1036" s="6" t="str">
        <f>IF(ISNA(MATCH(1027,'Transfer Engine'!$C$2:$C$1199,0)),"",INDEX('Compliance Database'!$C$2:$C$1199,MATCH(1027,'Transfer Engine'!$C$2:$C$1199,0)))</f>
        <v/>
      </c>
      <c r="D1036" s="7" t="str">
        <f>IF(ISNA(MATCH(1027,'Transfer Engine'!$C$2:$C$1199,0)),"",INDEX('Compliance Database'!$D$2:$D$1199,MATCH(1027,'Transfer Engine'!$C$2:$C$1199,0)))</f>
        <v/>
      </c>
      <c r="E1036" s="6" t="str">
        <f>IF(ISNA(MATCH(1027,'Transfer Engine'!$C$2:$C$1199,0)),"",INDEX('Compliance Database'!$E$2:$E$1199,MATCH(1027,'Transfer Engine'!$C$2:$C$1199,0)))</f>
        <v/>
      </c>
      <c r="F1036" s="6" t="str">
        <f>IF(ISNA(MATCH(1027,'Transfer Engine'!$C$2:$C$1199,0)),"",INDEX('Compliance Database'!$F$2:$F$1199,MATCH(1027,'Transfer Engine'!$C$2:$C$1199,0)))</f>
        <v/>
      </c>
      <c r="G1036" s="6" t="str">
        <f>IF(ISNA(MATCH(1027,'Transfer Engine'!$C$2:$C$1199,0)),"",INDEX('Compliance Database'!$G$2:$G$1199,MATCH(1027,'Transfer Engine'!$C$2:$C$1199,0)))</f>
        <v/>
      </c>
      <c r="H1036" s="7" t="str">
        <f>IF(ISNA(MATCH(1027,'Transfer Engine'!$C$2:$C$1199,0)),"",INDEX('Compliance Database'!$H$2:$H$1199,MATCH(1027,'Transfer Engine'!$C$2:$C$1199,0)))</f>
        <v/>
      </c>
      <c r="I1036" s="7" t="str">
        <f>IF(ISNA(MATCH(1027,'Transfer Engine'!$C$2:$C$1199,0)),"",INDEX('Compliance Database'!$I$2:$I$1199,MATCH(1027,'Transfer Engine'!$C$2:$C$1199,0)))</f>
        <v/>
      </c>
      <c r="J1036" s="6" t="str">
        <f>IF(ISNA(MATCH(1027,'Transfer Engine'!$C$2:$C$1199,0)),"",INDEX('Compliance Database'!$J$2:$J$1199,MATCH(1027,'Transfer Engine'!$C$2:$C$1199,0)))</f>
        <v/>
      </c>
      <c r="K1036" s="7" t="str">
        <f>IF(ISNA(MATCH(1027,'Transfer Engine'!$C$2:$C$1199,0)),"",INDEX('Compliance Database'!$K$2:$K$1199,MATCH(1027,'Transfer Engine'!$C$2:$C$1199,0)))</f>
        <v/>
      </c>
      <c r="L1036" s="7" t="str">
        <f>IF(ISNA(MATCH(1027,'Transfer Engine'!$C$2:$C$1199,0)),"",INDEX('Compliance Database'!$L$2:$L$1199,MATCH(1027,'Transfer Engine'!$C$2:$C$1199,0)))</f>
        <v/>
      </c>
      <c r="M1036" s="7" t="str">
        <f>IF(ISNA(MATCH(1027,'Transfer Engine'!$C$2:$C$1199,0)),"",INDEX('Compliance Database'!$M$2:$M$1199,MATCH(1027,'Transfer Engine'!$C$2:$C$1199,0)))</f>
        <v/>
      </c>
      <c r="N1036" s="7" t="str">
        <f>IF(ISNA(MATCH(1027,'Transfer Engine'!$C$2:$C$1199,0)),"",INDEX('Compliance Database'!$N$2:$N$1199,MATCH(1027,'Transfer Engine'!$C$2:$C$1199,0)))</f>
        <v/>
      </c>
      <c r="O1036" s="7" t="str">
        <f>IF(ISNA(MATCH(1027,'Transfer Engine'!$C$2:$C$1199,0)),"",INDEX('Compliance Database'!$O$2:$O$1199,MATCH(1027,'Transfer Engine'!$C$2:$C$1199,0)))</f>
        <v/>
      </c>
      <c r="P1036" s="6" t="str">
        <f>IF(ISNA(MATCH(1027,'Transfer Engine'!$C$2:$C$1199,0)),"",HYPERLINK("#Acts!A"&amp;INDEX('Compliance Database'!$P$2:$P$1199,MATCH(1027,'Transfer Engine'!$C$2:$C$1199,0)),"Go to Act"))</f>
        <v/>
      </c>
    </row>
    <row r="1037" spans="1:16" ht="172.95" customHeight="1" x14ac:dyDescent="0.3">
      <c r="A1037" s="6" t="str">
        <f>IF(ISNA(MATCH(1028,'Transfer Engine'!$C$2:$C$1199,0)),"",INDEX('Compliance Database'!$A$2:$A$1199,MATCH(1028,'Transfer Engine'!$C$2:$C$1199,0)))</f>
        <v/>
      </c>
      <c r="B1037" s="6" t="str">
        <f>IF(ISNA(MATCH(1028,'Transfer Engine'!$C$2:$C$1199,0)),"",INDEX('Compliance Database'!$B$2:$B$1199,MATCH(1028,'Transfer Engine'!$C$2:$C$1199,0)))</f>
        <v/>
      </c>
      <c r="C1037" s="6" t="str">
        <f>IF(ISNA(MATCH(1028,'Transfer Engine'!$C$2:$C$1199,0)),"",INDEX('Compliance Database'!$C$2:$C$1199,MATCH(1028,'Transfer Engine'!$C$2:$C$1199,0)))</f>
        <v/>
      </c>
      <c r="D1037" s="7" t="str">
        <f>IF(ISNA(MATCH(1028,'Transfer Engine'!$C$2:$C$1199,0)),"",INDEX('Compliance Database'!$D$2:$D$1199,MATCH(1028,'Transfer Engine'!$C$2:$C$1199,0)))</f>
        <v/>
      </c>
      <c r="E1037" s="6" t="str">
        <f>IF(ISNA(MATCH(1028,'Transfer Engine'!$C$2:$C$1199,0)),"",INDEX('Compliance Database'!$E$2:$E$1199,MATCH(1028,'Transfer Engine'!$C$2:$C$1199,0)))</f>
        <v/>
      </c>
      <c r="F1037" s="6" t="str">
        <f>IF(ISNA(MATCH(1028,'Transfer Engine'!$C$2:$C$1199,0)),"",INDEX('Compliance Database'!$F$2:$F$1199,MATCH(1028,'Transfer Engine'!$C$2:$C$1199,0)))</f>
        <v/>
      </c>
      <c r="G1037" s="6" t="str">
        <f>IF(ISNA(MATCH(1028,'Transfer Engine'!$C$2:$C$1199,0)),"",INDEX('Compliance Database'!$G$2:$G$1199,MATCH(1028,'Transfer Engine'!$C$2:$C$1199,0)))</f>
        <v/>
      </c>
      <c r="H1037" s="7" t="str">
        <f>IF(ISNA(MATCH(1028,'Transfer Engine'!$C$2:$C$1199,0)),"",INDEX('Compliance Database'!$H$2:$H$1199,MATCH(1028,'Transfer Engine'!$C$2:$C$1199,0)))</f>
        <v/>
      </c>
      <c r="I1037" s="7" t="str">
        <f>IF(ISNA(MATCH(1028,'Transfer Engine'!$C$2:$C$1199,0)),"",INDEX('Compliance Database'!$I$2:$I$1199,MATCH(1028,'Transfer Engine'!$C$2:$C$1199,0)))</f>
        <v/>
      </c>
      <c r="J1037" s="6" t="str">
        <f>IF(ISNA(MATCH(1028,'Transfer Engine'!$C$2:$C$1199,0)),"",INDEX('Compliance Database'!$J$2:$J$1199,MATCH(1028,'Transfer Engine'!$C$2:$C$1199,0)))</f>
        <v/>
      </c>
      <c r="K1037" s="7" t="str">
        <f>IF(ISNA(MATCH(1028,'Transfer Engine'!$C$2:$C$1199,0)),"",INDEX('Compliance Database'!$K$2:$K$1199,MATCH(1028,'Transfer Engine'!$C$2:$C$1199,0)))</f>
        <v/>
      </c>
      <c r="L1037" s="7" t="str">
        <f>IF(ISNA(MATCH(1028,'Transfer Engine'!$C$2:$C$1199,0)),"",INDEX('Compliance Database'!$L$2:$L$1199,MATCH(1028,'Transfer Engine'!$C$2:$C$1199,0)))</f>
        <v/>
      </c>
      <c r="M1037" s="7" t="str">
        <f>IF(ISNA(MATCH(1028,'Transfer Engine'!$C$2:$C$1199,0)),"",INDEX('Compliance Database'!$M$2:$M$1199,MATCH(1028,'Transfer Engine'!$C$2:$C$1199,0)))</f>
        <v/>
      </c>
      <c r="N1037" s="7" t="str">
        <f>IF(ISNA(MATCH(1028,'Transfer Engine'!$C$2:$C$1199,0)),"",INDEX('Compliance Database'!$N$2:$N$1199,MATCH(1028,'Transfer Engine'!$C$2:$C$1199,0)))</f>
        <v/>
      </c>
      <c r="O1037" s="7" t="str">
        <f>IF(ISNA(MATCH(1028,'Transfer Engine'!$C$2:$C$1199,0)),"",INDEX('Compliance Database'!$O$2:$O$1199,MATCH(1028,'Transfer Engine'!$C$2:$C$1199,0)))</f>
        <v/>
      </c>
      <c r="P1037" s="6" t="str">
        <f>IF(ISNA(MATCH(1028,'Transfer Engine'!$C$2:$C$1199,0)),"",HYPERLINK("#Acts!A"&amp;INDEX('Compliance Database'!$P$2:$P$1199,MATCH(1028,'Transfer Engine'!$C$2:$C$1199,0)),"Go to Act"))</f>
        <v/>
      </c>
    </row>
    <row r="1038" spans="1:16" ht="172.95" customHeight="1" x14ac:dyDescent="0.3">
      <c r="A1038" s="6" t="str">
        <f>IF(ISNA(MATCH(1029,'Transfer Engine'!$C$2:$C$1199,0)),"",INDEX('Compliance Database'!$A$2:$A$1199,MATCH(1029,'Transfer Engine'!$C$2:$C$1199,0)))</f>
        <v/>
      </c>
      <c r="B1038" s="6" t="str">
        <f>IF(ISNA(MATCH(1029,'Transfer Engine'!$C$2:$C$1199,0)),"",INDEX('Compliance Database'!$B$2:$B$1199,MATCH(1029,'Transfer Engine'!$C$2:$C$1199,0)))</f>
        <v/>
      </c>
      <c r="C1038" s="6" t="str">
        <f>IF(ISNA(MATCH(1029,'Transfer Engine'!$C$2:$C$1199,0)),"",INDEX('Compliance Database'!$C$2:$C$1199,MATCH(1029,'Transfer Engine'!$C$2:$C$1199,0)))</f>
        <v/>
      </c>
      <c r="D1038" s="7" t="str">
        <f>IF(ISNA(MATCH(1029,'Transfer Engine'!$C$2:$C$1199,0)),"",INDEX('Compliance Database'!$D$2:$D$1199,MATCH(1029,'Transfer Engine'!$C$2:$C$1199,0)))</f>
        <v/>
      </c>
      <c r="E1038" s="6" t="str">
        <f>IF(ISNA(MATCH(1029,'Transfer Engine'!$C$2:$C$1199,0)),"",INDEX('Compliance Database'!$E$2:$E$1199,MATCH(1029,'Transfer Engine'!$C$2:$C$1199,0)))</f>
        <v/>
      </c>
      <c r="F1038" s="6" t="str">
        <f>IF(ISNA(MATCH(1029,'Transfer Engine'!$C$2:$C$1199,0)),"",INDEX('Compliance Database'!$F$2:$F$1199,MATCH(1029,'Transfer Engine'!$C$2:$C$1199,0)))</f>
        <v/>
      </c>
      <c r="G1038" s="6" t="str">
        <f>IF(ISNA(MATCH(1029,'Transfer Engine'!$C$2:$C$1199,0)),"",INDEX('Compliance Database'!$G$2:$G$1199,MATCH(1029,'Transfer Engine'!$C$2:$C$1199,0)))</f>
        <v/>
      </c>
      <c r="H1038" s="7" t="str">
        <f>IF(ISNA(MATCH(1029,'Transfer Engine'!$C$2:$C$1199,0)),"",INDEX('Compliance Database'!$H$2:$H$1199,MATCH(1029,'Transfer Engine'!$C$2:$C$1199,0)))</f>
        <v/>
      </c>
      <c r="I1038" s="7" t="str">
        <f>IF(ISNA(MATCH(1029,'Transfer Engine'!$C$2:$C$1199,0)),"",INDEX('Compliance Database'!$I$2:$I$1199,MATCH(1029,'Transfer Engine'!$C$2:$C$1199,0)))</f>
        <v/>
      </c>
      <c r="J1038" s="6" t="str">
        <f>IF(ISNA(MATCH(1029,'Transfer Engine'!$C$2:$C$1199,0)),"",INDEX('Compliance Database'!$J$2:$J$1199,MATCH(1029,'Transfer Engine'!$C$2:$C$1199,0)))</f>
        <v/>
      </c>
      <c r="K1038" s="7" t="str">
        <f>IF(ISNA(MATCH(1029,'Transfer Engine'!$C$2:$C$1199,0)),"",INDEX('Compliance Database'!$K$2:$K$1199,MATCH(1029,'Transfer Engine'!$C$2:$C$1199,0)))</f>
        <v/>
      </c>
      <c r="L1038" s="7" t="str">
        <f>IF(ISNA(MATCH(1029,'Transfer Engine'!$C$2:$C$1199,0)),"",INDEX('Compliance Database'!$L$2:$L$1199,MATCH(1029,'Transfer Engine'!$C$2:$C$1199,0)))</f>
        <v/>
      </c>
      <c r="M1038" s="7" t="str">
        <f>IF(ISNA(MATCH(1029,'Transfer Engine'!$C$2:$C$1199,0)),"",INDEX('Compliance Database'!$M$2:$M$1199,MATCH(1029,'Transfer Engine'!$C$2:$C$1199,0)))</f>
        <v/>
      </c>
      <c r="N1038" s="7" t="str">
        <f>IF(ISNA(MATCH(1029,'Transfer Engine'!$C$2:$C$1199,0)),"",INDEX('Compliance Database'!$N$2:$N$1199,MATCH(1029,'Transfer Engine'!$C$2:$C$1199,0)))</f>
        <v/>
      </c>
      <c r="O1038" s="7" t="str">
        <f>IF(ISNA(MATCH(1029,'Transfer Engine'!$C$2:$C$1199,0)),"",INDEX('Compliance Database'!$O$2:$O$1199,MATCH(1029,'Transfer Engine'!$C$2:$C$1199,0)))</f>
        <v/>
      </c>
      <c r="P1038" s="6" t="str">
        <f>IF(ISNA(MATCH(1029,'Transfer Engine'!$C$2:$C$1199,0)),"",HYPERLINK("#Acts!A"&amp;INDEX('Compliance Database'!$P$2:$P$1199,MATCH(1029,'Transfer Engine'!$C$2:$C$1199,0)),"Go to Act"))</f>
        <v/>
      </c>
    </row>
    <row r="1039" spans="1:16" ht="172.95" customHeight="1" x14ac:dyDescent="0.3">
      <c r="A1039" s="6" t="str">
        <f>IF(ISNA(MATCH(1030,'Transfer Engine'!$C$2:$C$1199,0)),"",INDEX('Compliance Database'!$A$2:$A$1199,MATCH(1030,'Transfer Engine'!$C$2:$C$1199,0)))</f>
        <v/>
      </c>
      <c r="B1039" s="6" t="str">
        <f>IF(ISNA(MATCH(1030,'Transfer Engine'!$C$2:$C$1199,0)),"",INDEX('Compliance Database'!$B$2:$B$1199,MATCH(1030,'Transfer Engine'!$C$2:$C$1199,0)))</f>
        <v/>
      </c>
      <c r="C1039" s="6" t="str">
        <f>IF(ISNA(MATCH(1030,'Transfer Engine'!$C$2:$C$1199,0)),"",INDEX('Compliance Database'!$C$2:$C$1199,MATCH(1030,'Transfer Engine'!$C$2:$C$1199,0)))</f>
        <v/>
      </c>
      <c r="D1039" s="7" t="str">
        <f>IF(ISNA(MATCH(1030,'Transfer Engine'!$C$2:$C$1199,0)),"",INDEX('Compliance Database'!$D$2:$D$1199,MATCH(1030,'Transfer Engine'!$C$2:$C$1199,0)))</f>
        <v/>
      </c>
      <c r="E1039" s="6" t="str">
        <f>IF(ISNA(MATCH(1030,'Transfer Engine'!$C$2:$C$1199,0)),"",INDEX('Compliance Database'!$E$2:$E$1199,MATCH(1030,'Transfer Engine'!$C$2:$C$1199,0)))</f>
        <v/>
      </c>
      <c r="F1039" s="6" t="str">
        <f>IF(ISNA(MATCH(1030,'Transfer Engine'!$C$2:$C$1199,0)),"",INDEX('Compliance Database'!$F$2:$F$1199,MATCH(1030,'Transfer Engine'!$C$2:$C$1199,0)))</f>
        <v/>
      </c>
      <c r="G1039" s="6" t="str">
        <f>IF(ISNA(MATCH(1030,'Transfer Engine'!$C$2:$C$1199,0)),"",INDEX('Compliance Database'!$G$2:$G$1199,MATCH(1030,'Transfer Engine'!$C$2:$C$1199,0)))</f>
        <v/>
      </c>
      <c r="H1039" s="7" t="str">
        <f>IF(ISNA(MATCH(1030,'Transfer Engine'!$C$2:$C$1199,0)),"",INDEX('Compliance Database'!$H$2:$H$1199,MATCH(1030,'Transfer Engine'!$C$2:$C$1199,0)))</f>
        <v/>
      </c>
      <c r="I1039" s="7" t="str">
        <f>IF(ISNA(MATCH(1030,'Transfer Engine'!$C$2:$C$1199,0)),"",INDEX('Compliance Database'!$I$2:$I$1199,MATCH(1030,'Transfer Engine'!$C$2:$C$1199,0)))</f>
        <v/>
      </c>
      <c r="J1039" s="6" t="str">
        <f>IF(ISNA(MATCH(1030,'Transfer Engine'!$C$2:$C$1199,0)),"",INDEX('Compliance Database'!$J$2:$J$1199,MATCH(1030,'Transfer Engine'!$C$2:$C$1199,0)))</f>
        <v/>
      </c>
      <c r="K1039" s="7" t="str">
        <f>IF(ISNA(MATCH(1030,'Transfer Engine'!$C$2:$C$1199,0)),"",INDEX('Compliance Database'!$K$2:$K$1199,MATCH(1030,'Transfer Engine'!$C$2:$C$1199,0)))</f>
        <v/>
      </c>
      <c r="L1039" s="7" t="str">
        <f>IF(ISNA(MATCH(1030,'Transfer Engine'!$C$2:$C$1199,0)),"",INDEX('Compliance Database'!$L$2:$L$1199,MATCH(1030,'Transfer Engine'!$C$2:$C$1199,0)))</f>
        <v/>
      </c>
      <c r="M1039" s="7" t="str">
        <f>IF(ISNA(MATCH(1030,'Transfer Engine'!$C$2:$C$1199,0)),"",INDEX('Compliance Database'!$M$2:$M$1199,MATCH(1030,'Transfer Engine'!$C$2:$C$1199,0)))</f>
        <v/>
      </c>
      <c r="N1039" s="7" t="str">
        <f>IF(ISNA(MATCH(1030,'Transfer Engine'!$C$2:$C$1199,0)),"",INDEX('Compliance Database'!$N$2:$N$1199,MATCH(1030,'Transfer Engine'!$C$2:$C$1199,0)))</f>
        <v/>
      </c>
      <c r="O1039" s="7" t="str">
        <f>IF(ISNA(MATCH(1030,'Transfer Engine'!$C$2:$C$1199,0)),"",INDEX('Compliance Database'!$O$2:$O$1199,MATCH(1030,'Transfer Engine'!$C$2:$C$1199,0)))</f>
        <v/>
      </c>
      <c r="P1039" s="6" t="str">
        <f>IF(ISNA(MATCH(1030,'Transfer Engine'!$C$2:$C$1199,0)),"",HYPERLINK("#Acts!A"&amp;INDEX('Compliance Database'!$P$2:$P$1199,MATCH(1030,'Transfer Engine'!$C$2:$C$1199,0)),"Go to Act"))</f>
        <v/>
      </c>
    </row>
    <row r="1040" spans="1:16" ht="172.95" customHeight="1" x14ac:dyDescent="0.3">
      <c r="A1040" s="6" t="str">
        <f>IF(ISNA(MATCH(1031,'Transfer Engine'!$C$2:$C$1199,0)),"",INDEX('Compliance Database'!$A$2:$A$1199,MATCH(1031,'Transfer Engine'!$C$2:$C$1199,0)))</f>
        <v/>
      </c>
      <c r="B1040" s="6" t="str">
        <f>IF(ISNA(MATCH(1031,'Transfer Engine'!$C$2:$C$1199,0)),"",INDEX('Compliance Database'!$B$2:$B$1199,MATCH(1031,'Transfer Engine'!$C$2:$C$1199,0)))</f>
        <v/>
      </c>
      <c r="C1040" s="6" t="str">
        <f>IF(ISNA(MATCH(1031,'Transfer Engine'!$C$2:$C$1199,0)),"",INDEX('Compliance Database'!$C$2:$C$1199,MATCH(1031,'Transfer Engine'!$C$2:$C$1199,0)))</f>
        <v/>
      </c>
      <c r="D1040" s="7" t="str">
        <f>IF(ISNA(MATCH(1031,'Transfer Engine'!$C$2:$C$1199,0)),"",INDEX('Compliance Database'!$D$2:$D$1199,MATCH(1031,'Transfer Engine'!$C$2:$C$1199,0)))</f>
        <v/>
      </c>
      <c r="E1040" s="6" t="str">
        <f>IF(ISNA(MATCH(1031,'Transfer Engine'!$C$2:$C$1199,0)),"",INDEX('Compliance Database'!$E$2:$E$1199,MATCH(1031,'Transfer Engine'!$C$2:$C$1199,0)))</f>
        <v/>
      </c>
      <c r="F1040" s="6" t="str">
        <f>IF(ISNA(MATCH(1031,'Transfer Engine'!$C$2:$C$1199,0)),"",INDEX('Compliance Database'!$F$2:$F$1199,MATCH(1031,'Transfer Engine'!$C$2:$C$1199,0)))</f>
        <v/>
      </c>
      <c r="G1040" s="6" t="str">
        <f>IF(ISNA(MATCH(1031,'Transfer Engine'!$C$2:$C$1199,0)),"",INDEX('Compliance Database'!$G$2:$G$1199,MATCH(1031,'Transfer Engine'!$C$2:$C$1199,0)))</f>
        <v/>
      </c>
      <c r="H1040" s="7" t="str">
        <f>IF(ISNA(MATCH(1031,'Transfer Engine'!$C$2:$C$1199,0)),"",INDEX('Compliance Database'!$H$2:$H$1199,MATCH(1031,'Transfer Engine'!$C$2:$C$1199,0)))</f>
        <v/>
      </c>
      <c r="I1040" s="7" t="str">
        <f>IF(ISNA(MATCH(1031,'Transfer Engine'!$C$2:$C$1199,0)),"",INDEX('Compliance Database'!$I$2:$I$1199,MATCH(1031,'Transfer Engine'!$C$2:$C$1199,0)))</f>
        <v/>
      </c>
      <c r="J1040" s="6" t="str">
        <f>IF(ISNA(MATCH(1031,'Transfer Engine'!$C$2:$C$1199,0)),"",INDEX('Compliance Database'!$J$2:$J$1199,MATCH(1031,'Transfer Engine'!$C$2:$C$1199,0)))</f>
        <v/>
      </c>
      <c r="K1040" s="7" t="str">
        <f>IF(ISNA(MATCH(1031,'Transfer Engine'!$C$2:$C$1199,0)),"",INDEX('Compliance Database'!$K$2:$K$1199,MATCH(1031,'Transfer Engine'!$C$2:$C$1199,0)))</f>
        <v/>
      </c>
      <c r="L1040" s="7" t="str">
        <f>IF(ISNA(MATCH(1031,'Transfer Engine'!$C$2:$C$1199,0)),"",INDEX('Compliance Database'!$L$2:$L$1199,MATCH(1031,'Transfer Engine'!$C$2:$C$1199,0)))</f>
        <v/>
      </c>
      <c r="M1040" s="7" t="str">
        <f>IF(ISNA(MATCH(1031,'Transfer Engine'!$C$2:$C$1199,0)),"",INDEX('Compliance Database'!$M$2:$M$1199,MATCH(1031,'Transfer Engine'!$C$2:$C$1199,0)))</f>
        <v/>
      </c>
      <c r="N1040" s="7" t="str">
        <f>IF(ISNA(MATCH(1031,'Transfer Engine'!$C$2:$C$1199,0)),"",INDEX('Compliance Database'!$N$2:$N$1199,MATCH(1031,'Transfer Engine'!$C$2:$C$1199,0)))</f>
        <v/>
      </c>
      <c r="O1040" s="7" t="str">
        <f>IF(ISNA(MATCH(1031,'Transfer Engine'!$C$2:$C$1199,0)),"",INDEX('Compliance Database'!$O$2:$O$1199,MATCH(1031,'Transfer Engine'!$C$2:$C$1199,0)))</f>
        <v/>
      </c>
      <c r="P1040" s="6" t="str">
        <f>IF(ISNA(MATCH(1031,'Transfer Engine'!$C$2:$C$1199,0)),"",HYPERLINK("#Acts!A"&amp;INDEX('Compliance Database'!$P$2:$P$1199,MATCH(1031,'Transfer Engine'!$C$2:$C$1199,0)),"Go to Act"))</f>
        <v/>
      </c>
    </row>
    <row r="1041" spans="1:16" ht="172.95" customHeight="1" x14ac:dyDescent="0.3">
      <c r="A1041" s="6" t="str">
        <f>IF(ISNA(MATCH(1032,'Transfer Engine'!$C$2:$C$1199,0)),"",INDEX('Compliance Database'!$A$2:$A$1199,MATCH(1032,'Transfer Engine'!$C$2:$C$1199,0)))</f>
        <v/>
      </c>
      <c r="B1041" s="6" t="str">
        <f>IF(ISNA(MATCH(1032,'Transfer Engine'!$C$2:$C$1199,0)),"",INDEX('Compliance Database'!$B$2:$B$1199,MATCH(1032,'Transfer Engine'!$C$2:$C$1199,0)))</f>
        <v/>
      </c>
      <c r="C1041" s="6" t="str">
        <f>IF(ISNA(MATCH(1032,'Transfer Engine'!$C$2:$C$1199,0)),"",INDEX('Compliance Database'!$C$2:$C$1199,MATCH(1032,'Transfer Engine'!$C$2:$C$1199,0)))</f>
        <v/>
      </c>
      <c r="D1041" s="7" t="str">
        <f>IF(ISNA(MATCH(1032,'Transfer Engine'!$C$2:$C$1199,0)),"",INDEX('Compliance Database'!$D$2:$D$1199,MATCH(1032,'Transfer Engine'!$C$2:$C$1199,0)))</f>
        <v/>
      </c>
      <c r="E1041" s="6" t="str">
        <f>IF(ISNA(MATCH(1032,'Transfer Engine'!$C$2:$C$1199,0)),"",INDEX('Compliance Database'!$E$2:$E$1199,MATCH(1032,'Transfer Engine'!$C$2:$C$1199,0)))</f>
        <v/>
      </c>
      <c r="F1041" s="6" t="str">
        <f>IF(ISNA(MATCH(1032,'Transfer Engine'!$C$2:$C$1199,0)),"",INDEX('Compliance Database'!$F$2:$F$1199,MATCH(1032,'Transfer Engine'!$C$2:$C$1199,0)))</f>
        <v/>
      </c>
      <c r="G1041" s="6" t="str">
        <f>IF(ISNA(MATCH(1032,'Transfer Engine'!$C$2:$C$1199,0)),"",INDEX('Compliance Database'!$G$2:$G$1199,MATCH(1032,'Transfer Engine'!$C$2:$C$1199,0)))</f>
        <v/>
      </c>
      <c r="H1041" s="7" t="str">
        <f>IF(ISNA(MATCH(1032,'Transfer Engine'!$C$2:$C$1199,0)),"",INDEX('Compliance Database'!$H$2:$H$1199,MATCH(1032,'Transfer Engine'!$C$2:$C$1199,0)))</f>
        <v/>
      </c>
      <c r="I1041" s="7" t="str">
        <f>IF(ISNA(MATCH(1032,'Transfer Engine'!$C$2:$C$1199,0)),"",INDEX('Compliance Database'!$I$2:$I$1199,MATCH(1032,'Transfer Engine'!$C$2:$C$1199,0)))</f>
        <v/>
      </c>
      <c r="J1041" s="6" t="str">
        <f>IF(ISNA(MATCH(1032,'Transfer Engine'!$C$2:$C$1199,0)),"",INDEX('Compliance Database'!$J$2:$J$1199,MATCH(1032,'Transfer Engine'!$C$2:$C$1199,0)))</f>
        <v/>
      </c>
      <c r="K1041" s="7" t="str">
        <f>IF(ISNA(MATCH(1032,'Transfer Engine'!$C$2:$C$1199,0)),"",INDEX('Compliance Database'!$K$2:$K$1199,MATCH(1032,'Transfer Engine'!$C$2:$C$1199,0)))</f>
        <v/>
      </c>
      <c r="L1041" s="7" t="str">
        <f>IF(ISNA(MATCH(1032,'Transfer Engine'!$C$2:$C$1199,0)),"",INDEX('Compliance Database'!$L$2:$L$1199,MATCH(1032,'Transfer Engine'!$C$2:$C$1199,0)))</f>
        <v/>
      </c>
      <c r="M1041" s="7" t="str">
        <f>IF(ISNA(MATCH(1032,'Transfer Engine'!$C$2:$C$1199,0)),"",INDEX('Compliance Database'!$M$2:$M$1199,MATCH(1032,'Transfer Engine'!$C$2:$C$1199,0)))</f>
        <v/>
      </c>
      <c r="N1041" s="7" t="str">
        <f>IF(ISNA(MATCH(1032,'Transfer Engine'!$C$2:$C$1199,0)),"",INDEX('Compliance Database'!$N$2:$N$1199,MATCH(1032,'Transfer Engine'!$C$2:$C$1199,0)))</f>
        <v/>
      </c>
      <c r="O1041" s="7" t="str">
        <f>IF(ISNA(MATCH(1032,'Transfer Engine'!$C$2:$C$1199,0)),"",INDEX('Compliance Database'!$O$2:$O$1199,MATCH(1032,'Transfer Engine'!$C$2:$C$1199,0)))</f>
        <v/>
      </c>
      <c r="P1041" s="6" t="str">
        <f>IF(ISNA(MATCH(1032,'Transfer Engine'!$C$2:$C$1199,0)),"",HYPERLINK("#Acts!A"&amp;INDEX('Compliance Database'!$P$2:$P$1199,MATCH(1032,'Transfer Engine'!$C$2:$C$1199,0)),"Go to Act"))</f>
        <v/>
      </c>
    </row>
    <row r="1042" spans="1:16" ht="172.95" customHeight="1" x14ac:dyDescent="0.3">
      <c r="A1042" s="6" t="str">
        <f>IF(ISNA(MATCH(1033,'Transfer Engine'!$C$2:$C$1199,0)),"",INDEX('Compliance Database'!$A$2:$A$1199,MATCH(1033,'Transfer Engine'!$C$2:$C$1199,0)))</f>
        <v/>
      </c>
      <c r="B1042" s="6" t="str">
        <f>IF(ISNA(MATCH(1033,'Transfer Engine'!$C$2:$C$1199,0)),"",INDEX('Compliance Database'!$B$2:$B$1199,MATCH(1033,'Transfer Engine'!$C$2:$C$1199,0)))</f>
        <v/>
      </c>
      <c r="C1042" s="6" t="str">
        <f>IF(ISNA(MATCH(1033,'Transfer Engine'!$C$2:$C$1199,0)),"",INDEX('Compliance Database'!$C$2:$C$1199,MATCH(1033,'Transfer Engine'!$C$2:$C$1199,0)))</f>
        <v/>
      </c>
      <c r="D1042" s="7" t="str">
        <f>IF(ISNA(MATCH(1033,'Transfer Engine'!$C$2:$C$1199,0)),"",INDEX('Compliance Database'!$D$2:$D$1199,MATCH(1033,'Transfer Engine'!$C$2:$C$1199,0)))</f>
        <v/>
      </c>
      <c r="E1042" s="6" t="str">
        <f>IF(ISNA(MATCH(1033,'Transfer Engine'!$C$2:$C$1199,0)),"",INDEX('Compliance Database'!$E$2:$E$1199,MATCH(1033,'Transfer Engine'!$C$2:$C$1199,0)))</f>
        <v/>
      </c>
      <c r="F1042" s="6" t="str">
        <f>IF(ISNA(MATCH(1033,'Transfer Engine'!$C$2:$C$1199,0)),"",INDEX('Compliance Database'!$F$2:$F$1199,MATCH(1033,'Transfer Engine'!$C$2:$C$1199,0)))</f>
        <v/>
      </c>
      <c r="G1042" s="6" t="str">
        <f>IF(ISNA(MATCH(1033,'Transfer Engine'!$C$2:$C$1199,0)),"",INDEX('Compliance Database'!$G$2:$G$1199,MATCH(1033,'Transfer Engine'!$C$2:$C$1199,0)))</f>
        <v/>
      </c>
      <c r="H1042" s="7" t="str">
        <f>IF(ISNA(MATCH(1033,'Transfer Engine'!$C$2:$C$1199,0)),"",INDEX('Compliance Database'!$H$2:$H$1199,MATCH(1033,'Transfer Engine'!$C$2:$C$1199,0)))</f>
        <v/>
      </c>
      <c r="I1042" s="7" t="str">
        <f>IF(ISNA(MATCH(1033,'Transfer Engine'!$C$2:$C$1199,0)),"",INDEX('Compliance Database'!$I$2:$I$1199,MATCH(1033,'Transfer Engine'!$C$2:$C$1199,0)))</f>
        <v/>
      </c>
      <c r="J1042" s="6" t="str">
        <f>IF(ISNA(MATCH(1033,'Transfer Engine'!$C$2:$C$1199,0)),"",INDEX('Compliance Database'!$J$2:$J$1199,MATCH(1033,'Transfer Engine'!$C$2:$C$1199,0)))</f>
        <v/>
      </c>
      <c r="K1042" s="7" t="str">
        <f>IF(ISNA(MATCH(1033,'Transfer Engine'!$C$2:$C$1199,0)),"",INDEX('Compliance Database'!$K$2:$K$1199,MATCH(1033,'Transfer Engine'!$C$2:$C$1199,0)))</f>
        <v/>
      </c>
      <c r="L1042" s="7" t="str">
        <f>IF(ISNA(MATCH(1033,'Transfer Engine'!$C$2:$C$1199,0)),"",INDEX('Compliance Database'!$L$2:$L$1199,MATCH(1033,'Transfer Engine'!$C$2:$C$1199,0)))</f>
        <v/>
      </c>
      <c r="M1042" s="7" t="str">
        <f>IF(ISNA(MATCH(1033,'Transfer Engine'!$C$2:$C$1199,0)),"",INDEX('Compliance Database'!$M$2:$M$1199,MATCH(1033,'Transfer Engine'!$C$2:$C$1199,0)))</f>
        <v/>
      </c>
      <c r="N1042" s="7" t="str">
        <f>IF(ISNA(MATCH(1033,'Transfer Engine'!$C$2:$C$1199,0)),"",INDEX('Compliance Database'!$N$2:$N$1199,MATCH(1033,'Transfer Engine'!$C$2:$C$1199,0)))</f>
        <v/>
      </c>
      <c r="O1042" s="7" t="str">
        <f>IF(ISNA(MATCH(1033,'Transfer Engine'!$C$2:$C$1199,0)),"",INDEX('Compliance Database'!$O$2:$O$1199,MATCH(1033,'Transfer Engine'!$C$2:$C$1199,0)))</f>
        <v/>
      </c>
      <c r="P1042" s="6" t="str">
        <f>IF(ISNA(MATCH(1033,'Transfer Engine'!$C$2:$C$1199,0)),"",HYPERLINK("#Acts!A"&amp;INDEX('Compliance Database'!$P$2:$P$1199,MATCH(1033,'Transfer Engine'!$C$2:$C$1199,0)),"Go to Act"))</f>
        <v/>
      </c>
    </row>
    <row r="1043" spans="1:16" ht="172.95" customHeight="1" x14ac:dyDescent="0.3">
      <c r="A1043" s="6" t="str">
        <f>IF(ISNA(MATCH(1034,'Transfer Engine'!$C$2:$C$1199,0)),"",INDEX('Compliance Database'!$A$2:$A$1199,MATCH(1034,'Transfer Engine'!$C$2:$C$1199,0)))</f>
        <v/>
      </c>
      <c r="B1043" s="6" t="str">
        <f>IF(ISNA(MATCH(1034,'Transfer Engine'!$C$2:$C$1199,0)),"",INDEX('Compliance Database'!$B$2:$B$1199,MATCH(1034,'Transfer Engine'!$C$2:$C$1199,0)))</f>
        <v/>
      </c>
      <c r="C1043" s="6" t="str">
        <f>IF(ISNA(MATCH(1034,'Transfer Engine'!$C$2:$C$1199,0)),"",INDEX('Compliance Database'!$C$2:$C$1199,MATCH(1034,'Transfer Engine'!$C$2:$C$1199,0)))</f>
        <v/>
      </c>
      <c r="D1043" s="7" t="str">
        <f>IF(ISNA(MATCH(1034,'Transfer Engine'!$C$2:$C$1199,0)),"",INDEX('Compliance Database'!$D$2:$D$1199,MATCH(1034,'Transfer Engine'!$C$2:$C$1199,0)))</f>
        <v/>
      </c>
      <c r="E1043" s="6" t="str">
        <f>IF(ISNA(MATCH(1034,'Transfer Engine'!$C$2:$C$1199,0)),"",INDEX('Compliance Database'!$E$2:$E$1199,MATCH(1034,'Transfer Engine'!$C$2:$C$1199,0)))</f>
        <v/>
      </c>
      <c r="F1043" s="6" t="str">
        <f>IF(ISNA(MATCH(1034,'Transfer Engine'!$C$2:$C$1199,0)),"",INDEX('Compliance Database'!$F$2:$F$1199,MATCH(1034,'Transfer Engine'!$C$2:$C$1199,0)))</f>
        <v/>
      </c>
      <c r="G1043" s="6" t="str">
        <f>IF(ISNA(MATCH(1034,'Transfer Engine'!$C$2:$C$1199,0)),"",INDEX('Compliance Database'!$G$2:$G$1199,MATCH(1034,'Transfer Engine'!$C$2:$C$1199,0)))</f>
        <v/>
      </c>
      <c r="H1043" s="7" t="str">
        <f>IF(ISNA(MATCH(1034,'Transfer Engine'!$C$2:$C$1199,0)),"",INDEX('Compliance Database'!$H$2:$H$1199,MATCH(1034,'Transfer Engine'!$C$2:$C$1199,0)))</f>
        <v/>
      </c>
      <c r="I1043" s="7" t="str">
        <f>IF(ISNA(MATCH(1034,'Transfer Engine'!$C$2:$C$1199,0)),"",INDEX('Compliance Database'!$I$2:$I$1199,MATCH(1034,'Transfer Engine'!$C$2:$C$1199,0)))</f>
        <v/>
      </c>
      <c r="J1043" s="6" t="str">
        <f>IF(ISNA(MATCH(1034,'Transfer Engine'!$C$2:$C$1199,0)),"",INDEX('Compliance Database'!$J$2:$J$1199,MATCH(1034,'Transfer Engine'!$C$2:$C$1199,0)))</f>
        <v/>
      </c>
      <c r="K1043" s="7" t="str">
        <f>IF(ISNA(MATCH(1034,'Transfer Engine'!$C$2:$C$1199,0)),"",INDEX('Compliance Database'!$K$2:$K$1199,MATCH(1034,'Transfer Engine'!$C$2:$C$1199,0)))</f>
        <v/>
      </c>
      <c r="L1043" s="7" t="str">
        <f>IF(ISNA(MATCH(1034,'Transfer Engine'!$C$2:$C$1199,0)),"",INDEX('Compliance Database'!$L$2:$L$1199,MATCH(1034,'Transfer Engine'!$C$2:$C$1199,0)))</f>
        <v/>
      </c>
      <c r="M1043" s="7" t="str">
        <f>IF(ISNA(MATCH(1034,'Transfer Engine'!$C$2:$C$1199,0)),"",INDEX('Compliance Database'!$M$2:$M$1199,MATCH(1034,'Transfer Engine'!$C$2:$C$1199,0)))</f>
        <v/>
      </c>
      <c r="N1043" s="7" t="str">
        <f>IF(ISNA(MATCH(1034,'Transfer Engine'!$C$2:$C$1199,0)),"",INDEX('Compliance Database'!$N$2:$N$1199,MATCH(1034,'Transfer Engine'!$C$2:$C$1199,0)))</f>
        <v/>
      </c>
      <c r="O1043" s="7" t="str">
        <f>IF(ISNA(MATCH(1034,'Transfer Engine'!$C$2:$C$1199,0)),"",INDEX('Compliance Database'!$O$2:$O$1199,MATCH(1034,'Transfer Engine'!$C$2:$C$1199,0)))</f>
        <v/>
      </c>
      <c r="P1043" s="6" t="str">
        <f>IF(ISNA(MATCH(1034,'Transfer Engine'!$C$2:$C$1199,0)),"",HYPERLINK("#Acts!A"&amp;INDEX('Compliance Database'!$P$2:$P$1199,MATCH(1034,'Transfer Engine'!$C$2:$C$1199,0)),"Go to Act"))</f>
        <v/>
      </c>
    </row>
    <row r="1044" spans="1:16" ht="172.95" customHeight="1" x14ac:dyDescent="0.3">
      <c r="A1044" s="6" t="str">
        <f>IF(ISNA(MATCH(1035,'Transfer Engine'!$C$2:$C$1199,0)),"",INDEX('Compliance Database'!$A$2:$A$1199,MATCH(1035,'Transfer Engine'!$C$2:$C$1199,0)))</f>
        <v/>
      </c>
      <c r="B1044" s="6" t="str">
        <f>IF(ISNA(MATCH(1035,'Transfer Engine'!$C$2:$C$1199,0)),"",INDEX('Compliance Database'!$B$2:$B$1199,MATCH(1035,'Transfer Engine'!$C$2:$C$1199,0)))</f>
        <v/>
      </c>
      <c r="C1044" s="6" t="str">
        <f>IF(ISNA(MATCH(1035,'Transfer Engine'!$C$2:$C$1199,0)),"",INDEX('Compliance Database'!$C$2:$C$1199,MATCH(1035,'Transfer Engine'!$C$2:$C$1199,0)))</f>
        <v/>
      </c>
      <c r="D1044" s="7" t="str">
        <f>IF(ISNA(MATCH(1035,'Transfer Engine'!$C$2:$C$1199,0)),"",INDEX('Compliance Database'!$D$2:$D$1199,MATCH(1035,'Transfer Engine'!$C$2:$C$1199,0)))</f>
        <v/>
      </c>
      <c r="E1044" s="6" t="str">
        <f>IF(ISNA(MATCH(1035,'Transfer Engine'!$C$2:$C$1199,0)),"",INDEX('Compliance Database'!$E$2:$E$1199,MATCH(1035,'Transfer Engine'!$C$2:$C$1199,0)))</f>
        <v/>
      </c>
      <c r="F1044" s="6" t="str">
        <f>IF(ISNA(MATCH(1035,'Transfer Engine'!$C$2:$C$1199,0)),"",INDEX('Compliance Database'!$F$2:$F$1199,MATCH(1035,'Transfer Engine'!$C$2:$C$1199,0)))</f>
        <v/>
      </c>
      <c r="G1044" s="6" t="str">
        <f>IF(ISNA(MATCH(1035,'Transfer Engine'!$C$2:$C$1199,0)),"",INDEX('Compliance Database'!$G$2:$G$1199,MATCH(1035,'Transfer Engine'!$C$2:$C$1199,0)))</f>
        <v/>
      </c>
      <c r="H1044" s="7" t="str">
        <f>IF(ISNA(MATCH(1035,'Transfer Engine'!$C$2:$C$1199,0)),"",INDEX('Compliance Database'!$H$2:$H$1199,MATCH(1035,'Transfer Engine'!$C$2:$C$1199,0)))</f>
        <v/>
      </c>
      <c r="I1044" s="7" t="str">
        <f>IF(ISNA(MATCH(1035,'Transfer Engine'!$C$2:$C$1199,0)),"",INDEX('Compliance Database'!$I$2:$I$1199,MATCH(1035,'Transfer Engine'!$C$2:$C$1199,0)))</f>
        <v/>
      </c>
      <c r="J1044" s="6" t="str">
        <f>IF(ISNA(MATCH(1035,'Transfer Engine'!$C$2:$C$1199,0)),"",INDEX('Compliance Database'!$J$2:$J$1199,MATCH(1035,'Transfer Engine'!$C$2:$C$1199,0)))</f>
        <v/>
      </c>
      <c r="K1044" s="7" t="str">
        <f>IF(ISNA(MATCH(1035,'Transfer Engine'!$C$2:$C$1199,0)),"",INDEX('Compliance Database'!$K$2:$K$1199,MATCH(1035,'Transfer Engine'!$C$2:$C$1199,0)))</f>
        <v/>
      </c>
      <c r="L1044" s="7" t="str">
        <f>IF(ISNA(MATCH(1035,'Transfer Engine'!$C$2:$C$1199,0)),"",INDEX('Compliance Database'!$L$2:$L$1199,MATCH(1035,'Transfer Engine'!$C$2:$C$1199,0)))</f>
        <v/>
      </c>
      <c r="M1044" s="7" t="str">
        <f>IF(ISNA(MATCH(1035,'Transfer Engine'!$C$2:$C$1199,0)),"",INDEX('Compliance Database'!$M$2:$M$1199,MATCH(1035,'Transfer Engine'!$C$2:$C$1199,0)))</f>
        <v/>
      </c>
      <c r="N1044" s="7" t="str">
        <f>IF(ISNA(MATCH(1035,'Transfer Engine'!$C$2:$C$1199,0)),"",INDEX('Compliance Database'!$N$2:$N$1199,MATCH(1035,'Transfer Engine'!$C$2:$C$1199,0)))</f>
        <v/>
      </c>
      <c r="O1044" s="7" t="str">
        <f>IF(ISNA(MATCH(1035,'Transfer Engine'!$C$2:$C$1199,0)),"",INDEX('Compliance Database'!$O$2:$O$1199,MATCH(1035,'Transfer Engine'!$C$2:$C$1199,0)))</f>
        <v/>
      </c>
      <c r="P1044" s="6" t="str">
        <f>IF(ISNA(MATCH(1035,'Transfer Engine'!$C$2:$C$1199,0)),"",HYPERLINK("#Acts!A"&amp;INDEX('Compliance Database'!$P$2:$P$1199,MATCH(1035,'Transfer Engine'!$C$2:$C$1199,0)),"Go to Act"))</f>
        <v/>
      </c>
    </row>
    <row r="1045" spans="1:16" ht="172.95" customHeight="1" x14ac:dyDescent="0.3">
      <c r="A1045" s="6" t="str">
        <f>IF(ISNA(MATCH(1036,'Transfer Engine'!$C$2:$C$1199,0)),"",INDEX('Compliance Database'!$A$2:$A$1199,MATCH(1036,'Transfer Engine'!$C$2:$C$1199,0)))</f>
        <v/>
      </c>
      <c r="B1045" s="6" t="str">
        <f>IF(ISNA(MATCH(1036,'Transfer Engine'!$C$2:$C$1199,0)),"",INDEX('Compliance Database'!$B$2:$B$1199,MATCH(1036,'Transfer Engine'!$C$2:$C$1199,0)))</f>
        <v/>
      </c>
      <c r="C1045" s="6" t="str">
        <f>IF(ISNA(MATCH(1036,'Transfer Engine'!$C$2:$C$1199,0)),"",INDEX('Compliance Database'!$C$2:$C$1199,MATCH(1036,'Transfer Engine'!$C$2:$C$1199,0)))</f>
        <v/>
      </c>
      <c r="D1045" s="7" t="str">
        <f>IF(ISNA(MATCH(1036,'Transfer Engine'!$C$2:$C$1199,0)),"",INDEX('Compliance Database'!$D$2:$D$1199,MATCH(1036,'Transfer Engine'!$C$2:$C$1199,0)))</f>
        <v/>
      </c>
      <c r="E1045" s="6" t="str">
        <f>IF(ISNA(MATCH(1036,'Transfer Engine'!$C$2:$C$1199,0)),"",INDEX('Compliance Database'!$E$2:$E$1199,MATCH(1036,'Transfer Engine'!$C$2:$C$1199,0)))</f>
        <v/>
      </c>
      <c r="F1045" s="6" t="str">
        <f>IF(ISNA(MATCH(1036,'Transfer Engine'!$C$2:$C$1199,0)),"",INDEX('Compliance Database'!$F$2:$F$1199,MATCH(1036,'Transfer Engine'!$C$2:$C$1199,0)))</f>
        <v/>
      </c>
      <c r="G1045" s="6" t="str">
        <f>IF(ISNA(MATCH(1036,'Transfer Engine'!$C$2:$C$1199,0)),"",INDEX('Compliance Database'!$G$2:$G$1199,MATCH(1036,'Transfer Engine'!$C$2:$C$1199,0)))</f>
        <v/>
      </c>
      <c r="H1045" s="7" t="str">
        <f>IF(ISNA(MATCH(1036,'Transfer Engine'!$C$2:$C$1199,0)),"",INDEX('Compliance Database'!$H$2:$H$1199,MATCH(1036,'Transfer Engine'!$C$2:$C$1199,0)))</f>
        <v/>
      </c>
      <c r="I1045" s="7" t="str">
        <f>IF(ISNA(MATCH(1036,'Transfer Engine'!$C$2:$C$1199,0)),"",INDEX('Compliance Database'!$I$2:$I$1199,MATCH(1036,'Transfer Engine'!$C$2:$C$1199,0)))</f>
        <v/>
      </c>
      <c r="J1045" s="6" t="str">
        <f>IF(ISNA(MATCH(1036,'Transfer Engine'!$C$2:$C$1199,0)),"",INDEX('Compliance Database'!$J$2:$J$1199,MATCH(1036,'Transfer Engine'!$C$2:$C$1199,0)))</f>
        <v/>
      </c>
      <c r="K1045" s="7" t="str">
        <f>IF(ISNA(MATCH(1036,'Transfer Engine'!$C$2:$C$1199,0)),"",INDEX('Compliance Database'!$K$2:$K$1199,MATCH(1036,'Transfer Engine'!$C$2:$C$1199,0)))</f>
        <v/>
      </c>
      <c r="L1045" s="7" t="str">
        <f>IF(ISNA(MATCH(1036,'Transfer Engine'!$C$2:$C$1199,0)),"",INDEX('Compliance Database'!$L$2:$L$1199,MATCH(1036,'Transfer Engine'!$C$2:$C$1199,0)))</f>
        <v/>
      </c>
      <c r="M1045" s="7" t="str">
        <f>IF(ISNA(MATCH(1036,'Transfer Engine'!$C$2:$C$1199,0)),"",INDEX('Compliance Database'!$M$2:$M$1199,MATCH(1036,'Transfer Engine'!$C$2:$C$1199,0)))</f>
        <v/>
      </c>
      <c r="N1045" s="7" t="str">
        <f>IF(ISNA(MATCH(1036,'Transfer Engine'!$C$2:$C$1199,0)),"",INDEX('Compliance Database'!$N$2:$N$1199,MATCH(1036,'Transfer Engine'!$C$2:$C$1199,0)))</f>
        <v/>
      </c>
      <c r="O1045" s="7" t="str">
        <f>IF(ISNA(MATCH(1036,'Transfer Engine'!$C$2:$C$1199,0)),"",INDEX('Compliance Database'!$O$2:$O$1199,MATCH(1036,'Transfer Engine'!$C$2:$C$1199,0)))</f>
        <v/>
      </c>
      <c r="P1045" s="6" t="str">
        <f>IF(ISNA(MATCH(1036,'Transfer Engine'!$C$2:$C$1199,0)),"",HYPERLINK("#Acts!A"&amp;INDEX('Compliance Database'!$P$2:$P$1199,MATCH(1036,'Transfer Engine'!$C$2:$C$1199,0)),"Go to Act"))</f>
        <v/>
      </c>
    </row>
    <row r="1046" spans="1:16" ht="172.95" customHeight="1" x14ac:dyDescent="0.3">
      <c r="A1046" s="6" t="str">
        <f>IF(ISNA(MATCH(1037,'Transfer Engine'!$C$2:$C$1199,0)),"",INDEX('Compliance Database'!$A$2:$A$1199,MATCH(1037,'Transfer Engine'!$C$2:$C$1199,0)))</f>
        <v/>
      </c>
      <c r="B1046" s="6" t="str">
        <f>IF(ISNA(MATCH(1037,'Transfer Engine'!$C$2:$C$1199,0)),"",INDEX('Compliance Database'!$B$2:$B$1199,MATCH(1037,'Transfer Engine'!$C$2:$C$1199,0)))</f>
        <v/>
      </c>
      <c r="C1046" s="6" t="str">
        <f>IF(ISNA(MATCH(1037,'Transfer Engine'!$C$2:$C$1199,0)),"",INDEX('Compliance Database'!$C$2:$C$1199,MATCH(1037,'Transfer Engine'!$C$2:$C$1199,0)))</f>
        <v/>
      </c>
      <c r="D1046" s="7" t="str">
        <f>IF(ISNA(MATCH(1037,'Transfer Engine'!$C$2:$C$1199,0)),"",INDEX('Compliance Database'!$D$2:$D$1199,MATCH(1037,'Transfer Engine'!$C$2:$C$1199,0)))</f>
        <v/>
      </c>
      <c r="E1046" s="6" t="str">
        <f>IF(ISNA(MATCH(1037,'Transfer Engine'!$C$2:$C$1199,0)),"",INDEX('Compliance Database'!$E$2:$E$1199,MATCH(1037,'Transfer Engine'!$C$2:$C$1199,0)))</f>
        <v/>
      </c>
      <c r="F1046" s="6" t="str">
        <f>IF(ISNA(MATCH(1037,'Transfer Engine'!$C$2:$C$1199,0)),"",INDEX('Compliance Database'!$F$2:$F$1199,MATCH(1037,'Transfer Engine'!$C$2:$C$1199,0)))</f>
        <v/>
      </c>
      <c r="G1046" s="6" t="str">
        <f>IF(ISNA(MATCH(1037,'Transfer Engine'!$C$2:$C$1199,0)),"",INDEX('Compliance Database'!$G$2:$G$1199,MATCH(1037,'Transfer Engine'!$C$2:$C$1199,0)))</f>
        <v/>
      </c>
      <c r="H1046" s="7" t="str">
        <f>IF(ISNA(MATCH(1037,'Transfer Engine'!$C$2:$C$1199,0)),"",INDEX('Compliance Database'!$H$2:$H$1199,MATCH(1037,'Transfer Engine'!$C$2:$C$1199,0)))</f>
        <v/>
      </c>
      <c r="I1046" s="7" t="str">
        <f>IF(ISNA(MATCH(1037,'Transfer Engine'!$C$2:$C$1199,0)),"",INDEX('Compliance Database'!$I$2:$I$1199,MATCH(1037,'Transfer Engine'!$C$2:$C$1199,0)))</f>
        <v/>
      </c>
      <c r="J1046" s="6" t="str">
        <f>IF(ISNA(MATCH(1037,'Transfer Engine'!$C$2:$C$1199,0)),"",INDEX('Compliance Database'!$J$2:$J$1199,MATCH(1037,'Transfer Engine'!$C$2:$C$1199,0)))</f>
        <v/>
      </c>
      <c r="K1046" s="7" t="str">
        <f>IF(ISNA(MATCH(1037,'Transfer Engine'!$C$2:$C$1199,0)),"",INDEX('Compliance Database'!$K$2:$K$1199,MATCH(1037,'Transfer Engine'!$C$2:$C$1199,0)))</f>
        <v/>
      </c>
      <c r="L1046" s="7" t="str">
        <f>IF(ISNA(MATCH(1037,'Transfer Engine'!$C$2:$C$1199,0)),"",INDEX('Compliance Database'!$L$2:$L$1199,MATCH(1037,'Transfer Engine'!$C$2:$C$1199,0)))</f>
        <v/>
      </c>
      <c r="M1046" s="7" t="str">
        <f>IF(ISNA(MATCH(1037,'Transfer Engine'!$C$2:$C$1199,0)),"",INDEX('Compliance Database'!$M$2:$M$1199,MATCH(1037,'Transfer Engine'!$C$2:$C$1199,0)))</f>
        <v/>
      </c>
      <c r="N1046" s="7" t="str">
        <f>IF(ISNA(MATCH(1037,'Transfer Engine'!$C$2:$C$1199,0)),"",INDEX('Compliance Database'!$N$2:$N$1199,MATCH(1037,'Transfer Engine'!$C$2:$C$1199,0)))</f>
        <v/>
      </c>
      <c r="O1046" s="7" t="str">
        <f>IF(ISNA(MATCH(1037,'Transfer Engine'!$C$2:$C$1199,0)),"",INDEX('Compliance Database'!$O$2:$O$1199,MATCH(1037,'Transfer Engine'!$C$2:$C$1199,0)))</f>
        <v/>
      </c>
      <c r="P1046" s="6" t="str">
        <f>IF(ISNA(MATCH(1037,'Transfer Engine'!$C$2:$C$1199,0)),"",HYPERLINK("#Acts!A"&amp;INDEX('Compliance Database'!$P$2:$P$1199,MATCH(1037,'Transfer Engine'!$C$2:$C$1199,0)),"Go to Act"))</f>
        <v/>
      </c>
    </row>
    <row r="1047" spans="1:16" ht="172.95" customHeight="1" x14ac:dyDescent="0.3">
      <c r="A1047" s="6" t="str">
        <f>IF(ISNA(MATCH(1038,'Transfer Engine'!$C$2:$C$1199,0)),"",INDEX('Compliance Database'!$A$2:$A$1199,MATCH(1038,'Transfer Engine'!$C$2:$C$1199,0)))</f>
        <v/>
      </c>
      <c r="B1047" s="6" t="str">
        <f>IF(ISNA(MATCH(1038,'Transfer Engine'!$C$2:$C$1199,0)),"",INDEX('Compliance Database'!$B$2:$B$1199,MATCH(1038,'Transfer Engine'!$C$2:$C$1199,0)))</f>
        <v/>
      </c>
      <c r="C1047" s="6" t="str">
        <f>IF(ISNA(MATCH(1038,'Transfer Engine'!$C$2:$C$1199,0)),"",INDEX('Compliance Database'!$C$2:$C$1199,MATCH(1038,'Transfer Engine'!$C$2:$C$1199,0)))</f>
        <v/>
      </c>
      <c r="D1047" s="7" t="str">
        <f>IF(ISNA(MATCH(1038,'Transfer Engine'!$C$2:$C$1199,0)),"",INDEX('Compliance Database'!$D$2:$D$1199,MATCH(1038,'Transfer Engine'!$C$2:$C$1199,0)))</f>
        <v/>
      </c>
      <c r="E1047" s="6" t="str">
        <f>IF(ISNA(MATCH(1038,'Transfer Engine'!$C$2:$C$1199,0)),"",INDEX('Compliance Database'!$E$2:$E$1199,MATCH(1038,'Transfer Engine'!$C$2:$C$1199,0)))</f>
        <v/>
      </c>
      <c r="F1047" s="6" t="str">
        <f>IF(ISNA(MATCH(1038,'Transfer Engine'!$C$2:$C$1199,0)),"",INDEX('Compliance Database'!$F$2:$F$1199,MATCH(1038,'Transfer Engine'!$C$2:$C$1199,0)))</f>
        <v/>
      </c>
      <c r="G1047" s="6" t="str">
        <f>IF(ISNA(MATCH(1038,'Transfer Engine'!$C$2:$C$1199,0)),"",INDEX('Compliance Database'!$G$2:$G$1199,MATCH(1038,'Transfer Engine'!$C$2:$C$1199,0)))</f>
        <v/>
      </c>
      <c r="H1047" s="7" t="str">
        <f>IF(ISNA(MATCH(1038,'Transfer Engine'!$C$2:$C$1199,0)),"",INDEX('Compliance Database'!$H$2:$H$1199,MATCH(1038,'Transfer Engine'!$C$2:$C$1199,0)))</f>
        <v/>
      </c>
      <c r="I1047" s="7" t="str">
        <f>IF(ISNA(MATCH(1038,'Transfer Engine'!$C$2:$C$1199,0)),"",INDEX('Compliance Database'!$I$2:$I$1199,MATCH(1038,'Transfer Engine'!$C$2:$C$1199,0)))</f>
        <v/>
      </c>
      <c r="J1047" s="6" t="str">
        <f>IF(ISNA(MATCH(1038,'Transfer Engine'!$C$2:$C$1199,0)),"",INDEX('Compliance Database'!$J$2:$J$1199,MATCH(1038,'Transfer Engine'!$C$2:$C$1199,0)))</f>
        <v/>
      </c>
      <c r="K1047" s="7" t="str">
        <f>IF(ISNA(MATCH(1038,'Transfer Engine'!$C$2:$C$1199,0)),"",INDEX('Compliance Database'!$K$2:$K$1199,MATCH(1038,'Transfer Engine'!$C$2:$C$1199,0)))</f>
        <v/>
      </c>
      <c r="L1047" s="7" t="str">
        <f>IF(ISNA(MATCH(1038,'Transfer Engine'!$C$2:$C$1199,0)),"",INDEX('Compliance Database'!$L$2:$L$1199,MATCH(1038,'Transfer Engine'!$C$2:$C$1199,0)))</f>
        <v/>
      </c>
      <c r="M1047" s="7" t="str">
        <f>IF(ISNA(MATCH(1038,'Transfer Engine'!$C$2:$C$1199,0)),"",INDEX('Compliance Database'!$M$2:$M$1199,MATCH(1038,'Transfer Engine'!$C$2:$C$1199,0)))</f>
        <v/>
      </c>
      <c r="N1047" s="7" t="str">
        <f>IF(ISNA(MATCH(1038,'Transfer Engine'!$C$2:$C$1199,0)),"",INDEX('Compliance Database'!$N$2:$N$1199,MATCH(1038,'Transfer Engine'!$C$2:$C$1199,0)))</f>
        <v/>
      </c>
      <c r="O1047" s="7" t="str">
        <f>IF(ISNA(MATCH(1038,'Transfer Engine'!$C$2:$C$1199,0)),"",INDEX('Compliance Database'!$O$2:$O$1199,MATCH(1038,'Transfer Engine'!$C$2:$C$1199,0)))</f>
        <v/>
      </c>
      <c r="P1047" s="6" t="str">
        <f>IF(ISNA(MATCH(1038,'Transfer Engine'!$C$2:$C$1199,0)),"",HYPERLINK("#Acts!A"&amp;INDEX('Compliance Database'!$P$2:$P$1199,MATCH(1038,'Transfer Engine'!$C$2:$C$1199,0)),"Go to Act"))</f>
        <v/>
      </c>
    </row>
    <row r="1048" spans="1:16" ht="172.95" customHeight="1" x14ac:dyDescent="0.3">
      <c r="A1048" s="6" t="str">
        <f>IF(ISNA(MATCH(1039,'Transfer Engine'!$C$2:$C$1199,0)),"",INDEX('Compliance Database'!$A$2:$A$1199,MATCH(1039,'Transfer Engine'!$C$2:$C$1199,0)))</f>
        <v/>
      </c>
      <c r="B1048" s="6" t="str">
        <f>IF(ISNA(MATCH(1039,'Transfer Engine'!$C$2:$C$1199,0)),"",INDEX('Compliance Database'!$B$2:$B$1199,MATCH(1039,'Transfer Engine'!$C$2:$C$1199,0)))</f>
        <v/>
      </c>
      <c r="C1048" s="6" t="str">
        <f>IF(ISNA(MATCH(1039,'Transfer Engine'!$C$2:$C$1199,0)),"",INDEX('Compliance Database'!$C$2:$C$1199,MATCH(1039,'Transfer Engine'!$C$2:$C$1199,0)))</f>
        <v/>
      </c>
      <c r="D1048" s="7" t="str">
        <f>IF(ISNA(MATCH(1039,'Transfer Engine'!$C$2:$C$1199,0)),"",INDEX('Compliance Database'!$D$2:$D$1199,MATCH(1039,'Transfer Engine'!$C$2:$C$1199,0)))</f>
        <v/>
      </c>
      <c r="E1048" s="6" t="str">
        <f>IF(ISNA(MATCH(1039,'Transfer Engine'!$C$2:$C$1199,0)),"",INDEX('Compliance Database'!$E$2:$E$1199,MATCH(1039,'Transfer Engine'!$C$2:$C$1199,0)))</f>
        <v/>
      </c>
      <c r="F1048" s="6" t="str">
        <f>IF(ISNA(MATCH(1039,'Transfer Engine'!$C$2:$C$1199,0)),"",INDEX('Compliance Database'!$F$2:$F$1199,MATCH(1039,'Transfer Engine'!$C$2:$C$1199,0)))</f>
        <v/>
      </c>
      <c r="G1048" s="6" t="str">
        <f>IF(ISNA(MATCH(1039,'Transfer Engine'!$C$2:$C$1199,0)),"",INDEX('Compliance Database'!$G$2:$G$1199,MATCH(1039,'Transfer Engine'!$C$2:$C$1199,0)))</f>
        <v/>
      </c>
      <c r="H1048" s="7" t="str">
        <f>IF(ISNA(MATCH(1039,'Transfer Engine'!$C$2:$C$1199,0)),"",INDEX('Compliance Database'!$H$2:$H$1199,MATCH(1039,'Transfer Engine'!$C$2:$C$1199,0)))</f>
        <v/>
      </c>
      <c r="I1048" s="7" t="str">
        <f>IF(ISNA(MATCH(1039,'Transfer Engine'!$C$2:$C$1199,0)),"",INDEX('Compliance Database'!$I$2:$I$1199,MATCH(1039,'Transfer Engine'!$C$2:$C$1199,0)))</f>
        <v/>
      </c>
      <c r="J1048" s="6" t="str">
        <f>IF(ISNA(MATCH(1039,'Transfer Engine'!$C$2:$C$1199,0)),"",INDEX('Compliance Database'!$J$2:$J$1199,MATCH(1039,'Transfer Engine'!$C$2:$C$1199,0)))</f>
        <v/>
      </c>
      <c r="K1048" s="7" t="str">
        <f>IF(ISNA(MATCH(1039,'Transfer Engine'!$C$2:$C$1199,0)),"",INDEX('Compliance Database'!$K$2:$K$1199,MATCH(1039,'Transfer Engine'!$C$2:$C$1199,0)))</f>
        <v/>
      </c>
      <c r="L1048" s="7" t="str">
        <f>IF(ISNA(MATCH(1039,'Transfer Engine'!$C$2:$C$1199,0)),"",INDEX('Compliance Database'!$L$2:$L$1199,MATCH(1039,'Transfer Engine'!$C$2:$C$1199,0)))</f>
        <v/>
      </c>
      <c r="M1048" s="7" t="str">
        <f>IF(ISNA(MATCH(1039,'Transfer Engine'!$C$2:$C$1199,0)),"",INDEX('Compliance Database'!$M$2:$M$1199,MATCH(1039,'Transfer Engine'!$C$2:$C$1199,0)))</f>
        <v/>
      </c>
      <c r="N1048" s="7" t="str">
        <f>IF(ISNA(MATCH(1039,'Transfer Engine'!$C$2:$C$1199,0)),"",INDEX('Compliance Database'!$N$2:$N$1199,MATCH(1039,'Transfer Engine'!$C$2:$C$1199,0)))</f>
        <v/>
      </c>
      <c r="O1048" s="7" t="str">
        <f>IF(ISNA(MATCH(1039,'Transfer Engine'!$C$2:$C$1199,0)),"",INDEX('Compliance Database'!$O$2:$O$1199,MATCH(1039,'Transfer Engine'!$C$2:$C$1199,0)))</f>
        <v/>
      </c>
      <c r="P1048" s="6" t="str">
        <f>IF(ISNA(MATCH(1039,'Transfer Engine'!$C$2:$C$1199,0)),"",HYPERLINK("#Acts!A"&amp;INDEX('Compliance Database'!$P$2:$P$1199,MATCH(1039,'Transfer Engine'!$C$2:$C$1199,0)),"Go to Act"))</f>
        <v/>
      </c>
    </row>
    <row r="1049" spans="1:16" ht="172.95" customHeight="1" x14ac:dyDescent="0.3">
      <c r="A1049" s="6" t="str">
        <f>IF(ISNA(MATCH(1040,'Transfer Engine'!$C$2:$C$1199,0)),"",INDEX('Compliance Database'!$A$2:$A$1199,MATCH(1040,'Transfer Engine'!$C$2:$C$1199,0)))</f>
        <v/>
      </c>
      <c r="B1049" s="6" t="str">
        <f>IF(ISNA(MATCH(1040,'Transfer Engine'!$C$2:$C$1199,0)),"",INDEX('Compliance Database'!$B$2:$B$1199,MATCH(1040,'Transfer Engine'!$C$2:$C$1199,0)))</f>
        <v/>
      </c>
      <c r="C1049" s="6" t="str">
        <f>IF(ISNA(MATCH(1040,'Transfer Engine'!$C$2:$C$1199,0)),"",INDEX('Compliance Database'!$C$2:$C$1199,MATCH(1040,'Transfer Engine'!$C$2:$C$1199,0)))</f>
        <v/>
      </c>
      <c r="D1049" s="7" t="str">
        <f>IF(ISNA(MATCH(1040,'Transfer Engine'!$C$2:$C$1199,0)),"",INDEX('Compliance Database'!$D$2:$D$1199,MATCH(1040,'Transfer Engine'!$C$2:$C$1199,0)))</f>
        <v/>
      </c>
      <c r="E1049" s="6" t="str">
        <f>IF(ISNA(MATCH(1040,'Transfer Engine'!$C$2:$C$1199,0)),"",INDEX('Compliance Database'!$E$2:$E$1199,MATCH(1040,'Transfer Engine'!$C$2:$C$1199,0)))</f>
        <v/>
      </c>
      <c r="F1049" s="6" t="str">
        <f>IF(ISNA(MATCH(1040,'Transfer Engine'!$C$2:$C$1199,0)),"",INDEX('Compliance Database'!$F$2:$F$1199,MATCH(1040,'Transfer Engine'!$C$2:$C$1199,0)))</f>
        <v/>
      </c>
      <c r="G1049" s="6" t="str">
        <f>IF(ISNA(MATCH(1040,'Transfer Engine'!$C$2:$C$1199,0)),"",INDEX('Compliance Database'!$G$2:$G$1199,MATCH(1040,'Transfer Engine'!$C$2:$C$1199,0)))</f>
        <v/>
      </c>
      <c r="H1049" s="7" t="str">
        <f>IF(ISNA(MATCH(1040,'Transfer Engine'!$C$2:$C$1199,0)),"",INDEX('Compliance Database'!$H$2:$H$1199,MATCH(1040,'Transfer Engine'!$C$2:$C$1199,0)))</f>
        <v/>
      </c>
      <c r="I1049" s="7" t="str">
        <f>IF(ISNA(MATCH(1040,'Transfer Engine'!$C$2:$C$1199,0)),"",INDEX('Compliance Database'!$I$2:$I$1199,MATCH(1040,'Transfer Engine'!$C$2:$C$1199,0)))</f>
        <v/>
      </c>
      <c r="J1049" s="6" t="str">
        <f>IF(ISNA(MATCH(1040,'Transfer Engine'!$C$2:$C$1199,0)),"",INDEX('Compliance Database'!$J$2:$J$1199,MATCH(1040,'Transfer Engine'!$C$2:$C$1199,0)))</f>
        <v/>
      </c>
      <c r="K1049" s="7" t="str">
        <f>IF(ISNA(MATCH(1040,'Transfer Engine'!$C$2:$C$1199,0)),"",INDEX('Compliance Database'!$K$2:$K$1199,MATCH(1040,'Transfer Engine'!$C$2:$C$1199,0)))</f>
        <v/>
      </c>
      <c r="L1049" s="7" t="str">
        <f>IF(ISNA(MATCH(1040,'Transfer Engine'!$C$2:$C$1199,0)),"",INDEX('Compliance Database'!$L$2:$L$1199,MATCH(1040,'Transfer Engine'!$C$2:$C$1199,0)))</f>
        <v/>
      </c>
      <c r="M1049" s="7" t="str">
        <f>IF(ISNA(MATCH(1040,'Transfer Engine'!$C$2:$C$1199,0)),"",INDEX('Compliance Database'!$M$2:$M$1199,MATCH(1040,'Transfer Engine'!$C$2:$C$1199,0)))</f>
        <v/>
      </c>
      <c r="N1049" s="7" t="str">
        <f>IF(ISNA(MATCH(1040,'Transfer Engine'!$C$2:$C$1199,0)),"",INDEX('Compliance Database'!$N$2:$N$1199,MATCH(1040,'Transfer Engine'!$C$2:$C$1199,0)))</f>
        <v/>
      </c>
      <c r="O1049" s="7" t="str">
        <f>IF(ISNA(MATCH(1040,'Transfer Engine'!$C$2:$C$1199,0)),"",INDEX('Compliance Database'!$O$2:$O$1199,MATCH(1040,'Transfer Engine'!$C$2:$C$1199,0)))</f>
        <v/>
      </c>
      <c r="P1049" s="6" t="str">
        <f>IF(ISNA(MATCH(1040,'Transfer Engine'!$C$2:$C$1199,0)),"",HYPERLINK("#Acts!A"&amp;INDEX('Compliance Database'!$P$2:$P$1199,MATCH(1040,'Transfer Engine'!$C$2:$C$1199,0)),"Go to Act"))</f>
        <v/>
      </c>
    </row>
    <row r="1050" spans="1:16" ht="172.95" customHeight="1" x14ac:dyDescent="0.3">
      <c r="A1050" s="6" t="str">
        <f>IF(ISNA(MATCH(1041,'Transfer Engine'!$C$2:$C$1199,0)),"",INDEX('Compliance Database'!$A$2:$A$1199,MATCH(1041,'Transfer Engine'!$C$2:$C$1199,0)))</f>
        <v/>
      </c>
      <c r="B1050" s="6" t="str">
        <f>IF(ISNA(MATCH(1041,'Transfer Engine'!$C$2:$C$1199,0)),"",INDEX('Compliance Database'!$B$2:$B$1199,MATCH(1041,'Transfer Engine'!$C$2:$C$1199,0)))</f>
        <v/>
      </c>
      <c r="C1050" s="6" t="str">
        <f>IF(ISNA(MATCH(1041,'Transfer Engine'!$C$2:$C$1199,0)),"",INDEX('Compliance Database'!$C$2:$C$1199,MATCH(1041,'Transfer Engine'!$C$2:$C$1199,0)))</f>
        <v/>
      </c>
      <c r="D1050" s="7" t="str">
        <f>IF(ISNA(MATCH(1041,'Transfer Engine'!$C$2:$C$1199,0)),"",INDEX('Compliance Database'!$D$2:$D$1199,MATCH(1041,'Transfer Engine'!$C$2:$C$1199,0)))</f>
        <v/>
      </c>
      <c r="E1050" s="6" t="str">
        <f>IF(ISNA(MATCH(1041,'Transfer Engine'!$C$2:$C$1199,0)),"",INDEX('Compliance Database'!$E$2:$E$1199,MATCH(1041,'Transfer Engine'!$C$2:$C$1199,0)))</f>
        <v/>
      </c>
      <c r="F1050" s="6" t="str">
        <f>IF(ISNA(MATCH(1041,'Transfer Engine'!$C$2:$C$1199,0)),"",INDEX('Compliance Database'!$F$2:$F$1199,MATCH(1041,'Transfer Engine'!$C$2:$C$1199,0)))</f>
        <v/>
      </c>
      <c r="G1050" s="6" t="str">
        <f>IF(ISNA(MATCH(1041,'Transfer Engine'!$C$2:$C$1199,0)),"",INDEX('Compliance Database'!$G$2:$G$1199,MATCH(1041,'Transfer Engine'!$C$2:$C$1199,0)))</f>
        <v/>
      </c>
      <c r="H1050" s="7" t="str">
        <f>IF(ISNA(MATCH(1041,'Transfer Engine'!$C$2:$C$1199,0)),"",INDEX('Compliance Database'!$H$2:$H$1199,MATCH(1041,'Transfer Engine'!$C$2:$C$1199,0)))</f>
        <v/>
      </c>
      <c r="I1050" s="7" t="str">
        <f>IF(ISNA(MATCH(1041,'Transfer Engine'!$C$2:$C$1199,0)),"",INDEX('Compliance Database'!$I$2:$I$1199,MATCH(1041,'Transfer Engine'!$C$2:$C$1199,0)))</f>
        <v/>
      </c>
      <c r="J1050" s="6" t="str">
        <f>IF(ISNA(MATCH(1041,'Transfer Engine'!$C$2:$C$1199,0)),"",INDEX('Compliance Database'!$J$2:$J$1199,MATCH(1041,'Transfer Engine'!$C$2:$C$1199,0)))</f>
        <v/>
      </c>
      <c r="K1050" s="7" t="str">
        <f>IF(ISNA(MATCH(1041,'Transfer Engine'!$C$2:$C$1199,0)),"",INDEX('Compliance Database'!$K$2:$K$1199,MATCH(1041,'Transfer Engine'!$C$2:$C$1199,0)))</f>
        <v/>
      </c>
      <c r="L1050" s="7" t="str">
        <f>IF(ISNA(MATCH(1041,'Transfer Engine'!$C$2:$C$1199,0)),"",INDEX('Compliance Database'!$L$2:$L$1199,MATCH(1041,'Transfer Engine'!$C$2:$C$1199,0)))</f>
        <v/>
      </c>
      <c r="M1050" s="7" t="str">
        <f>IF(ISNA(MATCH(1041,'Transfer Engine'!$C$2:$C$1199,0)),"",INDEX('Compliance Database'!$M$2:$M$1199,MATCH(1041,'Transfer Engine'!$C$2:$C$1199,0)))</f>
        <v/>
      </c>
      <c r="N1050" s="7" t="str">
        <f>IF(ISNA(MATCH(1041,'Transfer Engine'!$C$2:$C$1199,0)),"",INDEX('Compliance Database'!$N$2:$N$1199,MATCH(1041,'Transfer Engine'!$C$2:$C$1199,0)))</f>
        <v/>
      </c>
      <c r="O1050" s="7" t="str">
        <f>IF(ISNA(MATCH(1041,'Transfer Engine'!$C$2:$C$1199,0)),"",INDEX('Compliance Database'!$O$2:$O$1199,MATCH(1041,'Transfer Engine'!$C$2:$C$1199,0)))</f>
        <v/>
      </c>
      <c r="P1050" s="6" t="str">
        <f>IF(ISNA(MATCH(1041,'Transfer Engine'!$C$2:$C$1199,0)),"",HYPERLINK("#Acts!A"&amp;INDEX('Compliance Database'!$P$2:$P$1199,MATCH(1041,'Transfer Engine'!$C$2:$C$1199,0)),"Go to Act"))</f>
        <v/>
      </c>
    </row>
    <row r="1051" spans="1:16" ht="172.95" customHeight="1" x14ac:dyDescent="0.3">
      <c r="A1051" s="6" t="str">
        <f>IF(ISNA(MATCH(1042,'Transfer Engine'!$C$2:$C$1199,0)),"",INDEX('Compliance Database'!$A$2:$A$1199,MATCH(1042,'Transfer Engine'!$C$2:$C$1199,0)))</f>
        <v/>
      </c>
      <c r="B1051" s="6" t="str">
        <f>IF(ISNA(MATCH(1042,'Transfer Engine'!$C$2:$C$1199,0)),"",INDEX('Compliance Database'!$B$2:$B$1199,MATCH(1042,'Transfer Engine'!$C$2:$C$1199,0)))</f>
        <v/>
      </c>
      <c r="C1051" s="6" t="str">
        <f>IF(ISNA(MATCH(1042,'Transfer Engine'!$C$2:$C$1199,0)),"",INDEX('Compliance Database'!$C$2:$C$1199,MATCH(1042,'Transfer Engine'!$C$2:$C$1199,0)))</f>
        <v/>
      </c>
      <c r="D1051" s="7" t="str">
        <f>IF(ISNA(MATCH(1042,'Transfer Engine'!$C$2:$C$1199,0)),"",INDEX('Compliance Database'!$D$2:$D$1199,MATCH(1042,'Transfer Engine'!$C$2:$C$1199,0)))</f>
        <v/>
      </c>
      <c r="E1051" s="6" t="str">
        <f>IF(ISNA(MATCH(1042,'Transfer Engine'!$C$2:$C$1199,0)),"",INDEX('Compliance Database'!$E$2:$E$1199,MATCH(1042,'Transfer Engine'!$C$2:$C$1199,0)))</f>
        <v/>
      </c>
      <c r="F1051" s="6" t="str">
        <f>IF(ISNA(MATCH(1042,'Transfer Engine'!$C$2:$C$1199,0)),"",INDEX('Compliance Database'!$F$2:$F$1199,MATCH(1042,'Transfer Engine'!$C$2:$C$1199,0)))</f>
        <v/>
      </c>
      <c r="G1051" s="6" t="str">
        <f>IF(ISNA(MATCH(1042,'Transfer Engine'!$C$2:$C$1199,0)),"",INDEX('Compliance Database'!$G$2:$G$1199,MATCH(1042,'Transfer Engine'!$C$2:$C$1199,0)))</f>
        <v/>
      </c>
      <c r="H1051" s="7" t="str">
        <f>IF(ISNA(MATCH(1042,'Transfer Engine'!$C$2:$C$1199,0)),"",INDEX('Compliance Database'!$H$2:$H$1199,MATCH(1042,'Transfer Engine'!$C$2:$C$1199,0)))</f>
        <v/>
      </c>
      <c r="I1051" s="7" t="str">
        <f>IF(ISNA(MATCH(1042,'Transfer Engine'!$C$2:$C$1199,0)),"",INDEX('Compliance Database'!$I$2:$I$1199,MATCH(1042,'Transfer Engine'!$C$2:$C$1199,0)))</f>
        <v/>
      </c>
      <c r="J1051" s="6" t="str">
        <f>IF(ISNA(MATCH(1042,'Transfer Engine'!$C$2:$C$1199,0)),"",INDEX('Compliance Database'!$J$2:$J$1199,MATCH(1042,'Transfer Engine'!$C$2:$C$1199,0)))</f>
        <v/>
      </c>
      <c r="K1051" s="7" t="str">
        <f>IF(ISNA(MATCH(1042,'Transfer Engine'!$C$2:$C$1199,0)),"",INDEX('Compliance Database'!$K$2:$K$1199,MATCH(1042,'Transfer Engine'!$C$2:$C$1199,0)))</f>
        <v/>
      </c>
      <c r="L1051" s="7" t="str">
        <f>IF(ISNA(MATCH(1042,'Transfer Engine'!$C$2:$C$1199,0)),"",INDEX('Compliance Database'!$L$2:$L$1199,MATCH(1042,'Transfer Engine'!$C$2:$C$1199,0)))</f>
        <v/>
      </c>
      <c r="M1051" s="7" t="str">
        <f>IF(ISNA(MATCH(1042,'Transfer Engine'!$C$2:$C$1199,0)),"",INDEX('Compliance Database'!$M$2:$M$1199,MATCH(1042,'Transfer Engine'!$C$2:$C$1199,0)))</f>
        <v/>
      </c>
      <c r="N1051" s="7" t="str">
        <f>IF(ISNA(MATCH(1042,'Transfer Engine'!$C$2:$C$1199,0)),"",INDEX('Compliance Database'!$N$2:$N$1199,MATCH(1042,'Transfer Engine'!$C$2:$C$1199,0)))</f>
        <v/>
      </c>
      <c r="O1051" s="7" t="str">
        <f>IF(ISNA(MATCH(1042,'Transfer Engine'!$C$2:$C$1199,0)),"",INDEX('Compliance Database'!$O$2:$O$1199,MATCH(1042,'Transfer Engine'!$C$2:$C$1199,0)))</f>
        <v/>
      </c>
      <c r="P1051" s="6" t="str">
        <f>IF(ISNA(MATCH(1042,'Transfer Engine'!$C$2:$C$1199,0)),"",HYPERLINK("#Acts!A"&amp;INDEX('Compliance Database'!$P$2:$P$1199,MATCH(1042,'Transfer Engine'!$C$2:$C$1199,0)),"Go to Act"))</f>
        <v/>
      </c>
    </row>
    <row r="1052" spans="1:16" ht="172.95" customHeight="1" x14ac:dyDescent="0.3">
      <c r="A1052" s="6" t="str">
        <f>IF(ISNA(MATCH(1043,'Transfer Engine'!$C$2:$C$1199,0)),"",INDEX('Compliance Database'!$A$2:$A$1199,MATCH(1043,'Transfer Engine'!$C$2:$C$1199,0)))</f>
        <v/>
      </c>
      <c r="B1052" s="6" t="str">
        <f>IF(ISNA(MATCH(1043,'Transfer Engine'!$C$2:$C$1199,0)),"",INDEX('Compliance Database'!$B$2:$B$1199,MATCH(1043,'Transfer Engine'!$C$2:$C$1199,0)))</f>
        <v/>
      </c>
      <c r="C1052" s="6" t="str">
        <f>IF(ISNA(MATCH(1043,'Transfer Engine'!$C$2:$C$1199,0)),"",INDEX('Compliance Database'!$C$2:$C$1199,MATCH(1043,'Transfer Engine'!$C$2:$C$1199,0)))</f>
        <v/>
      </c>
      <c r="D1052" s="7" t="str">
        <f>IF(ISNA(MATCH(1043,'Transfer Engine'!$C$2:$C$1199,0)),"",INDEX('Compliance Database'!$D$2:$D$1199,MATCH(1043,'Transfer Engine'!$C$2:$C$1199,0)))</f>
        <v/>
      </c>
      <c r="E1052" s="6" t="str">
        <f>IF(ISNA(MATCH(1043,'Transfer Engine'!$C$2:$C$1199,0)),"",INDEX('Compliance Database'!$E$2:$E$1199,MATCH(1043,'Transfer Engine'!$C$2:$C$1199,0)))</f>
        <v/>
      </c>
      <c r="F1052" s="6" t="str">
        <f>IF(ISNA(MATCH(1043,'Transfer Engine'!$C$2:$C$1199,0)),"",INDEX('Compliance Database'!$F$2:$F$1199,MATCH(1043,'Transfer Engine'!$C$2:$C$1199,0)))</f>
        <v/>
      </c>
      <c r="G1052" s="6" t="str">
        <f>IF(ISNA(MATCH(1043,'Transfer Engine'!$C$2:$C$1199,0)),"",INDEX('Compliance Database'!$G$2:$G$1199,MATCH(1043,'Transfer Engine'!$C$2:$C$1199,0)))</f>
        <v/>
      </c>
      <c r="H1052" s="7" t="str">
        <f>IF(ISNA(MATCH(1043,'Transfer Engine'!$C$2:$C$1199,0)),"",INDEX('Compliance Database'!$H$2:$H$1199,MATCH(1043,'Transfer Engine'!$C$2:$C$1199,0)))</f>
        <v/>
      </c>
      <c r="I1052" s="7" t="str">
        <f>IF(ISNA(MATCH(1043,'Transfer Engine'!$C$2:$C$1199,0)),"",INDEX('Compliance Database'!$I$2:$I$1199,MATCH(1043,'Transfer Engine'!$C$2:$C$1199,0)))</f>
        <v/>
      </c>
      <c r="J1052" s="6" t="str">
        <f>IF(ISNA(MATCH(1043,'Transfer Engine'!$C$2:$C$1199,0)),"",INDEX('Compliance Database'!$J$2:$J$1199,MATCH(1043,'Transfer Engine'!$C$2:$C$1199,0)))</f>
        <v/>
      </c>
      <c r="K1052" s="7" t="str">
        <f>IF(ISNA(MATCH(1043,'Transfer Engine'!$C$2:$C$1199,0)),"",INDEX('Compliance Database'!$K$2:$K$1199,MATCH(1043,'Transfer Engine'!$C$2:$C$1199,0)))</f>
        <v/>
      </c>
      <c r="L1052" s="7" t="str">
        <f>IF(ISNA(MATCH(1043,'Transfer Engine'!$C$2:$C$1199,0)),"",INDEX('Compliance Database'!$L$2:$L$1199,MATCH(1043,'Transfer Engine'!$C$2:$C$1199,0)))</f>
        <v/>
      </c>
      <c r="M1052" s="7" t="str">
        <f>IF(ISNA(MATCH(1043,'Transfer Engine'!$C$2:$C$1199,0)),"",INDEX('Compliance Database'!$M$2:$M$1199,MATCH(1043,'Transfer Engine'!$C$2:$C$1199,0)))</f>
        <v/>
      </c>
      <c r="N1052" s="7" t="str">
        <f>IF(ISNA(MATCH(1043,'Transfer Engine'!$C$2:$C$1199,0)),"",INDEX('Compliance Database'!$N$2:$N$1199,MATCH(1043,'Transfer Engine'!$C$2:$C$1199,0)))</f>
        <v/>
      </c>
      <c r="O1052" s="7" t="str">
        <f>IF(ISNA(MATCH(1043,'Transfer Engine'!$C$2:$C$1199,0)),"",INDEX('Compliance Database'!$O$2:$O$1199,MATCH(1043,'Transfer Engine'!$C$2:$C$1199,0)))</f>
        <v/>
      </c>
      <c r="P1052" s="6" t="str">
        <f>IF(ISNA(MATCH(1043,'Transfer Engine'!$C$2:$C$1199,0)),"",HYPERLINK("#Acts!A"&amp;INDEX('Compliance Database'!$P$2:$P$1199,MATCH(1043,'Transfer Engine'!$C$2:$C$1199,0)),"Go to Act"))</f>
        <v/>
      </c>
    </row>
    <row r="1053" spans="1:16" ht="172.95" customHeight="1" x14ac:dyDescent="0.3">
      <c r="A1053" s="6" t="str">
        <f>IF(ISNA(MATCH(1044,'Transfer Engine'!$C$2:$C$1199,0)),"",INDEX('Compliance Database'!$A$2:$A$1199,MATCH(1044,'Transfer Engine'!$C$2:$C$1199,0)))</f>
        <v/>
      </c>
      <c r="B1053" s="6" t="str">
        <f>IF(ISNA(MATCH(1044,'Transfer Engine'!$C$2:$C$1199,0)),"",INDEX('Compliance Database'!$B$2:$B$1199,MATCH(1044,'Transfer Engine'!$C$2:$C$1199,0)))</f>
        <v/>
      </c>
      <c r="C1053" s="6" t="str">
        <f>IF(ISNA(MATCH(1044,'Transfer Engine'!$C$2:$C$1199,0)),"",INDEX('Compliance Database'!$C$2:$C$1199,MATCH(1044,'Transfer Engine'!$C$2:$C$1199,0)))</f>
        <v/>
      </c>
      <c r="D1053" s="7" t="str">
        <f>IF(ISNA(MATCH(1044,'Transfer Engine'!$C$2:$C$1199,0)),"",INDEX('Compliance Database'!$D$2:$D$1199,MATCH(1044,'Transfer Engine'!$C$2:$C$1199,0)))</f>
        <v/>
      </c>
      <c r="E1053" s="6" t="str">
        <f>IF(ISNA(MATCH(1044,'Transfer Engine'!$C$2:$C$1199,0)),"",INDEX('Compliance Database'!$E$2:$E$1199,MATCH(1044,'Transfer Engine'!$C$2:$C$1199,0)))</f>
        <v/>
      </c>
      <c r="F1053" s="6" t="str">
        <f>IF(ISNA(MATCH(1044,'Transfer Engine'!$C$2:$C$1199,0)),"",INDEX('Compliance Database'!$F$2:$F$1199,MATCH(1044,'Transfer Engine'!$C$2:$C$1199,0)))</f>
        <v/>
      </c>
      <c r="G1053" s="6" t="str">
        <f>IF(ISNA(MATCH(1044,'Transfer Engine'!$C$2:$C$1199,0)),"",INDEX('Compliance Database'!$G$2:$G$1199,MATCH(1044,'Transfer Engine'!$C$2:$C$1199,0)))</f>
        <v/>
      </c>
      <c r="H1053" s="7" t="str">
        <f>IF(ISNA(MATCH(1044,'Transfer Engine'!$C$2:$C$1199,0)),"",INDEX('Compliance Database'!$H$2:$H$1199,MATCH(1044,'Transfer Engine'!$C$2:$C$1199,0)))</f>
        <v/>
      </c>
      <c r="I1053" s="7" t="str">
        <f>IF(ISNA(MATCH(1044,'Transfer Engine'!$C$2:$C$1199,0)),"",INDEX('Compliance Database'!$I$2:$I$1199,MATCH(1044,'Transfer Engine'!$C$2:$C$1199,0)))</f>
        <v/>
      </c>
      <c r="J1053" s="6" t="str">
        <f>IF(ISNA(MATCH(1044,'Transfer Engine'!$C$2:$C$1199,0)),"",INDEX('Compliance Database'!$J$2:$J$1199,MATCH(1044,'Transfer Engine'!$C$2:$C$1199,0)))</f>
        <v/>
      </c>
      <c r="K1053" s="7" t="str">
        <f>IF(ISNA(MATCH(1044,'Transfer Engine'!$C$2:$C$1199,0)),"",INDEX('Compliance Database'!$K$2:$K$1199,MATCH(1044,'Transfer Engine'!$C$2:$C$1199,0)))</f>
        <v/>
      </c>
      <c r="L1053" s="7" t="str">
        <f>IF(ISNA(MATCH(1044,'Transfer Engine'!$C$2:$C$1199,0)),"",INDEX('Compliance Database'!$L$2:$L$1199,MATCH(1044,'Transfer Engine'!$C$2:$C$1199,0)))</f>
        <v/>
      </c>
      <c r="M1053" s="7" t="str">
        <f>IF(ISNA(MATCH(1044,'Transfer Engine'!$C$2:$C$1199,0)),"",INDEX('Compliance Database'!$M$2:$M$1199,MATCH(1044,'Transfer Engine'!$C$2:$C$1199,0)))</f>
        <v/>
      </c>
      <c r="N1053" s="7" t="str">
        <f>IF(ISNA(MATCH(1044,'Transfer Engine'!$C$2:$C$1199,0)),"",INDEX('Compliance Database'!$N$2:$N$1199,MATCH(1044,'Transfer Engine'!$C$2:$C$1199,0)))</f>
        <v/>
      </c>
      <c r="O1053" s="7" t="str">
        <f>IF(ISNA(MATCH(1044,'Transfer Engine'!$C$2:$C$1199,0)),"",INDEX('Compliance Database'!$O$2:$O$1199,MATCH(1044,'Transfer Engine'!$C$2:$C$1199,0)))</f>
        <v/>
      </c>
      <c r="P1053" s="6" t="str">
        <f>IF(ISNA(MATCH(1044,'Transfer Engine'!$C$2:$C$1199,0)),"",HYPERLINK("#Acts!A"&amp;INDEX('Compliance Database'!$P$2:$P$1199,MATCH(1044,'Transfer Engine'!$C$2:$C$1199,0)),"Go to Act"))</f>
        <v/>
      </c>
    </row>
    <row r="1054" spans="1:16" ht="172.95" customHeight="1" x14ac:dyDescent="0.3">
      <c r="A1054" s="6" t="str">
        <f>IF(ISNA(MATCH(1045,'Transfer Engine'!$C$2:$C$1199,0)),"",INDEX('Compliance Database'!$A$2:$A$1199,MATCH(1045,'Transfer Engine'!$C$2:$C$1199,0)))</f>
        <v/>
      </c>
      <c r="B1054" s="6" t="str">
        <f>IF(ISNA(MATCH(1045,'Transfer Engine'!$C$2:$C$1199,0)),"",INDEX('Compliance Database'!$B$2:$B$1199,MATCH(1045,'Transfer Engine'!$C$2:$C$1199,0)))</f>
        <v/>
      </c>
      <c r="C1054" s="6" t="str">
        <f>IF(ISNA(MATCH(1045,'Transfer Engine'!$C$2:$C$1199,0)),"",INDEX('Compliance Database'!$C$2:$C$1199,MATCH(1045,'Transfer Engine'!$C$2:$C$1199,0)))</f>
        <v/>
      </c>
      <c r="D1054" s="7" t="str">
        <f>IF(ISNA(MATCH(1045,'Transfer Engine'!$C$2:$C$1199,0)),"",INDEX('Compliance Database'!$D$2:$D$1199,MATCH(1045,'Transfer Engine'!$C$2:$C$1199,0)))</f>
        <v/>
      </c>
      <c r="E1054" s="6" t="str">
        <f>IF(ISNA(MATCH(1045,'Transfer Engine'!$C$2:$C$1199,0)),"",INDEX('Compliance Database'!$E$2:$E$1199,MATCH(1045,'Transfer Engine'!$C$2:$C$1199,0)))</f>
        <v/>
      </c>
      <c r="F1054" s="6" t="str">
        <f>IF(ISNA(MATCH(1045,'Transfer Engine'!$C$2:$C$1199,0)),"",INDEX('Compliance Database'!$F$2:$F$1199,MATCH(1045,'Transfer Engine'!$C$2:$C$1199,0)))</f>
        <v/>
      </c>
      <c r="G1054" s="6" t="str">
        <f>IF(ISNA(MATCH(1045,'Transfer Engine'!$C$2:$C$1199,0)),"",INDEX('Compliance Database'!$G$2:$G$1199,MATCH(1045,'Transfer Engine'!$C$2:$C$1199,0)))</f>
        <v/>
      </c>
      <c r="H1054" s="7" t="str">
        <f>IF(ISNA(MATCH(1045,'Transfer Engine'!$C$2:$C$1199,0)),"",INDEX('Compliance Database'!$H$2:$H$1199,MATCH(1045,'Transfer Engine'!$C$2:$C$1199,0)))</f>
        <v/>
      </c>
      <c r="I1054" s="7" t="str">
        <f>IF(ISNA(MATCH(1045,'Transfer Engine'!$C$2:$C$1199,0)),"",INDEX('Compliance Database'!$I$2:$I$1199,MATCH(1045,'Transfer Engine'!$C$2:$C$1199,0)))</f>
        <v/>
      </c>
      <c r="J1054" s="6" t="str">
        <f>IF(ISNA(MATCH(1045,'Transfer Engine'!$C$2:$C$1199,0)),"",INDEX('Compliance Database'!$J$2:$J$1199,MATCH(1045,'Transfer Engine'!$C$2:$C$1199,0)))</f>
        <v/>
      </c>
      <c r="K1054" s="7" t="str">
        <f>IF(ISNA(MATCH(1045,'Transfer Engine'!$C$2:$C$1199,0)),"",INDEX('Compliance Database'!$K$2:$K$1199,MATCH(1045,'Transfer Engine'!$C$2:$C$1199,0)))</f>
        <v/>
      </c>
      <c r="L1054" s="7" t="str">
        <f>IF(ISNA(MATCH(1045,'Transfer Engine'!$C$2:$C$1199,0)),"",INDEX('Compliance Database'!$L$2:$L$1199,MATCH(1045,'Transfer Engine'!$C$2:$C$1199,0)))</f>
        <v/>
      </c>
      <c r="M1054" s="7" t="str">
        <f>IF(ISNA(MATCH(1045,'Transfer Engine'!$C$2:$C$1199,0)),"",INDEX('Compliance Database'!$M$2:$M$1199,MATCH(1045,'Transfer Engine'!$C$2:$C$1199,0)))</f>
        <v/>
      </c>
      <c r="N1054" s="7" t="str">
        <f>IF(ISNA(MATCH(1045,'Transfer Engine'!$C$2:$C$1199,0)),"",INDEX('Compliance Database'!$N$2:$N$1199,MATCH(1045,'Transfer Engine'!$C$2:$C$1199,0)))</f>
        <v/>
      </c>
      <c r="O1054" s="7" t="str">
        <f>IF(ISNA(MATCH(1045,'Transfer Engine'!$C$2:$C$1199,0)),"",INDEX('Compliance Database'!$O$2:$O$1199,MATCH(1045,'Transfer Engine'!$C$2:$C$1199,0)))</f>
        <v/>
      </c>
      <c r="P1054" s="6" t="str">
        <f>IF(ISNA(MATCH(1045,'Transfer Engine'!$C$2:$C$1199,0)),"",HYPERLINK("#Acts!A"&amp;INDEX('Compliance Database'!$P$2:$P$1199,MATCH(1045,'Transfer Engine'!$C$2:$C$1199,0)),"Go to Act"))</f>
        <v/>
      </c>
    </row>
    <row r="1055" spans="1:16" ht="172.95" customHeight="1" x14ac:dyDescent="0.3">
      <c r="A1055" s="6" t="str">
        <f>IF(ISNA(MATCH(1046,'Transfer Engine'!$C$2:$C$1199,0)),"",INDEX('Compliance Database'!$A$2:$A$1199,MATCH(1046,'Transfer Engine'!$C$2:$C$1199,0)))</f>
        <v/>
      </c>
      <c r="B1055" s="6" t="str">
        <f>IF(ISNA(MATCH(1046,'Transfer Engine'!$C$2:$C$1199,0)),"",INDEX('Compliance Database'!$B$2:$B$1199,MATCH(1046,'Transfer Engine'!$C$2:$C$1199,0)))</f>
        <v/>
      </c>
      <c r="C1055" s="6" t="str">
        <f>IF(ISNA(MATCH(1046,'Transfer Engine'!$C$2:$C$1199,0)),"",INDEX('Compliance Database'!$C$2:$C$1199,MATCH(1046,'Transfer Engine'!$C$2:$C$1199,0)))</f>
        <v/>
      </c>
      <c r="D1055" s="7" t="str">
        <f>IF(ISNA(MATCH(1046,'Transfer Engine'!$C$2:$C$1199,0)),"",INDEX('Compliance Database'!$D$2:$D$1199,MATCH(1046,'Transfer Engine'!$C$2:$C$1199,0)))</f>
        <v/>
      </c>
      <c r="E1055" s="6" t="str">
        <f>IF(ISNA(MATCH(1046,'Transfer Engine'!$C$2:$C$1199,0)),"",INDEX('Compliance Database'!$E$2:$E$1199,MATCH(1046,'Transfer Engine'!$C$2:$C$1199,0)))</f>
        <v/>
      </c>
      <c r="F1055" s="6" t="str">
        <f>IF(ISNA(MATCH(1046,'Transfer Engine'!$C$2:$C$1199,0)),"",INDEX('Compliance Database'!$F$2:$F$1199,MATCH(1046,'Transfer Engine'!$C$2:$C$1199,0)))</f>
        <v/>
      </c>
      <c r="G1055" s="6" t="str">
        <f>IF(ISNA(MATCH(1046,'Transfer Engine'!$C$2:$C$1199,0)),"",INDEX('Compliance Database'!$G$2:$G$1199,MATCH(1046,'Transfer Engine'!$C$2:$C$1199,0)))</f>
        <v/>
      </c>
      <c r="H1055" s="7" t="str">
        <f>IF(ISNA(MATCH(1046,'Transfer Engine'!$C$2:$C$1199,0)),"",INDEX('Compliance Database'!$H$2:$H$1199,MATCH(1046,'Transfer Engine'!$C$2:$C$1199,0)))</f>
        <v/>
      </c>
      <c r="I1055" s="7" t="str">
        <f>IF(ISNA(MATCH(1046,'Transfer Engine'!$C$2:$C$1199,0)),"",INDEX('Compliance Database'!$I$2:$I$1199,MATCH(1046,'Transfer Engine'!$C$2:$C$1199,0)))</f>
        <v/>
      </c>
      <c r="J1055" s="6" t="str">
        <f>IF(ISNA(MATCH(1046,'Transfer Engine'!$C$2:$C$1199,0)),"",INDEX('Compliance Database'!$J$2:$J$1199,MATCH(1046,'Transfer Engine'!$C$2:$C$1199,0)))</f>
        <v/>
      </c>
      <c r="K1055" s="7" t="str">
        <f>IF(ISNA(MATCH(1046,'Transfer Engine'!$C$2:$C$1199,0)),"",INDEX('Compliance Database'!$K$2:$K$1199,MATCH(1046,'Transfer Engine'!$C$2:$C$1199,0)))</f>
        <v/>
      </c>
      <c r="L1055" s="7" t="str">
        <f>IF(ISNA(MATCH(1046,'Transfer Engine'!$C$2:$C$1199,0)),"",INDEX('Compliance Database'!$L$2:$L$1199,MATCH(1046,'Transfer Engine'!$C$2:$C$1199,0)))</f>
        <v/>
      </c>
      <c r="M1055" s="7" t="str">
        <f>IF(ISNA(MATCH(1046,'Transfer Engine'!$C$2:$C$1199,0)),"",INDEX('Compliance Database'!$M$2:$M$1199,MATCH(1046,'Transfer Engine'!$C$2:$C$1199,0)))</f>
        <v/>
      </c>
      <c r="N1055" s="7" t="str">
        <f>IF(ISNA(MATCH(1046,'Transfer Engine'!$C$2:$C$1199,0)),"",INDEX('Compliance Database'!$N$2:$N$1199,MATCH(1046,'Transfer Engine'!$C$2:$C$1199,0)))</f>
        <v/>
      </c>
      <c r="O1055" s="7" t="str">
        <f>IF(ISNA(MATCH(1046,'Transfer Engine'!$C$2:$C$1199,0)),"",INDEX('Compliance Database'!$O$2:$O$1199,MATCH(1046,'Transfer Engine'!$C$2:$C$1199,0)))</f>
        <v/>
      </c>
      <c r="P1055" s="6" t="str">
        <f>IF(ISNA(MATCH(1046,'Transfer Engine'!$C$2:$C$1199,0)),"",HYPERLINK("#Acts!A"&amp;INDEX('Compliance Database'!$P$2:$P$1199,MATCH(1046,'Transfer Engine'!$C$2:$C$1199,0)),"Go to Act"))</f>
        <v/>
      </c>
    </row>
    <row r="1056" spans="1:16" ht="172.95" customHeight="1" x14ac:dyDescent="0.3">
      <c r="A1056" s="6" t="str">
        <f>IF(ISNA(MATCH(1047,'Transfer Engine'!$C$2:$C$1199,0)),"",INDEX('Compliance Database'!$A$2:$A$1199,MATCH(1047,'Transfer Engine'!$C$2:$C$1199,0)))</f>
        <v/>
      </c>
      <c r="B1056" s="6" t="str">
        <f>IF(ISNA(MATCH(1047,'Transfer Engine'!$C$2:$C$1199,0)),"",INDEX('Compliance Database'!$B$2:$B$1199,MATCH(1047,'Transfer Engine'!$C$2:$C$1199,0)))</f>
        <v/>
      </c>
      <c r="C1056" s="6" t="str">
        <f>IF(ISNA(MATCH(1047,'Transfer Engine'!$C$2:$C$1199,0)),"",INDEX('Compliance Database'!$C$2:$C$1199,MATCH(1047,'Transfer Engine'!$C$2:$C$1199,0)))</f>
        <v/>
      </c>
      <c r="D1056" s="7" t="str">
        <f>IF(ISNA(MATCH(1047,'Transfer Engine'!$C$2:$C$1199,0)),"",INDEX('Compliance Database'!$D$2:$D$1199,MATCH(1047,'Transfer Engine'!$C$2:$C$1199,0)))</f>
        <v/>
      </c>
      <c r="E1056" s="6" t="str">
        <f>IF(ISNA(MATCH(1047,'Transfer Engine'!$C$2:$C$1199,0)),"",INDEX('Compliance Database'!$E$2:$E$1199,MATCH(1047,'Transfer Engine'!$C$2:$C$1199,0)))</f>
        <v/>
      </c>
      <c r="F1056" s="6" t="str">
        <f>IF(ISNA(MATCH(1047,'Transfer Engine'!$C$2:$C$1199,0)),"",INDEX('Compliance Database'!$F$2:$F$1199,MATCH(1047,'Transfer Engine'!$C$2:$C$1199,0)))</f>
        <v/>
      </c>
      <c r="G1056" s="6" t="str">
        <f>IF(ISNA(MATCH(1047,'Transfer Engine'!$C$2:$C$1199,0)),"",INDEX('Compliance Database'!$G$2:$G$1199,MATCH(1047,'Transfer Engine'!$C$2:$C$1199,0)))</f>
        <v/>
      </c>
      <c r="H1056" s="7" t="str">
        <f>IF(ISNA(MATCH(1047,'Transfer Engine'!$C$2:$C$1199,0)),"",INDEX('Compliance Database'!$H$2:$H$1199,MATCH(1047,'Transfer Engine'!$C$2:$C$1199,0)))</f>
        <v/>
      </c>
      <c r="I1056" s="7" t="str">
        <f>IF(ISNA(MATCH(1047,'Transfer Engine'!$C$2:$C$1199,0)),"",INDEX('Compliance Database'!$I$2:$I$1199,MATCH(1047,'Transfer Engine'!$C$2:$C$1199,0)))</f>
        <v/>
      </c>
      <c r="J1056" s="6" t="str">
        <f>IF(ISNA(MATCH(1047,'Transfer Engine'!$C$2:$C$1199,0)),"",INDEX('Compliance Database'!$J$2:$J$1199,MATCH(1047,'Transfer Engine'!$C$2:$C$1199,0)))</f>
        <v/>
      </c>
      <c r="K1056" s="7" t="str">
        <f>IF(ISNA(MATCH(1047,'Transfer Engine'!$C$2:$C$1199,0)),"",INDEX('Compliance Database'!$K$2:$K$1199,MATCH(1047,'Transfer Engine'!$C$2:$C$1199,0)))</f>
        <v/>
      </c>
      <c r="L1056" s="7" t="str">
        <f>IF(ISNA(MATCH(1047,'Transfer Engine'!$C$2:$C$1199,0)),"",INDEX('Compliance Database'!$L$2:$L$1199,MATCH(1047,'Transfer Engine'!$C$2:$C$1199,0)))</f>
        <v/>
      </c>
      <c r="M1056" s="7" t="str">
        <f>IF(ISNA(MATCH(1047,'Transfer Engine'!$C$2:$C$1199,0)),"",INDEX('Compliance Database'!$M$2:$M$1199,MATCH(1047,'Transfer Engine'!$C$2:$C$1199,0)))</f>
        <v/>
      </c>
      <c r="N1056" s="7" t="str">
        <f>IF(ISNA(MATCH(1047,'Transfer Engine'!$C$2:$C$1199,0)),"",INDEX('Compliance Database'!$N$2:$N$1199,MATCH(1047,'Transfer Engine'!$C$2:$C$1199,0)))</f>
        <v/>
      </c>
      <c r="O1056" s="7" t="str">
        <f>IF(ISNA(MATCH(1047,'Transfer Engine'!$C$2:$C$1199,0)),"",INDEX('Compliance Database'!$O$2:$O$1199,MATCH(1047,'Transfer Engine'!$C$2:$C$1199,0)))</f>
        <v/>
      </c>
      <c r="P1056" s="6" t="str">
        <f>IF(ISNA(MATCH(1047,'Transfer Engine'!$C$2:$C$1199,0)),"",HYPERLINK("#Acts!A"&amp;INDEX('Compliance Database'!$P$2:$P$1199,MATCH(1047,'Transfer Engine'!$C$2:$C$1199,0)),"Go to Act"))</f>
        <v/>
      </c>
    </row>
    <row r="1057" spans="1:16" ht="172.95" customHeight="1" x14ac:dyDescent="0.3">
      <c r="A1057" s="6" t="str">
        <f>IF(ISNA(MATCH(1048,'Transfer Engine'!$C$2:$C$1199,0)),"",INDEX('Compliance Database'!$A$2:$A$1199,MATCH(1048,'Transfer Engine'!$C$2:$C$1199,0)))</f>
        <v/>
      </c>
      <c r="B1057" s="6" t="str">
        <f>IF(ISNA(MATCH(1048,'Transfer Engine'!$C$2:$C$1199,0)),"",INDEX('Compliance Database'!$B$2:$B$1199,MATCH(1048,'Transfer Engine'!$C$2:$C$1199,0)))</f>
        <v/>
      </c>
      <c r="C1057" s="6" t="str">
        <f>IF(ISNA(MATCH(1048,'Transfer Engine'!$C$2:$C$1199,0)),"",INDEX('Compliance Database'!$C$2:$C$1199,MATCH(1048,'Transfer Engine'!$C$2:$C$1199,0)))</f>
        <v/>
      </c>
      <c r="D1057" s="7" t="str">
        <f>IF(ISNA(MATCH(1048,'Transfer Engine'!$C$2:$C$1199,0)),"",INDEX('Compliance Database'!$D$2:$D$1199,MATCH(1048,'Transfer Engine'!$C$2:$C$1199,0)))</f>
        <v/>
      </c>
      <c r="E1057" s="6" t="str">
        <f>IF(ISNA(MATCH(1048,'Transfer Engine'!$C$2:$C$1199,0)),"",INDEX('Compliance Database'!$E$2:$E$1199,MATCH(1048,'Transfer Engine'!$C$2:$C$1199,0)))</f>
        <v/>
      </c>
      <c r="F1057" s="6" t="str">
        <f>IF(ISNA(MATCH(1048,'Transfer Engine'!$C$2:$C$1199,0)),"",INDEX('Compliance Database'!$F$2:$F$1199,MATCH(1048,'Transfer Engine'!$C$2:$C$1199,0)))</f>
        <v/>
      </c>
      <c r="G1057" s="6" t="str">
        <f>IF(ISNA(MATCH(1048,'Transfer Engine'!$C$2:$C$1199,0)),"",INDEX('Compliance Database'!$G$2:$G$1199,MATCH(1048,'Transfer Engine'!$C$2:$C$1199,0)))</f>
        <v/>
      </c>
      <c r="H1057" s="7" t="str">
        <f>IF(ISNA(MATCH(1048,'Transfer Engine'!$C$2:$C$1199,0)),"",INDEX('Compliance Database'!$H$2:$H$1199,MATCH(1048,'Transfer Engine'!$C$2:$C$1199,0)))</f>
        <v/>
      </c>
      <c r="I1057" s="7" t="str">
        <f>IF(ISNA(MATCH(1048,'Transfer Engine'!$C$2:$C$1199,0)),"",INDEX('Compliance Database'!$I$2:$I$1199,MATCH(1048,'Transfer Engine'!$C$2:$C$1199,0)))</f>
        <v/>
      </c>
      <c r="J1057" s="6" t="str">
        <f>IF(ISNA(MATCH(1048,'Transfer Engine'!$C$2:$C$1199,0)),"",INDEX('Compliance Database'!$J$2:$J$1199,MATCH(1048,'Transfer Engine'!$C$2:$C$1199,0)))</f>
        <v/>
      </c>
      <c r="K1057" s="7" t="str">
        <f>IF(ISNA(MATCH(1048,'Transfer Engine'!$C$2:$C$1199,0)),"",INDEX('Compliance Database'!$K$2:$K$1199,MATCH(1048,'Transfer Engine'!$C$2:$C$1199,0)))</f>
        <v/>
      </c>
      <c r="L1057" s="7" t="str">
        <f>IF(ISNA(MATCH(1048,'Transfer Engine'!$C$2:$C$1199,0)),"",INDEX('Compliance Database'!$L$2:$L$1199,MATCH(1048,'Transfer Engine'!$C$2:$C$1199,0)))</f>
        <v/>
      </c>
      <c r="M1057" s="7" t="str">
        <f>IF(ISNA(MATCH(1048,'Transfer Engine'!$C$2:$C$1199,0)),"",INDEX('Compliance Database'!$M$2:$M$1199,MATCH(1048,'Transfer Engine'!$C$2:$C$1199,0)))</f>
        <v/>
      </c>
      <c r="N1057" s="7" t="str">
        <f>IF(ISNA(MATCH(1048,'Transfer Engine'!$C$2:$C$1199,0)),"",INDEX('Compliance Database'!$N$2:$N$1199,MATCH(1048,'Transfer Engine'!$C$2:$C$1199,0)))</f>
        <v/>
      </c>
      <c r="O1057" s="7" t="str">
        <f>IF(ISNA(MATCH(1048,'Transfer Engine'!$C$2:$C$1199,0)),"",INDEX('Compliance Database'!$O$2:$O$1199,MATCH(1048,'Transfer Engine'!$C$2:$C$1199,0)))</f>
        <v/>
      </c>
      <c r="P1057" s="6" t="str">
        <f>IF(ISNA(MATCH(1048,'Transfer Engine'!$C$2:$C$1199,0)),"",HYPERLINK("#Acts!A"&amp;INDEX('Compliance Database'!$P$2:$P$1199,MATCH(1048,'Transfer Engine'!$C$2:$C$1199,0)),"Go to Act"))</f>
        <v/>
      </c>
    </row>
    <row r="1058" spans="1:16" ht="172.95" customHeight="1" x14ac:dyDescent="0.3">
      <c r="A1058" s="6" t="str">
        <f>IF(ISNA(MATCH(1049,'Transfer Engine'!$C$2:$C$1199,0)),"",INDEX('Compliance Database'!$A$2:$A$1199,MATCH(1049,'Transfer Engine'!$C$2:$C$1199,0)))</f>
        <v/>
      </c>
      <c r="B1058" s="6" t="str">
        <f>IF(ISNA(MATCH(1049,'Transfer Engine'!$C$2:$C$1199,0)),"",INDEX('Compliance Database'!$B$2:$B$1199,MATCH(1049,'Transfer Engine'!$C$2:$C$1199,0)))</f>
        <v/>
      </c>
      <c r="C1058" s="6" t="str">
        <f>IF(ISNA(MATCH(1049,'Transfer Engine'!$C$2:$C$1199,0)),"",INDEX('Compliance Database'!$C$2:$C$1199,MATCH(1049,'Transfer Engine'!$C$2:$C$1199,0)))</f>
        <v/>
      </c>
      <c r="D1058" s="7" t="str">
        <f>IF(ISNA(MATCH(1049,'Transfer Engine'!$C$2:$C$1199,0)),"",INDEX('Compliance Database'!$D$2:$D$1199,MATCH(1049,'Transfer Engine'!$C$2:$C$1199,0)))</f>
        <v/>
      </c>
      <c r="E1058" s="6" t="str">
        <f>IF(ISNA(MATCH(1049,'Transfer Engine'!$C$2:$C$1199,0)),"",INDEX('Compliance Database'!$E$2:$E$1199,MATCH(1049,'Transfer Engine'!$C$2:$C$1199,0)))</f>
        <v/>
      </c>
      <c r="F1058" s="6" t="str">
        <f>IF(ISNA(MATCH(1049,'Transfer Engine'!$C$2:$C$1199,0)),"",INDEX('Compliance Database'!$F$2:$F$1199,MATCH(1049,'Transfer Engine'!$C$2:$C$1199,0)))</f>
        <v/>
      </c>
      <c r="G1058" s="6" t="str">
        <f>IF(ISNA(MATCH(1049,'Transfer Engine'!$C$2:$C$1199,0)),"",INDEX('Compliance Database'!$G$2:$G$1199,MATCH(1049,'Transfer Engine'!$C$2:$C$1199,0)))</f>
        <v/>
      </c>
      <c r="H1058" s="7" t="str">
        <f>IF(ISNA(MATCH(1049,'Transfer Engine'!$C$2:$C$1199,0)),"",INDEX('Compliance Database'!$H$2:$H$1199,MATCH(1049,'Transfer Engine'!$C$2:$C$1199,0)))</f>
        <v/>
      </c>
      <c r="I1058" s="7" t="str">
        <f>IF(ISNA(MATCH(1049,'Transfer Engine'!$C$2:$C$1199,0)),"",INDEX('Compliance Database'!$I$2:$I$1199,MATCH(1049,'Transfer Engine'!$C$2:$C$1199,0)))</f>
        <v/>
      </c>
      <c r="J1058" s="6" t="str">
        <f>IF(ISNA(MATCH(1049,'Transfer Engine'!$C$2:$C$1199,0)),"",INDEX('Compliance Database'!$J$2:$J$1199,MATCH(1049,'Transfer Engine'!$C$2:$C$1199,0)))</f>
        <v/>
      </c>
      <c r="K1058" s="7" t="str">
        <f>IF(ISNA(MATCH(1049,'Transfer Engine'!$C$2:$C$1199,0)),"",INDEX('Compliance Database'!$K$2:$K$1199,MATCH(1049,'Transfer Engine'!$C$2:$C$1199,0)))</f>
        <v/>
      </c>
      <c r="L1058" s="7" t="str">
        <f>IF(ISNA(MATCH(1049,'Transfer Engine'!$C$2:$C$1199,0)),"",INDEX('Compliance Database'!$L$2:$L$1199,MATCH(1049,'Transfer Engine'!$C$2:$C$1199,0)))</f>
        <v/>
      </c>
      <c r="M1058" s="7" t="str">
        <f>IF(ISNA(MATCH(1049,'Transfer Engine'!$C$2:$C$1199,0)),"",INDEX('Compliance Database'!$M$2:$M$1199,MATCH(1049,'Transfer Engine'!$C$2:$C$1199,0)))</f>
        <v/>
      </c>
      <c r="N1058" s="7" t="str">
        <f>IF(ISNA(MATCH(1049,'Transfer Engine'!$C$2:$C$1199,0)),"",INDEX('Compliance Database'!$N$2:$N$1199,MATCH(1049,'Transfer Engine'!$C$2:$C$1199,0)))</f>
        <v/>
      </c>
      <c r="O1058" s="7" t="str">
        <f>IF(ISNA(MATCH(1049,'Transfer Engine'!$C$2:$C$1199,0)),"",INDEX('Compliance Database'!$O$2:$O$1199,MATCH(1049,'Transfer Engine'!$C$2:$C$1199,0)))</f>
        <v/>
      </c>
      <c r="P1058" s="6" t="str">
        <f>IF(ISNA(MATCH(1049,'Transfer Engine'!$C$2:$C$1199,0)),"",HYPERLINK("#Acts!A"&amp;INDEX('Compliance Database'!$P$2:$P$1199,MATCH(1049,'Transfer Engine'!$C$2:$C$1199,0)),"Go to Act"))</f>
        <v/>
      </c>
    </row>
    <row r="1059" spans="1:16" ht="172.95" customHeight="1" x14ac:dyDescent="0.3">
      <c r="A1059" s="6" t="str">
        <f>IF(ISNA(MATCH(1050,'Transfer Engine'!$C$2:$C$1199,0)),"",INDEX('Compliance Database'!$A$2:$A$1199,MATCH(1050,'Transfer Engine'!$C$2:$C$1199,0)))</f>
        <v/>
      </c>
      <c r="B1059" s="6" t="str">
        <f>IF(ISNA(MATCH(1050,'Transfer Engine'!$C$2:$C$1199,0)),"",INDEX('Compliance Database'!$B$2:$B$1199,MATCH(1050,'Transfer Engine'!$C$2:$C$1199,0)))</f>
        <v/>
      </c>
      <c r="C1059" s="6" t="str">
        <f>IF(ISNA(MATCH(1050,'Transfer Engine'!$C$2:$C$1199,0)),"",INDEX('Compliance Database'!$C$2:$C$1199,MATCH(1050,'Transfer Engine'!$C$2:$C$1199,0)))</f>
        <v/>
      </c>
      <c r="D1059" s="7" t="str">
        <f>IF(ISNA(MATCH(1050,'Transfer Engine'!$C$2:$C$1199,0)),"",INDEX('Compliance Database'!$D$2:$D$1199,MATCH(1050,'Transfer Engine'!$C$2:$C$1199,0)))</f>
        <v/>
      </c>
      <c r="E1059" s="6" t="str">
        <f>IF(ISNA(MATCH(1050,'Transfer Engine'!$C$2:$C$1199,0)),"",INDEX('Compliance Database'!$E$2:$E$1199,MATCH(1050,'Transfer Engine'!$C$2:$C$1199,0)))</f>
        <v/>
      </c>
      <c r="F1059" s="6" t="str">
        <f>IF(ISNA(MATCH(1050,'Transfer Engine'!$C$2:$C$1199,0)),"",INDEX('Compliance Database'!$F$2:$F$1199,MATCH(1050,'Transfer Engine'!$C$2:$C$1199,0)))</f>
        <v/>
      </c>
      <c r="G1059" s="6" t="str">
        <f>IF(ISNA(MATCH(1050,'Transfer Engine'!$C$2:$C$1199,0)),"",INDEX('Compliance Database'!$G$2:$G$1199,MATCH(1050,'Transfer Engine'!$C$2:$C$1199,0)))</f>
        <v/>
      </c>
      <c r="H1059" s="7" t="str">
        <f>IF(ISNA(MATCH(1050,'Transfer Engine'!$C$2:$C$1199,0)),"",INDEX('Compliance Database'!$H$2:$H$1199,MATCH(1050,'Transfer Engine'!$C$2:$C$1199,0)))</f>
        <v/>
      </c>
      <c r="I1059" s="7" t="str">
        <f>IF(ISNA(MATCH(1050,'Transfer Engine'!$C$2:$C$1199,0)),"",INDEX('Compliance Database'!$I$2:$I$1199,MATCH(1050,'Transfer Engine'!$C$2:$C$1199,0)))</f>
        <v/>
      </c>
      <c r="J1059" s="6" t="str">
        <f>IF(ISNA(MATCH(1050,'Transfer Engine'!$C$2:$C$1199,0)),"",INDEX('Compliance Database'!$J$2:$J$1199,MATCH(1050,'Transfer Engine'!$C$2:$C$1199,0)))</f>
        <v/>
      </c>
      <c r="K1059" s="7" t="str">
        <f>IF(ISNA(MATCH(1050,'Transfer Engine'!$C$2:$C$1199,0)),"",INDEX('Compliance Database'!$K$2:$K$1199,MATCH(1050,'Transfer Engine'!$C$2:$C$1199,0)))</f>
        <v/>
      </c>
      <c r="L1059" s="7" t="str">
        <f>IF(ISNA(MATCH(1050,'Transfer Engine'!$C$2:$C$1199,0)),"",INDEX('Compliance Database'!$L$2:$L$1199,MATCH(1050,'Transfer Engine'!$C$2:$C$1199,0)))</f>
        <v/>
      </c>
      <c r="M1059" s="7" t="str">
        <f>IF(ISNA(MATCH(1050,'Transfer Engine'!$C$2:$C$1199,0)),"",INDEX('Compliance Database'!$M$2:$M$1199,MATCH(1050,'Transfer Engine'!$C$2:$C$1199,0)))</f>
        <v/>
      </c>
      <c r="N1059" s="7" t="str">
        <f>IF(ISNA(MATCH(1050,'Transfer Engine'!$C$2:$C$1199,0)),"",INDEX('Compliance Database'!$N$2:$N$1199,MATCH(1050,'Transfer Engine'!$C$2:$C$1199,0)))</f>
        <v/>
      </c>
      <c r="O1059" s="7" t="str">
        <f>IF(ISNA(MATCH(1050,'Transfer Engine'!$C$2:$C$1199,0)),"",INDEX('Compliance Database'!$O$2:$O$1199,MATCH(1050,'Transfer Engine'!$C$2:$C$1199,0)))</f>
        <v/>
      </c>
      <c r="P1059" s="6" t="str">
        <f>IF(ISNA(MATCH(1050,'Transfer Engine'!$C$2:$C$1199,0)),"",HYPERLINK("#Acts!A"&amp;INDEX('Compliance Database'!$P$2:$P$1199,MATCH(1050,'Transfer Engine'!$C$2:$C$1199,0)),"Go to Act"))</f>
        <v/>
      </c>
    </row>
    <row r="1060" spans="1:16" ht="172.95" customHeight="1" x14ac:dyDescent="0.3">
      <c r="A1060" s="6" t="str">
        <f>IF(ISNA(MATCH(1051,'Transfer Engine'!$C$2:$C$1199,0)),"",INDEX('Compliance Database'!$A$2:$A$1199,MATCH(1051,'Transfer Engine'!$C$2:$C$1199,0)))</f>
        <v/>
      </c>
      <c r="B1060" s="6" t="str">
        <f>IF(ISNA(MATCH(1051,'Transfer Engine'!$C$2:$C$1199,0)),"",INDEX('Compliance Database'!$B$2:$B$1199,MATCH(1051,'Transfer Engine'!$C$2:$C$1199,0)))</f>
        <v/>
      </c>
      <c r="C1060" s="6" t="str">
        <f>IF(ISNA(MATCH(1051,'Transfer Engine'!$C$2:$C$1199,0)),"",INDEX('Compliance Database'!$C$2:$C$1199,MATCH(1051,'Transfer Engine'!$C$2:$C$1199,0)))</f>
        <v/>
      </c>
      <c r="D1060" s="7" t="str">
        <f>IF(ISNA(MATCH(1051,'Transfer Engine'!$C$2:$C$1199,0)),"",INDEX('Compliance Database'!$D$2:$D$1199,MATCH(1051,'Transfer Engine'!$C$2:$C$1199,0)))</f>
        <v/>
      </c>
      <c r="E1060" s="6" t="str">
        <f>IF(ISNA(MATCH(1051,'Transfer Engine'!$C$2:$C$1199,0)),"",INDEX('Compliance Database'!$E$2:$E$1199,MATCH(1051,'Transfer Engine'!$C$2:$C$1199,0)))</f>
        <v/>
      </c>
      <c r="F1060" s="6" t="str">
        <f>IF(ISNA(MATCH(1051,'Transfer Engine'!$C$2:$C$1199,0)),"",INDEX('Compliance Database'!$F$2:$F$1199,MATCH(1051,'Transfer Engine'!$C$2:$C$1199,0)))</f>
        <v/>
      </c>
      <c r="G1060" s="6" t="str">
        <f>IF(ISNA(MATCH(1051,'Transfer Engine'!$C$2:$C$1199,0)),"",INDEX('Compliance Database'!$G$2:$G$1199,MATCH(1051,'Transfer Engine'!$C$2:$C$1199,0)))</f>
        <v/>
      </c>
      <c r="H1060" s="7" t="str">
        <f>IF(ISNA(MATCH(1051,'Transfer Engine'!$C$2:$C$1199,0)),"",INDEX('Compliance Database'!$H$2:$H$1199,MATCH(1051,'Transfer Engine'!$C$2:$C$1199,0)))</f>
        <v/>
      </c>
      <c r="I1060" s="7" t="str">
        <f>IF(ISNA(MATCH(1051,'Transfer Engine'!$C$2:$C$1199,0)),"",INDEX('Compliance Database'!$I$2:$I$1199,MATCH(1051,'Transfer Engine'!$C$2:$C$1199,0)))</f>
        <v/>
      </c>
      <c r="J1060" s="6" t="str">
        <f>IF(ISNA(MATCH(1051,'Transfer Engine'!$C$2:$C$1199,0)),"",INDEX('Compliance Database'!$J$2:$J$1199,MATCH(1051,'Transfer Engine'!$C$2:$C$1199,0)))</f>
        <v/>
      </c>
      <c r="K1060" s="7" t="str">
        <f>IF(ISNA(MATCH(1051,'Transfer Engine'!$C$2:$C$1199,0)),"",INDEX('Compliance Database'!$K$2:$K$1199,MATCH(1051,'Transfer Engine'!$C$2:$C$1199,0)))</f>
        <v/>
      </c>
      <c r="L1060" s="7" t="str">
        <f>IF(ISNA(MATCH(1051,'Transfer Engine'!$C$2:$C$1199,0)),"",INDEX('Compliance Database'!$L$2:$L$1199,MATCH(1051,'Transfer Engine'!$C$2:$C$1199,0)))</f>
        <v/>
      </c>
      <c r="M1060" s="7" t="str">
        <f>IF(ISNA(MATCH(1051,'Transfer Engine'!$C$2:$C$1199,0)),"",INDEX('Compliance Database'!$M$2:$M$1199,MATCH(1051,'Transfer Engine'!$C$2:$C$1199,0)))</f>
        <v/>
      </c>
      <c r="N1060" s="7" t="str">
        <f>IF(ISNA(MATCH(1051,'Transfer Engine'!$C$2:$C$1199,0)),"",INDEX('Compliance Database'!$N$2:$N$1199,MATCH(1051,'Transfer Engine'!$C$2:$C$1199,0)))</f>
        <v/>
      </c>
      <c r="O1060" s="7" t="str">
        <f>IF(ISNA(MATCH(1051,'Transfer Engine'!$C$2:$C$1199,0)),"",INDEX('Compliance Database'!$O$2:$O$1199,MATCH(1051,'Transfer Engine'!$C$2:$C$1199,0)))</f>
        <v/>
      </c>
      <c r="P1060" s="6" t="str">
        <f>IF(ISNA(MATCH(1051,'Transfer Engine'!$C$2:$C$1199,0)),"",HYPERLINK("#Acts!A"&amp;INDEX('Compliance Database'!$P$2:$P$1199,MATCH(1051,'Transfer Engine'!$C$2:$C$1199,0)),"Go to Act"))</f>
        <v/>
      </c>
    </row>
    <row r="1061" spans="1:16" ht="172.95" customHeight="1" x14ac:dyDescent="0.3">
      <c r="A1061" s="6" t="str">
        <f>IF(ISNA(MATCH(1052,'Transfer Engine'!$C$2:$C$1199,0)),"",INDEX('Compliance Database'!$A$2:$A$1199,MATCH(1052,'Transfer Engine'!$C$2:$C$1199,0)))</f>
        <v/>
      </c>
      <c r="B1061" s="6" t="str">
        <f>IF(ISNA(MATCH(1052,'Transfer Engine'!$C$2:$C$1199,0)),"",INDEX('Compliance Database'!$B$2:$B$1199,MATCH(1052,'Transfer Engine'!$C$2:$C$1199,0)))</f>
        <v/>
      </c>
      <c r="C1061" s="6" t="str">
        <f>IF(ISNA(MATCH(1052,'Transfer Engine'!$C$2:$C$1199,0)),"",INDEX('Compliance Database'!$C$2:$C$1199,MATCH(1052,'Transfer Engine'!$C$2:$C$1199,0)))</f>
        <v/>
      </c>
      <c r="D1061" s="7" t="str">
        <f>IF(ISNA(MATCH(1052,'Transfer Engine'!$C$2:$C$1199,0)),"",INDEX('Compliance Database'!$D$2:$D$1199,MATCH(1052,'Transfer Engine'!$C$2:$C$1199,0)))</f>
        <v/>
      </c>
      <c r="E1061" s="6" t="str">
        <f>IF(ISNA(MATCH(1052,'Transfer Engine'!$C$2:$C$1199,0)),"",INDEX('Compliance Database'!$E$2:$E$1199,MATCH(1052,'Transfer Engine'!$C$2:$C$1199,0)))</f>
        <v/>
      </c>
      <c r="F1061" s="6" t="str">
        <f>IF(ISNA(MATCH(1052,'Transfer Engine'!$C$2:$C$1199,0)),"",INDEX('Compliance Database'!$F$2:$F$1199,MATCH(1052,'Transfer Engine'!$C$2:$C$1199,0)))</f>
        <v/>
      </c>
      <c r="G1061" s="6" t="str">
        <f>IF(ISNA(MATCH(1052,'Transfer Engine'!$C$2:$C$1199,0)),"",INDEX('Compliance Database'!$G$2:$G$1199,MATCH(1052,'Transfer Engine'!$C$2:$C$1199,0)))</f>
        <v/>
      </c>
      <c r="H1061" s="7" t="str">
        <f>IF(ISNA(MATCH(1052,'Transfer Engine'!$C$2:$C$1199,0)),"",INDEX('Compliance Database'!$H$2:$H$1199,MATCH(1052,'Transfer Engine'!$C$2:$C$1199,0)))</f>
        <v/>
      </c>
      <c r="I1061" s="7" t="str">
        <f>IF(ISNA(MATCH(1052,'Transfer Engine'!$C$2:$C$1199,0)),"",INDEX('Compliance Database'!$I$2:$I$1199,MATCH(1052,'Transfer Engine'!$C$2:$C$1199,0)))</f>
        <v/>
      </c>
      <c r="J1061" s="6" t="str">
        <f>IF(ISNA(MATCH(1052,'Transfer Engine'!$C$2:$C$1199,0)),"",INDEX('Compliance Database'!$J$2:$J$1199,MATCH(1052,'Transfer Engine'!$C$2:$C$1199,0)))</f>
        <v/>
      </c>
      <c r="K1061" s="7" t="str">
        <f>IF(ISNA(MATCH(1052,'Transfer Engine'!$C$2:$C$1199,0)),"",INDEX('Compliance Database'!$K$2:$K$1199,MATCH(1052,'Transfer Engine'!$C$2:$C$1199,0)))</f>
        <v/>
      </c>
      <c r="L1061" s="7" t="str">
        <f>IF(ISNA(MATCH(1052,'Transfer Engine'!$C$2:$C$1199,0)),"",INDEX('Compliance Database'!$L$2:$L$1199,MATCH(1052,'Transfer Engine'!$C$2:$C$1199,0)))</f>
        <v/>
      </c>
      <c r="M1061" s="7" t="str">
        <f>IF(ISNA(MATCH(1052,'Transfer Engine'!$C$2:$C$1199,0)),"",INDEX('Compliance Database'!$M$2:$M$1199,MATCH(1052,'Transfer Engine'!$C$2:$C$1199,0)))</f>
        <v/>
      </c>
      <c r="N1061" s="7" t="str">
        <f>IF(ISNA(MATCH(1052,'Transfer Engine'!$C$2:$C$1199,0)),"",INDEX('Compliance Database'!$N$2:$N$1199,MATCH(1052,'Transfer Engine'!$C$2:$C$1199,0)))</f>
        <v/>
      </c>
      <c r="O1061" s="7" t="str">
        <f>IF(ISNA(MATCH(1052,'Transfer Engine'!$C$2:$C$1199,0)),"",INDEX('Compliance Database'!$O$2:$O$1199,MATCH(1052,'Transfer Engine'!$C$2:$C$1199,0)))</f>
        <v/>
      </c>
      <c r="P1061" s="6" t="str">
        <f>IF(ISNA(MATCH(1052,'Transfer Engine'!$C$2:$C$1199,0)),"",HYPERLINK("#Acts!A"&amp;INDEX('Compliance Database'!$P$2:$P$1199,MATCH(1052,'Transfer Engine'!$C$2:$C$1199,0)),"Go to Act"))</f>
        <v/>
      </c>
    </row>
    <row r="1062" spans="1:16" ht="172.95" customHeight="1" x14ac:dyDescent="0.3">
      <c r="A1062" s="6" t="str">
        <f>IF(ISNA(MATCH(1053,'Transfer Engine'!$C$2:$C$1199,0)),"",INDEX('Compliance Database'!$A$2:$A$1199,MATCH(1053,'Transfer Engine'!$C$2:$C$1199,0)))</f>
        <v/>
      </c>
      <c r="B1062" s="6" t="str">
        <f>IF(ISNA(MATCH(1053,'Transfer Engine'!$C$2:$C$1199,0)),"",INDEX('Compliance Database'!$B$2:$B$1199,MATCH(1053,'Transfer Engine'!$C$2:$C$1199,0)))</f>
        <v/>
      </c>
      <c r="C1062" s="6" t="str">
        <f>IF(ISNA(MATCH(1053,'Transfer Engine'!$C$2:$C$1199,0)),"",INDEX('Compliance Database'!$C$2:$C$1199,MATCH(1053,'Transfer Engine'!$C$2:$C$1199,0)))</f>
        <v/>
      </c>
      <c r="D1062" s="7" t="str">
        <f>IF(ISNA(MATCH(1053,'Transfer Engine'!$C$2:$C$1199,0)),"",INDEX('Compliance Database'!$D$2:$D$1199,MATCH(1053,'Transfer Engine'!$C$2:$C$1199,0)))</f>
        <v/>
      </c>
      <c r="E1062" s="6" t="str">
        <f>IF(ISNA(MATCH(1053,'Transfer Engine'!$C$2:$C$1199,0)),"",INDEX('Compliance Database'!$E$2:$E$1199,MATCH(1053,'Transfer Engine'!$C$2:$C$1199,0)))</f>
        <v/>
      </c>
      <c r="F1062" s="6" t="str">
        <f>IF(ISNA(MATCH(1053,'Transfer Engine'!$C$2:$C$1199,0)),"",INDEX('Compliance Database'!$F$2:$F$1199,MATCH(1053,'Transfer Engine'!$C$2:$C$1199,0)))</f>
        <v/>
      </c>
      <c r="G1062" s="6" t="str">
        <f>IF(ISNA(MATCH(1053,'Transfer Engine'!$C$2:$C$1199,0)),"",INDEX('Compliance Database'!$G$2:$G$1199,MATCH(1053,'Transfer Engine'!$C$2:$C$1199,0)))</f>
        <v/>
      </c>
      <c r="H1062" s="7" t="str">
        <f>IF(ISNA(MATCH(1053,'Transfer Engine'!$C$2:$C$1199,0)),"",INDEX('Compliance Database'!$H$2:$H$1199,MATCH(1053,'Transfer Engine'!$C$2:$C$1199,0)))</f>
        <v/>
      </c>
      <c r="I1062" s="7" t="str">
        <f>IF(ISNA(MATCH(1053,'Transfer Engine'!$C$2:$C$1199,0)),"",INDEX('Compliance Database'!$I$2:$I$1199,MATCH(1053,'Transfer Engine'!$C$2:$C$1199,0)))</f>
        <v/>
      </c>
      <c r="J1062" s="6" t="str">
        <f>IF(ISNA(MATCH(1053,'Transfer Engine'!$C$2:$C$1199,0)),"",INDEX('Compliance Database'!$J$2:$J$1199,MATCH(1053,'Transfer Engine'!$C$2:$C$1199,0)))</f>
        <v/>
      </c>
      <c r="K1062" s="7" t="str">
        <f>IF(ISNA(MATCH(1053,'Transfer Engine'!$C$2:$C$1199,0)),"",INDEX('Compliance Database'!$K$2:$K$1199,MATCH(1053,'Transfer Engine'!$C$2:$C$1199,0)))</f>
        <v/>
      </c>
      <c r="L1062" s="7" t="str">
        <f>IF(ISNA(MATCH(1053,'Transfer Engine'!$C$2:$C$1199,0)),"",INDEX('Compliance Database'!$L$2:$L$1199,MATCH(1053,'Transfer Engine'!$C$2:$C$1199,0)))</f>
        <v/>
      </c>
      <c r="M1062" s="7" t="str">
        <f>IF(ISNA(MATCH(1053,'Transfer Engine'!$C$2:$C$1199,0)),"",INDEX('Compliance Database'!$M$2:$M$1199,MATCH(1053,'Transfer Engine'!$C$2:$C$1199,0)))</f>
        <v/>
      </c>
      <c r="N1062" s="7" t="str">
        <f>IF(ISNA(MATCH(1053,'Transfer Engine'!$C$2:$C$1199,0)),"",INDEX('Compliance Database'!$N$2:$N$1199,MATCH(1053,'Transfer Engine'!$C$2:$C$1199,0)))</f>
        <v/>
      </c>
      <c r="O1062" s="7" t="str">
        <f>IF(ISNA(MATCH(1053,'Transfer Engine'!$C$2:$C$1199,0)),"",INDEX('Compliance Database'!$O$2:$O$1199,MATCH(1053,'Transfer Engine'!$C$2:$C$1199,0)))</f>
        <v/>
      </c>
      <c r="P1062" s="6" t="str">
        <f>IF(ISNA(MATCH(1053,'Transfer Engine'!$C$2:$C$1199,0)),"",HYPERLINK("#Acts!A"&amp;INDEX('Compliance Database'!$P$2:$P$1199,MATCH(1053,'Transfer Engine'!$C$2:$C$1199,0)),"Go to Act"))</f>
        <v/>
      </c>
    </row>
    <row r="1063" spans="1:16" ht="172.95" customHeight="1" x14ac:dyDescent="0.3">
      <c r="A1063" s="6" t="str">
        <f>IF(ISNA(MATCH(1054,'Transfer Engine'!$C$2:$C$1199,0)),"",INDEX('Compliance Database'!$A$2:$A$1199,MATCH(1054,'Transfer Engine'!$C$2:$C$1199,0)))</f>
        <v/>
      </c>
      <c r="B1063" s="6" t="str">
        <f>IF(ISNA(MATCH(1054,'Transfer Engine'!$C$2:$C$1199,0)),"",INDEX('Compliance Database'!$B$2:$B$1199,MATCH(1054,'Transfer Engine'!$C$2:$C$1199,0)))</f>
        <v/>
      </c>
      <c r="C1063" s="6" t="str">
        <f>IF(ISNA(MATCH(1054,'Transfer Engine'!$C$2:$C$1199,0)),"",INDEX('Compliance Database'!$C$2:$C$1199,MATCH(1054,'Transfer Engine'!$C$2:$C$1199,0)))</f>
        <v/>
      </c>
      <c r="D1063" s="7" t="str">
        <f>IF(ISNA(MATCH(1054,'Transfer Engine'!$C$2:$C$1199,0)),"",INDEX('Compliance Database'!$D$2:$D$1199,MATCH(1054,'Transfer Engine'!$C$2:$C$1199,0)))</f>
        <v/>
      </c>
      <c r="E1063" s="6" t="str">
        <f>IF(ISNA(MATCH(1054,'Transfer Engine'!$C$2:$C$1199,0)),"",INDEX('Compliance Database'!$E$2:$E$1199,MATCH(1054,'Transfer Engine'!$C$2:$C$1199,0)))</f>
        <v/>
      </c>
      <c r="F1063" s="6" t="str">
        <f>IF(ISNA(MATCH(1054,'Transfer Engine'!$C$2:$C$1199,0)),"",INDEX('Compliance Database'!$F$2:$F$1199,MATCH(1054,'Transfer Engine'!$C$2:$C$1199,0)))</f>
        <v/>
      </c>
      <c r="G1063" s="6" t="str">
        <f>IF(ISNA(MATCH(1054,'Transfer Engine'!$C$2:$C$1199,0)),"",INDEX('Compliance Database'!$G$2:$G$1199,MATCH(1054,'Transfer Engine'!$C$2:$C$1199,0)))</f>
        <v/>
      </c>
      <c r="H1063" s="7" t="str">
        <f>IF(ISNA(MATCH(1054,'Transfer Engine'!$C$2:$C$1199,0)),"",INDEX('Compliance Database'!$H$2:$H$1199,MATCH(1054,'Transfer Engine'!$C$2:$C$1199,0)))</f>
        <v/>
      </c>
      <c r="I1063" s="7" t="str">
        <f>IF(ISNA(MATCH(1054,'Transfer Engine'!$C$2:$C$1199,0)),"",INDEX('Compliance Database'!$I$2:$I$1199,MATCH(1054,'Transfer Engine'!$C$2:$C$1199,0)))</f>
        <v/>
      </c>
      <c r="J1063" s="6" t="str">
        <f>IF(ISNA(MATCH(1054,'Transfer Engine'!$C$2:$C$1199,0)),"",INDEX('Compliance Database'!$J$2:$J$1199,MATCH(1054,'Transfer Engine'!$C$2:$C$1199,0)))</f>
        <v/>
      </c>
      <c r="K1063" s="7" t="str">
        <f>IF(ISNA(MATCH(1054,'Transfer Engine'!$C$2:$C$1199,0)),"",INDEX('Compliance Database'!$K$2:$K$1199,MATCH(1054,'Transfer Engine'!$C$2:$C$1199,0)))</f>
        <v/>
      </c>
      <c r="L1063" s="7" t="str">
        <f>IF(ISNA(MATCH(1054,'Transfer Engine'!$C$2:$C$1199,0)),"",INDEX('Compliance Database'!$L$2:$L$1199,MATCH(1054,'Transfer Engine'!$C$2:$C$1199,0)))</f>
        <v/>
      </c>
      <c r="M1063" s="7" t="str">
        <f>IF(ISNA(MATCH(1054,'Transfer Engine'!$C$2:$C$1199,0)),"",INDEX('Compliance Database'!$M$2:$M$1199,MATCH(1054,'Transfer Engine'!$C$2:$C$1199,0)))</f>
        <v/>
      </c>
      <c r="N1063" s="7" t="str">
        <f>IF(ISNA(MATCH(1054,'Transfer Engine'!$C$2:$C$1199,0)),"",INDEX('Compliance Database'!$N$2:$N$1199,MATCH(1054,'Transfer Engine'!$C$2:$C$1199,0)))</f>
        <v/>
      </c>
      <c r="O1063" s="7" t="str">
        <f>IF(ISNA(MATCH(1054,'Transfer Engine'!$C$2:$C$1199,0)),"",INDEX('Compliance Database'!$O$2:$O$1199,MATCH(1054,'Transfer Engine'!$C$2:$C$1199,0)))</f>
        <v/>
      </c>
      <c r="P1063" s="6" t="str">
        <f>IF(ISNA(MATCH(1054,'Transfer Engine'!$C$2:$C$1199,0)),"",HYPERLINK("#Acts!A"&amp;INDEX('Compliance Database'!$P$2:$P$1199,MATCH(1054,'Transfer Engine'!$C$2:$C$1199,0)),"Go to Act"))</f>
        <v/>
      </c>
    </row>
    <row r="1064" spans="1:16" ht="172.95" customHeight="1" x14ac:dyDescent="0.3">
      <c r="A1064" s="6" t="str">
        <f>IF(ISNA(MATCH(1055,'Transfer Engine'!$C$2:$C$1199,0)),"",INDEX('Compliance Database'!$A$2:$A$1199,MATCH(1055,'Transfer Engine'!$C$2:$C$1199,0)))</f>
        <v/>
      </c>
      <c r="B1064" s="6" t="str">
        <f>IF(ISNA(MATCH(1055,'Transfer Engine'!$C$2:$C$1199,0)),"",INDEX('Compliance Database'!$B$2:$B$1199,MATCH(1055,'Transfer Engine'!$C$2:$C$1199,0)))</f>
        <v/>
      </c>
      <c r="C1064" s="6" t="str">
        <f>IF(ISNA(MATCH(1055,'Transfer Engine'!$C$2:$C$1199,0)),"",INDEX('Compliance Database'!$C$2:$C$1199,MATCH(1055,'Transfer Engine'!$C$2:$C$1199,0)))</f>
        <v/>
      </c>
      <c r="D1064" s="7" t="str">
        <f>IF(ISNA(MATCH(1055,'Transfer Engine'!$C$2:$C$1199,0)),"",INDEX('Compliance Database'!$D$2:$D$1199,MATCH(1055,'Transfer Engine'!$C$2:$C$1199,0)))</f>
        <v/>
      </c>
      <c r="E1064" s="6" t="str">
        <f>IF(ISNA(MATCH(1055,'Transfer Engine'!$C$2:$C$1199,0)),"",INDEX('Compliance Database'!$E$2:$E$1199,MATCH(1055,'Transfer Engine'!$C$2:$C$1199,0)))</f>
        <v/>
      </c>
      <c r="F1064" s="6" t="str">
        <f>IF(ISNA(MATCH(1055,'Transfer Engine'!$C$2:$C$1199,0)),"",INDEX('Compliance Database'!$F$2:$F$1199,MATCH(1055,'Transfer Engine'!$C$2:$C$1199,0)))</f>
        <v/>
      </c>
      <c r="G1064" s="6" t="str">
        <f>IF(ISNA(MATCH(1055,'Transfer Engine'!$C$2:$C$1199,0)),"",INDEX('Compliance Database'!$G$2:$G$1199,MATCH(1055,'Transfer Engine'!$C$2:$C$1199,0)))</f>
        <v/>
      </c>
      <c r="H1064" s="7" t="str">
        <f>IF(ISNA(MATCH(1055,'Transfer Engine'!$C$2:$C$1199,0)),"",INDEX('Compliance Database'!$H$2:$H$1199,MATCH(1055,'Transfer Engine'!$C$2:$C$1199,0)))</f>
        <v/>
      </c>
      <c r="I1064" s="7" t="str">
        <f>IF(ISNA(MATCH(1055,'Transfer Engine'!$C$2:$C$1199,0)),"",INDEX('Compliance Database'!$I$2:$I$1199,MATCH(1055,'Transfer Engine'!$C$2:$C$1199,0)))</f>
        <v/>
      </c>
      <c r="J1064" s="6" t="str">
        <f>IF(ISNA(MATCH(1055,'Transfer Engine'!$C$2:$C$1199,0)),"",INDEX('Compliance Database'!$J$2:$J$1199,MATCH(1055,'Transfer Engine'!$C$2:$C$1199,0)))</f>
        <v/>
      </c>
      <c r="K1064" s="7" t="str">
        <f>IF(ISNA(MATCH(1055,'Transfer Engine'!$C$2:$C$1199,0)),"",INDEX('Compliance Database'!$K$2:$K$1199,MATCH(1055,'Transfer Engine'!$C$2:$C$1199,0)))</f>
        <v/>
      </c>
      <c r="L1064" s="7" t="str">
        <f>IF(ISNA(MATCH(1055,'Transfer Engine'!$C$2:$C$1199,0)),"",INDEX('Compliance Database'!$L$2:$L$1199,MATCH(1055,'Transfer Engine'!$C$2:$C$1199,0)))</f>
        <v/>
      </c>
      <c r="M1064" s="7" t="str">
        <f>IF(ISNA(MATCH(1055,'Transfer Engine'!$C$2:$C$1199,0)),"",INDEX('Compliance Database'!$M$2:$M$1199,MATCH(1055,'Transfer Engine'!$C$2:$C$1199,0)))</f>
        <v/>
      </c>
      <c r="N1064" s="7" t="str">
        <f>IF(ISNA(MATCH(1055,'Transfer Engine'!$C$2:$C$1199,0)),"",INDEX('Compliance Database'!$N$2:$N$1199,MATCH(1055,'Transfer Engine'!$C$2:$C$1199,0)))</f>
        <v/>
      </c>
      <c r="O1064" s="7" t="str">
        <f>IF(ISNA(MATCH(1055,'Transfer Engine'!$C$2:$C$1199,0)),"",INDEX('Compliance Database'!$O$2:$O$1199,MATCH(1055,'Transfer Engine'!$C$2:$C$1199,0)))</f>
        <v/>
      </c>
      <c r="P1064" s="6" t="str">
        <f>IF(ISNA(MATCH(1055,'Transfer Engine'!$C$2:$C$1199,0)),"",HYPERLINK("#Acts!A"&amp;INDEX('Compliance Database'!$P$2:$P$1199,MATCH(1055,'Transfer Engine'!$C$2:$C$1199,0)),"Go to Act"))</f>
        <v/>
      </c>
    </row>
    <row r="1065" spans="1:16" ht="172.95" customHeight="1" x14ac:dyDescent="0.3">
      <c r="A1065" s="6" t="str">
        <f>IF(ISNA(MATCH(1056,'Transfer Engine'!$C$2:$C$1199,0)),"",INDEX('Compliance Database'!$A$2:$A$1199,MATCH(1056,'Transfer Engine'!$C$2:$C$1199,0)))</f>
        <v/>
      </c>
      <c r="B1065" s="6" t="str">
        <f>IF(ISNA(MATCH(1056,'Transfer Engine'!$C$2:$C$1199,0)),"",INDEX('Compliance Database'!$B$2:$B$1199,MATCH(1056,'Transfer Engine'!$C$2:$C$1199,0)))</f>
        <v/>
      </c>
      <c r="C1065" s="6" t="str">
        <f>IF(ISNA(MATCH(1056,'Transfer Engine'!$C$2:$C$1199,0)),"",INDEX('Compliance Database'!$C$2:$C$1199,MATCH(1056,'Transfer Engine'!$C$2:$C$1199,0)))</f>
        <v/>
      </c>
      <c r="D1065" s="7" t="str">
        <f>IF(ISNA(MATCH(1056,'Transfer Engine'!$C$2:$C$1199,0)),"",INDEX('Compliance Database'!$D$2:$D$1199,MATCH(1056,'Transfer Engine'!$C$2:$C$1199,0)))</f>
        <v/>
      </c>
      <c r="E1065" s="6" t="str">
        <f>IF(ISNA(MATCH(1056,'Transfer Engine'!$C$2:$C$1199,0)),"",INDEX('Compliance Database'!$E$2:$E$1199,MATCH(1056,'Transfer Engine'!$C$2:$C$1199,0)))</f>
        <v/>
      </c>
      <c r="F1065" s="6" t="str">
        <f>IF(ISNA(MATCH(1056,'Transfer Engine'!$C$2:$C$1199,0)),"",INDEX('Compliance Database'!$F$2:$F$1199,MATCH(1056,'Transfer Engine'!$C$2:$C$1199,0)))</f>
        <v/>
      </c>
      <c r="G1065" s="6" t="str">
        <f>IF(ISNA(MATCH(1056,'Transfer Engine'!$C$2:$C$1199,0)),"",INDEX('Compliance Database'!$G$2:$G$1199,MATCH(1056,'Transfer Engine'!$C$2:$C$1199,0)))</f>
        <v/>
      </c>
      <c r="H1065" s="7" t="str">
        <f>IF(ISNA(MATCH(1056,'Transfer Engine'!$C$2:$C$1199,0)),"",INDEX('Compliance Database'!$H$2:$H$1199,MATCH(1056,'Transfer Engine'!$C$2:$C$1199,0)))</f>
        <v/>
      </c>
      <c r="I1065" s="7" t="str">
        <f>IF(ISNA(MATCH(1056,'Transfer Engine'!$C$2:$C$1199,0)),"",INDEX('Compliance Database'!$I$2:$I$1199,MATCH(1056,'Transfer Engine'!$C$2:$C$1199,0)))</f>
        <v/>
      </c>
      <c r="J1065" s="6" t="str">
        <f>IF(ISNA(MATCH(1056,'Transfer Engine'!$C$2:$C$1199,0)),"",INDEX('Compliance Database'!$J$2:$J$1199,MATCH(1056,'Transfer Engine'!$C$2:$C$1199,0)))</f>
        <v/>
      </c>
      <c r="K1065" s="7" t="str">
        <f>IF(ISNA(MATCH(1056,'Transfer Engine'!$C$2:$C$1199,0)),"",INDEX('Compliance Database'!$K$2:$K$1199,MATCH(1056,'Transfer Engine'!$C$2:$C$1199,0)))</f>
        <v/>
      </c>
      <c r="L1065" s="7" t="str">
        <f>IF(ISNA(MATCH(1056,'Transfer Engine'!$C$2:$C$1199,0)),"",INDEX('Compliance Database'!$L$2:$L$1199,MATCH(1056,'Transfer Engine'!$C$2:$C$1199,0)))</f>
        <v/>
      </c>
      <c r="M1065" s="7" t="str">
        <f>IF(ISNA(MATCH(1056,'Transfer Engine'!$C$2:$C$1199,0)),"",INDEX('Compliance Database'!$M$2:$M$1199,MATCH(1056,'Transfer Engine'!$C$2:$C$1199,0)))</f>
        <v/>
      </c>
      <c r="N1065" s="7" t="str">
        <f>IF(ISNA(MATCH(1056,'Transfer Engine'!$C$2:$C$1199,0)),"",INDEX('Compliance Database'!$N$2:$N$1199,MATCH(1056,'Transfer Engine'!$C$2:$C$1199,0)))</f>
        <v/>
      </c>
      <c r="O1065" s="7" t="str">
        <f>IF(ISNA(MATCH(1056,'Transfer Engine'!$C$2:$C$1199,0)),"",INDEX('Compliance Database'!$O$2:$O$1199,MATCH(1056,'Transfer Engine'!$C$2:$C$1199,0)))</f>
        <v/>
      </c>
      <c r="P1065" s="6" t="str">
        <f>IF(ISNA(MATCH(1056,'Transfer Engine'!$C$2:$C$1199,0)),"",HYPERLINK("#Acts!A"&amp;INDEX('Compliance Database'!$P$2:$P$1199,MATCH(1056,'Transfer Engine'!$C$2:$C$1199,0)),"Go to Act"))</f>
        <v/>
      </c>
    </row>
    <row r="1066" spans="1:16" ht="172.95" customHeight="1" x14ac:dyDescent="0.3">
      <c r="A1066" s="6" t="str">
        <f>IF(ISNA(MATCH(1057,'Transfer Engine'!$C$2:$C$1199,0)),"",INDEX('Compliance Database'!$A$2:$A$1199,MATCH(1057,'Transfer Engine'!$C$2:$C$1199,0)))</f>
        <v/>
      </c>
      <c r="B1066" s="6" t="str">
        <f>IF(ISNA(MATCH(1057,'Transfer Engine'!$C$2:$C$1199,0)),"",INDEX('Compliance Database'!$B$2:$B$1199,MATCH(1057,'Transfer Engine'!$C$2:$C$1199,0)))</f>
        <v/>
      </c>
      <c r="C1066" s="6" t="str">
        <f>IF(ISNA(MATCH(1057,'Transfer Engine'!$C$2:$C$1199,0)),"",INDEX('Compliance Database'!$C$2:$C$1199,MATCH(1057,'Transfer Engine'!$C$2:$C$1199,0)))</f>
        <v/>
      </c>
      <c r="D1066" s="7" t="str">
        <f>IF(ISNA(MATCH(1057,'Transfer Engine'!$C$2:$C$1199,0)),"",INDEX('Compliance Database'!$D$2:$D$1199,MATCH(1057,'Transfer Engine'!$C$2:$C$1199,0)))</f>
        <v/>
      </c>
      <c r="E1066" s="6" t="str">
        <f>IF(ISNA(MATCH(1057,'Transfer Engine'!$C$2:$C$1199,0)),"",INDEX('Compliance Database'!$E$2:$E$1199,MATCH(1057,'Transfer Engine'!$C$2:$C$1199,0)))</f>
        <v/>
      </c>
      <c r="F1066" s="6" t="str">
        <f>IF(ISNA(MATCH(1057,'Transfer Engine'!$C$2:$C$1199,0)),"",INDEX('Compliance Database'!$F$2:$F$1199,MATCH(1057,'Transfer Engine'!$C$2:$C$1199,0)))</f>
        <v/>
      </c>
      <c r="G1066" s="6" t="str">
        <f>IF(ISNA(MATCH(1057,'Transfer Engine'!$C$2:$C$1199,0)),"",INDEX('Compliance Database'!$G$2:$G$1199,MATCH(1057,'Transfer Engine'!$C$2:$C$1199,0)))</f>
        <v/>
      </c>
      <c r="H1066" s="7" t="str">
        <f>IF(ISNA(MATCH(1057,'Transfer Engine'!$C$2:$C$1199,0)),"",INDEX('Compliance Database'!$H$2:$H$1199,MATCH(1057,'Transfer Engine'!$C$2:$C$1199,0)))</f>
        <v/>
      </c>
      <c r="I1066" s="7" t="str">
        <f>IF(ISNA(MATCH(1057,'Transfer Engine'!$C$2:$C$1199,0)),"",INDEX('Compliance Database'!$I$2:$I$1199,MATCH(1057,'Transfer Engine'!$C$2:$C$1199,0)))</f>
        <v/>
      </c>
      <c r="J1066" s="6" t="str">
        <f>IF(ISNA(MATCH(1057,'Transfer Engine'!$C$2:$C$1199,0)),"",INDEX('Compliance Database'!$J$2:$J$1199,MATCH(1057,'Transfer Engine'!$C$2:$C$1199,0)))</f>
        <v/>
      </c>
      <c r="K1066" s="7" t="str">
        <f>IF(ISNA(MATCH(1057,'Transfer Engine'!$C$2:$C$1199,0)),"",INDEX('Compliance Database'!$K$2:$K$1199,MATCH(1057,'Transfer Engine'!$C$2:$C$1199,0)))</f>
        <v/>
      </c>
      <c r="L1066" s="7" t="str">
        <f>IF(ISNA(MATCH(1057,'Transfer Engine'!$C$2:$C$1199,0)),"",INDEX('Compliance Database'!$L$2:$L$1199,MATCH(1057,'Transfer Engine'!$C$2:$C$1199,0)))</f>
        <v/>
      </c>
      <c r="M1066" s="7" t="str">
        <f>IF(ISNA(MATCH(1057,'Transfer Engine'!$C$2:$C$1199,0)),"",INDEX('Compliance Database'!$M$2:$M$1199,MATCH(1057,'Transfer Engine'!$C$2:$C$1199,0)))</f>
        <v/>
      </c>
      <c r="N1066" s="7" t="str">
        <f>IF(ISNA(MATCH(1057,'Transfer Engine'!$C$2:$C$1199,0)),"",INDEX('Compliance Database'!$N$2:$N$1199,MATCH(1057,'Transfer Engine'!$C$2:$C$1199,0)))</f>
        <v/>
      </c>
      <c r="O1066" s="7" t="str">
        <f>IF(ISNA(MATCH(1057,'Transfer Engine'!$C$2:$C$1199,0)),"",INDEX('Compliance Database'!$O$2:$O$1199,MATCH(1057,'Transfer Engine'!$C$2:$C$1199,0)))</f>
        <v/>
      </c>
      <c r="P1066" s="6" t="str">
        <f>IF(ISNA(MATCH(1057,'Transfer Engine'!$C$2:$C$1199,0)),"",HYPERLINK("#Acts!A"&amp;INDEX('Compliance Database'!$P$2:$P$1199,MATCH(1057,'Transfer Engine'!$C$2:$C$1199,0)),"Go to Act"))</f>
        <v/>
      </c>
    </row>
    <row r="1067" spans="1:16" ht="172.95" customHeight="1" x14ac:dyDescent="0.3">
      <c r="A1067" s="6" t="str">
        <f>IF(ISNA(MATCH(1058,'Transfer Engine'!$C$2:$C$1199,0)),"",INDEX('Compliance Database'!$A$2:$A$1199,MATCH(1058,'Transfer Engine'!$C$2:$C$1199,0)))</f>
        <v/>
      </c>
      <c r="B1067" s="6" t="str">
        <f>IF(ISNA(MATCH(1058,'Transfer Engine'!$C$2:$C$1199,0)),"",INDEX('Compliance Database'!$B$2:$B$1199,MATCH(1058,'Transfer Engine'!$C$2:$C$1199,0)))</f>
        <v/>
      </c>
      <c r="C1067" s="6" t="str">
        <f>IF(ISNA(MATCH(1058,'Transfer Engine'!$C$2:$C$1199,0)),"",INDEX('Compliance Database'!$C$2:$C$1199,MATCH(1058,'Transfer Engine'!$C$2:$C$1199,0)))</f>
        <v/>
      </c>
      <c r="D1067" s="7" t="str">
        <f>IF(ISNA(MATCH(1058,'Transfer Engine'!$C$2:$C$1199,0)),"",INDEX('Compliance Database'!$D$2:$D$1199,MATCH(1058,'Transfer Engine'!$C$2:$C$1199,0)))</f>
        <v/>
      </c>
      <c r="E1067" s="6" t="str">
        <f>IF(ISNA(MATCH(1058,'Transfer Engine'!$C$2:$C$1199,0)),"",INDEX('Compliance Database'!$E$2:$E$1199,MATCH(1058,'Transfer Engine'!$C$2:$C$1199,0)))</f>
        <v/>
      </c>
      <c r="F1067" s="6" t="str">
        <f>IF(ISNA(MATCH(1058,'Transfer Engine'!$C$2:$C$1199,0)),"",INDEX('Compliance Database'!$F$2:$F$1199,MATCH(1058,'Transfer Engine'!$C$2:$C$1199,0)))</f>
        <v/>
      </c>
      <c r="G1067" s="6" t="str">
        <f>IF(ISNA(MATCH(1058,'Transfer Engine'!$C$2:$C$1199,0)),"",INDEX('Compliance Database'!$G$2:$G$1199,MATCH(1058,'Transfer Engine'!$C$2:$C$1199,0)))</f>
        <v/>
      </c>
      <c r="H1067" s="7" t="str">
        <f>IF(ISNA(MATCH(1058,'Transfer Engine'!$C$2:$C$1199,0)),"",INDEX('Compliance Database'!$H$2:$H$1199,MATCH(1058,'Transfer Engine'!$C$2:$C$1199,0)))</f>
        <v/>
      </c>
      <c r="I1067" s="7" t="str">
        <f>IF(ISNA(MATCH(1058,'Transfer Engine'!$C$2:$C$1199,0)),"",INDEX('Compliance Database'!$I$2:$I$1199,MATCH(1058,'Transfer Engine'!$C$2:$C$1199,0)))</f>
        <v/>
      </c>
      <c r="J1067" s="6" t="str">
        <f>IF(ISNA(MATCH(1058,'Transfer Engine'!$C$2:$C$1199,0)),"",INDEX('Compliance Database'!$J$2:$J$1199,MATCH(1058,'Transfer Engine'!$C$2:$C$1199,0)))</f>
        <v/>
      </c>
      <c r="K1067" s="7" t="str">
        <f>IF(ISNA(MATCH(1058,'Transfer Engine'!$C$2:$C$1199,0)),"",INDEX('Compliance Database'!$K$2:$K$1199,MATCH(1058,'Transfer Engine'!$C$2:$C$1199,0)))</f>
        <v/>
      </c>
      <c r="L1067" s="7" t="str">
        <f>IF(ISNA(MATCH(1058,'Transfer Engine'!$C$2:$C$1199,0)),"",INDEX('Compliance Database'!$L$2:$L$1199,MATCH(1058,'Transfer Engine'!$C$2:$C$1199,0)))</f>
        <v/>
      </c>
      <c r="M1067" s="7" t="str">
        <f>IF(ISNA(MATCH(1058,'Transfer Engine'!$C$2:$C$1199,0)),"",INDEX('Compliance Database'!$M$2:$M$1199,MATCH(1058,'Transfer Engine'!$C$2:$C$1199,0)))</f>
        <v/>
      </c>
      <c r="N1067" s="7" t="str">
        <f>IF(ISNA(MATCH(1058,'Transfer Engine'!$C$2:$C$1199,0)),"",INDEX('Compliance Database'!$N$2:$N$1199,MATCH(1058,'Transfer Engine'!$C$2:$C$1199,0)))</f>
        <v/>
      </c>
      <c r="O1067" s="7" t="str">
        <f>IF(ISNA(MATCH(1058,'Transfer Engine'!$C$2:$C$1199,0)),"",INDEX('Compliance Database'!$O$2:$O$1199,MATCH(1058,'Transfer Engine'!$C$2:$C$1199,0)))</f>
        <v/>
      </c>
      <c r="P1067" s="6" t="str">
        <f>IF(ISNA(MATCH(1058,'Transfer Engine'!$C$2:$C$1199,0)),"",HYPERLINK("#Acts!A"&amp;INDEX('Compliance Database'!$P$2:$P$1199,MATCH(1058,'Transfer Engine'!$C$2:$C$1199,0)),"Go to Act"))</f>
        <v/>
      </c>
    </row>
    <row r="1068" spans="1:16" ht="172.95" customHeight="1" x14ac:dyDescent="0.3">
      <c r="A1068" s="6" t="str">
        <f>IF(ISNA(MATCH(1059,'Transfer Engine'!$C$2:$C$1199,0)),"",INDEX('Compliance Database'!$A$2:$A$1199,MATCH(1059,'Transfer Engine'!$C$2:$C$1199,0)))</f>
        <v/>
      </c>
      <c r="B1068" s="6" t="str">
        <f>IF(ISNA(MATCH(1059,'Transfer Engine'!$C$2:$C$1199,0)),"",INDEX('Compliance Database'!$B$2:$B$1199,MATCH(1059,'Transfer Engine'!$C$2:$C$1199,0)))</f>
        <v/>
      </c>
      <c r="C1068" s="6" t="str">
        <f>IF(ISNA(MATCH(1059,'Transfer Engine'!$C$2:$C$1199,0)),"",INDEX('Compliance Database'!$C$2:$C$1199,MATCH(1059,'Transfer Engine'!$C$2:$C$1199,0)))</f>
        <v/>
      </c>
      <c r="D1068" s="7" t="str">
        <f>IF(ISNA(MATCH(1059,'Transfer Engine'!$C$2:$C$1199,0)),"",INDEX('Compliance Database'!$D$2:$D$1199,MATCH(1059,'Transfer Engine'!$C$2:$C$1199,0)))</f>
        <v/>
      </c>
      <c r="E1068" s="6" t="str">
        <f>IF(ISNA(MATCH(1059,'Transfer Engine'!$C$2:$C$1199,0)),"",INDEX('Compliance Database'!$E$2:$E$1199,MATCH(1059,'Transfer Engine'!$C$2:$C$1199,0)))</f>
        <v/>
      </c>
      <c r="F1068" s="6" t="str">
        <f>IF(ISNA(MATCH(1059,'Transfer Engine'!$C$2:$C$1199,0)),"",INDEX('Compliance Database'!$F$2:$F$1199,MATCH(1059,'Transfer Engine'!$C$2:$C$1199,0)))</f>
        <v/>
      </c>
      <c r="G1068" s="6" t="str">
        <f>IF(ISNA(MATCH(1059,'Transfer Engine'!$C$2:$C$1199,0)),"",INDEX('Compliance Database'!$G$2:$G$1199,MATCH(1059,'Transfer Engine'!$C$2:$C$1199,0)))</f>
        <v/>
      </c>
      <c r="H1068" s="7" t="str">
        <f>IF(ISNA(MATCH(1059,'Transfer Engine'!$C$2:$C$1199,0)),"",INDEX('Compliance Database'!$H$2:$H$1199,MATCH(1059,'Transfer Engine'!$C$2:$C$1199,0)))</f>
        <v/>
      </c>
      <c r="I1068" s="7" t="str">
        <f>IF(ISNA(MATCH(1059,'Transfer Engine'!$C$2:$C$1199,0)),"",INDEX('Compliance Database'!$I$2:$I$1199,MATCH(1059,'Transfer Engine'!$C$2:$C$1199,0)))</f>
        <v/>
      </c>
      <c r="J1068" s="6" t="str">
        <f>IF(ISNA(MATCH(1059,'Transfer Engine'!$C$2:$C$1199,0)),"",INDEX('Compliance Database'!$J$2:$J$1199,MATCH(1059,'Transfer Engine'!$C$2:$C$1199,0)))</f>
        <v/>
      </c>
      <c r="K1068" s="7" t="str">
        <f>IF(ISNA(MATCH(1059,'Transfer Engine'!$C$2:$C$1199,0)),"",INDEX('Compliance Database'!$K$2:$K$1199,MATCH(1059,'Transfer Engine'!$C$2:$C$1199,0)))</f>
        <v/>
      </c>
      <c r="L1068" s="7" t="str">
        <f>IF(ISNA(MATCH(1059,'Transfer Engine'!$C$2:$C$1199,0)),"",INDEX('Compliance Database'!$L$2:$L$1199,MATCH(1059,'Transfer Engine'!$C$2:$C$1199,0)))</f>
        <v/>
      </c>
      <c r="M1068" s="7" t="str">
        <f>IF(ISNA(MATCH(1059,'Transfer Engine'!$C$2:$C$1199,0)),"",INDEX('Compliance Database'!$M$2:$M$1199,MATCH(1059,'Transfer Engine'!$C$2:$C$1199,0)))</f>
        <v/>
      </c>
      <c r="N1068" s="7" t="str">
        <f>IF(ISNA(MATCH(1059,'Transfer Engine'!$C$2:$C$1199,0)),"",INDEX('Compliance Database'!$N$2:$N$1199,MATCH(1059,'Transfer Engine'!$C$2:$C$1199,0)))</f>
        <v/>
      </c>
      <c r="O1068" s="7" t="str">
        <f>IF(ISNA(MATCH(1059,'Transfer Engine'!$C$2:$C$1199,0)),"",INDEX('Compliance Database'!$O$2:$O$1199,MATCH(1059,'Transfer Engine'!$C$2:$C$1199,0)))</f>
        <v/>
      </c>
      <c r="P1068" s="6" t="str">
        <f>IF(ISNA(MATCH(1059,'Transfer Engine'!$C$2:$C$1199,0)),"",HYPERLINK("#Acts!A"&amp;INDEX('Compliance Database'!$P$2:$P$1199,MATCH(1059,'Transfer Engine'!$C$2:$C$1199,0)),"Go to Act"))</f>
        <v/>
      </c>
    </row>
    <row r="1069" spans="1:16" ht="172.95" customHeight="1" x14ac:dyDescent="0.3">
      <c r="A1069" s="6" t="str">
        <f>IF(ISNA(MATCH(1060,'Transfer Engine'!$C$2:$C$1199,0)),"",INDEX('Compliance Database'!$A$2:$A$1199,MATCH(1060,'Transfer Engine'!$C$2:$C$1199,0)))</f>
        <v/>
      </c>
      <c r="B1069" s="6" t="str">
        <f>IF(ISNA(MATCH(1060,'Transfer Engine'!$C$2:$C$1199,0)),"",INDEX('Compliance Database'!$B$2:$B$1199,MATCH(1060,'Transfer Engine'!$C$2:$C$1199,0)))</f>
        <v/>
      </c>
      <c r="C1069" s="6" t="str">
        <f>IF(ISNA(MATCH(1060,'Transfer Engine'!$C$2:$C$1199,0)),"",INDEX('Compliance Database'!$C$2:$C$1199,MATCH(1060,'Transfer Engine'!$C$2:$C$1199,0)))</f>
        <v/>
      </c>
      <c r="D1069" s="7" t="str">
        <f>IF(ISNA(MATCH(1060,'Transfer Engine'!$C$2:$C$1199,0)),"",INDEX('Compliance Database'!$D$2:$D$1199,MATCH(1060,'Transfer Engine'!$C$2:$C$1199,0)))</f>
        <v/>
      </c>
      <c r="E1069" s="6" t="str">
        <f>IF(ISNA(MATCH(1060,'Transfer Engine'!$C$2:$C$1199,0)),"",INDEX('Compliance Database'!$E$2:$E$1199,MATCH(1060,'Transfer Engine'!$C$2:$C$1199,0)))</f>
        <v/>
      </c>
      <c r="F1069" s="6" t="str">
        <f>IF(ISNA(MATCH(1060,'Transfer Engine'!$C$2:$C$1199,0)),"",INDEX('Compliance Database'!$F$2:$F$1199,MATCH(1060,'Transfer Engine'!$C$2:$C$1199,0)))</f>
        <v/>
      </c>
      <c r="G1069" s="6" t="str">
        <f>IF(ISNA(MATCH(1060,'Transfer Engine'!$C$2:$C$1199,0)),"",INDEX('Compliance Database'!$G$2:$G$1199,MATCH(1060,'Transfer Engine'!$C$2:$C$1199,0)))</f>
        <v/>
      </c>
      <c r="H1069" s="7" t="str">
        <f>IF(ISNA(MATCH(1060,'Transfer Engine'!$C$2:$C$1199,0)),"",INDEX('Compliance Database'!$H$2:$H$1199,MATCH(1060,'Transfer Engine'!$C$2:$C$1199,0)))</f>
        <v/>
      </c>
      <c r="I1069" s="7" t="str">
        <f>IF(ISNA(MATCH(1060,'Transfer Engine'!$C$2:$C$1199,0)),"",INDEX('Compliance Database'!$I$2:$I$1199,MATCH(1060,'Transfer Engine'!$C$2:$C$1199,0)))</f>
        <v/>
      </c>
      <c r="J1069" s="6" t="str">
        <f>IF(ISNA(MATCH(1060,'Transfer Engine'!$C$2:$C$1199,0)),"",INDEX('Compliance Database'!$J$2:$J$1199,MATCH(1060,'Transfer Engine'!$C$2:$C$1199,0)))</f>
        <v/>
      </c>
      <c r="K1069" s="7" t="str">
        <f>IF(ISNA(MATCH(1060,'Transfer Engine'!$C$2:$C$1199,0)),"",INDEX('Compliance Database'!$K$2:$K$1199,MATCH(1060,'Transfer Engine'!$C$2:$C$1199,0)))</f>
        <v/>
      </c>
      <c r="L1069" s="7" t="str">
        <f>IF(ISNA(MATCH(1060,'Transfer Engine'!$C$2:$C$1199,0)),"",INDEX('Compliance Database'!$L$2:$L$1199,MATCH(1060,'Transfer Engine'!$C$2:$C$1199,0)))</f>
        <v/>
      </c>
      <c r="M1069" s="7" t="str">
        <f>IF(ISNA(MATCH(1060,'Transfer Engine'!$C$2:$C$1199,0)),"",INDEX('Compliance Database'!$M$2:$M$1199,MATCH(1060,'Transfer Engine'!$C$2:$C$1199,0)))</f>
        <v/>
      </c>
      <c r="N1069" s="7" t="str">
        <f>IF(ISNA(MATCH(1060,'Transfer Engine'!$C$2:$C$1199,0)),"",INDEX('Compliance Database'!$N$2:$N$1199,MATCH(1060,'Transfer Engine'!$C$2:$C$1199,0)))</f>
        <v/>
      </c>
      <c r="O1069" s="7" t="str">
        <f>IF(ISNA(MATCH(1060,'Transfer Engine'!$C$2:$C$1199,0)),"",INDEX('Compliance Database'!$O$2:$O$1199,MATCH(1060,'Transfer Engine'!$C$2:$C$1199,0)))</f>
        <v/>
      </c>
      <c r="P1069" s="6" t="str">
        <f>IF(ISNA(MATCH(1060,'Transfer Engine'!$C$2:$C$1199,0)),"",HYPERLINK("#Acts!A"&amp;INDEX('Compliance Database'!$P$2:$P$1199,MATCH(1060,'Transfer Engine'!$C$2:$C$1199,0)),"Go to Act"))</f>
        <v/>
      </c>
    </row>
    <row r="1070" spans="1:16" ht="172.95" customHeight="1" x14ac:dyDescent="0.3">
      <c r="A1070" s="6" t="str">
        <f>IF(ISNA(MATCH(1061,'Transfer Engine'!$C$2:$C$1199,0)),"",INDEX('Compliance Database'!$A$2:$A$1199,MATCH(1061,'Transfer Engine'!$C$2:$C$1199,0)))</f>
        <v/>
      </c>
      <c r="B1070" s="6" t="str">
        <f>IF(ISNA(MATCH(1061,'Transfer Engine'!$C$2:$C$1199,0)),"",INDEX('Compliance Database'!$B$2:$B$1199,MATCH(1061,'Transfer Engine'!$C$2:$C$1199,0)))</f>
        <v/>
      </c>
      <c r="C1070" s="6" t="str">
        <f>IF(ISNA(MATCH(1061,'Transfer Engine'!$C$2:$C$1199,0)),"",INDEX('Compliance Database'!$C$2:$C$1199,MATCH(1061,'Transfer Engine'!$C$2:$C$1199,0)))</f>
        <v/>
      </c>
      <c r="D1070" s="7" t="str">
        <f>IF(ISNA(MATCH(1061,'Transfer Engine'!$C$2:$C$1199,0)),"",INDEX('Compliance Database'!$D$2:$D$1199,MATCH(1061,'Transfer Engine'!$C$2:$C$1199,0)))</f>
        <v/>
      </c>
      <c r="E1070" s="6" t="str">
        <f>IF(ISNA(MATCH(1061,'Transfer Engine'!$C$2:$C$1199,0)),"",INDEX('Compliance Database'!$E$2:$E$1199,MATCH(1061,'Transfer Engine'!$C$2:$C$1199,0)))</f>
        <v/>
      </c>
      <c r="F1070" s="6" t="str">
        <f>IF(ISNA(MATCH(1061,'Transfer Engine'!$C$2:$C$1199,0)),"",INDEX('Compliance Database'!$F$2:$F$1199,MATCH(1061,'Transfer Engine'!$C$2:$C$1199,0)))</f>
        <v/>
      </c>
      <c r="G1070" s="6" t="str">
        <f>IF(ISNA(MATCH(1061,'Transfer Engine'!$C$2:$C$1199,0)),"",INDEX('Compliance Database'!$G$2:$G$1199,MATCH(1061,'Transfer Engine'!$C$2:$C$1199,0)))</f>
        <v/>
      </c>
      <c r="H1070" s="7" t="str">
        <f>IF(ISNA(MATCH(1061,'Transfer Engine'!$C$2:$C$1199,0)),"",INDEX('Compliance Database'!$H$2:$H$1199,MATCH(1061,'Transfer Engine'!$C$2:$C$1199,0)))</f>
        <v/>
      </c>
      <c r="I1070" s="7" t="str">
        <f>IF(ISNA(MATCH(1061,'Transfer Engine'!$C$2:$C$1199,0)),"",INDEX('Compliance Database'!$I$2:$I$1199,MATCH(1061,'Transfer Engine'!$C$2:$C$1199,0)))</f>
        <v/>
      </c>
      <c r="J1070" s="6" t="str">
        <f>IF(ISNA(MATCH(1061,'Transfer Engine'!$C$2:$C$1199,0)),"",INDEX('Compliance Database'!$J$2:$J$1199,MATCH(1061,'Transfer Engine'!$C$2:$C$1199,0)))</f>
        <v/>
      </c>
      <c r="K1070" s="7" t="str">
        <f>IF(ISNA(MATCH(1061,'Transfer Engine'!$C$2:$C$1199,0)),"",INDEX('Compliance Database'!$K$2:$K$1199,MATCH(1061,'Transfer Engine'!$C$2:$C$1199,0)))</f>
        <v/>
      </c>
      <c r="L1070" s="7" t="str">
        <f>IF(ISNA(MATCH(1061,'Transfer Engine'!$C$2:$C$1199,0)),"",INDEX('Compliance Database'!$L$2:$L$1199,MATCH(1061,'Transfer Engine'!$C$2:$C$1199,0)))</f>
        <v/>
      </c>
      <c r="M1070" s="7" t="str">
        <f>IF(ISNA(MATCH(1061,'Transfer Engine'!$C$2:$C$1199,0)),"",INDEX('Compliance Database'!$M$2:$M$1199,MATCH(1061,'Transfer Engine'!$C$2:$C$1199,0)))</f>
        <v/>
      </c>
      <c r="N1070" s="7" t="str">
        <f>IF(ISNA(MATCH(1061,'Transfer Engine'!$C$2:$C$1199,0)),"",INDEX('Compliance Database'!$N$2:$N$1199,MATCH(1061,'Transfer Engine'!$C$2:$C$1199,0)))</f>
        <v/>
      </c>
      <c r="O1070" s="7" t="str">
        <f>IF(ISNA(MATCH(1061,'Transfer Engine'!$C$2:$C$1199,0)),"",INDEX('Compliance Database'!$O$2:$O$1199,MATCH(1061,'Transfer Engine'!$C$2:$C$1199,0)))</f>
        <v/>
      </c>
      <c r="P1070" s="6" t="str">
        <f>IF(ISNA(MATCH(1061,'Transfer Engine'!$C$2:$C$1199,0)),"",HYPERLINK("#Acts!A"&amp;INDEX('Compliance Database'!$P$2:$P$1199,MATCH(1061,'Transfer Engine'!$C$2:$C$1199,0)),"Go to Act"))</f>
        <v/>
      </c>
    </row>
    <row r="1071" spans="1:16" ht="172.95" customHeight="1" x14ac:dyDescent="0.3">
      <c r="A1071" s="6" t="str">
        <f>IF(ISNA(MATCH(1062,'Transfer Engine'!$C$2:$C$1199,0)),"",INDEX('Compliance Database'!$A$2:$A$1199,MATCH(1062,'Transfer Engine'!$C$2:$C$1199,0)))</f>
        <v/>
      </c>
      <c r="B1071" s="6" t="str">
        <f>IF(ISNA(MATCH(1062,'Transfer Engine'!$C$2:$C$1199,0)),"",INDEX('Compliance Database'!$B$2:$B$1199,MATCH(1062,'Transfer Engine'!$C$2:$C$1199,0)))</f>
        <v/>
      </c>
      <c r="C1071" s="6" t="str">
        <f>IF(ISNA(MATCH(1062,'Transfer Engine'!$C$2:$C$1199,0)),"",INDEX('Compliance Database'!$C$2:$C$1199,MATCH(1062,'Transfer Engine'!$C$2:$C$1199,0)))</f>
        <v/>
      </c>
      <c r="D1071" s="7" t="str">
        <f>IF(ISNA(MATCH(1062,'Transfer Engine'!$C$2:$C$1199,0)),"",INDEX('Compliance Database'!$D$2:$D$1199,MATCH(1062,'Transfer Engine'!$C$2:$C$1199,0)))</f>
        <v/>
      </c>
      <c r="E1071" s="6" t="str">
        <f>IF(ISNA(MATCH(1062,'Transfer Engine'!$C$2:$C$1199,0)),"",INDEX('Compliance Database'!$E$2:$E$1199,MATCH(1062,'Transfer Engine'!$C$2:$C$1199,0)))</f>
        <v/>
      </c>
      <c r="F1071" s="6" t="str">
        <f>IF(ISNA(MATCH(1062,'Transfer Engine'!$C$2:$C$1199,0)),"",INDEX('Compliance Database'!$F$2:$F$1199,MATCH(1062,'Transfer Engine'!$C$2:$C$1199,0)))</f>
        <v/>
      </c>
      <c r="G1071" s="6" t="str">
        <f>IF(ISNA(MATCH(1062,'Transfer Engine'!$C$2:$C$1199,0)),"",INDEX('Compliance Database'!$G$2:$G$1199,MATCH(1062,'Transfer Engine'!$C$2:$C$1199,0)))</f>
        <v/>
      </c>
      <c r="H1071" s="7" t="str">
        <f>IF(ISNA(MATCH(1062,'Transfer Engine'!$C$2:$C$1199,0)),"",INDEX('Compliance Database'!$H$2:$H$1199,MATCH(1062,'Transfer Engine'!$C$2:$C$1199,0)))</f>
        <v/>
      </c>
      <c r="I1071" s="7" t="str">
        <f>IF(ISNA(MATCH(1062,'Transfer Engine'!$C$2:$C$1199,0)),"",INDEX('Compliance Database'!$I$2:$I$1199,MATCH(1062,'Transfer Engine'!$C$2:$C$1199,0)))</f>
        <v/>
      </c>
      <c r="J1071" s="6" t="str">
        <f>IF(ISNA(MATCH(1062,'Transfer Engine'!$C$2:$C$1199,0)),"",INDEX('Compliance Database'!$J$2:$J$1199,MATCH(1062,'Transfer Engine'!$C$2:$C$1199,0)))</f>
        <v/>
      </c>
      <c r="K1071" s="7" t="str">
        <f>IF(ISNA(MATCH(1062,'Transfer Engine'!$C$2:$C$1199,0)),"",INDEX('Compliance Database'!$K$2:$K$1199,MATCH(1062,'Transfer Engine'!$C$2:$C$1199,0)))</f>
        <v/>
      </c>
      <c r="L1071" s="7" t="str">
        <f>IF(ISNA(MATCH(1062,'Transfer Engine'!$C$2:$C$1199,0)),"",INDEX('Compliance Database'!$L$2:$L$1199,MATCH(1062,'Transfer Engine'!$C$2:$C$1199,0)))</f>
        <v/>
      </c>
      <c r="M1071" s="7" t="str">
        <f>IF(ISNA(MATCH(1062,'Transfer Engine'!$C$2:$C$1199,0)),"",INDEX('Compliance Database'!$M$2:$M$1199,MATCH(1062,'Transfer Engine'!$C$2:$C$1199,0)))</f>
        <v/>
      </c>
      <c r="N1071" s="7" t="str">
        <f>IF(ISNA(MATCH(1062,'Transfer Engine'!$C$2:$C$1199,0)),"",INDEX('Compliance Database'!$N$2:$N$1199,MATCH(1062,'Transfer Engine'!$C$2:$C$1199,0)))</f>
        <v/>
      </c>
      <c r="O1071" s="7" t="str">
        <f>IF(ISNA(MATCH(1062,'Transfer Engine'!$C$2:$C$1199,0)),"",INDEX('Compliance Database'!$O$2:$O$1199,MATCH(1062,'Transfer Engine'!$C$2:$C$1199,0)))</f>
        <v/>
      </c>
      <c r="P1071" s="6" t="str">
        <f>IF(ISNA(MATCH(1062,'Transfer Engine'!$C$2:$C$1199,0)),"",HYPERLINK("#Acts!A"&amp;INDEX('Compliance Database'!$P$2:$P$1199,MATCH(1062,'Transfer Engine'!$C$2:$C$1199,0)),"Go to Act"))</f>
        <v/>
      </c>
    </row>
    <row r="1072" spans="1:16" ht="172.95" customHeight="1" x14ac:dyDescent="0.3">
      <c r="A1072" s="6" t="str">
        <f>IF(ISNA(MATCH(1063,'Transfer Engine'!$C$2:$C$1199,0)),"",INDEX('Compliance Database'!$A$2:$A$1199,MATCH(1063,'Transfer Engine'!$C$2:$C$1199,0)))</f>
        <v/>
      </c>
      <c r="B1072" s="6" t="str">
        <f>IF(ISNA(MATCH(1063,'Transfer Engine'!$C$2:$C$1199,0)),"",INDEX('Compliance Database'!$B$2:$B$1199,MATCH(1063,'Transfer Engine'!$C$2:$C$1199,0)))</f>
        <v/>
      </c>
      <c r="C1072" s="6" t="str">
        <f>IF(ISNA(MATCH(1063,'Transfer Engine'!$C$2:$C$1199,0)),"",INDEX('Compliance Database'!$C$2:$C$1199,MATCH(1063,'Transfer Engine'!$C$2:$C$1199,0)))</f>
        <v/>
      </c>
      <c r="D1072" s="7" t="str">
        <f>IF(ISNA(MATCH(1063,'Transfer Engine'!$C$2:$C$1199,0)),"",INDEX('Compliance Database'!$D$2:$D$1199,MATCH(1063,'Transfer Engine'!$C$2:$C$1199,0)))</f>
        <v/>
      </c>
      <c r="E1072" s="6" t="str">
        <f>IF(ISNA(MATCH(1063,'Transfer Engine'!$C$2:$C$1199,0)),"",INDEX('Compliance Database'!$E$2:$E$1199,MATCH(1063,'Transfer Engine'!$C$2:$C$1199,0)))</f>
        <v/>
      </c>
      <c r="F1072" s="6" t="str">
        <f>IF(ISNA(MATCH(1063,'Transfer Engine'!$C$2:$C$1199,0)),"",INDEX('Compliance Database'!$F$2:$F$1199,MATCH(1063,'Transfer Engine'!$C$2:$C$1199,0)))</f>
        <v/>
      </c>
      <c r="G1072" s="6" t="str">
        <f>IF(ISNA(MATCH(1063,'Transfer Engine'!$C$2:$C$1199,0)),"",INDEX('Compliance Database'!$G$2:$G$1199,MATCH(1063,'Transfer Engine'!$C$2:$C$1199,0)))</f>
        <v/>
      </c>
      <c r="H1072" s="7" t="str">
        <f>IF(ISNA(MATCH(1063,'Transfer Engine'!$C$2:$C$1199,0)),"",INDEX('Compliance Database'!$H$2:$H$1199,MATCH(1063,'Transfer Engine'!$C$2:$C$1199,0)))</f>
        <v/>
      </c>
      <c r="I1072" s="7" t="str">
        <f>IF(ISNA(MATCH(1063,'Transfer Engine'!$C$2:$C$1199,0)),"",INDEX('Compliance Database'!$I$2:$I$1199,MATCH(1063,'Transfer Engine'!$C$2:$C$1199,0)))</f>
        <v/>
      </c>
      <c r="J1072" s="6" t="str">
        <f>IF(ISNA(MATCH(1063,'Transfer Engine'!$C$2:$C$1199,0)),"",INDEX('Compliance Database'!$J$2:$J$1199,MATCH(1063,'Transfer Engine'!$C$2:$C$1199,0)))</f>
        <v/>
      </c>
      <c r="K1072" s="7" t="str">
        <f>IF(ISNA(MATCH(1063,'Transfer Engine'!$C$2:$C$1199,0)),"",INDEX('Compliance Database'!$K$2:$K$1199,MATCH(1063,'Transfer Engine'!$C$2:$C$1199,0)))</f>
        <v/>
      </c>
      <c r="L1072" s="7" t="str">
        <f>IF(ISNA(MATCH(1063,'Transfer Engine'!$C$2:$C$1199,0)),"",INDEX('Compliance Database'!$L$2:$L$1199,MATCH(1063,'Transfer Engine'!$C$2:$C$1199,0)))</f>
        <v/>
      </c>
      <c r="M1072" s="7" t="str">
        <f>IF(ISNA(MATCH(1063,'Transfer Engine'!$C$2:$C$1199,0)),"",INDEX('Compliance Database'!$M$2:$M$1199,MATCH(1063,'Transfer Engine'!$C$2:$C$1199,0)))</f>
        <v/>
      </c>
      <c r="N1072" s="7" t="str">
        <f>IF(ISNA(MATCH(1063,'Transfer Engine'!$C$2:$C$1199,0)),"",INDEX('Compliance Database'!$N$2:$N$1199,MATCH(1063,'Transfer Engine'!$C$2:$C$1199,0)))</f>
        <v/>
      </c>
      <c r="O1072" s="7" t="str">
        <f>IF(ISNA(MATCH(1063,'Transfer Engine'!$C$2:$C$1199,0)),"",INDEX('Compliance Database'!$O$2:$O$1199,MATCH(1063,'Transfer Engine'!$C$2:$C$1199,0)))</f>
        <v/>
      </c>
      <c r="P1072" s="6" t="str">
        <f>IF(ISNA(MATCH(1063,'Transfer Engine'!$C$2:$C$1199,0)),"",HYPERLINK("#Acts!A"&amp;INDEX('Compliance Database'!$P$2:$P$1199,MATCH(1063,'Transfer Engine'!$C$2:$C$1199,0)),"Go to Act"))</f>
        <v/>
      </c>
    </row>
    <row r="1073" spans="1:16" ht="172.95" customHeight="1" x14ac:dyDescent="0.3">
      <c r="A1073" s="6" t="str">
        <f>IF(ISNA(MATCH(1064,'Transfer Engine'!$C$2:$C$1199,0)),"",INDEX('Compliance Database'!$A$2:$A$1199,MATCH(1064,'Transfer Engine'!$C$2:$C$1199,0)))</f>
        <v/>
      </c>
      <c r="B1073" s="6" t="str">
        <f>IF(ISNA(MATCH(1064,'Transfer Engine'!$C$2:$C$1199,0)),"",INDEX('Compliance Database'!$B$2:$B$1199,MATCH(1064,'Transfer Engine'!$C$2:$C$1199,0)))</f>
        <v/>
      </c>
      <c r="C1073" s="6" t="str">
        <f>IF(ISNA(MATCH(1064,'Transfer Engine'!$C$2:$C$1199,0)),"",INDEX('Compliance Database'!$C$2:$C$1199,MATCH(1064,'Transfer Engine'!$C$2:$C$1199,0)))</f>
        <v/>
      </c>
      <c r="D1073" s="7" t="str">
        <f>IF(ISNA(MATCH(1064,'Transfer Engine'!$C$2:$C$1199,0)),"",INDEX('Compliance Database'!$D$2:$D$1199,MATCH(1064,'Transfer Engine'!$C$2:$C$1199,0)))</f>
        <v/>
      </c>
      <c r="E1073" s="6" t="str">
        <f>IF(ISNA(MATCH(1064,'Transfer Engine'!$C$2:$C$1199,0)),"",INDEX('Compliance Database'!$E$2:$E$1199,MATCH(1064,'Transfer Engine'!$C$2:$C$1199,0)))</f>
        <v/>
      </c>
      <c r="F1073" s="6" t="str">
        <f>IF(ISNA(MATCH(1064,'Transfer Engine'!$C$2:$C$1199,0)),"",INDEX('Compliance Database'!$F$2:$F$1199,MATCH(1064,'Transfer Engine'!$C$2:$C$1199,0)))</f>
        <v/>
      </c>
      <c r="G1073" s="6" t="str">
        <f>IF(ISNA(MATCH(1064,'Transfer Engine'!$C$2:$C$1199,0)),"",INDEX('Compliance Database'!$G$2:$G$1199,MATCH(1064,'Transfer Engine'!$C$2:$C$1199,0)))</f>
        <v/>
      </c>
      <c r="H1073" s="7" t="str">
        <f>IF(ISNA(MATCH(1064,'Transfer Engine'!$C$2:$C$1199,0)),"",INDEX('Compliance Database'!$H$2:$H$1199,MATCH(1064,'Transfer Engine'!$C$2:$C$1199,0)))</f>
        <v/>
      </c>
      <c r="I1073" s="7" t="str">
        <f>IF(ISNA(MATCH(1064,'Transfer Engine'!$C$2:$C$1199,0)),"",INDEX('Compliance Database'!$I$2:$I$1199,MATCH(1064,'Transfer Engine'!$C$2:$C$1199,0)))</f>
        <v/>
      </c>
      <c r="J1073" s="6" t="str">
        <f>IF(ISNA(MATCH(1064,'Transfer Engine'!$C$2:$C$1199,0)),"",INDEX('Compliance Database'!$J$2:$J$1199,MATCH(1064,'Transfer Engine'!$C$2:$C$1199,0)))</f>
        <v/>
      </c>
      <c r="K1073" s="7" t="str">
        <f>IF(ISNA(MATCH(1064,'Transfer Engine'!$C$2:$C$1199,0)),"",INDEX('Compliance Database'!$K$2:$K$1199,MATCH(1064,'Transfer Engine'!$C$2:$C$1199,0)))</f>
        <v/>
      </c>
      <c r="L1073" s="7" t="str">
        <f>IF(ISNA(MATCH(1064,'Transfer Engine'!$C$2:$C$1199,0)),"",INDEX('Compliance Database'!$L$2:$L$1199,MATCH(1064,'Transfer Engine'!$C$2:$C$1199,0)))</f>
        <v/>
      </c>
      <c r="M1073" s="7" t="str">
        <f>IF(ISNA(MATCH(1064,'Transfer Engine'!$C$2:$C$1199,0)),"",INDEX('Compliance Database'!$M$2:$M$1199,MATCH(1064,'Transfer Engine'!$C$2:$C$1199,0)))</f>
        <v/>
      </c>
      <c r="N1073" s="7" t="str">
        <f>IF(ISNA(MATCH(1064,'Transfer Engine'!$C$2:$C$1199,0)),"",INDEX('Compliance Database'!$N$2:$N$1199,MATCH(1064,'Transfer Engine'!$C$2:$C$1199,0)))</f>
        <v/>
      </c>
      <c r="O1073" s="7" t="str">
        <f>IF(ISNA(MATCH(1064,'Transfer Engine'!$C$2:$C$1199,0)),"",INDEX('Compliance Database'!$O$2:$O$1199,MATCH(1064,'Transfer Engine'!$C$2:$C$1199,0)))</f>
        <v/>
      </c>
      <c r="P1073" s="6" t="str">
        <f>IF(ISNA(MATCH(1064,'Transfer Engine'!$C$2:$C$1199,0)),"",HYPERLINK("#Acts!A"&amp;INDEX('Compliance Database'!$P$2:$P$1199,MATCH(1064,'Transfer Engine'!$C$2:$C$1199,0)),"Go to Act"))</f>
        <v/>
      </c>
    </row>
    <row r="1074" spans="1:16" ht="172.95" customHeight="1" x14ac:dyDescent="0.3">
      <c r="A1074" s="6" t="str">
        <f>IF(ISNA(MATCH(1065,'Transfer Engine'!$C$2:$C$1199,0)),"",INDEX('Compliance Database'!$A$2:$A$1199,MATCH(1065,'Transfer Engine'!$C$2:$C$1199,0)))</f>
        <v/>
      </c>
      <c r="B1074" s="6" t="str">
        <f>IF(ISNA(MATCH(1065,'Transfer Engine'!$C$2:$C$1199,0)),"",INDEX('Compliance Database'!$B$2:$B$1199,MATCH(1065,'Transfer Engine'!$C$2:$C$1199,0)))</f>
        <v/>
      </c>
      <c r="C1074" s="6" t="str">
        <f>IF(ISNA(MATCH(1065,'Transfer Engine'!$C$2:$C$1199,0)),"",INDEX('Compliance Database'!$C$2:$C$1199,MATCH(1065,'Transfer Engine'!$C$2:$C$1199,0)))</f>
        <v/>
      </c>
      <c r="D1074" s="7" t="str">
        <f>IF(ISNA(MATCH(1065,'Transfer Engine'!$C$2:$C$1199,0)),"",INDEX('Compliance Database'!$D$2:$D$1199,MATCH(1065,'Transfer Engine'!$C$2:$C$1199,0)))</f>
        <v/>
      </c>
      <c r="E1074" s="6" t="str">
        <f>IF(ISNA(MATCH(1065,'Transfer Engine'!$C$2:$C$1199,0)),"",INDEX('Compliance Database'!$E$2:$E$1199,MATCH(1065,'Transfer Engine'!$C$2:$C$1199,0)))</f>
        <v/>
      </c>
      <c r="F1074" s="6" t="str">
        <f>IF(ISNA(MATCH(1065,'Transfer Engine'!$C$2:$C$1199,0)),"",INDEX('Compliance Database'!$F$2:$F$1199,MATCH(1065,'Transfer Engine'!$C$2:$C$1199,0)))</f>
        <v/>
      </c>
      <c r="G1074" s="6" t="str">
        <f>IF(ISNA(MATCH(1065,'Transfer Engine'!$C$2:$C$1199,0)),"",INDEX('Compliance Database'!$G$2:$G$1199,MATCH(1065,'Transfer Engine'!$C$2:$C$1199,0)))</f>
        <v/>
      </c>
      <c r="H1074" s="7" t="str">
        <f>IF(ISNA(MATCH(1065,'Transfer Engine'!$C$2:$C$1199,0)),"",INDEX('Compliance Database'!$H$2:$H$1199,MATCH(1065,'Transfer Engine'!$C$2:$C$1199,0)))</f>
        <v/>
      </c>
      <c r="I1074" s="7" t="str">
        <f>IF(ISNA(MATCH(1065,'Transfer Engine'!$C$2:$C$1199,0)),"",INDEX('Compliance Database'!$I$2:$I$1199,MATCH(1065,'Transfer Engine'!$C$2:$C$1199,0)))</f>
        <v/>
      </c>
      <c r="J1074" s="6" t="str">
        <f>IF(ISNA(MATCH(1065,'Transfer Engine'!$C$2:$C$1199,0)),"",INDEX('Compliance Database'!$J$2:$J$1199,MATCH(1065,'Transfer Engine'!$C$2:$C$1199,0)))</f>
        <v/>
      </c>
      <c r="K1074" s="7" t="str">
        <f>IF(ISNA(MATCH(1065,'Transfer Engine'!$C$2:$C$1199,0)),"",INDEX('Compliance Database'!$K$2:$K$1199,MATCH(1065,'Transfer Engine'!$C$2:$C$1199,0)))</f>
        <v/>
      </c>
      <c r="L1074" s="7" t="str">
        <f>IF(ISNA(MATCH(1065,'Transfer Engine'!$C$2:$C$1199,0)),"",INDEX('Compliance Database'!$L$2:$L$1199,MATCH(1065,'Transfer Engine'!$C$2:$C$1199,0)))</f>
        <v/>
      </c>
      <c r="M1074" s="7" t="str">
        <f>IF(ISNA(MATCH(1065,'Transfer Engine'!$C$2:$C$1199,0)),"",INDEX('Compliance Database'!$M$2:$M$1199,MATCH(1065,'Transfer Engine'!$C$2:$C$1199,0)))</f>
        <v/>
      </c>
      <c r="N1074" s="7" t="str">
        <f>IF(ISNA(MATCH(1065,'Transfer Engine'!$C$2:$C$1199,0)),"",INDEX('Compliance Database'!$N$2:$N$1199,MATCH(1065,'Transfer Engine'!$C$2:$C$1199,0)))</f>
        <v/>
      </c>
      <c r="O1074" s="7" t="str">
        <f>IF(ISNA(MATCH(1065,'Transfer Engine'!$C$2:$C$1199,0)),"",INDEX('Compliance Database'!$O$2:$O$1199,MATCH(1065,'Transfer Engine'!$C$2:$C$1199,0)))</f>
        <v/>
      </c>
      <c r="P1074" s="6" t="str">
        <f>IF(ISNA(MATCH(1065,'Transfer Engine'!$C$2:$C$1199,0)),"",HYPERLINK("#Acts!A"&amp;INDEX('Compliance Database'!$P$2:$P$1199,MATCH(1065,'Transfer Engine'!$C$2:$C$1199,0)),"Go to Act"))</f>
        <v/>
      </c>
    </row>
    <row r="1075" spans="1:16" ht="172.95" customHeight="1" x14ac:dyDescent="0.3">
      <c r="A1075" s="6" t="str">
        <f>IF(ISNA(MATCH(1066,'Transfer Engine'!$C$2:$C$1199,0)),"",INDEX('Compliance Database'!$A$2:$A$1199,MATCH(1066,'Transfer Engine'!$C$2:$C$1199,0)))</f>
        <v/>
      </c>
      <c r="B1075" s="6" t="str">
        <f>IF(ISNA(MATCH(1066,'Transfer Engine'!$C$2:$C$1199,0)),"",INDEX('Compliance Database'!$B$2:$B$1199,MATCH(1066,'Transfer Engine'!$C$2:$C$1199,0)))</f>
        <v/>
      </c>
      <c r="C1075" s="6" t="str">
        <f>IF(ISNA(MATCH(1066,'Transfer Engine'!$C$2:$C$1199,0)),"",INDEX('Compliance Database'!$C$2:$C$1199,MATCH(1066,'Transfer Engine'!$C$2:$C$1199,0)))</f>
        <v/>
      </c>
      <c r="D1075" s="7" t="str">
        <f>IF(ISNA(MATCH(1066,'Transfer Engine'!$C$2:$C$1199,0)),"",INDEX('Compliance Database'!$D$2:$D$1199,MATCH(1066,'Transfer Engine'!$C$2:$C$1199,0)))</f>
        <v/>
      </c>
      <c r="E1075" s="6" t="str">
        <f>IF(ISNA(MATCH(1066,'Transfer Engine'!$C$2:$C$1199,0)),"",INDEX('Compliance Database'!$E$2:$E$1199,MATCH(1066,'Transfer Engine'!$C$2:$C$1199,0)))</f>
        <v/>
      </c>
      <c r="F1075" s="6" t="str">
        <f>IF(ISNA(MATCH(1066,'Transfer Engine'!$C$2:$C$1199,0)),"",INDEX('Compliance Database'!$F$2:$F$1199,MATCH(1066,'Transfer Engine'!$C$2:$C$1199,0)))</f>
        <v/>
      </c>
      <c r="G1075" s="6" t="str">
        <f>IF(ISNA(MATCH(1066,'Transfer Engine'!$C$2:$C$1199,0)),"",INDEX('Compliance Database'!$G$2:$G$1199,MATCH(1066,'Transfer Engine'!$C$2:$C$1199,0)))</f>
        <v/>
      </c>
      <c r="H1075" s="7" t="str">
        <f>IF(ISNA(MATCH(1066,'Transfer Engine'!$C$2:$C$1199,0)),"",INDEX('Compliance Database'!$H$2:$H$1199,MATCH(1066,'Transfer Engine'!$C$2:$C$1199,0)))</f>
        <v/>
      </c>
      <c r="I1075" s="7" t="str">
        <f>IF(ISNA(MATCH(1066,'Transfer Engine'!$C$2:$C$1199,0)),"",INDEX('Compliance Database'!$I$2:$I$1199,MATCH(1066,'Transfer Engine'!$C$2:$C$1199,0)))</f>
        <v/>
      </c>
      <c r="J1075" s="6" t="str">
        <f>IF(ISNA(MATCH(1066,'Transfer Engine'!$C$2:$C$1199,0)),"",INDEX('Compliance Database'!$J$2:$J$1199,MATCH(1066,'Transfer Engine'!$C$2:$C$1199,0)))</f>
        <v/>
      </c>
      <c r="K1075" s="7" t="str">
        <f>IF(ISNA(MATCH(1066,'Transfer Engine'!$C$2:$C$1199,0)),"",INDEX('Compliance Database'!$K$2:$K$1199,MATCH(1066,'Transfer Engine'!$C$2:$C$1199,0)))</f>
        <v/>
      </c>
      <c r="L1075" s="7" t="str">
        <f>IF(ISNA(MATCH(1066,'Transfer Engine'!$C$2:$C$1199,0)),"",INDEX('Compliance Database'!$L$2:$L$1199,MATCH(1066,'Transfer Engine'!$C$2:$C$1199,0)))</f>
        <v/>
      </c>
      <c r="M1075" s="7" t="str">
        <f>IF(ISNA(MATCH(1066,'Transfer Engine'!$C$2:$C$1199,0)),"",INDEX('Compliance Database'!$M$2:$M$1199,MATCH(1066,'Transfer Engine'!$C$2:$C$1199,0)))</f>
        <v/>
      </c>
      <c r="N1075" s="7" t="str">
        <f>IF(ISNA(MATCH(1066,'Transfer Engine'!$C$2:$C$1199,0)),"",INDEX('Compliance Database'!$N$2:$N$1199,MATCH(1066,'Transfer Engine'!$C$2:$C$1199,0)))</f>
        <v/>
      </c>
      <c r="O1075" s="7" t="str">
        <f>IF(ISNA(MATCH(1066,'Transfer Engine'!$C$2:$C$1199,0)),"",INDEX('Compliance Database'!$O$2:$O$1199,MATCH(1066,'Transfer Engine'!$C$2:$C$1199,0)))</f>
        <v/>
      </c>
      <c r="P1075" s="6" t="str">
        <f>IF(ISNA(MATCH(1066,'Transfer Engine'!$C$2:$C$1199,0)),"",HYPERLINK("#Acts!A"&amp;INDEX('Compliance Database'!$P$2:$P$1199,MATCH(1066,'Transfer Engine'!$C$2:$C$1199,0)),"Go to Act"))</f>
        <v/>
      </c>
    </row>
    <row r="1076" spans="1:16" ht="172.95" customHeight="1" x14ac:dyDescent="0.3">
      <c r="A1076" s="6" t="str">
        <f>IF(ISNA(MATCH(1067,'Transfer Engine'!$C$2:$C$1199,0)),"",INDEX('Compliance Database'!$A$2:$A$1199,MATCH(1067,'Transfer Engine'!$C$2:$C$1199,0)))</f>
        <v/>
      </c>
      <c r="B1076" s="6" t="str">
        <f>IF(ISNA(MATCH(1067,'Transfer Engine'!$C$2:$C$1199,0)),"",INDEX('Compliance Database'!$B$2:$B$1199,MATCH(1067,'Transfer Engine'!$C$2:$C$1199,0)))</f>
        <v/>
      </c>
      <c r="C1076" s="6" t="str">
        <f>IF(ISNA(MATCH(1067,'Transfer Engine'!$C$2:$C$1199,0)),"",INDEX('Compliance Database'!$C$2:$C$1199,MATCH(1067,'Transfer Engine'!$C$2:$C$1199,0)))</f>
        <v/>
      </c>
      <c r="D1076" s="7" t="str">
        <f>IF(ISNA(MATCH(1067,'Transfer Engine'!$C$2:$C$1199,0)),"",INDEX('Compliance Database'!$D$2:$D$1199,MATCH(1067,'Transfer Engine'!$C$2:$C$1199,0)))</f>
        <v/>
      </c>
      <c r="E1076" s="6" t="str">
        <f>IF(ISNA(MATCH(1067,'Transfer Engine'!$C$2:$C$1199,0)),"",INDEX('Compliance Database'!$E$2:$E$1199,MATCH(1067,'Transfer Engine'!$C$2:$C$1199,0)))</f>
        <v/>
      </c>
      <c r="F1076" s="6" t="str">
        <f>IF(ISNA(MATCH(1067,'Transfer Engine'!$C$2:$C$1199,0)),"",INDEX('Compliance Database'!$F$2:$F$1199,MATCH(1067,'Transfer Engine'!$C$2:$C$1199,0)))</f>
        <v/>
      </c>
      <c r="G1076" s="6" t="str">
        <f>IF(ISNA(MATCH(1067,'Transfer Engine'!$C$2:$C$1199,0)),"",INDEX('Compliance Database'!$G$2:$G$1199,MATCH(1067,'Transfer Engine'!$C$2:$C$1199,0)))</f>
        <v/>
      </c>
      <c r="H1076" s="7" t="str">
        <f>IF(ISNA(MATCH(1067,'Transfer Engine'!$C$2:$C$1199,0)),"",INDEX('Compliance Database'!$H$2:$H$1199,MATCH(1067,'Transfer Engine'!$C$2:$C$1199,0)))</f>
        <v/>
      </c>
      <c r="I1076" s="7" t="str">
        <f>IF(ISNA(MATCH(1067,'Transfer Engine'!$C$2:$C$1199,0)),"",INDEX('Compliance Database'!$I$2:$I$1199,MATCH(1067,'Transfer Engine'!$C$2:$C$1199,0)))</f>
        <v/>
      </c>
      <c r="J1076" s="6" t="str">
        <f>IF(ISNA(MATCH(1067,'Transfer Engine'!$C$2:$C$1199,0)),"",INDEX('Compliance Database'!$J$2:$J$1199,MATCH(1067,'Transfer Engine'!$C$2:$C$1199,0)))</f>
        <v/>
      </c>
      <c r="K1076" s="7" t="str">
        <f>IF(ISNA(MATCH(1067,'Transfer Engine'!$C$2:$C$1199,0)),"",INDEX('Compliance Database'!$K$2:$K$1199,MATCH(1067,'Transfer Engine'!$C$2:$C$1199,0)))</f>
        <v/>
      </c>
      <c r="L1076" s="7" t="str">
        <f>IF(ISNA(MATCH(1067,'Transfer Engine'!$C$2:$C$1199,0)),"",INDEX('Compliance Database'!$L$2:$L$1199,MATCH(1067,'Transfer Engine'!$C$2:$C$1199,0)))</f>
        <v/>
      </c>
      <c r="M1076" s="7" t="str">
        <f>IF(ISNA(MATCH(1067,'Transfer Engine'!$C$2:$C$1199,0)),"",INDEX('Compliance Database'!$M$2:$M$1199,MATCH(1067,'Transfer Engine'!$C$2:$C$1199,0)))</f>
        <v/>
      </c>
      <c r="N1076" s="7" t="str">
        <f>IF(ISNA(MATCH(1067,'Transfer Engine'!$C$2:$C$1199,0)),"",INDEX('Compliance Database'!$N$2:$N$1199,MATCH(1067,'Transfer Engine'!$C$2:$C$1199,0)))</f>
        <v/>
      </c>
      <c r="O1076" s="7" t="str">
        <f>IF(ISNA(MATCH(1067,'Transfer Engine'!$C$2:$C$1199,0)),"",INDEX('Compliance Database'!$O$2:$O$1199,MATCH(1067,'Transfer Engine'!$C$2:$C$1199,0)))</f>
        <v/>
      </c>
      <c r="P1076" s="6" t="str">
        <f>IF(ISNA(MATCH(1067,'Transfer Engine'!$C$2:$C$1199,0)),"",HYPERLINK("#Acts!A"&amp;INDEX('Compliance Database'!$P$2:$P$1199,MATCH(1067,'Transfer Engine'!$C$2:$C$1199,0)),"Go to Act"))</f>
        <v/>
      </c>
    </row>
    <row r="1077" spans="1:16" ht="172.95" customHeight="1" x14ac:dyDescent="0.3">
      <c r="A1077" s="6" t="str">
        <f>IF(ISNA(MATCH(1068,'Transfer Engine'!$C$2:$C$1199,0)),"",INDEX('Compliance Database'!$A$2:$A$1199,MATCH(1068,'Transfer Engine'!$C$2:$C$1199,0)))</f>
        <v/>
      </c>
      <c r="B1077" s="6" t="str">
        <f>IF(ISNA(MATCH(1068,'Transfer Engine'!$C$2:$C$1199,0)),"",INDEX('Compliance Database'!$B$2:$B$1199,MATCH(1068,'Transfer Engine'!$C$2:$C$1199,0)))</f>
        <v/>
      </c>
      <c r="C1077" s="6" t="str">
        <f>IF(ISNA(MATCH(1068,'Transfer Engine'!$C$2:$C$1199,0)),"",INDEX('Compliance Database'!$C$2:$C$1199,MATCH(1068,'Transfer Engine'!$C$2:$C$1199,0)))</f>
        <v/>
      </c>
      <c r="D1077" s="7" t="str">
        <f>IF(ISNA(MATCH(1068,'Transfer Engine'!$C$2:$C$1199,0)),"",INDEX('Compliance Database'!$D$2:$D$1199,MATCH(1068,'Transfer Engine'!$C$2:$C$1199,0)))</f>
        <v/>
      </c>
      <c r="E1077" s="6" t="str">
        <f>IF(ISNA(MATCH(1068,'Transfer Engine'!$C$2:$C$1199,0)),"",INDEX('Compliance Database'!$E$2:$E$1199,MATCH(1068,'Transfer Engine'!$C$2:$C$1199,0)))</f>
        <v/>
      </c>
      <c r="F1077" s="6" t="str">
        <f>IF(ISNA(MATCH(1068,'Transfer Engine'!$C$2:$C$1199,0)),"",INDEX('Compliance Database'!$F$2:$F$1199,MATCH(1068,'Transfer Engine'!$C$2:$C$1199,0)))</f>
        <v/>
      </c>
      <c r="G1077" s="6" t="str">
        <f>IF(ISNA(MATCH(1068,'Transfer Engine'!$C$2:$C$1199,0)),"",INDEX('Compliance Database'!$G$2:$G$1199,MATCH(1068,'Transfer Engine'!$C$2:$C$1199,0)))</f>
        <v/>
      </c>
      <c r="H1077" s="7" t="str">
        <f>IF(ISNA(MATCH(1068,'Transfer Engine'!$C$2:$C$1199,0)),"",INDEX('Compliance Database'!$H$2:$H$1199,MATCH(1068,'Transfer Engine'!$C$2:$C$1199,0)))</f>
        <v/>
      </c>
      <c r="I1077" s="7" t="str">
        <f>IF(ISNA(MATCH(1068,'Transfer Engine'!$C$2:$C$1199,0)),"",INDEX('Compliance Database'!$I$2:$I$1199,MATCH(1068,'Transfer Engine'!$C$2:$C$1199,0)))</f>
        <v/>
      </c>
      <c r="J1077" s="6" t="str">
        <f>IF(ISNA(MATCH(1068,'Transfer Engine'!$C$2:$C$1199,0)),"",INDEX('Compliance Database'!$J$2:$J$1199,MATCH(1068,'Transfer Engine'!$C$2:$C$1199,0)))</f>
        <v/>
      </c>
      <c r="K1077" s="7" t="str">
        <f>IF(ISNA(MATCH(1068,'Transfer Engine'!$C$2:$C$1199,0)),"",INDEX('Compliance Database'!$K$2:$K$1199,MATCH(1068,'Transfer Engine'!$C$2:$C$1199,0)))</f>
        <v/>
      </c>
      <c r="L1077" s="7" t="str">
        <f>IF(ISNA(MATCH(1068,'Transfer Engine'!$C$2:$C$1199,0)),"",INDEX('Compliance Database'!$L$2:$L$1199,MATCH(1068,'Transfer Engine'!$C$2:$C$1199,0)))</f>
        <v/>
      </c>
      <c r="M1077" s="7" t="str">
        <f>IF(ISNA(MATCH(1068,'Transfer Engine'!$C$2:$C$1199,0)),"",INDEX('Compliance Database'!$M$2:$M$1199,MATCH(1068,'Transfer Engine'!$C$2:$C$1199,0)))</f>
        <v/>
      </c>
      <c r="N1077" s="7" t="str">
        <f>IF(ISNA(MATCH(1068,'Transfer Engine'!$C$2:$C$1199,0)),"",INDEX('Compliance Database'!$N$2:$N$1199,MATCH(1068,'Transfer Engine'!$C$2:$C$1199,0)))</f>
        <v/>
      </c>
      <c r="O1077" s="7" t="str">
        <f>IF(ISNA(MATCH(1068,'Transfer Engine'!$C$2:$C$1199,0)),"",INDEX('Compliance Database'!$O$2:$O$1199,MATCH(1068,'Transfer Engine'!$C$2:$C$1199,0)))</f>
        <v/>
      </c>
      <c r="P1077" s="6" t="str">
        <f>IF(ISNA(MATCH(1068,'Transfer Engine'!$C$2:$C$1199,0)),"",HYPERLINK("#Acts!A"&amp;INDEX('Compliance Database'!$P$2:$P$1199,MATCH(1068,'Transfer Engine'!$C$2:$C$1199,0)),"Go to Act"))</f>
        <v/>
      </c>
    </row>
    <row r="1078" spans="1:16" ht="172.95" customHeight="1" x14ac:dyDescent="0.3">
      <c r="A1078" s="6" t="str">
        <f>IF(ISNA(MATCH(1069,'Transfer Engine'!$C$2:$C$1199,0)),"",INDEX('Compliance Database'!$A$2:$A$1199,MATCH(1069,'Transfer Engine'!$C$2:$C$1199,0)))</f>
        <v/>
      </c>
      <c r="B1078" s="6" t="str">
        <f>IF(ISNA(MATCH(1069,'Transfer Engine'!$C$2:$C$1199,0)),"",INDEX('Compliance Database'!$B$2:$B$1199,MATCH(1069,'Transfer Engine'!$C$2:$C$1199,0)))</f>
        <v/>
      </c>
      <c r="C1078" s="6" t="str">
        <f>IF(ISNA(MATCH(1069,'Transfer Engine'!$C$2:$C$1199,0)),"",INDEX('Compliance Database'!$C$2:$C$1199,MATCH(1069,'Transfer Engine'!$C$2:$C$1199,0)))</f>
        <v/>
      </c>
      <c r="D1078" s="7" t="str">
        <f>IF(ISNA(MATCH(1069,'Transfer Engine'!$C$2:$C$1199,0)),"",INDEX('Compliance Database'!$D$2:$D$1199,MATCH(1069,'Transfer Engine'!$C$2:$C$1199,0)))</f>
        <v/>
      </c>
      <c r="E1078" s="6" t="str">
        <f>IF(ISNA(MATCH(1069,'Transfer Engine'!$C$2:$C$1199,0)),"",INDEX('Compliance Database'!$E$2:$E$1199,MATCH(1069,'Transfer Engine'!$C$2:$C$1199,0)))</f>
        <v/>
      </c>
      <c r="F1078" s="6" t="str">
        <f>IF(ISNA(MATCH(1069,'Transfer Engine'!$C$2:$C$1199,0)),"",INDEX('Compliance Database'!$F$2:$F$1199,MATCH(1069,'Transfer Engine'!$C$2:$C$1199,0)))</f>
        <v/>
      </c>
      <c r="G1078" s="6" t="str">
        <f>IF(ISNA(MATCH(1069,'Transfer Engine'!$C$2:$C$1199,0)),"",INDEX('Compliance Database'!$G$2:$G$1199,MATCH(1069,'Transfer Engine'!$C$2:$C$1199,0)))</f>
        <v/>
      </c>
      <c r="H1078" s="7" t="str">
        <f>IF(ISNA(MATCH(1069,'Transfer Engine'!$C$2:$C$1199,0)),"",INDEX('Compliance Database'!$H$2:$H$1199,MATCH(1069,'Transfer Engine'!$C$2:$C$1199,0)))</f>
        <v/>
      </c>
      <c r="I1078" s="7" t="str">
        <f>IF(ISNA(MATCH(1069,'Transfer Engine'!$C$2:$C$1199,0)),"",INDEX('Compliance Database'!$I$2:$I$1199,MATCH(1069,'Transfer Engine'!$C$2:$C$1199,0)))</f>
        <v/>
      </c>
      <c r="J1078" s="6" t="str">
        <f>IF(ISNA(MATCH(1069,'Transfer Engine'!$C$2:$C$1199,0)),"",INDEX('Compliance Database'!$J$2:$J$1199,MATCH(1069,'Transfer Engine'!$C$2:$C$1199,0)))</f>
        <v/>
      </c>
      <c r="K1078" s="7" t="str">
        <f>IF(ISNA(MATCH(1069,'Transfer Engine'!$C$2:$C$1199,0)),"",INDEX('Compliance Database'!$K$2:$K$1199,MATCH(1069,'Transfer Engine'!$C$2:$C$1199,0)))</f>
        <v/>
      </c>
      <c r="L1078" s="7" t="str">
        <f>IF(ISNA(MATCH(1069,'Transfer Engine'!$C$2:$C$1199,0)),"",INDEX('Compliance Database'!$L$2:$L$1199,MATCH(1069,'Transfer Engine'!$C$2:$C$1199,0)))</f>
        <v/>
      </c>
      <c r="M1078" s="7" t="str">
        <f>IF(ISNA(MATCH(1069,'Transfer Engine'!$C$2:$C$1199,0)),"",INDEX('Compliance Database'!$M$2:$M$1199,MATCH(1069,'Transfer Engine'!$C$2:$C$1199,0)))</f>
        <v/>
      </c>
      <c r="N1078" s="7" t="str">
        <f>IF(ISNA(MATCH(1069,'Transfer Engine'!$C$2:$C$1199,0)),"",INDEX('Compliance Database'!$N$2:$N$1199,MATCH(1069,'Transfer Engine'!$C$2:$C$1199,0)))</f>
        <v/>
      </c>
      <c r="O1078" s="7" t="str">
        <f>IF(ISNA(MATCH(1069,'Transfer Engine'!$C$2:$C$1199,0)),"",INDEX('Compliance Database'!$O$2:$O$1199,MATCH(1069,'Transfer Engine'!$C$2:$C$1199,0)))</f>
        <v/>
      </c>
      <c r="P1078" s="6" t="str">
        <f>IF(ISNA(MATCH(1069,'Transfer Engine'!$C$2:$C$1199,0)),"",HYPERLINK("#Acts!A"&amp;INDEX('Compliance Database'!$P$2:$P$1199,MATCH(1069,'Transfer Engine'!$C$2:$C$1199,0)),"Go to Act"))</f>
        <v/>
      </c>
    </row>
    <row r="1079" spans="1:16" ht="172.95" customHeight="1" x14ac:dyDescent="0.3">
      <c r="A1079" s="6" t="str">
        <f>IF(ISNA(MATCH(1070,'Transfer Engine'!$C$2:$C$1199,0)),"",INDEX('Compliance Database'!$A$2:$A$1199,MATCH(1070,'Transfer Engine'!$C$2:$C$1199,0)))</f>
        <v/>
      </c>
      <c r="B1079" s="6" t="str">
        <f>IF(ISNA(MATCH(1070,'Transfer Engine'!$C$2:$C$1199,0)),"",INDEX('Compliance Database'!$B$2:$B$1199,MATCH(1070,'Transfer Engine'!$C$2:$C$1199,0)))</f>
        <v/>
      </c>
      <c r="C1079" s="6" t="str">
        <f>IF(ISNA(MATCH(1070,'Transfer Engine'!$C$2:$C$1199,0)),"",INDEX('Compliance Database'!$C$2:$C$1199,MATCH(1070,'Transfer Engine'!$C$2:$C$1199,0)))</f>
        <v/>
      </c>
      <c r="D1079" s="7" t="str">
        <f>IF(ISNA(MATCH(1070,'Transfer Engine'!$C$2:$C$1199,0)),"",INDEX('Compliance Database'!$D$2:$D$1199,MATCH(1070,'Transfer Engine'!$C$2:$C$1199,0)))</f>
        <v/>
      </c>
      <c r="E1079" s="6" t="str">
        <f>IF(ISNA(MATCH(1070,'Transfer Engine'!$C$2:$C$1199,0)),"",INDEX('Compliance Database'!$E$2:$E$1199,MATCH(1070,'Transfer Engine'!$C$2:$C$1199,0)))</f>
        <v/>
      </c>
      <c r="F1079" s="6" t="str">
        <f>IF(ISNA(MATCH(1070,'Transfer Engine'!$C$2:$C$1199,0)),"",INDEX('Compliance Database'!$F$2:$F$1199,MATCH(1070,'Transfer Engine'!$C$2:$C$1199,0)))</f>
        <v/>
      </c>
      <c r="G1079" s="6" t="str">
        <f>IF(ISNA(MATCH(1070,'Transfer Engine'!$C$2:$C$1199,0)),"",INDEX('Compliance Database'!$G$2:$G$1199,MATCH(1070,'Transfer Engine'!$C$2:$C$1199,0)))</f>
        <v/>
      </c>
      <c r="H1079" s="7" t="str">
        <f>IF(ISNA(MATCH(1070,'Transfer Engine'!$C$2:$C$1199,0)),"",INDEX('Compliance Database'!$H$2:$H$1199,MATCH(1070,'Transfer Engine'!$C$2:$C$1199,0)))</f>
        <v/>
      </c>
      <c r="I1079" s="7" t="str">
        <f>IF(ISNA(MATCH(1070,'Transfer Engine'!$C$2:$C$1199,0)),"",INDEX('Compliance Database'!$I$2:$I$1199,MATCH(1070,'Transfer Engine'!$C$2:$C$1199,0)))</f>
        <v/>
      </c>
      <c r="J1079" s="6" t="str">
        <f>IF(ISNA(MATCH(1070,'Transfer Engine'!$C$2:$C$1199,0)),"",INDEX('Compliance Database'!$J$2:$J$1199,MATCH(1070,'Transfer Engine'!$C$2:$C$1199,0)))</f>
        <v/>
      </c>
      <c r="K1079" s="7" t="str">
        <f>IF(ISNA(MATCH(1070,'Transfer Engine'!$C$2:$C$1199,0)),"",INDEX('Compliance Database'!$K$2:$K$1199,MATCH(1070,'Transfer Engine'!$C$2:$C$1199,0)))</f>
        <v/>
      </c>
      <c r="L1079" s="7" t="str">
        <f>IF(ISNA(MATCH(1070,'Transfer Engine'!$C$2:$C$1199,0)),"",INDEX('Compliance Database'!$L$2:$L$1199,MATCH(1070,'Transfer Engine'!$C$2:$C$1199,0)))</f>
        <v/>
      </c>
      <c r="M1079" s="7" t="str">
        <f>IF(ISNA(MATCH(1070,'Transfer Engine'!$C$2:$C$1199,0)),"",INDEX('Compliance Database'!$M$2:$M$1199,MATCH(1070,'Transfer Engine'!$C$2:$C$1199,0)))</f>
        <v/>
      </c>
      <c r="N1079" s="7" t="str">
        <f>IF(ISNA(MATCH(1070,'Transfer Engine'!$C$2:$C$1199,0)),"",INDEX('Compliance Database'!$N$2:$N$1199,MATCH(1070,'Transfer Engine'!$C$2:$C$1199,0)))</f>
        <v/>
      </c>
      <c r="O1079" s="7" t="str">
        <f>IF(ISNA(MATCH(1070,'Transfer Engine'!$C$2:$C$1199,0)),"",INDEX('Compliance Database'!$O$2:$O$1199,MATCH(1070,'Transfer Engine'!$C$2:$C$1199,0)))</f>
        <v/>
      </c>
      <c r="P1079" s="6" t="str">
        <f>IF(ISNA(MATCH(1070,'Transfer Engine'!$C$2:$C$1199,0)),"",HYPERLINK("#Acts!A"&amp;INDEX('Compliance Database'!$P$2:$P$1199,MATCH(1070,'Transfer Engine'!$C$2:$C$1199,0)),"Go to Act"))</f>
        <v/>
      </c>
    </row>
    <row r="1080" spans="1:16" ht="172.95" customHeight="1" x14ac:dyDescent="0.3">
      <c r="A1080" s="6" t="str">
        <f>IF(ISNA(MATCH(1071,'Transfer Engine'!$C$2:$C$1199,0)),"",INDEX('Compliance Database'!$A$2:$A$1199,MATCH(1071,'Transfer Engine'!$C$2:$C$1199,0)))</f>
        <v/>
      </c>
      <c r="B1080" s="6" t="str">
        <f>IF(ISNA(MATCH(1071,'Transfer Engine'!$C$2:$C$1199,0)),"",INDEX('Compliance Database'!$B$2:$B$1199,MATCH(1071,'Transfer Engine'!$C$2:$C$1199,0)))</f>
        <v/>
      </c>
      <c r="C1080" s="6" t="str">
        <f>IF(ISNA(MATCH(1071,'Transfer Engine'!$C$2:$C$1199,0)),"",INDEX('Compliance Database'!$C$2:$C$1199,MATCH(1071,'Transfer Engine'!$C$2:$C$1199,0)))</f>
        <v/>
      </c>
      <c r="D1080" s="7" t="str">
        <f>IF(ISNA(MATCH(1071,'Transfer Engine'!$C$2:$C$1199,0)),"",INDEX('Compliance Database'!$D$2:$D$1199,MATCH(1071,'Transfer Engine'!$C$2:$C$1199,0)))</f>
        <v/>
      </c>
      <c r="E1080" s="6" t="str">
        <f>IF(ISNA(MATCH(1071,'Transfer Engine'!$C$2:$C$1199,0)),"",INDEX('Compliance Database'!$E$2:$E$1199,MATCH(1071,'Transfer Engine'!$C$2:$C$1199,0)))</f>
        <v/>
      </c>
      <c r="F1080" s="6" t="str">
        <f>IF(ISNA(MATCH(1071,'Transfer Engine'!$C$2:$C$1199,0)),"",INDEX('Compliance Database'!$F$2:$F$1199,MATCH(1071,'Transfer Engine'!$C$2:$C$1199,0)))</f>
        <v/>
      </c>
      <c r="G1080" s="6" t="str">
        <f>IF(ISNA(MATCH(1071,'Transfer Engine'!$C$2:$C$1199,0)),"",INDEX('Compliance Database'!$G$2:$G$1199,MATCH(1071,'Transfer Engine'!$C$2:$C$1199,0)))</f>
        <v/>
      </c>
      <c r="H1080" s="7" t="str">
        <f>IF(ISNA(MATCH(1071,'Transfer Engine'!$C$2:$C$1199,0)),"",INDEX('Compliance Database'!$H$2:$H$1199,MATCH(1071,'Transfer Engine'!$C$2:$C$1199,0)))</f>
        <v/>
      </c>
      <c r="I1080" s="7" t="str">
        <f>IF(ISNA(MATCH(1071,'Transfer Engine'!$C$2:$C$1199,0)),"",INDEX('Compliance Database'!$I$2:$I$1199,MATCH(1071,'Transfer Engine'!$C$2:$C$1199,0)))</f>
        <v/>
      </c>
      <c r="J1080" s="6" t="str">
        <f>IF(ISNA(MATCH(1071,'Transfer Engine'!$C$2:$C$1199,0)),"",INDEX('Compliance Database'!$J$2:$J$1199,MATCH(1071,'Transfer Engine'!$C$2:$C$1199,0)))</f>
        <v/>
      </c>
      <c r="K1080" s="7" t="str">
        <f>IF(ISNA(MATCH(1071,'Transfer Engine'!$C$2:$C$1199,0)),"",INDEX('Compliance Database'!$K$2:$K$1199,MATCH(1071,'Transfer Engine'!$C$2:$C$1199,0)))</f>
        <v/>
      </c>
      <c r="L1080" s="7" t="str">
        <f>IF(ISNA(MATCH(1071,'Transfer Engine'!$C$2:$C$1199,0)),"",INDEX('Compliance Database'!$L$2:$L$1199,MATCH(1071,'Transfer Engine'!$C$2:$C$1199,0)))</f>
        <v/>
      </c>
      <c r="M1080" s="7" t="str">
        <f>IF(ISNA(MATCH(1071,'Transfer Engine'!$C$2:$C$1199,0)),"",INDEX('Compliance Database'!$M$2:$M$1199,MATCH(1071,'Transfer Engine'!$C$2:$C$1199,0)))</f>
        <v/>
      </c>
      <c r="N1080" s="7" t="str">
        <f>IF(ISNA(MATCH(1071,'Transfer Engine'!$C$2:$C$1199,0)),"",INDEX('Compliance Database'!$N$2:$N$1199,MATCH(1071,'Transfer Engine'!$C$2:$C$1199,0)))</f>
        <v/>
      </c>
      <c r="O1080" s="7" t="str">
        <f>IF(ISNA(MATCH(1071,'Transfer Engine'!$C$2:$C$1199,0)),"",INDEX('Compliance Database'!$O$2:$O$1199,MATCH(1071,'Transfer Engine'!$C$2:$C$1199,0)))</f>
        <v/>
      </c>
      <c r="P1080" s="6" t="str">
        <f>IF(ISNA(MATCH(1071,'Transfer Engine'!$C$2:$C$1199,0)),"",HYPERLINK("#Acts!A"&amp;INDEX('Compliance Database'!$P$2:$P$1199,MATCH(1071,'Transfer Engine'!$C$2:$C$1199,0)),"Go to Act"))</f>
        <v/>
      </c>
    </row>
    <row r="1081" spans="1:16" ht="172.95" customHeight="1" x14ac:dyDescent="0.3">
      <c r="A1081" s="6" t="str">
        <f>IF(ISNA(MATCH(1072,'Transfer Engine'!$C$2:$C$1199,0)),"",INDEX('Compliance Database'!$A$2:$A$1199,MATCH(1072,'Transfer Engine'!$C$2:$C$1199,0)))</f>
        <v/>
      </c>
      <c r="B1081" s="6" t="str">
        <f>IF(ISNA(MATCH(1072,'Transfer Engine'!$C$2:$C$1199,0)),"",INDEX('Compliance Database'!$B$2:$B$1199,MATCH(1072,'Transfer Engine'!$C$2:$C$1199,0)))</f>
        <v/>
      </c>
      <c r="C1081" s="6" t="str">
        <f>IF(ISNA(MATCH(1072,'Transfer Engine'!$C$2:$C$1199,0)),"",INDEX('Compliance Database'!$C$2:$C$1199,MATCH(1072,'Transfer Engine'!$C$2:$C$1199,0)))</f>
        <v/>
      </c>
      <c r="D1081" s="7" t="str">
        <f>IF(ISNA(MATCH(1072,'Transfer Engine'!$C$2:$C$1199,0)),"",INDEX('Compliance Database'!$D$2:$D$1199,MATCH(1072,'Transfer Engine'!$C$2:$C$1199,0)))</f>
        <v/>
      </c>
      <c r="E1081" s="6" t="str">
        <f>IF(ISNA(MATCH(1072,'Transfer Engine'!$C$2:$C$1199,0)),"",INDEX('Compliance Database'!$E$2:$E$1199,MATCH(1072,'Transfer Engine'!$C$2:$C$1199,0)))</f>
        <v/>
      </c>
      <c r="F1081" s="6" t="str">
        <f>IF(ISNA(MATCH(1072,'Transfer Engine'!$C$2:$C$1199,0)),"",INDEX('Compliance Database'!$F$2:$F$1199,MATCH(1072,'Transfer Engine'!$C$2:$C$1199,0)))</f>
        <v/>
      </c>
      <c r="G1081" s="6" t="str">
        <f>IF(ISNA(MATCH(1072,'Transfer Engine'!$C$2:$C$1199,0)),"",INDEX('Compliance Database'!$G$2:$G$1199,MATCH(1072,'Transfer Engine'!$C$2:$C$1199,0)))</f>
        <v/>
      </c>
      <c r="H1081" s="7" t="str">
        <f>IF(ISNA(MATCH(1072,'Transfer Engine'!$C$2:$C$1199,0)),"",INDEX('Compliance Database'!$H$2:$H$1199,MATCH(1072,'Transfer Engine'!$C$2:$C$1199,0)))</f>
        <v/>
      </c>
      <c r="I1081" s="7" t="str">
        <f>IF(ISNA(MATCH(1072,'Transfer Engine'!$C$2:$C$1199,0)),"",INDEX('Compliance Database'!$I$2:$I$1199,MATCH(1072,'Transfer Engine'!$C$2:$C$1199,0)))</f>
        <v/>
      </c>
      <c r="J1081" s="6" t="str">
        <f>IF(ISNA(MATCH(1072,'Transfer Engine'!$C$2:$C$1199,0)),"",INDEX('Compliance Database'!$J$2:$J$1199,MATCH(1072,'Transfer Engine'!$C$2:$C$1199,0)))</f>
        <v/>
      </c>
      <c r="K1081" s="7" t="str">
        <f>IF(ISNA(MATCH(1072,'Transfer Engine'!$C$2:$C$1199,0)),"",INDEX('Compliance Database'!$K$2:$K$1199,MATCH(1072,'Transfer Engine'!$C$2:$C$1199,0)))</f>
        <v/>
      </c>
      <c r="L1081" s="7" t="str">
        <f>IF(ISNA(MATCH(1072,'Transfer Engine'!$C$2:$C$1199,0)),"",INDEX('Compliance Database'!$L$2:$L$1199,MATCH(1072,'Transfer Engine'!$C$2:$C$1199,0)))</f>
        <v/>
      </c>
      <c r="M1081" s="7" t="str">
        <f>IF(ISNA(MATCH(1072,'Transfer Engine'!$C$2:$C$1199,0)),"",INDEX('Compliance Database'!$M$2:$M$1199,MATCH(1072,'Transfer Engine'!$C$2:$C$1199,0)))</f>
        <v/>
      </c>
      <c r="N1081" s="7" t="str">
        <f>IF(ISNA(MATCH(1072,'Transfer Engine'!$C$2:$C$1199,0)),"",INDEX('Compliance Database'!$N$2:$N$1199,MATCH(1072,'Transfer Engine'!$C$2:$C$1199,0)))</f>
        <v/>
      </c>
      <c r="O1081" s="7" t="str">
        <f>IF(ISNA(MATCH(1072,'Transfer Engine'!$C$2:$C$1199,0)),"",INDEX('Compliance Database'!$O$2:$O$1199,MATCH(1072,'Transfer Engine'!$C$2:$C$1199,0)))</f>
        <v/>
      </c>
      <c r="P1081" s="6" t="str">
        <f>IF(ISNA(MATCH(1072,'Transfer Engine'!$C$2:$C$1199,0)),"",HYPERLINK("#Acts!A"&amp;INDEX('Compliance Database'!$P$2:$P$1199,MATCH(1072,'Transfer Engine'!$C$2:$C$1199,0)),"Go to Act"))</f>
        <v/>
      </c>
    </row>
    <row r="1082" spans="1:16" ht="172.95" customHeight="1" x14ac:dyDescent="0.3">
      <c r="A1082" s="6" t="str">
        <f>IF(ISNA(MATCH(1073,'Transfer Engine'!$C$2:$C$1199,0)),"",INDEX('Compliance Database'!$A$2:$A$1199,MATCH(1073,'Transfer Engine'!$C$2:$C$1199,0)))</f>
        <v/>
      </c>
      <c r="B1082" s="6" t="str">
        <f>IF(ISNA(MATCH(1073,'Transfer Engine'!$C$2:$C$1199,0)),"",INDEX('Compliance Database'!$B$2:$B$1199,MATCH(1073,'Transfer Engine'!$C$2:$C$1199,0)))</f>
        <v/>
      </c>
      <c r="C1082" s="6" t="str">
        <f>IF(ISNA(MATCH(1073,'Transfer Engine'!$C$2:$C$1199,0)),"",INDEX('Compliance Database'!$C$2:$C$1199,MATCH(1073,'Transfer Engine'!$C$2:$C$1199,0)))</f>
        <v/>
      </c>
      <c r="D1082" s="7" t="str">
        <f>IF(ISNA(MATCH(1073,'Transfer Engine'!$C$2:$C$1199,0)),"",INDEX('Compliance Database'!$D$2:$D$1199,MATCH(1073,'Transfer Engine'!$C$2:$C$1199,0)))</f>
        <v/>
      </c>
      <c r="E1082" s="6" t="str">
        <f>IF(ISNA(MATCH(1073,'Transfer Engine'!$C$2:$C$1199,0)),"",INDEX('Compliance Database'!$E$2:$E$1199,MATCH(1073,'Transfer Engine'!$C$2:$C$1199,0)))</f>
        <v/>
      </c>
      <c r="F1082" s="6" t="str">
        <f>IF(ISNA(MATCH(1073,'Transfer Engine'!$C$2:$C$1199,0)),"",INDEX('Compliance Database'!$F$2:$F$1199,MATCH(1073,'Transfer Engine'!$C$2:$C$1199,0)))</f>
        <v/>
      </c>
      <c r="G1082" s="6" t="str">
        <f>IF(ISNA(MATCH(1073,'Transfer Engine'!$C$2:$C$1199,0)),"",INDEX('Compliance Database'!$G$2:$G$1199,MATCH(1073,'Transfer Engine'!$C$2:$C$1199,0)))</f>
        <v/>
      </c>
      <c r="H1082" s="7" t="str">
        <f>IF(ISNA(MATCH(1073,'Transfer Engine'!$C$2:$C$1199,0)),"",INDEX('Compliance Database'!$H$2:$H$1199,MATCH(1073,'Transfer Engine'!$C$2:$C$1199,0)))</f>
        <v/>
      </c>
      <c r="I1082" s="7" t="str">
        <f>IF(ISNA(MATCH(1073,'Transfer Engine'!$C$2:$C$1199,0)),"",INDEX('Compliance Database'!$I$2:$I$1199,MATCH(1073,'Transfer Engine'!$C$2:$C$1199,0)))</f>
        <v/>
      </c>
      <c r="J1082" s="6" t="str">
        <f>IF(ISNA(MATCH(1073,'Transfer Engine'!$C$2:$C$1199,0)),"",INDEX('Compliance Database'!$J$2:$J$1199,MATCH(1073,'Transfer Engine'!$C$2:$C$1199,0)))</f>
        <v/>
      </c>
      <c r="K1082" s="7" t="str">
        <f>IF(ISNA(MATCH(1073,'Transfer Engine'!$C$2:$C$1199,0)),"",INDEX('Compliance Database'!$K$2:$K$1199,MATCH(1073,'Transfer Engine'!$C$2:$C$1199,0)))</f>
        <v/>
      </c>
      <c r="L1082" s="7" t="str">
        <f>IF(ISNA(MATCH(1073,'Transfer Engine'!$C$2:$C$1199,0)),"",INDEX('Compliance Database'!$L$2:$L$1199,MATCH(1073,'Transfer Engine'!$C$2:$C$1199,0)))</f>
        <v/>
      </c>
      <c r="M1082" s="7" t="str">
        <f>IF(ISNA(MATCH(1073,'Transfer Engine'!$C$2:$C$1199,0)),"",INDEX('Compliance Database'!$M$2:$M$1199,MATCH(1073,'Transfer Engine'!$C$2:$C$1199,0)))</f>
        <v/>
      </c>
      <c r="N1082" s="7" t="str">
        <f>IF(ISNA(MATCH(1073,'Transfer Engine'!$C$2:$C$1199,0)),"",INDEX('Compliance Database'!$N$2:$N$1199,MATCH(1073,'Transfer Engine'!$C$2:$C$1199,0)))</f>
        <v/>
      </c>
      <c r="O1082" s="7" t="str">
        <f>IF(ISNA(MATCH(1073,'Transfer Engine'!$C$2:$C$1199,0)),"",INDEX('Compliance Database'!$O$2:$O$1199,MATCH(1073,'Transfer Engine'!$C$2:$C$1199,0)))</f>
        <v/>
      </c>
      <c r="P1082" s="6" t="str">
        <f>IF(ISNA(MATCH(1073,'Transfer Engine'!$C$2:$C$1199,0)),"",HYPERLINK("#Acts!A"&amp;INDEX('Compliance Database'!$P$2:$P$1199,MATCH(1073,'Transfer Engine'!$C$2:$C$1199,0)),"Go to Act"))</f>
        <v/>
      </c>
    </row>
    <row r="1083" spans="1:16" ht="172.95" customHeight="1" x14ac:dyDescent="0.3">
      <c r="A1083" s="6" t="str">
        <f>IF(ISNA(MATCH(1074,'Transfer Engine'!$C$2:$C$1199,0)),"",INDEX('Compliance Database'!$A$2:$A$1199,MATCH(1074,'Transfer Engine'!$C$2:$C$1199,0)))</f>
        <v/>
      </c>
      <c r="B1083" s="6" t="str">
        <f>IF(ISNA(MATCH(1074,'Transfer Engine'!$C$2:$C$1199,0)),"",INDEX('Compliance Database'!$B$2:$B$1199,MATCH(1074,'Transfer Engine'!$C$2:$C$1199,0)))</f>
        <v/>
      </c>
      <c r="C1083" s="6" t="str">
        <f>IF(ISNA(MATCH(1074,'Transfer Engine'!$C$2:$C$1199,0)),"",INDEX('Compliance Database'!$C$2:$C$1199,MATCH(1074,'Transfer Engine'!$C$2:$C$1199,0)))</f>
        <v/>
      </c>
      <c r="D1083" s="7" t="str">
        <f>IF(ISNA(MATCH(1074,'Transfer Engine'!$C$2:$C$1199,0)),"",INDEX('Compliance Database'!$D$2:$D$1199,MATCH(1074,'Transfer Engine'!$C$2:$C$1199,0)))</f>
        <v/>
      </c>
      <c r="E1083" s="6" t="str">
        <f>IF(ISNA(MATCH(1074,'Transfer Engine'!$C$2:$C$1199,0)),"",INDEX('Compliance Database'!$E$2:$E$1199,MATCH(1074,'Transfer Engine'!$C$2:$C$1199,0)))</f>
        <v/>
      </c>
      <c r="F1083" s="6" t="str">
        <f>IF(ISNA(MATCH(1074,'Transfer Engine'!$C$2:$C$1199,0)),"",INDEX('Compliance Database'!$F$2:$F$1199,MATCH(1074,'Transfer Engine'!$C$2:$C$1199,0)))</f>
        <v/>
      </c>
      <c r="G1083" s="6" t="str">
        <f>IF(ISNA(MATCH(1074,'Transfer Engine'!$C$2:$C$1199,0)),"",INDEX('Compliance Database'!$G$2:$G$1199,MATCH(1074,'Transfer Engine'!$C$2:$C$1199,0)))</f>
        <v/>
      </c>
      <c r="H1083" s="7" t="str">
        <f>IF(ISNA(MATCH(1074,'Transfer Engine'!$C$2:$C$1199,0)),"",INDEX('Compliance Database'!$H$2:$H$1199,MATCH(1074,'Transfer Engine'!$C$2:$C$1199,0)))</f>
        <v/>
      </c>
      <c r="I1083" s="7" t="str">
        <f>IF(ISNA(MATCH(1074,'Transfer Engine'!$C$2:$C$1199,0)),"",INDEX('Compliance Database'!$I$2:$I$1199,MATCH(1074,'Transfer Engine'!$C$2:$C$1199,0)))</f>
        <v/>
      </c>
      <c r="J1083" s="6" t="str">
        <f>IF(ISNA(MATCH(1074,'Transfer Engine'!$C$2:$C$1199,0)),"",INDEX('Compliance Database'!$J$2:$J$1199,MATCH(1074,'Transfer Engine'!$C$2:$C$1199,0)))</f>
        <v/>
      </c>
      <c r="K1083" s="7" t="str">
        <f>IF(ISNA(MATCH(1074,'Transfer Engine'!$C$2:$C$1199,0)),"",INDEX('Compliance Database'!$K$2:$K$1199,MATCH(1074,'Transfer Engine'!$C$2:$C$1199,0)))</f>
        <v/>
      </c>
      <c r="L1083" s="7" t="str">
        <f>IF(ISNA(MATCH(1074,'Transfer Engine'!$C$2:$C$1199,0)),"",INDEX('Compliance Database'!$L$2:$L$1199,MATCH(1074,'Transfer Engine'!$C$2:$C$1199,0)))</f>
        <v/>
      </c>
      <c r="M1083" s="7" t="str">
        <f>IF(ISNA(MATCH(1074,'Transfer Engine'!$C$2:$C$1199,0)),"",INDEX('Compliance Database'!$M$2:$M$1199,MATCH(1074,'Transfer Engine'!$C$2:$C$1199,0)))</f>
        <v/>
      </c>
      <c r="N1083" s="7" t="str">
        <f>IF(ISNA(MATCH(1074,'Transfer Engine'!$C$2:$C$1199,0)),"",INDEX('Compliance Database'!$N$2:$N$1199,MATCH(1074,'Transfer Engine'!$C$2:$C$1199,0)))</f>
        <v/>
      </c>
      <c r="O1083" s="7" t="str">
        <f>IF(ISNA(MATCH(1074,'Transfer Engine'!$C$2:$C$1199,0)),"",INDEX('Compliance Database'!$O$2:$O$1199,MATCH(1074,'Transfer Engine'!$C$2:$C$1199,0)))</f>
        <v/>
      </c>
      <c r="P1083" s="6" t="str">
        <f>IF(ISNA(MATCH(1074,'Transfer Engine'!$C$2:$C$1199,0)),"",HYPERLINK("#Acts!A"&amp;INDEX('Compliance Database'!$P$2:$P$1199,MATCH(1074,'Transfer Engine'!$C$2:$C$1199,0)),"Go to Act"))</f>
        <v/>
      </c>
    </row>
    <row r="1084" spans="1:16" ht="172.95" customHeight="1" x14ac:dyDescent="0.3">
      <c r="A1084" s="6" t="str">
        <f>IF(ISNA(MATCH(1075,'Transfer Engine'!$C$2:$C$1199,0)),"",INDEX('Compliance Database'!$A$2:$A$1199,MATCH(1075,'Transfer Engine'!$C$2:$C$1199,0)))</f>
        <v/>
      </c>
      <c r="B1084" s="6" t="str">
        <f>IF(ISNA(MATCH(1075,'Transfer Engine'!$C$2:$C$1199,0)),"",INDEX('Compliance Database'!$B$2:$B$1199,MATCH(1075,'Transfer Engine'!$C$2:$C$1199,0)))</f>
        <v/>
      </c>
      <c r="C1084" s="6" t="str">
        <f>IF(ISNA(MATCH(1075,'Transfer Engine'!$C$2:$C$1199,0)),"",INDEX('Compliance Database'!$C$2:$C$1199,MATCH(1075,'Transfer Engine'!$C$2:$C$1199,0)))</f>
        <v/>
      </c>
      <c r="D1084" s="7" t="str">
        <f>IF(ISNA(MATCH(1075,'Transfer Engine'!$C$2:$C$1199,0)),"",INDEX('Compliance Database'!$D$2:$D$1199,MATCH(1075,'Transfer Engine'!$C$2:$C$1199,0)))</f>
        <v/>
      </c>
      <c r="E1084" s="6" t="str">
        <f>IF(ISNA(MATCH(1075,'Transfer Engine'!$C$2:$C$1199,0)),"",INDEX('Compliance Database'!$E$2:$E$1199,MATCH(1075,'Transfer Engine'!$C$2:$C$1199,0)))</f>
        <v/>
      </c>
      <c r="F1084" s="6" t="str">
        <f>IF(ISNA(MATCH(1075,'Transfer Engine'!$C$2:$C$1199,0)),"",INDEX('Compliance Database'!$F$2:$F$1199,MATCH(1075,'Transfer Engine'!$C$2:$C$1199,0)))</f>
        <v/>
      </c>
      <c r="G1084" s="6" t="str">
        <f>IF(ISNA(MATCH(1075,'Transfer Engine'!$C$2:$C$1199,0)),"",INDEX('Compliance Database'!$G$2:$G$1199,MATCH(1075,'Transfer Engine'!$C$2:$C$1199,0)))</f>
        <v/>
      </c>
      <c r="H1084" s="7" t="str">
        <f>IF(ISNA(MATCH(1075,'Transfer Engine'!$C$2:$C$1199,0)),"",INDEX('Compliance Database'!$H$2:$H$1199,MATCH(1075,'Transfer Engine'!$C$2:$C$1199,0)))</f>
        <v/>
      </c>
      <c r="I1084" s="7" t="str">
        <f>IF(ISNA(MATCH(1075,'Transfer Engine'!$C$2:$C$1199,0)),"",INDEX('Compliance Database'!$I$2:$I$1199,MATCH(1075,'Transfer Engine'!$C$2:$C$1199,0)))</f>
        <v/>
      </c>
      <c r="J1084" s="6" t="str">
        <f>IF(ISNA(MATCH(1075,'Transfer Engine'!$C$2:$C$1199,0)),"",INDEX('Compliance Database'!$J$2:$J$1199,MATCH(1075,'Transfer Engine'!$C$2:$C$1199,0)))</f>
        <v/>
      </c>
      <c r="K1084" s="7" t="str">
        <f>IF(ISNA(MATCH(1075,'Transfer Engine'!$C$2:$C$1199,0)),"",INDEX('Compliance Database'!$K$2:$K$1199,MATCH(1075,'Transfer Engine'!$C$2:$C$1199,0)))</f>
        <v/>
      </c>
      <c r="L1084" s="7" t="str">
        <f>IF(ISNA(MATCH(1075,'Transfer Engine'!$C$2:$C$1199,0)),"",INDEX('Compliance Database'!$L$2:$L$1199,MATCH(1075,'Transfer Engine'!$C$2:$C$1199,0)))</f>
        <v/>
      </c>
      <c r="M1084" s="7" t="str">
        <f>IF(ISNA(MATCH(1075,'Transfer Engine'!$C$2:$C$1199,0)),"",INDEX('Compliance Database'!$M$2:$M$1199,MATCH(1075,'Transfer Engine'!$C$2:$C$1199,0)))</f>
        <v/>
      </c>
      <c r="N1084" s="7" t="str">
        <f>IF(ISNA(MATCH(1075,'Transfer Engine'!$C$2:$C$1199,0)),"",INDEX('Compliance Database'!$N$2:$N$1199,MATCH(1075,'Transfer Engine'!$C$2:$C$1199,0)))</f>
        <v/>
      </c>
      <c r="O1084" s="7" t="str">
        <f>IF(ISNA(MATCH(1075,'Transfer Engine'!$C$2:$C$1199,0)),"",INDEX('Compliance Database'!$O$2:$O$1199,MATCH(1075,'Transfer Engine'!$C$2:$C$1199,0)))</f>
        <v/>
      </c>
      <c r="P1084" s="6" t="str">
        <f>IF(ISNA(MATCH(1075,'Transfer Engine'!$C$2:$C$1199,0)),"",HYPERLINK("#Acts!A"&amp;INDEX('Compliance Database'!$P$2:$P$1199,MATCH(1075,'Transfer Engine'!$C$2:$C$1199,0)),"Go to Act"))</f>
        <v/>
      </c>
    </row>
    <row r="1085" spans="1:16" ht="172.95" customHeight="1" x14ac:dyDescent="0.3">
      <c r="A1085" s="6" t="str">
        <f>IF(ISNA(MATCH(1076,'Transfer Engine'!$C$2:$C$1199,0)),"",INDEX('Compliance Database'!$A$2:$A$1199,MATCH(1076,'Transfer Engine'!$C$2:$C$1199,0)))</f>
        <v/>
      </c>
      <c r="B1085" s="6" t="str">
        <f>IF(ISNA(MATCH(1076,'Transfer Engine'!$C$2:$C$1199,0)),"",INDEX('Compliance Database'!$B$2:$B$1199,MATCH(1076,'Transfer Engine'!$C$2:$C$1199,0)))</f>
        <v/>
      </c>
      <c r="C1085" s="6" t="str">
        <f>IF(ISNA(MATCH(1076,'Transfer Engine'!$C$2:$C$1199,0)),"",INDEX('Compliance Database'!$C$2:$C$1199,MATCH(1076,'Transfer Engine'!$C$2:$C$1199,0)))</f>
        <v/>
      </c>
      <c r="D1085" s="7" t="str">
        <f>IF(ISNA(MATCH(1076,'Transfer Engine'!$C$2:$C$1199,0)),"",INDEX('Compliance Database'!$D$2:$D$1199,MATCH(1076,'Transfer Engine'!$C$2:$C$1199,0)))</f>
        <v/>
      </c>
      <c r="E1085" s="6" t="str">
        <f>IF(ISNA(MATCH(1076,'Transfer Engine'!$C$2:$C$1199,0)),"",INDEX('Compliance Database'!$E$2:$E$1199,MATCH(1076,'Transfer Engine'!$C$2:$C$1199,0)))</f>
        <v/>
      </c>
      <c r="F1085" s="6" t="str">
        <f>IF(ISNA(MATCH(1076,'Transfer Engine'!$C$2:$C$1199,0)),"",INDEX('Compliance Database'!$F$2:$F$1199,MATCH(1076,'Transfer Engine'!$C$2:$C$1199,0)))</f>
        <v/>
      </c>
      <c r="G1085" s="6" t="str">
        <f>IF(ISNA(MATCH(1076,'Transfer Engine'!$C$2:$C$1199,0)),"",INDEX('Compliance Database'!$G$2:$G$1199,MATCH(1076,'Transfer Engine'!$C$2:$C$1199,0)))</f>
        <v/>
      </c>
      <c r="H1085" s="7" t="str">
        <f>IF(ISNA(MATCH(1076,'Transfer Engine'!$C$2:$C$1199,0)),"",INDEX('Compliance Database'!$H$2:$H$1199,MATCH(1076,'Transfer Engine'!$C$2:$C$1199,0)))</f>
        <v/>
      </c>
      <c r="I1085" s="7" t="str">
        <f>IF(ISNA(MATCH(1076,'Transfer Engine'!$C$2:$C$1199,0)),"",INDEX('Compliance Database'!$I$2:$I$1199,MATCH(1076,'Transfer Engine'!$C$2:$C$1199,0)))</f>
        <v/>
      </c>
      <c r="J1085" s="6" t="str">
        <f>IF(ISNA(MATCH(1076,'Transfer Engine'!$C$2:$C$1199,0)),"",INDEX('Compliance Database'!$J$2:$J$1199,MATCH(1076,'Transfer Engine'!$C$2:$C$1199,0)))</f>
        <v/>
      </c>
      <c r="K1085" s="7" t="str">
        <f>IF(ISNA(MATCH(1076,'Transfer Engine'!$C$2:$C$1199,0)),"",INDEX('Compliance Database'!$K$2:$K$1199,MATCH(1076,'Transfer Engine'!$C$2:$C$1199,0)))</f>
        <v/>
      </c>
      <c r="L1085" s="7" t="str">
        <f>IF(ISNA(MATCH(1076,'Transfer Engine'!$C$2:$C$1199,0)),"",INDEX('Compliance Database'!$L$2:$L$1199,MATCH(1076,'Transfer Engine'!$C$2:$C$1199,0)))</f>
        <v/>
      </c>
      <c r="M1085" s="7" t="str">
        <f>IF(ISNA(MATCH(1076,'Transfer Engine'!$C$2:$C$1199,0)),"",INDEX('Compliance Database'!$M$2:$M$1199,MATCH(1076,'Transfer Engine'!$C$2:$C$1199,0)))</f>
        <v/>
      </c>
      <c r="N1085" s="7" t="str">
        <f>IF(ISNA(MATCH(1076,'Transfer Engine'!$C$2:$C$1199,0)),"",INDEX('Compliance Database'!$N$2:$N$1199,MATCH(1076,'Transfer Engine'!$C$2:$C$1199,0)))</f>
        <v/>
      </c>
      <c r="O1085" s="7" t="str">
        <f>IF(ISNA(MATCH(1076,'Transfer Engine'!$C$2:$C$1199,0)),"",INDEX('Compliance Database'!$O$2:$O$1199,MATCH(1076,'Transfer Engine'!$C$2:$C$1199,0)))</f>
        <v/>
      </c>
      <c r="P1085" s="6" t="str">
        <f>IF(ISNA(MATCH(1076,'Transfer Engine'!$C$2:$C$1199,0)),"",HYPERLINK("#Acts!A"&amp;INDEX('Compliance Database'!$P$2:$P$1199,MATCH(1076,'Transfer Engine'!$C$2:$C$1199,0)),"Go to Act"))</f>
        <v/>
      </c>
    </row>
    <row r="1086" spans="1:16" ht="172.95" customHeight="1" x14ac:dyDescent="0.3">
      <c r="A1086" s="6" t="str">
        <f>IF(ISNA(MATCH(1077,'Transfer Engine'!$C$2:$C$1199,0)),"",INDEX('Compliance Database'!$A$2:$A$1199,MATCH(1077,'Transfer Engine'!$C$2:$C$1199,0)))</f>
        <v/>
      </c>
      <c r="B1086" s="6" t="str">
        <f>IF(ISNA(MATCH(1077,'Transfer Engine'!$C$2:$C$1199,0)),"",INDEX('Compliance Database'!$B$2:$B$1199,MATCH(1077,'Transfer Engine'!$C$2:$C$1199,0)))</f>
        <v/>
      </c>
      <c r="C1086" s="6" t="str">
        <f>IF(ISNA(MATCH(1077,'Transfer Engine'!$C$2:$C$1199,0)),"",INDEX('Compliance Database'!$C$2:$C$1199,MATCH(1077,'Transfer Engine'!$C$2:$C$1199,0)))</f>
        <v/>
      </c>
      <c r="D1086" s="7" t="str">
        <f>IF(ISNA(MATCH(1077,'Transfer Engine'!$C$2:$C$1199,0)),"",INDEX('Compliance Database'!$D$2:$D$1199,MATCH(1077,'Transfer Engine'!$C$2:$C$1199,0)))</f>
        <v/>
      </c>
      <c r="E1086" s="6" t="str">
        <f>IF(ISNA(MATCH(1077,'Transfer Engine'!$C$2:$C$1199,0)),"",INDEX('Compliance Database'!$E$2:$E$1199,MATCH(1077,'Transfer Engine'!$C$2:$C$1199,0)))</f>
        <v/>
      </c>
      <c r="F1086" s="6" t="str">
        <f>IF(ISNA(MATCH(1077,'Transfer Engine'!$C$2:$C$1199,0)),"",INDEX('Compliance Database'!$F$2:$F$1199,MATCH(1077,'Transfer Engine'!$C$2:$C$1199,0)))</f>
        <v/>
      </c>
      <c r="G1086" s="6" t="str">
        <f>IF(ISNA(MATCH(1077,'Transfer Engine'!$C$2:$C$1199,0)),"",INDEX('Compliance Database'!$G$2:$G$1199,MATCH(1077,'Transfer Engine'!$C$2:$C$1199,0)))</f>
        <v/>
      </c>
      <c r="H1086" s="7" t="str">
        <f>IF(ISNA(MATCH(1077,'Transfer Engine'!$C$2:$C$1199,0)),"",INDEX('Compliance Database'!$H$2:$H$1199,MATCH(1077,'Transfer Engine'!$C$2:$C$1199,0)))</f>
        <v/>
      </c>
      <c r="I1086" s="7" t="str">
        <f>IF(ISNA(MATCH(1077,'Transfer Engine'!$C$2:$C$1199,0)),"",INDEX('Compliance Database'!$I$2:$I$1199,MATCH(1077,'Transfer Engine'!$C$2:$C$1199,0)))</f>
        <v/>
      </c>
      <c r="J1086" s="6" t="str">
        <f>IF(ISNA(MATCH(1077,'Transfer Engine'!$C$2:$C$1199,0)),"",INDEX('Compliance Database'!$J$2:$J$1199,MATCH(1077,'Transfer Engine'!$C$2:$C$1199,0)))</f>
        <v/>
      </c>
      <c r="K1086" s="7" t="str">
        <f>IF(ISNA(MATCH(1077,'Transfer Engine'!$C$2:$C$1199,0)),"",INDEX('Compliance Database'!$K$2:$K$1199,MATCH(1077,'Transfer Engine'!$C$2:$C$1199,0)))</f>
        <v/>
      </c>
      <c r="L1086" s="7" t="str">
        <f>IF(ISNA(MATCH(1077,'Transfer Engine'!$C$2:$C$1199,0)),"",INDEX('Compliance Database'!$L$2:$L$1199,MATCH(1077,'Transfer Engine'!$C$2:$C$1199,0)))</f>
        <v/>
      </c>
      <c r="M1086" s="7" t="str">
        <f>IF(ISNA(MATCH(1077,'Transfer Engine'!$C$2:$C$1199,0)),"",INDEX('Compliance Database'!$M$2:$M$1199,MATCH(1077,'Transfer Engine'!$C$2:$C$1199,0)))</f>
        <v/>
      </c>
      <c r="N1086" s="7" t="str">
        <f>IF(ISNA(MATCH(1077,'Transfer Engine'!$C$2:$C$1199,0)),"",INDEX('Compliance Database'!$N$2:$N$1199,MATCH(1077,'Transfer Engine'!$C$2:$C$1199,0)))</f>
        <v/>
      </c>
      <c r="O1086" s="7" t="str">
        <f>IF(ISNA(MATCH(1077,'Transfer Engine'!$C$2:$C$1199,0)),"",INDEX('Compliance Database'!$O$2:$O$1199,MATCH(1077,'Transfer Engine'!$C$2:$C$1199,0)))</f>
        <v/>
      </c>
      <c r="P1086" s="6" t="str">
        <f>IF(ISNA(MATCH(1077,'Transfer Engine'!$C$2:$C$1199,0)),"",HYPERLINK("#Acts!A"&amp;INDEX('Compliance Database'!$P$2:$P$1199,MATCH(1077,'Transfer Engine'!$C$2:$C$1199,0)),"Go to Act"))</f>
        <v/>
      </c>
    </row>
    <row r="1087" spans="1:16" ht="172.95" customHeight="1" x14ac:dyDescent="0.3">
      <c r="A1087" s="6" t="str">
        <f>IF(ISNA(MATCH(1078,'Transfer Engine'!$C$2:$C$1199,0)),"",INDEX('Compliance Database'!$A$2:$A$1199,MATCH(1078,'Transfer Engine'!$C$2:$C$1199,0)))</f>
        <v/>
      </c>
      <c r="B1087" s="6" t="str">
        <f>IF(ISNA(MATCH(1078,'Transfer Engine'!$C$2:$C$1199,0)),"",INDEX('Compliance Database'!$B$2:$B$1199,MATCH(1078,'Transfer Engine'!$C$2:$C$1199,0)))</f>
        <v/>
      </c>
      <c r="C1087" s="6" t="str">
        <f>IF(ISNA(MATCH(1078,'Transfer Engine'!$C$2:$C$1199,0)),"",INDEX('Compliance Database'!$C$2:$C$1199,MATCH(1078,'Transfer Engine'!$C$2:$C$1199,0)))</f>
        <v/>
      </c>
      <c r="D1087" s="7" t="str">
        <f>IF(ISNA(MATCH(1078,'Transfer Engine'!$C$2:$C$1199,0)),"",INDEX('Compliance Database'!$D$2:$D$1199,MATCH(1078,'Transfer Engine'!$C$2:$C$1199,0)))</f>
        <v/>
      </c>
      <c r="E1087" s="6" t="str">
        <f>IF(ISNA(MATCH(1078,'Transfer Engine'!$C$2:$C$1199,0)),"",INDEX('Compliance Database'!$E$2:$E$1199,MATCH(1078,'Transfer Engine'!$C$2:$C$1199,0)))</f>
        <v/>
      </c>
      <c r="F1087" s="6" t="str">
        <f>IF(ISNA(MATCH(1078,'Transfer Engine'!$C$2:$C$1199,0)),"",INDEX('Compliance Database'!$F$2:$F$1199,MATCH(1078,'Transfer Engine'!$C$2:$C$1199,0)))</f>
        <v/>
      </c>
      <c r="G1087" s="6" t="str">
        <f>IF(ISNA(MATCH(1078,'Transfer Engine'!$C$2:$C$1199,0)),"",INDEX('Compliance Database'!$G$2:$G$1199,MATCH(1078,'Transfer Engine'!$C$2:$C$1199,0)))</f>
        <v/>
      </c>
      <c r="H1087" s="7" t="str">
        <f>IF(ISNA(MATCH(1078,'Transfer Engine'!$C$2:$C$1199,0)),"",INDEX('Compliance Database'!$H$2:$H$1199,MATCH(1078,'Transfer Engine'!$C$2:$C$1199,0)))</f>
        <v/>
      </c>
      <c r="I1087" s="7" t="str">
        <f>IF(ISNA(MATCH(1078,'Transfer Engine'!$C$2:$C$1199,0)),"",INDEX('Compliance Database'!$I$2:$I$1199,MATCH(1078,'Transfer Engine'!$C$2:$C$1199,0)))</f>
        <v/>
      </c>
      <c r="J1087" s="6" t="str">
        <f>IF(ISNA(MATCH(1078,'Transfer Engine'!$C$2:$C$1199,0)),"",INDEX('Compliance Database'!$J$2:$J$1199,MATCH(1078,'Transfer Engine'!$C$2:$C$1199,0)))</f>
        <v/>
      </c>
      <c r="K1087" s="7" t="str">
        <f>IF(ISNA(MATCH(1078,'Transfer Engine'!$C$2:$C$1199,0)),"",INDEX('Compliance Database'!$K$2:$K$1199,MATCH(1078,'Transfer Engine'!$C$2:$C$1199,0)))</f>
        <v/>
      </c>
      <c r="L1087" s="7" t="str">
        <f>IF(ISNA(MATCH(1078,'Transfer Engine'!$C$2:$C$1199,0)),"",INDEX('Compliance Database'!$L$2:$L$1199,MATCH(1078,'Transfer Engine'!$C$2:$C$1199,0)))</f>
        <v/>
      </c>
      <c r="M1087" s="7" t="str">
        <f>IF(ISNA(MATCH(1078,'Transfer Engine'!$C$2:$C$1199,0)),"",INDEX('Compliance Database'!$M$2:$M$1199,MATCH(1078,'Transfer Engine'!$C$2:$C$1199,0)))</f>
        <v/>
      </c>
      <c r="N1087" s="7" t="str">
        <f>IF(ISNA(MATCH(1078,'Transfer Engine'!$C$2:$C$1199,0)),"",INDEX('Compliance Database'!$N$2:$N$1199,MATCH(1078,'Transfer Engine'!$C$2:$C$1199,0)))</f>
        <v/>
      </c>
      <c r="O1087" s="7" t="str">
        <f>IF(ISNA(MATCH(1078,'Transfer Engine'!$C$2:$C$1199,0)),"",INDEX('Compliance Database'!$O$2:$O$1199,MATCH(1078,'Transfer Engine'!$C$2:$C$1199,0)))</f>
        <v/>
      </c>
      <c r="P1087" s="6" t="str">
        <f>IF(ISNA(MATCH(1078,'Transfer Engine'!$C$2:$C$1199,0)),"",HYPERLINK("#Acts!A"&amp;INDEX('Compliance Database'!$P$2:$P$1199,MATCH(1078,'Transfer Engine'!$C$2:$C$1199,0)),"Go to Act"))</f>
        <v/>
      </c>
    </row>
    <row r="1088" spans="1:16" ht="172.95" customHeight="1" x14ac:dyDescent="0.3">
      <c r="A1088" s="6" t="str">
        <f>IF(ISNA(MATCH(1079,'Transfer Engine'!$C$2:$C$1199,0)),"",INDEX('Compliance Database'!$A$2:$A$1199,MATCH(1079,'Transfer Engine'!$C$2:$C$1199,0)))</f>
        <v/>
      </c>
      <c r="B1088" s="6" t="str">
        <f>IF(ISNA(MATCH(1079,'Transfer Engine'!$C$2:$C$1199,0)),"",INDEX('Compliance Database'!$B$2:$B$1199,MATCH(1079,'Transfer Engine'!$C$2:$C$1199,0)))</f>
        <v/>
      </c>
      <c r="C1088" s="6" t="str">
        <f>IF(ISNA(MATCH(1079,'Transfer Engine'!$C$2:$C$1199,0)),"",INDEX('Compliance Database'!$C$2:$C$1199,MATCH(1079,'Transfer Engine'!$C$2:$C$1199,0)))</f>
        <v/>
      </c>
      <c r="D1088" s="7" t="str">
        <f>IF(ISNA(MATCH(1079,'Transfer Engine'!$C$2:$C$1199,0)),"",INDEX('Compliance Database'!$D$2:$D$1199,MATCH(1079,'Transfer Engine'!$C$2:$C$1199,0)))</f>
        <v/>
      </c>
      <c r="E1088" s="6" t="str">
        <f>IF(ISNA(MATCH(1079,'Transfer Engine'!$C$2:$C$1199,0)),"",INDEX('Compliance Database'!$E$2:$E$1199,MATCH(1079,'Transfer Engine'!$C$2:$C$1199,0)))</f>
        <v/>
      </c>
      <c r="F1088" s="6" t="str">
        <f>IF(ISNA(MATCH(1079,'Transfer Engine'!$C$2:$C$1199,0)),"",INDEX('Compliance Database'!$F$2:$F$1199,MATCH(1079,'Transfer Engine'!$C$2:$C$1199,0)))</f>
        <v/>
      </c>
      <c r="G1088" s="6" t="str">
        <f>IF(ISNA(MATCH(1079,'Transfer Engine'!$C$2:$C$1199,0)),"",INDEX('Compliance Database'!$G$2:$G$1199,MATCH(1079,'Transfer Engine'!$C$2:$C$1199,0)))</f>
        <v/>
      </c>
      <c r="H1088" s="7" t="str">
        <f>IF(ISNA(MATCH(1079,'Transfer Engine'!$C$2:$C$1199,0)),"",INDEX('Compliance Database'!$H$2:$H$1199,MATCH(1079,'Transfer Engine'!$C$2:$C$1199,0)))</f>
        <v/>
      </c>
      <c r="I1088" s="7" t="str">
        <f>IF(ISNA(MATCH(1079,'Transfer Engine'!$C$2:$C$1199,0)),"",INDEX('Compliance Database'!$I$2:$I$1199,MATCH(1079,'Transfer Engine'!$C$2:$C$1199,0)))</f>
        <v/>
      </c>
      <c r="J1088" s="6" t="str">
        <f>IF(ISNA(MATCH(1079,'Transfer Engine'!$C$2:$C$1199,0)),"",INDEX('Compliance Database'!$J$2:$J$1199,MATCH(1079,'Transfer Engine'!$C$2:$C$1199,0)))</f>
        <v/>
      </c>
      <c r="K1088" s="7" t="str">
        <f>IF(ISNA(MATCH(1079,'Transfer Engine'!$C$2:$C$1199,0)),"",INDEX('Compliance Database'!$K$2:$K$1199,MATCH(1079,'Transfer Engine'!$C$2:$C$1199,0)))</f>
        <v/>
      </c>
      <c r="L1088" s="7" t="str">
        <f>IF(ISNA(MATCH(1079,'Transfer Engine'!$C$2:$C$1199,0)),"",INDEX('Compliance Database'!$L$2:$L$1199,MATCH(1079,'Transfer Engine'!$C$2:$C$1199,0)))</f>
        <v/>
      </c>
      <c r="M1088" s="7" t="str">
        <f>IF(ISNA(MATCH(1079,'Transfer Engine'!$C$2:$C$1199,0)),"",INDEX('Compliance Database'!$M$2:$M$1199,MATCH(1079,'Transfer Engine'!$C$2:$C$1199,0)))</f>
        <v/>
      </c>
      <c r="N1088" s="7" t="str">
        <f>IF(ISNA(MATCH(1079,'Transfer Engine'!$C$2:$C$1199,0)),"",INDEX('Compliance Database'!$N$2:$N$1199,MATCH(1079,'Transfer Engine'!$C$2:$C$1199,0)))</f>
        <v/>
      </c>
      <c r="O1088" s="7" t="str">
        <f>IF(ISNA(MATCH(1079,'Transfer Engine'!$C$2:$C$1199,0)),"",INDEX('Compliance Database'!$O$2:$O$1199,MATCH(1079,'Transfer Engine'!$C$2:$C$1199,0)))</f>
        <v/>
      </c>
      <c r="P1088" s="6" t="str">
        <f>IF(ISNA(MATCH(1079,'Transfer Engine'!$C$2:$C$1199,0)),"",HYPERLINK("#Acts!A"&amp;INDEX('Compliance Database'!$P$2:$P$1199,MATCH(1079,'Transfer Engine'!$C$2:$C$1199,0)),"Go to Act"))</f>
        <v/>
      </c>
    </row>
    <row r="1089" spans="1:16" ht="172.95" customHeight="1" x14ac:dyDescent="0.3">
      <c r="A1089" s="6" t="str">
        <f>IF(ISNA(MATCH(1080,'Transfer Engine'!$C$2:$C$1199,0)),"",INDEX('Compliance Database'!$A$2:$A$1199,MATCH(1080,'Transfer Engine'!$C$2:$C$1199,0)))</f>
        <v/>
      </c>
      <c r="B1089" s="6" t="str">
        <f>IF(ISNA(MATCH(1080,'Transfer Engine'!$C$2:$C$1199,0)),"",INDEX('Compliance Database'!$B$2:$B$1199,MATCH(1080,'Transfer Engine'!$C$2:$C$1199,0)))</f>
        <v/>
      </c>
      <c r="C1089" s="6" t="str">
        <f>IF(ISNA(MATCH(1080,'Transfer Engine'!$C$2:$C$1199,0)),"",INDEX('Compliance Database'!$C$2:$C$1199,MATCH(1080,'Transfer Engine'!$C$2:$C$1199,0)))</f>
        <v/>
      </c>
      <c r="D1089" s="7" t="str">
        <f>IF(ISNA(MATCH(1080,'Transfer Engine'!$C$2:$C$1199,0)),"",INDEX('Compliance Database'!$D$2:$D$1199,MATCH(1080,'Transfer Engine'!$C$2:$C$1199,0)))</f>
        <v/>
      </c>
      <c r="E1089" s="6" t="str">
        <f>IF(ISNA(MATCH(1080,'Transfer Engine'!$C$2:$C$1199,0)),"",INDEX('Compliance Database'!$E$2:$E$1199,MATCH(1080,'Transfer Engine'!$C$2:$C$1199,0)))</f>
        <v/>
      </c>
      <c r="F1089" s="6" t="str">
        <f>IF(ISNA(MATCH(1080,'Transfer Engine'!$C$2:$C$1199,0)),"",INDEX('Compliance Database'!$F$2:$F$1199,MATCH(1080,'Transfer Engine'!$C$2:$C$1199,0)))</f>
        <v/>
      </c>
      <c r="G1089" s="6" t="str">
        <f>IF(ISNA(MATCH(1080,'Transfer Engine'!$C$2:$C$1199,0)),"",INDEX('Compliance Database'!$G$2:$G$1199,MATCH(1080,'Transfer Engine'!$C$2:$C$1199,0)))</f>
        <v/>
      </c>
      <c r="H1089" s="7" t="str">
        <f>IF(ISNA(MATCH(1080,'Transfer Engine'!$C$2:$C$1199,0)),"",INDEX('Compliance Database'!$H$2:$H$1199,MATCH(1080,'Transfer Engine'!$C$2:$C$1199,0)))</f>
        <v/>
      </c>
      <c r="I1089" s="7" t="str">
        <f>IF(ISNA(MATCH(1080,'Transfer Engine'!$C$2:$C$1199,0)),"",INDEX('Compliance Database'!$I$2:$I$1199,MATCH(1080,'Transfer Engine'!$C$2:$C$1199,0)))</f>
        <v/>
      </c>
      <c r="J1089" s="6" t="str">
        <f>IF(ISNA(MATCH(1080,'Transfer Engine'!$C$2:$C$1199,0)),"",INDEX('Compliance Database'!$J$2:$J$1199,MATCH(1080,'Transfer Engine'!$C$2:$C$1199,0)))</f>
        <v/>
      </c>
      <c r="K1089" s="7" t="str">
        <f>IF(ISNA(MATCH(1080,'Transfer Engine'!$C$2:$C$1199,0)),"",INDEX('Compliance Database'!$K$2:$K$1199,MATCH(1080,'Transfer Engine'!$C$2:$C$1199,0)))</f>
        <v/>
      </c>
      <c r="L1089" s="7" t="str">
        <f>IF(ISNA(MATCH(1080,'Transfer Engine'!$C$2:$C$1199,0)),"",INDEX('Compliance Database'!$L$2:$L$1199,MATCH(1080,'Transfer Engine'!$C$2:$C$1199,0)))</f>
        <v/>
      </c>
      <c r="M1089" s="7" t="str">
        <f>IF(ISNA(MATCH(1080,'Transfer Engine'!$C$2:$C$1199,0)),"",INDEX('Compliance Database'!$M$2:$M$1199,MATCH(1080,'Transfer Engine'!$C$2:$C$1199,0)))</f>
        <v/>
      </c>
      <c r="N1089" s="7" t="str">
        <f>IF(ISNA(MATCH(1080,'Transfer Engine'!$C$2:$C$1199,0)),"",INDEX('Compliance Database'!$N$2:$N$1199,MATCH(1080,'Transfer Engine'!$C$2:$C$1199,0)))</f>
        <v/>
      </c>
      <c r="O1089" s="7" t="str">
        <f>IF(ISNA(MATCH(1080,'Transfer Engine'!$C$2:$C$1199,0)),"",INDEX('Compliance Database'!$O$2:$O$1199,MATCH(1080,'Transfer Engine'!$C$2:$C$1199,0)))</f>
        <v/>
      </c>
      <c r="P1089" s="6" t="str">
        <f>IF(ISNA(MATCH(1080,'Transfer Engine'!$C$2:$C$1199,0)),"",HYPERLINK("#Acts!A"&amp;INDEX('Compliance Database'!$P$2:$P$1199,MATCH(1080,'Transfer Engine'!$C$2:$C$1199,0)),"Go to Act"))</f>
        <v/>
      </c>
    </row>
    <row r="1090" spans="1:16" ht="172.95" customHeight="1" x14ac:dyDescent="0.3">
      <c r="A1090" s="6" t="str">
        <f>IF(ISNA(MATCH(1081,'Transfer Engine'!$C$2:$C$1199,0)),"",INDEX('Compliance Database'!$A$2:$A$1199,MATCH(1081,'Transfer Engine'!$C$2:$C$1199,0)))</f>
        <v/>
      </c>
      <c r="B1090" s="6" t="str">
        <f>IF(ISNA(MATCH(1081,'Transfer Engine'!$C$2:$C$1199,0)),"",INDEX('Compliance Database'!$B$2:$B$1199,MATCH(1081,'Transfer Engine'!$C$2:$C$1199,0)))</f>
        <v/>
      </c>
      <c r="C1090" s="6" t="str">
        <f>IF(ISNA(MATCH(1081,'Transfer Engine'!$C$2:$C$1199,0)),"",INDEX('Compliance Database'!$C$2:$C$1199,MATCH(1081,'Transfer Engine'!$C$2:$C$1199,0)))</f>
        <v/>
      </c>
      <c r="D1090" s="7" t="str">
        <f>IF(ISNA(MATCH(1081,'Transfer Engine'!$C$2:$C$1199,0)),"",INDEX('Compliance Database'!$D$2:$D$1199,MATCH(1081,'Transfer Engine'!$C$2:$C$1199,0)))</f>
        <v/>
      </c>
      <c r="E1090" s="6" t="str">
        <f>IF(ISNA(MATCH(1081,'Transfer Engine'!$C$2:$C$1199,0)),"",INDEX('Compliance Database'!$E$2:$E$1199,MATCH(1081,'Transfer Engine'!$C$2:$C$1199,0)))</f>
        <v/>
      </c>
      <c r="F1090" s="6" t="str">
        <f>IF(ISNA(MATCH(1081,'Transfer Engine'!$C$2:$C$1199,0)),"",INDEX('Compliance Database'!$F$2:$F$1199,MATCH(1081,'Transfer Engine'!$C$2:$C$1199,0)))</f>
        <v/>
      </c>
      <c r="G1090" s="6" t="str">
        <f>IF(ISNA(MATCH(1081,'Transfer Engine'!$C$2:$C$1199,0)),"",INDEX('Compliance Database'!$G$2:$G$1199,MATCH(1081,'Transfer Engine'!$C$2:$C$1199,0)))</f>
        <v/>
      </c>
      <c r="H1090" s="7" t="str">
        <f>IF(ISNA(MATCH(1081,'Transfer Engine'!$C$2:$C$1199,0)),"",INDEX('Compliance Database'!$H$2:$H$1199,MATCH(1081,'Transfer Engine'!$C$2:$C$1199,0)))</f>
        <v/>
      </c>
      <c r="I1090" s="7" t="str">
        <f>IF(ISNA(MATCH(1081,'Transfer Engine'!$C$2:$C$1199,0)),"",INDEX('Compliance Database'!$I$2:$I$1199,MATCH(1081,'Transfer Engine'!$C$2:$C$1199,0)))</f>
        <v/>
      </c>
      <c r="J1090" s="6" t="str">
        <f>IF(ISNA(MATCH(1081,'Transfer Engine'!$C$2:$C$1199,0)),"",INDEX('Compliance Database'!$J$2:$J$1199,MATCH(1081,'Transfer Engine'!$C$2:$C$1199,0)))</f>
        <v/>
      </c>
      <c r="K1090" s="7" t="str">
        <f>IF(ISNA(MATCH(1081,'Transfer Engine'!$C$2:$C$1199,0)),"",INDEX('Compliance Database'!$K$2:$K$1199,MATCH(1081,'Transfer Engine'!$C$2:$C$1199,0)))</f>
        <v/>
      </c>
      <c r="L1090" s="7" t="str">
        <f>IF(ISNA(MATCH(1081,'Transfer Engine'!$C$2:$C$1199,0)),"",INDEX('Compliance Database'!$L$2:$L$1199,MATCH(1081,'Transfer Engine'!$C$2:$C$1199,0)))</f>
        <v/>
      </c>
      <c r="M1090" s="7" t="str">
        <f>IF(ISNA(MATCH(1081,'Transfer Engine'!$C$2:$C$1199,0)),"",INDEX('Compliance Database'!$M$2:$M$1199,MATCH(1081,'Transfer Engine'!$C$2:$C$1199,0)))</f>
        <v/>
      </c>
      <c r="N1090" s="7" t="str">
        <f>IF(ISNA(MATCH(1081,'Transfer Engine'!$C$2:$C$1199,0)),"",INDEX('Compliance Database'!$N$2:$N$1199,MATCH(1081,'Transfer Engine'!$C$2:$C$1199,0)))</f>
        <v/>
      </c>
      <c r="O1090" s="7" t="str">
        <f>IF(ISNA(MATCH(1081,'Transfer Engine'!$C$2:$C$1199,0)),"",INDEX('Compliance Database'!$O$2:$O$1199,MATCH(1081,'Transfer Engine'!$C$2:$C$1199,0)))</f>
        <v/>
      </c>
      <c r="P1090" s="6" t="str">
        <f>IF(ISNA(MATCH(1081,'Transfer Engine'!$C$2:$C$1199,0)),"",HYPERLINK("#Acts!A"&amp;INDEX('Compliance Database'!$P$2:$P$1199,MATCH(1081,'Transfer Engine'!$C$2:$C$1199,0)),"Go to Act"))</f>
        <v/>
      </c>
    </row>
    <row r="1091" spans="1:16" ht="172.95" customHeight="1" x14ac:dyDescent="0.3">
      <c r="A1091" s="6" t="str">
        <f>IF(ISNA(MATCH(1082,'Transfer Engine'!$C$2:$C$1199,0)),"",INDEX('Compliance Database'!$A$2:$A$1199,MATCH(1082,'Transfer Engine'!$C$2:$C$1199,0)))</f>
        <v/>
      </c>
      <c r="B1091" s="6" t="str">
        <f>IF(ISNA(MATCH(1082,'Transfer Engine'!$C$2:$C$1199,0)),"",INDEX('Compliance Database'!$B$2:$B$1199,MATCH(1082,'Transfer Engine'!$C$2:$C$1199,0)))</f>
        <v/>
      </c>
      <c r="C1091" s="6" t="str">
        <f>IF(ISNA(MATCH(1082,'Transfer Engine'!$C$2:$C$1199,0)),"",INDEX('Compliance Database'!$C$2:$C$1199,MATCH(1082,'Transfer Engine'!$C$2:$C$1199,0)))</f>
        <v/>
      </c>
      <c r="D1091" s="7" t="str">
        <f>IF(ISNA(MATCH(1082,'Transfer Engine'!$C$2:$C$1199,0)),"",INDEX('Compliance Database'!$D$2:$D$1199,MATCH(1082,'Transfer Engine'!$C$2:$C$1199,0)))</f>
        <v/>
      </c>
      <c r="E1091" s="6" t="str">
        <f>IF(ISNA(MATCH(1082,'Transfer Engine'!$C$2:$C$1199,0)),"",INDEX('Compliance Database'!$E$2:$E$1199,MATCH(1082,'Transfer Engine'!$C$2:$C$1199,0)))</f>
        <v/>
      </c>
      <c r="F1091" s="6" t="str">
        <f>IF(ISNA(MATCH(1082,'Transfer Engine'!$C$2:$C$1199,0)),"",INDEX('Compliance Database'!$F$2:$F$1199,MATCH(1082,'Transfer Engine'!$C$2:$C$1199,0)))</f>
        <v/>
      </c>
      <c r="G1091" s="6" t="str">
        <f>IF(ISNA(MATCH(1082,'Transfer Engine'!$C$2:$C$1199,0)),"",INDEX('Compliance Database'!$G$2:$G$1199,MATCH(1082,'Transfer Engine'!$C$2:$C$1199,0)))</f>
        <v/>
      </c>
      <c r="H1091" s="7" t="str">
        <f>IF(ISNA(MATCH(1082,'Transfer Engine'!$C$2:$C$1199,0)),"",INDEX('Compliance Database'!$H$2:$H$1199,MATCH(1082,'Transfer Engine'!$C$2:$C$1199,0)))</f>
        <v/>
      </c>
      <c r="I1091" s="7" t="str">
        <f>IF(ISNA(MATCH(1082,'Transfer Engine'!$C$2:$C$1199,0)),"",INDEX('Compliance Database'!$I$2:$I$1199,MATCH(1082,'Transfer Engine'!$C$2:$C$1199,0)))</f>
        <v/>
      </c>
      <c r="J1091" s="6" t="str">
        <f>IF(ISNA(MATCH(1082,'Transfer Engine'!$C$2:$C$1199,0)),"",INDEX('Compliance Database'!$J$2:$J$1199,MATCH(1082,'Transfer Engine'!$C$2:$C$1199,0)))</f>
        <v/>
      </c>
      <c r="K1091" s="7" t="str">
        <f>IF(ISNA(MATCH(1082,'Transfer Engine'!$C$2:$C$1199,0)),"",INDEX('Compliance Database'!$K$2:$K$1199,MATCH(1082,'Transfer Engine'!$C$2:$C$1199,0)))</f>
        <v/>
      </c>
      <c r="L1091" s="7" t="str">
        <f>IF(ISNA(MATCH(1082,'Transfer Engine'!$C$2:$C$1199,0)),"",INDEX('Compliance Database'!$L$2:$L$1199,MATCH(1082,'Transfer Engine'!$C$2:$C$1199,0)))</f>
        <v/>
      </c>
      <c r="M1091" s="7" t="str">
        <f>IF(ISNA(MATCH(1082,'Transfer Engine'!$C$2:$C$1199,0)),"",INDEX('Compliance Database'!$M$2:$M$1199,MATCH(1082,'Transfer Engine'!$C$2:$C$1199,0)))</f>
        <v/>
      </c>
      <c r="N1091" s="7" t="str">
        <f>IF(ISNA(MATCH(1082,'Transfer Engine'!$C$2:$C$1199,0)),"",INDEX('Compliance Database'!$N$2:$N$1199,MATCH(1082,'Transfer Engine'!$C$2:$C$1199,0)))</f>
        <v/>
      </c>
      <c r="O1091" s="7" t="str">
        <f>IF(ISNA(MATCH(1082,'Transfer Engine'!$C$2:$C$1199,0)),"",INDEX('Compliance Database'!$O$2:$O$1199,MATCH(1082,'Transfer Engine'!$C$2:$C$1199,0)))</f>
        <v/>
      </c>
      <c r="P1091" s="6" t="str">
        <f>IF(ISNA(MATCH(1082,'Transfer Engine'!$C$2:$C$1199,0)),"",HYPERLINK("#Acts!A"&amp;INDEX('Compliance Database'!$P$2:$P$1199,MATCH(1082,'Transfer Engine'!$C$2:$C$1199,0)),"Go to Act"))</f>
        <v/>
      </c>
    </row>
    <row r="1092" spans="1:16" ht="172.95" customHeight="1" x14ac:dyDescent="0.3">
      <c r="A1092" s="6" t="str">
        <f>IF(ISNA(MATCH(1083,'Transfer Engine'!$C$2:$C$1199,0)),"",INDEX('Compliance Database'!$A$2:$A$1199,MATCH(1083,'Transfer Engine'!$C$2:$C$1199,0)))</f>
        <v/>
      </c>
      <c r="B1092" s="6" t="str">
        <f>IF(ISNA(MATCH(1083,'Transfer Engine'!$C$2:$C$1199,0)),"",INDEX('Compliance Database'!$B$2:$B$1199,MATCH(1083,'Transfer Engine'!$C$2:$C$1199,0)))</f>
        <v/>
      </c>
      <c r="C1092" s="6" t="str">
        <f>IF(ISNA(MATCH(1083,'Transfer Engine'!$C$2:$C$1199,0)),"",INDEX('Compliance Database'!$C$2:$C$1199,MATCH(1083,'Transfer Engine'!$C$2:$C$1199,0)))</f>
        <v/>
      </c>
      <c r="D1092" s="7" t="str">
        <f>IF(ISNA(MATCH(1083,'Transfer Engine'!$C$2:$C$1199,0)),"",INDEX('Compliance Database'!$D$2:$D$1199,MATCH(1083,'Transfer Engine'!$C$2:$C$1199,0)))</f>
        <v/>
      </c>
      <c r="E1092" s="6" t="str">
        <f>IF(ISNA(MATCH(1083,'Transfer Engine'!$C$2:$C$1199,0)),"",INDEX('Compliance Database'!$E$2:$E$1199,MATCH(1083,'Transfer Engine'!$C$2:$C$1199,0)))</f>
        <v/>
      </c>
      <c r="F1092" s="6" t="str">
        <f>IF(ISNA(MATCH(1083,'Transfer Engine'!$C$2:$C$1199,0)),"",INDEX('Compliance Database'!$F$2:$F$1199,MATCH(1083,'Transfer Engine'!$C$2:$C$1199,0)))</f>
        <v/>
      </c>
      <c r="G1092" s="6" t="str">
        <f>IF(ISNA(MATCH(1083,'Transfer Engine'!$C$2:$C$1199,0)),"",INDEX('Compliance Database'!$G$2:$G$1199,MATCH(1083,'Transfer Engine'!$C$2:$C$1199,0)))</f>
        <v/>
      </c>
      <c r="H1092" s="7" t="str">
        <f>IF(ISNA(MATCH(1083,'Transfer Engine'!$C$2:$C$1199,0)),"",INDEX('Compliance Database'!$H$2:$H$1199,MATCH(1083,'Transfer Engine'!$C$2:$C$1199,0)))</f>
        <v/>
      </c>
      <c r="I1092" s="7" t="str">
        <f>IF(ISNA(MATCH(1083,'Transfer Engine'!$C$2:$C$1199,0)),"",INDEX('Compliance Database'!$I$2:$I$1199,MATCH(1083,'Transfer Engine'!$C$2:$C$1199,0)))</f>
        <v/>
      </c>
      <c r="J1092" s="6" t="str">
        <f>IF(ISNA(MATCH(1083,'Transfer Engine'!$C$2:$C$1199,0)),"",INDEX('Compliance Database'!$J$2:$J$1199,MATCH(1083,'Transfer Engine'!$C$2:$C$1199,0)))</f>
        <v/>
      </c>
      <c r="K1092" s="7" t="str">
        <f>IF(ISNA(MATCH(1083,'Transfer Engine'!$C$2:$C$1199,0)),"",INDEX('Compliance Database'!$K$2:$K$1199,MATCH(1083,'Transfer Engine'!$C$2:$C$1199,0)))</f>
        <v/>
      </c>
      <c r="L1092" s="7" t="str">
        <f>IF(ISNA(MATCH(1083,'Transfer Engine'!$C$2:$C$1199,0)),"",INDEX('Compliance Database'!$L$2:$L$1199,MATCH(1083,'Transfer Engine'!$C$2:$C$1199,0)))</f>
        <v/>
      </c>
      <c r="M1092" s="7" t="str">
        <f>IF(ISNA(MATCH(1083,'Transfer Engine'!$C$2:$C$1199,0)),"",INDEX('Compliance Database'!$M$2:$M$1199,MATCH(1083,'Transfer Engine'!$C$2:$C$1199,0)))</f>
        <v/>
      </c>
      <c r="N1092" s="7" t="str">
        <f>IF(ISNA(MATCH(1083,'Transfer Engine'!$C$2:$C$1199,0)),"",INDEX('Compliance Database'!$N$2:$N$1199,MATCH(1083,'Transfer Engine'!$C$2:$C$1199,0)))</f>
        <v/>
      </c>
      <c r="O1092" s="7" t="str">
        <f>IF(ISNA(MATCH(1083,'Transfer Engine'!$C$2:$C$1199,0)),"",INDEX('Compliance Database'!$O$2:$O$1199,MATCH(1083,'Transfer Engine'!$C$2:$C$1199,0)))</f>
        <v/>
      </c>
      <c r="P1092" s="6" t="str">
        <f>IF(ISNA(MATCH(1083,'Transfer Engine'!$C$2:$C$1199,0)),"",HYPERLINK("#Acts!A"&amp;INDEX('Compliance Database'!$P$2:$P$1199,MATCH(1083,'Transfer Engine'!$C$2:$C$1199,0)),"Go to Act"))</f>
        <v/>
      </c>
    </row>
    <row r="1093" spans="1:16" ht="172.95" customHeight="1" x14ac:dyDescent="0.3">
      <c r="A1093" s="6" t="str">
        <f>IF(ISNA(MATCH(1084,'Transfer Engine'!$C$2:$C$1199,0)),"",INDEX('Compliance Database'!$A$2:$A$1199,MATCH(1084,'Transfer Engine'!$C$2:$C$1199,0)))</f>
        <v/>
      </c>
      <c r="B1093" s="6" t="str">
        <f>IF(ISNA(MATCH(1084,'Transfer Engine'!$C$2:$C$1199,0)),"",INDEX('Compliance Database'!$B$2:$B$1199,MATCH(1084,'Transfer Engine'!$C$2:$C$1199,0)))</f>
        <v/>
      </c>
      <c r="C1093" s="6" t="str">
        <f>IF(ISNA(MATCH(1084,'Transfer Engine'!$C$2:$C$1199,0)),"",INDEX('Compliance Database'!$C$2:$C$1199,MATCH(1084,'Transfer Engine'!$C$2:$C$1199,0)))</f>
        <v/>
      </c>
      <c r="D1093" s="7" t="str">
        <f>IF(ISNA(MATCH(1084,'Transfer Engine'!$C$2:$C$1199,0)),"",INDEX('Compliance Database'!$D$2:$D$1199,MATCH(1084,'Transfer Engine'!$C$2:$C$1199,0)))</f>
        <v/>
      </c>
      <c r="E1093" s="6" t="str">
        <f>IF(ISNA(MATCH(1084,'Transfer Engine'!$C$2:$C$1199,0)),"",INDEX('Compliance Database'!$E$2:$E$1199,MATCH(1084,'Transfer Engine'!$C$2:$C$1199,0)))</f>
        <v/>
      </c>
      <c r="F1093" s="6" t="str">
        <f>IF(ISNA(MATCH(1084,'Transfer Engine'!$C$2:$C$1199,0)),"",INDEX('Compliance Database'!$F$2:$F$1199,MATCH(1084,'Transfer Engine'!$C$2:$C$1199,0)))</f>
        <v/>
      </c>
      <c r="G1093" s="6" t="str">
        <f>IF(ISNA(MATCH(1084,'Transfer Engine'!$C$2:$C$1199,0)),"",INDEX('Compliance Database'!$G$2:$G$1199,MATCH(1084,'Transfer Engine'!$C$2:$C$1199,0)))</f>
        <v/>
      </c>
      <c r="H1093" s="7" t="str">
        <f>IF(ISNA(MATCH(1084,'Transfer Engine'!$C$2:$C$1199,0)),"",INDEX('Compliance Database'!$H$2:$H$1199,MATCH(1084,'Transfer Engine'!$C$2:$C$1199,0)))</f>
        <v/>
      </c>
      <c r="I1093" s="7" t="str">
        <f>IF(ISNA(MATCH(1084,'Transfer Engine'!$C$2:$C$1199,0)),"",INDEX('Compliance Database'!$I$2:$I$1199,MATCH(1084,'Transfer Engine'!$C$2:$C$1199,0)))</f>
        <v/>
      </c>
      <c r="J1093" s="6" t="str">
        <f>IF(ISNA(MATCH(1084,'Transfer Engine'!$C$2:$C$1199,0)),"",INDEX('Compliance Database'!$J$2:$J$1199,MATCH(1084,'Transfer Engine'!$C$2:$C$1199,0)))</f>
        <v/>
      </c>
      <c r="K1093" s="7" t="str">
        <f>IF(ISNA(MATCH(1084,'Transfer Engine'!$C$2:$C$1199,0)),"",INDEX('Compliance Database'!$K$2:$K$1199,MATCH(1084,'Transfer Engine'!$C$2:$C$1199,0)))</f>
        <v/>
      </c>
      <c r="L1093" s="7" t="str">
        <f>IF(ISNA(MATCH(1084,'Transfer Engine'!$C$2:$C$1199,0)),"",INDEX('Compliance Database'!$L$2:$L$1199,MATCH(1084,'Transfer Engine'!$C$2:$C$1199,0)))</f>
        <v/>
      </c>
      <c r="M1093" s="7" t="str">
        <f>IF(ISNA(MATCH(1084,'Transfer Engine'!$C$2:$C$1199,0)),"",INDEX('Compliance Database'!$M$2:$M$1199,MATCH(1084,'Transfer Engine'!$C$2:$C$1199,0)))</f>
        <v/>
      </c>
      <c r="N1093" s="7" t="str">
        <f>IF(ISNA(MATCH(1084,'Transfer Engine'!$C$2:$C$1199,0)),"",INDEX('Compliance Database'!$N$2:$N$1199,MATCH(1084,'Transfer Engine'!$C$2:$C$1199,0)))</f>
        <v/>
      </c>
      <c r="O1093" s="7" t="str">
        <f>IF(ISNA(MATCH(1084,'Transfer Engine'!$C$2:$C$1199,0)),"",INDEX('Compliance Database'!$O$2:$O$1199,MATCH(1084,'Transfer Engine'!$C$2:$C$1199,0)))</f>
        <v/>
      </c>
      <c r="P1093" s="6" t="str">
        <f>IF(ISNA(MATCH(1084,'Transfer Engine'!$C$2:$C$1199,0)),"",HYPERLINK("#Acts!A"&amp;INDEX('Compliance Database'!$P$2:$P$1199,MATCH(1084,'Transfer Engine'!$C$2:$C$1199,0)),"Go to Act"))</f>
        <v/>
      </c>
    </row>
    <row r="1094" spans="1:16" ht="172.95" customHeight="1" x14ac:dyDescent="0.3">
      <c r="A1094" s="6" t="str">
        <f>IF(ISNA(MATCH(1085,'Transfer Engine'!$C$2:$C$1199,0)),"",INDEX('Compliance Database'!$A$2:$A$1199,MATCH(1085,'Transfer Engine'!$C$2:$C$1199,0)))</f>
        <v/>
      </c>
      <c r="B1094" s="6" t="str">
        <f>IF(ISNA(MATCH(1085,'Transfer Engine'!$C$2:$C$1199,0)),"",INDEX('Compliance Database'!$B$2:$B$1199,MATCH(1085,'Transfer Engine'!$C$2:$C$1199,0)))</f>
        <v/>
      </c>
      <c r="C1094" s="6" t="str">
        <f>IF(ISNA(MATCH(1085,'Transfer Engine'!$C$2:$C$1199,0)),"",INDEX('Compliance Database'!$C$2:$C$1199,MATCH(1085,'Transfer Engine'!$C$2:$C$1199,0)))</f>
        <v/>
      </c>
      <c r="D1094" s="7" t="str">
        <f>IF(ISNA(MATCH(1085,'Transfer Engine'!$C$2:$C$1199,0)),"",INDEX('Compliance Database'!$D$2:$D$1199,MATCH(1085,'Transfer Engine'!$C$2:$C$1199,0)))</f>
        <v/>
      </c>
      <c r="E1094" s="6" t="str">
        <f>IF(ISNA(MATCH(1085,'Transfer Engine'!$C$2:$C$1199,0)),"",INDEX('Compliance Database'!$E$2:$E$1199,MATCH(1085,'Transfer Engine'!$C$2:$C$1199,0)))</f>
        <v/>
      </c>
      <c r="F1094" s="6" t="str">
        <f>IF(ISNA(MATCH(1085,'Transfer Engine'!$C$2:$C$1199,0)),"",INDEX('Compliance Database'!$F$2:$F$1199,MATCH(1085,'Transfer Engine'!$C$2:$C$1199,0)))</f>
        <v/>
      </c>
      <c r="G1094" s="6" t="str">
        <f>IF(ISNA(MATCH(1085,'Transfer Engine'!$C$2:$C$1199,0)),"",INDEX('Compliance Database'!$G$2:$G$1199,MATCH(1085,'Transfer Engine'!$C$2:$C$1199,0)))</f>
        <v/>
      </c>
      <c r="H1094" s="7" t="str">
        <f>IF(ISNA(MATCH(1085,'Transfer Engine'!$C$2:$C$1199,0)),"",INDEX('Compliance Database'!$H$2:$H$1199,MATCH(1085,'Transfer Engine'!$C$2:$C$1199,0)))</f>
        <v/>
      </c>
      <c r="I1094" s="7" t="str">
        <f>IF(ISNA(MATCH(1085,'Transfer Engine'!$C$2:$C$1199,0)),"",INDEX('Compliance Database'!$I$2:$I$1199,MATCH(1085,'Transfer Engine'!$C$2:$C$1199,0)))</f>
        <v/>
      </c>
      <c r="J1094" s="6" t="str">
        <f>IF(ISNA(MATCH(1085,'Transfer Engine'!$C$2:$C$1199,0)),"",INDEX('Compliance Database'!$J$2:$J$1199,MATCH(1085,'Transfer Engine'!$C$2:$C$1199,0)))</f>
        <v/>
      </c>
      <c r="K1094" s="7" t="str">
        <f>IF(ISNA(MATCH(1085,'Transfer Engine'!$C$2:$C$1199,0)),"",INDEX('Compliance Database'!$K$2:$K$1199,MATCH(1085,'Transfer Engine'!$C$2:$C$1199,0)))</f>
        <v/>
      </c>
      <c r="L1094" s="7" t="str">
        <f>IF(ISNA(MATCH(1085,'Transfer Engine'!$C$2:$C$1199,0)),"",INDEX('Compliance Database'!$L$2:$L$1199,MATCH(1085,'Transfer Engine'!$C$2:$C$1199,0)))</f>
        <v/>
      </c>
      <c r="M1094" s="7" t="str">
        <f>IF(ISNA(MATCH(1085,'Transfer Engine'!$C$2:$C$1199,0)),"",INDEX('Compliance Database'!$M$2:$M$1199,MATCH(1085,'Transfer Engine'!$C$2:$C$1199,0)))</f>
        <v/>
      </c>
      <c r="N1094" s="7" t="str">
        <f>IF(ISNA(MATCH(1085,'Transfer Engine'!$C$2:$C$1199,0)),"",INDEX('Compliance Database'!$N$2:$N$1199,MATCH(1085,'Transfer Engine'!$C$2:$C$1199,0)))</f>
        <v/>
      </c>
      <c r="O1094" s="7" t="str">
        <f>IF(ISNA(MATCH(1085,'Transfer Engine'!$C$2:$C$1199,0)),"",INDEX('Compliance Database'!$O$2:$O$1199,MATCH(1085,'Transfer Engine'!$C$2:$C$1199,0)))</f>
        <v/>
      </c>
      <c r="P1094" s="6" t="str">
        <f>IF(ISNA(MATCH(1085,'Transfer Engine'!$C$2:$C$1199,0)),"",HYPERLINK("#Acts!A"&amp;INDEX('Compliance Database'!$P$2:$P$1199,MATCH(1085,'Transfer Engine'!$C$2:$C$1199,0)),"Go to Act"))</f>
        <v/>
      </c>
    </row>
    <row r="1095" spans="1:16" ht="172.95" customHeight="1" x14ac:dyDescent="0.3">
      <c r="A1095" s="6" t="str">
        <f>IF(ISNA(MATCH(1086,'Transfer Engine'!$C$2:$C$1199,0)),"",INDEX('Compliance Database'!$A$2:$A$1199,MATCH(1086,'Transfer Engine'!$C$2:$C$1199,0)))</f>
        <v/>
      </c>
      <c r="B1095" s="6" t="str">
        <f>IF(ISNA(MATCH(1086,'Transfer Engine'!$C$2:$C$1199,0)),"",INDEX('Compliance Database'!$B$2:$B$1199,MATCH(1086,'Transfer Engine'!$C$2:$C$1199,0)))</f>
        <v/>
      </c>
      <c r="C1095" s="6" t="str">
        <f>IF(ISNA(MATCH(1086,'Transfer Engine'!$C$2:$C$1199,0)),"",INDEX('Compliance Database'!$C$2:$C$1199,MATCH(1086,'Transfer Engine'!$C$2:$C$1199,0)))</f>
        <v/>
      </c>
      <c r="D1095" s="7" t="str">
        <f>IF(ISNA(MATCH(1086,'Transfer Engine'!$C$2:$C$1199,0)),"",INDEX('Compliance Database'!$D$2:$D$1199,MATCH(1086,'Transfer Engine'!$C$2:$C$1199,0)))</f>
        <v/>
      </c>
      <c r="E1095" s="6" t="str">
        <f>IF(ISNA(MATCH(1086,'Transfer Engine'!$C$2:$C$1199,0)),"",INDEX('Compliance Database'!$E$2:$E$1199,MATCH(1086,'Transfer Engine'!$C$2:$C$1199,0)))</f>
        <v/>
      </c>
      <c r="F1095" s="6" t="str">
        <f>IF(ISNA(MATCH(1086,'Transfer Engine'!$C$2:$C$1199,0)),"",INDEX('Compliance Database'!$F$2:$F$1199,MATCH(1086,'Transfer Engine'!$C$2:$C$1199,0)))</f>
        <v/>
      </c>
      <c r="G1095" s="6" t="str">
        <f>IF(ISNA(MATCH(1086,'Transfer Engine'!$C$2:$C$1199,0)),"",INDEX('Compliance Database'!$G$2:$G$1199,MATCH(1086,'Transfer Engine'!$C$2:$C$1199,0)))</f>
        <v/>
      </c>
      <c r="H1095" s="7" t="str">
        <f>IF(ISNA(MATCH(1086,'Transfer Engine'!$C$2:$C$1199,0)),"",INDEX('Compliance Database'!$H$2:$H$1199,MATCH(1086,'Transfer Engine'!$C$2:$C$1199,0)))</f>
        <v/>
      </c>
      <c r="I1095" s="7" t="str">
        <f>IF(ISNA(MATCH(1086,'Transfer Engine'!$C$2:$C$1199,0)),"",INDEX('Compliance Database'!$I$2:$I$1199,MATCH(1086,'Transfer Engine'!$C$2:$C$1199,0)))</f>
        <v/>
      </c>
      <c r="J1095" s="6" t="str">
        <f>IF(ISNA(MATCH(1086,'Transfer Engine'!$C$2:$C$1199,0)),"",INDEX('Compliance Database'!$J$2:$J$1199,MATCH(1086,'Transfer Engine'!$C$2:$C$1199,0)))</f>
        <v/>
      </c>
      <c r="K1095" s="7" t="str">
        <f>IF(ISNA(MATCH(1086,'Transfer Engine'!$C$2:$C$1199,0)),"",INDEX('Compliance Database'!$K$2:$K$1199,MATCH(1086,'Transfer Engine'!$C$2:$C$1199,0)))</f>
        <v/>
      </c>
      <c r="L1095" s="7" t="str">
        <f>IF(ISNA(MATCH(1086,'Transfer Engine'!$C$2:$C$1199,0)),"",INDEX('Compliance Database'!$L$2:$L$1199,MATCH(1086,'Transfer Engine'!$C$2:$C$1199,0)))</f>
        <v/>
      </c>
      <c r="M1095" s="7" t="str">
        <f>IF(ISNA(MATCH(1086,'Transfer Engine'!$C$2:$C$1199,0)),"",INDEX('Compliance Database'!$M$2:$M$1199,MATCH(1086,'Transfer Engine'!$C$2:$C$1199,0)))</f>
        <v/>
      </c>
      <c r="N1095" s="7" t="str">
        <f>IF(ISNA(MATCH(1086,'Transfer Engine'!$C$2:$C$1199,0)),"",INDEX('Compliance Database'!$N$2:$N$1199,MATCH(1086,'Transfer Engine'!$C$2:$C$1199,0)))</f>
        <v/>
      </c>
      <c r="O1095" s="7" t="str">
        <f>IF(ISNA(MATCH(1086,'Transfer Engine'!$C$2:$C$1199,0)),"",INDEX('Compliance Database'!$O$2:$O$1199,MATCH(1086,'Transfer Engine'!$C$2:$C$1199,0)))</f>
        <v/>
      </c>
      <c r="P1095" s="6" t="str">
        <f>IF(ISNA(MATCH(1086,'Transfer Engine'!$C$2:$C$1199,0)),"",HYPERLINK("#Acts!A"&amp;INDEX('Compliance Database'!$P$2:$P$1199,MATCH(1086,'Transfer Engine'!$C$2:$C$1199,0)),"Go to Act"))</f>
        <v/>
      </c>
    </row>
    <row r="1096" spans="1:16" ht="172.95" customHeight="1" x14ac:dyDescent="0.3">
      <c r="A1096" s="6" t="str">
        <f>IF(ISNA(MATCH(1087,'Transfer Engine'!$C$2:$C$1199,0)),"",INDEX('Compliance Database'!$A$2:$A$1199,MATCH(1087,'Transfer Engine'!$C$2:$C$1199,0)))</f>
        <v/>
      </c>
      <c r="B1096" s="6" t="str">
        <f>IF(ISNA(MATCH(1087,'Transfer Engine'!$C$2:$C$1199,0)),"",INDEX('Compliance Database'!$B$2:$B$1199,MATCH(1087,'Transfer Engine'!$C$2:$C$1199,0)))</f>
        <v/>
      </c>
      <c r="C1096" s="6" t="str">
        <f>IF(ISNA(MATCH(1087,'Transfer Engine'!$C$2:$C$1199,0)),"",INDEX('Compliance Database'!$C$2:$C$1199,MATCH(1087,'Transfer Engine'!$C$2:$C$1199,0)))</f>
        <v/>
      </c>
      <c r="D1096" s="7" t="str">
        <f>IF(ISNA(MATCH(1087,'Transfer Engine'!$C$2:$C$1199,0)),"",INDEX('Compliance Database'!$D$2:$D$1199,MATCH(1087,'Transfer Engine'!$C$2:$C$1199,0)))</f>
        <v/>
      </c>
      <c r="E1096" s="6" t="str">
        <f>IF(ISNA(MATCH(1087,'Transfer Engine'!$C$2:$C$1199,0)),"",INDEX('Compliance Database'!$E$2:$E$1199,MATCH(1087,'Transfer Engine'!$C$2:$C$1199,0)))</f>
        <v/>
      </c>
      <c r="F1096" s="6" t="str">
        <f>IF(ISNA(MATCH(1087,'Transfer Engine'!$C$2:$C$1199,0)),"",INDEX('Compliance Database'!$F$2:$F$1199,MATCH(1087,'Transfer Engine'!$C$2:$C$1199,0)))</f>
        <v/>
      </c>
      <c r="G1096" s="6" t="str">
        <f>IF(ISNA(MATCH(1087,'Transfer Engine'!$C$2:$C$1199,0)),"",INDEX('Compliance Database'!$G$2:$G$1199,MATCH(1087,'Transfer Engine'!$C$2:$C$1199,0)))</f>
        <v/>
      </c>
      <c r="H1096" s="7" t="str">
        <f>IF(ISNA(MATCH(1087,'Transfer Engine'!$C$2:$C$1199,0)),"",INDEX('Compliance Database'!$H$2:$H$1199,MATCH(1087,'Transfer Engine'!$C$2:$C$1199,0)))</f>
        <v/>
      </c>
      <c r="I1096" s="7" t="str">
        <f>IF(ISNA(MATCH(1087,'Transfer Engine'!$C$2:$C$1199,0)),"",INDEX('Compliance Database'!$I$2:$I$1199,MATCH(1087,'Transfer Engine'!$C$2:$C$1199,0)))</f>
        <v/>
      </c>
      <c r="J1096" s="6" t="str">
        <f>IF(ISNA(MATCH(1087,'Transfer Engine'!$C$2:$C$1199,0)),"",INDEX('Compliance Database'!$J$2:$J$1199,MATCH(1087,'Transfer Engine'!$C$2:$C$1199,0)))</f>
        <v/>
      </c>
      <c r="K1096" s="7" t="str">
        <f>IF(ISNA(MATCH(1087,'Transfer Engine'!$C$2:$C$1199,0)),"",INDEX('Compliance Database'!$K$2:$K$1199,MATCH(1087,'Transfer Engine'!$C$2:$C$1199,0)))</f>
        <v/>
      </c>
      <c r="L1096" s="7" t="str">
        <f>IF(ISNA(MATCH(1087,'Transfer Engine'!$C$2:$C$1199,0)),"",INDEX('Compliance Database'!$L$2:$L$1199,MATCH(1087,'Transfer Engine'!$C$2:$C$1199,0)))</f>
        <v/>
      </c>
      <c r="M1096" s="7" t="str">
        <f>IF(ISNA(MATCH(1087,'Transfer Engine'!$C$2:$C$1199,0)),"",INDEX('Compliance Database'!$M$2:$M$1199,MATCH(1087,'Transfer Engine'!$C$2:$C$1199,0)))</f>
        <v/>
      </c>
      <c r="N1096" s="7" t="str">
        <f>IF(ISNA(MATCH(1087,'Transfer Engine'!$C$2:$C$1199,0)),"",INDEX('Compliance Database'!$N$2:$N$1199,MATCH(1087,'Transfer Engine'!$C$2:$C$1199,0)))</f>
        <v/>
      </c>
      <c r="O1096" s="7" t="str">
        <f>IF(ISNA(MATCH(1087,'Transfer Engine'!$C$2:$C$1199,0)),"",INDEX('Compliance Database'!$O$2:$O$1199,MATCH(1087,'Transfer Engine'!$C$2:$C$1199,0)))</f>
        <v/>
      </c>
      <c r="P1096" s="6" t="str">
        <f>IF(ISNA(MATCH(1087,'Transfer Engine'!$C$2:$C$1199,0)),"",HYPERLINK("#Acts!A"&amp;INDEX('Compliance Database'!$P$2:$P$1199,MATCH(1087,'Transfer Engine'!$C$2:$C$1199,0)),"Go to Act"))</f>
        <v/>
      </c>
    </row>
    <row r="1097" spans="1:16" ht="172.95" customHeight="1" x14ac:dyDescent="0.3">
      <c r="A1097" s="6" t="str">
        <f>IF(ISNA(MATCH(1088,'Transfer Engine'!$C$2:$C$1199,0)),"",INDEX('Compliance Database'!$A$2:$A$1199,MATCH(1088,'Transfer Engine'!$C$2:$C$1199,0)))</f>
        <v/>
      </c>
      <c r="B1097" s="6" t="str">
        <f>IF(ISNA(MATCH(1088,'Transfer Engine'!$C$2:$C$1199,0)),"",INDEX('Compliance Database'!$B$2:$B$1199,MATCH(1088,'Transfer Engine'!$C$2:$C$1199,0)))</f>
        <v/>
      </c>
      <c r="C1097" s="6" t="str">
        <f>IF(ISNA(MATCH(1088,'Transfer Engine'!$C$2:$C$1199,0)),"",INDEX('Compliance Database'!$C$2:$C$1199,MATCH(1088,'Transfer Engine'!$C$2:$C$1199,0)))</f>
        <v/>
      </c>
      <c r="D1097" s="7" t="str">
        <f>IF(ISNA(MATCH(1088,'Transfer Engine'!$C$2:$C$1199,0)),"",INDEX('Compliance Database'!$D$2:$D$1199,MATCH(1088,'Transfer Engine'!$C$2:$C$1199,0)))</f>
        <v/>
      </c>
      <c r="E1097" s="6" t="str">
        <f>IF(ISNA(MATCH(1088,'Transfer Engine'!$C$2:$C$1199,0)),"",INDEX('Compliance Database'!$E$2:$E$1199,MATCH(1088,'Transfer Engine'!$C$2:$C$1199,0)))</f>
        <v/>
      </c>
      <c r="F1097" s="6" t="str">
        <f>IF(ISNA(MATCH(1088,'Transfer Engine'!$C$2:$C$1199,0)),"",INDEX('Compliance Database'!$F$2:$F$1199,MATCH(1088,'Transfer Engine'!$C$2:$C$1199,0)))</f>
        <v/>
      </c>
      <c r="G1097" s="6" t="str">
        <f>IF(ISNA(MATCH(1088,'Transfer Engine'!$C$2:$C$1199,0)),"",INDEX('Compliance Database'!$G$2:$G$1199,MATCH(1088,'Transfer Engine'!$C$2:$C$1199,0)))</f>
        <v/>
      </c>
      <c r="H1097" s="7" t="str">
        <f>IF(ISNA(MATCH(1088,'Transfer Engine'!$C$2:$C$1199,0)),"",INDEX('Compliance Database'!$H$2:$H$1199,MATCH(1088,'Transfer Engine'!$C$2:$C$1199,0)))</f>
        <v/>
      </c>
      <c r="I1097" s="7" t="str">
        <f>IF(ISNA(MATCH(1088,'Transfer Engine'!$C$2:$C$1199,0)),"",INDEX('Compliance Database'!$I$2:$I$1199,MATCH(1088,'Transfer Engine'!$C$2:$C$1199,0)))</f>
        <v/>
      </c>
      <c r="J1097" s="6" t="str">
        <f>IF(ISNA(MATCH(1088,'Transfer Engine'!$C$2:$C$1199,0)),"",INDEX('Compliance Database'!$J$2:$J$1199,MATCH(1088,'Transfer Engine'!$C$2:$C$1199,0)))</f>
        <v/>
      </c>
      <c r="K1097" s="7" t="str">
        <f>IF(ISNA(MATCH(1088,'Transfer Engine'!$C$2:$C$1199,0)),"",INDEX('Compliance Database'!$K$2:$K$1199,MATCH(1088,'Transfer Engine'!$C$2:$C$1199,0)))</f>
        <v/>
      </c>
      <c r="L1097" s="7" t="str">
        <f>IF(ISNA(MATCH(1088,'Transfer Engine'!$C$2:$C$1199,0)),"",INDEX('Compliance Database'!$L$2:$L$1199,MATCH(1088,'Transfer Engine'!$C$2:$C$1199,0)))</f>
        <v/>
      </c>
      <c r="M1097" s="7" t="str">
        <f>IF(ISNA(MATCH(1088,'Transfer Engine'!$C$2:$C$1199,0)),"",INDEX('Compliance Database'!$M$2:$M$1199,MATCH(1088,'Transfer Engine'!$C$2:$C$1199,0)))</f>
        <v/>
      </c>
      <c r="N1097" s="7" t="str">
        <f>IF(ISNA(MATCH(1088,'Transfer Engine'!$C$2:$C$1199,0)),"",INDEX('Compliance Database'!$N$2:$N$1199,MATCH(1088,'Transfer Engine'!$C$2:$C$1199,0)))</f>
        <v/>
      </c>
      <c r="O1097" s="7" t="str">
        <f>IF(ISNA(MATCH(1088,'Transfer Engine'!$C$2:$C$1199,0)),"",INDEX('Compliance Database'!$O$2:$O$1199,MATCH(1088,'Transfer Engine'!$C$2:$C$1199,0)))</f>
        <v/>
      </c>
      <c r="P1097" s="6" t="str">
        <f>IF(ISNA(MATCH(1088,'Transfer Engine'!$C$2:$C$1199,0)),"",HYPERLINK("#Acts!A"&amp;INDEX('Compliance Database'!$P$2:$P$1199,MATCH(1088,'Transfer Engine'!$C$2:$C$1199,0)),"Go to Act"))</f>
        <v/>
      </c>
    </row>
    <row r="1098" spans="1:16" ht="172.95" customHeight="1" x14ac:dyDescent="0.3">
      <c r="A1098" s="6" t="str">
        <f>IF(ISNA(MATCH(1089,'Transfer Engine'!$C$2:$C$1199,0)),"",INDEX('Compliance Database'!$A$2:$A$1199,MATCH(1089,'Transfer Engine'!$C$2:$C$1199,0)))</f>
        <v/>
      </c>
      <c r="B1098" s="6" t="str">
        <f>IF(ISNA(MATCH(1089,'Transfer Engine'!$C$2:$C$1199,0)),"",INDEX('Compliance Database'!$B$2:$B$1199,MATCH(1089,'Transfer Engine'!$C$2:$C$1199,0)))</f>
        <v/>
      </c>
      <c r="C1098" s="6" t="str">
        <f>IF(ISNA(MATCH(1089,'Transfer Engine'!$C$2:$C$1199,0)),"",INDEX('Compliance Database'!$C$2:$C$1199,MATCH(1089,'Transfer Engine'!$C$2:$C$1199,0)))</f>
        <v/>
      </c>
      <c r="D1098" s="7" t="str">
        <f>IF(ISNA(MATCH(1089,'Transfer Engine'!$C$2:$C$1199,0)),"",INDEX('Compliance Database'!$D$2:$D$1199,MATCH(1089,'Transfer Engine'!$C$2:$C$1199,0)))</f>
        <v/>
      </c>
      <c r="E1098" s="6" t="str">
        <f>IF(ISNA(MATCH(1089,'Transfer Engine'!$C$2:$C$1199,0)),"",INDEX('Compliance Database'!$E$2:$E$1199,MATCH(1089,'Transfer Engine'!$C$2:$C$1199,0)))</f>
        <v/>
      </c>
      <c r="F1098" s="6" t="str">
        <f>IF(ISNA(MATCH(1089,'Transfer Engine'!$C$2:$C$1199,0)),"",INDEX('Compliance Database'!$F$2:$F$1199,MATCH(1089,'Transfer Engine'!$C$2:$C$1199,0)))</f>
        <v/>
      </c>
      <c r="G1098" s="6" t="str">
        <f>IF(ISNA(MATCH(1089,'Transfer Engine'!$C$2:$C$1199,0)),"",INDEX('Compliance Database'!$G$2:$G$1199,MATCH(1089,'Transfer Engine'!$C$2:$C$1199,0)))</f>
        <v/>
      </c>
      <c r="H1098" s="7" t="str">
        <f>IF(ISNA(MATCH(1089,'Transfer Engine'!$C$2:$C$1199,0)),"",INDEX('Compliance Database'!$H$2:$H$1199,MATCH(1089,'Transfer Engine'!$C$2:$C$1199,0)))</f>
        <v/>
      </c>
      <c r="I1098" s="7" t="str">
        <f>IF(ISNA(MATCH(1089,'Transfer Engine'!$C$2:$C$1199,0)),"",INDEX('Compliance Database'!$I$2:$I$1199,MATCH(1089,'Transfer Engine'!$C$2:$C$1199,0)))</f>
        <v/>
      </c>
      <c r="J1098" s="6" t="str">
        <f>IF(ISNA(MATCH(1089,'Transfer Engine'!$C$2:$C$1199,0)),"",INDEX('Compliance Database'!$J$2:$J$1199,MATCH(1089,'Transfer Engine'!$C$2:$C$1199,0)))</f>
        <v/>
      </c>
      <c r="K1098" s="7" t="str">
        <f>IF(ISNA(MATCH(1089,'Transfer Engine'!$C$2:$C$1199,0)),"",INDEX('Compliance Database'!$K$2:$K$1199,MATCH(1089,'Transfer Engine'!$C$2:$C$1199,0)))</f>
        <v/>
      </c>
      <c r="L1098" s="7" t="str">
        <f>IF(ISNA(MATCH(1089,'Transfer Engine'!$C$2:$C$1199,0)),"",INDEX('Compliance Database'!$L$2:$L$1199,MATCH(1089,'Transfer Engine'!$C$2:$C$1199,0)))</f>
        <v/>
      </c>
      <c r="M1098" s="7" t="str">
        <f>IF(ISNA(MATCH(1089,'Transfer Engine'!$C$2:$C$1199,0)),"",INDEX('Compliance Database'!$M$2:$M$1199,MATCH(1089,'Transfer Engine'!$C$2:$C$1199,0)))</f>
        <v/>
      </c>
      <c r="N1098" s="7" t="str">
        <f>IF(ISNA(MATCH(1089,'Transfer Engine'!$C$2:$C$1199,0)),"",INDEX('Compliance Database'!$N$2:$N$1199,MATCH(1089,'Transfer Engine'!$C$2:$C$1199,0)))</f>
        <v/>
      </c>
      <c r="O1098" s="7" t="str">
        <f>IF(ISNA(MATCH(1089,'Transfer Engine'!$C$2:$C$1199,0)),"",INDEX('Compliance Database'!$O$2:$O$1199,MATCH(1089,'Transfer Engine'!$C$2:$C$1199,0)))</f>
        <v/>
      </c>
      <c r="P1098" s="6" t="str">
        <f>IF(ISNA(MATCH(1089,'Transfer Engine'!$C$2:$C$1199,0)),"",HYPERLINK("#Acts!A"&amp;INDEX('Compliance Database'!$P$2:$P$1199,MATCH(1089,'Transfer Engine'!$C$2:$C$1199,0)),"Go to Act"))</f>
        <v/>
      </c>
    </row>
    <row r="1099" spans="1:16" ht="172.95" customHeight="1" x14ac:dyDescent="0.3">
      <c r="A1099" s="6" t="str">
        <f>IF(ISNA(MATCH(1090,'Transfer Engine'!$C$2:$C$1199,0)),"",INDEX('Compliance Database'!$A$2:$A$1199,MATCH(1090,'Transfer Engine'!$C$2:$C$1199,0)))</f>
        <v/>
      </c>
      <c r="B1099" s="6" t="str">
        <f>IF(ISNA(MATCH(1090,'Transfer Engine'!$C$2:$C$1199,0)),"",INDEX('Compliance Database'!$B$2:$B$1199,MATCH(1090,'Transfer Engine'!$C$2:$C$1199,0)))</f>
        <v/>
      </c>
      <c r="C1099" s="6" t="str">
        <f>IF(ISNA(MATCH(1090,'Transfer Engine'!$C$2:$C$1199,0)),"",INDEX('Compliance Database'!$C$2:$C$1199,MATCH(1090,'Transfer Engine'!$C$2:$C$1199,0)))</f>
        <v/>
      </c>
      <c r="D1099" s="7" t="str">
        <f>IF(ISNA(MATCH(1090,'Transfer Engine'!$C$2:$C$1199,0)),"",INDEX('Compliance Database'!$D$2:$D$1199,MATCH(1090,'Transfer Engine'!$C$2:$C$1199,0)))</f>
        <v/>
      </c>
      <c r="E1099" s="6" t="str">
        <f>IF(ISNA(MATCH(1090,'Transfer Engine'!$C$2:$C$1199,0)),"",INDEX('Compliance Database'!$E$2:$E$1199,MATCH(1090,'Transfer Engine'!$C$2:$C$1199,0)))</f>
        <v/>
      </c>
      <c r="F1099" s="6" t="str">
        <f>IF(ISNA(MATCH(1090,'Transfer Engine'!$C$2:$C$1199,0)),"",INDEX('Compliance Database'!$F$2:$F$1199,MATCH(1090,'Transfer Engine'!$C$2:$C$1199,0)))</f>
        <v/>
      </c>
      <c r="G1099" s="6" t="str">
        <f>IF(ISNA(MATCH(1090,'Transfer Engine'!$C$2:$C$1199,0)),"",INDEX('Compliance Database'!$G$2:$G$1199,MATCH(1090,'Transfer Engine'!$C$2:$C$1199,0)))</f>
        <v/>
      </c>
      <c r="H1099" s="7" t="str">
        <f>IF(ISNA(MATCH(1090,'Transfer Engine'!$C$2:$C$1199,0)),"",INDEX('Compliance Database'!$H$2:$H$1199,MATCH(1090,'Transfer Engine'!$C$2:$C$1199,0)))</f>
        <v/>
      </c>
      <c r="I1099" s="7" t="str">
        <f>IF(ISNA(MATCH(1090,'Transfer Engine'!$C$2:$C$1199,0)),"",INDEX('Compliance Database'!$I$2:$I$1199,MATCH(1090,'Transfer Engine'!$C$2:$C$1199,0)))</f>
        <v/>
      </c>
      <c r="J1099" s="6" t="str">
        <f>IF(ISNA(MATCH(1090,'Transfer Engine'!$C$2:$C$1199,0)),"",INDEX('Compliance Database'!$J$2:$J$1199,MATCH(1090,'Transfer Engine'!$C$2:$C$1199,0)))</f>
        <v/>
      </c>
      <c r="K1099" s="7" t="str">
        <f>IF(ISNA(MATCH(1090,'Transfer Engine'!$C$2:$C$1199,0)),"",INDEX('Compliance Database'!$K$2:$K$1199,MATCH(1090,'Transfer Engine'!$C$2:$C$1199,0)))</f>
        <v/>
      </c>
      <c r="L1099" s="7" t="str">
        <f>IF(ISNA(MATCH(1090,'Transfer Engine'!$C$2:$C$1199,0)),"",INDEX('Compliance Database'!$L$2:$L$1199,MATCH(1090,'Transfer Engine'!$C$2:$C$1199,0)))</f>
        <v/>
      </c>
      <c r="M1099" s="7" t="str">
        <f>IF(ISNA(MATCH(1090,'Transfer Engine'!$C$2:$C$1199,0)),"",INDEX('Compliance Database'!$M$2:$M$1199,MATCH(1090,'Transfer Engine'!$C$2:$C$1199,0)))</f>
        <v/>
      </c>
      <c r="N1099" s="7" t="str">
        <f>IF(ISNA(MATCH(1090,'Transfer Engine'!$C$2:$C$1199,0)),"",INDEX('Compliance Database'!$N$2:$N$1199,MATCH(1090,'Transfer Engine'!$C$2:$C$1199,0)))</f>
        <v/>
      </c>
      <c r="O1099" s="7" t="str">
        <f>IF(ISNA(MATCH(1090,'Transfer Engine'!$C$2:$C$1199,0)),"",INDEX('Compliance Database'!$O$2:$O$1199,MATCH(1090,'Transfer Engine'!$C$2:$C$1199,0)))</f>
        <v/>
      </c>
      <c r="P1099" s="6" t="str">
        <f>IF(ISNA(MATCH(1090,'Transfer Engine'!$C$2:$C$1199,0)),"",HYPERLINK("#Acts!A"&amp;INDEX('Compliance Database'!$P$2:$P$1199,MATCH(1090,'Transfer Engine'!$C$2:$C$1199,0)),"Go to Act"))</f>
        <v/>
      </c>
    </row>
    <row r="1100" spans="1:16" ht="172.95" customHeight="1" x14ac:dyDescent="0.3">
      <c r="A1100" s="6" t="str">
        <f>IF(ISNA(MATCH(1091,'Transfer Engine'!$C$2:$C$1199,0)),"",INDEX('Compliance Database'!$A$2:$A$1199,MATCH(1091,'Transfer Engine'!$C$2:$C$1199,0)))</f>
        <v/>
      </c>
      <c r="B1100" s="6" t="str">
        <f>IF(ISNA(MATCH(1091,'Transfer Engine'!$C$2:$C$1199,0)),"",INDEX('Compliance Database'!$B$2:$B$1199,MATCH(1091,'Transfer Engine'!$C$2:$C$1199,0)))</f>
        <v/>
      </c>
      <c r="C1100" s="6" t="str">
        <f>IF(ISNA(MATCH(1091,'Transfer Engine'!$C$2:$C$1199,0)),"",INDEX('Compliance Database'!$C$2:$C$1199,MATCH(1091,'Transfer Engine'!$C$2:$C$1199,0)))</f>
        <v/>
      </c>
      <c r="D1100" s="7" t="str">
        <f>IF(ISNA(MATCH(1091,'Transfer Engine'!$C$2:$C$1199,0)),"",INDEX('Compliance Database'!$D$2:$D$1199,MATCH(1091,'Transfer Engine'!$C$2:$C$1199,0)))</f>
        <v/>
      </c>
      <c r="E1100" s="6" t="str">
        <f>IF(ISNA(MATCH(1091,'Transfer Engine'!$C$2:$C$1199,0)),"",INDEX('Compliance Database'!$E$2:$E$1199,MATCH(1091,'Transfer Engine'!$C$2:$C$1199,0)))</f>
        <v/>
      </c>
      <c r="F1100" s="6" t="str">
        <f>IF(ISNA(MATCH(1091,'Transfer Engine'!$C$2:$C$1199,0)),"",INDEX('Compliance Database'!$F$2:$F$1199,MATCH(1091,'Transfer Engine'!$C$2:$C$1199,0)))</f>
        <v/>
      </c>
      <c r="G1100" s="6" t="str">
        <f>IF(ISNA(MATCH(1091,'Transfer Engine'!$C$2:$C$1199,0)),"",INDEX('Compliance Database'!$G$2:$G$1199,MATCH(1091,'Transfer Engine'!$C$2:$C$1199,0)))</f>
        <v/>
      </c>
      <c r="H1100" s="7" t="str">
        <f>IF(ISNA(MATCH(1091,'Transfer Engine'!$C$2:$C$1199,0)),"",INDEX('Compliance Database'!$H$2:$H$1199,MATCH(1091,'Transfer Engine'!$C$2:$C$1199,0)))</f>
        <v/>
      </c>
      <c r="I1100" s="7" t="str">
        <f>IF(ISNA(MATCH(1091,'Transfer Engine'!$C$2:$C$1199,0)),"",INDEX('Compliance Database'!$I$2:$I$1199,MATCH(1091,'Transfer Engine'!$C$2:$C$1199,0)))</f>
        <v/>
      </c>
      <c r="J1100" s="6" t="str">
        <f>IF(ISNA(MATCH(1091,'Transfer Engine'!$C$2:$C$1199,0)),"",INDEX('Compliance Database'!$J$2:$J$1199,MATCH(1091,'Transfer Engine'!$C$2:$C$1199,0)))</f>
        <v/>
      </c>
      <c r="K1100" s="7" t="str">
        <f>IF(ISNA(MATCH(1091,'Transfer Engine'!$C$2:$C$1199,0)),"",INDEX('Compliance Database'!$K$2:$K$1199,MATCH(1091,'Transfer Engine'!$C$2:$C$1199,0)))</f>
        <v/>
      </c>
      <c r="L1100" s="7" t="str">
        <f>IF(ISNA(MATCH(1091,'Transfer Engine'!$C$2:$C$1199,0)),"",INDEX('Compliance Database'!$L$2:$L$1199,MATCH(1091,'Transfer Engine'!$C$2:$C$1199,0)))</f>
        <v/>
      </c>
      <c r="M1100" s="7" t="str">
        <f>IF(ISNA(MATCH(1091,'Transfer Engine'!$C$2:$C$1199,0)),"",INDEX('Compliance Database'!$M$2:$M$1199,MATCH(1091,'Transfer Engine'!$C$2:$C$1199,0)))</f>
        <v/>
      </c>
      <c r="N1100" s="7" t="str">
        <f>IF(ISNA(MATCH(1091,'Transfer Engine'!$C$2:$C$1199,0)),"",INDEX('Compliance Database'!$N$2:$N$1199,MATCH(1091,'Transfer Engine'!$C$2:$C$1199,0)))</f>
        <v/>
      </c>
      <c r="O1100" s="7" t="str">
        <f>IF(ISNA(MATCH(1091,'Transfer Engine'!$C$2:$C$1199,0)),"",INDEX('Compliance Database'!$O$2:$O$1199,MATCH(1091,'Transfer Engine'!$C$2:$C$1199,0)))</f>
        <v/>
      </c>
      <c r="P1100" s="6" t="str">
        <f>IF(ISNA(MATCH(1091,'Transfer Engine'!$C$2:$C$1199,0)),"",HYPERLINK("#Acts!A"&amp;INDEX('Compliance Database'!$P$2:$P$1199,MATCH(1091,'Transfer Engine'!$C$2:$C$1199,0)),"Go to Act"))</f>
        <v/>
      </c>
    </row>
    <row r="1101" spans="1:16" ht="172.95" customHeight="1" x14ac:dyDescent="0.3">
      <c r="A1101" s="6" t="str">
        <f>IF(ISNA(MATCH(1092,'Transfer Engine'!$C$2:$C$1199,0)),"",INDEX('Compliance Database'!$A$2:$A$1199,MATCH(1092,'Transfer Engine'!$C$2:$C$1199,0)))</f>
        <v/>
      </c>
      <c r="B1101" s="6" t="str">
        <f>IF(ISNA(MATCH(1092,'Transfer Engine'!$C$2:$C$1199,0)),"",INDEX('Compliance Database'!$B$2:$B$1199,MATCH(1092,'Transfer Engine'!$C$2:$C$1199,0)))</f>
        <v/>
      </c>
      <c r="C1101" s="6" t="str">
        <f>IF(ISNA(MATCH(1092,'Transfer Engine'!$C$2:$C$1199,0)),"",INDEX('Compliance Database'!$C$2:$C$1199,MATCH(1092,'Transfer Engine'!$C$2:$C$1199,0)))</f>
        <v/>
      </c>
      <c r="D1101" s="7" t="str">
        <f>IF(ISNA(MATCH(1092,'Transfer Engine'!$C$2:$C$1199,0)),"",INDEX('Compliance Database'!$D$2:$D$1199,MATCH(1092,'Transfer Engine'!$C$2:$C$1199,0)))</f>
        <v/>
      </c>
      <c r="E1101" s="6" t="str">
        <f>IF(ISNA(MATCH(1092,'Transfer Engine'!$C$2:$C$1199,0)),"",INDEX('Compliance Database'!$E$2:$E$1199,MATCH(1092,'Transfer Engine'!$C$2:$C$1199,0)))</f>
        <v/>
      </c>
      <c r="F1101" s="6" t="str">
        <f>IF(ISNA(MATCH(1092,'Transfer Engine'!$C$2:$C$1199,0)),"",INDEX('Compliance Database'!$F$2:$F$1199,MATCH(1092,'Transfer Engine'!$C$2:$C$1199,0)))</f>
        <v/>
      </c>
      <c r="G1101" s="6" t="str">
        <f>IF(ISNA(MATCH(1092,'Transfer Engine'!$C$2:$C$1199,0)),"",INDEX('Compliance Database'!$G$2:$G$1199,MATCH(1092,'Transfer Engine'!$C$2:$C$1199,0)))</f>
        <v/>
      </c>
      <c r="H1101" s="7" t="str">
        <f>IF(ISNA(MATCH(1092,'Transfer Engine'!$C$2:$C$1199,0)),"",INDEX('Compliance Database'!$H$2:$H$1199,MATCH(1092,'Transfer Engine'!$C$2:$C$1199,0)))</f>
        <v/>
      </c>
      <c r="I1101" s="7" t="str">
        <f>IF(ISNA(MATCH(1092,'Transfer Engine'!$C$2:$C$1199,0)),"",INDEX('Compliance Database'!$I$2:$I$1199,MATCH(1092,'Transfer Engine'!$C$2:$C$1199,0)))</f>
        <v/>
      </c>
      <c r="J1101" s="6" t="str">
        <f>IF(ISNA(MATCH(1092,'Transfer Engine'!$C$2:$C$1199,0)),"",INDEX('Compliance Database'!$J$2:$J$1199,MATCH(1092,'Transfer Engine'!$C$2:$C$1199,0)))</f>
        <v/>
      </c>
      <c r="K1101" s="7" t="str">
        <f>IF(ISNA(MATCH(1092,'Transfer Engine'!$C$2:$C$1199,0)),"",INDEX('Compliance Database'!$K$2:$K$1199,MATCH(1092,'Transfer Engine'!$C$2:$C$1199,0)))</f>
        <v/>
      </c>
      <c r="L1101" s="7" t="str">
        <f>IF(ISNA(MATCH(1092,'Transfer Engine'!$C$2:$C$1199,0)),"",INDEX('Compliance Database'!$L$2:$L$1199,MATCH(1092,'Transfer Engine'!$C$2:$C$1199,0)))</f>
        <v/>
      </c>
      <c r="M1101" s="7" t="str">
        <f>IF(ISNA(MATCH(1092,'Transfer Engine'!$C$2:$C$1199,0)),"",INDEX('Compliance Database'!$M$2:$M$1199,MATCH(1092,'Transfer Engine'!$C$2:$C$1199,0)))</f>
        <v/>
      </c>
      <c r="N1101" s="7" t="str">
        <f>IF(ISNA(MATCH(1092,'Transfer Engine'!$C$2:$C$1199,0)),"",INDEX('Compliance Database'!$N$2:$N$1199,MATCH(1092,'Transfer Engine'!$C$2:$C$1199,0)))</f>
        <v/>
      </c>
      <c r="O1101" s="7" t="str">
        <f>IF(ISNA(MATCH(1092,'Transfer Engine'!$C$2:$C$1199,0)),"",INDEX('Compliance Database'!$O$2:$O$1199,MATCH(1092,'Transfer Engine'!$C$2:$C$1199,0)))</f>
        <v/>
      </c>
      <c r="P1101" s="6" t="str">
        <f>IF(ISNA(MATCH(1092,'Transfer Engine'!$C$2:$C$1199,0)),"",HYPERLINK("#Acts!A"&amp;INDEX('Compliance Database'!$P$2:$P$1199,MATCH(1092,'Transfer Engine'!$C$2:$C$1199,0)),"Go to Act"))</f>
        <v/>
      </c>
    </row>
    <row r="1102" spans="1:16" ht="172.95" customHeight="1" x14ac:dyDescent="0.3">
      <c r="A1102" s="6" t="str">
        <f>IF(ISNA(MATCH(1093,'Transfer Engine'!$C$2:$C$1199,0)),"",INDEX('Compliance Database'!$A$2:$A$1199,MATCH(1093,'Transfer Engine'!$C$2:$C$1199,0)))</f>
        <v/>
      </c>
      <c r="B1102" s="6" t="str">
        <f>IF(ISNA(MATCH(1093,'Transfer Engine'!$C$2:$C$1199,0)),"",INDEX('Compliance Database'!$B$2:$B$1199,MATCH(1093,'Transfer Engine'!$C$2:$C$1199,0)))</f>
        <v/>
      </c>
      <c r="C1102" s="6" t="str">
        <f>IF(ISNA(MATCH(1093,'Transfer Engine'!$C$2:$C$1199,0)),"",INDEX('Compliance Database'!$C$2:$C$1199,MATCH(1093,'Transfer Engine'!$C$2:$C$1199,0)))</f>
        <v/>
      </c>
      <c r="D1102" s="7" t="str">
        <f>IF(ISNA(MATCH(1093,'Transfer Engine'!$C$2:$C$1199,0)),"",INDEX('Compliance Database'!$D$2:$D$1199,MATCH(1093,'Transfer Engine'!$C$2:$C$1199,0)))</f>
        <v/>
      </c>
      <c r="E1102" s="6" t="str">
        <f>IF(ISNA(MATCH(1093,'Transfer Engine'!$C$2:$C$1199,0)),"",INDEX('Compliance Database'!$E$2:$E$1199,MATCH(1093,'Transfer Engine'!$C$2:$C$1199,0)))</f>
        <v/>
      </c>
      <c r="F1102" s="6" t="str">
        <f>IF(ISNA(MATCH(1093,'Transfer Engine'!$C$2:$C$1199,0)),"",INDEX('Compliance Database'!$F$2:$F$1199,MATCH(1093,'Transfer Engine'!$C$2:$C$1199,0)))</f>
        <v/>
      </c>
      <c r="G1102" s="6" t="str">
        <f>IF(ISNA(MATCH(1093,'Transfer Engine'!$C$2:$C$1199,0)),"",INDEX('Compliance Database'!$G$2:$G$1199,MATCH(1093,'Transfer Engine'!$C$2:$C$1199,0)))</f>
        <v/>
      </c>
      <c r="H1102" s="7" t="str">
        <f>IF(ISNA(MATCH(1093,'Transfer Engine'!$C$2:$C$1199,0)),"",INDEX('Compliance Database'!$H$2:$H$1199,MATCH(1093,'Transfer Engine'!$C$2:$C$1199,0)))</f>
        <v/>
      </c>
      <c r="I1102" s="7" t="str">
        <f>IF(ISNA(MATCH(1093,'Transfer Engine'!$C$2:$C$1199,0)),"",INDEX('Compliance Database'!$I$2:$I$1199,MATCH(1093,'Transfer Engine'!$C$2:$C$1199,0)))</f>
        <v/>
      </c>
      <c r="J1102" s="6" t="str">
        <f>IF(ISNA(MATCH(1093,'Transfer Engine'!$C$2:$C$1199,0)),"",INDEX('Compliance Database'!$J$2:$J$1199,MATCH(1093,'Transfer Engine'!$C$2:$C$1199,0)))</f>
        <v/>
      </c>
      <c r="K1102" s="7" t="str">
        <f>IF(ISNA(MATCH(1093,'Transfer Engine'!$C$2:$C$1199,0)),"",INDEX('Compliance Database'!$K$2:$K$1199,MATCH(1093,'Transfer Engine'!$C$2:$C$1199,0)))</f>
        <v/>
      </c>
      <c r="L1102" s="7" t="str">
        <f>IF(ISNA(MATCH(1093,'Transfer Engine'!$C$2:$C$1199,0)),"",INDEX('Compliance Database'!$L$2:$L$1199,MATCH(1093,'Transfer Engine'!$C$2:$C$1199,0)))</f>
        <v/>
      </c>
      <c r="M1102" s="7" t="str">
        <f>IF(ISNA(MATCH(1093,'Transfer Engine'!$C$2:$C$1199,0)),"",INDEX('Compliance Database'!$M$2:$M$1199,MATCH(1093,'Transfer Engine'!$C$2:$C$1199,0)))</f>
        <v/>
      </c>
      <c r="N1102" s="7" t="str">
        <f>IF(ISNA(MATCH(1093,'Transfer Engine'!$C$2:$C$1199,0)),"",INDEX('Compliance Database'!$N$2:$N$1199,MATCH(1093,'Transfer Engine'!$C$2:$C$1199,0)))</f>
        <v/>
      </c>
      <c r="O1102" s="7" t="str">
        <f>IF(ISNA(MATCH(1093,'Transfer Engine'!$C$2:$C$1199,0)),"",INDEX('Compliance Database'!$O$2:$O$1199,MATCH(1093,'Transfer Engine'!$C$2:$C$1199,0)))</f>
        <v/>
      </c>
      <c r="P1102" s="6" t="str">
        <f>IF(ISNA(MATCH(1093,'Transfer Engine'!$C$2:$C$1199,0)),"",HYPERLINK("#Acts!A"&amp;INDEX('Compliance Database'!$P$2:$P$1199,MATCH(1093,'Transfer Engine'!$C$2:$C$1199,0)),"Go to Act"))</f>
        <v/>
      </c>
    </row>
    <row r="1103" spans="1:16" ht="172.95" customHeight="1" x14ac:dyDescent="0.3">
      <c r="A1103" s="6" t="str">
        <f>IF(ISNA(MATCH(1094,'Transfer Engine'!$C$2:$C$1199,0)),"",INDEX('Compliance Database'!$A$2:$A$1199,MATCH(1094,'Transfer Engine'!$C$2:$C$1199,0)))</f>
        <v/>
      </c>
      <c r="B1103" s="6" t="str">
        <f>IF(ISNA(MATCH(1094,'Transfer Engine'!$C$2:$C$1199,0)),"",INDEX('Compliance Database'!$B$2:$B$1199,MATCH(1094,'Transfer Engine'!$C$2:$C$1199,0)))</f>
        <v/>
      </c>
      <c r="C1103" s="6" t="str">
        <f>IF(ISNA(MATCH(1094,'Transfer Engine'!$C$2:$C$1199,0)),"",INDEX('Compliance Database'!$C$2:$C$1199,MATCH(1094,'Transfer Engine'!$C$2:$C$1199,0)))</f>
        <v/>
      </c>
      <c r="D1103" s="7" t="str">
        <f>IF(ISNA(MATCH(1094,'Transfer Engine'!$C$2:$C$1199,0)),"",INDEX('Compliance Database'!$D$2:$D$1199,MATCH(1094,'Transfer Engine'!$C$2:$C$1199,0)))</f>
        <v/>
      </c>
      <c r="E1103" s="6" t="str">
        <f>IF(ISNA(MATCH(1094,'Transfer Engine'!$C$2:$C$1199,0)),"",INDEX('Compliance Database'!$E$2:$E$1199,MATCH(1094,'Transfer Engine'!$C$2:$C$1199,0)))</f>
        <v/>
      </c>
      <c r="F1103" s="6" t="str">
        <f>IF(ISNA(MATCH(1094,'Transfer Engine'!$C$2:$C$1199,0)),"",INDEX('Compliance Database'!$F$2:$F$1199,MATCH(1094,'Transfer Engine'!$C$2:$C$1199,0)))</f>
        <v/>
      </c>
      <c r="G1103" s="6" t="str">
        <f>IF(ISNA(MATCH(1094,'Transfer Engine'!$C$2:$C$1199,0)),"",INDEX('Compliance Database'!$G$2:$G$1199,MATCH(1094,'Transfer Engine'!$C$2:$C$1199,0)))</f>
        <v/>
      </c>
      <c r="H1103" s="7" t="str">
        <f>IF(ISNA(MATCH(1094,'Transfer Engine'!$C$2:$C$1199,0)),"",INDEX('Compliance Database'!$H$2:$H$1199,MATCH(1094,'Transfer Engine'!$C$2:$C$1199,0)))</f>
        <v/>
      </c>
      <c r="I1103" s="7" t="str">
        <f>IF(ISNA(MATCH(1094,'Transfer Engine'!$C$2:$C$1199,0)),"",INDEX('Compliance Database'!$I$2:$I$1199,MATCH(1094,'Transfer Engine'!$C$2:$C$1199,0)))</f>
        <v/>
      </c>
      <c r="J1103" s="6" t="str">
        <f>IF(ISNA(MATCH(1094,'Transfer Engine'!$C$2:$C$1199,0)),"",INDEX('Compliance Database'!$J$2:$J$1199,MATCH(1094,'Transfer Engine'!$C$2:$C$1199,0)))</f>
        <v/>
      </c>
      <c r="K1103" s="7" t="str">
        <f>IF(ISNA(MATCH(1094,'Transfer Engine'!$C$2:$C$1199,0)),"",INDEX('Compliance Database'!$K$2:$K$1199,MATCH(1094,'Transfer Engine'!$C$2:$C$1199,0)))</f>
        <v/>
      </c>
      <c r="L1103" s="7" t="str">
        <f>IF(ISNA(MATCH(1094,'Transfer Engine'!$C$2:$C$1199,0)),"",INDEX('Compliance Database'!$L$2:$L$1199,MATCH(1094,'Transfer Engine'!$C$2:$C$1199,0)))</f>
        <v/>
      </c>
      <c r="M1103" s="7" t="str">
        <f>IF(ISNA(MATCH(1094,'Transfer Engine'!$C$2:$C$1199,0)),"",INDEX('Compliance Database'!$M$2:$M$1199,MATCH(1094,'Transfer Engine'!$C$2:$C$1199,0)))</f>
        <v/>
      </c>
      <c r="N1103" s="7" t="str">
        <f>IF(ISNA(MATCH(1094,'Transfer Engine'!$C$2:$C$1199,0)),"",INDEX('Compliance Database'!$N$2:$N$1199,MATCH(1094,'Transfer Engine'!$C$2:$C$1199,0)))</f>
        <v/>
      </c>
      <c r="O1103" s="7" t="str">
        <f>IF(ISNA(MATCH(1094,'Transfer Engine'!$C$2:$C$1199,0)),"",INDEX('Compliance Database'!$O$2:$O$1199,MATCH(1094,'Transfer Engine'!$C$2:$C$1199,0)))</f>
        <v/>
      </c>
      <c r="P1103" s="6" t="str">
        <f>IF(ISNA(MATCH(1094,'Transfer Engine'!$C$2:$C$1199,0)),"",HYPERLINK("#Acts!A"&amp;INDEX('Compliance Database'!$P$2:$P$1199,MATCH(1094,'Transfer Engine'!$C$2:$C$1199,0)),"Go to Act"))</f>
        <v/>
      </c>
    </row>
    <row r="1104" spans="1:16" ht="172.95" customHeight="1" x14ac:dyDescent="0.3">
      <c r="A1104" s="6" t="str">
        <f>IF(ISNA(MATCH(1095,'Transfer Engine'!$C$2:$C$1199,0)),"",INDEX('Compliance Database'!$A$2:$A$1199,MATCH(1095,'Transfer Engine'!$C$2:$C$1199,0)))</f>
        <v/>
      </c>
      <c r="B1104" s="6" t="str">
        <f>IF(ISNA(MATCH(1095,'Transfer Engine'!$C$2:$C$1199,0)),"",INDEX('Compliance Database'!$B$2:$B$1199,MATCH(1095,'Transfer Engine'!$C$2:$C$1199,0)))</f>
        <v/>
      </c>
      <c r="C1104" s="6" t="str">
        <f>IF(ISNA(MATCH(1095,'Transfer Engine'!$C$2:$C$1199,0)),"",INDEX('Compliance Database'!$C$2:$C$1199,MATCH(1095,'Transfer Engine'!$C$2:$C$1199,0)))</f>
        <v/>
      </c>
      <c r="D1104" s="7" t="str">
        <f>IF(ISNA(MATCH(1095,'Transfer Engine'!$C$2:$C$1199,0)),"",INDEX('Compliance Database'!$D$2:$D$1199,MATCH(1095,'Transfer Engine'!$C$2:$C$1199,0)))</f>
        <v/>
      </c>
      <c r="E1104" s="6" t="str">
        <f>IF(ISNA(MATCH(1095,'Transfer Engine'!$C$2:$C$1199,0)),"",INDEX('Compliance Database'!$E$2:$E$1199,MATCH(1095,'Transfer Engine'!$C$2:$C$1199,0)))</f>
        <v/>
      </c>
      <c r="F1104" s="6" t="str">
        <f>IF(ISNA(MATCH(1095,'Transfer Engine'!$C$2:$C$1199,0)),"",INDEX('Compliance Database'!$F$2:$F$1199,MATCH(1095,'Transfer Engine'!$C$2:$C$1199,0)))</f>
        <v/>
      </c>
      <c r="G1104" s="6" t="str">
        <f>IF(ISNA(MATCH(1095,'Transfer Engine'!$C$2:$C$1199,0)),"",INDEX('Compliance Database'!$G$2:$G$1199,MATCH(1095,'Transfer Engine'!$C$2:$C$1199,0)))</f>
        <v/>
      </c>
      <c r="H1104" s="7" t="str">
        <f>IF(ISNA(MATCH(1095,'Transfer Engine'!$C$2:$C$1199,0)),"",INDEX('Compliance Database'!$H$2:$H$1199,MATCH(1095,'Transfer Engine'!$C$2:$C$1199,0)))</f>
        <v/>
      </c>
      <c r="I1104" s="7" t="str">
        <f>IF(ISNA(MATCH(1095,'Transfer Engine'!$C$2:$C$1199,0)),"",INDEX('Compliance Database'!$I$2:$I$1199,MATCH(1095,'Transfer Engine'!$C$2:$C$1199,0)))</f>
        <v/>
      </c>
      <c r="J1104" s="6" t="str">
        <f>IF(ISNA(MATCH(1095,'Transfer Engine'!$C$2:$C$1199,0)),"",INDEX('Compliance Database'!$J$2:$J$1199,MATCH(1095,'Transfer Engine'!$C$2:$C$1199,0)))</f>
        <v/>
      </c>
      <c r="K1104" s="7" t="str">
        <f>IF(ISNA(MATCH(1095,'Transfer Engine'!$C$2:$C$1199,0)),"",INDEX('Compliance Database'!$K$2:$K$1199,MATCH(1095,'Transfer Engine'!$C$2:$C$1199,0)))</f>
        <v/>
      </c>
      <c r="L1104" s="7" t="str">
        <f>IF(ISNA(MATCH(1095,'Transfer Engine'!$C$2:$C$1199,0)),"",INDEX('Compliance Database'!$L$2:$L$1199,MATCH(1095,'Transfer Engine'!$C$2:$C$1199,0)))</f>
        <v/>
      </c>
      <c r="M1104" s="7" t="str">
        <f>IF(ISNA(MATCH(1095,'Transfer Engine'!$C$2:$C$1199,0)),"",INDEX('Compliance Database'!$M$2:$M$1199,MATCH(1095,'Transfer Engine'!$C$2:$C$1199,0)))</f>
        <v/>
      </c>
      <c r="N1104" s="7" t="str">
        <f>IF(ISNA(MATCH(1095,'Transfer Engine'!$C$2:$C$1199,0)),"",INDEX('Compliance Database'!$N$2:$N$1199,MATCH(1095,'Transfer Engine'!$C$2:$C$1199,0)))</f>
        <v/>
      </c>
      <c r="O1104" s="7" t="str">
        <f>IF(ISNA(MATCH(1095,'Transfer Engine'!$C$2:$C$1199,0)),"",INDEX('Compliance Database'!$O$2:$O$1199,MATCH(1095,'Transfer Engine'!$C$2:$C$1199,0)))</f>
        <v/>
      </c>
      <c r="P1104" s="6" t="str">
        <f>IF(ISNA(MATCH(1095,'Transfer Engine'!$C$2:$C$1199,0)),"",HYPERLINK("#Acts!A"&amp;INDEX('Compliance Database'!$P$2:$P$1199,MATCH(1095,'Transfer Engine'!$C$2:$C$1199,0)),"Go to Act"))</f>
        <v/>
      </c>
    </row>
    <row r="1105" spans="1:16" ht="172.95" customHeight="1" x14ac:dyDescent="0.3">
      <c r="A1105" s="6" t="str">
        <f>IF(ISNA(MATCH(1096,'Transfer Engine'!$C$2:$C$1199,0)),"",INDEX('Compliance Database'!$A$2:$A$1199,MATCH(1096,'Transfer Engine'!$C$2:$C$1199,0)))</f>
        <v/>
      </c>
      <c r="B1105" s="6" t="str">
        <f>IF(ISNA(MATCH(1096,'Transfer Engine'!$C$2:$C$1199,0)),"",INDEX('Compliance Database'!$B$2:$B$1199,MATCH(1096,'Transfer Engine'!$C$2:$C$1199,0)))</f>
        <v/>
      </c>
      <c r="C1105" s="6" t="str">
        <f>IF(ISNA(MATCH(1096,'Transfer Engine'!$C$2:$C$1199,0)),"",INDEX('Compliance Database'!$C$2:$C$1199,MATCH(1096,'Transfer Engine'!$C$2:$C$1199,0)))</f>
        <v/>
      </c>
      <c r="D1105" s="7" t="str">
        <f>IF(ISNA(MATCH(1096,'Transfer Engine'!$C$2:$C$1199,0)),"",INDEX('Compliance Database'!$D$2:$D$1199,MATCH(1096,'Transfer Engine'!$C$2:$C$1199,0)))</f>
        <v/>
      </c>
      <c r="E1105" s="6" t="str">
        <f>IF(ISNA(MATCH(1096,'Transfer Engine'!$C$2:$C$1199,0)),"",INDEX('Compliance Database'!$E$2:$E$1199,MATCH(1096,'Transfer Engine'!$C$2:$C$1199,0)))</f>
        <v/>
      </c>
      <c r="F1105" s="6" t="str">
        <f>IF(ISNA(MATCH(1096,'Transfer Engine'!$C$2:$C$1199,0)),"",INDEX('Compliance Database'!$F$2:$F$1199,MATCH(1096,'Transfer Engine'!$C$2:$C$1199,0)))</f>
        <v/>
      </c>
      <c r="G1105" s="6" t="str">
        <f>IF(ISNA(MATCH(1096,'Transfer Engine'!$C$2:$C$1199,0)),"",INDEX('Compliance Database'!$G$2:$G$1199,MATCH(1096,'Transfer Engine'!$C$2:$C$1199,0)))</f>
        <v/>
      </c>
      <c r="H1105" s="7" t="str">
        <f>IF(ISNA(MATCH(1096,'Transfer Engine'!$C$2:$C$1199,0)),"",INDEX('Compliance Database'!$H$2:$H$1199,MATCH(1096,'Transfer Engine'!$C$2:$C$1199,0)))</f>
        <v/>
      </c>
      <c r="I1105" s="7" t="str">
        <f>IF(ISNA(MATCH(1096,'Transfer Engine'!$C$2:$C$1199,0)),"",INDEX('Compliance Database'!$I$2:$I$1199,MATCH(1096,'Transfer Engine'!$C$2:$C$1199,0)))</f>
        <v/>
      </c>
      <c r="J1105" s="6" t="str">
        <f>IF(ISNA(MATCH(1096,'Transfer Engine'!$C$2:$C$1199,0)),"",INDEX('Compliance Database'!$J$2:$J$1199,MATCH(1096,'Transfer Engine'!$C$2:$C$1199,0)))</f>
        <v/>
      </c>
      <c r="K1105" s="7" t="str">
        <f>IF(ISNA(MATCH(1096,'Transfer Engine'!$C$2:$C$1199,0)),"",INDEX('Compliance Database'!$K$2:$K$1199,MATCH(1096,'Transfer Engine'!$C$2:$C$1199,0)))</f>
        <v/>
      </c>
      <c r="L1105" s="7" t="str">
        <f>IF(ISNA(MATCH(1096,'Transfer Engine'!$C$2:$C$1199,0)),"",INDEX('Compliance Database'!$L$2:$L$1199,MATCH(1096,'Transfer Engine'!$C$2:$C$1199,0)))</f>
        <v/>
      </c>
      <c r="M1105" s="7" t="str">
        <f>IF(ISNA(MATCH(1096,'Transfer Engine'!$C$2:$C$1199,0)),"",INDEX('Compliance Database'!$M$2:$M$1199,MATCH(1096,'Transfer Engine'!$C$2:$C$1199,0)))</f>
        <v/>
      </c>
      <c r="N1105" s="7" t="str">
        <f>IF(ISNA(MATCH(1096,'Transfer Engine'!$C$2:$C$1199,0)),"",INDEX('Compliance Database'!$N$2:$N$1199,MATCH(1096,'Transfer Engine'!$C$2:$C$1199,0)))</f>
        <v/>
      </c>
      <c r="O1105" s="7" t="str">
        <f>IF(ISNA(MATCH(1096,'Transfer Engine'!$C$2:$C$1199,0)),"",INDEX('Compliance Database'!$O$2:$O$1199,MATCH(1096,'Transfer Engine'!$C$2:$C$1199,0)))</f>
        <v/>
      </c>
      <c r="P1105" s="6" t="str">
        <f>IF(ISNA(MATCH(1096,'Transfer Engine'!$C$2:$C$1199,0)),"",HYPERLINK("#Acts!A"&amp;INDEX('Compliance Database'!$P$2:$P$1199,MATCH(1096,'Transfer Engine'!$C$2:$C$1199,0)),"Go to Act"))</f>
        <v/>
      </c>
    </row>
    <row r="1106" spans="1:16" ht="172.95" customHeight="1" x14ac:dyDescent="0.3">
      <c r="A1106" s="6" t="str">
        <f>IF(ISNA(MATCH(1097,'Transfer Engine'!$C$2:$C$1199,0)),"",INDEX('Compliance Database'!$A$2:$A$1199,MATCH(1097,'Transfer Engine'!$C$2:$C$1199,0)))</f>
        <v/>
      </c>
      <c r="B1106" s="6" t="str">
        <f>IF(ISNA(MATCH(1097,'Transfer Engine'!$C$2:$C$1199,0)),"",INDEX('Compliance Database'!$B$2:$B$1199,MATCH(1097,'Transfer Engine'!$C$2:$C$1199,0)))</f>
        <v/>
      </c>
      <c r="C1106" s="6" t="str">
        <f>IF(ISNA(MATCH(1097,'Transfer Engine'!$C$2:$C$1199,0)),"",INDEX('Compliance Database'!$C$2:$C$1199,MATCH(1097,'Transfer Engine'!$C$2:$C$1199,0)))</f>
        <v/>
      </c>
      <c r="D1106" s="7" t="str">
        <f>IF(ISNA(MATCH(1097,'Transfer Engine'!$C$2:$C$1199,0)),"",INDEX('Compliance Database'!$D$2:$D$1199,MATCH(1097,'Transfer Engine'!$C$2:$C$1199,0)))</f>
        <v/>
      </c>
      <c r="E1106" s="6" t="str">
        <f>IF(ISNA(MATCH(1097,'Transfer Engine'!$C$2:$C$1199,0)),"",INDEX('Compliance Database'!$E$2:$E$1199,MATCH(1097,'Transfer Engine'!$C$2:$C$1199,0)))</f>
        <v/>
      </c>
      <c r="F1106" s="6" t="str">
        <f>IF(ISNA(MATCH(1097,'Transfer Engine'!$C$2:$C$1199,0)),"",INDEX('Compliance Database'!$F$2:$F$1199,MATCH(1097,'Transfer Engine'!$C$2:$C$1199,0)))</f>
        <v/>
      </c>
      <c r="G1106" s="6" t="str">
        <f>IF(ISNA(MATCH(1097,'Transfer Engine'!$C$2:$C$1199,0)),"",INDEX('Compliance Database'!$G$2:$G$1199,MATCH(1097,'Transfer Engine'!$C$2:$C$1199,0)))</f>
        <v/>
      </c>
      <c r="H1106" s="7" t="str">
        <f>IF(ISNA(MATCH(1097,'Transfer Engine'!$C$2:$C$1199,0)),"",INDEX('Compliance Database'!$H$2:$H$1199,MATCH(1097,'Transfer Engine'!$C$2:$C$1199,0)))</f>
        <v/>
      </c>
      <c r="I1106" s="7" t="str">
        <f>IF(ISNA(MATCH(1097,'Transfer Engine'!$C$2:$C$1199,0)),"",INDEX('Compliance Database'!$I$2:$I$1199,MATCH(1097,'Transfer Engine'!$C$2:$C$1199,0)))</f>
        <v/>
      </c>
      <c r="J1106" s="6" t="str">
        <f>IF(ISNA(MATCH(1097,'Transfer Engine'!$C$2:$C$1199,0)),"",INDEX('Compliance Database'!$J$2:$J$1199,MATCH(1097,'Transfer Engine'!$C$2:$C$1199,0)))</f>
        <v/>
      </c>
      <c r="K1106" s="7" t="str">
        <f>IF(ISNA(MATCH(1097,'Transfer Engine'!$C$2:$C$1199,0)),"",INDEX('Compliance Database'!$K$2:$K$1199,MATCH(1097,'Transfer Engine'!$C$2:$C$1199,0)))</f>
        <v/>
      </c>
      <c r="L1106" s="7" t="str">
        <f>IF(ISNA(MATCH(1097,'Transfer Engine'!$C$2:$C$1199,0)),"",INDEX('Compliance Database'!$L$2:$L$1199,MATCH(1097,'Transfer Engine'!$C$2:$C$1199,0)))</f>
        <v/>
      </c>
      <c r="M1106" s="7" t="str">
        <f>IF(ISNA(MATCH(1097,'Transfer Engine'!$C$2:$C$1199,0)),"",INDEX('Compliance Database'!$M$2:$M$1199,MATCH(1097,'Transfer Engine'!$C$2:$C$1199,0)))</f>
        <v/>
      </c>
      <c r="N1106" s="7" t="str">
        <f>IF(ISNA(MATCH(1097,'Transfer Engine'!$C$2:$C$1199,0)),"",INDEX('Compliance Database'!$N$2:$N$1199,MATCH(1097,'Transfer Engine'!$C$2:$C$1199,0)))</f>
        <v/>
      </c>
      <c r="O1106" s="7" t="str">
        <f>IF(ISNA(MATCH(1097,'Transfer Engine'!$C$2:$C$1199,0)),"",INDEX('Compliance Database'!$O$2:$O$1199,MATCH(1097,'Transfer Engine'!$C$2:$C$1199,0)))</f>
        <v/>
      </c>
      <c r="P1106" s="6" t="str">
        <f>IF(ISNA(MATCH(1097,'Transfer Engine'!$C$2:$C$1199,0)),"",HYPERLINK("#Acts!A"&amp;INDEX('Compliance Database'!$P$2:$P$1199,MATCH(1097,'Transfer Engine'!$C$2:$C$1199,0)),"Go to Act"))</f>
        <v/>
      </c>
    </row>
    <row r="1107" spans="1:16" ht="172.95" customHeight="1" x14ac:dyDescent="0.3">
      <c r="A1107" s="6" t="str">
        <f>IF(ISNA(MATCH(1098,'Transfer Engine'!$C$2:$C$1199,0)),"",INDEX('Compliance Database'!$A$2:$A$1199,MATCH(1098,'Transfer Engine'!$C$2:$C$1199,0)))</f>
        <v/>
      </c>
      <c r="B1107" s="6" t="str">
        <f>IF(ISNA(MATCH(1098,'Transfer Engine'!$C$2:$C$1199,0)),"",INDEX('Compliance Database'!$B$2:$B$1199,MATCH(1098,'Transfer Engine'!$C$2:$C$1199,0)))</f>
        <v/>
      </c>
      <c r="C1107" s="6" t="str">
        <f>IF(ISNA(MATCH(1098,'Transfer Engine'!$C$2:$C$1199,0)),"",INDEX('Compliance Database'!$C$2:$C$1199,MATCH(1098,'Transfer Engine'!$C$2:$C$1199,0)))</f>
        <v/>
      </c>
      <c r="D1107" s="7" t="str">
        <f>IF(ISNA(MATCH(1098,'Transfer Engine'!$C$2:$C$1199,0)),"",INDEX('Compliance Database'!$D$2:$D$1199,MATCH(1098,'Transfer Engine'!$C$2:$C$1199,0)))</f>
        <v/>
      </c>
      <c r="E1107" s="6" t="str">
        <f>IF(ISNA(MATCH(1098,'Transfer Engine'!$C$2:$C$1199,0)),"",INDEX('Compliance Database'!$E$2:$E$1199,MATCH(1098,'Transfer Engine'!$C$2:$C$1199,0)))</f>
        <v/>
      </c>
      <c r="F1107" s="6" t="str">
        <f>IF(ISNA(MATCH(1098,'Transfer Engine'!$C$2:$C$1199,0)),"",INDEX('Compliance Database'!$F$2:$F$1199,MATCH(1098,'Transfer Engine'!$C$2:$C$1199,0)))</f>
        <v/>
      </c>
      <c r="G1107" s="6" t="str">
        <f>IF(ISNA(MATCH(1098,'Transfer Engine'!$C$2:$C$1199,0)),"",INDEX('Compliance Database'!$G$2:$G$1199,MATCH(1098,'Transfer Engine'!$C$2:$C$1199,0)))</f>
        <v/>
      </c>
      <c r="H1107" s="7" t="str">
        <f>IF(ISNA(MATCH(1098,'Transfer Engine'!$C$2:$C$1199,0)),"",INDEX('Compliance Database'!$H$2:$H$1199,MATCH(1098,'Transfer Engine'!$C$2:$C$1199,0)))</f>
        <v/>
      </c>
      <c r="I1107" s="7" t="str">
        <f>IF(ISNA(MATCH(1098,'Transfer Engine'!$C$2:$C$1199,0)),"",INDEX('Compliance Database'!$I$2:$I$1199,MATCH(1098,'Transfer Engine'!$C$2:$C$1199,0)))</f>
        <v/>
      </c>
      <c r="J1107" s="6" t="str">
        <f>IF(ISNA(MATCH(1098,'Transfer Engine'!$C$2:$C$1199,0)),"",INDEX('Compliance Database'!$J$2:$J$1199,MATCH(1098,'Transfer Engine'!$C$2:$C$1199,0)))</f>
        <v/>
      </c>
      <c r="K1107" s="7" t="str">
        <f>IF(ISNA(MATCH(1098,'Transfer Engine'!$C$2:$C$1199,0)),"",INDEX('Compliance Database'!$K$2:$K$1199,MATCH(1098,'Transfer Engine'!$C$2:$C$1199,0)))</f>
        <v/>
      </c>
      <c r="L1107" s="7" t="str">
        <f>IF(ISNA(MATCH(1098,'Transfer Engine'!$C$2:$C$1199,0)),"",INDEX('Compliance Database'!$L$2:$L$1199,MATCH(1098,'Transfer Engine'!$C$2:$C$1199,0)))</f>
        <v/>
      </c>
      <c r="M1107" s="7" t="str">
        <f>IF(ISNA(MATCH(1098,'Transfer Engine'!$C$2:$C$1199,0)),"",INDEX('Compliance Database'!$M$2:$M$1199,MATCH(1098,'Transfer Engine'!$C$2:$C$1199,0)))</f>
        <v/>
      </c>
      <c r="N1107" s="7" t="str">
        <f>IF(ISNA(MATCH(1098,'Transfer Engine'!$C$2:$C$1199,0)),"",INDEX('Compliance Database'!$N$2:$N$1199,MATCH(1098,'Transfer Engine'!$C$2:$C$1199,0)))</f>
        <v/>
      </c>
      <c r="O1107" s="7" t="str">
        <f>IF(ISNA(MATCH(1098,'Transfer Engine'!$C$2:$C$1199,0)),"",INDEX('Compliance Database'!$O$2:$O$1199,MATCH(1098,'Transfer Engine'!$C$2:$C$1199,0)))</f>
        <v/>
      </c>
      <c r="P1107" s="6" t="str">
        <f>IF(ISNA(MATCH(1098,'Transfer Engine'!$C$2:$C$1199,0)),"",HYPERLINK("#Acts!A"&amp;INDEX('Compliance Database'!$P$2:$P$1199,MATCH(1098,'Transfer Engine'!$C$2:$C$1199,0)),"Go to Act"))</f>
        <v/>
      </c>
    </row>
    <row r="1108" spans="1:16" ht="172.95" customHeight="1" x14ac:dyDescent="0.3">
      <c r="A1108" s="6" t="str">
        <f>IF(ISNA(MATCH(1099,'Transfer Engine'!$C$2:$C$1199,0)),"",INDEX('Compliance Database'!$A$2:$A$1199,MATCH(1099,'Transfer Engine'!$C$2:$C$1199,0)))</f>
        <v/>
      </c>
      <c r="B1108" s="6" t="str">
        <f>IF(ISNA(MATCH(1099,'Transfer Engine'!$C$2:$C$1199,0)),"",INDEX('Compliance Database'!$B$2:$B$1199,MATCH(1099,'Transfer Engine'!$C$2:$C$1199,0)))</f>
        <v/>
      </c>
      <c r="C1108" s="6" t="str">
        <f>IF(ISNA(MATCH(1099,'Transfer Engine'!$C$2:$C$1199,0)),"",INDEX('Compliance Database'!$C$2:$C$1199,MATCH(1099,'Transfer Engine'!$C$2:$C$1199,0)))</f>
        <v/>
      </c>
      <c r="D1108" s="7" t="str">
        <f>IF(ISNA(MATCH(1099,'Transfer Engine'!$C$2:$C$1199,0)),"",INDEX('Compliance Database'!$D$2:$D$1199,MATCH(1099,'Transfer Engine'!$C$2:$C$1199,0)))</f>
        <v/>
      </c>
      <c r="E1108" s="6" t="str">
        <f>IF(ISNA(MATCH(1099,'Transfer Engine'!$C$2:$C$1199,0)),"",INDEX('Compliance Database'!$E$2:$E$1199,MATCH(1099,'Transfer Engine'!$C$2:$C$1199,0)))</f>
        <v/>
      </c>
      <c r="F1108" s="6" t="str">
        <f>IF(ISNA(MATCH(1099,'Transfer Engine'!$C$2:$C$1199,0)),"",INDEX('Compliance Database'!$F$2:$F$1199,MATCH(1099,'Transfer Engine'!$C$2:$C$1199,0)))</f>
        <v/>
      </c>
      <c r="G1108" s="6" t="str">
        <f>IF(ISNA(MATCH(1099,'Transfer Engine'!$C$2:$C$1199,0)),"",INDEX('Compliance Database'!$G$2:$G$1199,MATCH(1099,'Transfer Engine'!$C$2:$C$1199,0)))</f>
        <v/>
      </c>
      <c r="H1108" s="7" t="str">
        <f>IF(ISNA(MATCH(1099,'Transfer Engine'!$C$2:$C$1199,0)),"",INDEX('Compliance Database'!$H$2:$H$1199,MATCH(1099,'Transfer Engine'!$C$2:$C$1199,0)))</f>
        <v/>
      </c>
      <c r="I1108" s="7" t="str">
        <f>IF(ISNA(MATCH(1099,'Transfer Engine'!$C$2:$C$1199,0)),"",INDEX('Compliance Database'!$I$2:$I$1199,MATCH(1099,'Transfer Engine'!$C$2:$C$1199,0)))</f>
        <v/>
      </c>
      <c r="J1108" s="6" t="str">
        <f>IF(ISNA(MATCH(1099,'Transfer Engine'!$C$2:$C$1199,0)),"",INDEX('Compliance Database'!$J$2:$J$1199,MATCH(1099,'Transfer Engine'!$C$2:$C$1199,0)))</f>
        <v/>
      </c>
      <c r="K1108" s="7" t="str">
        <f>IF(ISNA(MATCH(1099,'Transfer Engine'!$C$2:$C$1199,0)),"",INDEX('Compliance Database'!$K$2:$K$1199,MATCH(1099,'Transfer Engine'!$C$2:$C$1199,0)))</f>
        <v/>
      </c>
      <c r="L1108" s="7" t="str">
        <f>IF(ISNA(MATCH(1099,'Transfer Engine'!$C$2:$C$1199,0)),"",INDEX('Compliance Database'!$L$2:$L$1199,MATCH(1099,'Transfer Engine'!$C$2:$C$1199,0)))</f>
        <v/>
      </c>
      <c r="M1108" s="7" t="str">
        <f>IF(ISNA(MATCH(1099,'Transfer Engine'!$C$2:$C$1199,0)),"",INDEX('Compliance Database'!$M$2:$M$1199,MATCH(1099,'Transfer Engine'!$C$2:$C$1199,0)))</f>
        <v/>
      </c>
      <c r="N1108" s="7" t="str">
        <f>IF(ISNA(MATCH(1099,'Transfer Engine'!$C$2:$C$1199,0)),"",INDEX('Compliance Database'!$N$2:$N$1199,MATCH(1099,'Transfer Engine'!$C$2:$C$1199,0)))</f>
        <v/>
      </c>
      <c r="O1108" s="7" t="str">
        <f>IF(ISNA(MATCH(1099,'Transfer Engine'!$C$2:$C$1199,0)),"",INDEX('Compliance Database'!$O$2:$O$1199,MATCH(1099,'Transfer Engine'!$C$2:$C$1199,0)))</f>
        <v/>
      </c>
      <c r="P1108" s="6" t="str">
        <f>IF(ISNA(MATCH(1099,'Transfer Engine'!$C$2:$C$1199,0)),"",HYPERLINK("#Acts!A"&amp;INDEX('Compliance Database'!$P$2:$P$1199,MATCH(1099,'Transfer Engine'!$C$2:$C$1199,0)),"Go to Act"))</f>
        <v/>
      </c>
    </row>
    <row r="1109" spans="1:16" ht="172.95" customHeight="1" x14ac:dyDescent="0.3">
      <c r="A1109" s="6" t="str">
        <f>IF(ISNA(MATCH(1100,'Transfer Engine'!$C$2:$C$1199,0)),"",INDEX('Compliance Database'!$A$2:$A$1199,MATCH(1100,'Transfer Engine'!$C$2:$C$1199,0)))</f>
        <v/>
      </c>
      <c r="B1109" s="6" t="str">
        <f>IF(ISNA(MATCH(1100,'Transfer Engine'!$C$2:$C$1199,0)),"",INDEX('Compliance Database'!$B$2:$B$1199,MATCH(1100,'Transfer Engine'!$C$2:$C$1199,0)))</f>
        <v/>
      </c>
      <c r="C1109" s="6" t="str">
        <f>IF(ISNA(MATCH(1100,'Transfer Engine'!$C$2:$C$1199,0)),"",INDEX('Compliance Database'!$C$2:$C$1199,MATCH(1100,'Transfer Engine'!$C$2:$C$1199,0)))</f>
        <v/>
      </c>
      <c r="D1109" s="7" t="str">
        <f>IF(ISNA(MATCH(1100,'Transfer Engine'!$C$2:$C$1199,0)),"",INDEX('Compliance Database'!$D$2:$D$1199,MATCH(1100,'Transfer Engine'!$C$2:$C$1199,0)))</f>
        <v/>
      </c>
      <c r="E1109" s="6" t="str">
        <f>IF(ISNA(MATCH(1100,'Transfer Engine'!$C$2:$C$1199,0)),"",INDEX('Compliance Database'!$E$2:$E$1199,MATCH(1100,'Transfer Engine'!$C$2:$C$1199,0)))</f>
        <v/>
      </c>
      <c r="F1109" s="6" t="str">
        <f>IF(ISNA(MATCH(1100,'Transfer Engine'!$C$2:$C$1199,0)),"",INDEX('Compliance Database'!$F$2:$F$1199,MATCH(1100,'Transfer Engine'!$C$2:$C$1199,0)))</f>
        <v/>
      </c>
      <c r="G1109" s="6" t="str">
        <f>IF(ISNA(MATCH(1100,'Transfer Engine'!$C$2:$C$1199,0)),"",INDEX('Compliance Database'!$G$2:$G$1199,MATCH(1100,'Transfer Engine'!$C$2:$C$1199,0)))</f>
        <v/>
      </c>
      <c r="H1109" s="7" t="str">
        <f>IF(ISNA(MATCH(1100,'Transfer Engine'!$C$2:$C$1199,0)),"",INDEX('Compliance Database'!$H$2:$H$1199,MATCH(1100,'Transfer Engine'!$C$2:$C$1199,0)))</f>
        <v/>
      </c>
      <c r="I1109" s="7" t="str">
        <f>IF(ISNA(MATCH(1100,'Transfer Engine'!$C$2:$C$1199,0)),"",INDEX('Compliance Database'!$I$2:$I$1199,MATCH(1100,'Transfer Engine'!$C$2:$C$1199,0)))</f>
        <v/>
      </c>
      <c r="J1109" s="6" t="str">
        <f>IF(ISNA(MATCH(1100,'Transfer Engine'!$C$2:$C$1199,0)),"",INDEX('Compliance Database'!$J$2:$J$1199,MATCH(1100,'Transfer Engine'!$C$2:$C$1199,0)))</f>
        <v/>
      </c>
      <c r="K1109" s="7" t="str">
        <f>IF(ISNA(MATCH(1100,'Transfer Engine'!$C$2:$C$1199,0)),"",INDEX('Compliance Database'!$K$2:$K$1199,MATCH(1100,'Transfer Engine'!$C$2:$C$1199,0)))</f>
        <v/>
      </c>
      <c r="L1109" s="7" t="str">
        <f>IF(ISNA(MATCH(1100,'Transfer Engine'!$C$2:$C$1199,0)),"",INDEX('Compliance Database'!$L$2:$L$1199,MATCH(1100,'Transfer Engine'!$C$2:$C$1199,0)))</f>
        <v/>
      </c>
      <c r="M1109" s="7" t="str">
        <f>IF(ISNA(MATCH(1100,'Transfer Engine'!$C$2:$C$1199,0)),"",INDEX('Compliance Database'!$M$2:$M$1199,MATCH(1100,'Transfer Engine'!$C$2:$C$1199,0)))</f>
        <v/>
      </c>
      <c r="N1109" s="7" t="str">
        <f>IF(ISNA(MATCH(1100,'Transfer Engine'!$C$2:$C$1199,0)),"",INDEX('Compliance Database'!$N$2:$N$1199,MATCH(1100,'Transfer Engine'!$C$2:$C$1199,0)))</f>
        <v/>
      </c>
      <c r="O1109" s="7" t="str">
        <f>IF(ISNA(MATCH(1100,'Transfer Engine'!$C$2:$C$1199,0)),"",INDEX('Compliance Database'!$O$2:$O$1199,MATCH(1100,'Transfer Engine'!$C$2:$C$1199,0)))</f>
        <v/>
      </c>
      <c r="P1109" s="6" t="str">
        <f>IF(ISNA(MATCH(1100,'Transfer Engine'!$C$2:$C$1199,0)),"",HYPERLINK("#Acts!A"&amp;INDEX('Compliance Database'!$P$2:$P$1199,MATCH(1100,'Transfer Engine'!$C$2:$C$1199,0)),"Go to Act"))</f>
        <v/>
      </c>
    </row>
    <row r="1110" spans="1:16" ht="172.95" customHeight="1" x14ac:dyDescent="0.3">
      <c r="A1110" s="6" t="str">
        <f>IF(ISNA(MATCH(1101,'Transfer Engine'!$C$2:$C$1199,0)),"",INDEX('Compliance Database'!$A$2:$A$1199,MATCH(1101,'Transfer Engine'!$C$2:$C$1199,0)))</f>
        <v/>
      </c>
      <c r="B1110" s="6" t="str">
        <f>IF(ISNA(MATCH(1101,'Transfer Engine'!$C$2:$C$1199,0)),"",INDEX('Compliance Database'!$B$2:$B$1199,MATCH(1101,'Transfer Engine'!$C$2:$C$1199,0)))</f>
        <v/>
      </c>
      <c r="C1110" s="6" t="str">
        <f>IF(ISNA(MATCH(1101,'Transfer Engine'!$C$2:$C$1199,0)),"",INDEX('Compliance Database'!$C$2:$C$1199,MATCH(1101,'Transfer Engine'!$C$2:$C$1199,0)))</f>
        <v/>
      </c>
      <c r="D1110" s="7" t="str">
        <f>IF(ISNA(MATCH(1101,'Transfer Engine'!$C$2:$C$1199,0)),"",INDEX('Compliance Database'!$D$2:$D$1199,MATCH(1101,'Transfer Engine'!$C$2:$C$1199,0)))</f>
        <v/>
      </c>
      <c r="E1110" s="6" t="str">
        <f>IF(ISNA(MATCH(1101,'Transfer Engine'!$C$2:$C$1199,0)),"",INDEX('Compliance Database'!$E$2:$E$1199,MATCH(1101,'Transfer Engine'!$C$2:$C$1199,0)))</f>
        <v/>
      </c>
      <c r="F1110" s="6" t="str">
        <f>IF(ISNA(MATCH(1101,'Transfer Engine'!$C$2:$C$1199,0)),"",INDEX('Compliance Database'!$F$2:$F$1199,MATCH(1101,'Transfer Engine'!$C$2:$C$1199,0)))</f>
        <v/>
      </c>
      <c r="G1110" s="6" t="str">
        <f>IF(ISNA(MATCH(1101,'Transfer Engine'!$C$2:$C$1199,0)),"",INDEX('Compliance Database'!$G$2:$G$1199,MATCH(1101,'Transfer Engine'!$C$2:$C$1199,0)))</f>
        <v/>
      </c>
      <c r="H1110" s="7" t="str">
        <f>IF(ISNA(MATCH(1101,'Transfer Engine'!$C$2:$C$1199,0)),"",INDEX('Compliance Database'!$H$2:$H$1199,MATCH(1101,'Transfer Engine'!$C$2:$C$1199,0)))</f>
        <v/>
      </c>
      <c r="I1110" s="7" t="str">
        <f>IF(ISNA(MATCH(1101,'Transfer Engine'!$C$2:$C$1199,0)),"",INDEX('Compliance Database'!$I$2:$I$1199,MATCH(1101,'Transfer Engine'!$C$2:$C$1199,0)))</f>
        <v/>
      </c>
      <c r="J1110" s="6" t="str">
        <f>IF(ISNA(MATCH(1101,'Transfer Engine'!$C$2:$C$1199,0)),"",INDEX('Compliance Database'!$J$2:$J$1199,MATCH(1101,'Transfer Engine'!$C$2:$C$1199,0)))</f>
        <v/>
      </c>
      <c r="K1110" s="7" t="str">
        <f>IF(ISNA(MATCH(1101,'Transfer Engine'!$C$2:$C$1199,0)),"",INDEX('Compliance Database'!$K$2:$K$1199,MATCH(1101,'Transfer Engine'!$C$2:$C$1199,0)))</f>
        <v/>
      </c>
      <c r="L1110" s="7" t="str">
        <f>IF(ISNA(MATCH(1101,'Transfer Engine'!$C$2:$C$1199,0)),"",INDEX('Compliance Database'!$L$2:$L$1199,MATCH(1101,'Transfer Engine'!$C$2:$C$1199,0)))</f>
        <v/>
      </c>
      <c r="M1110" s="7" t="str">
        <f>IF(ISNA(MATCH(1101,'Transfer Engine'!$C$2:$C$1199,0)),"",INDEX('Compliance Database'!$M$2:$M$1199,MATCH(1101,'Transfer Engine'!$C$2:$C$1199,0)))</f>
        <v/>
      </c>
      <c r="N1110" s="7" t="str">
        <f>IF(ISNA(MATCH(1101,'Transfer Engine'!$C$2:$C$1199,0)),"",INDEX('Compliance Database'!$N$2:$N$1199,MATCH(1101,'Transfer Engine'!$C$2:$C$1199,0)))</f>
        <v/>
      </c>
      <c r="O1110" s="7" t="str">
        <f>IF(ISNA(MATCH(1101,'Transfer Engine'!$C$2:$C$1199,0)),"",INDEX('Compliance Database'!$O$2:$O$1199,MATCH(1101,'Transfer Engine'!$C$2:$C$1199,0)))</f>
        <v/>
      </c>
      <c r="P1110" s="6" t="str">
        <f>IF(ISNA(MATCH(1101,'Transfer Engine'!$C$2:$C$1199,0)),"",HYPERLINK("#Acts!A"&amp;INDEX('Compliance Database'!$P$2:$P$1199,MATCH(1101,'Transfer Engine'!$C$2:$C$1199,0)),"Go to Act"))</f>
        <v/>
      </c>
    </row>
    <row r="1111" spans="1:16" ht="172.95" customHeight="1" x14ac:dyDescent="0.3">
      <c r="A1111" s="6" t="str">
        <f>IF(ISNA(MATCH(1102,'Transfer Engine'!$C$2:$C$1199,0)),"",INDEX('Compliance Database'!$A$2:$A$1199,MATCH(1102,'Transfer Engine'!$C$2:$C$1199,0)))</f>
        <v/>
      </c>
      <c r="B1111" s="6" t="str">
        <f>IF(ISNA(MATCH(1102,'Transfer Engine'!$C$2:$C$1199,0)),"",INDEX('Compliance Database'!$B$2:$B$1199,MATCH(1102,'Transfer Engine'!$C$2:$C$1199,0)))</f>
        <v/>
      </c>
      <c r="C1111" s="6" t="str">
        <f>IF(ISNA(MATCH(1102,'Transfer Engine'!$C$2:$C$1199,0)),"",INDEX('Compliance Database'!$C$2:$C$1199,MATCH(1102,'Transfer Engine'!$C$2:$C$1199,0)))</f>
        <v/>
      </c>
      <c r="D1111" s="7" t="str">
        <f>IF(ISNA(MATCH(1102,'Transfer Engine'!$C$2:$C$1199,0)),"",INDEX('Compliance Database'!$D$2:$D$1199,MATCH(1102,'Transfer Engine'!$C$2:$C$1199,0)))</f>
        <v/>
      </c>
      <c r="E1111" s="6" t="str">
        <f>IF(ISNA(MATCH(1102,'Transfer Engine'!$C$2:$C$1199,0)),"",INDEX('Compliance Database'!$E$2:$E$1199,MATCH(1102,'Transfer Engine'!$C$2:$C$1199,0)))</f>
        <v/>
      </c>
      <c r="F1111" s="6" t="str">
        <f>IF(ISNA(MATCH(1102,'Transfer Engine'!$C$2:$C$1199,0)),"",INDEX('Compliance Database'!$F$2:$F$1199,MATCH(1102,'Transfer Engine'!$C$2:$C$1199,0)))</f>
        <v/>
      </c>
      <c r="G1111" s="6" t="str">
        <f>IF(ISNA(MATCH(1102,'Transfer Engine'!$C$2:$C$1199,0)),"",INDEX('Compliance Database'!$G$2:$G$1199,MATCH(1102,'Transfer Engine'!$C$2:$C$1199,0)))</f>
        <v/>
      </c>
      <c r="H1111" s="7" t="str">
        <f>IF(ISNA(MATCH(1102,'Transfer Engine'!$C$2:$C$1199,0)),"",INDEX('Compliance Database'!$H$2:$H$1199,MATCH(1102,'Transfer Engine'!$C$2:$C$1199,0)))</f>
        <v/>
      </c>
      <c r="I1111" s="7" t="str">
        <f>IF(ISNA(MATCH(1102,'Transfer Engine'!$C$2:$C$1199,0)),"",INDEX('Compliance Database'!$I$2:$I$1199,MATCH(1102,'Transfer Engine'!$C$2:$C$1199,0)))</f>
        <v/>
      </c>
      <c r="J1111" s="6" t="str">
        <f>IF(ISNA(MATCH(1102,'Transfer Engine'!$C$2:$C$1199,0)),"",INDEX('Compliance Database'!$J$2:$J$1199,MATCH(1102,'Transfer Engine'!$C$2:$C$1199,0)))</f>
        <v/>
      </c>
      <c r="K1111" s="7" t="str">
        <f>IF(ISNA(MATCH(1102,'Transfer Engine'!$C$2:$C$1199,0)),"",INDEX('Compliance Database'!$K$2:$K$1199,MATCH(1102,'Transfer Engine'!$C$2:$C$1199,0)))</f>
        <v/>
      </c>
      <c r="L1111" s="7" t="str">
        <f>IF(ISNA(MATCH(1102,'Transfer Engine'!$C$2:$C$1199,0)),"",INDEX('Compliance Database'!$L$2:$L$1199,MATCH(1102,'Transfer Engine'!$C$2:$C$1199,0)))</f>
        <v/>
      </c>
      <c r="M1111" s="7" t="str">
        <f>IF(ISNA(MATCH(1102,'Transfer Engine'!$C$2:$C$1199,0)),"",INDEX('Compliance Database'!$M$2:$M$1199,MATCH(1102,'Transfer Engine'!$C$2:$C$1199,0)))</f>
        <v/>
      </c>
      <c r="N1111" s="7" t="str">
        <f>IF(ISNA(MATCH(1102,'Transfer Engine'!$C$2:$C$1199,0)),"",INDEX('Compliance Database'!$N$2:$N$1199,MATCH(1102,'Transfer Engine'!$C$2:$C$1199,0)))</f>
        <v/>
      </c>
      <c r="O1111" s="7" t="str">
        <f>IF(ISNA(MATCH(1102,'Transfer Engine'!$C$2:$C$1199,0)),"",INDEX('Compliance Database'!$O$2:$O$1199,MATCH(1102,'Transfer Engine'!$C$2:$C$1199,0)))</f>
        <v/>
      </c>
      <c r="P1111" s="6" t="str">
        <f>IF(ISNA(MATCH(1102,'Transfer Engine'!$C$2:$C$1199,0)),"",HYPERLINK("#Acts!A"&amp;INDEX('Compliance Database'!$P$2:$P$1199,MATCH(1102,'Transfer Engine'!$C$2:$C$1199,0)),"Go to Act"))</f>
        <v/>
      </c>
    </row>
    <row r="1112" spans="1:16" ht="172.95" customHeight="1" x14ac:dyDescent="0.3">
      <c r="A1112" s="6" t="str">
        <f>IF(ISNA(MATCH(1103,'Transfer Engine'!$C$2:$C$1199,0)),"",INDEX('Compliance Database'!$A$2:$A$1199,MATCH(1103,'Transfer Engine'!$C$2:$C$1199,0)))</f>
        <v/>
      </c>
      <c r="B1112" s="6" t="str">
        <f>IF(ISNA(MATCH(1103,'Transfer Engine'!$C$2:$C$1199,0)),"",INDEX('Compliance Database'!$B$2:$B$1199,MATCH(1103,'Transfer Engine'!$C$2:$C$1199,0)))</f>
        <v/>
      </c>
      <c r="C1112" s="6" t="str">
        <f>IF(ISNA(MATCH(1103,'Transfer Engine'!$C$2:$C$1199,0)),"",INDEX('Compliance Database'!$C$2:$C$1199,MATCH(1103,'Transfer Engine'!$C$2:$C$1199,0)))</f>
        <v/>
      </c>
      <c r="D1112" s="7" t="str">
        <f>IF(ISNA(MATCH(1103,'Transfer Engine'!$C$2:$C$1199,0)),"",INDEX('Compliance Database'!$D$2:$D$1199,MATCH(1103,'Transfer Engine'!$C$2:$C$1199,0)))</f>
        <v/>
      </c>
      <c r="E1112" s="6" t="str">
        <f>IF(ISNA(MATCH(1103,'Transfer Engine'!$C$2:$C$1199,0)),"",INDEX('Compliance Database'!$E$2:$E$1199,MATCH(1103,'Transfer Engine'!$C$2:$C$1199,0)))</f>
        <v/>
      </c>
      <c r="F1112" s="6" t="str">
        <f>IF(ISNA(MATCH(1103,'Transfer Engine'!$C$2:$C$1199,0)),"",INDEX('Compliance Database'!$F$2:$F$1199,MATCH(1103,'Transfer Engine'!$C$2:$C$1199,0)))</f>
        <v/>
      </c>
      <c r="G1112" s="6" t="str">
        <f>IF(ISNA(MATCH(1103,'Transfer Engine'!$C$2:$C$1199,0)),"",INDEX('Compliance Database'!$G$2:$G$1199,MATCH(1103,'Transfer Engine'!$C$2:$C$1199,0)))</f>
        <v/>
      </c>
      <c r="H1112" s="7" t="str">
        <f>IF(ISNA(MATCH(1103,'Transfer Engine'!$C$2:$C$1199,0)),"",INDEX('Compliance Database'!$H$2:$H$1199,MATCH(1103,'Transfer Engine'!$C$2:$C$1199,0)))</f>
        <v/>
      </c>
      <c r="I1112" s="7" t="str">
        <f>IF(ISNA(MATCH(1103,'Transfer Engine'!$C$2:$C$1199,0)),"",INDEX('Compliance Database'!$I$2:$I$1199,MATCH(1103,'Transfer Engine'!$C$2:$C$1199,0)))</f>
        <v/>
      </c>
      <c r="J1112" s="6" t="str">
        <f>IF(ISNA(MATCH(1103,'Transfer Engine'!$C$2:$C$1199,0)),"",INDEX('Compliance Database'!$J$2:$J$1199,MATCH(1103,'Transfer Engine'!$C$2:$C$1199,0)))</f>
        <v/>
      </c>
      <c r="K1112" s="7" t="str">
        <f>IF(ISNA(MATCH(1103,'Transfer Engine'!$C$2:$C$1199,0)),"",INDEX('Compliance Database'!$K$2:$K$1199,MATCH(1103,'Transfer Engine'!$C$2:$C$1199,0)))</f>
        <v/>
      </c>
      <c r="L1112" s="7" t="str">
        <f>IF(ISNA(MATCH(1103,'Transfer Engine'!$C$2:$C$1199,0)),"",INDEX('Compliance Database'!$L$2:$L$1199,MATCH(1103,'Transfer Engine'!$C$2:$C$1199,0)))</f>
        <v/>
      </c>
      <c r="M1112" s="7" t="str">
        <f>IF(ISNA(MATCH(1103,'Transfer Engine'!$C$2:$C$1199,0)),"",INDEX('Compliance Database'!$M$2:$M$1199,MATCH(1103,'Transfer Engine'!$C$2:$C$1199,0)))</f>
        <v/>
      </c>
      <c r="N1112" s="7" t="str">
        <f>IF(ISNA(MATCH(1103,'Transfer Engine'!$C$2:$C$1199,0)),"",INDEX('Compliance Database'!$N$2:$N$1199,MATCH(1103,'Transfer Engine'!$C$2:$C$1199,0)))</f>
        <v/>
      </c>
      <c r="O1112" s="7" t="str">
        <f>IF(ISNA(MATCH(1103,'Transfer Engine'!$C$2:$C$1199,0)),"",INDEX('Compliance Database'!$O$2:$O$1199,MATCH(1103,'Transfer Engine'!$C$2:$C$1199,0)))</f>
        <v/>
      </c>
      <c r="P1112" s="6" t="str">
        <f>IF(ISNA(MATCH(1103,'Transfer Engine'!$C$2:$C$1199,0)),"",HYPERLINK("#Acts!A"&amp;INDEX('Compliance Database'!$P$2:$P$1199,MATCH(1103,'Transfer Engine'!$C$2:$C$1199,0)),"Go to Act"))</f>
        <v/>
      </c>
    </row>
    <row r="1113" spans="1:16" ht="172.95" customHeight="1" x14ac:dyDescent="0.3">
      <c r="A1113" s="6" t="str">
        <f>IF(ISNA(MATCH(1104,'Transfer Engine'!$C$2:$C$1199,0)),"",INDEX('Compliance Database'!$A$2:$A$1199,MATCH(1104,'Transfer Engine'!$C$2:$C$1199,0)))</f>
        <v/>
      </c>
      <c r="B1113" s="6" t="str">
        <f>IF(ISNA(MATCH(1104,'Transfer Engine'!$C$2:$C$1199,0)),"",INDEX('Compliance Database'!$B$2:$B$1199,MATCH(1104,'Transfer Engine'!$C$2:$C$1199,0)))</f>
        <v/>
      </c>
      <c r="C1113" s="6" t="str">
        <f>IF(ISNA(MATCH(1104,'Transfer Engine'!$C$2:$C$1199,0)),"",INDEX('Compliance Database'!$C$2:$C$1199,MATCH(1104,'Transfer Engine'!$C$2:$C$1199,0)))</f>
        <v/>
      </c>
      <c r="D1113" s="7" t="str">
        <f>IF(ISNA(MATCH(1104,'Transfer Engine'!$C$2:$C$1199,0)),"",INDEX('Compliance Database'!$D$2:$D$1199,MATCH(1104,'Transfer Engine'!$C$2:$C$1199,0)))</f>
        <v/>
      </c>
      <c r="E1113" s="6" t="str">
        <f>IF(ISNA(MATCH(1104,'Transfer Engine'!$C$2:$C$1199,0)),"",INDEX('Compliance Database'!$E$2:$E$1199,MATCH(1104,'Transfer Engine'!$C$2:$C$1199,0)))</f>
        <v/>
      </c>
      <c r="F1113" s="6" t="str">
        <f>IF(ISNA(MATCH(1104,'Transfer Engine'!$C$2:$C$1199,0)),"",INDEX('Compliance Database'!$F$2:$F$1199,MATCH(1104,'Transfer Engine'!$C$2:$C$1199,0)))</f>
        <v/>
      </c>
      <c r="G1113" s="6" t="str">
        <f>IF(ISNA(MATCH(1104,'Transfer Engine'!$C$2:$C$1199,0)),"",INDEX('Compliance Database'!$G$2:$G$1199,MATCH(1104,'Transfer Engine'!$C$2:$C$1199,0)))</f>
        <v/>
      </c>
      <c r="H1113" s="7" t="str">
        <f>IF(ISNA(MATCH(1104,'Transfer Engine'!$C$2:$C$1199,0)),"",INDEX('Compliance Database'!$H$2:$H$1199,MATCH(1104,'Transfer Engine'!$C$2:$C$1199,0)))</f>
        <v/>
      </c>
      <c r="I1113" s="7" t="str">
        <f>IF(ISNA(MATCH(1104,'Transfer Engine'!$C$2:$C$1199,0)),"",INDEX('Compliance Database'!$I$2:$I$1199,MATCH(1104,'Transfer Engine'!$C$2:$C$1199,0)))</f>
        <v/>
      </c>
      <c r="J1113" s="6" t="str">
        <f>IF(ISNA(MATCH(1104,'Transfer Engine'!$C$2:$C$1199,0)),"",INDEX('Compliance Database'!$J$2:$J$1199,MATCH(1104,'Transfer Engine'!$C$2:$C$1199,0)))</f>
        <v/>
      </c>
      <c r="K1113" s="7" t="str">
        <f>IF(ISNA(MATCH(1104,'Transfer Engine'!$C$2:$C$1199,0)),"",INDEX('Compliance Database'!$K$2:$K$1199,MATCH(1104,'Transfer Engine'!$C$2:$C$1199,0)))</f>
        <v/>
      </c>
      <c r="L1113" s="7" t="str">
        <f>IF(ISNA(MATCH(1104,'Transfer Engine'!$C$2:$C$1199,0)),"",INDEX('Compliance Database'!$L$2:$L$1199,MATCH(1104,'Transfer Engine'!$C$2:$C$1199,0)))</f>
        <v/>
      </c>
      <c r="M1113" s="7" t="str">
        <f>IF(ISNA(MATCH(1104,'Transfer Engine'!$C$2:$C$1199,0)),"",INDEX('Compliance Database'!$M$2:$M$1199,MATCH(1104,'Transfer Engine'!$C$2:$C$1199,0)))</f>
        <v/>
      </c>
      <c r="N1113" s="7" t="str">
        <f>IF(ISNA(MATCH(1104,'Transfer Engine'!$C$2:$C$1199,0)),"",INDEX('Compliance Database'!$N$2:$N$1199,MATCH(1104,'Transfer Engine'!$C$2:$C$1199,0)))</f>
        <v/>
      </c>
      <c r="O1113" s="7" t="str">
        <f>IF(ISNA(MATCH(1104,'Transfer Engine'!$C$2:$C$1199,0)),"",INDEX('Compliance Database'!$O$2:$O$1199,MATCH(1104,'Transfer Engine'!$C$2:$C$1199,0)))</f>
        <v/>
      </c>
      <c r="P1113" s="6" t="str">
        <f>IF(ISNA(MATCH(1104,'Transfer Engine'!$C$2:$C$1199,0)),"",HYPERLINK("#Acts!A"&amp;INDEX('Compliance Database'!$P$2:$P$1199,MATCH(1104,'Transfer Engine'!$C$2:$C$1199,0)),"Go to Act"))</f>
        <v/>
      </c>
    </row>
    <row r="1114" spans="1:16" ht="172.95" customHeight="1" x14ac:dyDescent="0.3">
      <c r="A1114" s="6" t="str">
        <f>IF(ISNA(MATCH(1105,'Transfer Engine'!$C$2:$C$1199,0)),"",INDEX('Compliance Database'!$A$2:$A$1199,MATCH(1105,'Transfer Engine'!$C$2:$C$1199,0)))</f>
        <v/>
      </c>
      <c r="B1114" s="6" t="str">
        <f>IF(ISNA(MATCH(1105,'Transfer Engine'!$C$2:$C$1199,0)),"",INDEX('Compliance Database'!$B$2:$B$1199,MATCH(1105,'Transfer Engine'!$C$2:$C$1199,0)))</f>
        <v/>
      </c>
      <c r="C1114" s="6" t="str">
        <f>IF(ISNA(MATCH(1105,'Transfer Engine'!$C$2:$C$1199,0)),"",INDEX('Compliance Database'!$C$2:$C$1199,MATCH(1105,'Transfer Engine'!$C$2:$C$1199,0)))</f>
        <v/>
      </c>
      <c r="D1114" s="7" t="str">
        <f>IF(ISNA(MATCH(1105,'Transfer Engine'!$C$2:$C$1199,0)),"",INDEX('Compliance Database'!$D$2:$D$1199,MATCH(1105,'Transfer Engine'!$C$2:$C$1199,0)))</f>
        <v/>
      </c>
      <c r="E1114" s="6" t="str">
        <f>IF(ISNA(MATCH(1105,'Transfer Engine'!$C$2:$C$1199,0)),"",INDEX('Compliance Database'!$E$2:$E$1199,MATCH(1105,'Transfer Engine'!$C$2:$C$1199,0)))</f>
        <v/>
      </c>
      <c r="F1114" s="6" t="str">
        <f>IF(ISNA(MATCH(1105,'Transfer Engine'!$C$2:$C$1199,0)),"",INDEX('Compliance Database'!$F$2:$F$1199,MATCH(1105,'Transfer Engine'!$C$2:$C$1199,0)))</f>
        <v/>
      </c>
      <c r="G1114" s="6" t="str">
        <f>IF(ISNA(MATCH(1105,'Transfer Engine'!$C$2:$C$1199,0)),"",INDEX('Compliance Database'!$G$2:$G$1199,MATCH(1105,'Transfer Engine'!$C$2:$C$1199,0)))</f>
        <v/>
      </c>
      <c r="H1114" s="7" t="str">
        <f>IF(ISNA(MATCH(1105,'Transfer Engine'!$C$2:$C$1199,0)),"",INDEX('Compliance Database'!$H$2:$H$1199,MATCH(1105,'Transfer Engine'!$C$2:$C$1199,0)))</f>
        <v/>
      </c>
      <c r="I1114" s="7" t="str">
        <f>IF(ISNA(MATCH(1105,'Transfer Engine'!$C$2:$C$1199,0)),"",INDEX('Compliance Database'!$I$2:$I$1199,MATCH(1105,'Transfer Engine'!$C$2:$C$1199,0)))</f>
        <v/>
      </c>
      <c r="J1114" s="6" t="str">
        <f>IF(ISNA(MATCH(1105,'Transfer Engine'!$C$2:$C$1199,0)),"",INDEX('Compliance Database'!$J$2:$J$1199,MATCH(1105,'Transfer Engine'!$C$2:$C$1199,0)))</f>
        <v/>
      </c>
      <c r="K1114" s="7" t="str">
        <f>IF(ISNA(MATCH(1105,'Transfer Engine'!$C$2:$C$1199,0)),"",INDEX('Compliance Database'!$K$2:$K$1199,MATCH(1105,'Transfer Engine'!$C$2:$C$1199,0)))</f>
        <v/>
      </c>
      <c r="L1114" s="7" t="str">
        <f>IF(ISNA(MATCH(1105,'Transfer Engine'!$C$2:$C$1199,0)),"",INDEX('Compliance Database'!$L$2:$L$1199,MATCH(1105,'Transfer Engine'!$C$2:$C$1199,0)))</f>
        <v/>
      </c>
      <c r="M1114" s="7" t="str">
        <f>IF(ISNA(MATCH(1105,'Transfer Engine'!$C$2:$C$1199,0)),"",INDEX('Compliance Database'!$M$2:$M$1199,MATCH(1105,'Transfer Engine'!$C$2:$C$1199,0)))</f>
        <v/>
      </c>
      <c r="N1114" s="7" t="str">
        <f>IF(ISNA(MATCH(1105,'Transfer Engine'!$C$2:$C$1199,0)),"",INDEX('Compliance Database'!$N$2:$N$1199,MATCH(1105,'Transfer Engine'!$C$2:$C$1199,0)))</f>
        <v/>
      </c>
      <c r="O1114" s="7" t="str">
        <f>IF(ISNA(MATCH(1105,'Transfer Engine'!$C$2:$C$1199,0)),"",INDEX('Compliance Database'!$O$2:$O$1199,MATCH(1105,'Transfer Engine'!$C$2:$C$1199,0)))</f>
        <v/>
      </c>
      <c r="P1114" s="6" t="str">
        <f>IF(ISNA(MATCH(1105,'Transfer Engine'!$C$2:$C$1199,0)),"",HYPERLINK("#Acts!A"&amp;INDEX('Compliance Database'!$P$2:$P$1199,MATCH(1105,'Transfer Engine'!$C$2:$C$1199,0)),"Go to Act"))</f>
        <v/>
      </c>
    </row>
    <row r="1115" spans="1:16" ht="172.95" customHeight="1" x14ac:dyDescent="0.3">
      <c r="A1115" s="6" t="str">
        <f>IF(ISNA(MATCH(1106,'Transfer Engine'!$C$2:$C$1199,0)),"",INDEX('Compliance Database'!$A$2:$A$1199,MATCH(1106,'Transfer Engine'!$C$2:$C$1199,0)))</f>
        <v/>
      </c>
      <c r="B1115" s="6" t="str">
        <f>IF(ISNA(MATCH(1106,'Transfer Engine'!$C$2:$C$1199,0)),"",INDEX('Compliance Database'!$B$2:$B$1199,MATCH(1106,'Transfer Engine'!$C$2:$C$1199,0)))</f>
        <v/>
      </c>
      <c r="C1115" s="6" t="str">
        <f>IF(ISNA(MATCH(1106,'Transfer Engine'!$C$2:$C$1199,0)),"",INDEX('Compliance Database'!$C$2:$C$1199,MATCH(1106,'Transfer Engine'!$C$2:$C$1199,0)))</f>
        <v/>
      </c>
      <c r="D1115" s="7" t="str">
        <f>IF(ISNA(MATCH(1106,'Transfer Engine'!$C$2:$C$1199,0)),"",INDEX('Compliance Database'!$D$2:$D$1199,MATCH(1106,'Transfer Engine'!$C$2:$C$1199,0)))</f>
        <v/>
      </c>
      <c r="E1115" s="6" t="str">
        <f>IF(ISNA(MATCH(1106,'Transfer Engine'!$C$2:$C$1199,0)),"",INDEX('Compliance Database'!$E$2:$E$1199,MATCH(1106,'Transfer Engine'!$C$2:$C$1199,0)))</f>
        <v/>
      </c>
      <c r="F1115" s="6" t="str">
        <f>IF(ISNA(MATCH(1106,'Transfer Engine'!$C$2:$C$1199,0)),"",INDEX('Compliance Database'!$F$2:$F$1199,MATCH(1106,'Transfer Engine'!$C$2:$C$1199,0)))</f>
        <v/>
      </c>
      <c r="G1115" s="6" t="str">
        <f>IF(ISNA(MATCH(1106,'Transfer Engine'!$C$2:$C$1199,0)),"",INDEX('Compliance Database'!$G$2:$G$1199,MATCH(1106,'Transfer Engine'!$C$2:$C$1199,0)))</f>
        <v/>
      </c>
      <c r="H1115" s="7" t="str">
        <f>IF(ISNA(MATCH(1106,'Transfer Engine'!$C$2:$C$1199,0)),"",INDEX('Compliance Database'!$H$2:$H$1199,MATCH(1106,'Transfer Engine'!$C$2:$C$1199,0)))</f>
        <v/>
      </c>
      <c r="I1115" s="7" t="str">
        <f>IF(ISNA(MATCH(1106,'Transfer Engine'!$C$2:$C$1199,0)),"",INDEX('Compliance Database'!$I$2:$I$1199,MATCH(1106,'Transfer Engine'!$C$2:$C$1199,0)))</f>
        <v/>
      </c>
      <c r="J1115" s="6" t="str">
        <f>IF(ISNA(MATCH(1106,'Transfer Engine'!$C$2:$C$1199,0)),"",INDEX('Compliance Database'!$J$2:$J$1199,MATCH(1106,'Transfer Engine'!$C$2:$C$1199,0)))</f>
        <v/>
      </c>
      <c r="K1115" s="7" t="str">
        <f>IF(ISNA(MATCH(1106,'Transfer Engine'!$C$2:$C$1199,0)),"",INDEX('Compliance Database'!$K$2:$K$1199,MATCH(1106,'Transfer Engine'!$C$2:$C$1199,0)))</f>
        <v/>
      </c>
      <c r="L1115" s="7" t="str">
        <f>IF(ISNA(MATCH(1106,'Transfer Engine'!$C$2:$C$1199,0)),"",INDEX('Compliance Database'!$L$2:$L$1199,MATCH(1106,'Transfer Engine'!$C$2:$C$1199,0)))</f>
        <v/>
      </c>
      <c r="M1115" s="7" t="str">
        <f>IF(ISNA(MATCH(1106,'Transfer Engine'!$C$2:$C$1199,0)),"",INDEX('Compliance Database'!$M$2:$M$1199,MATCH(1106,'Transfer Engine'!$C$2:$C$1199,0)))</f>
        <v/>
      </c>
      <c r="N1115" s="7" t="str">
        <f>IF(ISNA(MATCH(1106,'Transfer Engine'!$C$2:$C$1199,0)),"",INDEX('Compliance Database'!$N$2:$N$1199,MATCH(1106,'Transfer Engine'!$C$2:$C$1199,0)))</f>
        <v/>
      </c>
      <c r="O1115" s="7" t="str">
        <f>IF(ISNA(MATCH(1106,'Transfer Engine'!$C$2:$C$1199,0)),"",INDEX('Compliance Database'!$O$2:$O$1199,MATCH(1106,'Transfer Engine'!$C$2:$C$1199,0)))</f>
        <v/>
      </c>
      <c r="P1115" s="6" t="str">
        <f>IF(ISNA(MATCH(1106,'Transfer Engine'!$C$2:$C$1199,0)),"",HYPERLINK("#Acts!A"&amp;INDEX('Compliance Database'!$P$2:$P$1199,MATCH(1106,'Transfer Engine'!$C$2:$C$1199,0)),"Go to Act"))</f>
        <v/>
      </c>
    </row>
    <row r="1116" spans="1:16" ht="172.95" customHeight="1" x14ac:dyDescent="0.3">
      <c r="A1116" s="6" t="str">
        <f>IF(ISNA(MATCH(1107,'Transfer Engine'!$C$2:$C$1199,0)),"",INDEX('Compliance Database'!$A$2:$A$1199,MATCH(1107,'Transfer Engine'!$C$2:$C$1199,0)))</f>
        <v/>
      </c>
      <c r="B1116" s="6" t="str">
        <f>IF(ISNA(MATCH(1107,'Transfer Engine'!$C$2:$C$1199,0)),"",INDEX('Compliance Database'!$B$2:$B$1199,MATCH(1107,'Transfer Engine'!$C$2:$C$1199,0)))</f>
        <v/>
      </c>
      <c r="C1116" s="6" t="str">
        <f>IF(ISNA(MATCH(1107,'Transfer Engine'!$C$2:$C$1199,0)),"",INDEX('Compliance Database'!$C$2:$C$1199,MATCH(1107,'Transfer Engine'!$C$2:$C$1199,0)))</f>
        <v/>
      </c>
      <c r="D1116" s="7" t="str">
        <f>IF(ISNA(MATCH(1107,'Transfer Engine'!$C$2:$C$1199,0)),"",INDEX('Compliance Database'!$D$2:$D$1199,MATCH(1107,'Transfer Engine'!$C$2:$C$1199,0)))</f>
        <v/>
      </c>
      <c r="E1116" s="6" t="str">
        <f>IF(ISNA(MATCH(1107,'Transfer Engine'!$C$2:$C$1199,0)),"",INDEX('Compliance Database'!$E$2:$E$1199,MATCH(1107,'Transfer Engine'!$C$2:$C$1199,0)))</f>
        <v/>
      </c>
      <c r="F1116" s="6" t="str">
        <f>IF(ISNA(MATCH(1107,'Transfer Engine'!$C$2:$C$1199,0)),"",INDEX('Compliance Database'!$F$2:$F$1199,MATCH(1107,'Transfer Engine'!$C$2:$C$1199,0)))</f>
        <v/>
      </c>
      <c r="G1116" s="6" t="str">
        <f>IF(ISNA(MATCH(1107,'Transfer Engine'!$C$2:$C$1199,0)),"",INDEX('Compliance Database'!$G$2:$G$1199,MATCH(1107,'Transfer Engine'!$C$2:$C$1199,0)))</f>
        <v/>
      </c>
      <c r="H1116" s="7" t="str">
        <f>IF(ISNA(MATCH(1107,'Transfer Engine'!$C$2:$C$1199,0)),"",INDEX('Compliance Database'!$H$2:$H$1199,MATCH(1107,'Transfer Engine'!$C$2:$C$1199,0)))</f>
        <v/>
      </c>
      <c r="I1116" s="7" t="str">
        <f>IF(ISNA(MATCH(1107,'Transfer Engine'!$C$2:$C$1199,0)),"",INDEX('Compliance Database'!$I$2:$I$1199,MATCH(1107,'Transfer Engine'!$C$2:$C$1199,0)))</f>
        <v/>
      </c>
      <c r="J1116" s="6" t="str">
        <f>IF(ISNA(MATCH(1107,'Transfer Engine'!$C$2:$C$1199,0)),"",INDEX('Compliance Database'!$J$2:$J$1199,MATCH(1107,'Transfer Engine'!$C$2:$C$1199,0)))</f>
        <v/>
      </c>
      <c r="K1116" s="7" t="str">
        <f>IF(ISNA(MATCH(1107,'Transfer Engine'!$C$2:$C$1199,0)),"",INDEX('Compliance Database'!$K$2:$K$1199,MATCH(1107,'Transfer Engine'!$C$2:$C$1199,0)))</f>
        <v/>
      </c>
      <c r="L1116" s="7" t="str">
        <f>IF(ISNA(MATCH(1107,'Transfer Engine'!$C$2:$C$1199,0)),"",INDEX('Compliance Database'!$L$2:$L$1199,MATCH(1107,'Transfer Engine'!$C$2:$C$1199,0)))</f>
        <v/>
      </c>
      <c r="M1116" s="7" t="str">
        <f>IF(ISNA(MATCH(1107,'Transfer Engine'!$C$2:$C$1199,0)),"",INDEX('Compliance Database'!$M$2:$M$1199,MATCH(1107,'Transfer Engine'!$C$2:$C$1199,0)))</f>
        <v/>
      </c>
      <c r="N1116" s="7" t="str">
        <f>IF(ISNA(MATCH(1107,'Transfer Engine'!$C$2:$C$1199,0)),"",INDEX('Compliance Database'!$N$2:$N$1199,MATCH(1107,'Transfer Engine'!$C$2:$C$1199,0)))</f>
        <v/>
      </c>
      <c r="O1116" s="7" t="str">
        <f>IF(ISNA(MATCH(1107,'Transfer Engine'!$C$2:$C$1199,0)),"",INDEX('Compliance Database'!$O$2:$O$1199,MATCH(1107,'Transfer Engine'!$C$2:$C$1199,0)))</f>
        <v/>
      </c>
      <c r="P1116" s="6" t="str">
        <f>IF(ISNA(MATCH(1107,'Transfer Engine'!$C$2:$C$1199,0)),"",HYPERLINK("#Acts!A"&amp;INDEX('Compliance Database'!$P$2:$P$1199,MATCH(1107,'Transfer Engine'!$C$2:$C$1199,0)),"Go to Act"))</f>
        <v/>
      </c>
    </row>
    <row r="1117" spans="1:16" ht="172.95" customHeight="1" x14ac:dyDescent="0.3">
      <c r="A1117" s="6" t="str">
        <f>IF(ISNA(MATCH(1108,'Transfer Engine'!$C$2:$C$1199,0)),"",INDEX('Compliance Database'!$A$2:$A$1199,MATCH(1108,'Transfer Engine'!$C$2:$C$1199,0)))</f>
        <v/>
      </c>
      <c r="B1117" s="6" t="str">
        <f>IF(ISNA(MATCH(1108,'Transfer Engine'!$C$2:$C$1199,0)),"",INDEX('Compliance Database'!$B$2:$B$1199,MATCH(1108,'Transfer Engine'!$C$2:$C$1199,0)))</f>
        <v/>
      </c>
      <c r="C1117" s="6" t="str">
        <f>IF(ISNA(MATCH(1108,'Transfer Engine'!$C$2:$C$1199,0)),"",INDEX('Compliance Database'!$C$2:$C$1199,MATCH(1108,'Transfer Engine'!$C$2:$C$1199,0)))</f>
        <v/>
      </c>
      <c r="D1117" s="7" t="str">
        <f>IF(ISNA(MATCH(1108,'Transfer Engine'!$C$2:$C$1199,0)),"",INDEX('Compliance Database'!$D$2:$D$1199,MATCH(1108,'Transfer Engine'!$C$2:$C$1199,0)))</f>
        <v/>
      </c>
      <c r="E1117" s="6" t="str">
        <f>IF(ISNA(MATCH(1108,'Transfer Engine'!$C$2:$C$1199,0)),"",INDEX('Compliance Database'!$E$2:$E$1199,MATCH(1108,'Transfer Engine'!$C$2:$C$1199,0)))</f>
        <v/>
      </c>
      <c r="F1117" s="6" t="str">
        <f>IF(ISNA(MATCH(1108,'Transfer Engine'!$C$2:$C$1199,0)),"",INDEX('Compliance Database'!$F$2:$F$1199,MATCH(1108,'Transfer Engine'!$C$2:$C$1199,0)))</f>
        <v/>
      </c>
      <c r="G1117" s="6" t="str">
        <f>IF(ISNA(MATCH(1108,'Transfer Engine'!$C$2:$C$1199,0)),"",INDEX('Compliance Database'!$G$2:$G$1199,MATCH(1108,'Transfer Engine'!$C$2:$C$1199,0)))</f>
        <v/>
      </c>
      <c r="H1117" s="7" t="str">
        <f>IF(ISNA(MATCH(1108,'Transfer Engine'!$C$2:$C$1199,0)),"",INDEX('Compliance Database'!$H$2:$H$1199,MATCH(1108,'Transfer Engine'!$C$2:$C$1199,0)))</f>
        <v/>
      </c>
      <c r="I1117" s="7" t="str">
        <f>IF(ISNA(MATCH(1108,'Transfer Engine'!$C$2:$C$1199,0)),"",INDEX('Compliance Database'!$I$2:$I$1199,MATCH(1108,'Transfer Engine'!$C$2:$C$1199,0)))</f>
        <v/>
      </c>
      <c r="J1117" s="6" t="str">
        <f>IF(ISNA(MATCH(1108,'Transfer Engine'!$C$2:$C$1199,0)),"",INDEX('Compliance Database'!$J$2:$J$1199,MATCH(1108,'Transfer Engine'!$C$2:$C$1199,0)))</f>
        <v/>
      </c>
      <c r="K1117" s="7" t="str">
        <f>IF(ISNA(MATCH(1108,'Transfer Engine'!$C$2:$C$1199,0)),"",INDEX('Compliance Database'!$K$2:$K$1199,MATCH(1108,'Transfer Engine'!$C$2:$C$1199,0)))</f>
        <v/>
      </c>
      <c r="L1117" s="7" t="str">
        <f>IF(ISNA(MATCH(1108,'Transfer Engine'!$C$2:$C$1199,0)),"",INDEX('Compliance Database'!$L$2:$L$1199,MATCH(1108,'Transfer Engine'!$C$2:$C$1199,0)))</f>
        <v/>
      </c>
      <c r="M1117" s="7" t="str">
        <f>IF(ISNA(MATCH(1108,'Transfer Engine'!$C$2:$C$1199,0)),"",INDEX('Compliance Database'!$M$2:$M$1199,MATCH(1108,'Transfer Engine'!$C$2:$C$1199,0)))</f>
        <v/>
      </c>
      <c r="N1117" s="7" t="str">
        <f>IF(ISNA(MATCH(1108,'Transfer Engine'!$C$2:$C$1199,0)),"",INDEX('Compliance Database'!$N$2:$N$1199,MATCH(1108,'Transfer Engine'!$C$2:$C$1199,0)))</f>
        <v/>
      </c>
      <c r="O1117" s="7" t="str">
        <f>IF(ISNA(MATCH(1108,'Transfer Engine'!$C$2:$C$1199,0)),"",INDEX('Compliance Database'!$O$2:$O$1199,MATCH(1108,'Transfer Engine'!$C$2:$C$1199,0)))</f>
        <v/>
      </c>
      <c r="P1117" s="6" t="str">
        <f>IF(ISNA(MATCH(1108,'Transfer Engine'!$C$2:$C$1199,0)),"",HYPERLINK("#Acts!A"&amp;INDEX('Compliance Database'!$P$2:$P$1199,MATCH(1108,'Transfer Engine'!$C$2:$C$1199,0)),"Go to Act"))</f>
        <v/>
      </c>
    </row>
    <row r="1118" spans="1:16" ht="172.95" customHeight="1" x14ac:dyDescent="0.3">
      <c r="A1118" s="6" t="str">
        <f>IF(ISNA(MATCH(1109,'Transfer Engine'!$C$2:$C$1199,0)),"",INDEX('Compliance Database'!$A$2:$A$1199,MATCH(1109,'Transfer Engine'!$C$2:$C$1199,0)))</f>
        <v/>
      </c>
      <c r="B1118" s="6" t="str">
        <f>IF(ISNA(MATCH(1109,'Transfer Engine'!$C$2:$C$1199,0)),"",INDEX('Compliance Database'!$B$2:$B$1199,MATCH(1109,'Transfer Engine'!$C$2:$C$1199,0)))</f>
        <v/>
      </c>
      <c r="C1118" s="6" t="str">
        <f>IF(ISNA(MATCH(1109,'Transfer Engine'!$C$2:$C$1199,0)),"",INDEX('Compliance Database'!$C$2:$C$1199,MATCH(1109,'Transfer Engine'!$C$2:$C$1199,0)))</f>
        <v/>
      </c>
      <c r="D1118" s="7" t="str">
        <f>IF(ISNA(MATCH(1109,'Transfer Engine'!$C$2:$C$1199,0)),"",INDEX('Compliance Database'!$D$2:$D$1199,MATCH(1109,'Transfer Engine'!$C$2:$C$1199,0)))</f>
        <v/>
      </c>
      <c r="E1118" s="6" t="str">
        <f>IF(ISNA(MATCH(1109,'Transfer Engine'!$C$2:$C$1199,0)),"",INDEX('Compliance Database'!$E$2:$E$1199,MATCH(1109,'Transfer Engine'!$C$2:$C$1199,0)))</f>
        <v/>
      </c>
      <c r="F1118" s="6" t="str">
        <f>IF(ISNA(MATCH(1109,'Transfer Engine'!$C$2:$C$1199,0)),"",INDEX('Compliance Database'!$F$2:$F$1199,MATCH(1109,'Transfer Engine'!$C$2:$C$1199,0)))</f>
        <v/>
      </c>
      <c r="G1118" s="6" t="str">
        <f>IF(ISNA(MATCH(1109,'Transfer Engine'!$C$2:$C$1199,0)),"",INDEX('Compliance Database'!$G$2:$G$1199,MATCH(1109,'Transfer Engine'!$C$2:$C$1199,0)))</f>
        <v/>
      </c>
      <c r="H1118" s="7" t="str">
        <f>IF(ISNA(MATCH(1109,'Transfer Engine'!$C$2:$C$1199,0)),"",INDEX('Compliance Database'!$H$2:$H$1199,MATCH(1109,'Transfer Engine'!$C$2:$C$1199,0)))</f>
        <v/>
      </c>
      <c r="I1118" s="7" t="str">
        <f>IF(ISNA(MATCH(1109,'Transfer Engine'!$C$2:$C$1199,0)),"",INDEX('Compliance Database'!$I$2:$I$1199,MATCH(1109,'Transfer Engine'!$C$2:$C$1199,0)))</f>
        <v/>
      </c>
      <c r="J1118" s="6" t="str">
        <f>IF(ISNA(MATCH(1109,'Transfer Engine'!$C$2:$C$1199,0)),"",INDEX('Compliance Database'!$J$2:$J$1199,MATCH(1109,'Transfer Engine'!$C$2:$C$1199,0)))</f>
        <v/>
      </c>
      <c r="K1118" s="7" t="str">
        <f>IF(ISNA(MATCH(1109,'Transfer Engine'!$C$2:$C$1199,0)),"",INDEX('Compliance Database'!$K$2:$K$1199,MATCH(1109,'Transfer Engine'!$C$2:$C$1199,0)))</f>
        <v/>
      </c>
      <c r="L1118" s="7" t="str">
        <f>IF(ISNA(MATCH(1109,'Transfer Engine'!$C$2:$C$1199,0)),"",INDEX('Compliance Database'!$L$2:$L$1199,MATCH(1109,'Transfer Engine'!$C$2:$C$1199,0)))</f>
        <v/>
      </c>
      <c r="M1118" s="7" t="str">
        <f>IF(ISNA(MATCH(1109,'Transfer Engine'!$C$2:$C$1199,0)),"",INDEX('Compliance Database'!$M$2:$M$1199,MATCH(1109,'Transfer Engine'!$C$2:$C$1199,0)))</f>
        <v/>
      </c>
      <c r="N1118" s="7" t="str">
        <f>IF(ISNA(MATCH(1109,'Transfer Engine'!$C$2:$C$1199,0)),"",INDEX('Compliance Database'!$N$2:$N$1199,MATCH(1109,'Transfer Engine'!$C$2:$C$1199,0)))</f>
        <v/>
      </c>
      <c r="O1118" s="7" t="str">
        <f>IF(ISNA(MATCH(1109,'Transfer Engine'!$C$2:$C$1199,0)),"",INDEX('Compliance Database'!$O$2:$O$1199,MATCH(1109,'Transfer Engine'!$C$2:$C$1199,0)))</f>
        <v/>
      </c>
      <c r="P1118" s="6" t="str">
        <f>IF(ISNA(MATCH(1109,'Transfer Engine'!$C$2:$C$1199,0)),"",HYPERLINK("#Acts!A"&amp;INDEX('Compliance Database'!$P$2:$P$1199,MATCH(1109,'Transfer Engine'!$C$2:$C$1199,0)),"Go to Act"))</f>
        <v/>
      </c>
    </row>
    <row r="1119" spans="1:16" ht="172.95" customHeight="1" x14ac:dyDescent="0.3">
      <c r="A1119" s="6" t="str">
        <f>IF(ISNA(MATCH(1110,'Transfer Engine'!$C$2:$C$1199,0)),"",INDEX('Compliance Database'!$A$2:$A$1199,MATCH(1110,'Transfer Engine'!$C$2:$C$1199,0)))</f>
        <v/>
      </c>
      <c r="B1119" s="6" t="str">
        <f>IF(ISNA(MATCH(1110,'Transfer Engine'!$C$2:$C$1199,0)),"",INDEX('Compliance Database'!$B$2:$B$1199,MATCH(1110,'Transfer Engine'!$C$2:$C$1199,0)))</f>
        <v/>
      </c>
      <c r="C1119" s="6" t="str">
        <f>IF(ISNA(MATCH(1110,'Transfer Engine'!$C$2:$C$1199,0)),"",INDEX('Compliance Database'!$C$2:$C$1199,MATCH(1110,'Transfer Engine'!$C$2:$C$1199,0)))</f>
        <v/>
      </c>
      <c r="D1119" s="7" t="str">
        <f>IF(ISNA(MATCH(1110,'Transfer Engine'!$C$2:$C$1199,0)),"",INDEX('Compliance Database'!$D$2:$D$1199,MATCH(1110,'Transfer Engine'!$C$2:$C$1199,0)))</f>
        <v/>
      </c>
      <c r="E1119" s="6" t="str">
        <f>IF(ISNA(MATCH(1110,'Transfer Engine'!$C$2:$C$1199,0)),"",INDEX('Compliance Database'!$E$2:$E$1199,MATCH(1110,'Transfer Engine'!$C$2:$C$1199,0)))</f>
        <v/>
      </c>
      <c r="F1119" s="6" t="str">
        <f>IF(ISNA(MATCH(1110,'Transfer Engine'!$C$2:$C$1199,0)),"",INDEX('Compliance Database'!$F$2:$F$1199,MATCH(1110,'Transfer Engine'!$C$2:$C$1199,0)))</f>
        <v/>
      </c>
      <c r="G1119" s="6" t="str">
        <f>IF(ISNA(MATCH(1110,'Transfer Engine'!$C$2:$C$1199,0)),"",INDEX('Compliance Database'!$G$2:$G$1199,MATCH(1110,'Transfer Engine'!$C$2:$C$1199,0)))</f>
        <v/>
      </c>
      <c r="H1119" s="7" t="str">
        <f>IF(ISNA(MATCH(1110,'Transfer Engine'!$C$2:$C$1199,0)),"",INDEX('Compliance Database'!$H$2:$H$1199,MATCH(1110,'Transfer Engine'!$C$2:$C$1199,0)))</f>
        <v/>
      </c>
      <c r="I1119" s="7" t="str">
        <f>IF(ISNA(MATCH(1110,'Transfer Engine'!$C$2:$C$1199,0)),"",INDEX('Compliance Database'!$I$2:$I$1199,MATCH(1110,'Transfer Engine'!$C$2:$C$1199,0)))</f>
        <v/>
      </c>
      <c r="J1119" s="6" t="str">
        <f>IF(ISNA(MATCH(1110,'Transfer Engine'!$C$2:$C$1199,0)),"",INDEX('Compliance Database'!$J$2:$J$1199,MATCH(1110,'Transfer Engine'!$C$2:$C$1199,0)))</f>
        <v/>
      </c>
      <c r="K1119" s="7" t="str">
        <f>IF(ISNA(MATCH(1110,'Transfer Engine'!$C$2:$C$1199,0)),"",INDEX('Compliance Database'!$K$2:$K$1199,MATCH(1110,'Transfer Engine'!$C$2:$C$1199,0)))</f>
        <v/>
      </c>
      <c r="L1119" s="7" t="str">
        <f>IF(ISNA(MATCH(1110,'Transfer Engine'!$C$2:$C$1199,0)),"",INDEX('Compliance Database'!$L$2:$L$1199,MATCH(1110,'Transfer Engine'!$C$2:$C$1199,0)))</f>
        <v/>
      </c>
      <c r="M1119" s="7" t="str">
        <f>IF(ISNA(MATCH(1110,'Transfer Engine'!$C$2:$C$1199,0)),"",INDEX('Compliance Database'!$M$2:$M$1199,MATCH(1110,'Transfer Engine'!$C$2:$C$1199,0)))</f>
        <v/>
      </c>
      <c r="N1119" s="7" t="str">
        <f>IF(ISNA(MATCH(1110,'Transfer Engine'!$C$2:$C$1199,0)),"",INDEX('Compliance Database'!$N$2:$N$1199,MATCH(1110,'Transfer Engine'!$C$2:$C$1199,0)))</f>
        <v/>
      </c>
      <c r="O1119" s="7" t="str">
        <f>IF(ISNA(MATCH(1110,'Transfer Engine'!$C$2:$C$1199,0)),"",INDEX('Compliance Database'!$O$2:$O$1199,MATCH(1110,'Transfer Engine'!$C$2:$C$1199,0)))</f>
        <v/>
      </c>
      <c r="P1119" s="6" t="str">
        <f>IF(ISNA(MATCH(1110,'Transfer Engine'!$C$2:$C$1199,0)),"",HYPERLINK("#Acts!A"&amp;INDEX('Compliance Database'!$P$2:$P$1199,MATCH(1110,'Transfer Engine'!$C$2:$C$1199,0)),"Go to Act"))</f>
        <v/>
      </c>
    </row>
    <row r="1120" spans="1:16" ht="172.95" customHeight="1" x14ac:dyDescent="0.3">
      <c r="A1120" s="6" t="str">
        <f>IF(ISNA(MATCH(1111,'Transfer Engine'!$C$2:$C$1199,0)),"",INDEX('Compliance Database'!$A$2:$A$1199,MATCH(1111,'Transfer Engine'!$C$2:$C$1199,0)))</f>
        <v/>
      </c>
      <c r="B1120" s="6" t="str">
        <f>IF(ISNA(MATCH(1111,'Transfer Engine'!$C$2:$C$1199,0)),"",INDEX('Compliance Database'!$B$2:$B$1199,MATCH(1111,'Transfer Engine'!$C$2:$C$1199,0)))</f>
        <v/>
      </c>
      <c r="C1120" s="6" t="str">
        <f>IF(ISNA(MATCH(1111,'Transfer Engine'!$C$2:$C$1199,0)),"",INDEX('Compliance Database'!$C$2:$C$1199,MATCH(1111,'Transfer Engine'!$C$2:$C$1199,0)))</f>
        <v/>
      </c>
      <c r="D1120" s="7" t="str">
        <f>IF(ISNA(MATCH(1111,'Transfer Engine'!$C$2:$C$1199,0)),"",INDEX('Compliance Database'!$D$2:$D$1199,MATCH(1111,'Transfer Engine'!$C$2:$C$1199,0)))</f>
        <v/>
      </c>
      <c r="E1120" s="6" t="str">
        <f>IF(ISNA(MATCH(1111,'Transfer Engine'!$C$2:$C$1199,0)),"",INDEX('Compliance Database'!$E$2:$E$1199,MATCH(1111,'Transfer Engine'!$C$2:$C$1199,0)))</f>
        <v/>
      </c>
      <c r="F1120" s="6" t="str">
        <f>IF(ISNA(MATCH(1111,'Transfer Engine'!$C$2:$C$1199,0)),"",INDEX('Compliance Database'!$F$2:$F$1199,MATCH(1111,'Transfer Engine'!$C$2:$C$1199,0)))</f>
        <v/>
      </c>
      <c r="G1120" s="6" t="str">
        <f>IF(ISNA(MATCH(1111,'Transfer Engine'!$C$2:$C$1199,0)),"",INDEX('Compliance Database'!$G$2:$G$1199,MATCH(1111,'Transfer Engine'!$C$2:$C$1199,0)))</f>
        <v/>
      </c>
      <c r="H1120" s="7" t="str">
        <f>IF(ISNA(MATCH(1111,'Transfer Engine'!$C$2:$C$1199,0)),"",INDEX('Compliance Database'!$H$2:$H$1199,MATCH(1111,'Transfer Engine'!$C$2:$C$1199,0)))</f>
        <v/>
      </c>
      <c r="I1120" s="7" t="str">
        <f>IF(ISNA(MATCH(1111,'Transfer Engine'!$C$2:$C$1199,0)),"",INDEX('Compliance Database'!$I$2:$I$1199,MATCH(1111,'Transfer Engine'!$C$2:$C$1199,0)))</f>
        <v/>
      </c>
      <c r="J1120" s="6" t="str">
        <f>IF(ISNA(MATCH(1111,'Transfer Engine'!$C$2:$C$1199,0)),"",INDEX('Compliance Database'!$J$2:$J$1199,MATCH(1111,'Transfer Engine'!$C$2:$C$1199,0)))</f>
        <v/>
      </c>
      <c r="K1120" s="7" t="str">
        <f>IF(ISNA(MATCH(1111,'Transfer Engine'!$C$2:$C$1199,0)),"",INDEX('Compliance Database'!$K$2:$K$1199,MATCH(1111,'Transfer Engine'!$C$2:$C$1199,0)))</f>
        <v/>
      </c>
      <c r="L1120" s="7" t="str">
        <f>IF(ISNA(MATCH(1111,'Transfer Engine'!$C$2:$C$1199,0)),"",INDEX('Compliance Database'!$L$2:$L$1199,MATCH(1111,'Transfer Engine'!$C$2:$C$1199,0)))</f>
        <v/>
      </c>
      <c r="M1120" s="7" t="str">
        <f>IF(ISNA(MATCH(1111,'Transfer Engine'!$C$2:$C$1199,0)),"",INDEX('Compliance Database'!$M$2:$M$1199,MATCH(1111,'Transfer Engine'!$C$2:$C$1199,0)))</f>
        <v/>
      </c>
      <c r="N1120" s="7" t="str">
        <f>IF(ISNA(MATCH(1111,'Transfer Engine'!$C$2:$C$1199,0)),"",INDEX('Compliance Database'!$N$2:$N$1199,MATCH(1111,'Transfer Engine'!$C$2:$C$1199,0)))</f>
        <v/>
      </c>
      <c r="O1120" s="7" t="str">
        <f>IF(ISNA(MATCH(1111,'Transfer Engine'!$C$2:$C$1199,0)),"",INDEX('Compliance Database'!$O$2:$O$1199,MATCH(1111,'Transfer Engine'!$C$2:$C$1199,0)))</f>
        <v/>
      </c>
      <c r="P1120" s="6" t="str">
        <f>IF(ISNA(MATCH(1111,'Transfer Engine'!$C$2:$C$1199,0)),"",HYPERLINK("#Acts!A"&amp;INDEX('Compliance Database'!$P$2:$P$1199,MATCH(1111,'Transfer Engine'!$C$2:$C$1199,0)),"Go to Act"))</f>
        <v/>
      </c>
    </row>
    <row r="1121" spans="1:16" ht="172.95" customHeight="1" x14ac:dyDescent="0.3">
      <c r="A1121" s="6" t="str">
        <f>IF(ISNA(MATCH(1112,'Transfer Engine'!$C$2:$C$1199,0)),"",INDEX('Compliance Database'!$A$2:$A$1199,MATCH(1112,'Transfer Engine'!$C$2:$C$1199,0)))</f>
        <v/>
      </c>
      <c r="B1121" s="6" t="str">
        <f>IF(ISNA(MATCH(1112,'Transfer Engine'!$C$2:$C$1199,0)),"",INDEX('Compliance Database'!$B$2:$B$1199,MATCH(1112,'Transfer Engine'!$C$2:$C$1199,0)))</f>
        <v/>
      </c>
      <c r="C1121" s="6" t="str">
        <f>IF(ISNA(MATCH(1112,'Transfer Engine'!$C$2:$C$1199,0)),"",INDEX('Compliance Database'!$C$2:$C$1199,MATCH(1112,'Transfer Engine'!$C$2:$C$1199,0)))</f>
        <v/>
      </c>
      <c r="D1121" s="7" t="str">
        <f>IF(ISNA(MATCH(1112,'Transfer Engine'!$C$2:$C$1199,0)),"",INDEX('Compliance Database'!$D$2:$D$1199,MATCH(1112,'Transfer Engine'!$C$2:$C$1199,0)))</f>
        <v/>
      </c>
      <c r="E1121" s="6" t="str">
        <f>IF(ISNA(MATCH(1112,'Transfer Engine'!$C$2:$C$1199,0)),"",INDEX('Compliance Database'!$E$2:$E$1199,MATCH(1112,'Transfer Engine'!$C$2:$C$1199,0)))</f>
        <v/>
      </c>
      <c r="F1121" s="6" t="str">
        <f>IF(ISNA(MATCH(1112,'Transfer Engine'!$C$2:$C$1199,0)),"",INDEX('Compliance Database'!$F$2:$F$1199,MATCH(1112,'Transfer Engine'!$C$2:$C$1199,0)))</f>
        <v/>
      </c>
      <c r="G1121" s="6" t="str">
        <f>IF(ISNA(MATCH(1112,'Transfer Engine'!$C$2:$C$1199,0)),"",INDEX('Compliance Database'!$G$2:$G$1199,MATCH(1112,'Transfer Engine'!$C$2:$C$1199,0)))</f>
        <v/>
      </c>
      <c r="H1121" s="7" t="str">
        <f>IF(ISNA(MATCH(1112,'Transfer Engine'!$C$2:$C$1199,0)),"",INDEX('Compliance Database'!$H$2:$H$1199,MATCH(1112,'Transfer Engine'!$C$2:$C$1199,0)))</f>
        <v/>
      </c>
      <c r="I1121" s="7" t="str">
        <f>IF(ISNA(MATCH(1112,'Transfer Engine'!$C$2:$C$1199,0)),"",INDEX('Compliance Database'!$I$2:$I$1199,MATCH(1112,'Transfer Engine'!$C$2:$C$1199,0)))</f>
        <v/>
      </c>
      <c r="J1121" s="6" t="str">
        <f>IF(ISNA(MATCH(1112,'Transfer Engine'!$C$2:$C$1199,0)),"",INDEX('Compliance Database'!$J$2:$J$1199,MATCH(1112,'Transfer Engine'!$C$2:$C$1199,0)))</f>
        <v/>
      </c>
      <c r="K1121" s="7" t="str">
        <f>IF(ISNA(MATCH(1112,'Transfer Engine'!$C$2:$C$1199,0)),"",INDEX('Compliance Database'!$K$2:$K$1199,MATCH(1112,'Transfer Engine'!$C$2:$C$1199,0)))</f>
        <v/>
      </c>
      <c r="L1121" s="7" t="str">
        <f>IF(ISNA(MATCH(1112,'Transfer Engine'!$C$2:$C$1199,0)),"",INDEX('Compliance Database'!$L$2:$L$1199,MATCH(1112,'Transfer Engine'!$C$2:$C$1199,0)))</f>
        <v/>
      </c>
      <c r="M1121" s="7" t="str">
        <f>IF(ISNA(MATCH(1112,'Transfer Engine'!$C$2:$C$1199,0)),"",INDEX('Compliance Database'!$M$2:$M$1199,MATCH(1112,'Transfer Engine'!$C$2:$C$1199,0)))</f>
        <v/>
      </c>
      <c r="N1121" s="7" t="str">
        <f>IF(ISNA(MATCH(1112,'Transfer Engine'!$C$2:$C$1199,0)),"",INDEX('Compliance Database'!$N$2:$N$1199,MATCH(1112,'Transfer Engine'!$C$2:$C$1199,0)))</f>
        <v/>
      </c>
      <c r="O1121" s="7" t="str">
        <f>IF(ISNA(MATCH(1112,'Transfer Engine'!$C$2:$C$1199,0)),"",INDEX('Compliance Database'!$O$2:$O$1199,MATCH(1112,'Transfer Engine'!$C$2:$C$1199,0)))</f>
        <v/>
      </c>
      <c r="P1121" s="6" t="str">
        <f>IF(ISNA(MATCH(1112,'Transfer Engine'!$C$2:$C$1199,0)),"",HYPERLINK("#Acts!A"&amp;INDEX('Compliance Database'!$P$2:$P$1199,MATCH(1112,'Transfer Engine'!$C$2:$C$1199,0)),"Go to Act"))</f>
        <v/>
      </c>
    </row>
    <row r="1122" spans="1:16" ht="172.95" customHeight="1" x14ac:dyDescent="0.3">
      <c r="A1122" s="6" t="str">
        <f>IF(ISNA(MATCH(1113,'Transfer Engine'!$C$2:$C$1199,0)),"",INDEX('Compliance Database'!$A$2:$A$1199,MATCH(1113,'Transfer Engine'!$C$2:$C$1199,0)))</f>
        <v/>
      </c>
      <c r="B1122" s="6" t="str">
        <f>IF(ISNA(MATCH(1113,'Transfer Engine'!$C$2:$C$1199,0)),"",INDEX('Compliance Database'!$B$2:$B$1199,MATCH(1113,'Transfer Engine'!$C$2:$C$1199,0)))</f>
        <v/>
      </c>
      <c r="C1122" s="6" t="str">
        <f>IF(ISNA(MATCH(1113,'Transfer Engine'!$C$2:$C$1199,0)),"",INDEX('Compliance Database'!$C$2:$C$1199,MATCH(1113,'Transfer Engine'!$C$2:$C$1199,0)))</f>
        <v/>
      </c>
      <c r="D1122" s="7" t="str">
        <f>IF(ISNA(MATCH(1113,'Transfer Engine'!$C$2:$C$1199,0)),"",INDEX('Compliance Database'!$D$2:$D$1199,MATCH(1113,'Transfer Engine'!$C$2:$C$1199,0)))</f>
        <v/>
      </c>
      <c r="E1122" s="6" t="str">
        <f>IF(ISNA(MATCH(1113,'Transfer Engine'!$C$2:$C$1199,0)),"",INDEX('Compliance Database'!$E$2:$E$1199,MATCH(1113,'Transfer Engine'!$C$2:$C$1199,0)))</f>
        <v/>
      </c>
      <c r="F1122" s="6" t="str">
        <f>IF(ISNA(MATCH(1113,'Transfer Engine'!$C$2:$C$1199,0)),"",INDEX('Compliance Database'!$F$2:$F$1199,MATCH(1113,'Transfer Engine'!$C$2:$C$1199,0)))</f>
        <v/>
      </c>
      <c r="G1122" s="6" t="str">
        <f>IF(ISNA(MATCH(1113,'Transfer Engine'!$C$2:$C$1199,0)),"",INDEX('Compliance Database'!$G$2:$G$1199,MATCH(1113,'Transfer Engine'!$C$2:$C$1199,0)))</f>
        <v/>
      </c>
      <c r="H1122" s="7" t="str">
        <f>IF(ISNA(MATCH(1113,'Transfer Engine'!$C$2:$C$1199,0)),"",INDEX('Compliance Database'!$H$2:$H$1199,MATCH(1113,'Transfer Engine'!$C$2:$C$1199,0)))</f>
        <v/>
      </c>
      <c r="I1122" s="7" t="str">
        <f>IF(ISNA(MATCH(1113,'Transfer Engine'!$C$2:$C$1199,0)),"",INDEX('Compliance Database'!$I$2:$I$1199,MATCH(1113,'Transfer Engine'!$C$2:$C$1199,0)))</f>
        <v/>
      </c>
      <c r="J1122" s="6" t="str">
        <f>IF(ISNA(MATCH(1113,'Transfer Engine'!$C$2:$C$1199,0)),"",INDEX('Compliance Database'!$J$2:$J$1199,MATCH(1113,'Transfer Engine'!$C$2:$C$1199,0)))</f>
        <v/>
      </c>
      <c r="K1122" s="7" t="str">
        <f>IF(ISNA(MATCH(1113,'Transfer Engine'!$C$2:$C$1199,0)),"",INDEX('Compliance Database'!$K$2:$K$1199,MATCH(1113,'Transfer Engine'!$C$2:$C$1199,0)))</f>
        <v/>
      </c>
      <c r="L1122" s="7" t="str">
        <f>IF(ISNA(MATCH(1113,'Transfer Engine'!$C$2:$C$1199,0)),"",INDEX('Compliance Database'!$L$2:$L$1199,MATCH(1113,'Transfer Engine'!$C$2:$C$1199,0)))</f>
        <v/>
      </c>
      <c r="M1122" s="7" t="str">
        <f>IF(ISNA(MATCH(1113,'Transfer Engine'!$C$2:$C$1199,0)),"",INDEX('Compliance Database'!$M$2:$M$1199,MATCH(1113,'Transfer Engine'!$C$2:$C$1199,0)))</f>
        <v/>
      </c>
      <c r="N1122" s="7" t="str">
        <f>IF(ISNA(MATCH(1113,'Transfer Engine'!$C$2:$C$1199,0)),"",INDEX('Compliance Database'!$N$2:$N$1199,MATCH(1113,'Transfer Engine'!$C$2:$C$1199,0)))</f>
        <v/>
      </c>
      <c r="O1122" s="7" t="str">
        <f>IF(ISNA(MATCH(1113,'Transfer Engine'!$C$2:$C$1199,0)),"",INDEX('Compliance Database'!$O$2:$O$1199,MATCH(1113,'Transfer Engine'!$C$2:$C$1199,0)))</f>
        <v/>
      </c>
      <c r="P1122" s="6" t="str">
        <f>IF(ISNA(MATCH(1113,'Transfer Engine'!$C$2:$C$1199,0)),"",HYPERLINK("#Acts!A"&amp;INDEX('Compliance Database'!$P$2:$P$1199,MATCH(1113,'Transfer Engine'!$C$2:$C$1199,0)),"Go to Act"))</f>
        <v/>
      </c>
    </row>
    <row r="1123" spans="1:16" ht="172.95" customHeight="1" x14ac:dyDescent="0.3">
      <c r="A1123" s="6" t="str">
        <f>IF(ISNA(MATCH(1114,'Transfer Engine'!$C$2:$C$1199,0)),"",INDEX('Compliance Database'!$A$2:$A$1199,MATCH(1114,'Transfer Engine'!$C$2:$C$1199,0)))</f>
        <v/>
      </c>
      <c r="B1123" s="6" t="str">
        <f>IF(ISNA(MATCH(1114,'Transfer Engine'!$C$2:$C$1199,0)),"",INDEX('Compliance Database'!$B$2:$B$1199,MATCH(1114,'Transfer Engine'!$C$2:$C$1199,0)))</f>
        <v/>
      </c>
      <c r="C1123" s="6" t="str">
        <f>IF(ISNA(MATCH(1114,'Transfer Engine'!$C$2:$C$1199,0)),"",INDEX('Compliance Database'!$C$2:$C$1199,MATCH(1114,'Transfer Engine'!$C$2:$C$1199,0)))</f>
        <v/>
      </c>
      <c r="D1123" s="7" t="str">
        <f>IF(ISNA(MATCH(1114,'Transfer Engine'!$C$2:$C$1199,0)),"",INDEX('Compliance Database'!$D$2:$D$1199,MATCH(1114,'Transfer Engine'!$C$2:$C$1199,0)))</f>
        <v/>
      </c>
      <c r="E1123" s="6" t="str">
        <f>IF(ISNA(MATCH(1114,'Transfer Engine'!$C$2:$C$1199,0)),"",INDEX('Compliance Database'!$E$2:$E$1199,MATCH(1114,'Transfer Engine'!$C$2:$C$1199,0)))</f>
        <v/>
      </c>
      <c r="F1123" s="6" t="str">
        <f>IF(ISNA(MATCH(1114,'Transfer Engine'!$C$2:$C$1199,0)),"",INDEX('Compliance Database'!$F$2:$F$1199,MATCH(1114,'Transfer Engine'!$C$2:$C$1199,0)))</f>
        <v/>
      </c>
      <c r="G1123" s="6" t="str">
        <f>IF(ISNA(MATCH(1114,'Transfer Engine'!$C$2:$C$1199,0)),"",INDEX('Compliance Database'!$G$2:$G$1199,MATCH(1114,'Transfer Engine'!$C$2:$C$1199,0)))</f>
        <v/>
      </c>
      <c r="H1123" s="7" t="str">
        <f>IF(ISNA(MATCH(1114,'Transfer Engine'!$C$2:$C$1199,0)),"",INDEX('Compliance Database'!$H$2:$H$1199,MATCH(1114,'Transfer Engine'!$C$2:$C$1199,0)))</f>
        <v/>
      </c>
      <c r="I1123" s="7" t="str">
        <f>IF(ISNA(MATCH(1114,'Transfer Engine'!$C$2:$C$1199,0)),"",INDEX('Compliance Database'!$I$2:$I$1199,MATCH(1114,'Transfer Engine'!$C$2:$C$1199,0)))</f>
        <v/>
      </c>
      <c r="J1123" s="6" t="str">
        <f>IF(ISNA(MATCH(1114,'Transfer Engine'!$C$2:$C$1199,0)),"",INDEX('Compliance Database'!$J$2:$J$1199,MATCH(1114,'Transfer Engine'!$C$2:$C$1199,0)))</f>
        <v/>
      </c>
      <c r="K1123" s="7" t="str">
        <f>IF(ISNA(MATCH(1114,'Transfer Engine'!$C$2:$C$1199,0)),"",INDEX('Compliance Database'!$K$2:$K$1199,MATCH(1114,'Transfer Engine'!$C$2:$C$1199,0)))</f>
        <v/>
      </c>
      <c r="L1123" s="7" t="str">
        <f>IF(ISNA(MATCH(1114,'Transfer Engine'!$C$2:$C$1199,0)),"",INDEX('Compliance Database'!$L$2:$L$1199,MATCH(1114,'Transfer Engine'!$C$2:$C$1199,0)))</f>
        <v/>
      </c>
      <c r="M1123" s="7" t="str">
        <f>IF(ISNA(MATCH(1114,'Transfer Engine'!$C$2:$C$1199,0)),"",INDEX('Compliance Database'!$M$2:$M$1199,MATCH(1114,'Transfer Engine'!$C$2:$C$1199,0)))</f>
        <v/>
      </c>
      <c r="N1123" s="7" t="str">
        <f>IF(ISNA(MATCH(1114,'Transfer Engine'!$C$2:$C$1199,0)),"",INDEX('Compliance Database'!$N$2:$N$1199,MATCH(1114,'Transfer Engine'!$C$2:$C$1199,0)))</f>
        <v/>
      </c>
      <c r="O1123" s="7" t="str">
        <f>IF(ISNA(MATCH(1114,'Transfer Engine'!$C$2:$C$1199,0)),"",INDEX('Compliance Database'!$O$2:$O$1199,MATCH(1114,'Transfer Engine'!$C$2:$C$1199,0)))</f>
        <v/>
      </c>
      <c r="P1123" s="6" t="str">
        <f>IF(ISNA(MATCH(1114,'Transfer Engine'!$C$2:$C$1199,0)),"",HYPERLINK("#Acts!A"&amp;INDEX('Compliance Database'!$P$2:$P$1199,MATCH(1114,'Transfer Engine'!$C$2:$C$1199,0)),"Go to Act"))</f>
        <v/>
      </c>
    </row>
    <row r="1124" spans="1:16" ht="172.95" customHeight="1" x14ac:dyDescent="0.3">
      <c r="A1124" s="6" t="str">
        <f>IF(ISNA(MATCH(1115,'Transfer Engine'!$C$2:$C$1199,0)),"",INDEX('Compliance Database'!$A$2:$A$1199,MATCH(1115,'Transfer Engine'!$C$2:$C$1199,0)))</f>
        <v/>
      </c>
      <c r="B1124" s="6" t="str">
        <f>IF(ISNA(MATCH(1115,'Transfer Engine'!$C$2:$C$1199,0)),"",INDEX('Compliance Database'!$B$2:$B$1199,MATCH(1115,'Transfer Engine'!$C$2:$C$1199,0)))</f>
        <v/>
      </c>
      <c r="C1124" s="6" t="str">
        <f>IF(ISNA(MATCH(1115,'Transfer Engine'!$C$2:$C$1199,0)),"",INDEX('Compliance Database'!$C$2:$C$1199,MATCH(1115,'Transfer Engine'!$C$2:$C$1199,0)))</f>
        <v/>
      </c>
      <c r="D1124" s="7" t="str">
        <f>IF(ISNA(MATCH(1115,'Transfer Engine'!$C$2:$C$1199,0)),"",INDEX('Compliance Database'!$D$2:$D$1199,MATCH(1115,'Transfer Engine'!$C$2:$C$1199,0)))</f>
        <v/>
      </c>
      <c r="E1124" s="6" t="str">
        <f>IF(ISNA(MATCH(1115,'Transfer Engine'!$C$2:$C$1199,0)),"",INDEX('Compliance Database'!$E$2:$E$1199,MATCH(1115,'Transfer Engine'!$C$2:$C$1199,0)))</f>
        <v/>
      </c>
      <c r="F1124" s="6" t="str">
        <f>IF(ISNA(MATCH(1115,'Transfer Engine'!$C$2:$C$1199,0)),"",INDEX('Compliance Database'!$F$2:$F$1199,MATCH(1115,'Transfer Engine'!$C$2:$C$1199,0)))</f>
        <v/>
      </c>
      <c r="G1124" s="6" t="str">
        <f>IF(ISNA(MATCH(1115,'Transfer Engine'!$C$2:$C$1199,0)),"",INDEX('Compliance Database'!$G$2:$G$1199,MATCH(1115,'Transfer Engine'!$C$2:$C$1199,0)))</f>
        <v/>
      </c>
      <c r="H1124" s="7" t="str">
        <f>IF(ISNA(MATCH(1115,'Transfer Engine'!$C$2:$C$1199,0)),"",INDEX('Compliance Database'!$H$2:$H$1199,MATCH(1115,'Transfer Engine'!$C$2:$C$1199,0)))</f>
        <v/>
      </c>
      <c r="I1124" s="7" t="str">
        <f>IF(ISNA(MATCH(1115,'Transfer Engine'!$C$2:$C$1199,0)),"",INDEX('Compliance Database'!$I$2:$I$1199,MATCH(1115,'Transfer Engine'!$C$2:$C$1199,0)))</f>
        <v/>
      </c>
      <c r="J1124" s="6" t="str">
        <f>IF(ISNA(MATCH(1115,'Transfer Engine'!$C$2:$C$1199,0)),"",INDEX('Compliance Database'!$J$2:$J$1199,MATCH(1115,'Transfer Engine'!$C$2:$C$1199,0)))</f>
        <v/>
      </c>
      <c r="K1124" s="7" t="str">
        <f>IF(ISNA(MATCH(1115,'Transfer Engine'!$C$2:$C$1199,0)),"",INDEX('Compliance Database'!$K$2:$K$1199,MATCH(1115,'Transfer Engine'!$C$2:$C$1199,0)))</f>
        <v/>
      </c>
      <c r="L1124" s="7" t="str">
        <f>IF(ISNA(MATCH(1115,'Transfer Engine'!$C$2:$C$1199,0)),"",INDEX('Compliance Database'!$L$2:$L$1199,MATCH(1115,'Transfer Engine'!$C$2:$C$1199,0)))</f>
        <v/>
      </c>
      <c r="M1124" s="7" t="str">
        <f>IF(ISNA(MATCH(1115,'Transfer Engine'!$C$2:$C$1199,0)),"",INDEX('Compliance Database'!$M$2:$M$1199,MATCH(1115,'Transfer Engine'!$C$2:$C$1199,0)))</f>
        <v/>
      </c>
      <c r="N1124" s="7" t="str">
        <f>IF(ISNA(MATCH(1115,'Transfer Engine'!$C$2:$C$1199,0)),"",INDEX('Compliance Database'!$N$2:$N$1199,MATCH(1115,'Transfer Engine'!$C$2:$C$1199,0)))</f>
        <v/>
      </c>
      <c r="O1124" s="7" t="str">
        <f>IF(ISNA(MATCH(1115,'Transfer Engine'!$C$2:$C$1199,0)),"",INDEX('Compliance Database'!$O$2:$O$1199,MATCH(1115,'Transfer Engine'!$C$2:$C$1199,0)))</f>
        <v/>
      </c>
      <c r="P1124" s="6" t="str">
        <f>IF(ISNA(MATCH(1115,'Transfer Engine'!$C$2:$C$1199,0)),"",HYPERLINK("#Acts!A"&amp;INDEX('Compliance Database'!$P$2:$P$1199,MATCH(1115,'Transfer Engine'!$C$2:$C$1199,0)),"Go to Act"))</f>
        <v/>
      </c>
    </row>
    <row r="1125" spans="1:16" ht="172.95" customHeight="1" x14ac:dyDescent="0.3">
      <c r="A1125" s="6" t="str">
        <f>IF(ISNA(MATCH(1116,'Transfer Engine'!$C$2:$C$1199,0)),"",INDEX('Compliance Database'!$A$2:$A$1199,MATCH(1116,'Transfer Engine'!$C$2:$C$1199,0)))</f>
        <v/>
      </c>
      <c r="B1125" s="6" t="str">
        <f>IF(ISNA(MATCH(1116,'Transfer Engine'!$C$2:$C$1199,0)),"",INDEX('Compliance Database'!$B$2:$B$1199,MATCH(1116,'Transfer Engine'!$C$2:$C$1199,0)))</f>
        <v/>
      </c>
      <c r="C1125" s="6" t="str">
        <f>IF(ISNA(MATCH(1116,'Transfer Engine'!$C$2:$C$1199,0)),"",INDEX('Compliance Database'!$C$2:$C$1199,MATCH(1116,'Transfer Engine'!$C$2:$C$1199,0)))</f>
        <v/>
      </c>
      <c r="D1125" s="7" t="str">
        <f>IF(ISNA(MATCH(1116,'Transfer Engine'!$C$2:$C$1199,0)),"",INDEX('Compliance Database'!$D$2:$D$1199,MATCH(1116,'Transfer Engine'!$C$2:$C$1199,0)))</f>
        <v/>
      </c>
      <c r="E1125" s="6" t="str">
        <f>IF(ISNA(MATCH(1116,'Transfer Engine'!$C$2:$C$1199,0)),"",INDEX('Compliance Database'!$E$2:$E$1199,MATCH(1116,'Transfer Engine'!$C$2:$C$1199,0)))</f>
        <v/>
      </c>
      <c r="F1125" s="6" t="str">
        <f>IF(ISNA(MATCH(1116,'Transfer Engine'!$C$2:$C$1199,0)),"",INDEX('Compliance Database'!$F$2:$F$1199,MATCH(1116,'Transfer Engine'!$C$2:$C$1199,0)))</f>
        <v/>
      </c>
      <c r="G1125" s="6" t="str">
        <f>IF(ISNA(MATCH(1116,'Transfer Engine'!$C$2:$C$1199,0)),"",INDEX('Compliance Database'!$G$2:$G$1199,MATCH(1116,'Transfer Engine'!$C$2:$C$1199,0)))</f>
        <v/>
      </c>
      <c r="H1125" s="7" t="str">
        <f>IF(ISNA(MATCH(1116,'Transfer Engine'!$C$2:$C$1199,0)),"",INDEX('Compliance Database'!$H$2:$H$1199,MATCH(1116,'Transfer Engine'!$C$2:$C$1199,0)))</f>
        <v/>
      </c>
      <c r="I1125" s="7" t="str">
        <f>IF(ISNA(MATCH(1116,'Transfer Engine'!$C$2:$C$1199,0)),"",INDEX('Compliance Database'!$I$2:$I$1199,MATCH(1116,'Transfer Engine'!$C$2:$C$1199,0)))</f>
        <v/>
      </c>
      <c r="J1125" s="6" t="str">
        <f>IF(ISNA(MATCH(1116,'Transfer Engine'!$C$2:$C$1199,0)),"",INDEX('Compliance Database'!$J$2:$J$1199,MATCH(1116,'Transfer Engine'!$C$2:$C$1199,0)))</f>
        <v/>
      </c>
      <c r="K1125" s="7" t="str">
        <f>IF(ISNA(MATCH(1116,'Transfer Engine'!$C$2:$C$1199,0)),"",INDEX('Compliance Database'!$K$2:$K$1199,MATCH(1116,'Transfer Engine'!$C$2:$C$1199,0)))</f>
        <v/>
      </c>
      <c r="L1125" s="7" t="str">
        <f>IF(ISNA(MATCH(1116,'Transfer Engine'!$C$2:$C$1199,0)),"",INDEX('Compliance Database'!$L$2:$L$1199,MATCH(1116,'Transfer Engine'!$C$2:$C$1199,0)))</f>
        <v/>
      </c>
      <c r="M1125" s="7" t="str">
        <f>IF(ISNA(MATCH(1116,'Transfer Engine'!$C$2:$C$1199,0)),"",INDEX('Compliance Database'!$M$2:$M$1199,MATCH(1116,'Transfer Engine'!$C$2:$C$1199,0)))</f>
        <v/>
      </c>
      <c r="N1125" s="7" t="str">
        <f>IF(ISNA(MATCH(1116,'Transfer Engine'!$C$2:$C$1199,0)),"",INDEX('Compliance Database'!$N$2:$N$1199,MATCH(1116,'Transfer Engine'!$C$2:$C$1199,0)))</f>
        <v/>
      </c>
      <c r="O1125" s="7" t="str">
        <f>IF(ISNA(MATCH(1116,'Transfer Engine'!$C$2:$C$1199,0)),"",INDEX('Compliance Database'!$O$2:$O$1199,MATCH(1116,'Transfer Engine'!$C$2:$C$1199,0)))</f>
        <v/>
      </c>
      <c r="P1125" s="6" t="str">
        <f>IF(ISNA(MATCH(1116,'Transfer Engine'!$C$2:$C$1199,0)),"",HYPERLINK("#Acts!A"&amp;INDEX('Compliance Database'!$P$2:$P$1199,MATCH(1116,'Transfer Engine'!$C$2:$C$1199,0)),"Go to Act"))</f>
        <v/>
      </c>
    </row>
    <row r="1126" spans="1:16" ht="172.95" customHeight="1" x14ac:dyDescent="0.3">
      <c r="A1126" s="6" t="str">
        <f>IF(ISNA(MATCH(1117,'Transfer Engine'!$C$2:$C$1199,0)),"",INDEX('Compliance Database'!$A$2:$A$1199,MATCH(1117,'Transfer Engine'!$C$2:$C$1199,0)))</f>
        <v/>
      </c>
      <c r="B1126" s="6" t="str">
        <f>IF(ISNA(MATCH(1117,'Transfer Engine'!$C$2:$C$1199,0)),"",INDEX('Compliance Database'!$B$2:$B$1199,MATCH(1117,'Transfer Engine'!$C$2:$C$1199,0)))</f>
        <v/>
      </c>
      <c r="C1126" s="6" t="str">
        <f>IF(ISNA(MATCH(1117,'Transfer Engine'!$C$2:$C$1199,0)),"",INDEX('Compliance Database'!$C$2:$C$1199,MATCH(1117,'Transfer Engine'!$C$2:$C$1199,0)))</f>
        <v/>
      </c>
      <c r="D1126" s="7" t="str">
        <f>IF(ISNA(MATCH(1117,'Transfer Engine'!$C$2:$C$1199,0)),"",INDEX('Compliance Database'!$D$2:$D$1199,MATCH(1117,'Transfer Engine'!$C$2:$C$1199,0)))</f>
        <v/>
      </c>
      <c r="E1126" s="6" t="str">
        <f>IF(ISNA(MATCH(1117,'Transfer Engine'!$C$2:$C$1199,0)),"",INDEX('Compliance Database'!$E$2:$E$1199,MATCH(1117,'Transfer Engine'!$C$2:$C$1199,0)))</f>
        <v/>
      </c>
      <c r="F1126" s="6" t="str">
        <f>IF(ISNA(MATCH(1117,'Transfer Engine'!$C$2:$C$1199,0)),"",INDEX('Compliance Database'!$F$2:$F$1199,MATCH(1117,'Transfer Engine'!$C$2:$C$1199,0)))</f>
        <v/>
      </c>
      <c r="G1126" s="6" t="str">
        <f>IF(ISNA(MATCH(1117,'Transfer Engine'!$C$2:$C$1199,0)),"",INDEX('Compliance Database'!$G$2:$G$1199,MATCH(1117,'Transfer Engine'!$C$2:$C$1199,0)))</f>
        <v/>
      </c>
      <c r="H1126" s="7" t="str">
        <f>IF(ISNA(MATCH(1117,'Transfer Engine'!$C$2:$C$1199,0)),"",INDEX('Compliance Database'!$H$2:$H$1199,MATCH(1117,'Transfer Engine'!$C$2:$C$1199,0)))</f>
        <v/>
      </c>
      <c r="I1126" s="7" t="str">
        <f>IF(ISNA(MATCH(1117,'Transfer Engine'!$C$2:$C$1199,0)),"",INDEX('Compliance Database'!$I$2:$I$1199,MATCH(1117,'Transfer Engine'!$C$2:$C$1199,0)))</f>
        <v/>
      </c>
      <c r="J1126" s="6" t="str">
        <f>IF(ISNA(MATCH(1117,'Transfer Engine'!$C$2:$C$1199,0)),"",INDEX('Compliance Database'!$J$2:$J$1199,MATCH(1117,'Transfer Engine'!$C$2:$C$1199,0)))</f>
        <v/>
      </c>
      <c r="K1126" s="7" t="str">
        <f>IF(ISNA(MATCH(1117,'Transfer Engine'!$C$2:$C$1199,0)),"",INDEX('Compliance Database'!$K$2:$K$1199,MATCH(1117,'Transfer Engine'!$C$2:$C$1199,0)))</f>
        <v/>
      </c>
      <c r="L1126" s="7" t="str">
        <f>IF(ISNA(MATCH(1117,'Transfer Engine'!$C$2:$C$1199,0)),"",INDEX('Compliance Database'!$L$2:$L$1199,MATCH(1117,'Transfer Engine'!$C$2:$C$1199,0)))</f>
        <v/>
      </c>
      <c r="M1126" s="7" t="str">
        <f>IF(ISNA(MATCH(1117,'Transfer Engine'!$C$2:$C$1199,0)),"",INDEX('Compliance Database'!$M$2:$M$1199,MATCH(1117,'Transfer Engine'!$C$2:$C$1199,0)))</f>
        <v/>
      </c>
      <c r="N1126" s="7" t="str">
        <f>IF(ISNA(MATCH(1117,'Transfer Engine'!$C$2:$C$1199,0)),"",INDEX('Compliance Database'!$N$2:$N$1199,MATCH(1117,'Transfer Engine'!$C$2:$C$1199,0)))</f>
        <v/>
      </c>
      <c r="O1126" s="7" t="str">
        <f>IF(ISNA(MATCH(1117,'Transfer Engine'!$C$2:$C$1199,0)),"",INDEX('Compliance Database'!$O$2:$O$1199,MATCH(1117,'Transfer Engine'!$C$2:$C$1199,0)))</f>
        <v/>
      </c>
      <c r="P1126" s="6" t="str">
        <f>IF(ISNA(MATCH(1117,'Transfer Engine'!$C$2:$C$1199,0)),"",HYPERLINK("#Acts!A"&amp;INDEX('Compliance Database'!$P$2:$P$1199,MATCH(1117,'Transfer Engine'!$C$2:$C$1199,0)),"Go to Act"))</f>
        <v/>
      </c>
    </row>
    <row r="1127" spans="1:16" ht="172.95" customHeight="1" x14ac:dyDescent="0.3">
      <c r="A1127" s="6" t="str">
        <f>IF(ISNA(MATCH(1118,'Transfer Engine'!$C$2:$C$1199,0)),"",INDEX('Compliance Database'!$A$2:$A$1199,MATCH(1118,'Transfer Engine'!$C$2:$C$1199,0)))</f>
        <v/>
      </c>
      <c r="B1127" s="6" t="str">
        <f>IF(ISNA(MATCH(1118,'Transfer Engine'!$C$2:$C$1199,0)),"",INDEX('Compliance Database'!$B$2:$B$1199,MATCH(1118,'Transfer Engine'!$C$2:$C$1199,0)))</f>
        <v/>
      </c>
      <c r="C1127" s="6" t="str">
        <f>IF(ISNA(MATCH(1118,'Transfer Engine'!$C$2:$C$1199,0)),"",INDEX('Compliance Database'!$C$2:$C$1199,MATCH(1118,'Transfer Engine'!$C$2:$C$1199,0)))</f>
        <v/>
      </c>
      <c r="D1127" s="7" t="str">
        <f>IF(ISNA(MATCH(1118,'Transfer Engine'!$C$2:$C$1199,0)),"",INDEX('Compliance Database'!$D$2:$D$1199,MATCH(1118,'Transfer Engine'!$C$2:$C$1199,0)))</f>
        <v/>
      </c>
      <c r="E1127" s="6" t="str">
        <f>IF(ISNA(MATCH(1118,'Transfer Engine'!$C$2:$C$1199,0)),"",INDEX('Compliance Database'!$E$2:$E$1199,MATCH(1118,'Transfer Engine'!$C$2:$C$1199,0)))</f>
        <v/>
      </c>
      <c r="F1127" s="6" t="str">
        <f>IF(ISNA(MATCH(1118,'Transfer Engine'!$C$2:$C$1199,0)),"",INDEX('Compliance Database'!$F$2:$F$1199,MATCH(1118,'Transfer Engine'!$C$2:$C$1199,0)))</f>
        <v/>
      </c>
      <c r="G1127" s="6" t="str">
        <f>IF(ISNA(MATCH(1118,'Transfer Engine'!$C$2:$C$1199,0)),"",INDEX('Compliance Database'!$G$2:$G$1199,MATCH(1118,'Transfer Engine'!$C$2:$C$1199,0)))</f>
        <v/>
      </c>
      <c r="H1127" s="7" t="str">
        <f>IF(ISNA(MATCH(1118,'Transfer Engine'!$C$2:$C$1199,0)),"",INDEX('Compliance Database'!$H$2:$H$1199,MATCH(1118,'Transfer Engine'!$C$2:$C$1199,0)))</f>
        <v/>
      </c>
      <c r="I1127" s="7" t="str">
        <f>IF(ISNA(MATCH(1118,'Transfer Engine'!$C$2:$C$1199,0)),"",INDEX('Compliance Database'!$I$2:$I$1199,MATCH(1118,'Transfer Engine'!$C$2:$C$1199,0)))</f>
        <v/>
      </c>
      <c r="J1127" s="6" t="str">
        <f>IF(ISNA(MATCH(1118,'Transfer Engine'!$C$2:$C$1199,0)),"",INDEX('Compliance Database'!$J$2:$J$1199,MATCH(1118,'Transfer Engine'!$C$2:$C$1199,0)))</f>
        <v/>
      </c>
      <c r="K1127" s="7" t="str">
        <f>IF(ISNA(MATCH(1118,'Transfer Engine'!$C$2:$C$1199,0)),"",INDEX('Compliance Database'!$K$2:$K$1199,MATCH(1118,'Transfer Engine'!$C$2:$C$1199,0)))</f>
        <v/>
      </c>
      <c r="L1127" s="7" t="str">
        <f>IF(ISNA(MATCH(1118,'Transfer Engine'!$C$2:$C$1199,0)),"",INDEX('Compliance Database'!$L$2:$L$1199,MATCH(1118,'Transfer Engine'!$C$2:$C$1199,0)))</f>
        <v/>
      </c>
      <c r="M1127" s="7" t="str">
        <f>IF(ISNA(MATCH(1118,'Transfer Engine'!$C$2:$C$1199,0)),"",INDEX('Compliance Database'!$M$2:$M$1199,MATCH(1118,'Transfer Engine'!$C$2:$C$1199,0)))</f>
        <v/>
      </c>
      <c r="N1127" s="7" t="str">
        <f>IF(ISNA(MATCH(1118,'Transfer Engine'!$C$2:$C$1199,0)),"",INDEX('Compliance Database'!$N$2:$N$1199,MATCH(1118,'Transfer Engine'!$C$2:$C$1199,0)))</f>
        <v/>
      </c>
      <c r="O1127" s="7" t="str">
        <f>IF(ISNA(MATCH(1118,'Transfer Engine'!$C$2:$C$1199,0)),"",INDEX('Compliance Database'!$O$2:$O$1199,MATCH(1118,'Transfer Engine'!$C$2:$C$1199,0)))</f>
        <v/>
      </c>
      <c r="P1127" s="6" t="str">
        <f>IF(ISNA(MATCH(1118,'Transfer Engine'!$C$2:$C$1199,0)),"",HYPERLINK("#Acts!A"&amp;INDEX('Compliance Database'!$P$2:$P$1199,MATCH(1118,'Transfer Engine'!$C$2:$C$1199,0)),"Go to Act"))</f>
        <v/>
      </c>
    </row>
    <row r="1128" spans="1:16" ht="172.95" customHeight="1" x14ac:dyDescent="0.3">
      <c r="A1128" s="6" t="str">
        <f>IF(ISNA(MATCH(1119,'Transfer Engine'!$C$2:$C$1199,0)),"",INDEX('Compliance Database'!$A$2:$A$1199,MATCH(1119,'Transfer Engine'!$C$2:$C$1199,0)))</f>
        <v/>
      </c>
      <c r="B1128" s="6" t="str">
        <f>IF(ISNA(MATCH(1119,'Transfer Engine'!$C$2:$C$1199,0)),"",INDEX('Compliance Database'!$B$2:$B$1199,MATCH(1119,'Transfer Engine'!$C$2:$C$1199,0)))</f>
        <v/>
      </c>
      <c r="C1128" s="6" t="str">
        <f>IF(ISNA(MATCH(1119,'Transfer Engine'!$C$2:$C$1199,0)),"",INDEX('Compliance Database'!$C$2:$C$1199,MATCH(1119,'Transfer Engine'!$C$2:$C$1199,0)))</f>
        <v/>
      </c>
      <c r="D1128" s="7" t="str">
        <f>IF(ISNA(MATCH(1119,'Transfer Engine'!$C$2:$C$1199,0)),"",INDEX('Compliance Database'!$D$2:$D$1199,MATCH(1119,'Transfer Engine'!$C$2:$C$1199,0)))</f>
        <v/>
      </c>
      <c r="E1128" s="6" t="str">
        <f>IF(ISNA(MATCH(1119,'Transfer Engine'!$C$2:$C$1199,0)),"",INDEX('Compliance Database'!$E$2:$E$1199,MATCH(1119,'Transfer Engine'!$C$2:$C$1199,0)))</f>
        <v/>
      </c>
      <c r="F1128" s="6" t="str">
        <f>IF(ISNA(MATCH(1119,'Transfer Engine'!$C$2:$C$1199,0)),"",INDEX('Compliance Database'!$F$2:$F$1199,MATCH(1119,'Transfer Engine'!$C$2:$C$1199,0)))</f>
        <v/>
      </c>
      <c r="G1128" s="6" t="str">
        <f>IF(ISNA(MATCH(1119,'Transfer Engine'!$C$2:$C$1199,0)),"",INDEX('Compliance Database'!$G$2:$G$1199,MATCH(1119,'Transfer Engine'!$C$2:$C$1199,0)))</f>
        <v/>
      </c>
      <c r="H1128" s="7" t="str">
        <f>IF(ISNA(MATCH(1119,'Transfer Engine'!$C$2:$C$1199,0)),"",INDEX('Compliance Database'!$H$2:$H$1199,MATCH(1119,'Transfer Engine'!$C$2:$C$1199,0)))</f>
        <v/>
      </c>
      <c r="I1128" s="7" t="str">
        <f>IF(ISNA(MATCH(1119,'Transfer Engine'!$C$2:$C$1199,0)),"",INDEX('Compliance Database'!$I$2:$I$1199,MATCH(1119,'Transfer Engine'!$C$2:$C$1199,0)))</f>
        <v/>
      </c>
      <c r="J1128" s="6" t="str">
        <f>IF(ISNA(MATCH(1119,'Transfer Engine'!$C$2:$C$1199,0)),"",INDEX('Compliance Database'!$J$2:$J$1199,MATCH(1119,'Transfer Engine'!$C$2:$C$1199,0)))</f>
        <v/>
      </c>
      <c r="K1128" s="7" t="str">
        <f>IF(ISNA(MATCH(1119,'Transfer Engine'!$C$2:$C$1199,0)),"",INDEX('Compliance Database'!$K$2:$K$1199,MATCH(1119,'Transfer Engine'!$C$2:$C$1199,0)))</f>
        <v/>
      </c>
      <c r="L1128" s="7" t="str">
        <f>IF(ISNA(MATCH(1119,'Transfer Engine'!$C$2:$C$1199,0)),"",INDEX('Compliance Database'!$L$2:$L$1199,MATCH(1119,'Transfer Engine'!$C$2:$C$1199,0)))</f>
        <v/>
      </c>
      <c r="M1128" s="7" t="str">
        <f>IF(ISNA(MATCH(1119,'Transfer Engine'!$C$2:$C$1199,0)),"",INDEX('Compliance Database'!$M$2:$M$1199,MATCH(1119,'Transfer Engine'!$C$2:$C$1199,0)))</f>
        <v/>
      </c>
      <c r="N1128" s="7" t="str">
        <f>IF(ISNA(MATCH(1119,'Transfer Engine'!$C$2:$C$1199,0)),"",INDEX('Compliance Database'!$N$2:$N$1199,MATCH(1119,'Transfer Engine'!$C$2:$C$1199,0)))</f>
        <v/>
      </c>
      <c r="O1128" s="7" t="str">
        <f>IF(ISNA(MATCH(1119,'Transfer Engine'!$C$2:$C$1199,0)),"",INDEX('Compliance Database'!$O$2:$O$1199,MATCH(1119,'Transfer Engine'!$C$2:$C$1199,0)))</f>
        <v/>
      </c>
      <c r="P1128" s="6" t="str">
        <f>IF(ISNA(MATCH(1119,'Transfer Engine'!$C$2:$C$1199,0)),"",HYPERLINK("#Acts!A"&amp;INDEX('Compliance Database'!$P$2:$P$1199,MATCH(1119,'Transfer Engine'!$C$2:$C$1199,0)),"Go to Act"))</f>
        <v/>
      </c>
    </row>
    <row r="1129" spans="1:16" ht="172.95" customHeight="1" x14ac:dyDescent="0.3">
      <c r="A1129" s="6" t="str">
        <f>IF(ISNA(MATCH(1120,'Transfer Engine'!$C$2:$C$1199,0)),"",INDEX('Compliance Database'!$A$2:$A$1199,MATCH(1120,'Transfer Engine'!$C$2:$C$1199,0)))</f>
        <v/>
      </c>
      <c r="B1129" s="6" t="str">
        <f>IF(ISNA(MATCH(1120,'Transfer Engine'!$C$2:$C$1199,0)),"",INDEX('Compliance Database'!$B$2:$B$1199,MATCH(1120,'Transfer Engine'!$C$2:$C$1199,0)))</f>
        <v/>
      </c>
      <c r="C1129" s="6" t="str">
        <f>IF(ISNA(MATCH(1120,'Transfer Engine'!$C$2:$C$1199,0)),"",INDEX('Compliance Database'!$C$2:$C$1199,MATCH(1120,'Transfer Engine'!$C$2:$C$1199,0)))</f>
        <v/>
      </c>
      <c r="D1129" s="7" t="str">
        <f>IF(ISNA(MATCH(1120,'Transfer Engine'!$C$2:$C$1199,0)),"",INDEX('Compliance Database'!$D$2:$D$1199,MATCH(1120,'Transfer Engine'!$C$2:$C$1199,0)))</f>
        <v/>
      </c>
      <c r="E1129" s="6" t="str">
        <f>IF(ISNA(MATCH(1120,'Transfer Engine'!$C$2:$C$1199,0)),"",INDEX('Compliance Database'!$E$2:$E$1199,MATCH(1120,'Transfer Engine'!$C$2:$C$1199,0)))</f>
        <v/>
      </c>
      <c r="F1129" s="6" t="str">
        <f>IF(ISNA(MATCH(1120,'Transfer Engine'!$C$2:$C$1199,0)),"",INDEX('Compliance Database'!$F$2:$F$1199,MATCH(1120,'Transfer Engine'!$C$2:$C$1199,0)))</f>
        <v/>
      </c>
      <c r="G1129" s="6" t="str">
        <f>IF(ISNA(MATCH(1120,'Transfer Engine'!$C$2:$C$1199,0)),"",INDEX('Compliance Database'!$G$2:$G$1199,MATCH(1120,'Transfer Engine'!$C$2:$C$1199,0)))</f>
        <v/>
      </c>
      <c r="H1129" s="7" t="str">
        <f>IF(ISNA(MATCH(1120,'Transfer Engine'!$C$2:$C$1199,0)),"",INDEX('Compliance Database'!$H$2:$H$1199,MATCH(1120,'Transfer Engine'!$C$2:$C$1199,0)))</f>
        <v/>
      </c>
      <c r="I1129" s="7" t="str">
        <f>IF(ISNA(MATCH(1120,'Transfer Engine'!$C$2:$C$1199,0)),"",INDEX('Compliance Database'!$I$2:$I$1199,MATCH(1120,'Transfer Engine'!$C$2:$C$1199,0)))</f>
        <v/>
      </c>
      <c r="J1129" s="6" t="str">
        <f>IF(ISNA(MATCH(1120,'Transfer Engine'!$C$2:$C$1199,0)),"",INDEX('Compliance Database'!$J$2:$J$1199,MATCH(1120,'Transfer Engine'!$C$2:$C$1199,0)))</f>
        <v/>
      </c>
      <c r="K1129" s="7" t="str">
        <f>IF(ISNA(MATCH(1120,'Transfer Engine'!$C$2:$C$1199,0)),"",INDEX('Compliance Database'!$K$2:$K$1199,MATCH(1120,'Transfer Engine'!$C$2:$C$1199,0)))</f>
        <v/>
      </c>
      <c r="L1129" s="7" t="str">
        <f>IF(ISNA(MATCH(1120,'Transfer Engine'!$C$2:$C$1199,0)),"",INDEX('Compliance Database'!$L$2:$L$1199,MATCH(1120,'Transfer Engine'!$C$2:$C$1199,0)))</f>
        <v/>
      </c>
      <c r="M1129" s="7" t="str">
        <f>IF(ISNA(MATCH(1120,'Transfer Engine'!$C$2:$C$1199,0)),"",INDEX('Compliance Database'!$M$2:$M$1199,MATCH(1120,'Transfer Engine'!$C$2:$C$1199,0)))</f>
        <v/>
      </c>
      <c r="N1129" s="7" t="str">
        <f>IF(ISNA(MATCH(1120,'Transfer Engine'!$C$2:$C$1199,0)),"",INDEX('Compliance Database'!$N$2:$N$1199,MATCH(1120,'Transfer Engine'!$C$2:$C$1199,0)))</f>
        <v/>
      </c>
      <c r="O1129" s="7" t="str">
        <f>IF(ISNA(MATCH(1120,'Transfer Engine'!$C$2:$C$1199,0)),"",INDEX('Compliance Database'!$O$2:$O$1199,MATCH(1120,'Transfer Engine'!$C$2:$C$1199,0)))</f>
        <v/>
      </c>
      <c r="P1129" s="6" t="str">
        <f>IF(ISNA(MATCH(1120,'Transfer Engine'!$C$2:$C$1199,0)),"",HYPERLINK("#Acts!A"&amp;INDEX('Compliance Database'!$P$2:$P$1199,MATCH(1120,'Transfer Engine'!$C$2:$C$1199,0)),"Go to Act"))</f>
        <v/>
      </c>
    </row>
    <row r="1130" spans="1:16" ht="172.95" customHeight="1" x14ac:dyDescent="0.3">
      <c r="A1130" s="6" t="str">
        <f>IF(ISNA(MATCH(1121,'Transfer Engine'!$C$2:$C$1199,0)),"",INDEX('Compliance Database'!$A$2:$A$1199,MATCH(1121,'Transfer Engine'!$C$2:$C$1199,0)))</f>
        <v/>
      </c>
      <c r="B1130" s="6" t="str">
        <f>IF(ISNA(MATCH(1121,'Transfer Engine'!$C$2:$C$1199,0)),"",INDEX('Compliance Database'!$B$2:$B$1199,MATCH(1121,'Transfer Engine'!$C$2:$C$1199,0)))</f>
        <v/>
      </c>
      <c r="C1130" s="6" t="str">
        <f>IF(ISNA(MATCH(1121,'Transfer Engine'!$C$2:$C$1199,0)),"",INDEX('Compliance Database'!$C$2:$C$1199,MATCH(1121,'Transfer Engine'!$C$2:$C$1199,0)))</f>
        <v/>
      </c>
      <c r="D1130" s="7" t="str">
        <f>IF(ISNA(MATCH(1121,'Transfer Engine'!$C$2:$C$1199,0)),"",INDEX('Compliance Database'!$D$2:$D$1199,MATCH(1121,'Transfer Engine'!$C$2:$C$1199,0)))</f>
        <v/>
      </c>
      <c r="E1130" s="6" t="str">
        <f>IF(ISNA(MATCH(1121,'Transfer Engine'!$C$2:$C$1199,0)),"",INDEX('Compliance Database'!$E$2:$E$1199,MATCH(1121,'Transfer Engine'!$C$2:$C$1199,0)))</f>
        <v/>
      </c>
      <c r="F1130" s="6" t="str">
        <f>IF(ISNA(MATCH(1121,'Transfer Engine'!$C$2:$C$1199,0)),"",INDEX('Compliance Database'!$F$2:$F$1199,MATCH(1121,'Transfer Engine'!$C$2:$C$1199,0)))</f>
        <v/>
      </c>
      <c r="G1130" s="6" t="str">
        <f>IF(ISNA(MATCH(1121,'Transfer Engine'!$C$2:$C$1199,0)),"",INDEX('Compliance Database'!$G$2:$G$1199,MATCH(1121,'Transfer Engine'!$C$2:$C$1199,0)))</f>
        <v/>
      </c>
      <c r="H1130" s="7" t="str">
        <f>IF(ISNA(MATCH(1121,'Transfer Engine'!$C$2:$C$1199,0)),"",INDEX('Compliance Database'!$H$2:$H$1199,MATCH(1121,'Transfer Engine'!$C$2:$C$1199,0)))</f>
        <v/>
      </c>
      <c r="I1130" s="7" t="str">
        <f>IF(ISNA(MATCH(1121,'Transfer Engine'!$C$2:$C$1199,0)),"",INDEX('Compliance Database'!$I$2:$I$1199,MATCH(1121,'Transfer Engine'!$C$2:$C$1199,0)))</f>
        <v/>
      </c>
      <c r="J1130" s="6" t="str">
        <f>IF(ISNA(MATCH(1121,'Transfer Engine'!$C$2:$C$1199,0)),"",INDEX('Compliance Database'!$J$2:$J$1199,MATCH(1121,'Transfer Engine'!$C$2:$C$1199,0)))</f>
        <v/>
      </c>
      <c r="K1130" s="7" t="str">
        <f>IF(ISNA(MATCH(1121,'Transfer Engine'!$C$2:$C$1199,0)),"",INDEX('Compliance Database'!$K$2:$K$1199,MATCH(1121,'Transfer Engine'!$C$2:$C$1199,0)))</f>
        <v/>
      </c>
      <c r="L1130" s="7" t="str">
        <f>IF(ISNA(MATCH(1121,'Transfer Engine'!$C$2:$C$1199,0)),"",INDEX('Compliance Database'!$L$2:$L$1199,MATCH(1121,'Transfer Engine'!$C$2:$C$1199,0)))</f>
        <v/>
      </c>
      <c r="M1130" s="7" t="str">
        <f>IF(ISNA(MATCH(1121,'Transfer Engine'!$C$2:$C$1199,0)),"",INDEX('Compliance Database'!$M$2:$M$1199,MATCH(1121,'Transfer Engine'!$C$2:$C$1199,0)))</f>
        <v/>
      </c>
      <c r="N1130" s="7" t="str">
        <f>IF(ISNA(MATCH(1121,'Transfer Engine'!$C$2:$C$1199,0)),"",INDEX('Compliance Database'!$N$2:$N$1199,MATCH(1121,'Transfer Engine'!$C$2:$C$1199,0)))</f>
        <v/>
      </c>
      <c r="O1130" s="7" t="str">
        <f>IF(ISNA(MATCH(1121,'Transfer Engine'!$C$2:$C$1199,0)),"",INDEX('Compliance Database'!$O$2:$O$1199,MATCH(1121,'Transfer Engine'!$C$2:$C$1199,0)))</f>
        <v/>
      </c>
      <c r="P1130" s="6" t="str">
        <f>IF(ISNA(MATCH(1121,'Transfer Engine'!$C$2:$C$1199,0)),"",HYPERLINK("#Acts!A"&amp;INDEX('Compliance Database'!$P$2:$P$1199,MATCH(1121,'Transfer Engine'!$C$2:$C$1199,0)),"Go to Act"))</f>
        <v/>
      </c>
    </row>
    <row r="1131" spans="1:16" ht="172.95" customHeight="1" x14ac:dyDescent="0.3">
      <c r="A1131" s="6" t="str">
        <f>IF(ISNA(MATCH(1122,'Transfer Engine'!$C$2:$C$1199,0)),"",INDEX('Compliance Database'!$A$2:$A$1199,MATCH(1122,'Transfer Engine'!$C$2:$C$1199,0)))</f>
        <v/>
      </c>
      <c r="B1131" s="6" t="str">
        <f>IF(ISNA(MATCH(1122,'Transfer Engine'!$C$2:$C$1199,0)),"",INDEX('Compliance Database'!$B$2:$B$1199,MATCH(1122,'Transfer Engine'!$C$2:$C$1199,0)))</f>
        <v/>
      </c>
      <c r="C1131" s="6" t="str">
        <f>IF(ISNA(MATCH(1122,'Transfer Engine'!$C$2:$C$1199,0)),"",INDEX('Compliance Database'!$C$2:$C$1199,MATCH(1122,'Transfer Engine'!$C$2:$C$1199,0)))</f>
        <v/>
      </c>
      <c r="D1131" s="7" t="str">
        <f>IF(ISNA(MATCH(1122,'Transfer Engine'!$C$2:$C$1199,0)),"",INDEX('Compliance Database'!$D$2:$D$1199,MATCH(1122,'Transfer Engine'!$C$2:$C$1199,0)))</f>
        <v/>
      </c>
      <c r="E1131" s="6" t="str">
        <f>IF(ISNA(MATCH(1122,'Transfer Engine'!$C$2:$C$1199,0)),"",INDEX('Compliance Database'!$E$2:$E$1199,MATCH(1122,'Transfer Engine'!$C$2:$C$1199,0)))</f>
        <v/>
      </c>
      <c r="F1131" s="6" t="str">
        <f>IF(ISNA(MATCH(1122,'Transfer Engine'!$C$2:$C$1199,0)),"",INDEX('Compliance Database'!$F$2:$F$1199,MATCH(1122,'Transfer Engine'!$C$2:$C$1199,0)))</f>
        <v/>
      </c>
      <c r="G1131" s="6" t="str">
        <f>IF(ISNA(MATCH(1122,'Transfer Engine'!$C$2:$C$1199,0)),"",INDEX('Compliance Database'!$G$2:$G$1199,MATCH(1122,'Transfer Engine'!$C$2:$C$1199,0)))</f>
        <v/>
      </c>
      <c r="H1131" s="7" t="str">
        <f>IF(ISNA(MATCH(1122,'Transfer Engine'!$C$2:$C$1199,0)),"",INDEX('Compliance Database'!$H$2:$H$1199,MATCH(1122,'Transfer Engine'!$C$2:$C$1199,0)))</f>
        <v/>
      </c>
      <c r="I1131" s="7" t="str">
        <f>IF(ISNA(MATCH(1122,'Transfer Engine'!$C$2:$C$1199,0)),"",INDEX('Compliance Database'!$I$2:$I$1199,MATCH(1122,'Transfer Engine'!$C$2:$C$1199,0)))</f>
        <v/>
      </c>
      <c r="J1131" s="6" t="str">
        <f>IF(ISNA(MATCH(1122,'Transfer Engine'!$C$2:$C$1199,0)),"",INDEX('Compliance Database'!$J$2:$J$1199,MATCH(1122,'Transfer Engine'!$C$2:$C$1199,0)))</f>
        <v/>
      </c>
      <c r="K1131" s="7" t="str">
        <f>IF(ISNA(MATCH(1122,'Transfer Engine'!$C$2:$C$1199,0)),"",INDEX('Compliance Database'!$K$2:$K$1199,MATCH(1122,'Transfer Engine'!$C$2:$C$1199,0)))</f>
        <v/>
      </c>
      <c r="L1131" s="7" t="str">
        <f>IF(ISNA(MATCH(1122,'Transfer Engine'!$C$2:$C$1199,0)),"",INDEX('Compliance Database'!$L$2:$L$1199,MATCH(1122,'Transfer Engine'!$C$2:$C$1199,0)))</f>
        <v/>
      </c>
      <c r="M1131" s="7" t="str">
        <f>IF(ISNA(MATCH(1122,'Transfer Engine'!$C$2:$C$1199,0)),"",INDEX('Compliance Database'!$M$2:$M$1199,MATCH(1122,'Transfer Engine'!$C$2:$C$1199,0)))</f>
        <v/>
      </c>
      <c r="N1131" s="7" t="str">
        <f>IF(ISNA(MATCH(1122,'Transfer Engine'!$C$2:$C$1199,0)),"",INDEX('Compliance Database'!$N$2:$N$1199,MATCH(1122,'Transfer Engine'!$C$2:$C$1199,0)))</f>
        <v/>
      </c>
      <c r="O1131" s="7" t="str">
        <f>IF(ISNA(MATCH(1122,'Transfer Engine'!$C$2:$C$1199,0)),"",INDEX('Compliance Database'!$O$2:$O$1199,MATCH(1122,'Transfer Engine'!$C$2:$C$1199,0)))</f>
        <v/>
      </c>
      <c r="P1131" s="6" t="str">
        <f>IF(ISNA(MATCH(1122,'Transfer Engine'!$C$2:$C$1199,0)),"",HYPERLINK("#Acts!A"&amp;INDEX('Compliance Database'!$P$2:$P$1199,MATCH(1122,'Transfer Engine'!$C$2:$C$1199,0)),"Go to Act"))</f>
        <v/>
      </c>
    </row>
    <row r="1132" spans="1:16" ht="172.95" customHeight="1" x14ac:dyDescent="0.3">
      <c r="A1132" s="6" t="str">
        <f>IF(ISNA(MATCH(1123,'Transfer Engine'!$C$2:$C$1199,0)),"",INDEX('Compliance Database'!$A$2:$A$1199,MATCH(1123,'Transfer Engine'!$C$2:$C$1199,0)))</f>
        <v/>
      </c>
      <c r="B1132" s="6" t="str">
        <f>IF(ISNA(MATCH(1123,'Transfer Engine'!$C$2:$C$1199,0)),"",INDEX('Compliance Database'!$B$2:$B$1199,MATCH(1123,'Transfer Engine'!$C$2:$C$1199,0)))</f>
        <v/>
      </c>
      <c r="C1132" s="6" t="str">
        <f>IF(ISNA(MATCH(1123,'Transfer Engine'!$C$2:$C$1199,0)),"",INDEX('Compliance Database'!$C$2:$C$1199,MATCH(1123,'Transfer Engine'!$C$2:$C$1199,0)))</f>
        <v/>
      </c>
      <c r="D1132" s="7" t="str">
        <f>IF(ISNA(MATCH(1123,'Transfer Engine'!$C$2:$C$1199,0)),"",INDEX('Compliance Database'!$D$2:$D$1199,MATCH(1123,'Transfer Engine'!$C$2:$C$1199,0)))</f>
        <v/>
      </c>
      <c r="E1132" s="6" t="str">
        <f>IF(ISNA(MATCH(1123,'Transfer Engine'!$C$2:$C$1199,0)),"",INDEX('Compliance Database'!$E$2:$E$1199,MATCH(1123,'Transfer Engine'!$C$2:$C$1199,0)))</f>
        <v/>
      </c>
      <c r="F1132" s="6" t="str">
        <f>IF(ISNA(MATCH(1123,'Transfer Engine'!$C$2:$C$1199,0)),"",INDEX('Compliance Database'!$F$2:$F$1199,MATCH(1123,'Transfer Engine'!$C$2:$C$1199,0)))</f>
        <v/>
      </c>
      <c r="G1132" s="6" t="str">
        <f>IF(ISNA(MATCH(1123,'Transfer Engine'!$C$2:$C$1199,0)),"",INDEX('Compliance Database'!$G$2:$G$1199,MATCH(1123,'Transfer Engine'!$C$2:$C$1199,0)))</f>
        <v/>
      </c>
      <c r="H1132" s="7" t="str">
        <f>IF(ISNA(MATCH(1123,'Transfer Engine'!$C$2:$C$1199,0)),"",INDEX('Compliance Database'!$H$2:$H$1199,MATCH(1123,'Transfer Engine'!$C$2:$C$1199,0)))</f>
        <v/>
      </c>
      <c r="I1132" s="7" t="str">
        <f>IF(ISNA(MATCH(1123,'Transfer Engine'!$C$2:$C$1199,0)),"",INDEX('Compliance Database'!$I$2:$I$1199,MATCH(1123,'Transfer Engine'!$C$2:$C$1199,0)))</f>
        <v/>
      </c>
      <c r="J1132" s="6" t="str">
        <f>IF(ISNA(MATCH(1123,'Transfer Engine'!$C$2:$C$1199,0)),"",INDEX('Compliance Database'!$J$2:$J$1199,MATCH(1123,'Transfer Engine'!$C$2:$C$1199,0)))</f>
        <v/>
      </c>
      <c r="K1132" s="7" t="str">
        <f>IF(ISNA(MATCH(1123,'Transfer Engine'!$C$2:$C$1199,0)),"",INDEX('Compliance Database'!$K$2:$K$1199,MATCH(1123,'Transfer Engine'!$C$2:$C$1199,0)))</f>
        <v/>
      </c>
      <c r="L1132" s="7" t="str">
        <f>IF(ISNA(MATCH(1123,'Transfer Engine'!$C$2:$C$1199,0)),"",INDEX('Compliance Database'!$L$2:$L$1199,MATCH(1123,'Transfer Engine'!$C$2:$C$1199,0)))</f>
        <v/>
      </c>
      <c r="M1132" s="7" t="str">
        <f>IF(ISNA(MATCH(1123,'Transfer Engine'!$C$2:$C$1199,0)),"",INDEX('Compliance Database'!$M$2:$M$1199,MATCH(1123,'Transfer Engine'!$C$2:$C$1199,0)))</f>
        <v/>
      </c>
      <c r="N1132" s="7" t="str">
        <f>IF(ISNA(MATCH(1123,'Transfer Engine'!$C$2:$C$1199,0)),"",INDEX('Compliance Database'!$N$2:$N$1199,MATCH(1123,'Transfer Engine'!$C$2:$C$1199,0)))</f>
        <v/>
      </c>
      <c r="O1132" s="7" t="str">
        <f>IF(ISNA(MATCH(1123,'Transfer Engine'!$C$2:$C$1199,0)),"",INDEX('Compliance Database'!$O$2:$O$1199,MATCH(1123,'Transfer Engine'!$C$2:$C$1199,0)))</f>
        <v/>
      </c>
      <c r="P1132" s="6" t="str">
        <f>IF(ISNA(MATCH(1123,'Transfer Engine'!$C$2:$C$1199,0)),"",HYPERLINK("#Acts!A"&amp;INDEX('Compliance Database'!$P$2:$P$1199,MATCH(1123,'Transfer Engine'!$C$2:$C$1199,0)),"Go to Act"))</f>
        <v/>
      </c>
    </row>
    <row r="1133" spans="1:16" ht="172.95" customHeight="1" x14ac:dyDescent="0.3">
      <c r="A1133" s="6" t="str">
        <f>IF(ISNA(MATCH(1124,'Transfer Engine'!$C$2:$C$1199,0)),"",INDEX('Compliance Database'!$A$2:$A$1199,MATCH(1124,'Transfer Engine'!$C$2:$C$1199,0)))</f>
        <v/>
      </c>
      <c r="B1133" s="6" t="str">
        <f>IF(ISNA(MATCH(1124,'Transfer Engine'!$C$2:$C$1199,0)),"",INDEX('Compliance Database'!$B$2:$B$1199,MATCH(1124,'Transfer Engine'!$C$2:$C$1199,0)))</f>
        <v/>
      </c>
      <c r="C1133" s="6" t="str">
        <f>IF(ISNA(MATCH(1124,'Transfer Engine'!$C$2:$C$1199,0)),"",INDEX('Compliance Database'!$C$2:$C$1199,MATCH(1124,'Transfer Engine'!$C$2:$C$1199,0)))</f>
        <v/>
      </c>
      <c r="D1133" s="7" t="str">
        <f>IF(ISNA(MATCH(1124,'Transfer Engine'!$C$2:$C$1199,0)),"",INDEX('Compliance Database'!$D$2:$D$1199,MATCH(1124,'Transfer Engine'!$C$2:$C$1199,0)))</f>
        <v/>
      </c>
      <c r="E1133" s="6" t="str">
        <f>IF(ISNA(MATCH(1124,'Transfer Engine'!$C$2:$C$1199,0)),"",INDEX('Compliance Database'!$E$2:$E$1199,MATCH(1124,'Transfer Engine'!$C$2:$C$1199,0)))</f>
        <v/>
      </c>
      <c r="F1133" s="6" t="str">
        <f>IF(ISNA(MATCH(1124,'Transfer Engine'!$C$2:$C$1199,0)),"",INDEX('Compliance Database'!$F$2:$F$1199,MATCH(1124,'Transfer Engine'!$C$2:$C$1199,0)))</f>
        <v/>
      </c>
      <c r="G1133" s="6" t="str">
        <f>IF(ISNA(MATCH(1124,'Transfer Engine'!$C$2:$C$1199,0)),"",INDEX('Compliance Database'!$G$2:$G$1199,MATCH(1124,'Transfer Engine'!$C$2:$C$1199,0)))</f>
        <v/>
      </c>
      <c r="H1133" s="7" t="str">
        <f>IF(ISNA(MATCH(1124,'Transfer Engine'!$C$2:$C$1199,0)),"",INDEX('Compliance Database'!$H$2:$H$1199,MATCH(1124,'Transfer Engine'!$C$2:$C$1199,0)))</f>
        <v/>
      </c>
      <c r="I1133" s="7" t="str">
        <f>IF(ISNA(MATCH(1124,'Transfer Engine'!$C$2:$C$1199,0)),"",INDEX('Compliance Database'!$I$2:$I$1199,MATCH(1124,'Transfer Engine'!$C$2:$C$1199,0)))</f>
        <v/>
      </c>
      <c r="J1133" s="6" t="str">
        <f>IF(ISNA(MATCH(1124,'Transfer Engine'!$C$2:$C$1199,0)),"",INDEX('Compliance Database'!$J$2:$J$1199,MATCH(1124,'Transfer Engine'!$C$2:$C$1199,0)))</f>
        <v/>
      </c>
      <c r="K1133" s="7" t="str">
        <f>IF(ISNA(MATCH(1124,'Transfer Engine'!$C$2:$C$1199,0)),"",INDEX('Compliance Database'!$K$2:$K$1199,MATCH(1124,'Transfer Engine'!$C$2:$C$1199,0)))</f>
        <v/>
      </c>
      <c r="L1133" s="7" t="str">
        <f>IF(ISNA(MATCH(1124,'Transfer Engine'!$C$2:$C$1199,0)),"",INDEX('Compliance Database'!$L$2:$L$1199,MATCH(1124,'Transfer Engine'!$C$2:$C$1199,0)))</f>
        <v/>
      </c>
      <c r="M1133" s="7" t="str">
        <f>IF(ISNA(MATCH(1124,'Transfer Engine'!$C$2:$C$1199,0)),"",INDEX('Compliance Database'!$M$2:$M$1199,MATCH(1124,'Transfer Engine'!$C$2:$C$1199,0)))</f>
        <v/>
      </c>
      <c r="N1133" s="7" t="str">
        <f>IF(ISNA(MATCH(1124,'Transfer Engine'!$C$2:$C$1199,0)),"",INDEX('Compliance Database'!$N$2:$N$1199,MATCH(1124,'Transfer Engine'!$C$2:$C$1199,0)))</f>
        <v/>
      </c>
      <c r="O1133" s="7" t="str">
        <f>IF(ISNA(MATCH(1124,'Transfer Engine'!$C$2:$C$1199,0)),"",INDEX('Compliance Database'!$O$2:$O$1199,MATCH(1124,'Transfer Engine'!$C$2:$C$1199,0)))</f>
        <v/>
      </c>
      <c r="P1133" s="6" t="str">
        <f>IF(ISNA(MATCH(1124,'Transfer Engine'!$C$2:$C$1199,0)),"",HYPERLINK("#Acts!A"&amp;INDEX('Compliance Database'!$P$2:$P$1199,MATCH(1124,'Transfer Engine'!$C$2:$C$1199,0)),"Go to Act"))</f>
        <v/>
      </c>
    </row>
    <row r="1134" spans="1:16" ht="172.95" customHeight="1" x14ac:dyDescent="0.3">
      <c r="A1134" s="6" t="str">
        <f>IF(ISNA(MATCH(1125,'Transfer Engine'!$C$2:$C$1199,0)),"",INDEX('Compliance Database'!$A$2:$A$1199,MATCH(1125,'Transfer Engine'!$C$2:$C$1199,0)))</f>
        <v/>
      </c>
      <c r="B1134" s="6" t="str">
        <f>IF(ISNA(MATCH(1125,'Transfer Engine'!$C$2:$C$1199,0)),"",INDEX('Compliance Database'!$B$2:$B$1199,MATCH(1125,'Transfer Engine'!$C$2:$C$1199,0)))</f>
        <v/>
      </c>
      <c r="C1134" s="6" t="str">
        <f>IF(ISNA(MATCH(1125,'Transfer Engine'!$C$2:$C$1199,0)),"",INDEX('Compliance Database'!$C$2:$C$1199,MATCH(1125,'Transfer Engine'!$C$2:$C$1199,0)))</f>
        <v/>
      </c>
      <c r="D1134" s="7" t="str">
        <f>IF(ISNA(MATCH(1125,'Transfer Engine'!$C$2:$C$1199,0)),"",INDEX('Compliance Database'!$D$2:$D$1199,MATCH(1125,'Transfer Engine'!$C$2:$C$1199,0)))</f>
        <v/>
      </c>
      <c r="E1134" s="6" t="str">
        <f>IF(ISNA(MATCH(1125,'Transfer Engine'!$C$2:$C$1199,0)),"",INDEX('Compliance Database'!$E$2:$E$1199,MATCH(1125,'Transfer Engine'!$C$2:$C$1199,0)))</f>
        <v/>
      </c>
      <c r="F1134" s="6" t="str">
        <f>IF(ISNA(MATCH(1125,'Transfer Engine'!$C$2:$C$1199,0)),"",INDEX('Compliance Database'!$F$2:$F$1199,MATCH(1125,'Transfer Engine'!$C$2:$C$1199,0)))</f>
        <v/>
      </c>
      <c r="G1134" s="6" t="str">
        <f>IF(ISNA(MATCH(1125,'Transfer Engine'!$C$2:$C$1199,0)),"",INDEX('Compliance Database'!$G$2:$G$1199,MATCH(1125,'Transfer Engine'!$C$2:$C$1199,0)))</f>
        <v/>
      </c>
      <c r="H1134" s="7" t="str">
        <f>IF(ISNA(MATCH(1125,'Transfer Engine'!$C$2:$C$1199,0)),"",INDEX('Compliance Database'!$H$2:$H$1199,MATCH(1125,'Transfer Engine'!$C$2:$C$1199,0)))</f>
        <v/>
      </c>
      <c r="I1134" s="7" t="str">
        <f>IF(ISNA(MATCH(1125,'Transfer Engine'!$C$2:$C$1199,0)),"",INDEX('Compliance Database'!$I$2:$I$1199,MATCH(1125,'Transfer Engine'!$C$2:$C$1199,0)))</f>
        <v/>
      </c>
      <c r="J1134" s="6" t="str">
        <f>IF(ISNA(MATCH(1125,'Transfer Engine'!$C$2:$C$1199,0)),"",INDEX('Compliance Database'!$J$2:$J$1199,MATCH(1125,'Transfer Engine'!$C$2:$C$1199,0)))</f>
        <v/>
      </c>
      <c r="K1134" s="7" t="str">
        <f>IF(ISNA(MATCH(1125,'Transfer Engine'!$C$2:$C$1199,0)),"",INDEX('Compliance Database'!$K$2:$K$1199,MATCH(1125,'Transfer Engine'!$C$2:$C$1199,0)))</f>
        <v/>
      </c>
      <c r="L1134" s="7" t="str">
        <f>IF(ISNA(MATCH(1125,'Transfer Engine'!$C$2:$C$1199,0)),"",INDEX('Compliance Database'!$L$2:$L$1199,MATCH(1125,'Transfer Engine'!$C$2:$C$1199,0)))</f>
        <v/>
      </c>
      <c r="M1134" s="7" t="str">
        <f>IF(ISNA(MATCH(1125,'Transfer Engine'!$C$2:$C$1199,0)),"",INDEX('Compliance Database'!$M$2:$M$1199,MATCH(1125,'Transfer Engine'!$C$2:$C$1199,0)))</f>
        <v/>
      </c>
      <c r="N1134" s="7" t="str">
        <f>IF(ISNA(MATCH(1125,'Transfer Engine'!$C$2:$C$1199,0)),"",INDEX('Compliance Database'!$N$2:$N$1199,MATCH(1125,'Transfer Engine'!$C$2:$C$1199,0)))</f>
        <v/>
      </c>
      <c r="O1134" s="7" t="str">
        <f>IF(ISNA(MATCH(1125,'Transfer Engine'!$C$2:$C$1199,0)),"",INDEX('Compliance Database'!$O$2:$O$1199,MATCH(1125,'Transfer Engine'!$C$2:$C$1199,0)))</f>
        <v/>
      </c>
      <c r="P1134" s="6" t="str">
        <f>IF(ISNA(MATCH(1125,'Transfer Engine'!$C$2:$C$1199,0)),"",HYPERLINK("#Acts!A"&amp;INDEX('Compliance Database'!$P$2:$P$1199,MATCH(1125,'Transfer Engine'!$C$2:$C$1199,0)),"Go to Act"))</f>
        <v/>
      </c>
    </row>
    <row r="1135" spans="1:16" ht="172.95" customHeight="1" x14ac:dyDescent="0.3">
      <c r="A1135" s="6" t="str">
        <f>IF(ISNA(MATCH(1126,'Transfer Engine'!$C$2:$C$1199,0)),"",INDEX('Compliance Database'!$A$2:$A$1199,MATCH(1126,'Transfer Engine'!$C$2:$C$1199,0)))</f>
        <v/>
      </c>
      <c r="B1135" s="6" t="str">
        <f>IF(ISNA(MATCH(1126,'Transfer Engine'!$C$2:$C$1199,0)),"",INDEX('Compliance Database'!$B$2:$B$1199,MATCH(1126,'Transfer Engine'!$C$2:$C$1199,0)))</f>
        <v/>
      </c>
      <c r="C1135" s="6" t="str">
        <f>IF(ISNA(MATCH(1126,'Transfer Engine'!$C$2:$C$1199,0)),"",INDEX('Compliance Database'!$C$2:$C$1199,MATCH(1126,'Transfer Engine'!$C$2:$C$1199,0)))</f>
        <v/>
      </c>
      <c r="D1135" s="7" t="str">
        <f>IF(ISNA(MATCH(1126,'Transfer Engine'!$C$2:$C$1199,0)),"",INDEX('Compliance Database'!$D$2:$D$1199,MATCH(1126,'Transfer Engine'!$C$2:$C$1199,0)))</f>
        <v/>
      </c>
      <c r="E1135" s="6" t="str">
        <f>IF(ISNA(MATCH(1126,'Transfer Engine'!$C$2:$C$1199,0)),"",INDEX('Compliance Database'!$E$2:$E$1199,MATCH(1126,'Transfer Engine'!$C$2:$C$1199,0)))</f>
        <v/>
      </c>
      <c r="F1135" s="6" t="str">
        <f>IF(ISNA(MATCH(1126,'Transfer Engine'!$C$2:$C$1199,0)),"",INDEX('Compliance Database'!$F$2:$F$1199,MATCH(1126,'Transfer Engine'!$C$2:$C$1199,0)))</f>
        <v/>
      </c>
      <c r="G1135" s="6" t="str">
        <f>IF(ISNA(MATCH(1126,'Transfer Engine'!$C$2:$C$1199,0)),"",INDEX('Compliance Database'!$G$2:$G$1199,MATCH(1126,'Transfer Engine'!$C$2:$C$1199,0)))</f>
        <v/>
      </c>
      <c r="H1135" s="7" t="str">
        <f>IF(ISNA(MATCH(1126,'Transfer Engine'!$C$2:$C$1199,0)),"",INDEX('Compliance Database'!$H$2:$H$1199,MATCH(1126,'Transfer Engine'!$C$2:$C$1199,0)))</f>
        <v/>
      </c>
      <c r="I1135" s="7" t="str">
        <f>IF(ISNA(MATCH(1126,'Transfer Engine'!$C$2:$C$1199,0)),"",INDEX('Compliance Database'!$I$2:$I$1199,MATCH(1126,'Transfer Engine'!$C$2:$C$1199,0)))</f>
        <v/>
      </c>
      <c r="J1135" s="6" t="str">
        <f>IF(ISNA(MATCH(1126,'Transfer Engine'!$C$2:$C$1199,0)),"",INDEX('Compliance Database'!$J$2:$J$1199,MATCH(1126,'Transfer Engine'!$C$2:$C$1199,0)))</f>
        <v/>
      </c>
      <c r="K1135" s="7" t="str">
        <f>IF(ISNA(MATCH(1126,'Transfer Engine'!$C$2:$C$1199,0)),"",INDEX('Compliance Database'!$K$2:$K$1199,MATCH(1126,'Transfer Engine'!$C$2:$C$1199,0)))</f>
        <v/>
      </c>
      <c r="L1135" s="7" t="str">
        <f>IF(ISNA(MATCH(1126,'Transfer Engine'!$C$2:$C$1199,0)),"",INDEX('Compliance Database'!$L$2:$L$1199,MATCH(1126,'Transfer Engine'!$C$2:$C$1199,0)))</f>
        <v/>
      </c>
      <c r="M1135" s="7" t="str">
        <f>IF(ISNA(MATCH(1126,'Transfer Engine'!$C$2:$C$1199,0)),"",INDEX('Compliance Database'!$M$2:$M$1199,MATCH(1126,'Transfer Engine'!$C$2:$C$1199,0)))</f>
        <v/>
      </c>
      <c r="N1135" s="7" t="str">
        <f>IF(ISNA(MATCH(1126,'Transfer Engine'!$C$2:$C$1199,0)),"",INDEX('Compliance Database'!$N$2:$N$1199,MATCH(1126,'Transfer Engine'!$C$2:$C$1199,0)))</f>
        <v/>
      </c>
      <c r="O1135" s="7" t="str">
        <f>IF(ISNA(MATCH(1126,'Transfer Engine'!$C$2:$C$1199,0)),"",INDEX('Compliance Database'!$O$2:$O$1199,MATCH(1126,'Transfer Engine'!$C$2:$C$1199,0)))</f>
        <v/>
      </c>
      <c r="P1135" s="6" t="str">
        <f>IF(ISNA(MATCH(1126,'Transfer Engine'!$C$2:$C$1199,0)),"",HYPERLINK("#Acts!A"&amp;INDEX('Compliance Database'!$P$2:$P$1199,MATCH(1126,'Transfer Engine'!$C$2:$C$1199,0)),"Go to Act"))</f>
        <v/>
      </c>
    </row>
    <row r="1136" spans="1:16" ht="172.95" customHeight="1" x14ac:dyDescent="0.3">
      <c r="A1136" s="6" t="str">
        <f>IF(ISNA(MATCH(1127,'Transfer Engine'!$C$2:$C$1199,0)),"",INDEX('Compliance Database'!$A$2:$A$1199,MATCH(1127,'Transfer Engine'!$C$2:$C$1199,0)))</f>
        <v/>
      </c>
      <c r="B1136" s="6" t="str">
        <f>IF(ISNA(MATCH(1127,'Transfer Engine'!$C$2:$C$1199,0)),"",INDEX('Compliance Database'!$B$2:$B$1199,MATCH(1127,'Transfer Engine'!$C$2:$C$1199,0)))</f>
        <v/>
      </c>
      <c r="C1136" s="6" t="str">
        <f>IF(ISNA(MATCH(1127,'Transfer Engine'!$C$2:$C$1199,0)),"",INDEX('Compliance Database'!$C$2:$C$1199,MATCH(1127,'Transfer Engine'!$C$2:$C$1199,0)))</f>
        <v/>
      </c>
      <c r="D1136" s="7" t="str">
        <f>IF(ISNA(MATCH(1127,'Transfer Engine'!$C$2:$C$1199,0)),"",INDEX('Compliance Database'!$D$2:$D$1199,MATCH(1127,'Transfer Engine'!$C$2:$C$1199,0)))</f>
        <v/>
      </c>
      <c r="E1136" s="6" t="str">
        <f>IF(ISNA(MATCH(1127,'Transfer Engine'!$C$2:$C$1199,0)),"",INDEX('Compliance Database'!$E$2:$E$1199,MATCH(1127,'Transfer Engine'!$C$2:$C$1199,0)))</f>
        <v/>
      </c>
      <c r="F1136" s="6" t="str">
        <f>IF(ISNA(MATCH(1127,'Transfer Engine'!$C$2:$C$1199,0)),"",INDEX('Compliance Database'!$F$2:$F$1199,MATCH(1127,'Transfer Engine'!$C$2:$C$1199,0)))</f>
        <v/>
      </c>
      <c r="G1136" s="6" t="str">
        <f>IF(ISNA(MATCH(1127,'Transfer Engine'!$C$2:$C$1199,0)),"",INDEX('Compliance Database'!$G$2:$G$1199,MATCH(1127,'Transfer Engine'!$C$2:$C$1199,0)))</f>
        <v/>
      </c>
      <c r="H1136" s="7" t="str">
        <f>IF(ISNA(MATCH(1127,'Transfer Engine'!$C$2:$C$1199,0)),"",INDEX('Compliance Database'!$H$2:$H$1199,MATCH(1127,'Transfer Engine'!$C$2:$C$1199,0)))</f>
        <v/>
      </c>
      <c r="I1136" s="7" t="str">
        <f>IF(ISNA(MATCH(1127,'Transfer Engine'!$C$2:$C$1199,0)),"",INDEX('Compliance Database'!$I$2:$I$1199,MATCH(1127,'Transfer Engine'!$C$2:$C$1199,0)))</f>
        <v/>
      </c>
      <c r="J1136" s="6" t="str">
        <f>IF(ISNA(MATCH(1127,'Transfer Engine'!$C$2:$C$1199,0)),"",INDEX('Compliance Database'!$J$2:$J$1199,MATCH(1127,'Transfer Engine'!$C$2:$C$1199,0)))</f>
        <v/>
      </c>
      <c r="K1136" s="7" t="str">
        <f>IF(ISNA(MATCH(1127,'Transfer Engine'!$C$2:$C$1199,0)),"",INDEX('Compliance Database'!$K$2:$K$1199,MATCH(1127,'Transfer Engine'!$C$2:$C$1199,0)))</f>
        <v/>
      </c>
      <c r="L1136" s="7" t="str">
        <f>IF(ISNA(MATCH(1127,'Transfer Engine'!$C$2:$C$1199,0)),"",INDEX('Compliance Database'!$L$2:$L$1199,MATCH(1127,'Transfer Engine'!$C$2:$C$1199,0)))</f>
        <v/>
      </c>
      <c r="M1136" s="7" t="str">
        <f>IF(ISNA(MATCH(1127,'Transfer Engine'!$C$2:$C$1199,0)),"",INDEX('Compliance Database'!$M$2:$M$1199,MATCH(1127,'Transfer Engine'!$C$2:$C$1199,0)))</f>
        <v/>
      </c>
      <c r="N1136" s="7" t="str">
        <f>IF(ISNA(MATCH(1127,'Transfer Engine'!$C$2:$C$1199,0)),"",INDEX('Compliance Database'!$N$2:$N$1199,MATCH(1127,'Transfer Engine'!$C$2:$C$1199,0)))</f>
        <v/>
      </c>
      <c r="O1136" s="7" t="str">
        <f>IF(ISNA(MATCH(1127,'Transfer Engine'!$C$2:$C$1199,0)),"",INDEX('Compliance Database'!$O$2:$O$1199,MATCH(1127,'Transfer Engine'!$C$2:$C$1199,0)))</f>
        <v/>
      </c>
      <c r="P1136" s="6" t="str">
        <f>IF(ISNA(MATCH(1127,'Transfer Engine'!$C$2:$C$1199,0)),"",HYPERLINK("#Acts!A"&amp;INDEX('Compliance Database'!$P$2:$P$1199,MATCH(1127,'Transfer Engine'!$C$2:$C$1199,0)),"Go to Act"))</f>
        <v/>
      </c>
    </row>
    <row r="1137" spans="1:16" ht="172.95" customHeight="1" x14ac:dyDescent="0.3">
      <c r="A1137" s="6" t="str">
        <f>IF(ISNA(MATCH(1128,'Transfer Engine'!$C$2:$C$1199,0)),"",INDEX('Compliance Database'!$A$2:$A$1199,MATCH(1128,'Transfer Engine'!$C$2:$C$1199,0)))</f>
        <v/>
      </c>
      <c r="B1137" s="6" t="str">
        <f>IF(ISNA(MATCH(1128,'Transfer Engine'!$C$2:$C$1199,0)),"",INDEX('Compliance Database'!$B$2:$B$1199,MATCH(1128,'Transfer Engine'!$C$2:$C$1199,0)))</f>
        <v/>
      </c>
      <c r="C1137" s="6" t="str">
        <f>IF(ISNA(MATCH(1128,'Transfer Engine'!$C$2:$C$1199,0)),"",INDEX('Compliance Database'!$C$2:$C$1199,MATCH(1128,'Transfer Engine'!$C$2:$C$1199,0)))</f>
        <v/>
      </c>
      <c r="D1137" s="7" t="str">
        <f>IF(ISNA(MATCH(1128,'Transfer Engine'!$C$2:$C$1199,0)),"",INDEX('Compliance Database'!$D$2:$D$1199,MATCH(1128,'Transfer Engine'!$C$2:$C$1199,0)))</f>
        <v/>
      </c>
      <c r="E1137" s="6" t="str">
        <f>IF(ISNA(MATCH(1128,'Transfer Engine'!$C$2:$C$1199,0)),"",INDEX('Compliance Database'!$E$2:$E$1199,MATCH(1128,'Transfer Engine'!$C$2:$C$1199,0)))</f>
        <v/>
      </c>
      <c r="F1137" s="6" t="str">
        <f>IF(ISNA(MATCH(1128,'Transfer Engine'!$C$2:$C$1199,0)),"",INDEX('Compliance Database'!$F$2:$F$1199,MATCH(1128,'Transfer Engine'!$C$2:$C$1199,0)))</f>
        <v/>
      </c>
      <c r="G1137" s="6" t="str">
        <f>IF(ISNA(MATCH(1128,'Transfer Engine'!$C$2:$C$1199,0)),"",INDEX('Compliance Database'!$G$2:$G$1199,MATCH(1128,'Transfer Engine'!$C$2:$C$1199,0)))</f>
        <v/>
      </c>
      <c r="H1137" s="7" t="str">
        <f>IF(ISNA(MATCH(1128,'Transfer Engine'!$C$2:$C$1199,0)),"",INDEX('Compliance Database'!$H$2:$H$1199,MATCH(1128,'Transfer Engine'!$C$2:$C$1199,0)))</f>
        <v/>
      </c>
      <c r="I1137" s="7" t="str">
        <f>IF(ISNA(MATCH(1128,'Transfer Engine'!$C$2:$C$1199,0)),"",INDEX('Compliance Database'!$I$2:$I$1199,MATCH(1128,'Transfer Engine'!$C$2:$C$1199,0)))</f>
        <v/>
      </c>
      <c r="J1137" s="6" t="str">
        <f>IF(ISNA(MATCH(1128,'Transfer Engine'!$C$2:$C$1199,0)),"",INDEX('Compliance Database'!$J$2:$J$1199,MATCH(1128,'Transfer Engine'!$C$2:$C$1199,0)))</f>
        <v/>
      </c>
      <c r="K1137" s="7" t="str">
        <f>IF(ISNA(MATCH(1128,'Transfer Engine'!$C$2:$C$1199,0)),"",INDEX('Compliance Database'!$K$2:$K$1199,MATCH(1128,'Transfer Engine'!$C$2:$C$1199,0)))</f>
        <v/>
      </c>
      <c r="L1137" s="7" t="str">
        <f>IF(ISNA(MATCH(1128,'Transfer Engine'!$C$2:$C$1199,0)),"",INDEX('Compliance Database'!$L$2:$L$1199,MATCH(1128,'Transfer Engine'!$C$2:$C$1199,0)))</f>
        <v/>
      </c>
      <c r="M1137" s="7" t="str">
        <f>IF(ISNA(MATCH(1128,'Transfer Engine'!$C$2:$C$1199,0)),"",INDEX('Compliance Database'!$M$2:$M$1199,MATCH(1128,'Transfer Engine'!$C$2:$C$1199,0)))</f>
        <v/>
      </c>
      <c r="N1137" s="7" t="str">
        <f>IF(ISNA(MATCH(1128,'Transfer Engine'!$C$2:$C$1199,0)),"",INDEX('Compliance Database'!$N$2:$N$1199,MATCH(1128,'Transfer Engine'!$C$2:$C$1199,0)))</f>
        <v/>
      </c>
      <c r="O1137" s="7" t="str">
        <f>IF(ISNA(MATCH(1128,'Transfer Engine'!$C$2:$C$1199,0)),"",INDEX('Compliance Database'!$O$2:$O$1199,MATCH(1128,'Transfer Engine'!$C$2:$C$1199,0)))</f>
        <v/>
      </c>
      <c r="P1137" s="6" t="str">
        <f>IF(ISNA(MATCH(1128,'Transfer Engine'!$C$2:$C$1199,0)),"",HYPERLINK("#Acts!A"&amp;INDEX('Compliance Database'!$P$2:$P$1199,MATCH(1128,'Transfer Engine'!$C$2:$C$1199,0)),"Go to Act"))</f>
        <v/>
      </c>
    </row>
    <row r="1138" spans="1:16" ht="172.95" customHeight="1" x14ac:dyDescent="0.3">
      <c r="A1138" s="6" t="str">
        <f>IF(ISNA(MATCH(1129,'Transfer Engine'!$C$2:$C$1199,0)),"",INDEX('Compliance Database'!$A$2:$A$1199,MATCH(1129,'Transfer Engine'!$C$2:$C$1199,0)))</f>
        <v/>
      </c>
      <c r="B1138" s="6" t="str">
        <f>IF(ISNA(MATCH(1129,'Transfer Engine'!$C$2:$C$1199,0)),"",INDEX('Compliance Database'!$B$2:$B$1199,MATCH(1129,'Transfer Engine'!$C$2:$C$1199,0)))</f>
        <v/>
      </c>
      <c r="C1138" s="6" t="str">
        <f>IF(ISNA(MATCH(1129,'Transfer Engine'!$C$2:$C$1199,0)),"",INDEX('Compliance Database'!$C$2:$C$1199,MATCH(1129,'Transfer Engine'!$C$2:$C$1199,0)))</f>
        <v/>
      </c>
      <c r="D1138" s="7" t="str">
        <f>IF(ISNA(MATCH(1129,'Transfer Engine'!$C$2:$C$1199,0)),"",INDEX('Compliance Database'!$D$2:$D$1199,MATCH(1129,'Transfer Engine'!$C$2:$C$1199,0)))</f>
        <v/>
      </c>
      <c r="E1138" s="6" t="str">
        <f>IF(ISNA(MATCH(1129,'Transfer Engine'!$C$2:$C$1199,0)),"",INDEX('Compliance Database'!$E$2:$E$1199,MATCH(1129,'Transfer Engine'!$C$2:$C$1199,0)))</f>
        <v/>
      </c>
      <c r="F1138" s="6" t="str">
        <f>IF(ISNA(MATCH(1129,'Transfer Engine'!$C$2:$C$1199,0)),"",INDEX('Compliance Database'!$F$2:$F$1199,MATCH(1129,'Transfer Engine'!$C$2:$C$1199,0)))</f>
        <v/>
      </c>
      <c r="G1138" s="6" t="str">
        <f>IF(ISNA(MATCH(1129,'Transfer Engine'!$C$2:$C$1199,0)),"",INDEX('Compliance Database'!$G$2:$G$1199,MATCH(1129,'Transfer Engine'!$C$2:$C$1199,0)))</f>
        <v/>
      </c>
      <c r="H1138" s="7" t="str">
        <f>IF(ISNA(MATCH(1129,'Transfer Engine'!$C$2:$C$1199,0)),"",INDEX('Compliance Database'!$H$2:$H$1199,MATCH(1129,'Transfer Engine'!$C$2:$C$1199,0)))</f>
        <v/>
      </c>
      <c r="I1138" s="7" t="str">
        <f>IF(ISNA(MATCH(1129,'Transfer Engine'!$C$2:$C$1199,0)),"",INDEX('Compliance Database'!$I$2:$I$1199,MATCH(1129,'Transfer Engine'!$C$2:$C$1199,0)))</f>
        <v/>
      </c>
      <c r="J1138" s="6" t="str">
        <f>IF(ISNA(MATCH(1129,'Transfer Engine'!$C$2:$C$1199,0)),"",INDEX('Compliance Database'!$J$2:$J$1199,MATCH(1129,'Transfer Engine'!$C$2:$C$1199,0)))</f>
        <v/>
      </c>
      <c r="K1138" s="7" t="str">
        <f>IF(ISNA(MATCH(1129,'Transfer Engine'!$C$2:$C$1199,0)),"",INDEX('Compliance Database'!$K$2:$K$1199,MATCH(1129,'Transfer Engine'!$C$2:$C$1199,0)))</f>
        <v/>
      </c>
      <c r="L1138" s="7" t="str">
        <f>IF(ISNA(MATCH(1129,'Transfer Engine'!$C$2:$C$1199,0)),"",INDEX('Compliance Database'!$L$2:$L$1199,MATCH(1129,'Transfer Engine'!$C$2:$C$1199,0)))</f>
        <v/>
      </c>
      <c r="M1138" s="7" t="str">
        <f>IF(ISNA(MATCH(1129,'Transfer Engine'!$C$2:$C$1199,0)),"",INDEX('Compliance Database'!$M$2:$M$1199,MATCH(1129,'Transfer Engine'!$C$2:$C$1199,0)))</f>
        <v/>
      </c>
      <c r="N1138" s="7" t="str">
        <f>IF(ISNA(MATCH(1129,'Transfer Engine'!$C$2:$C$1199,0)),"",INDEX('Compliance Database'!$N$2:$N$1199,MATCH(1129,'Transfer Engine'!$C$2:$C$1199,0)))</f>
        <v/>
      </c>
      <c r="O1138" s="7" t="str">
        <f>IF(ISNA(MATCH(1129,'Transfer Engine'!$C$2:$C$1199,0)),"",INDEX('Compliance Database'!$O$2:$O$1199,MATCH(1129,'Transfer Engine'!$C$2:$C$1199,0)))</f>
        <v/>
      </c>
      <c r="P1138" s="6" t="str">
        <f>IF(ISNA(MATCH(1129,'Transfer Engine'!$C$2:$C$1199,0)),"",HYPERLINK("#Acts!A"&amp;INDEX('Compliance Database'!$P$2:$P$1199,MATCH(1129,'Transfer Engine'!$C$2:$C$1199,0)),"Go to Act"))</f>
        <v/>
      </c>
    </row>
    <row r="1139" spans="1:16" ht="172.95" customHeight="1" x14ac:dyDescent="0.3">
      <c r="A1139" s="6" t="str">
        <f>IF(ISNA(MATCH(1130,'Transfer Engine'!$C$2:$C$1199,0)),"",INDEX('Compliance Database'!$A$2:$A$1199,MATCH(1130,'Transfer Engine'!$C$2:$C$1199,0)))</f>
        <v/>
      </c>
      <c r="B1139" s="6" t="str">
        <f>IF(ISNA(MATCH(1130,'Transfer Engine'!$C$2:$C$1199,0)),"",INDEX('Compliance Database'!$B$2:$B$1199,MATCH(1130,'Transfer Engine'!$C$2:$C$1199,0)))</f>
        <v/>
      </c>
      <c r="C1139" s="6" t="str">
        <f>IF(ISNA(MATCH(1130,'Transfer Engine'!$C$2:$C$1199,0)),"",INDEX('Compliance Database'!$C$2:$C$1199,MATCH(1130,'Transfer Engine'!$C$2:$C$1199,0)))</f>
        <v/>
      </c>
      <c r="D1139" s="7" t="str">
        <f>IF(ISNA(MATCH(1130,'Transfer Engine'!$C$2:$C$1199,0)),"",INDEX('Compliance Database'!$D$2:$D$1199,MATCH(1130,'Transfer Engine'!$C$2:$C$1199,0)))</f>
        <v/>
      </c>
      <c r="E1139" s="6" t="str">
        <f>IF(ISNA(MATCH(1130,'Transfer Engine'!$C$2:$C$1199,0)),"",INDEX('Compliance Database'!$E$2:$E$1199,MATCH(1130,'Transfer Engine'!$C$2:$C$1199,0)))</f>
        <v/>
      </c>
      <c r="F1139" s="6" t="str">
        <f>IF(ISNA(MATCH(1130,'Transfer Engine'!$C$2:$C$1199,0)),"",INDEX('Compliance Database'!$F$2:$F$1199,MATCH(1130,'Transfer Engine'!$C$2:$C$1199,0)))</f>
        <v/>
      </c>
      <c r="G1139" s="6" t="str">
        <f>IF(ISNA(MATCH(1130,'Transfer Engine'!$C$2:$C$1199,0)),"",INDEX('Compliance Database'!$G$2:$G$1199,MATCH(1130,'Transfer Engine'!$C$2:$C$1199,0)))</f>
        <v/>
      </c>
      <c r="H1139" s="7" t="str">
        <f>IF(ISNA(MATCH(1130,'Transfer Engine'!$C$2:$C$1199,0)),"",INDEX('Compliance Database'!$H$2:$H$1199,MATCH(1130,'Transfer Engine'!$C$2:$C$1199,0)))</f>
        <v/>
      </c>
      <c r="I1139" s="7" t="str">
        <f>IF(ISNA(MATCH(1130,'Transfer Engine'!$C$2:$C$1199,0)),"",INDEX('Compliance Database'!$I$2:$I$1199,MATCH(1130,'Transfer Engine'!$C$2:$C$1199,0)))</f>
        <v/>
      </c>
      <c r="J1139" s="6" t="str">
        <f>IF(ISNA(MATCH(1130,'Transfer Engine'!$C$2:$C$1199,0)),"",INDEX('Compliance Database'!$J$2:$J$1199,MATCH(1130,'Transfer Engine'!$C$2:$C$1199,0)))</f>
        <v/>
      </c>
      <c r="K1139" s="7" t="str">
        <f>IF(ISNA(MATCH(1130,'Transfer Engine'!$C$2:$C$1199,0)),"",INDEX('Compliance Database'!$K$2:$K$1199,MATCH(1130,'Transfer Engine'!$C$2:$C$1199,0)))</f>
        <v/>
      </c>
      <c r="L1139" s="7" t="str">
        <f>IF(ISNA(MATCH(1130,'Transfer Engine'!$C$2:$C$1199,0)),"",INDEX('Compliance Database'!$L$2:$L$1199,MATCH(1130,'Transfer Engine'!$C$2:$C$1199,0)))</f>
        <v/>
      </c>
      <c r="M1139" s="7" t="str">
        <f>IF(ISNA(MATCH(1130,'Transfer Engine'!$C$2:$C$1199,0)),"",INDEX('Compliance Database'!$M$2:$M$1199,MATCH(1130,'Transfer Engine'!$C$2:$C$1199,0)))</f>
        <v/>
      </c>
      <c r="N1139" s="7" t="str">
        <f>IF(ISNA(MATCH(1130,'Transfer Engine'!$C$2:$C$1199,0)),"",INDEX('Compliance Database'!$N$2:$N$1199,MATCH(1130,'Transfer Engine'!$C$2:$C$1199,0)))</f>
        <v/>
      </c>
      <c r="O1139" s="7" t="str">
        <f>IF(ISNA(MATCH(1130,'Transfer Engine'!$C$2:$C$1199,0)),"",INDEX('Compliance Database'!$O$2:$O$1199,MATCH(1130,'Transfer Engine'!$C$2:$C$1199,0)))</f>
        <v/>
      </c>
      <c r="P1139" s="6" t="str">
        <f>IF(ISNA(MATCH(1130,'Transfer Engine'!$C$2:$C$1199,0)),"",HYPERLINK("#Acts!A"&amp;INDEX('Compliance Database'!$P$2:$P$1199,MATCH(1130,'Transfer Engine'!$C$2:$C$1199,0)),"Go to Act"))</f>
        <v/>
      </c>
    </row>
    <row r="1140" spans="1:16" ht="172.95" customHeight="1" x14ac:dyDescent="0.3">
      <c r="A1140" s="6" t="str">
        <f>IF(ISNA(MATCH(1131,'Transfer Engine'!$C$2:$C$1199,0)),"",INDEX('Compliance Database'!$A$2:$A$1199,MATCH(1131,'Transfer Engine'!$C$2:$C$1199,0)))</f>
        <v/>
      </c>
      <c r="B1140" s="6" t="str">
        <f>IF(ISNA(MATCH(1131,'Transfer Engine'!$C$2:$C$1199,0)),"",INDEX('Compliance Database'!$B$2:$B$1199,MATCH(1131,'Transfer Engine'!$C$2:$C$1199,0)))</f>
        <v/>
      </c>
      <c r="C1140" s="6" t="str">
        <f>IF(ISNA(MATCH(1131,'Transfer Engine'!$C$2:$C$1199,0)),"",INDEX('Compliance Database'!$C$2:$C$1199,MATCH(1131,'Transfer Engine'!$C$2:$C$1199,0)))</f>
        <v/>
      </c>
      <c r="D1140" s="7" t="str">
        <f>IF(ISNA(MATCH(1131,'Transfer Engine'!$C$2:$C$1199,0)),"",INDEX('Compliance Database'!$D$2:$D$1199,MATCH(1131,'Transfer Engine'!$C$2:$C$1199,0)))</f>
        <v/>
      </c>
      <c r="E1140" s="6" t="str">
        <f>IF(ISNA(MATCH(1131,'Transfer Engine'!$C$2:$C$1199,0)),"",INDEX('Compliance Database'!$E$2:$E$1199,MATCH(1131,'Transfer Engine'!$C$2:$C$1199,0)))</f>
        <v/>
      </c>
      <c r="F1140" s="6" t="str">
        <f>IF(ISNA(MATCH(1131,'Transfer Engine'!$C$2:$C$1199,0)),"",INDEX('Compliance Database'!$F$2:$F$1199,MATCH(1131,'Transfer Engine'!$C$2:$C$1199,0)))</f>
        <v/>
      </c>
      <c r="G1140" s="6" t="str">
        <f>IF(ISNA(MATCH(1131,'Transfer Engine'!$C$2:$C$1199,0)),"",INDEX('Compliance Database'!$G$2:$G$1199,MATCH(1131,'Transfer Engine'!$C$2:$C$1199,0)))</f>
        <v/>
      </c>
      <c r="H1140" s="7" t="str">
        <f>IF(ISNA(MATCH(1131,'Transfer Engine'!$C$2:$C$1199,0)),"",INDEX('Compliance Database'!$H$2:$H$1199,MATCH(1131,'Transfer Engine'!$C$2:$C$1199,0)))</f>
        <v/>
      </c>
      <c r="I1140" s="7" t="str">
        <f>IF(ISNA(MATCH(1131,'Transfer Engine'!$C$2:$C$1199,0)),"",INDEX('Compliance Database'!$I$2:$I$1199,MATCH(1131,'Transfer Engine'!$C$2:$C$1199,0)))</f>
        <v/>
      </c>
      <c r="J1140" s="6" t="str">
        <f>IF(ISNA(MATCH(1131,'Transfer Engine'!$C$2:$C$1199,0)),"",INDEX('Compliance Database'!$J$2:$J$1199,MATCH(1131,'Transfer Engine'!$C$2:$C$1199,0)))</f>
        <v/>
      </c>
      <c r="K1140" s="7" t="str">
        <f>IF(ISNA(MATCH(1131,'Transfer Engine'!$C$2:$C$1199,0)),"",INDEX('Compliance Database'!$K$2:$K$1199,MATCH(1131,'Transfer Engine'!$C$2:$C$1199,0)))</f>
        <v/>
      </c>
      <c r="L1140" s="7" t="str">
        <f>IF(ISNA(MATCH(1131,'Transfer Engine'!$C$2:$C$1199,0)),"",INDEX('Compliance Database'!$L$2:$L$1199,MATCH(1131,'Transfer Engine'!$C$2:$C$1199,0)))</f>
        <v/>
      </c>
      <c r="M1140" s="7" t="str">
        <f>IF(ISNA(MATCH(1131,'Transfer Engine'!$C$2:$C$1199,0)),"",INDEX('Compliance Database'!$M$2:$M$1199,MATCH(1131,'Transfer Engine'!$C$2:$C$1199,0)))</f>
        <v/>
      </c>
      <c r="N1140" s="7" t="str">
        <f>IF(ISNA(MATCH(1131,'Transfer Engine'!$C$2:$C$1199,0)),"",INDEX('Compliance Database'!$N$2:$N$1199,MATCH(1131,'Transfer Engine'!$C$2:$C$1199,0)))</f>
        <v/>
      </c>
      <c r="O1140" s="7" t="str">
        <f>IF(ISNA(MATCH(1131,'Transfer Engine'!$C$2:$C$1199,0)),"",INDEX('Compliance Database'!$O$2:$O$1199,MATCH(1131,'Transfer Engine'!$C$2:$C$1199,0)))</f>
        <v/>
      </c>
      <c r="P1140" s="6" t="str">
        <f>IF(ISNA(MATCH(1131,'Transfer Engine'!$C$2:$C$1199,0)),"",HYPERLINK("#Acts!A"&amp;INDEX('Compliance Database'!$P$2:$P$1199,MATCH(1131,'Transfer Engine'!$C$2:$C$1199,0)),"Go to Act"))</f>
        <v/>
      </c>
    </row>
    <row r="1141" spans="1:16" ht="172.95" customHeight="1" x14ac:dyDescent="0.3">
      <c r="A1141" s="6" t="str">
        <f>IF(ISNA(MATCH(1132,'Transfer Engine'!$C$2:$C$1199,0)),"",INDEX('Compliance Database'!$A$2:$A$1199,MATCH(1132,'Transfer Engine'!$C$2:$C$1199,0)))</f>
        <v/>
      </c>
      <c r="B1141" s="6" t="str">
        <f>IF(ISNA(MATCH(1132,'Transfer Engine'!$C$2:$C$1199,0)),"",INDEX('Compliance Database'!$B$2:$B$1199,MATCH(1132,'Transfer Engine'!$C$2:$C$1199,0)))</f>
        <v/>
      </c>
      <c r="C1141" s="6" t="str">
        <f>IF(ISNA(MATCH(1132,'Transfer Engine'!$C$2:$C$1199,0)),"",INDEX('Compliance Database'!$C$2:$C$1199,MATCH(1132,'Transfer Engine'!$C$2:$C$1199,0)))</f>
        <v/>
      </c>
      <c r="D1141" s="7" t="str">
        <f>IF(ISNA(MATCH(1132,'Transfer Engine'!$C$2:$C$1199,0)),"",INDEX('Compliance Database'!$D$2:$D$1199,MATCH(1132,'Transfer Engine'!$C$2:$C$1199,0)))</f>
        <v/>
      </c>
      <c r="E1141" s="6" t="str">
        <f>IF(ISNA(MATCH(1132,'Transfer Engine'!$C$2:$C$1199,0)),"",INDEX('Compliance Database'!$E$2:$E$1199,MATCH(1132,'Transfer Engine'!$C$2:$C$1199,0)))</f>
        <v/>
      </c>
      <c r="F1141" s="6" t="str">
        <f>IF(ISNA(MATCH(1132,'Transfer Engine'!$C$2:$C$1199,0)),"",INDEX('Compliance Database'!$F$2:$F$1199,MATCH(1132,'Transfer Engine'!$C$2:$C$1199,0)))</f>
        <v/>
      </c>
      <c r="G1141" s="6" t="str">
        <f>IF(ISNA(MATCH(1132,'Transfer Engine'!$C$2:$C$1199,0)),"",INDEX('Compliance Database'!$G$2:$G$1199,MATCH(1132,'Transfer Engine'!$C$2:$C$1199,0)))</f>
        <v/>
      </c>
      <c r="H1141" s="7" t="str">
        <f>IF(ISNA(MATCH(1132,'Transfer Engine'!$C$2:$C$1199,0)),"",INDEX('Compliance Database'!$H$2:$H$1199,MATCH(1132,'Transfer Engine'!$C$2:$C$1199,0)))</f>
        <v/>
      </c>
      <c r="I1141" s="7" t="str">
        <f>IF(ISNA(MATCH(1132,'Transfer Engine'!$C$2:$C$1199,0)),"",INDEX('Compliance Database'!$I$2:$I$1199,MATCH(1132,'Transfer Engine'!$C$2:$C$1199,0)))</f>
        <v/>
      </c>
      <c r="J1141" s="6" t="str">
        <f>IF(ISNA(MATCH(1132,'Transfer Engine'!$C$2:$C$1199,0)),"",INDEX('Compliance Database'!$J$2:$J$1199,MATCH(1132,'Transfer Engine'!$C$2:$C$1199,0)))</f>
        <v/>
      </c>
      <c r="K1141" s="7" t="str">
        <f>IF(ISNA(MATCH(1132,'Transfer Engine'!$C$2:$C$1199,0)),"",INDEX('Compliance Database'!$K$2:$K$1199,MATCH(1132,'Transfer Engine'!$C$2:$C$1199,0)))</f>
        <v/>
      </c>
      <c r="L1141" s="7" t="str">
        <f>IF(ISNA(MATCH(1132,'Transfer Engine'!$C$2:$C$1199,0)),"",INDEX('Compliance Database'!$L$2:$L$1199,MATCH(1132,'Transfer Engine'!$C$2:$C$1199,0)))</f>
        <v/>
      </c>
      <c r="M1141" s="7" t="str">
        <f>IF(ISNA(MATCH(1132,'Transfer Engine'!$C$2:$C$1199,0)),"",INDEX('Compliance Database'!$M$2:$M$1199,MATCH(1132,'Transfer Engine'!$C$2:$C$1199,0)))</f>
        <v/>
      </c>
      <c r="N1141" s="7" t="str">
        <f>IF(ISNA(MATCH(1132,'Transfer Engine'!$C$2:$C$1199,0)),"",INDEX('Compliance Database'!$N$2:$N$1199,MATCH(1132,'Transfer Engine'!$C$2:$C$1199,0)))</f>
        <v/>
      </c>
      <c r="O1141" s="7" t="str">
        <f>IF(ISNA(MATCH(1132,'Transfer Engine'!$C$2:$C$1199,0)),"",INDEX('Compliance Database'!$O$2:$O$1199,MATCH(1132,'Transfer Engine'!$C$2:$C$1199,0)))</f>
        <v/>
      </c>
      <c r="P1141" s="6" t="str">
        <f>IF(ISNA(MATCH(1132,'Transfer Engine'!$C$2:$C$1199,0)),"",HYPERLINK("#Acts!A"&amp;INDEX('Compliance Database'!$P$2:$P$1199,MATCH(1132,'Transfer Engine'!$C$2:$C$1199,0)),"Go to Act"))</f>
        <v/>
      </c>
    </row>
    <row r="1142" spans="1:16" ht="172.95" customHeight="1" x14ac:dyDescent="0.3">
      <c r="A1142" s="6" t="str">
        <f>IF(ISNA(MATCH(1133,'Transfer Engine'!$C$2:$C$1199,0)),"",INDEX('Compliance Database'!$A$2:$A$1199,MATCH(1133,'Transfer Engine'!$C$2:$C$1199,0)))</f>
        <v/>
      </c>
      <c r="B1142" s="6" t="str">
        <f>IF(ISNA(MATCH(1133,'Transfer Engine'!$C$2:$C$1199,0)),"",INDEX('Compliance Database'!$B$2:$B$1199,MATCH(1133,'Transfer Engine'!$C$2:$C$1199,0)))</f>
        <v/>
      </c>
      <c r="C1142" s="6" t="str">
        <f>IF(ISNA(MATCH(1133,'Transfer Engine'!$C$2:$C$1199,0)),"",INDEX('Compliance Database'!$C$2:$C$1199,MATCH(1133,'Transfer Engine'!$C$2:$C$1199,0)))</f>
        <v/>
      </c>
      <c r="D1142" s="7" t="str">
        <f>IF(ISNA(MATCH(1133,'Transfer Engine'!$C$2:$C$1199,0)),"",INDEX('Compliance Database'!$D$2:$D$1199,MATCH(1133,'Transfer Engine'!$C$2:$C$1199,0)))</f>
        <v/>
      </c>
      <c r="E1142" s="6" t="str">
        <f>IF(ISNA(MATCH(1133,'Transfer Engine'!$C$2:$C$1199,0)),"",INDEX('Compliance Database'!$E$2:$E$1199,MATCH(1133,'Transfer Engine'!$C$2:$C$1199,0)))</f>
        <v/>
      </c>
      <c r="F1142" s="6" t="str">
        <f>IF(ISNA(MATCH(1133,'Transfer Engine'!$C$2:$C$1199,0)),"",INDEX('Compliance Database'!$F$2:$F$1199,MATCH(1133,'Transfer Engine'!$C$2:$C$1199,0)))</f>
        <v/>
      </c>
      <c r="G1142" s="6" t="str">
        <f>IF(ISNA(MATCH(1133,'Transfer Engine'!$C$2:$C$1199,0)),"",INDEX('Compliance Database'!$G$2:$G$1199,MATCH(1133,'Transfer Engine'!$C$2:$C$1199,0)))</f>
        <v/>
      </c>
      <c r="H1142" s="7" t="str">
        <f>IF(ISNA(MATCH(1133,'Transfer Engine'!$C$2:$C$1199,0)),"",INDEX('Compliance Database'!$H$2:$H$1199,MATCH(1133,'Transfer Engine'!$C$2:$C$1199,0)))</f>
        <v/>
      </c>
      <c r="I1142" s="7" t="str">
        <f>IF(ISNA(MATCH(1133,'Transfer Engine'!$C$2:$C$1199,0)),"",INDEX('Compliance Database'!$I$2:$I$1199,MATCH(1133,'Transfer Engine'!$C$2:$C$1199,0)))</f>
        <v/>
      </c>
      <c r="J1142" s="6" t="str">
        <f>IF(ISNA(MATCH(1133,'Transfer Engine'!$C$2:$C$1199,0)),"",INDEX('Compliance Database'!$J$2:$J$1199,MATCH(1133,'Transfer Engine'!$C$2:$C$1199,0)))</f>
        <v/>
      </c>
      <c r="K1142" s="7" t="str">
        <f>IF(ISNA(MATCH(1133,'Transfer Engine'!$C$2:$C$1199,0)),"",INDEX('Compliance Database'!$K$2:$K$1199,MATCH(1133,'Transfer Engine'!$C$2:$C$1199,0)))</f>
        <v/>
      </c>
      <c r="L1142" s="7" t="str">
        <f>IF(ISNA(MATCH(1133,'Transfer Engine'!$C$2:$C$1199,0)),"",INDEX('Compliance Database'!$L$2:$L$1199,MATCH(1133,'Transfer Engine'!$C$2:$C$1199,0)))</f>
        <v/>
      </c>
      <c r="M1142" s="7" t="str">
        <f>IF(ISNA(MATCH(1133,'Transfer Engine'!$C$2:$C$1199,0)),"",INDEX('Compliance Database'!$M$2:$M$1199,MATCH(1133,'Transfer Engine'!$C$2:$C$1199,0)))</f>
        <v/>
      </c>
      <c r="N1142" s="7" t="str">
        <f>IF(ISNA(MATCH(1133,'Transfer Engine'!$C$2:$C$1199,0)),"",INDEX('Compliance Database'!$N$2:$N$1199,MATCH(1133,'Transfer Engine'!$C$2:$C$1199,0)))</f>
        <v/>
      </c>
      <c r="O1142" s="7" t="str">
        <f>IF(ISNA(MATCH(1133,'Transfer Engine'!$C$2:$C$1199,0)),"",INDEX('Compliance Database'!$O$2:$O$1199,MATCH(1133,'Transfer Engine'!$C$2:$C$1199,0)))</f>
        <v/>
      </c>
      <c r="P1142" s="6" t="str">
        <f>IF(ISNA(MATCH(1133,'Transfer Engine'!$C$2:$C$1199,0)),"",HYPERLINK("#Acts!A"&amp;INDEX('Compliance Database'!$P$2:$P$1199,MATCH(1133,'Transfer Engine'!$C$2:$C$1199,0)),"Go to Act"))</f>
        <v/>
      </c>
    </row>
    <row r="1143" spans="1:16" ht="172.95" customHeight="1" x14ac:dyDescent="0.3">
      <c r="A1143" s="6" t="str">
        <f>IF(ISNA(MATCH(1134,'Transfer Engine'!$C$2:$C$1199,0)),"",INDEX('Compliance Database'!$A$2:$A$1199,MATCH(1134,'Transfer Engine'!$C$2:$C$1199,0)))</f>
        <v/>
      </c>
      <c r="B1143" s="6" t="str">
        <f>IF(ISNA(MATCH(1134,'Transfer Engine'!$C$2:$C$1199,0)),"",INDEX('Compliance Database'!$B$2:$B$1199,MATCH(1134,'Transfer Engine'!$C$2:$C$1199,0)))</f>
        <v/>
      </c>
      <c r="C1143" s="6" t="str">
        <f>IF(ISNA(MATCH(1134,'Transfer Engine'!$C$2:$C$1199,0)),"",INDEX('Compliance Database'!$C$2:$C$1199,MATCH(1134,'Transfer Engine'!$C$2:$C$1199,0)))</f>
        <v/>
      </c>
      <c r="D1143" s="7" t="str">
        <f>IF(ISNA(MATCH(1134,'Transfer Engine'!$C$2:$C$1199,0)),"",INDEX('Compliance Database'!$D$2:$D$1199,MATCH(1134,'Transfer Engine'!$C$2:$C$1199,0)))</f>
        <v/>
      </c>
      <c r="E1143" s="6" t="str">
        <f>IF(ISNA(MATCH(1134,'Transfer Engine'!$C$2:$C$1199,0)),"",INDEX('Compliance Database'!$E$2:$E$1199,MATCH(1134,'Transfer Engine'!$C$2:$C$1199,0)))</f>
        <v/>
      </c>
      <c r="F1143" s="6" t="str">
        <f>IF(ISNA(MATCH(1134,'Transfer Engine'!$C$2:$C$1199,0)),"",INDEX('Compliance Database'!$F$2:$F$1199,MATCH(1134,'Transfer Engine'!$C$2:$C$1199,0)))</f>
        <v/>
      </c>
      <c r="G1143" s="6" t="str">
        <f>IF(ISNA(MATCH(1134,'Transfer Engine'!$C$2:$C$1199,0)),"",INDEX('Compliance Database'!$G$2:$G$1199,MATCH(1134,'Transfer Engine'!$C$2:$C$1199,0)))</f>
        <v/>
      </c>
      <c r="H1143" s="7" t="str">
        <f>IF(ISNA(MATCH(1134,'Transfer Engine'!$C$2:$C$1199,0)),"",INDEX('Compliance Database'!$H$2:$H$1199,MATCH(1134,'Transfer Engine'!$C$2:$C$1199,0)))</f>
        <v/>
      </c>
      <c r="I1143" s="7" t="str">
        <f>IF(ISNA(MATCH(1134,'Transfer Engine'!$C$2:$C$1199,0)),"",INDEX('Compliance Database'!$I$2:$I$1199,MATCH(1134,'Transfer Engine'!$C$2:$C$1199,0)))</f>
        <v/>
      </c>
      <c r="J1143" s="6" t="str">
        <f>IF(ISNA(MATCH(1134,'Transfer Engine'!$C$2:$C$1199,0)),"",INDEX('Compliance Database'!$J$2:$J$1199,MATCH(1134,'Transfer Engine'!$C$2:$C$1199,0)))</f>
        <v/>
      </c>
      <c r="K1143" s="7" t="str">
        <f>IF(ISNA(MATCH(1134,'Transfer Engine'!$C$2:$C$1199,0)),"",INDEX('Compliance Database'!$K$2:$K$1199,MATCH(1134,'Transfer Engine'!$C$2:$C$1199,0)))</f>
        <v/>
      </c>
      <c r="L1143" s="7" t="str">
        <f>IF(ISNA(MATCH(1134,'Transfer Engine'!$C$2:$C$1199,0)),"",INDEX('Compliance Database'!$L$2:$L$1199,MATCH(1134,'Transfer Engine'!$C$2:$C$1199,0)))</f>
        <v/>
      </c>
      <c r="M1143" s="7" t="str">
        <f>IF(ISNA(MATCH(1134,'Transfer Engine'!$C$2:$C$1199,0)),"",INDEX('Compliance Database'!$M$2:$M$1199,MATCH(1134,'Transfer Engine'!$C$2:$C$1199,0)))</f>
        <v/>
      </c>
      <c r="N1143" s="7" t="str">
        <f>IF(ISNA(MATCH(1134,'Transfer Engine'!$C$2:$C$1199,0)),"",INDEX('Compliance Database'!$N$2:$N$1199,MATCH(1134,'Transfer Engine'!$C$2:$C$1199,0)))</f>
        <v/>
      </c>
      <c r="O1143" s="7" t="str">
        <f>IF(ISNA(MATCH(1134,'Transfer Engine'!$C$2:$C$1199,0)),"",INDEX('Compliance Database'!$O$2:$O$1199,MATCH(1134,'Transfer Engine'!$C$2:$C$1199,0)))</f>
        <v/>
      </c>
      <c r="P1143" s="6" t="str">
        <f>IF(ISNA(MATCH(1134,'Transfer Engine'!$C$2:$C$1199,0)),"",HYPERLINK("#Acts!A"&amp;INDEX('Compliance Database'!$P$2:$P$1199,MATCH(1134,'Transfer Engine'!$C$2:$C$1199,0)),"Go to Act"))</f>
        <v/>
      </c>
    </row>
    <row r="1144" spans="1:16" ht="172.95" customHeight="1" x14ac:dyDescent="0.3">
      <c r="A1144" s="6" t="str">
        <f>IF(ISNA(MATCH(1135,'Transfer Engine'!$C$2:$C$1199,0)),"",INDEX('Compliance Database'!$A$2:$A$1199,MATCH(1135,'Transfer Engine'!$C$2:$C$1199,0)))</f>
        <v/>
      </c>
      <c r="B1144" s="6" t="str">
        <f>IF(ISNA(MATCH(1135,'Transfer Engine'!$C$2:$C$1199,0)),"",INDEX('Compliance Database'!$B$2:$B$1199,MATCH(1135,'Transfer Engine'!$C$2:$C$1199,0)))</f>
        <v/>
      </c>
      <c r="C1144" s="6" t="str">
        <f>IF(ISNA(MATCH(1135,'Transfer Engine'!$C$2:$C$1199,0)),"",INDEX('Compliance Database'!$C$2:$C$1199,MATCH(1135,'Transfer Engine'!$C$2:$C$1199,0)))</f>
        <v/>
      </c>
      <c r="D1144" s="7" t="str">
        <f>IF(ISNA(MATCH(1135,'Transfer Engine'!$C$2:$C$1199,0)),"",INDEX('Compliance Database'!$D$2:$D$1199,MATCH(1135,'Transfer Engine'!$C$2:$C$1199,0)))</f>
        <v/>
      </c>
      <c r="E1144" s="6" t="str">
        <f>IF(ISNA(MATCH(1135,'Transfer Engine'!$C$2:$C$1199,0)),"",INDEX('Compliance Database'!$E$2:$E$1199,MATCH(1135,'Transfer Engine'!$C$2:$C$1199,0)))</f>
        <v/>
      </c>
      <c r="F1144" s="6" t="str">
        <f>IF(ISNA(MATCH(1135,'Transfer Engine'!$C$2:$C$1199,0)),"",INDEX('Compliance Database'!$F$2:$F$1199,MATCH(1135,'Transfer Engine'!$C$2:$C$1199,0)))</f>
        <v/>
      </c>
      <c r="G1144" s="6" t="str">
        <f>IF(ISNA(MATCH(1135,'Transfer Engine'!$C$2:$C$1199,0)),"",INDEX('Compliance Database'!$G$2:$G$1199,MATCH(1135,'Transfer Engine'!$C$2:$C$1199,0)))</f>
        <v/>
      </c>
      <c r="H1144" s="7" t="str">
        <f>IF(ISNA(MATCH(1135,'Transfer Engine'!$C$2:$C$1199,0)),"",INDEX('Compliance Database'!$H$2:$H$1199,MATCH(1135,'Transfer Engine'!$C$2:$C$1199,0)))</f>
        <v/>
      </c>
      <c r="I1144" s="7" t="str">
        <f>IF(ISNA(MATCH(1135,'Transfer Engine'!$C$2:$C$1199,0)),"",INDEX('Compliance Database'!$I$2:$I$1199,MATCH(1135,'Transfer Engine'!$C$2:$C$1199,0)))</f>
        <v/>
      </c>
      <c r="J1144" s="6" t="str">
        <f>IF(ISNA(MATCH(1135,'Transfer Engine'!$C$2:$C$1199,0)),"",INDEX('Compliance Database'!$J$2:$J$1199,MATCH(1135,'Transfer Engine'!$C$2:$C$1199,0)))</f>
        <v/>
      </c>
      <c r="K1144" s="7" t="str">
        <f>IF(ISNA(MATCH(1135,'Transfer Engine'!$C$2:$C$1199,0)),"",INDEX('Compliance Database'!$K$2:$K$1199,MATCH(1135,'Transfer Engine'!$C$2:$C$1199,0)))</f>
        <v/>
      </c>
      <c r="L1144" s="7" t="str">
        <f>IF(ISNA(MATCH(1135,'Transfer Engine'!$C$2:$C$1199,0)),"",INDEX('Compliance Database'!$L$2:$L$1199,MATCH(1135,'Transfer Engine'!$C$2:$C$1199,0)))</f>
        <v/>
      </c>
      <c r="M1144" s="7" t="str">
        <f>IF(ISNA(MATCH(1135,'Transfer Engine'!$C$2:$C$1199,0)),"",INDEX('Compliance Database'!$M$2:$M$1199,MATCH(1135,'Transfer Engine'!$C$2:$C$1199,0)))</f>
        <v/>
      </c>
      <c r="N1144" s="7" t="str">
        <f>IF(ISNA(MATCH(1135,'Transfer Engine'!$C$2:$C$1199,0)),"",INDEX('Compliance Database'!$N$2:$N$1199,MATCH(1135,'Transfer Engine'!$C$2:$C$1199,0)))</f>
        <v/>
      </c>
      <c r="O1144" s="7" t="str">
        <f>IF(ISNA(MATCH(1135,'Transfer Engine'!$C$2:$C$1199,0)),"",INDEX('Compliance Database'!$O$2:$O$1199,MATCH(1135,'Transfer Engine'!$C$2:$C$1199,0)))</f>
        <v/>
      </c>
      <c r="P1144" s="6" t="str">
        <f>IF(ISNA(MATCH(1135,'Transfer Engine'!$C$2:$C$1199,0)),"",HYPERLINK("#Acts!A"&amp;INDEX('Compliance Database'!$P$2:$P$1199,MATCH(1135,'Transfer Engine'!$C$2:$C$1199,0)),"Go to Act"))</f>
        <v/>
      </c>
    </row>
    <row r="1145" spans="1:16" ht="172.95" customHeight="1" x14ac:dyDescent="0.3">
      <c r="A1145" s="6" t="str">
        <f>IF(ISNA(MATCH(1136,'Transfer Engine'!$C$2:$C$1199,0)),"",INDEX('Compliance Database'!$A$2:$A$1199,MATCH(1136,'Transfer Engine'!$C$2:$C$1199,0)))</f>
        <v/>
      </c>
      <c r="B1145" s="6" t="str">
        <f>IF(ISNA(MATCH(1136,'Transfer Engine'!$C$2:$C$1199,0)),"",INDEX('Compliance Database'!$B$2:$B$1199,MATCH(1136,'Transfer Engine'!$C$2:$C$1199,0)))</f>
        <v/>
      </c>
      <c r="C1145" s="6" t="str">
        <f>IF(ISNA(MATCH(1136,'Transfer Engine'!$C$2:$C$1199,0)),"",INDEX('Compliance Database'!$C$2:$C$1199,MATCH(1136,'Transfer Engine'!$C$2:$C$1199,0)))</f>
        <v/>
      </c>
      <c r="D1145" s="7" t="str">
        <f>IF(ISNA(MATCH(1136,'Transfer Engine'!$C$2:$C$1199,0)),"",INDEX('Compliance Database'!$D$2:$D$1199,MATCH(1136,'Transfer Engine'!$C$2:$C$1199,0)))</f>
        <v/>
      </c>
      <c r="E1145" s="6" t="str">
        <f>IF(ISNA(MATCH(1136,'Transfer Engine'!$C$2:$C$1199,0)),"",INDEX('Compliance Database'!$E$2:$E$1199,MATCH(1136,'Transfer Engine'!$C$2:$C$1199,0)))</f>
        <v/>
      </c>
      <c r="F1145" s="6" t="str">
        <f>IF(ISNA(MATCH(1136,'Transfer Engine'!$C$2:$C$1199,0)),"",INDEX('Compliance Database'!$F$2:$F$1199,MATCH(1136,'Transfer Engine'!$C$2:$C$1199,0)))</f>
        <v/>
      </c>
      <c r="G1145" s="6" t="str">
        <f>IF(ISNA(MATCH(1136,'Transfer Engine'!$C$2:$C$1199,0)),"",INDEX('Compliance Database'!$G$2:$G$1199,MATCH(1136,'Transfer Engine'!$C$2:$C$1199,0)))</f>
        <v/>
      </c>
      <c r="H1145" s="7" t="str">
        <f>IF(ISNA(MATCH(1136,'Transfer Engine'!$C$2:$C$1199,0)),"",INDEX('Compliance Database'!$H$2:$H$1199,MATCH(1136,'Transfer Engine'!$C$2:$C$1199,0)))</f>
        <v/>
      </c>
      <c r="I1145" s="7" t="str">
        <f>IF(ISNA(MATCH(1136,'Transfer Engine'!$C$2:$C$1199,0)),"",INDEX('Compliance Database'!$I$2:$I$1199,MATCH(1136,'Transfer Engine'!$C$2:$C$1199,0)))</f>
        <v/>
      </c>
      <c r="J1145" s="6" t="str">
        <f>IF(ISNA(MATCH(1136,'Transfer Engine'!$C$2:$C$1199,0)),"",INDEX('Compliance Database'!$J$2:$J$1199,MATCH(1136,'Transfer Engine'!$C$2:$C$1199,0)))</f>
        <v/>
      </c>
      <c r="K1145" s="7" t="str">
        <f>IF(ISNA(MATCH(1136,'Transfer Engine'!$C$2:$C$1199,0)),"",INDEX('Compliance Database'!$K$2:$K$1199,MATCH(1136,'Transfer Engine'!$C$2:$C$1199,0)))</f>
        <v/>
      </c>
      <c r="L1145" s="7" t="str">
        <f>IF(ISNA(MATCH(1136,'Transfer Engine'!$C$2:$C$1199,0)),"",INDEX('Compliance Database'!$L$2:$L$1199,MATCH(1136,'Transfer Engine'!$C$2:$C$1199,0)))</f>
        <v/>
      </c>
      <c r="M1145" s="7" t="str">
        <f>IF(ISNA(MATCH(1136,'Transfer Engine'!$C$2:$C$1199,0)),"",INDEX('Compliance Database'!$M$2:$M$1199,MATCH(1136,'Transfer Engine'!$C$2:$C$1199,0)))</f>
        <v/>
      </c>
      <c r="N1145" s="7" t="str">
        <f>IF(ISNA(MATCH(1136,'Transfer Engine'!$C$2:$C$1199,0)),"",INDEX('Compliance Database'!$N$2:$N$1199,MATCH(1136,'Transfer Engine'!$C$2:$C$1199,0)))</f>
        <v/>
      </c>
      <c r="O1145" s="7" t="str">
        <f>IF(ISNA(MATCH(1136,'Transfer Engine'!$C$2:$C$1199,0)),"",INDEX('Compliance Database'!$O$2:$O$1199,MATCH(1136,'Transfer Engine'!$C$2:$C$1199,0)))</f>
        <v/>
      </c>
      <c r="P1145" s="6" t="str">
        <f>IF(ISNA(MATCH(1136,'Transfer Engine'!$C$2:$C$1199,0)),"",HYPERLINK("#Acts!A"&amp;INDEX('Compliance Database'!$P$2:$P$1199,MATCH(1136,'Transfer Engine'!$C$2:$C$1199,0)),"Go to Act"))</f>
        <v/>
      </c>
    </row>
    <row r="1146" spans="1:16" ht="172.95" customHeight="1" x14ac:dyDescent="0.3">
      <c r="A1146" s="6" t="str">
        <f>IF(ISNA(MATCH(1137,'Transfer Engine'!$C$2:$C$1199,0)),"",INDEX('Compliance Database'!$A$2:$A$1199,MATCH(1137,'Transfer Engine'!$C$2:$C$1199,0)))</f>
        <v/>
      </c>
      <c r="B1146" s="6" t="str">
        <f>IF(ISNA(MATCH(1137,'Transfer Engine'!$C$2:$C$1199,0)),"",INDEX('Compliance Database'!$B$2:$B$1199,MATCH(1137,'Transfer Engine'!$C$2:$C$1199,0)))</f>
        <v/>
      </c>
      <c r="C1146" s="6" t="str">
        <f>IF(ISNA(MATCH(1137,'Transfer Engine'!$C$2:$C$1199,0)),"",INDEX('Compliance Database'!$C$2:$C$1199,MATCH(1137,'Transfer Engine'!$C$2:$C$1199,0)))</f>
        <v/>
      </c>
      <c r="D1146" s="7" t="str">
        <f>IF(ISNA(MATCH(1137,'Transfer Engine'!$C$2:$C$1199,0)),"",INDEX('Compliance Database'!$D$2:$D$1199,MATCH(1137,'Transfer Engine'!$C$2:$C$1199,0)))</f>
        <v/>
      </c>
      <c r="E1146" s="6" t="str">
        <f>IF(ISNA(MATCH(1137,'Transfer Engine'!$C$2:$C$1199,0)),"",INDEX('Compliance Database'!$E$2:$E$1199,MATCH(1137,'Transfer Engine'!$C$2:$C$1199,0)))</f>
        <v/>
      </c>
      <c r="F1146" s="6" t="str">
        <f>IF(ISNA(MATCH(1137,'Transfer Engine'!$C$2:$C$1199,0)),"",INDEX('Compliance Database'!$F$2:$F$1199,MATCH(1137,'Transfer Engine'!$C$2:$C$1199,0)))</f>
        <v/>
      </c>
      <c r="G1146" s="6" t="str">
        <f>IF(ISNA(MATCH(1137,'Transfer Engine'!$C$2:$C$1199,0)),"",INDEX('Compliance Database'!$G$2:$G$1199,MATCH(1137,'Transfer Engine'!$C$2:$C$1199,0)))</f>
        <v/>
      </c>
      <c r="H1146" s="7" t="str">
        <f>IF(ISNA(MATCH(1137,'Transfer Engine'!$C$2:$C$1199,0)),"",INDEX('Compliance Database'!$H$2:$H$1199,MATCH(1137,'Transfer Engine'!$C$2:$C$1199,0)))</f>
        <v/>
      </c>
      <c r="I1146" s="7" t="str">
        <f>IF(ISNA(MATCH(1137,'Transfer Engine'!$C$2:$C$1199,0)),"",INDEX('Compliance Database'!$I$2:$I$1199,MATCH(1137,'Transfer Engine'!$C$2:$C$1199,0)))</f>
        <v/>
      </c>
      <c r="J1146" s="6" t="str">
        <f>IF(ISNA(MATCH(1137,'Transfer Engine'!$C$2:$C$1199,0)),"",INDEX('Compliance Database'!$J$2:$J$1199,MATCH(1137,'Transfer Engine'!$C$2:$C$1199,0)))</f>
        <v/>
      </c>
      <c r="K1146" s="7" t="str">
        <f>IF(ISNA(MATCH(1137,'Transfer Engine'!$C$2:$C$1199,0)),"",INDEX('Compliance Database'!$K$2:$K$1199,MATCH(1137,'Transfer Engine'!$C$2:$C$1199,0)))</f>
        <v/>
      </c>
      <c r="L1146" s="7" t="str">
        <f>IF(ISNA(MATCH(1137,'Transfer Engine'!$C$2:$C$1199,0)),"",INDEX('Compliance Database'!$L$2:$L$1199,MATCH(1137,'Transfer Engine'!$C$2:$C$1199,0)))</f>
        <v/>
      </c>
      <c r="M1146" s="7" t="str">
        <f>IF(ISNA(MATCH(1137,'Transfer Engine'!$C$2:$C$1199,0)),"",INDEX('Compliance Database'!$M$2:$M$1199,MATCH(1137,'Transfer Engine'!$C$2:$C$1199,0)))</f>
        <v/>
      </c>
      <c r="N1146" s="7" t="str">
        <f>IF(ISNA(MATCH(1137,'Transfer Engine'!$C$2:$C$1199,0)),"",INDEX('Compliance Database'!$N$2:$N$1199,MATCH(1137,'Transfer Engine'!$C$2:$C$1199,0)))</f>
        <v/>
      </c>
      <c r="O1146" s="7" t="str">
        <f>IF(ISNA(MATCH(1137,'Transfer Engine'!$C$2:$C$1199,0)),"",INDEX('Compliance Database'!$O$2:$O$1199,MATCH(1137,'Transfer Engine'!$C$2:$C$1199,0)))</f>
        <v/>
      </c>
      <c r="P1146" s="6" t="str">
        <f>IF(ISNA(MATCH(1137,'Transfer Engine'!$C$2:$C$1199,0)),"",HYPERLINK("#Acts!A"&amp;INDEX('Compliance Database'!$P$2:$P$1199,MATCH(1137,'Transfer Engine'!$C$2:$C$1199,0)),"Go to Act"))</f>
        <v/>
      </c>
    </row>
    <row r="1147" spans="1:16" ht="172.95" customHeight="1" x14ac:dyDescent="0.3">
      <c r="A1147" s="6" t="str">
        <f>IF(ISNA(MATCH(1138,'Transfer Engine'!$C$2:$C$1199,0)),"",INDEX('Compliance Database'!$A$2:$A$1199,MATCH(1138,'Transfer Engine'!$C$2:$C$1199,0)))</f>
        <v/>
      </c>
      <c r="B1147" s="6" t="str">
        <f>IF(ISNA(MATCH(1138,'Transfer Engine'!$C$2:$C$1199,0)),"",INDEX('Compliance Database'!$B$2:$B$1199,MATCH(1138,'Transfer Engine'!$C$2:$C$1199,0)))</f>
        <v/>
      </c>
      <c r="C1147" s="6" t="str">
        <f>IF(ISNA(MATCH(1138,'Transfer Engine'!$C$2:$C$1199,0)),"",INDEX('Compliance Database'!$C$2:$C$1199,MATCH(1138,'Transfer Engine'!$C$2:$C$1199,0)))</f>
        <v/>
      </c>
      <c r="D1147" s="7" t="str">
        <f>IF(ISNA(MATCH(1138,'Transfer Engine'!$C$2:$C$1199,0)),"",INDEX('Compliance Database'!$D$2:$D$1199,MATCH(1138,'Transfer Engine'!$C$2:$C$1199,0)))</f>
        <v/>
      </c>
      <c r="E1147" s="6" t="str">
        <f>IF(ISNA(MATCH(1138,'Transfer Engine'!$C$2:$C$1199,0)),"",INDEX('Compliance Database'!$E$2:$E$1199,MATCH(1138,'Transfer Engine'!$C$2:$C$1199,0)))</f>
        <v/>
      </c>
      <c r="F1147" s="6" t="str">
        <f>IF(ISNA(MATCH(1138,'Transfer Engine'!$C$2:$C$1199,0)),"",INDEX('Compliance Database'!$F$2:$F$1199,MATCH(1138,'Transfer Engine'!$C$2:$C$1199,0)))</f>
        <v/>
      </c>
      <c r="G1147" s="6" t="str">
        <f>IF(ISNA(MATCH(1138,'Transfer Engine'!$C$2:$C$1199,0)),"",INDEX('Compliance Database'!$G$2:$G$1199,MATCH(1138,'Transfer Engine'!$C$2:$C$1199,0)))</f>
        <v/>
      </c>
      <c r="H1147" s="7" t="str">
        <f>IF(ISNA(MATCH(1138,'Transfer Engine'!$C$2:$C$1199,0)),"",INDEX('Compliance Database'!$H$2:$H$1199,MATCH(1138,'Transfer Engine'!$C$2:$C$1199,0)))</f>
        <v/>
      </c>
      <c r="I1147" s="7" t="str">
        <f>IF(ISNA(MATCH(1138,'Transfer Engine'!$C$2:$C$1199,0)),"",INDEX('Compliance Database'!$I$2:$I$1199,MATCH(1138,'Transfer Engine'!$C$2:$C$1199,0)))</f>
        <v/>
      </c>
      <c r="J1147" s="6" t="str">
        <f>IF(ISNA(MATCH(1138,'Transfer Engine'!$C$2:$C$1199,0)),"",INDEX('Compliance Database'!$J$2:$J$1199,MATCH(1138,'Transfer Engine'!$C$2:$C$1199,0)))</f>
        <v/>
      </c>
      <c r="K1147" s="7" t="str">
        <f>IF(ISNA(MATCH(1138,'Transfer Engine'!$C$2:$C$1199,0)),"",INDEX('Compliance Database'!$K$2:$K$1199,MATCH(1138,'Transfer Engine'!$C$2:$C$1199,0)))</f>
        <v/>
      </c>
      <c r="L1147" s="7" t="str">
        <f>IF(ISNA(MATCH(1138,'Transfer Engine'!$C$2:$C$1199,0)),"",INDEX('Compliance Database'!$L$2:$L$1199,MATCH(1138,'Transfer Engine'!$C$2:$C$1199,0)))</f>
        <v/>
      </c>
      <c r="M1147" s="7" t="str">
        <f>IF(ISNA(MATCH(1138,'Transfer Engine'!$C$2:$C$1199,0)),"",INDEX('Compliance Database'!$M$2:$M$1199,MATCH(1138,'Transfer Engine'!$C$2:$C$1199,0)))</f>
        <v/>
      </c>
      <c r="N1147" s="7" t="str">
        <f>IF(ISNA(MATCH(1138,'Transfer Engine'!$C$2:$C$1199,0)),"",INDEX('Compliance Database'!$N$2:$N$1199,MATCH(1138,'Transfer Engine'!$C$2:$C$1199,0)))</f>
        <v/>
      </c>
      <c r="O1147" s="7" t="str">
        <f>IF(ISNA(MATCH(1138,'Transfer Engine'!$C$2:$C$1199,0)),"",INDEX('Compliance Database'!$O$2:$O$1199,MATCH(1138,'Transfer Engine'!$C$2:$C$1199,0)))</f>
        <v/>
      </c>
      <c r="P1147" s="6" t="str">
        <f>IF(ISNA(MATCH(1138,'Transfer Engine'!$C$2:$C$1199,0)),"",HYPERLINK("#Acts!A"&amp;INDEX('Compliance Database'!$P$2:$P$1199,MATCH(1138,'Transfer Engine'!$C$2:$C$1199,0)),"Go to Act"))</f>
        <v/>
      </c>
    </row>
    <row r="1148" spans="1:16" ht="172.95" customHeight="1" x14ac:dyDescent="0.3">
      <c r="A1148" s="6" t="str">
        <f>IF(ISNA(MATCH(1139,'Transfer Engine'!$C$2:$C$1199,0)),"",INDEX('Compliance Database'!$A$2:$A$1199,MATCH(1139,'Transfer Engine'!$C$2:$C$1199,0)))</f>
        <v/>
      </c>
      <c r="B1148" s="6" t="str">
        <f>IF(ISNA(MATCH(1139,'Transfer Engine'!$C$2:$C$1199,0)),"",INDEX('Compliance Database'!$B$2:$B$1199,MATCH(1139,'Transfer Engine'!$C$2:$C$1199,0)))</f>
        <v/>
      </c>
      <c r="C1148" s="6" t="str">
        <f>IF(ISNA(MATCH(1139,'Transfer Engine'!$C$2:$C$1199,0)),"",INDEX('Compliance Database'!$C$2:$C$1199,MATCH(1139,'Transfer Engine'!$C$2:$C$1199,0)))</f>
        <v/>
      </c>
      <c r="D1148" s="7" t="str">
        <f>IF(ISNA(MATCH(1139,'Transfer Engine'!$C$2:$C$1199,0)),"",INDEX('Compliance Database'!$D$2:$D$1199,MATCH(1139,'Transfer Engine'!$C$2:$C$1199,0)))</f>
        <v/>
      </c>
      <c r="E1148" s="6" t="str">
        <f>IF(ISNA(MATCH(1139,'Transfer Engine'!$C$2:$C$1199,0)),"",INDEX('Compliance Database'!$E$2:$E$1199,MATCH(1139,'Transfer Engine'!$C$2:$C$1199,0)))</f>
        <v/>
      </c>
      <c r="F1148" s="6" t="str">
        <f>IF(ISNA(MATCH(1139,'Transfer Engine'!$C$2:$C$1199,0)),"",INDEX('Compliance Database'!$F$2:$F$1199,MATCH(1139,'Transfer Engine'!$C$2:$C$1199,0)))</f>
        <v/>
      </c>
      <c r="G1148" s="6" t="str">
        <f>IF(ISNA(MATCH(1139,'Transfer Engine'!$C$2:$C$1199,0)),"",INDEX('Compliance Database'!$G$2:$G$1199,MATCH(1139,'Transfer Engine'!$C$2:$C$1199,0)))</f>
        <v/>
      </c>
      <c r="H1148" s="7" t="str">
        <f>IF(ISNA(MATCH(1139,'Transfer Engine'!$C$2:$C$1199,0)),"",INDEX('Compliance Database'!$H$2:$H$1199,MATCH(1139,'Transfer Engine'!$C$2:$C$1199,0)))</f>
        <v/>
      </c>
      <c r="I1148" s="7" t="str">
        <f>IF(ISNA(MATCH(1139,'Transfer Engine'!$C$2:$C$1199,0)),"",INDEX('Compliance Database'!$I$2:$I$1199,MATCH(1139,'Transfer Engine'!$C$2:$C$1199,0)))</f>
        <v/>
      </c>
      <c r="J1148" s="6" t="str">
        <f>IF(ISNA(MATCH(1139,'Transfer Engine'!$C$2:$C$1199,0)),"",INDEX('Compliance Database'!$J$2:$J$1199,MATCH(1139,'Transfer Engine'!$C$2:$C$1199,0)))</f>
        <v/>
      </c>
      <c r="K1148" s="7" t="str">
        <f>IF(ISNA(MATCH(1139,'Transfer Engine'!$C$2:$C$1199,0)),"",INDEX('Compliance Database'!$K$2:$K$1199,MATCH(1139,'Transfer Engine'!$C$2:$C$1199,0)))</f>
        <v/>
      </c>
      <c r="L1148" s="7" t="str">
        <f>IF(ISNA(MATCH(1139,'Transfer Engine'!$C$2:$C$1199,0)),"",INDEX('Compliance Database'!$L$2:$L$1199,MATCH(1139,'Transfer Engine'!$C$2:$C$1199,0)))</f>
        <v/>
      </c>
      <c r="M1148" s="7" t="str">
        <f>IF(ISNA(MATCH(1139,'Transfer Engine'!$C$2:$C$1199,0)),"",INDEX('Compliance Database'!$M$2:$M$1199,MATCH(1139,'Transfer Engine'!$C$2:$C$1199,0)))</f>
        <v/>
      </c>
      <c r="N1148" s="7" t="str">
        <f>IF(ISNA(MATCH(1139,'Transfer Engine'!$C$2:$C$1199,0)),"",INDEX('Compliance Database'!$N$2:$N$1199,MATCH(1139,'Transfer Engine'!$C$2:$C$1199,0)))</f>
        <v/>
      </c>
      <c r="O1148" s="7" t="str">
        <f>IF(ISNA(MATCH(1139,'Transfer Engine'!$C$2:$C$1199,0)),"",INDEX('Compliance Database'!$O$2:$O$1199,MATCH(1139,'Transfer Engine'!$C$2:$C$1199,0)))</f>
        <v/>
      </c>
      <c r="P1148" s="6" t="str">
        <f>IF(ISNA(MATCH(1139,'Transfer Engine'!$C$2:$C$1199,0)),"",HYPERLINK("#Acts!A"&amp;INDEX('Compliance Database'!$P$2:$P$1199,MATCH(1139,'Transfer Engine'!$C$2:$C$1199,0)),"Go to Act"))</f>
        <v/>
      </c>
    </row>
    <row r="1149" spans="1:16" ht="172.95" customHeight="1" x14ac:dyDescent="0.3">
      <c r="A1149" s="6" t="str">
        <f>IF(ISNA(MATCH(1140,'Transfer Engine'!$C$2:$C$1199,0)),"",INDEX('Compliance Database'!$A$2:$A$1199,MATCH(1140,'Transfer Engine'!$C$2:$C$1199,0)))</f>
        <v/>
      </c>
      <c r="B1149" s="6" t="str">
        <f>IF(ISNA(MATCH(1140,'Transfer Engine'!$C$2:$C$1199,0)),"",INDEX('Compliance Database'!$B$2:$B$1199,MATCH(1140,'Transfer Engine'!$C$2:$C$1199,0)))</f>
        <v/>
      </c>
      <c r="C1149" s="6" t="str">
        <f>IF(ISNA(MATCH(1140,'Transfer Engine'!$C$2:$C$1199,0)),"",INDEX('Compliance Database'!$C$2:$C$1199,MATCH(1140,'Transfer Engine'!$C$2:$C$1199,0)))</f>
        <v/>
      </c>
      <c r="D1149" s="7" t="str">
        <f>IF(ISNA(MATCH(1140,'Transfer Engine'!$C$2:$C$1199,0)),"",INDEX('Compliance Database'!$D$2:$D$1199,MATCH(1140,'Transfer Engine'!$C$2:$C$1199,0)))</f>
        <v/>
      </c>
      <c r="E1149" s="6" t="str">
        <f>IF(ISNA(MATCH(1140,'Transfer Engine'!$C$2:$C$1199,0)),"",INDEX('Compliance Database'!$E$2:$E$1199,MATCH(1140,'Transfer Engine'!$C$2:$C$1199,0)))</f>
        <v/>
      </c>
      <c r="F1149" s="6" t="str">
        <f>IF(ISNA(MATCH(1140,'Transfer Engine'!$C$2:$C$1199,0)),"",INDEX('Compliance Database'!$F$2:$F$1199,MATCH(1140,'Transfer Engine'!$C$2:$C$1199,0)))</f>
        <v/>
      </c>
      <c r="G1149" s="6" t="str">
        <f>IF(ISNA(MATCH(1140,'Transfer Engine'!$C$2:$C$1199,0)),"",INDEX('Compliance Database'!$G$2:$G$1199,MATCH(1140,'Transfer Engine'!$C$2:$C$1199,0)))</f>
        <v/>
      </c>
      <c r="H1149" s="7" t="str">
        <f>IF(ISNA(MATCH(1140,'Transfer Engine'!$C$2:$C$1199,0)),"",INDEX('Compliance Database'!$H$2:$H$1199,MATCH(1140,'Transfer Engine'!$C$2:$C$1199,0)))</f>
        <v/>
      </c>
      <c r="I1149" s="7" t="str">
        <f>IF(ISNA(MATCH(1140,'Transfer Engine'!$C$2:$C$1199,0)),"",INDEX('Compliance Database'!$I$2:$I$1199,MATCH(1140,'Transfer Engine'!$C$2:$C$1199,0)))</f>
        <v/>
      </c>
      <c r="J1149" s="6" t="str">
        <f>IF(ISNA(MATCH(1140,'Transfer Engine'!$C$2:$C$1199,0)),"",INDEX('Compliance Database'!$J$2:$J$1199,MATCH(1140,'Transfer Engine'!$C$2:$C$1199,0)))</f>
        <v/>
      </c>
      <c r="K1149" s="7" t="str">
        <f>IF(ISNA(MATCH(1140,'Transfer Engine'!$C$2:$C$1199,0)),"",INDEX('Compliance Database'!$K$2:$K$1199,MATCH(1140,'Transfer Engine'!$C$2:$C$1199,0)))</f>
        <v/>
      </c>
      <c r="L1149" s="7" t="str">
        <f>IF(ISNA(MATCH(1140,'Transfer Engine'!$C$2:$C$1199,0)),"",INDEX('Compliance Database'!$L$2:$L$1199,MATCH(1140,'Transfer Engine'!$C$2:$C$1199,0)))</f>
        <v/>
      </c>
      <c r="M1149" s="7" t="str">
        <f>IF(ISNA(MATCH(1140,'Transfer Engine'!$C$2:$C$1199,0)),"",INDEX('Compliance Database'!$M$2:$M$1199,MATCH(1140,'Transfer Engine'!$C$2:$C$1199,0)))</f>
        <v/>
      </c>
      <c r="N1149" s="7" t="str">
        <f>IF(ISNA(MATCH(1140,'Transfer Engine'!$C$2:$C$1199,0)),"",INDEX('Compliance Database'!$N$2:$N$1199,MATCH(1140,'Transfer Engine'!$C$2:$C$1199,0)))</f>
        <v/>
      </c>
      <c r="O1149" s="7" t="str">
        <f>IF(ISNA(MATCH(1140,'Transfer Engine'!$C$2:$C$1199,0)),"",INDEX('Compliance Database'!$O$2:$O$1199,MATCH(1140,'Transfer Engine'!$C$2:$C$1199,0)))</f>
        <v/>
      </c>
      <c r="P1149" s="6" t="str">
        <f>IF(ISNA(MATCH(1140,'Transfer Engine'!$C$2:$C$1199,0)),"",HYPERLINK("#Acts!A"&amp;INDEX('Compliance Database'!$P$2:$P$1199,MATCH(1140,'Transfer Engine'!$C$2:$C$1199,0)),"Go to Act"))</f>
        <v/>
      </c>
    </row>
    <row r="1150" spans="1:16" ht="172.95" customHeight="1" x14ac:dyDescent="0.3">
      <c r="A1150" s="6" t="str">
        <f>IF(ISNA(MATCH(1141,'Transfer Engine'!$C$2:$C$1199,0)),"",INDEX('Compliance Database'!$A$2:$A$1199,MATCH(1141,'Transfer Engine'!$C$2:$C$1199,0)))</f>
        <v/>
      </c>
      <c r="B1150" s="6" t="str">
        <f>IF(ISNA(MATCH(1141,'Transfer Engine'!$C$2:$C$1199,0)),"",INDEX('Compliance Database'!$B$2:$B$1199,MATCH(1141,'Transfer Engine'!$C$2:$C$1199,0)))</f>
        <v/>
      </c>
      <c r="C1150" s="6" t="str">
        <f>IF(ISNA(MATCH(1141,'Transfer Engine'!$C$2:$C$1199,0)),"",INDEX('Compliance Database'!$C$2:$C$1199,MATCH(1141,'Transfer Engine'!$C$2:$C$1199,0)))</f>
        <v/>
      </c>
      <c r="D1150" s="7" t="str">
        <f>IF(ISNA(MATCH(1141,'Transfer Engine'!$C$2:$C$1199,0)),"",INDEX('Compliance Database'!$D$2:$D$1199,MATCH(1141,'Transfer Engine'!$C$2:$C$1199,0)))</f>
        <v/>
      </c>
      <c r="E1150" s="6" t="str">
        <f>IF(ISNA(MATCH(1141,'Transfer Engine'!$C$2:$C$1199,0)),"",INDEX('Compliance Database'!$E$2:$E$1199,MATCH(1141,'Transfer Engine'!$C$2:$C$1199,0)))</f>
        <v/>
      </c>
      <c r="F1150" s="6" t="str">
        <f>IF(ISNA(MATCH(1141,'Transfer Engine'!$C$2:$C$1199,0)),"",INDEX('Compliance Database'!$F$2:$F$1199,MATCH(1141,'Transfer Engine'!$C$2:$C$1199,0)))</f>
        <v/>
      </c>
      <c r="G1150" s="6" t="str">
        <f>IF(ISNA(MATCH(1141,'Transfer Engine'!$C$2:$C$1199,0)),"",INDEX('Compliance Database'!$G$2:$G$1199,MATCH(1141,'Transfer Engine'!$C$2:$C$1199,0)))</f>
        <v/>
      </c>
      <c r="H1150" s="7" t="str">
        <f>IF(ISNA(MATCH(1141,'Transfer Engine'!$C$2:$C$1199,0)),"",INDEX('Compliance Database'!$H$2:$H$1199,MATCH(1141,'Transfer Engine'!$C$2:$C$1199,0)))</f>
        <v/>
      </c>
      <c r="I1150" s="7" t="str">
        <f>IF(ISNA(MATCH(1141,'Transfer Engine'!$C$2:$C$1199,0)),"",INDEX('Compliance Database'!$I$2:$I$1199,MATCH(1141,'Transfer Engine'!$C$2:$C$1199,0)))</f>
        <v/>
      </c>
      <c r="J1150" s="6" t="str">
        <f>IF(ISNA(MATCH(1141,'Transfer Engine'!$C$2:$C$1199,0)),"",INDEX('Compliance Database'!$J$2:$J$1199,MATCH(1141,'Transfer Engine'!$C$2:$C$1199,0)))</f>
        <v/>
      </c>
      <c r="K1150" s="7" t="str">
        <f>IF(ISNA(MATCH(1141,'Transfer Engine'!$C$2:$C$1199,0)),"",INDEX('Compliance Database'!$K$2:$K$1199,MATCH(1141,'Transfer Engine'!$C$2:$C$1199,0)))</f>
        <v/>
      </c>
      <c r="L1150" s="7" t="str">
        <f>IF(ISNA(MATCH(1141,'Transfer Engine'!$C$2:$C$1199,0)),"",INDEX('Compliance Database'!$L$2:$L$1199,MATCH(1141,'Transfer Engine'!$C$2:$C$1199,0)))</f>
        <v/>
      </c>
      <c r="M1150" s="7" t="str">
        <f>IF(ISNA(MATCH(1141,'Transfer Engine'!$C$2:$C$1199,0)),"",INDEX('Compliance Database'!$M$2:$M$1199,MATCH(1141,'Transfer Engine'!$C$2:$C$1199,0)))</f>
        <v/>
      </c>
      <c r="N1150" s="7" t="str">
        <f>IF(ISNA(MATCH(1141,'Transfer Engine'!$C$2:$C$1199,0)),"",INDEX('Compliance Database'!$N$2:$N$1199,MATCH(1141,'Transfer Engine'!$C$2:$C$1199,0)))</f>
        <v/>
      </c>
      <c r="O1150" s="7" t="str">
        <f>IF(ISNA(MATCH(1141,'Transfer Engine'!$C$2:$C$1199,0)),"",INDEX('Compliance Database'!$O$2:$O$1199,MATCH(1141,'Transfer Engine'!$C$2:$C$1199,0)))</f>
        <v/>
      </c>
      <c r="P1150" s="6" t="str">
        <f>IF(ISNA(MATCH(1141,'Transfer Engine'!$C$2:$C$1199,0)),"",HYPERLINK("#Acts!A"&amp;INDEX('Compliance Database'!$P$2:$P$1199,MATCH(1141,'Transfer Engine'!$C$2:$C$1199,0)),"Go to Act"))</f>
        <v/>
      </c>
    </row>
    <row r="1151" spans="1:16" ht="172.95" customHeight="1" x14ac:dyDescent="0.3">
      <c r="A1151" s="6" t="str">
        <f>IF(ISNA(MATCH(1142,'Transfer Engine'!$C$2:$C$1199,0)),"",INDEX('Compliance Database'!$A$2:$A$1199,MATCH(1142,'Transfer Engine'!$C$2:$C$1199,0)))</f>
        <v/>
      </c>
      <c r="B1151" s="6" t="str">
        <f>IF(ISNA(MATCH(1142,'Transfer Engine'!$C$2:$C$1199,0)),"",INDEX('Compliance Database'!$B$2:$B$1199,MATCH(1142,'Transfer Engine'!$C$2:$C$1199,0)))</f>
        <v/>
      </c>
      <c r="C1151" s="6" t="str">
        <f>IF(ISNA(MATCH(1142,'Transfer Engine'!$C$2:$C$1199,0)),"",INDEX('Compliance Database'!$C$2:$C$1199,MATCH(1142,'Transfer Engine'!$C$2:$C$1199,0)))</f>
        <v/>
      </c>
      <c r="D1151" s="7" t="str">
        <f>IF(ISNA(MATCH(1142,'Transfer Engine'!$C$2:$C$1199,0)),"",INDEX('Compliance Database'!$D$2:$D$1199,MATCH(1142,'Transfer Engine'!$C$2:$C$1199,0)))</f>
        <v/>
      </c>
      <c r="E1151" s="6" t="str">
        <f>IF(ISNA(MATCH(1142,'Transfer Engine'!$C$2:$C$1199,0)),"",INDEX('Compliance Database'!$E$2:$E$1199,MATCH(1142,'Transfer Engine'!$C$2:$C$1199,0)))</f>
        <v/>
      </c>
      <c r="F1151" s="6" t="str">
        <f>IF(ISNA(MATCH(1142,'Transfer Engine'!$C$2:$C$1199,0)),"",INDEX('Compliance Database'!$F$2:$F$1199,MATCH(1142,'Transfer Engine'!$C$2:$C$1199,0)))</f>
        <v/>
      </c>
      <c r="G1151" s="6" t="str">
        <f>IF(ISNA(MATCH(1142,'Transfer Engine'!$C$2:$C$1199,0)),"",INDEX('Compliance Database'!$G$2:$G$1199,MATCH(1142,'Transfer Engine'!$C$2:$C$1199,0)))</f>
        <v/>
      </c>
      <c r="H1151" s="7" t="str">
        <f>IF(ISNA(MATCH(1142,'Transfer Engine'!$C$2:$C$1199,0)),"",INDEX('Compliance Database'!$H$2:$H$1199,MATCH(1142,'Transfer Engine'!$C$2:$C$1199,0)))</f>
        <v/>
      </c>
      <c r="I1151" s="7" t="str">
        <f>IF(ISNA(MATCH(1142,'Transfer Engine'!$C$2:$C$1199,0)),"",INDEX('Compliance Database'!$I$2:$I$1199,MATCH(1142,'Transfer Engine'!$C$2:$C$1199,0)))</f>
        <v/>
      </c>
      <c r="J1151" s="6" t="str">
        <f>IF(ISNA(MATCH(1142,'Transfer Engine'!$C$2:$C$1199,0)),"",INDEX('Compliance Database'!$J$2:$J$1199,MATCH(1142,'Transfer Engine'!$C$2:$C$1199,0)))</f>
        <v/>
      </c>
      <c r="K1151" s="7" t="str">
        <f>IF(ISNA(MATCH(1142,'Transfer Engine'!$C$2:$C$1199,0)),"",INDEX('Compliance Database'!$K$2:$K$1199,MATCH(1142,'Transfer Engine'!$C$2:$C$1199,0)))</f>
        <v/>
      </c>
      <c r="L1151" s="7" t="str">
        <f>IF(ISNA(MATCH(1142,'Transfer Engine'!$C$2:$C$1199,0)),"",INDEX('Compliance Database'!$L$2:$L$1199,MATCH(1142,'Transfer Engine'!$C$2:$C$1199,0)))</f>
        <v/>
      </c>
      <c r="M1151" s="7" t="str">
        <f>IF(ISNA(MATCH(1142,'Transfer Engine'!$C$2:$C$1199,0)),"",INDEX('Compliance Database'!$M$2:$M$1199,MATCH(1142,'Transfer Engine'!$C$2:$C$1199,0)))</f>
        <v/>
      </c>
      <c r="N1151" s="7" t="str">
        <f>IF(ISNA(MATCH(1142,'Transfer Engine'!$C$2:$C$1199,0)),"",INDEX('Compliance Database'!$N$2:$N$1199,MATCH(1142,'Transfer Engine'!$C$2:$C$1199,0)))</f>
        <v/>
      </c>
      <c r="O1151" s="7" t="str">
        <f>IF(ISNA(MATCH(1142,'Transfer Engine'!$C$2:$C$1199,0)),"",INDEX('Compliance Database'!$O$2:$O$1199,MATCH(1142,'Transfer Engine'!$C$2:$C$1199,0)))</f>
        <v/>
      </c>
      <c r="P1151" s="6" t="str">
        <f>IF(ISNA(MATCH(1142,'Transfer Engine'!$C$2:$C$1199,0)),"",HYPERLINK("#Acts!A"&amp;INDEX('Compliance Database'!$P$2:$P$1199,MATCH(1142,'Transfer Engine'!$C$2:$C$1199,0)),"Go to Act"))</f>
        <v/>
      </c>
    </row>
    <row r="1152" spans="1:16" ht="172.95" customHeight="1" x14ac:dyDescent="0.3">
      <c r="A1152" s="6" t="str">
        <f>IF(ISNA(MATCH(1143,'Transfer Engine'!$C$2:$C$1199,0)),"",INDEX('Compliance Database'!$A$2:$A$1199,MATCH(1143,'Transfer Engine'!$C$2:$C$1199,0)))</f>
        <v/>
      </c>
      <c r="B1152" s="6" t="str">
        <f>IF(ISNA(MATCH(1143,'Transfer Engine'!$C$2:$C$1199,0)),"",INDEX('Compliance Database'!$B$2:$B$1199,MATCH(1143,'Transfer Engine'!$C$2:$C$1199,0)))</f>
        <v/>
      </c>
      <c r="C1152" s="6" t="str">
        <f>IF(ISNA(MATCH(1143,'Transfer Engine'!$C$2:$C$1199,0)),"",INDEX('Compliance Database'!$C$2:$C$1199,MATCH(1143,'Transfer Engine'!$C$2:$C$1199,0)))</f>
        <v/>
      </c>
      <c r="D1152" s="7" t="str">
        <f>IF(ISNA(MATCH(1143,'Transfer Engine'!$C$2:$C$1199,0)),"",INDEX('Compliance Database'!$D$2:$D$1199,MATCH(1143,'Transfer Engine'!$C$2:$C$1199,0)))</f>
        <v/>
      </c>
      <c r="E1152" s="6" t="str">
        <f>IF(ISNA(MATCH(1143,'Transfer Engine'!$C$2:$C$1199,0)),"",INDEX('Compliance Database'!$E$2:$E$1199,MATCH(1143,'Transfer Engine'!$C$2:$C$1199,0)))</f>
        <v/>
      </c>
      <c r="F1152" s="6" t="str">
        <f>IF(ISNA(MATCH(1143,'Transfer Engine'!$C$2:$C$1199,0)),"",INDEX('Compliance Database'!$F$2:$F$1199,MATCH(1143,'Transfer Engine'!$C$2:$C$1199,0)))</f>
        <v/>
      </c>
      <c r="G1152" s="6" t="str">
        <f>IF(ISNA(MATCH(1143,'Transfer Engine'!$C$2:$C$1199,0)),"",INDEX('Compliance Database'!$G$2:$G$1199,MATCH(1143,'Transfer Engine'!$C$2:$C$1199,0)))</f>
        <v/>
      </c>
      <c r="H1152" s="7" t="str">
        <f>IF(ISNA(MATCH(1143,'Transfer Engine'!$C$2:$C$1199,0)),"",INDEX('Compliance Database'!$H$2:$H$1199,MATCH(1143,'Transfer Engine'!$C$2:$C$1199,0)))</f>
        <v/>
      </c>
      <c r="I1152" s="7" t="str">
        <f>IF(ISNA(MATCH(1143,'Transfer Engine'!$C$2:$C$1199,0)),"",INDEX('Compliance Database'!$I$2:$I$1199,MATCH(1143,'Transfer Engine'!$C$2:$C$1199,0)))</f>
        <v/>
      </c>
      <c r="J1152" s="6" t="str">
        <f>IF(ISNA(MATCH(1143,'Transfer Engine'!$C$2:$C$1199,0)),"",INDEX('Compliance Database'!$J$2:$J$1199,MATCH(1143,'Transfer Engine'!$C$2:$C$1199,0)))</f>
        <v/>
      </c>
      <c r="K1152" s="7" t="str">
        <f>IF(ISNA(MATCH(1143,'Transfer Engine'!$C$2:$C$1199,0)),"",INDEX('Compliance Database'!$K$2:$K$1199,MATCH(1143,'Transfer Engine'!$C$2:$C$1199,0)))</f>
        <v/>
      </c>
      <c r="L1152" s="7" t="str">
        <f>IF(ISNA(MATCH(1143,'Transfer Engine'!$C$2:$C$1199,0)),"",INDEX('Compliance Database'!$L$2:$L$1199,MATCH(1143,'Transfer Engine'!$C$2:$C$1199,0)))</f>
        <v/>
      </c>
      <c r="M1152" s="7" t="str">
        <f>IF(ISNA(MATCH(1143,'Transfer Engine'!$C$2:$C$1199,0)),"",INDEX('Compliance Database'!$M$2:$M$1199,MATCH(1143,'Transfer Engine'!$C$2:$C$1199,0)))</f>
        <v/>
      </c>
      <c r="N1152" s="7" t="str">
        <f>IF(ISNA(MATCH(1143,'Transfer Engine'!$C$2:$C$1199,0)),"",INDEX('Compliance Database'!$N$2:$N$1199,MATCH(1143,'Transfer Engine'!$C$2:$C$1199,0)))</f>
        <v/>
      </c>
      <c r="O1152" s="7" t="str">
        <f>IF(ISNA(MATCH(1143,'Transfer Engine'!$C$2:$C$1199,0)),"",INDEX('Compliance Database'!$O$2:$O$1199,MATCH(1143,'Transfer Engine'!$C$2:$C$1199,0)))</f>
        <v/>
      </c>
      <c r="P1152" s="6" t="str">
        <f>IF(ISNA(MATCH(1143,'Transfer Engine'!$C$2:$C$1199,0)),"",HYPERLINK("#Acts!A"&amp;INDEX('Compliance Database'!$P$2:$P$1199,MATCH(1143,'Transfer Engine'!$C$2:$C$1199,0)),"Go to Act"))</f>
        <v/>
      </c>
    </row>
    <row r="1153" spans="1:16" ht="172.95" customHeight="1" x14ac:dyDescent="0.3">
      <c r="A1153" s="6" t="str">
        <f>IF(ISNA(MATCH(1144,'Transfer Engine'!$C$2:$C$1199,0)),"",INDEX('Compliance Database'!$A$2:$A$1199,MATCH(1144,'Transfer Engine'!$C$2:$C$1199,0)))</f>
        <v/>
      </c>
      <c r="B1153" s="6" t="str">
        <f>IF(ISNA(MATCH(1144,'Transfer Engine'!$C$2:$C$1199,0)),"",INDEX('Compliance Database'!$B$2:$B$1199,MATCH(1144,'Transfer Engine'!$C$2:$C$1199,0)))</f>
        <v/>
      </c>
      <c r="C1153" s="6" t="str">
        <f>IF(ISNA(MATCH(1144,'Transfer Engine'!$C$2:$C$1199,0)),"",INDEX('Compliance Database'!$C$2:$C$1199,MATCH(1144,'Transfer Engine'!$C$2:$C$1199,0)))</f>
        <v/>
      </c>
      <c r="D1153" s="7" t="str">
        <f>IF(ISNA(MATCH(1144,'Transfer Engine'!$C$2:$C$1199,0)),"",INDEX('Compliance Database'!$D$2:$D$1199,MATCH(1144,'Transfer Engine'!$C$2:$C$1199,0)))</f>
        <v/>
      </c>
      <c r="E1153" s="6" t="str">
        <f>IF(ISNA(MATCH(1144,'Transfer Engine'!$C$2:$C$1199,0)),"",INDEX('Compliance Database'!$E$2:$E$1199,MATCH(1144,'Transfer Engine'!$C$2:$C$1199,0)))</f>
        <v/>
      </c>
      <c r="F1153" s="6" t="str">
        <f>IF(ISNA(MATCH(1144,'Transfer Engine'!$C$2:$C$1199,0)),"",INDEX('Compliance Database'!$F$2:$F$1199,MATCH(1144,'Transfer Engine'!$C$2:$C$1199,0)))</f>
        <v/>
      </c>
      <c r="G1153" s="6" t="str">
        <f>IF(ISNA(MATCH(1144,'Transfer Engine'!$C$2:$C$1199,0)),"",INDEX('Compliance Database'!$G$2:$G$1199,MATCH(1144,'Transfer Engine'!$C$2:$C$1199,0)))</f>
        <v/>
      </c>
      <c r="H1153" s="7" t="str">
        <f>IF(ISNA(MATCH(1144,'Transfer Engine'!$C$2:$C$1199,0)),"",INDEX('Compliance Database'!$H$2:$H$1199,MATCH(1144,'Transfer Engine'!$C$2:$C$1199,0)))</f>
        <v/>
      </c>
      <c r="I1153" s="7" t="str">
        <f>IF(ISNA(MATCH(1144,'Transfer Engine'!$C$2:$C$1199,0)),"",INDEX('Compliance Database'!$I$2:$I$1199,MATCH(1144,'Transfer Engine'!$C$2:$C$1199,0)))</f>
        <v/>
      </c>
      <c r="J1153" s="6" t="str">
        <f>IF(ISNA(MATCH(1144,'Transfer Engine'!$C$2:$C$1199,0)),"",INDEX('Compliance Database'!$J$2:$J$1199,MATCH(1144,'Transfer Engine'!$C$2:$C$1199,0)))</f>
        <v/>
      </c>
      <c r="K1153" s="7" t="str">
        <f>IF(ISNA(MATCH(1144,'Transfer Engine'!$C$2:$C$1199,0)),"",INDEX('Compliance Database'!$K$2:$K$1199,MATCH(1144,'Transfer Engine'!$C$2:$C$1199,0)))</f>
        <v/>
      </c>
      <c r="L1153" s="7" t="str">
        <f>IF(ISNA(MATCH(1144,'Transfer Engine'!$C$2:$C$1199,0)),"",INDEX('Compliance Database'!$L$2:$L$1199,MATCH(1144,'Transfer Engine'!$C$2:$C$1199,0)))</f>
        <v/>
      </c>
      <c r="M1153" s="7" t="str">
        <f>IF(ISNA(MATCH(1144,'Transfer Engine'!$C$2:$C$1199,0)),"",INDEX('Compliance Database'!$M$2:$M$1199,MATCH(1144,'Transfer Engine'!$C$2:$C$1199,0)))</f>
        <v/>
      </c>
      <c r="N1153" s="7" t="str">
        <f>IF(ISNA(MATCH(1144,'Transfer Engine'!$C$2:$C$1199,0)),"",INDEX('Compliance Database'!$N$2:$N$1199,MATCH(1144,'Transfer Engine'!$C$2:$C$1199,0)))</f>
        <v/>
      </c>
      <c r="O1153" s="7" t="str">
        <f>IF(ISNA(MATCH(1144,'Transfer Engine'!$C$2:$C$1199,0)),"",INDEX('Compliance Database'!$O$2:$O$1199,MATCH(1144,'Transfer Engine'!$C$2:$C$1199,0)))</f>
        <v/>
      </c>
      <c r="P1153" s="6" t="str">
        <f>IF(ISNA(MATCH(1144,'Transfer Engine'!$C$2:$C$1199,0)),"",HYPERLINK("#Acts!A"&amp;INDEX('Compliance Database'!$P$2:$P$1199,MATCH(1144,'Transfer Engine'!$C$2:$C$1199,0)),"Go to Act"))</f>
        <v/>
      </c>
    </row>
    <row r="1154" spans="1:16" ht="172.95" customHeight="1" x14ac:dyDescent="0.3">
      <c r="A1154" s="6" t="str">
        <f>IF(ISNA(MATCH(1145,'Transfer Engine'!$C$2:$C$1199,0)),"",INDEX('Compliance Database'!$A$2:$A$1199,MATCH(1145,'Transfer Engine'!$C$2:$C$1199,0)))</f>
        <v/>
      </c>
      <c r="B1154" s="6" t="str">
        <f>IF(ISNA(MATCH(1145,'Transfer Engine'!$C$2:$C$1199,0)),"",INDEX('Compliance Database'!$B$2:$B$1199,MATCH(1145,'Transfer Engine'!$C$2:$C$1199,0)))</f>
        <v/>
      </c>
      <c r="C1154" s="6" t="str">
        <f>IF(ISNA(MATCH(1145,'Transfer Engine'!$C$2:$C$1199,0)),"",INDEX('Compliance Database'!$C$2:$C$1199,MATCH(1145,'Transfer Engine'!$C$2:$C$1199,0)))</f>
        <v/>
      </c>
      <c r="D1154" s="7" t="str">
        <f>IF(ISNA(MATCH(1145,'Transfer Engine'!$C$2:$C$1199,0)),"",INDEX('Compliance Database'!$D$2:$D$1199,MATCH(1145,'Transfer Engine'!$C$2:$C$1199,0)))</f>
        <v/>
      </c>
      <c r="E1154" s="6" t="str">
        <f>IF(ISNA(MATCH(1145,'Transfer Engine'!$C$2:$C$1199,0)),"",INDEX('Compliance Database'!$E$2:$E$1199,MATCH(1145,'Transfer Engine'!$C$2:$C$1199,0)))</f>
        <v/>
      </c>
      <c r="F1154" s="6" t="str">
        <f>IF(ISNA(MATCH(1145,'Transfer Engine'!$C$2:$C$1199,0)),"",INDEX('Compliance Database'!$F$2:$F$1199,MATCH(1145,'Transfer Engine'!$C$2:$C$1199,0)))</f>
        <v/>
      </c>
      <c r="G1154" s="6" t="str">
        <f>IF(ISNA(MATCH(1145,'Transfer Engine'!$C$2:$C$1199,0)),"",INDEX('Compliance Database'!$G$2:$G$1199,MATCH(1145,'Transfer Engine'!$C$2:$C$1199,0)))</f>
        <v/>
      </c>
      <c r="H1154" s="7" t="str">
        <f>IF(ISNA(MATCH(1145,'Transfer Engine'!$C$2:$C$1199,0)),"",INDEX('Compliance Database'!$H$2:$H$1199,MATCH(1145,'Transfer Engine'!$C$2:$C$1199,0)))</f>
        <v/>
      </c>
      <c r="I1154" s="7" t="str">
        <f>IF(ISNA(MATCH(1145,'Transfer Engine'!$C$2:$C$1199,0)),"",INDEX('Compliance Database'!$I$2:$I$1199,MATCH(1145,'Transfer Engine'!$C$2:$C$1199,0)))</f>
        <v/>
      </c>
      <c r="J1154" s="6" t="str">
        <f>IF(ISNA(MATCH(1145,'Transfer Engine'!$C$2:$C$1199,0)),"",INDEX('Compliance Database'!$J$2:$J$1199,MATCH(1145,'Transfer Engine'!$C$2:$C$1199,0)))</f>
        <v/>
      </c>
      <c r="K1154" s="7" t="str">
        <f>IF(ISNA(MATCH(1145,'Transfer Engine'!$C$2:$C$1199,0)),"",INDEX('Compliance Database'!$K$2:$K$1199,MATCH(1145,'Transfer Engine'!$C$2:$C$1199,0)))</f>
        <v/>
      </c>
      <c r="L1154" s="7" t="str">
        <f>IF(ISNA(MATCH(1145,'Transfer Engine'!$C$2:$C$1199,0)),"",INDEX('Compliance Database'!$L$2:$L$1199,MATCH(1145,'Transfer Engine'!$C$2:$C$1199,0)))</f>
        <v/>
      </c>
      <c r="M1154" s="7" t="str">
        <f>IF(ISNA(MATCH(1145,'Transfer Engine'!$C$2:$C$1199,0)),"",INDEX('Compliance Database'!$M$2:$M$1199,MATCH(1145,'Transfer Engine'!$C$2:$C$1199,0)))</f>
        <v/>
      </c>
      <c r="N1154" s="7" t="str">
        <f>IF(ISNA(MATCH(1145,'Transfer Engine'!$C$2:$C$1199,0)),"",INDEX('Compliance Database'!$N$2:$N$1199,MATCH(1145,'Transfer Engine'!$C$2:$C$1199,0)))</f>
        <v/>
      </c>
      <c r="O1154" s="7" t="str">
        <f>IF(ISNA(MATCH(1145,'Transfer Engine'!$C$2:$C$1199,0)),"",INDEX('Compliance Database'!$O$2:$O$1199,MATCH(1145,'Transfer Engine'!$C$2:$C$1199,0)))</f>
        <v/>
      </c>
      <c r="P1154" s="6" t="str">
        <f>IF(ISNA(MATCH(1145,'Transfer Engine'!$C$2:$C$1199,0)),"",HYPERLINK("#Acts!A"&amp;INDEX('Compliance Database'!$P$2:$P$1199,MATCH(1145,'Transfer Engine'!$C$2:$C$1199,0)),"Go to Act"))</f>
        <v/>
      </c>
    </row>
    <row r="1155" spans="1:16" ht="172.95" customHeight="1" x14ac:dyDescent="0.3">
      <c r="A1155" s="6" t="str">
        <f>IF(ISNA(MATCH(1146,'Transfer Engine'!$C$2:$C$1199,0)),"",INDEX('Compliance Database'!$A$2:$A$1199,MATCH(1146,'Transfer Engine'!$C$2:$C$1199,0)))</f>
        <v/>
      </c>
      <c r="B1155" s="6" t="str">
        <f>IF(ISNA(MATCH(1146,'Transfer Engine'!$C$2:$C$1199,0)),"",INDEX('Compliance Database'!$B$2:$B$1199,MATCH(1146,'Transfer Engine'!$C$2:$C$1199,0)))</f>
        <v/>
      </c>
      <c r="C1155" s="6" t="str">
        <f>IF(ISNA(MATCH(1146,'Transfer Engine'!$C$2:$C$1199,0)),"",INDEX('Compliance Database'!$C$2:$C$1199,MATCH(1146,'Transfer Engine'!$C$2:$C$1199,0)))</f>
        <v/>
      </c>
      <c r="D1155" s="7" t="str">
        <f>IF(ISNA(MATCH(1146,'Transfer Engine'!$C$2:$C$1199,0)),"",INDEX('Compliance Database'!$D$2:$D$1199,MATCH(1146,'Transfer Engine'!$C$2:$C$1199,0)))</f>
        <v/>
      </c>
      <c r="E1155" s="6" t="str">
        <f>IF(ISNA(MATCH(1146,'Transfer Engine'!$C$2:$C$1199,0)),"",INDEX('Compliance Database'!$E$2:$E$1199,MATCH(1146,'Transfer Engine'!$C$2:$C$1199,0)))</f>
        <v/>
      </c>
      <c r="F1155" s="6" t="str">
        <f>IF(ISNA(MATCH(1146,'Transfer Engine'!$C$2:$C$1199,0)),"",INDEX('Compliance Database'!$F$2:$F$1199,MATCH(1146,'Transfer Engine'!$C$2:$C$1199,0)))</f>
        <v/>
      </c>
      <c r="G1155" s="6" t="str">
        <f>IF(ISNA(MATCH(1146,'Transfer Engine'!$C$2:$C$1199,0)),"",INDEX('Compliance Database'!$G$2:$G$1199,MATCH(1146,'Transfer Engine'!$C$2:$C$1199,0)))</f>
        <v/>
      </c>
      <c r="H1155" s="7" t="str">
        <f>IF(ISNA(MATCH(1146,'Transfer Engine'!$C$2:$C$1199,0)),"",INDEX('Compliance Database'!$H$2:$H$1199,MATCH(1146,'Transfer Engine'!$C$2:$C$1199,0)))</f>
        <v/>
      </c>
      <c r="I1155" s="7" t="str">
        <f>IF(ISNA(MATCH(1146,'Transfer Engine'!$C$2:$C$1199,0)),"",INDEX('Compliance Database'!$I$2:$I$1199,MATCH(1146,'Transfer Engine'!$C$2:$C$1199,0)))</f>
        <v/>
      </c>
      <c r="J1155" s="6" t="str">
        <f>IF(ISNA(MATCH(1146,'Transfer Engine'!$C$2:$C$1199,0)),"",INDEX('Compliance Database'!$J$2:$J$1199,MATCH(1146,'Transfer Engine'!$C$2:$C$1199,0)))</f>
        <v/>
      </c>
      <c r="K1155" s="7" t="str">
        <f>IF(ISNA(MATCH(1146,'Transfer Engine'!$C$2:$C$1199,0)),"",INDEX('Compliance Database'!$K$2:$K$1199,MATCH(1146,'Transfer Engine'!$C$2:$C$1199,0)))</f>
        <v/>
      </c>
      <c r="L1155" s="7" t="str">
        <f>IF(ISNA(MATCH(1146,'Transfer Engine'!$C$2:$C$1199,0)),"",INDEX('Compliance Database'!$L$2:$L$1199,MATCH(1146,'Transfer Engine'!$C$2:$C$1199,0)))</f>
        <v/>
      </c>
      <c r="M1155" s="7" t="str">
        <f>IF(ISNA(MATCH(1146,'Transfer Engine'!$C$2:$C$1199,0)),"",INDEX('Compliance Database'!$M$2:$M$1199,MATCH(1146,'Transfer Engine'!$C$2:$C$1199,0)))</f>
        <v/>
      </c>
      <c r="N1155" s="7" t="str">
        <f>IF(ISNA(MATCH(1146,'Transfer Engine'!$C$2:$C$1199,0)),"",INDEX('Compliance Database'!$N$2:$N$1199,MATCH(1146,'Transfer Engine'!$C$2:$C$1199,0)))</f>
        <v/>
      </c>
      <c r="O1155" s="7" t="str">
        <f>IF(ISNA(MATCH(1146,'Transfer Engine'!$C$2:$C$1199,0)),"",INDEX('Compliance Database'!$O$2:$O$1199,MATCH(1146,'Transfer Engine'!$C$2:$C$1199,0)))</f>
        <v/>
      </c>
      <c r="P1155" s="6" t="str">
        <f>IF(ISNA(MATCH(1146,'Transfer Engine'!$C$2:$C$1199,0)),"",HYPERLINK("#Acts!A"&amp;INDEX('Compliance Database'!$P$2:$P$1199,MATCH(1146,'Transfer Engine'!$C$2:$C$1199,0)),"Go to Act"))</f>
        <v/>
      </c>
    </row>
    <row r="1156" spans="1:16" ht="172.95" customHeight="1" x14ac:dyDescent="0.3">
      <c r="A1156" s="6" t="str">
        <f>IF(ISNA(MATCH(1147,'Transfer Engine'!$C$2:$C$1199,0)),"",INDEX('Compliance Database'!$A$2:$A$1199,MATCH(1147,'Transfer Engine'!$C$2:$C$1199,0)))</f>
        <v/>
      </c>
      <c r="B1156" s="6" t="str">
        <f>IF(ISNA(MATCH(1147,'Transfer Engine'!$C$2:$C$1199,0)),"",INDEX('Compliance Database'!$B$2:$B$1199,MATCH(1147,'Transfer Engine'!$C$2:$C$1199,0)))</f>
        <v/>
      </c>
      <c r="C1156" s="6" t="str">
        <f>IF(ISNA(MATCH(1147,'Transfer Engine'!$C$2:$C$1199,0)),"",INDEX('Compliance Database'!$C$2:$C$1199,MATCH(1147,'Transfer Engine'!$C$2:$C$1199,0)))</f>
        <v/>
      </c>
      <c r="D1156" s="7" t="str">
        <f>IF(ISNA(MATCH(1147,'Transfer Engine'!$C$2:$C$1199,0)),"",INDEX('Compliance Database'!$D$2:$D$1199,MATCH(1147,'Transfer Engine'!$C$2:$C$1199,0)))</f>
        <v/>
      </c>
      <c r="E1156" s="6" t="str">
        <f>IF(ISNA(MATCH(1147,'Transfer Engine'!$C$2:$C$1199,0)),"",INDEX('Compliance Database'!$E$2:$E$1199,MATCH(1147,'Transfer Engine'!$C$2:$C$1199,0)))</f>
        <v/>
      </c>
      <c r="F1156" s="6" t="str">
        <f>IF(ISNA(MATCH(1147,'Transfer Engine'!$C$2:$C$1199,0)),"",INDEX('Compliance Database'!$F$2:$F$1199,MATCH(1147,'Transfer Engine'!$C$2:$C$1199,0)))</f>
        <v/>
      </c>
      <c r="G1156" s="6" t="str">
        <f>IF(ISNA(MATCH(1147,'Transfer Engine'!$C$2:$C$1199,0)),"",INDEX('Compliance Database'!$G$2:$G$1199,MATCH(1147,'Transfer Engine'!$C$2:$C$1199,0)))</f>
        <v/>
      </c>
      <c r="H1156" s="7" t="str">
        <f>IF(ISNA(MATCH(1147,'Transfer Engine'!$C$2:$C$1199,0)),"",INDEX('Compliance Database'!$H$2:$H$1199,MATCH(1147,'Transfer Engine'!$C$2:$C$1199,0)))</f>
        <v/>
      </c>
      <c r="I1156" s="7" t="str">
        <f>IF(ISNA(MATCH(1147,'Transfer Engine'!$C$2:$C$1199,0)),"",INDEX('Compliance Database'!$I$2:$I$1199,MATCH(1147,'Transfer Engine'!$C$2:$C$1199,0)))</f>
        <v/>
      </c>
      <c r="J1156" s="6" t="str">
        <f>IF(ISNA(MATCH(1147,'Transfer Engine'!$C$2:$C$1199,0)),"",INDEX('Compliance Database'!$J$2:$J$1199,MATCH(1147,'Transfer Engine'!$C$2:$C$1199,0)))</f>
        <v/>
      </c>
      <c r="K1156" s="7" t="str">
        <f>IF(ISNA(MATCH(1147,'Transfer Engine'!$C$2:$C$1199,0)),"",INDEX('Compliance Database'!$K$2:$K$1199,MATCH(1147,'Transfer Engine'!$C$2:$C$1199,0)))</f>
        <v/>
      </c>
      <c r="L1156" s="7" t="str">
        <f>IF(ISNA(MATCH(1147,'Transfer Engine'!$C$2:$C$1199,0)),"",INDEX('Compliance Database'!$L$2:$L$1199,MATCH(1147,'Transfer Engine'!$C$2:$C$1199,0)))</f>
        <v/>
      </c>
      <c r="M1156" s="7" t="str">
        <f>IF(ISNA(MATCH(1147,'Transfer Engine'!$C$2:$C$1199,0)),"",INDEX('Compliance Database'!$M$2:$M$1199,MATCH(1147,'Transfer Engine'!$C$2:$C$1199,0)))</f>
        <v/>
      </c>
      <c r="N1156" s="7" t="str">
        <f>IF(ISNA(MATCH(1147,'Transfer Engine'!$C$2:$C$1199,0)),"",INDEX('Compliance Database'!$N$2:$N$1199,MATCH(1147,'Transfer Engine'!$C$2:$C$1199,0)))</f>
        <v/>
      </c>
      <c r="O1156" s="7" t="str">
        <f>IF(ISNA(MATCH(1147,'Transfer Engine'!$C$2:$C$1199,0)),"",INDEX('Compliance Database'!$O$2:$O$1199,MATCH(1147,'Transfer Engine'!$C$2:$C$1199,0)))</f>
        <v/>
      </c>
      <c r="P1156" s="6" t="str">
        <f>IF(ISNA(MATCH(1147,'Transfer Engine'!$C$2:$C$1199,0)),"",HYPERLINK("#Acts!A"&amp;INDEX('Compliance Database'!$P$2:$P$1199,MATCH(1147,'Transfer Engine'!$C$2:$C$1199,0)),"Go to Act"))</f>
        <v/>
      </c>
    </row>
    <row r="1157" spans="1:16" ht="172.95" customHeight="1" x14ac:dyDescent="0.3">
      <c r="A1157" s="6" t="str">
        <f>IF(ISNA(MATCH(1148,'Transfer Engine'!$C$2:$C$1199,0)),"",INDEX('Compliance Database'!$A$2:$A$1199,MATCH(1148,'Transfer Engine'!$C$2:$C$1199,0)))</f>
        <v/>
      </c>
      <c r="B1157" s="6" t="str">
        <f>IF(ISNA(MATCH(1148,'Transfer Engine'!$C$2:$C$1199,0)),"",INDEX('Compliance Database'!$B$2:$B$1199,MATCH(1148,'Transfer Engine'!$C$2:$C$1199,0)))</f>
        <v/>
      </c>
      <c r="C1157" s="6" t="str">
        <f>IF(ISNA(MATCH(1148,'Transfer Engine'!$C$2:$C$1199,0)),"",INDEX('Compliance Database'!$C$2:$C$1199,MATCH(1148,'Transfer Engine'!$C$2:$C$1199,0)))</f>
        <v/>
      </c>
      <c r="D1157" s="7" t="str">
        <f>IF(ISNA(MATCH(1148,'Transfer Engine'!$C$2:$C$1199,0)),"",INDEX('Compliance Database'!$D$2:$D$1199,MATCH(1148,'Transfer Engine'!$C$2:$C$1199,0)))</f>
        <v/>
      </c>
      <c r="E1157" s="6" t="str">
        <f>IF(ISNA(MATCH(1148,'Transfer Engine'!$C$2:$C$1199,0)),"",INDEX('Compliance Database'!$E$2:$E$1199,MATCH(1148,'Transfer Engine'!$C$2:$C$1199,0)))</f>
        <v/>
      </c>
      <c r="F1157" s="6" t="str">
        <f>IF(ISNA(MATCH(1148,'Transfer Engine'!$C$2:$C$1199,0)),"",INDEX('Compliance Database'!$F$2:$F$1199,MATCH(1148,'Transfer Engine'!$C$2:$C$1199,0)))</f>
        <v/>
      </c>
      <c r="G1157" s="6" t="str">
        <f>IF(ISNA(MATCH(1148,'Transfer Engine'!$C$2:$C$1199,0)),"",INDEX('Compliance Database'!$G$2:$G$1199,MATCH(1148,'Transfer Engine'!$C$2:$C$1199,0)))</f>
        <v/>
      </c>
      <c r="H1157" s="7" t="str">
        <f>IF(ISNA(MATCH(1148,'Transfer Engine'!$C$2:$C$1199,0)),"",INDEX('Compliance Database'!$H$2:$H$1199,MATCH(1148,'Transfer Engine'!$C$2:$C$1199,0)))</f>
        <v/>
      </c>
      <c r="I1157" s="7" t="str">
        <f>IF(ISNA(MATCH(1148,'Transfer Engine'!$C$2:$C$1199,0)),"",INDEX('Compliance Database'!$I$2:$I$1199,MATCH(1148,'Transfer Engine'!$C$2:$C$1199,0)))</f>
        <v/>
      </c>
      <c r="J1157" s="6" t="str">
        <f>IF(ISNA(MATCH(1148,'Transfer Engine'!$C$2:$C$1199,0)),"",INDEX('Compliance Database'!$J$2:$J$1199,MATCH(1148,'Transfer Engine'!$C$2:$C$1199,0)))</f>
        <v/>
      </c>
      <c r="K1157" s="7" t="str">
        <f>IF(ISNA(MATCH(1148,'Transfer Engine'!$C$2:$C$1199,0)),"",INDEX('Compliance Database'!$K$2:$K$1199,MATCH(1148,'Transfer Engine'!$C$2:$C$1199,0)))</f>
        <v/>
      </c>
      <c r="L1157" s="7" t="str">
        <f>IF(ISNA(MATCH(1148,'Transfer Engine'!$C$2:$C$1199,0)),"",INDEX('Compliance Database'!$L$2:$L$1199,MATCH(1148,'Transfer Engine'!$C$2:$C$1199,0)))</f>
        <v/>
      </c>
      <c r="M1157" s="7" t="str">
        <f>IF(ISNA(MATCH(1148,'Transfer Engine'!$C$2:$C$1199,0)),"",INDEX('Compliance Database'!$M$2:$M$1199,MATCH(1148,'Transfer Engine'!$C$2:$C$1199,0)))</f>
        <v/>
      </c>
      <c r="N1157" s="7" t="str">
        <f>IF(ISNA(MATCH(1148,'Transfer Engine'!$C$2:$C$1199,0)),"",INDEX('Compliance Database'!$N$2:$N$1199,MATCH(1148,'Transfer Engine'!$C$2:$C$1199,0)))</f>
        <v/>
      </c>
      <c r="O1157" s="7" t="str">
        <f>IF(ISNA(MATCH(1148,'Transfer Engine'!$C$2:$C$1199,0)),"",INDEX('Compliance Database'!$O$2:$O$1199,MATCH(1148,'Transfer Engine'!$C$2:$C$1199,0)))</f>
        <v/>
      </c>
      <c r="P1157" s="6" t="str">
        <f>IF(ISNA(MATCH(1148,'Transfer Engine'!$C$2:$C$1199,0)),"",HYPERLINK("#Acts!A"&amp;INDEX('Compliance Database'!$P$2:$P$1199,MATCH(1148,'Transfer Engine'!$C$2:$C$1199,0)),"Go to Act"))</f>
        <v/>
      </c>
    </row>
    <row r="1158" spans="1:16" ht="172.95" customHeight="1" x14ac:dyDescent="0.3">
      <c r="A1158" s="6" t="str">
        <f>IF(ISNA(MATCH(1149,'Transfer Engine'!$C$2:$C$1199,0)),"",INDEX('Compliance Database'!$A$2:$A$1199,MATCH(1149,'Transfer Engine'!$C$2:$C$1199,0)))</f>
        <v/>
      </c>
      <c r="B1158" s="6" t="str">
        <f>IF(ISNA(MATCH(1149,'Transfer Engine'!$C$2:$C$1199,0)),"",INDEX('Compliance Database'!$B$2:$B$1199,MATCH(1149,'Transfer Engine'!$C$2:$C$1199,0)))</f>
        <v/>
      </c>
      <c r="C1158" s="6" t="str">
        <f>IF(ISNA(MATCH(1149,'Transfer Engine'!$C$2:$C$1199,0)),"",INDEX('Compliance Database'!$C$2:$C$1199,MATCH(1149,'Transfer Engine'!$C$2:$C$1199,0)))</f>
        <v/>
      </c>
      <c r="D1158" s="7" t="str">
        <f>IF(ISNA(MATCH(1149,'Transfer Engine'!$C$2:$C$1199,0)),"",INDEX('Compliance Database'!$D$2:$D$1199,MATCH(1149,'Transfer Engine'!$C$2:$C$1199,0)))</f>
        <v/>
      </c>
      <c r="E1158" s="6" t="str">
        <f>IF(ISNA(MATCH(1149,'Transfer Engine'!$C$2:$C$1199,0)),"",INDEX('Compliance Database'!$E$2:$E$1199,MATCH(1149,'Transfer Engine'!$C$2:$C$1199,0)))</f>
        <v/>
      </c>
      <c r="F1158" s="6" t="str">
        <f>IF(ISNA(MATCH(1149,'Transfer Engine'!$C$2:$C$1199,0)),"",INDEX('Compliance Database'!$F$2:$F$1199,MATCH(1149,'Transfer Engine'!$C$2:$C$1199,0)))</f>
        <v/>
      </c>
      <c r="G1158" s="6" t="str">
        <f>IF(ISNA(MATCH(1149,'Transfer Engine'!$C$2:$C$1199,0)),"",INDEX('Compliance Database'!$G$2:$G$1199,MATCH(1149,'Transfer Engine'!$C$2:$C$1199,0)))</f>
        <v/>
      </c>
      <c r="H1158" s="7" t="str">
        <f>IF(ISNA(MATCH(1149,'Transfer Engine'!$C$2:$C$1199,0)),"",INDEX('Compliance Database'!$H$2:$H$1199,MATCH(1149,'Transfer Engine'!$C$2:$C$1199,0)))</f>
        <v/>
      </c>
      <c r="I1158" s="7" t="str">
        <f>IF(ISNA(MATCH(1149,'Transfer Engine'!$C$2:$C$1199,0)),"",INDEX('Compliance Database'!$I$2:$I$1199,MATCH(1149,'Transfer Engine'!$C$2:$C$1199,0)))</f>
        <v/>
      </c>
      <c r="J1158" s="6" t="str">
        <f>IF(ISNA(MATCH(1149,'Transfer Engine'!$C$2:$C$1199,0)),"",INDEX('Compliance Database'!$J$2:$J$1199,MATCH(1149,'Transfer Engine'!$C$2:$C$1199,0)))</f>
        <v/>
      </c>
      <c r="K1158" s="7" t="str">
        <f>IF(ISNA(MATCH(1149,'Transfer Engine'!$C$2:$C$1199,0)),"",INDEX('Compliance Database'!$K$2:$K$1199,MATCH(1149,'Transfer Engine'!$C$2:$C$1199,0)))</f>
        <v/>
      </c>
      <c r="L1158" s="7" t="str">
        <f>IF(ISNA(MATCH(1149,'Transfer Engine'!$C$2:$C$1199,0)),"",INDEX('Compliance Database'!$L$2:$L$1199,MATCH(1149,'Transfer Engine'!$C$2:$C$1199,0)))</f>
        <v/>
      </c>
      <c r="M1158" s="7" t="str">
        <f>IF(ISNA(MATCH(1149,'Transfer Engine'!$C$2:$C$1199,0)),"",INDEX('Compliance Database'!$M$2:$M$1199,MATCH(1149,'Transfer Engine'!$C$2:$C$1199,0)))</f>
        <v/>
      </c>
      <c r="N1158" s="7" t="str">
        <f>IF(ISNA(MATCH(1149,'Transfer Engine'!$C$2:$C$1199,0)),"",INDEX('Compliance Database'!$N$2:$N$1199,MATCH(1149,'Transfer Engine'!$C$2:$C$1199,0)))</f>
        <v/>
      </c>
      <c r="O1158" s="7" t="str">
        <f>IF(ISNA(MATCH(1149,'Transfer Engine'!$C$2:$C$1199,0)),"",INDEX('Compliance Database'!$O$2:$O$1199,MATCH(1149,'Transfer Engine'!$C$2:$C$1199,0)))</f>
        <v/>
      </c>
      <c r="P1158" s="6" t="str">
        <f>IF(ISNA(MATCH(1149,'Transfer Engine'!$C$2:$C$1199,0)),"",HYPERLINK("#Acts!A"&amp;INDEX('Compliance Database'!$P$2:$P$1199,MATCH(1149,'Transfer Engine'!$C$2:$C$1199,0)),"Go to Act"))</f>
        <v/>
      </c>
    </row>
    <row r="1159" spans="1:16" ht="172.95" customHeight="1" x14ac:dyDescent="0.3">
      <c r="A1159" s="6" t="str">
        <f>IF(ISNA(MATCH(1150,'Transfer Engine'!$C$2:$C$1199,0)),"",INDEX('Compliance Database'!$A$2:$A$1199,MATCH(1150,'Transfer Engine'!$C$2:$C$1199,0)))</f>
        <v/>
      </c>
      <c r="B1159" s="6" t="str">
        <f>IF(ISNA(MATCH(1150,'Transfer Engine'!$C$2:$C$1199,0)),"",INDEX('Compliance Database'!$B$2:$B$1199,MATCH(1150,'Transfer Engine'!$C$2:$C$1199,0)))</f>
        <v/>
      </c>
      <c r="C1159" s="6" t="str">
        <f>IF(ISNA(MATCH(1150,'Transfer Engine'!$C$2:$C$1199,0)),"",INDEX('Compliance Database'!$C$2:$C$1199,MATCH(1150,'Transfer Engine'!$C$2:$C$1199,0)))</f>
        <v/>
      </c>
      <c r="D1159" s="7" t="str">
        <f>IF(ISNA(MATCH(1150,'Transfer Engine'!$C$2:$C$1199,0)),"",INDEX('Compliance Database'!$D$2:$D$1199,MATCH(1150,'Transfer Engine'!$C$2:$C$1199,0)))</f>
        <v/>
      </c>
      <c r="E1159" s="6" t="str">
        <f>IF(ISNA(MATCH(1150,'Transfer Engine'!$C$2:$C$1199,0)),"",INDEX('Compliance Database'!$E$2:$E$1199,MATCH(1150,'Transfer Engine'!$C$2:$C$1199,0)))</f>
        <v/>
      </c>
      <c r="F1159" s="6" t="str">
        <f>IF(ISNA(MATCH(1150,'Transfer Engine'!$C$2:$C$1199,0)),"",INDEX('Compliance Database'!$F$2:$F$1199,MATCH(1150,'Transfer Engine'!$C$2:$C$1199,0)))</f>
        <v/>
      </c>
      <c r="G1159" s="6" t="str">
        <f>IF(ISNA(MATCH(1150,'Transfer Engine'!$C$2:$C$1199,0)),"",INDEX('Compliance Database'!$G$2:$G$1199,MATCH(1150,'Transfer Engine'!$C$2:$C$1199,0)))</f>
        <v/>
      </c>
      <c r="H1159" s="7" t="str">
        <f>IF(ISNA(MATCH(1150,'Transfer Engine'!$C$2:$C$1199,0)),"",INDEX('Compliance Database'!$H$2:$H$1199,MATCH(1150,'Transfer Engine'!$C$2:$C$1199,0)))</f>
        <v/>
      </c>
      <c r="I1159" s="7" t="str">
        <f>IF(ISNA(MATCH(1150,'Transfer Engine'!$C$2:$C$1199,0)),"",INDEX('Compliance Database'!$I$2:$I$1199,MATCH(1150,'Transfer Engine'!$C$2:$C$1199,0)))</f>
        <v/>
      </c>
      <c r="J1159" s="6" t="str">
        <f>IF(ISNA(MATCH(1150,'Transfer Engine'!$C$2:$C$1199,0)),"",INDEX('Compliance Database'!$J$2:$J$1199,MATCH(1150,'Transfer Engine'!$C$2:$C$1199,0)))</f>
        <v/>
      </c>
      <c r="K1159" s="7" t="str">
        <f>IF(ISNA(MATCH(1150,'Transfer Engine'!$C$2:$C$1199,0)),"",INDEX('Compliance Database'!$K$2:$K$1199,MATCH(1150,'Transfer Engine'!$C$2:$C$1199,0)))</f>
        <v/>
      </c>
      <c r="L1159" s="7" t="str">
        <f>IF(ISNA(MATCH(1150,'Transfer Engine'!$C$2:$C$1199,0)),"",INDEX('Compliance Database'!$L$2:$L$1199,MATCH(1150,'Transfer Engine'!$C$2:$C$1199,0)))</f>
        <v/>
      </c>
      <c r="M1159" s="7" t="str">
        <f>IF(ISNA(MATCH(1150,'Transfer Engine'!$C$2:$C$1199,0)),"",INDEX('Compliance Database'!$M$2:$M$1199,MATCH(1150,'Transfer Engine'!$C$2:$C$1199,0)))</f>
        <v/>
      </c>
      <c r="N1159" s="7" t="str">
        <f>IF(ISNA(MATCH(1150,'Transfer Engine'!$C$2:$C$1199,0)),"",INDEX('Compliance Database'!$N$2:$N$1199,MATCH(1150,'Transfer Engine'!$C$2:$C$1199,0)))</f>
        <v/>
      </c>
      <c r="O1159" s="7" t="str">
        <f>IF(ISNA(MATCH(1150,'Transfer Engine'!$C$2:$C$1199,0)),"",INDEX('Compliance Database'!$O$2:$O$1199,MATCH(1150,'Transfer Engine'!$C$2:$C$1199,0)))</f>
        <v/>
      </c>
      <c r="P1159" s="6" t="str">
        <f>IF(ISNA(MATCH(1150,'Transfer Engine'!$C$2:$C$1199,0)),"",HYPERLINK("#Acts!A"&amp;INDEX('Compliance Database'!$P$2:$P$1199,MATCH(1150,'Transfer Engine'!$C$2:$C$1199,0)),"Go to Act"))</f>
        <v/>
      </c>
    </row>
    <row r="1160" spans="1:16" ht="172.95" customHeight="1" x14ac:dyDescent="0.3">
      <c r="A1160" s="6" t="str">
        <f>IF(ISNA(MATCH(1151,'Transfer Engine'!$C$2:$C$1199,0)),"",INDEX('Compliance Database'!$A$2:$A$1199,MATCH(1151,'Transfer Engine'!$C$2:$C$1199,0)))</f>
        <v/>
      </c>
      <c r="B1160" s="6" t="str">
        <f>IF(ISNA(MATCH(1151,'Transfer Engine'!$C$2:$C$1199,0)),"",INDEX('Compliance Database'!$B$2:$B$1199,MATCH(1151,'Transfer Engine'!$C$2:$C$1199,0)))</f>
        <v/>
      </c>
      <c r="C1160" s="6" t="str">
        <f>IF(ISNA(MATCH(1151,'Transfer Engine'!$C$2:$C$1199,0)),"",INDEX('Compliance Database'!$C$2:$C$1199,MATCH(1151,'Transfer Engine'!$C$2:$C$1199,0)))</f>
        <v/>
      </c>
      <c r="D1160" s="7" t="str">
        <f>IF(ISNA(MATCH(1151,'Transfer Engine'!$C$2:$C$1199,0)),"",INDEX('Compliance Database'!$D$2:$D$1199,MATCH(1151,'Transfer Engine'!$C$2:$C$1199,0)))</f>
        <v/>
      </c>
      <c r="E1160" s="6" t="str">
        <f>IF(ISNA(MATCH(1151,'Transfer Engine'!$C$2:$C$1199,0)),"",INDEX('Compliance Database'!$E$2:$E$1199,MATCH(1151,'Transfer Engine'!$C$2:$C$1199,0)))</f>
        <v/>
      </c>
      <c r="F1160" s="6" t="str">
        <f>IF(ISNA(MATCH(1151,'Transfer Engine'!$C$2:$C$1199,0)),"",INDEX('Compliance Database'!$F$2:$F$1199,MATCH(1151,'Transfer Engine'!$C$2:$C$1199,0)))</f>
        <v/>
      </c>
      <c r="G1160" s="6" t="str">
        <f>IF(ISNA(MATCH(1151,'Transfer Engine'!$C$2:$C$1199,0)),"",INDEX('Compliance Database'!$G$2:$G$1199,MATCH(1151,'Transfer Engine'!$C$2:$C$1199,0)))</f>
        <v/>
      </c>
      <c r="H1160" s="7" t="str">
        <f>IF(ISNA(MATCH(1151,'Transfer Engine'!$C$2:$C$1199,0)),"",INDEX('Compliance Database'!$H$2:$H$1199,MATCH(1151,'Transfer Engine'!$C$2:$C$1199,0)))</f>
        <v/>
      </c>
      <c r="I1160" s="7" t="str">
        <f>IF(ISNA(MATCH(1151,'Transfer Engine'!$C$2:$C$1199,0)),"",INDEX('Compliance Database'!$I$2:$I$1199,MATCH(1151,'Transfer Engine'!$C$2:$C$1199,0)))</f>
        <v/>
      </c>
      <c r="J1160" s="6" t="str">
        <f>IF(ISNA(MATCH(1151,'Transfer Engine'!$C$2:$C$1199,0)),"",INDEX('Compliance Database'!$J$2:$J$1199,MATCH(1151,'Transfer Engine'!$C$2:$C$1199,0)))</f>
        <v/>
      </c>
      <c r="K1160" s="7" t="str">
        <f>IF(ISNA(MATCH(1151,'Transfer Engine'!$C$2:$C$1199,0)),"",INDEX('Compliance Database'!$K$2:$K$1199,MATCH(1151,'Transfer Engine'!$C$2:$C$1199,0)))</f>
        <v/>
      </c>
      <c r="L1160" s="7" t="str">
        <f>IF(ISNA(MATCH(1151,'Transfer Engine'!$C$2:$C$1199,0)),"",INDEX('Compliance Database'!$L$2:$L$1199,MATCH(1151,'Transfer Engine'!$C$2:$C$1199,0)))</f>
        <v/>
      </c>
      <c r="M1160" s="7" t="str">
        <f>IF(ISNA(MATCH(1151,'Transfer Engine'!$C$2:$C$1199,0)),"",INDEX('Compliance Database'!$M$2:$M$1199,MATCH(1151,'Transfer Engine'!$C$2:$C$1199,0)))</f>
        <v/>
      </c>
      <c r="N1160" s="7" t="str">
        <f>IF(ISNA(MATCH(1151,'Transfer Engine'!$C$2:$C$1199,0)),"",INDEX('Compliance Database'!$N$2:$N$1199,MATCH(1151,'Transfer Engine'!$C$2:$C$1199,0)))</f>
        <v/>
      </c>
      <c r="O1160" s="7" t="str">
        <f>IF(ISNA(MATCH(1151,'Transfer Engine'!$C$2:$C$1199,0)),"",INDEX('Compliance Database'!$O$2:$O$1199,MATCH(1151,'Transfer Engine'!$C$2:$C$1199,0)))</f>
        <v/>
      </c>
      <c r="P1160" s="6" t="str">
        <f>IF(ISNA(MATCH(1151,'Transfer Engine'!$C$2:$C$1199,0)),"",HYPERLINK("#Acts!A"&amp;INDEX('Compliance Database'!$P$2:$P$1199,MATCH(1151,'Transfer Engine'!$C$2:$C$1199,0)),"Go to Act"))</f>
        <v/>
      </c>
    </row>
    <row r="1161" spans="1:16" ht="172.95" customHeight="1" x14ac:dyDescent="0.3">
      <c r="A1161" s="6" t="str">
        <f>IF(ISNA(MATCH(1152,'Transfer Engine'!$C$2:$C$1199,0)),"",INDEX('Compliance Database'!$A$2:$A$1199,MATCH(1152,'Transfer Engine'!$C$2:$C$1199,0)))</f>
        <v/>
      </c>
      <c r="B1161" s="6" t="str">
        <f>IF(ISNA(MATCH(1152,'Transfer Engine'!$C$2:$C$1199,0)),"",INDEX('Compliance Database'!$B$2:$B$1199,MATCH(1152,'Transfer Engine'!$C$2:$C$1199,0)))</f>
        <v/>
      </c>
      <c r="C1161" s="6" t="str">
        <f>IF(ISNA(MATCH(1152,'Transfer Engine'!$C$2:$C$1199,0)),"",INDEX('Compliance Database'!$C$2:$C$1199,MATCH(1152,'Transfer Engine'!$C$2:$C$1199,0)))</f>
        <v/>
      </c>
      <c r="D1161" s="7" t="str">
        <f>IF(ISNA(MATCH(1152,'Transfer Engine'!$C$2:$C$1199,0)),"",INDEX('Compliance Database'!$D$2:$D$1199,MATCH(1152,'Transfer Engine'!$C$2:$C$1199,0)))</f>
        <v/>
      </c>
      <c r="E1161" s="6" t="str">
        <f>IF(ISNA(MATCH(1152,'Transfer Engine'!$C$2:$C$1199,0)),"",INDEX('Compliance Database'!$E$2:$E$1199,MATCH(1152,'Transfer Engine'!$C$2:$C$1199,0)))</f>
        <v/>
      </c>
      <c r="F1161" s="6" t="str">
        <f>IF(ISNA(MATCH(1152,'Transfer Engine'!$C$2:$C$1199,0)),"",INDEX('Compliance Database'!$F$2:$F$1199,MATCH(1152,'Transfer Engine'!$C$2:$C$1199,0)))</f>
        <v/>
      </c>
      <c r="G1161" s="6" t="str">
        <f>IF(ISNA(MATCH(1152,'Transfer Engine'!$C$2:$C$1199,0)),"",INDEX('Compliance Database'!$G$2:$G$1199,MATCH(1152,'Transfer Engine'!$C$2:$C$1199,0)))</f>
        <v/>
      </c>
      <c r="H1161" s="7" t="str">
        <f>IF(ISNA(MATCH(1152,'Transfer Engine'!$C$2:$C$1199,0)),"",INDEX('Compliance Database'!$H$2:$H$1199,MATCH(1152,'Transfer Engine'!$C$2:$C$1199,0)))</f>
        <v/>
      </c>
      <c r="I1161" s="7" t="str">
        <f>IF(ISNA(MATCH(1152,'Transfer Engine'!$C$2:$C$1199,0)),"",INDEX('Compliance Database'!$I$2:$I$1199,MATCH(1152,'Transfer Engine'!$C$2:$C$1199,0)))</f>
        <v/>
      </c>
      <c r="J1161" s="6" t="str">
        <f>IF(ISNA(MATCH(1152,'Transfer Engine'!$C$2:$C$1199,0)),"",INDEX('Compliance Database'!$J$2:$J$1199,MATCH(1152,'Transfer Engine'!$C$2:$C$1199,0)))</f>
        <v/>
      </c>
      <c r="K1161" s="7" t="str">
        <f>IF(ISNA(MATCH(1152,'Transfer Engine'!$C$2:$C$1199,0)),"",INDEX('Compliance Database'!$K$2:$K$1199,MATCH(1152,'Transfer Engine'!$C$2:$C$1199,0)))</f>
        <v/>
      </c>
      <c r="L1161" s="7" t="str">
        <f>IF(ISNA(MATCH(1152,'Transfer Engine'!$C$2:$C$1199,0)),"",INDEX('Compliance Database'!$L$2:$L$1199,MATCH(1152,'Transfer Engine'!$C$2:$C$1199,0)))</f>
        <v/>
      </c>
      <c r="M1161" s="7" t="str">
        <f>IF(ISNA(MATCH(1152,'Transfer Engine'!$C$2:$C$1199,0)),"",INDEX('Compliance Database'!$M$2:$M$1199,MATCH(1152,'Transfer Engine'!$C$2:$C$1199,0)))</f>
        <v/>
      </c>
      <c r="N1161" s="7" t="str">
        <f>IF(ISNA(MATCH(1152,'Transfer Engine'!$C$2:$C$1199,0)),"",INDEX('Compliance Database'!$N$2:$N$1199,MATCH(1152,'Transfer Engine'!$C$2:$C$1199,0)))</f>
        <v/>
      </c>
      <c r="O1161" s="7" t="str">
        <f>IF(ISNA(MATCH(1152,'Transfer Engine'!$C$2:$C$1199,0)),"",INDEX('Compliance Database'!$O$2:$O$1199,MATCH(1152,'Transfer Engine'!$C$2:$C$1199,0)))</f>
        <v/>
      </c>
      <c r="P1161" s="6" t="str">
        <f>IF(ISNA(MATCH(1152,'Transfer Engine'!$C$2:$C$1199,0)),"",HYPERLINK("#Acts!A"&amp;INDEX('Compliance Database'!$P$2:$P$1199,MATCH(1152,'Transfer Engine'!$C$2:$C$1199,0)),"Go to Act"))</f>
        <v/>
      </c>
    </row>
    <row r="1162" spans="1:16" ht="172.95" customHeight="1" x14ac:dyDescent="0.3">
      <c r="A1162" s="6" t="str">
        <f>IF(ISNA(MATCH(1153,'Transfer Engine'!$C$2:$C$1199,0)),"",INDEX('Compliance Database'!$A$2:$A$1199,MATCH(1153,'Transfer Engine'!$C$2:$C$1199,0)))</f>
        <v/>
      </c>
      <c r="B1162" s="6" t="str">
        <f>IF(ISNA(MATCH(1153,'Transfer Engine'!$C$2:$C$1199,0)),"",INDEX('Compliance Database'!$B$2:$B$1199,MATCH(1153,'Transfer Engine'!$C$2:$C$1199,0)))</f>
        <v/>
      </c>
      <c r="C1162" s="6" t="str">
        <f>IF(ISNA(MATCH(1153,'Transfer Engine'!$C$2:$C$1199,0)),"",INDEX('Compliance Database'!$C$2:$C$1199,MATCH(1153,'Transfer Engine'!$C$2:$C$1199,0)))</f>
        <v/>
      </c>
      <c r="D1162" s="7" t="str">
        <f>IF(ISNA(MATCH(1153,'Transfer Engine'!$C$2:$C$1199,0)),"",INDEX('Compliance Database'!$D$2:$D$1199,MATCH(1153,'Transfer Engine'!$C$2:$C$1199,0)))</f>
        <v/>
      </c>
      <c r="E1162" s="6" t="str">
        <f>IF(ISNA(MATCH(1153,'Transfer Engine'!$C$2:$C$1199,0)),"",INDEX('Compliance Database'!$E$2:$E$1199,MATCH(1153,'Transfer Engine'!$C$2:$C$1199,0)))</f>
        <v/>
      </c>
      <c r="F1162" s="6" t="str">
        <f>IF(ISNA(MATCH(1153,'Transfer Engine'!$C$2:$C$1199,0)),"",INDEX('Compliance Database'!$F$2:$F$1199,MATCH(1153,'Transfer Engine'!$C$2:$C$1199,0)))</f>
        <v/>
      </c>
      <c r="G1162" s="6" t="str">
        <f>IF(ISNA(MATCH(1153,'Transfer Engine'!$C$2:$C$1199,0)),"",INDEX('Compliance Database'!$G$2:$G$1199,MATCH(1153,'Transfer Engine'!$C$2:$C$1199,0)))</f>
        <v/>
      </c>
      <c r="H1162" s="7" t="str">
        <f>IF(ISNA(MATCH(1153,'Transfer Engine'!$C$2:$C$1199,0)),"",INDEX('Compliance Database'!$H$2:$H$1199,MATCH(1153,'Transfer Engine'!$C$2:$C$1199,0)))</f>
        <v/>
      </c>
      <c r="I1162" s="7" t="str">
        <f>IF(ISNA(MATCH(1153,'Transfer Engine'!$C$2:$C$1199,0)),"",INDEX('Compliance Database'!$I$2:$I$1199,MATCH(1153,'Transfer Engine'!$C$2:$C$1199,0)))</f>
        <v/>
      </c>
      <c r="J1162" s="6" t="str">
        <f>IF(ISNA(MATCH(1153,'Transfer Engine'!$C$2:$C$1199,0)),"",INDEX('Compliance Database'!$J$2:$J$1199,MATCH(1153,'Transfer Engine'!$C$2:$C$1199,0)))</f>
        <v/>
      </c>
      <c r="K1162" s="7" t="str">
        <f>IF(ISNA(MATCH(1153,'Transfer Engine'!$C$2:$C$1199,0)),"",INDEX('Compliance Database'!$K$2:$K$1199,MATCH(1153,'Transfer Engine'!$C$2:$C$1199,0)))</f>
        <v/>
      </c>
      <c r="L1162" s="7" t="str">
        <f>IF(ISNA(MATCH(1153,'Transfer Engine'!$C$2:$C$1199,0)),"",INDEX('Compliance Database'!$L$2:$L$1199,MATCH(1153,'Transfer Engine'!$C$2:$C$1199,0)))</f>
        <v/>
      </c>
      <c r="M1162" s="7" t="str">
        <f>IF(ISNA(MATCH(1153,'Transfer Engine'!$C$2:$C$1199,0)),"",INDEX('Compliance Database'!$M$2:$M$1199,MATCH(1153,'Transfer Engine'!$C$2:$C$1199,0)))</f>
        <v/>
      </c>
      <c r="N1162" s="7" t="str">
        <f>IF(ISNA(MATCH(1153,'Transfer Engine'!$C$2:$C$1199,0)),"",INDEX('Compliance Database'!$N$2:$N$1199,MATCH(1153,'Transfer Engine'!$C$2:$C$1199,0)))</f>
        <v/>
      </c>
      <c r="O1162" s="7" t="str">
        <f>IF(ISNA(MATCH(1153,'Transfer Engine'!$C$2:$C$1199,0)),"",INDEX('Compliance Database'!$O$2:$O$1199,MATCH(1153,'Transfer Engine'!$C$2:$C$1199,0)))</f>
        <v/>
      </c>
      <c r="P1162" s="6" t="str">
        <f>IF(ISNA(MATCH(1153,'Transfer Engine'!$C$2:$C$1199,0)),"",HYPERLINK("#Acts!A"&amp;INDEX('Compliance Database'!$P$2:$P$1199,MATCH(1153,'Transfer Engine'!$C$2:$C$1199,0)),"Go to Act"))</f>
        <v/>
      </c>
    </row>
    <row r="1163" spans="1:16" ht="172.95" customHeight="1" x14ac:dyDescent="0.3">
      <c r="A1163" s="6" t="str">
        <f>IF(ISNA(MATCH(1154,'Transfer Engine'!$C$2:$C$1199,0)),"",INDEX('Compliance Database'!$A$2:$A$1199,MATCH(1154,'Transfer Engine'!$C$2:$C$1199,0)))</f>
        <v/>
      </c>
      <c r="B1163" s="6" t="str">
        <f>IF(ISNA(MATCH(1154,'Transfer Engine'!$C$2:$C$1199,0)),"",INDEX('Compliance Database'!$B$2:$B$1199,MATCH(1154,'Transfer Engine'!$C$2:$C$1199,0)))</f>
        <v/>
      </c>
      <c r="C1163" s="6" t="str">
        <f>IF(ISNA(MATCH(1154,'Transfer Engine'!$C$2:$C$1199,0)),"",INDEX('Compliance Database'!$C$2:$C$1199,MATCH(1154,'Transfer Engine'!$C$2:$C$1199,0)))</f>
        <v/>
      </c>
      <c r="D1163" s="7" t="str">
        <f>IF(ISNA(MATCH(1154,'Transfer Engine'!$C$2:$C$1199,0)),"",INDEX('Compliance Database'!$D$2:$D$1199,MATCH(1154,'Transfer Engine'!$C$2:$C$1199,0)))</f>
        <v/>
      </c>
      <c r="E1163" s="6" t="str">
        <f>IF(ISNA(MATCH(1154,'Transfer Engine'!$C$2:$C$1199,0)),"",INDEX('Compliance Database'!$E$2:$E$1199,MATCH(1154,'Transfer Engine'!$C$2:$C$1199,0)))</f>
        <v/>
      </c>
      <c r="F1163" s="6" t="str">
        <f>IF(ISNA(MATCH(1154,'Transfer Engine'!$C$2:$C$1199,0)),"",INDEX('Compliance Database'!$F$2:$F$1199,MATCH(1154,'Transfer Engine'!$C$2:$C$1199,0)))</f>
        <v/>
      </c>
      <c r="G1163" s="6" t="str">
        <f>IF(ISNA(MATCH(1154,'Transfer Engine'!$C$2:$C$1199,0)),"",INDEX('Compliance Database'!$G$2:$G$1199,MATCH(1154,'Transfer Engine'!$C$2:$C$1199,0)))</f>
        <v/>
      </c>
      <c r="H1163" s="7" t="str">
        <f>IF(ISNA(MATCH(1154,'Transfer Engine'!$C$2:$C$1199,0)),"",INDEX('Compliance Database'!$H$2:$H$1199,MATCH(1154,'Transfer Engine'!$C$2:$C$1199,0)))</f>
        <v/>
      </c>
      <c r="I1163" s="7" t="str">
        <f>IF(ISNA(MATCH(1154,'Transfer Engine'!$C$2:$C$1199,0)),"",INDEX('Compliance Database'!$I$2:$I$1199,MATCH(1154,'Transfer Engine'!$C$2:$C$1199,0)))</f>
        <v/>
      </c>
      <c r="J1163" s="6" t="str">
        <f>IF(ISNA(MATCH(1154,'Transfer Engine'!$C$2:$C$1199,0)),"",INDEX('Compliance Database'!$J$2:$J$1199,MATCH(1154,'Transfer Engine'!$C$2:$C$1199,0)))</f>
        <v/>
      </c>
      <c r="K1163" s="7" t="str">
        <f>IF(ISNA(MATCH(1154,'Transfer Engine'!$C$2:$C$1199,0)),"",INDEX('Compliance Database'!$K$2:$K$1199,MATCH(1154,'Transfer Engine'!$C$2:$C$1199,0)))</f>
        <v/>
      </c>
      <c r="L1163" s="7" t="str">
        <f>IF(ISNA(MATCH(1154,'Transfer Engine'!$C$2:$C$1199,0)),"",INDEX('Compliance Database'!$L$2:$L$1199,MATCH(1154,'Transfer Engine'!$C$2:$C$1199,0)))</f>
        <v/>
      </c>
      <c r="M1163" s="7" t="str">
        <f>IF(ISNA(MATCH(1154,'Transfer Engine'!$C$2:$C$1199,0)),"",INDEX('Compliance Database'!$M$2:$M$1199,MATCH(1154,'Transfer Engine'!$C$2:$C$1199,0)))</f>
        <v/>
      </c>
      <c r="N1163" s="7" t="str">
        <f>IF(ISNA(MATCH(1154,'Transfer Engine'!$C$2:$C$1199,0)),"",INDEX('Compliance Database'!$N$2:$N$1199,MATCH(1154,'Transfer Engine'!$C$2:$C$1199,0)))</f>
        <v/>
      </c>
      <c r="O1163" s="7" t="str">
        <f>IF(ISNA(MATCH(1154,'Transfer Engine'!$C$2:$C$1199,0)),"",INDEX('Compliance Database'!$O$2:$O$1199,MATCH(1154,'Transfer Engine'!$C$2:$C$1199,0)))</f>
        <v/>
      </c>
      <c r="P1163" s="6" t="str">
        <f>IF(ISNA(MATCH(1154,'Transfer Engine'!$C$2:$C$1199,0)),"",HYPERLINK("#Acts!A"&amp;INDEX('Compliance Database'!$P$2:$P$1199,MATCH(1154,'Transfer Engine'!$C$2:$C$1199,0)),"Go to Act"))</f>
        <v/>
      </c>
    </row>
    <row r="1164" spans="1:16" ht="172.95" customHeight="1" x14ac:dyDescent="0.3">
      <c r="A1164" s="6" t="str">
        <f>IF(ISNA(MATCH(1155,'Transfer Engine'!$C$2:$C$1199,0)),"",INDEX('Compliance Database'!$A$2:$A$1199,MATCH(1155,'Transfer Engine'!$C$2:$C$1199,0)))</f>
        <v/>
      </c>
      <c r="B1164" s="6" t="str">
        <f>IF(ISNA(MATCH(1155,'Transfer Engine'!$C$2:$C$1199,0)),"",INDEX('Compliance Database'!$B$2:$B$1199,MATCH(1155,'Transfer Engine'!$C$2:$C$1199,0)))</f>
        <v/>
      </c>
      <c r="C1164" s="6" t="str">
        <f>IF(ISNA(MATCH(1155,'Transfer Engine'!$C$2:$C$1199,0)),"",INDEX('Compliance Database'!$C$2:$C$1199,MATCH(1155,'Transfer Engine'!$C$2:$C$1199,0)))</f>
        <v/>
      </c>
      <c r="D1164" s="7" t="str">
        <f>IF(ISNA(MATCH(1155,'Transfer Engine'!$C$2:$C$1199,0)),"",INDEX('Compliance Database'!$D$2:$D$1199,MATCH(1155,'Transfer Engine'!$C$2:$C$1199,0)))</f>
        <v/>
      </c>
      <c r="E1164" s="6" t="str">
        <f>IF(ISNA(MATCH(1155,'Transfer Engine'!$C$2:$C$1199,0)),"",INDEX('Compliance Database'!$E$2:$E$1199,MATCH(1155,'Transfer Engine'!$C$2:$C$1199,0)))</f>
        <v/>
      </c>
      <c r="F1164" s="6" t="str">
        <f>IF(ISNA(MATCH(1155,'Transfer Engine'!$C$2:$C$1199,0)),"",INDEX('Compliance Database'!$F$2:$F$1199,MATCH(1155,'Transfer Engine'!$C$2:$C$1199,0)))</f>
        <v/>
      </c>
      <c r="G1164" s="6" t="str">
        <f>IF(ISNA(MATCH(1155,'Transfer Engine'!$C$2:$C$1199,0)),"",INDEX('Compliance Database'!$G$2:$G$1199,MATCH(1155,'Transfer Engine'!$C$2:$C$1199,0)))</f>
        <v/>
      </c>
      <c r="H1164" s="7" t="str">
        <f>IF(ISNA(MATCH(1155,'Transfer Engine'!$C$2:$C$1199,0)),"",INDEX('Compliance Database'!$H$2:$H$1199,MATCH(1155,'Transfer Engine'!$C$2:$C$1199,0)))</f>
        <v/>
      </c>
      <c r="I1164" s="7" t="str">
        <f>IF(ISNA(MATCH(1155,'Transfer Engine'!$C$2:$C$1199,0)),"",INDEX('Compliance Database'!$I$2:$I$1199,MATCH(1155,'Transfer Engine'!$C$2:$C$1199,0)))</f>
        <v/>
      </c>
      <c r="J1164" s="6" t="str">
        <f>IF(ISNA(MATCH(1155,'Transfer Engine'!$C$2:$C$1199,0)),"",INDEX('Compliance Database'!$J$2:$J$1199,MATCH(1155,'Transfer Engine'!$C$2:$C$1199,0)))</f>
        <v/>
      </c>
      <c r="K1164" s="7" t="str">
        <f>IF(ISNA(MATCH(1155,'Transfer Engine'!$C$2:$C$1199,0)),"",INDEX('Compliance Database'!$K$2:$K$1199,MATCH(1155,'Transfer Engine'!$C$2:$C$1199,0)))</f>
        <v/>
      </c>
      <c r="L1164" s="7" t="str">
        <f>IF(ISNA(MATCH(1155,'Transfer Engine'!$C$2:$C$1199,0)),"",INDEX('Compliance Database'!$L$2:$L$1199,MATCH(1155,'Transfer Engine'!$C$2:$C$1199,0)))</f>
        <v/>
      </c>
      <c r="M1164" s="7" t="str">
        <f>IF(ISNA(MATCH(1155,'Transfer Engine'!$C$2:$C$1199,0)),"",INDEX('Compliance Database'!$M$2:$M$1199,MATCH(1155,'Transfer Engine'!$C$2:$C$1199,0)))</f>
        <v/>
      </c>
      <c r="N1164" s="7" t="str">
        <f>IF(ISNA(MATCH(1155,'Transfer Engine'!$C$2:$C$1199,0)),"",INDEX('Compliance Database'!$N$2:$N$1199,MATCH(1155,'Transfer Engine'!$C$2:$C$1199,0)))</f>
        <v/>
      </c>
      <c r="O1164" s="7" t="str">
        <f>IF(ISNA(MATCH(1155,'Transfer Engine'!$C$2:$C$1199,0)),"",INDEX('Compliance Database'!$O$2:$O$1199,MATCH(1155,'Transfer Engine'!$C$2:$C$1199,0)))</f>
        <v/>
      </c>
      <c r="P1164" s="6" t="str">
        <f>IF(ISNA(MATCH(1155,'Transfer Engine'!$C$2:$C$1199,0)),"",HYPERLINK("#Acts!A"&amp;INDEX('Compliance Database'!$P$2:$P$1199,MATCH(1155,'Transfer Engine'!$C$2:$C$1199,0)),"Go to Act"))</f>
        <v/>
      </c>
    </row>
    <row r="1165" spans="1:16" ht="172.95" customHeight="1" x14ac:dyDescent="0.3">
      <c r="A1165" s="6" t="str">
        <f>IF(ISNA(MATCH(1156,'Transfer Engine'!$C$2:$C$1199,0)),"",INDEX('Compliance Database'!$A$2:$A$1199,MATCH(1156,'Transfer Engine'!$C$2:$C$1199,0)))</f>
        <v/>
      </c>
      <c r="B1165" s="6" t="str">
        <f>IF(ISNA(MATCH(1156,'Transfer Engine'!$C$2:$C$1199,0)),"",INDEX('Compliance Database'!$B$2:$B$1199,MATCH(1156,'Transfer Engine'!$C$2:$C$1199,0)))</f>
        <v/>
      </c>
      <c r="C1165" s="6" t="str">
        <f>IF(ISNA(MATCH(1156,'Transfer Engine'!$C$2:$C$1199,0)),"",INDEX('Compliance Database'!$C$2:$C$1199,MATCH(1156,'Transfer Engine'!$C$2:$C$1199,0)))</f>
        <v/>
      </c>
      <c r="D1165" s="7" t="str">
        <f>IF(ISNA(MATCH(1156,'Transfer Engine'!$C$2:$C$1199,0)),"",INDEX('Compliance Database'!$D$2:$D$1199,MATCH(1156,'Transfer Engine'!$C$2:$C$1199,0)))</f>
        <v/>
      </c>
      <c r="E1165" s="6" t="str">
        <f>IF(ISNA(MATCH(1156,'Transfer Engine'!$C$2:$C$1199,0)),"",INDEX('Compliance Database'!$E$2:$E$1199,MATCH(1156,'Transfer Engine'!$C$2:$C$1199,0)))</f>
        <v/>
      </c>
      <c r="F1165" s="6" t="str">
        <f>IF(ISNA(MATCH(1156,'Transfer Engine'!$C$2:$C$1199,0)),"",INDEX('Compliance Database'!$F$2:$F$1199,MATCH(1156,'Transfer Engine'!$C$2:$C$1199,0)))</f>
        <v/>
      </c>
      <c r="G1165" s="6" t="str">
        <f>IF(ISNA(MATCH(1156,'Transfer Engine'!$C$2:$C$1199,0)),"",INDEX('Compliance Database'!$G$2:$G$1199,MATCH(1156,'Transfer Engine'!$C$2:$C$1199,0)))</f>
        <v/>
      </c>
      <c r="H1165" s="7" t="str">
        <f>IF(ISNA(MATCH(1156,'Transfer Engine'!$C$2:$C$1199,0)),"",INDEX('Compliance Database'!$H$2:$H$1199,MATCH(1156,'Transfer Engine'!$C$2:$C$1199,0)))</f>
        <v/>
      </c>
      <c r="I1165" s="7" t="str">
        <f>IF(ISNA(MATCH(1156,'Transfer Engine'!$C$2:$C$1199,0)),"",INDEX('Compliance Database'!$I$2:$I$1199,MATCH(1156,'Transfer Engine'!$C$2:$C$1199,0)))</f>
        <v/>
      </c>
      <c r="J1165" s="6" t="str">
        <f>IF(ISNA(MATCH(1156,'Transfer Engine'!$C$2:$C$1199,0)),"",INDEX('Compliance Database'!$J$2:$J$1199,MATCH(1156,'Transfer Engine'!$C$2:$C$1199,0)))</f>
        <v/>
      </c>
      <c r="K1165" s="7" t="str">
        <f>IF(ISNA(MATCH(1156,'Transfer Engine'!$C$2:$C$1199,0)),"",INDEX('Compliance Database'!$K$2:$K$1199,MATCH(1156,'Transfer Engine'!$C$2:$C$1199,0)))</f>
        <v/>
      </c>
      <c r="L1165" s="7" t="str">
        <f>IF(ISNA(MATCH(1156,'Transfer Engine'!$C$2:$C$1199,0)),"",INDEX('Compliance Database'!$L$2:$L$1199,MATCH(1156,'Transfer Engine'!$C$2:$C$1199,0)))</f>
        <v/>
      </c>
      <c r="M1165" s="7" t="str">
        <f>IF(ISNA(MATCH(1156,'Transfer Engine'!$C$2:$C$1199,0)),"",INDEX('Compliance Database'!$M$2:$M$1199,MATCH(1156,'Transfer Engine'!$C$2:$C$1199,0)))</f>
        <v/>
      </c>
      <c r="N1165" s="7" t="str">
        <f>IF(ISNA(MATCH(1156,'Transfer Engine'!$C$2:$C$1199,0)),"",INDEX('Compliance Database'!$N$2:$N$1199,MATCH(1156,'Transfer Engine'!$C$2:$C$1199,0)))</f>
        <v/>
      </c>
      <c r="O1165" s="7" t="str">
        <f>IF(ISNA(MATCH(1156,'Transfer Engine'!$C$2:$C$1199,0)),"",INDEX('Compliance Database'!$O$2:$O$1199,MATCH(1156,'Transfer Engine'!$C$2:$C$1199,0)))</f>
        <v/>
      </c>
      <c r="P1165" s="6" t="str">
        <f>IF(ISNA(MATCH(1156,'Transfer Engine'!$C$2:$C$1199,0)),"",HYPERLINK("#Acts!A"&amp;INDEX('Compliance Database'!$P$2:$P$1199,MATCH(1156,'Transfer Engine'!$C$2:$C$1199,0)),"Go to Act"))</f>
        <v/>
      </c>
    </row>
    <row r="1166" spans="1:16" ht="172.95" customHeight="1" x14ac:dyDescent="0.3">
      <c r="A1166" s="6" t="str">
        <f>IF(ISNA(MATCH(1157,'Transfer Engine'!$C$2:$C$1199,0)),"",INDEX('Compliance Database'!$A$2:$A$1199,MATCH(1157,'Transfer Engine'!$C$2:$C$1199,0)))</f>
        <v/>
      </c>
      <c r="B1166" s="6" t="str">
        <f>IF(ISNA(MATCH(1157,'Transfer Engine'!$C$2:$C$1199,0)),"",INDEX('Compliance Database'!$B$2:$B$1199,MATCH(1157,'Transfer Engine'!$C$2:$C$1199,0)))</f>
        <v/>
      </c>
      <c r="C1166" s="6" t="str">
        <f>IF(ISNA(MATCH(1157,'Transfer Engine'!$C$2:$C$1199,0)),"",INDEX('Compliance Database'!$C$2:$C$1199,MATCH(1157,'Transfer Engine'!$C$2:$C$1199,0)))</f>
        <v/>
      </c>
      <c r="D1166" s="7" t="str">
        <f>IF(ISNA(MATCH(1157,'Transfer Engine'!$C$2:$C$1199,0)),"",INDEX('Compliance Database'!$D$2:$D$1199,MATCH(1157,'Transfer Engine'!$C$2:$C$1199,0)))</f>
        <v/>
      </c>
      <c r="E1166" s="6" t="str">
        <f>IF(ISNA(MATCH(1157,'Transfer Engine'!$C$2:$C$1199,0)),"",INDEX('Compliance Database'!$E$2:$E$1199,MATCH(1157,'Transfer Engine'!$C$2:$C$1199,0)))</f>
        <v/>
      </c>
      <c r="F1166" s="6" t="str">
        <f>IF(ISNA(MATCH(1157,'Transfer Engine'!$C$2:$C$1199,0)),"",INDEX('Compliance Database'!$F$2:$F$1199,MATCH(1157,'Transfer Engine'!$C$2:$C$1199,0)))</f>
        <v/>
      </c>
      <c r="G1166" s="6" t="str">
        <f>IF(ISNA(MATCH(1157,'Transfer Engine'!$C$2:$C$1199,0)),"",INDEX('Compliance Database'!$G$2:$G$1199,MATCH(1157,'Transfer Engine'!$C$2:$C$1199,0)))</f>
        <v/>
      </c>
      <c r="H1166" s="7" t="str">
        <f>IF(ISNA(MATCH(1157,'Transfer Engine'!$C$2:$C$1199,0)),"",INDEX('Compliance Database'!$H$2:$H$1199,MATCH(1157,'Transfer Engine'!$C$2:$C$1199,0)))</f>
        <v/>
      </c>
      <c r="I1166" s="7" t="str">
        <f>IF(ISNA(MATCH(1157,'Transfer Engine'!$C$2:$C$1199,0)),"",INDEX('Compliance Database'!$I$2:$I$1199,MATCH(1157,'Transfer Engine'!$C$2:$C$1199,0)))</f>
        <v/>
      </c>
      <c r="J1166" s="6" t="str">
        <f>IF(ISNA(MATCH(1157,'Transfer Engine'!$C$2:$C$1199,0)),"",INDEX('Compliance Database'!$J$2:$J$1199,MATCH(1157,'Transfer Engine'!$C$2:$C$1199,0)))</f>
        <v/>
      </c>
      <c r="K1166" s="7" t="str">
        <f>IF(ISNA(MATCH(1157,'Transfer Engine'!$C$2:$C$1199,0)),"",INDEX('Compliance Database'!$K$2:$K$1199,MATCH(1157,'Transfer Engine'!$C$2:$C$1199,0)))</f>
        <v/>
      </c>
      <c r="L1166" s="7" t="str">
        <f>IF(ISNA(MATCH(1157,'Transfer Engine'!$C$2:$C$1199,0)),"",INDEX('Compliance Database'!$L$2:$L$1199,MATCH(1157,'Transfer Engine'!$C$2:$C$1199,0)))</f>
        <v/>
      </c>
      <c r="M1166" s="7" t="str">
        <f>IF(ISNA(MATCH(1157,'Transfer Engine'!$C$2:$C$1199,0)),"",INDEX('Compliance Database'!$M$2:$M$1199,MATCH(1157,'Transfer Engine'!$C$2:$C$1199,0)))</f>
        <v/>
      </c>
      <c r="N1166" s="7" t="str">
        <f>IF(ISNA(MATCH(1157,'Transfer Engine'!$C$2:$C$1199,0)),"",INDEX('Compliance Database'!$N$2:$N$1199,MATCH(1157,'Transfer Engine'!$C$2:$C$1199,0)))</f>
        <v/>
      </c>
      <c r="O1166" s="7" t="str">
        <f>IF(ISNA(MATCH(1157,'Transfer Engine'!$C$2:$C$1199,0)),"",INDEX('Compliance Database'!$O$2:$O$1199,MATCH(1157,'Transfer Engine'!$C$2:$C$1199,0)))</f>
        <v/>
      </c>
      <c r="P1166" s="6" t="str">
        <f>IF(ISNA(MATCH(1157,'Transfer Engine'!$C$2:$C$1199,0)),"",HYPERLINK("#Acts!A"&amp;INDEX('Compliance Database'!$P$2:$P$1199,MATCH(1157,'Transfer Engine'!$C$2:$C$1199,0)),"Go to Act"))</f>
        <v/>
      </c>
    </row>
    <row r="1167" spans="1:16" ht="172.95" customHeight="1" x14ac:dyDescent="0.3">
      <c r="A1167" s="6" t="str">
        <f>IF(ISNA(MATCH(1158,'Transfer Engine'!$C$2:$C$1199,0)),"",INDEX('Compliance Database'!$A$2:$A$1199,MATCH(1158,'Transfer Engine'!$C$2:$C$1199,0)))</f>
        <v/>
      </c>
      <c r="B1167" s="6" t="str">
        <f>IF(ISNA(MATCH(1158,'Transfer Engine'!$C$2:$C$1199,0)),"",INDEX('Compliance Database'!$B$2:$B$1199,MATCH(1158,'Transfer Engine'!$C$2:$C$1199,0)))</f>
        <v/>
      </c>
      <c r="C1167" s="6" t="str">
        <f>IF(ISNA(MATCH(1158,'Transfer Engine'!$C$2:$C$1199,0)),"",INDEX('Compliance Database'!$C$2:$C$1199,MATCH(1158,'Transfer Engine'!$C$2:$C$1199,0)))</f>
        <v/>
      </c>
      <c r="D1167" s="7" t="str">
        <f>IF(ISNA(MATCH(1158,'Transfer Engine'!$C$2:$C$1199,0)),"",INDEX('Compliance Database'!$D$2:$D$1199,MATCH(1158,'Transfer Engine'!$C$2:$C$1199,0)))</f>
        <v/>
      </c>
      <c r="E1167" s="6" t="str">
        <f>IF(ISNA(MATCH(1158,'Transfer Engine'!$C$2:$C$1199,0)),"",INDEX('Compliance Database'!$E$2:$E$1199,MATCH(1158,'Transfer Engine'!$C$2:$C$1199,0)))</f>
        <v/>
      </c>
      <c r="F1167" s="6" t="str">
        <f>IF(ISNA(MATCH(1158,'Transfer Engine'!$C$2:$C$1199,0)),"",INDEX('Compliance Database'!$F$2:$F$1199,MATCH(1158,'Transfer Engine'!$C$2:$C$1199,0)))</f>
        <v/>
      </c>
      <c r="G1167" s="6" t="str">
        <f>IF(ISNA(MATCH(1158,'Transfer Engine'!$C$2:$C$1199,0)),"",INDEX('Compliance Database'!$G$2:$G$1199,MATCH(1158,'Transfer Engine'!$C$2:$C$1199,0)))</f>
        <v/>
      </c>
      <c r="H1167" s="7" t="str">
        <f>IF(ISNA(MATCH(1158,'Transfer Engine'!$C$2:$C$1199,0)),"",INDEX('Compliance Database'!$H$2:$H$1199,MATCH(1158,'Transfer Engine'!$C$2:$C$1199,0)))</f>
        <v/>
      </c>
      <c r="I1167" s="7" t="str">
        <f>IF(ISNA(MATCH(1158,'Transfer Engine'!$C$2:$C$1199,0)),"",INDEX('Compliance Database'!$I$2:$I$1199,MATCH(1158,'Transfer Engine'!$C$2:$C$1199,0)))</f>
        <v/>
      </c>
      <c r="J1167" s="6" t="str">
        <f>IF(ISNA(MATCH(1158,'Transfer Engine'!$C$2:$C$1199,0)),"",INDEX('Compliance Database'!$J$2:$J$1199,MATCH(1158,'Transfer Engine'!$C$2:$C$1199,0)))</f>
        <v/>
      </c>
      <c r="K1167" s="7" t="str">
        <f>IF(ISNA(MATCH(1158,'Transfer Engine'!$C$2:$C$1199,0)),"",INDEX('Compliance Database'!$K$2:$K$1199,MATCH(1158,'Transfer Engine'!$C$2:$C$1199,0)))</f>
        <v/>
      </c>
      <c r="L1167" s="7" t="str">
        <f>IF(ISNA(MATCH(1158,'Transfer Engine'!$C$2:$C$1199,0)),"",INDEX('Compliance Database'!$L$2:$L$1199,MATCH(1158,'Transfer Engine'!$C$2:$C$1199,0)))</f>
        <v/>
      </c>
      <c r="M1167" s="7" t="str">
        <f>IF(ISNA(MATCH(1158,'Transfer Engine'!$C$2:$C$1199,0)),"",INDEX('Compliance Database'!$M$2:$M$1199,MATCH(1158,'Transfer Engine'!$C$2:$C$1199,0)))</f>
        <v/>
      </c>
      <c r="N1167" s="7" t="str">
        <f>IF(ISNA(MATCH(1158,'Transfer Engine'!$C$2:$C$1199,0)),"",INDEX('Compliance Database'!$N$2:$N$1199,MATCH(1158,'Transfer Engine'!$C$2:$C$1199,0)))</f>
        <v/>
      </c>
      <c r="O1167" s="7" t="str">
        <f>IF(ISNA(MATCH(1158,'Transfer Engine'!$C$2:$C$1199,0)),"",INDEX('Compliance Database'!$O$2:$O$1199,MATCH(1158,'Transfer Engine'!$C$2:$C$1199,0)))</f>
        <v/>
      </c>
      <c r="P1167" s="6" t="str">
        <f>IF(ISNA(MATCH(1158,'Transfer Engine'!$C$2:$C$1199,0)),"",HYPERLINK("#Acts!A"&amp;INDEX('Compliance Database'!$P$2:$P$1199,MATCH(1158,'Transfer Engine'!$C$2:$C$1199,0)),"Go to Act"))</f>
        <v/>
      </c>
    </row>
    <row r="1168" spans="1:16" ht="172.95" customHeight="1" x14ac:dyDescent="0.3">
      <c r="A1168" s="6" t="str">
        <f>IF(ISNA(MATCH(1159,'Transfer Engine'!$C$2:$C$1199,0)),"",INDEX('Compliance Database'!$A$2:$A$1199,MATCH(1159,'Transfer Engine'!$C$2:$C$1199,0)))</f>
        <v/>
      </c>
      <c r="B1168" s="6" t="str">
        <f>IF(ISNA(MATCH(1159,'Transfer Engine'!$C$2:$C$1199,0)),"",INDEX('Compliance Database'!$B$2:$B$1199,MATCH(1159,'Transfer Engine'!$C$2:$C$1199,0)))</f>
        <v/>
      </c>
      <c r="C1168" s="6" t="str">
        <f>IF(ISNA(MATCH(1159,'Transfer Engine'!$C$2:$C$1199,0)),"",INDEX('Compliance Database'!$C$2:$C$1199,MATCH(1159,'Transfer Engine'!$C$2:$C$1199,0)))</f>
        <v/>
      </c>
      <c r="D1168" s="7" t="str">
        <f>IF(ISNA(MATCH(1159,'Transfer Engine'!$C$2:$C$1199,0)),"",INDEX('Compliance Database'!$D$2:$D$1199,MATCH(1159,'Transfer Engine'!$C$2:$C$1199,0)))</f>
        <v/>
      </c>
      <c r="E1168" s="6" t="str">
        <f>IF(ISNA(MATCH(1159,'Transfer Engine'!$C$2:$C$1199,0)),"",INDEX('Compliance Database'!$E$2:$E$1199,MATCH(1159,'Transfer Engine'!$C$2:$C$1199,0)))</f>
        <v/>
      </c>
      <c r="F1168" s="6" t="str">
        <f>IF(ISNA(MATCH(1159,'Transfer Engine'!$C$2:$C$1199,0)),"",INDEX('Compliance Database'!$F$2:$F$1199,MATCH(1159,'Transfer Engine'!$C$2:$C$1199,0)))</f>
        <v/>
      </c>
      <c r="G1168" s="6" t="str">
        <f>IF(ISNA(MATCH(1159,'Transfer Engine'!$C$2:$C$1199,0)),"",INDEX('Compliance Database'!$G$2:$G$1199,MATCH(1159,'Transfer Engine'!$C$2:$C$1199,0)))</f>
        <v/>
      </c>
      <c r="H1168" s="7" t="str">
        <f>IF(ISNA(MATCH(1159,'Transfer Engine'!$C$2:$C$1199,0)),"",INDEX('Compliance Database'!$H$2:$H$1199,MATCH(1159,'Transfer Engine'!$C$2:$C$1199,0)))</f>
        <v/>
      </c>
      <c r="I1168" s="7" t="str">
        <f>IF(ISNA(MATCH(1159,'Transfer Engine'!$C$2:$C$1199,0)),"",INDEX('Compliance Database'!$I$2:$I$1199,MATCH(1159,'Transfer Engine'!$C$2:$C$1199,0)))</f>
        <v/>
      </c>
      <c r="J1168" s="6" t="str">
        <f>IF(ISNA(MATCH(1159,'Transfer Engine'!$C$2:$C$1199,0)),"",INDEX('Compliance Database'!$J$2:$J$1199,MATCH(1159,'Transfer Engine'!$C$2:$C$1199,0)))</f>
        <v/>
      </c>
      <c r="K1168" s="7" t="str">
        <f>IF(ISNA(MATCH(1159,'Transfer Engine'!$C$2:$C$1199,0)),"",INDEX('Compliance Database'!$K$2:$K$1199,MATCH(1159,'Transfer Engine'!$C$2:$C$1199,0)))</f>
        <v/>
      </c>
      <c r="L1168" s="7" t="str">
        <f>IF(ISNA(MATCH(1159,'Transfer Engine'!$C$2:$C$1199,0)),"",INDEX('Compliance Database'!$L$2:$L$1199,MATCH(1159,'Transfer Engine'!$C$2:$C$1199,0)))</f>
        <v/>
      </c>
      <c r="M1168" s="7" t="str">
        <f>IF(ISNA(MATCH(1159,'Transfer Engine'!$C$2:$C$1199,0)),"",INDEX('Compliance Database'!$M$2:$M$1199,MATCH(1159,'Transfer Engine'!$C$2:$C$1199,0)))</f>
        <v/>
      </c>
      <c r="N1168" s="7" t="str">
        <f>IF(ISNA(MATCH(1159,'Transfer Engine'!$C$2:$C$1199,0)),"",INDEX('Compliance Database'!$N$2:$N$1199,MATCH(1159,'Transfer Engine'!$C$2:$C$1199,0)))</f>
        <v/>
      </c>
      <c r="O1168" s="7" t="str">
        <f>IF(ISNA(MATCH(1159,'Transfer Engine'!$C$2:$C$1199,0)),"",INDEX('Compliance Database'!$O$2:$O$1199,MATCH(1159,'Transfer Engine'!$C$2:$C$1199,0)))</f>
        <v/>
      </c>
      <c r="P1168" s="6" t="str">
        <f>IF(ISNA(MATCH(1159,'Transfer Engine'!$C$2:$C$1199,0)),"",HYPERLINK("#Acts!A"&amp;INDEX('Compliance Database'!$P$2:$P$1199,MATCH(1159,'Transfer Engine'!$C$2:$C$1199,0)),"Go to Act"))</f>
        <v/>
      </c>
    </row>
    <row r="1169" spans="1:16" ht="172.95" customHeight="1" x14ac:dyDescent="0.3">
      <c r="A1169" s="6" t="str">
        <f>IF(ISNA(MATCH(1160,'Transfer Engine'!$C$2:$C$1199,0)),"",INDEX('Compliance Database'!$A$2:$A$1199,MATCH(1160,'Transfer Engine'!$C$2:$C$1199,0)))</f>
        <v/>
      </c>
      <c r="B1169" s="6" t="str">
        <f>IF(ISNA(MATCH(1160,'Transfer Engine'!$C$2:$C$1199,0)),"",INDEX('Compliance Database'!$B$2:$B$1199,MATCH(1160,'Transfer Engine'!$C$2:$C$1199,0)))</f>
        <v/>
      </c>
      <c r="C1169" s="6" t="str">
        <f>IF(ISNA(MATCH(1160,'Transfer Engine'!$C$2:$C$1199,0)),"",INDEX('Compliance Database'!$C$2:$C$1199,MATCH(1160,'Transfer Engine'!$C$2:$C$1199,0)))</f>
        <v/>
      </c>
      <c r="D1169" s="7" t="str">
        <f>IF(ISNA(MATCH(1160,'Transfer Engine'!$C$2:$C$1199,0)),"",INDEX('Compliance Database'!$D$2:$D$1199,MATCH(1160,'Transfer Engine'!$C$2:$C$1199,0)))</f>
        <v/>
      </c>
      <c r="E1169" s="6" t="str">
        <f>IF(ISNA(MATCH(1160,'Transfer Engine'!$C$2:$C$1199,0)),"",INDEX('Compliance Database'!$E$2:$E$1199,MATCH(1160,'Transfer Engine'!$C$2:$C$1199,0)))</f>
        <v/>
      </c>
      <c r="F1169" s="6" t="str">
        <f>IF(ISNA(MATCH(1160,'Transfer Engine'!$C$2:$C$1199,0)),"",INDEX('Compliance Database'!$F$2:$F$1199,MATCH(1160,'Transfer Engine'!$C$2:$C$1199,0)))</f>
        <v/>
      </c>
      <c r="G1169" s="6" t="str">
        <f>IF(ISNA(MATCH(1160,'Transfer Engine'!$C$2:$C$1199,0)),"",INDEX('Compliance Database'!$G$2:$G$1199,MATCH(1160,'Transfer Engine'!$C$2:$C$1199,0)))</f>
        <v/>
      </c>
      <c r="H1169" s="7" t="str">
        <f>IF(ISNA(MATCH(1160,'Transfer Engine'!$C$2:$C$1199,0)),"",INDEX('Compliance Database'!$H$2:$H$1199,MATCH(1160,'Transfer Engine'!$C$2:$C$1199,0)))</f>
        <v/>
      </c>
      <c r="I1169" s="7" t="str">
        <f>IF(ISNA(MATCH(1160,'Transfer Engine'!$C$2:$C$1199,0)),"",INDEX('Compliance Database'!$I$2:$I$1199,MATCH(1160,'Transfer Engine'!$C$2:$C$1199,0)))</f>
        <v/>
      </c>
      <c r="J1169" s="6" t="str">
        <f>IF(ISNA(MATCH(1160,'Transfer Engine'!$C$2:$C$1199,0)),"",INDEX('Compliance Database'!$J$2:$J$1199,MATCH(1160,'Transfer Engine'!$C$2:$C$1199,0)))</f>
        <v/>
      </c>
      <c r="K1169" s="7" t="str">
        <f>IF(ISNA(MATCH(1160,'Transfer Engine'!$C$2:$C$1199,0)),"",INDEX('Compliance Database'!$K$2:$K$1199,MATCH(1160,'Transfer Engine'!$C$2:$C$1199,0)))</f>
        <v/>
      </c>
      <c r="L1169" s="7" t="str">
        <f>IF(ISNA(MATCH(1160,'Transfer Engine'!$C$2:$C$1199,0)),"",INDEX('Compliance Database'!$L$2:$L$1199,MATCH(1160,'Transfer Engine'!$C$2:$C$1199,0)))</f>
        <v/>
      </c>
      <c r="M1169" s="7" t="str">
        <f>IF(ISNA(MATCH(1160,'Transfer Engine'!$C$2:$C$1199,0)),"",INDEX('Compliance Database'!$M$2:$M$1199,MATCH(1160,'Transfer Engine'!$C$2:$C$1199,0)))</f>
        <v/>
      </c>
      <c r="N1169" s="7" t="str">
        <f>IF(ISNA(MATCH(1160,'Transfer Engine'!$C$2:$C$1199,0)),"",INDEX('Compliance Database'!$N$2:$N$1199,MATCH(1160,'Transfer Engine'!$C$2:$C$1199,0)))</f>
        <v/>
      </c>
      <c r="O1169" s="7" t="str">
        <f>IF(ISNA(MATCH(1160,'Transfer Engine'!$C$2:$C$1199,0)),"",INDEX('Compliance Database'!$O$2:$O$1199,MATCH(1160,'Transfer Engine'!$C$2:$C$1199,0)))</f>
        <v/>
      </c>
      <c r="P1169" s="6" t="str">
        <f>IF(ISNA(MATCH(1160,'Transfer Engine'!$C$2:$C$1199,0)),"",HYPERLINK("#Acts!A"&amp;INDEX('Compliance Database'!$P$2:$P$1199,MATCH(1160,'Transfer Engine'!$C$2:$C$1199,0)),"Go to Act"))</f>
        <v/>
      </c>
    </row>
    <row r="1170" spans="1:16" ht="172.95" customHeight="1" x14ac:dyDescent="0.3">
      <c r="A1170" s="6" t="str">
        <f>IF(ISNA(MATCH(1161,'Transfer Engine'!$C$2:$C$1199,0)),"",INDEX('Compliance Database'!$A$2:$A$1199,MATCH(1161,'Transfer Engine'!$C$2:$C$1199,0)))</f>
        <v/>
      </c>
      <c r="B1170" s="6" t="str">
        <f>IF(ISNA(MATCH(1161,'Transfer Engine'!$C$2:$C$1199,0)),"",INDEX('Compliance Database'!$B$2:$B$1199,MATCH(1161,'Transfer Engine'!$C$2:$C$1199,0)))</f>
        <v/>
      </c>
      <c r="C1170" s="6" t="str">
        <f>IF(ISNA(MATCH(1161,'Transfer Engine'!$C$2:$C$1199,0)),"",INDEX('Compliance Database'!$C$2:$C$1199,MATCH(1161,'Transfer Engine'!$C$2:$C$1199,0)))</f>
        <v/>
      </c>
      <c r="D1170" s="7" t="str">
        <f>IF(ISNA(MATCH(1161,'Transfer Engine'!$C$2:$C$1199,0)),"",INDEX('Compliance Database'!$D$2:$D$1199,MATCH(1161,'Transfer Engine'!$C$2:$C$1199,0)))</f>
        <v/>
      </c>
      <c r="E1170" s="6" t="str">
        <f>IF(ISNA(MATCH(1161,'Transfer Engine'!$C$2:$C$1199,0)),"",INDEX('Compliance Database'!$E$2:$E$1199,MATCH(1161,'Transfer Engine'!$C$2:$C$1199,0)))</f>
        <v/>
      </c>
      <c r="F1170" s="6" t="str">
        <f>IF(ISNA(MATCH(1161,'Transfer Engine'!$C$2:$C$1199,0)),"",INDEX('Compliance Database'!$F$2:$F$1199,MATCH(1161,'Transfer Engine'!$C$2:$C$1199,0)))</f>
        <v/>
      </c>
      <c r="G1170" s="6" t="str">
        <f>IF(ISNA(MATCH(1161,'Transfer Engine'!$C$2:$C$1199,0)),"",INDEX('Compliance Database'!$G$2:$G$1199,MATCH(1161,'Transfer Engine'!$C$2:$C$1199,0)))</f>
        <v/>
      </c>
      <c r="H1170" s="7" t="str">
        <f>IF(ISNA(MATCH(1161,'Transfer Engine'!$C$2:$C$1199,0)),"",INDEX('Compliance Database'!$H$2:$H$1199,MATCH(1161,'Transfer Engine'!$C$2:$C$1199,0)))</f>
        <v/>
      </c>
      <c r="I1170" s="7" t="str">
        <f>IF(ISNA(MATCH(1161,'Transfer Engine'!$C$2:$C$1199,0)),"",INDEX('Compliance Database'!$I$2:$I$1199,MATCH(1161,'Transfer Engine'!$C$2:$C$1199,0)))</f>
        <v/>
      </c>
      <c r="J1170" s="6" t="str">
        <f>IF(ISNA(MATCH(1161,'Transfer Engine'!$C$2:$C$1199,0)),"",INDEX('Compliance Database'!$J$2:$J$1199,MATCH(1161,'Transfer Engine'!$C$2:$C$1199,0)))</f>
        <v/>
      </c>
      <c r="K1170" s="7" t="str">
        <f>IF(ISNA(MATCH(1161,'Transfer Engine'!$C$2:$C$1199,0)),"",INDEX('Compliance Database'!$K$2:$K$1199,MATCH(1161,'Transfer Engine'!$C$2:$C$1199,0)))</f>
        <v/>
      </c>
      <c r="L1170" s="7" t="str">
        <f>IF(ISNA(MATCH(1161,'Transfer Engine'!$C$2:$C$1199,0)),"",INDEX('Compliance Database'!$L$2:$L$1199,MATCH(1161,'Transfer Engine'!$C$2:$C$1199,0)))</f>
        <v/>
      </c>
      <c r="M1170" s="7" t="str">
        <f>IF(ISNA(MATCH(1161,'Transfer Engine'!$C$2:$C$1199,0)),"",INDEX('Compliance Database'!$M$2:$M$1199,MATCH(1161,'Transfer Engine'!$C$2:$C$1199,0)))</f>
        <v/>
      </c>
      <c r="N1170" s="7" t="str">
        <f>IF(ISNA(MATCH(1161,'Transfer Engine'!$C$2:$C$1199,0)),"",INDEX('Compliance Database'!$N$2:$N$1199,MATCH(1161,'Transfer Engine'!$C$2:$C$1199,0)))</f>
        <v/>
      </c>
      <c r="O1170" s="7" t="str">
        <f>IF(ISNA(MATCH(1161,'Transfer Engine'!$C$2:$C$1199,0)),"",INDEX('Compliance Database'!$O$2:$O$1199,MATCH(1161,'Transfer Engine'!$C$2:$C$1199,0)))</f>
        <v/>
      </c>
      <c r="P1170" s="6" t="str">
        <f>IF(ISNA(MATCH(1161,'Transfer Engine'!$C$2:$C$1199,0)),"",HYPERLINK("#Acts!A"&amp;INDEX('Compliance Database'!$P$2:$P$1199,MATCH(1161,'Transfer Engine'!$C$2:$C$1199,0)),"Go to Act"))</f>
        <v/>
      </c>
    </row>
    <row r="1171" spans="1:16" ht="172.95" customHeight="1" x14ac:dyDescent="0.3">
      <c r="A1171" s="6" t="str">
        <f>IF(ISNA(MATCH(1162,'Transfer Engine'!$C$2:$C$1199,0)),"",INDEX('Compliance Database'!$A$2:$A$1199,MATCH(1162,'Transfer Engine'!$C$2:$C$1199,0)))</f>
        <v/>
      </c>
      <c r="B1171" s="6" t="str">
        <f>IF(ISNA(MATCH(1162,'Transfer Engine'!$C$2:$C$1199,0)),"",INDEX('Compliance Database'!$B$2:$B$1199,MATCH(1162,'Transfer Engine'!$C$2:$C$1199,0)))</f>
        <v/>
      </c>
      <c r="C1171" s="6" t="str">
        <f>IF(ISNA(MATCH(1162,'Transfer Engine'!$C$2:$C$1199,0)),"",INDEX('Compliance Database'!$C$2:$C$1199,MATCH(1162,'Transfer Engine'!$C$2:$C$1199,0)))</f>
        <v/>
      </c>
      <c r="D1171" s="7" t="str">
        <f>IF(ISNA(MATCH(1162,'Transfer Engine'!$C$2:$C$1199,0)),"",INDEX('Compliance Database'!$D$2:$D$1199,MATCH(1162,'Transfer Engine'!$C$2:$C$1199,0)))</f>
        <v/>
      </c>
      <c r="E1171" s="6" t="str">
        <f>IF(ISNA(MATCH(1162,'Transfer Engine'!$C$2:$C$1199,0)),"",INDEX('Compliance Database'!$E$2:$E$1199,MATCH(1162,'Transfer Engine'!$C$2:$C$1199,0)))</f>
        <v/>
      </c>
      <c r="F1171" s="6" t="str">
        <f>IF(ISNA(MATCH(1162,'Transfer Engine'!$C$2:$C$1199,0)),"",INDEX('Compliance Database'!$F$2:$F$1199,MATCH(1162,'Transfer Engine'!$C$2:$C$1199,0)))</f>
        <v/>
      </c>
      <c r="G1171" s="6" t="str">
        <f>IF(ISNA(MATCH(1162,'Transfer Engine'!$C$2:$C$1199,0)),"",INDEX('Compliance Database'!$G$2:$G$1199,MATCH(1162,'Transfer Engine'!$C$2:$C$1199,0)))</f>
        <v/>
      </c>
      <c r="H1171" s="7" t="str">
        <f>IF(ISNA(MATCH(1162,'Transfer Engine'!$C$2:$C$1199,0)),"",INDEX('Compliance Database'!$H$2:$H$1199,MATCH(1162,'Transfer Engine'!$C$2:$C$1199,0)))</f>
        <v/>
      </c>
      <c r="I1171" s="7" t="str">
        <f>IF(ISNA(MATCH(1162,'Transfer Engine'!$C$2:$C$1199,0)),"",INDEX('Compliance Database'!$I$2:$I$1199,MATCH(1162,'Transfer Engine'!$C$2:$C$1199,0)))</f>
        <v/>
      </c>
      <c r="J1171" s="6" t="str">
        <f>IF(ISNA(MATCH(1162,'Transfer Engine'!$C$2:$C$1199,0)),"",INDEX('Compliance Database'!$J$2:$J$1199,MATCH(1162,'Transfer Engine'!$C$2:$C$1199,0)))</f>
        <v/>
      </c>
      <c r="K1171" s="7" t="str">
        <f>IF(ISNA(MATCH(1162,'Transfer Engine'!$C$2:$C$1199,0)),"",INDEX('Compliance Database'!$K$2:$K$1199,MATCH(1162,'Transfer Engine'!$C$2:$C$1199,0)))</f>
        <v/>
      </c>
      <c r="L1171" s="7" t="str">
        <f>IF(ISNA(MATCH(1162,'Transfer Engine'!$C$2:$C$1199,0)),"",INDEX('Compliance Database'!$L$2:$L$1199,MATCH(1162,'Transfer Engine'!$C$2:$C$1199,0)))</f>
        <v/>
      </c>
      <c r="M1171" s="7" t="str">
        <f>IF(ISNA(MATCH(1162,'Transfer Engine'!$C$2:$C$1199,0)),"",INDEX('Compliance Database'!$M$2:$M$1199,MATCH(1162,'Transfer Engine'!$C$2:$C$1199,0)))</f>
        <v/>
      </c>
      <c r="N1171" s="7" t="str">
        <f>IF(ISNA(MATCH(1162,'Transfer Engine'!$C$2:$C$1199,0)),"",INDEX('Compliance Database'!$N$2:$N$1199,MATCH(1162,'Transfer Engine'!$C$2:$C$1199,0)))</f>
        <v/>
      </c>
      <c r="O1171" s="7" t="str">
        <f>IF(ISNA(MATCH(1162,'Transfer Engine'!$C$2:$C$1199,0)),"",INDEX('Compliance Database'!$O$2:$O$1199,MATCH(1162,'Transfer Engine'!$C$2:$C$1199,0)))</f>
        <v/>
      </c>
      <c r="P1171" s="6" t="str">
        <f>IF(ISNA(MATCH(1162,'Transfer Engine'!$C$2:$C$1199,0)),"",HYPERLINK("#Acts!A"&amp;INDEX('Compliance Database'!$P$2:$P$1199,MATCH(1162,'Transfer Engine'!$C$2:$C$1199,0)),"Go to Act"))</f>
        <v/>
      </c>
    </row>
    <row r="1172" spans="1:16" ht="172.95" customHeight="1" x14ac:dyDescent="0.3">
      <c r="A1172" s="6" t="str">
        <f>IF(ISNA(MATCH(1163,'Transfer Engine'!$C$2:$C$1199,0)),"",INDEX('Compliance Database'!$A$2:$A$1199,MATCH(1163,'Transfer Engine'!$C$2:$C$1199,0)))</f>
        <v/>
      </c>
      <c r="B1172" s="6" t="str">
        <f>IF(ISNA(MATCH(1163,'Transfer Engine'!$C$2:$C$1199,0)),"",INDEX('Compliance Database'!$B$2:$B$1199,MATCH(1163,'Transfer Engine'!$C$2:$C$1199,0)))</f>
        <v/>
      </c>
      <c r="C1172" s="6" t="str">
        <f>IF(ISNA(MATCH(1163,'Transfer Engine'!$C$2:$C$1199,0)),"",INDEX('Compliance Database'!$C$2:$C$1199,MATCH(1163,'Transfer Engine'!$C$2:$C$1199,0)))</f>
        <v/>
      </c>
      <c r="D1172" s="7" t="str">
        <f>IF(ISNA(MATCH(1163,'Transfer Engine'!$C$2:$C$1199,0)),"",INDEX('Compliance Database'!$D$2:$D$1199,MATCH(1163,'Transfer Engine'!$C$2:$C$1199,0)))</f>
        <v/>
      </c>
      <c r="E1172" s="6" t="str">
        <f>IF(ISNA(MATCH(1163,'Transfer Engine'!$C$2:$C$1199,0)),"",INDEX('Compliance Database'!$E$2:$E$1199,MATCH(1163,'Transfer Engine'!$C$2:$C$1199,0)))</f>
        <v/>
      </c>
      <c r="F1172" s="6" t="str">
        <f>IF(ISNA(MATCH(1163,'Transfer Engine'!$C$2:$C$1199,0)),"",INDEX('Compliance Database'!$F$2:$F$1199,MATCH(1163,'Transfer Engine'!$C$2:$C$1199,0)))</f>
        <v/>
      </c>
      <c r="G1172" s="6" t="str">
        <f>IF(ISNA(MATCH(1163,'Transfer Engine'!$C$2:$C$1199,0)),"",INDEX('Compliance Database'!$G$2:$G$1199,MATCH(1163,'Transfer Engine'!$C$2:$C$1199,0)))</f>
        <v/>
      </c>
      <c r="H1172" s="7" t="str">
        <f>IF(ISNA(MATCH(1163,'Transfer Engine'!$C$2:$C$1199,0)),"",INDEX('Compliance Database'!$H$2:$H$1199,MATCH(1163,'Transfer Engine'!$C$2:$C$1199,0)))</f>
        <v/>
      </c>
      <c r="I1172" s="7" t="str">
        <f>IF(ISNA(MATCH(1163,'Transfer Engine'!$C$2:$C$1199,0)),"",INDEX('Compliance Database'!$I$2:$I$1199,MATCH(1163,'Transfer Engine'!$C$2:$C$1199,0)))</f>
        <v/>
      </c>
      <c r="J1172" s="6" t="str">
        <f>IF(ISNA(MATCH(1163,'Transfer Engine'!$C$2:$C$1199,0)),"",INDEX('Compliance Database'!$J$2:$J$1199,MATCH(1163,'Transfer Engine'!$C$2:$C$1199,0)))</f>
        <v/>
      </c>
      <c r="K1172" s="7" t="str">
        <f>IF(ISNA(MATCH(1163,'Transfer Engine'!$C$2:$C$1199,0)),"",INDEX('Compliance Database'!$K$2:$K$1199,MATCH(1163,'Transfer Engine'!$C$2:$C$1199,0)))</f>
        <v/>
      </c>
      <c r="L1172" s="7" t="str">
        <f>IF(ISNA(MATCH(1163,'Transfer Engine'!$C$2:$C$1199,0)),"",INDEX('Compliance Database'!$L$2:$L$1199,MATCH(1163,'Transfer Engine'!$C$2:$C$1199,0)))</f>
        <v/>
      </c>
      <c r="M1172" s="7" t="str">
        <f>IF(ISNA(MATCH(1163,'Transfer Engine'!$C$2:$C$1199,0)),"",INDEX('Compliance Database'!$M$2:$M$1199,MATCH(1163,'Transfer Engine'!$C$2:$C$1199,0)))</f>
        <v/>
      </c>
      <c r="N1172" s="7" t="str">
        <f>IF(ISNA(MATCH(1163,'Transfer Engine'!$C$2:$C$1199,0)),"",INDEX('Compliance Database'!$N$2:$N$1199,MATCH(1163,'Transfer Engine'!$C$2:$C$1199,0)))</f>
        <v/>
      </c>
      <c r="O1172" s="7" t="str">
        <f>IF(ISNA(MATCH(1163,'Transfer Engine'!$C$2:$C$1199,0)),"",INDEX('Compliance Database'!$O$2:$O$1199,MATCH(1163,'Transfer Engine'!$C$2:$C$1199,0)))</f>
        <v/>
      </c>
      <c r="P1172" s="6" t="str">
        <f>IF(ISNA(MATCH(1163,'Transfer Engine'!$C$2:$C$1199,0)),"",HYPERLINK("#Acts!A"&amp;INDEX('Compliance Database'!$P$2:$P$1199,MATCH(1163,'Transfer Engine'!$C$2:$C$1199,0)),"Go to Act"))</f>
        <v/>
      </c>
    </row>
    <row r="1173" spans="1:16" ht="172.95" customHeight="1" x14ac:dyDescent="0.3">
      <c r="A1173" s="6" t="str">
        <f>IF(ISNA(MATCH(1164,'Transfer Engine'!$C$2:$C$1199,0)),"",INDEX('Compliance Database'!$A$2:$A$1199,MATCH(1164,'Transfer Engine'!$C$2:$C$1199,0)))</f>
        <v/>
      </c>
      <c r="B1173" s="6" t="str">
        <f>IF(ISNA(MATCH(1164,'Transfer Engine'!$C$2:$C$1199,0)),"",INDEX('Compliance Database'!$B$2:$B$1199,MATCH(1164,'Transfer Engine'!$C$2:$C$1199,0)))</f>
        <v/>
      </c>
      <c r="C1173" s="6" t="str">
        <f>IF(ISNA(MATCH(1164,'Transfer Engine'!$C$2:$C$1199,0)),"",INDEX('Compliance Database'!$C$2:$C$1199,MATCH(1164,'Transfer Engine'!$C$2:$C$1199,0)))</f>
        <v/>
      </c>
      <c r="D1173" s="7" t="str">
        <f>IF(ISNA(MATCH(1164,'Transfer Engine'!$C$2:$C$1199,0)),"",INDEX('Compliance Database'!$D$2:$D$1199,MATCH(1164,'Transfer Engine'!$C$2:$C$1199,0)))</f>
        <v/>
      </c>
      <c r="E1173" s="6" t="str">
        <f>IF(ISNA(MATCH(1164,'Transfer Engine'!$C$2:$C$1199,0)),"",INDEX('Compliance Database'!$E$2:$E$1199,MATCH(1164,'Transfer Engine'!$C$2:$C$1199,0)))</f>
        <v/>
      </c>
      <c r="F1173" s="6" t="str">
        <f>IF(ISNA(MATCH(1164,'Transfer Engine'!$C$2:$C$1199,0)),"",INDEX('Compliance Database'!$F$2:$F$1199,MATCH(1164,'Transfer Engine'!$C$2:$C$1199,0)))</f>
        <v/>
      </c>
      <c r="G1173" s="6" t="str">
        <f>IF(ISNA(MATCH(1164,'Transfer Engine'!$C$2:$C$1199,0)),"",INDEX('Compliance Database'!$G$2:$G$1199,MATCH(1164,'Transfer Engine'!$C$2:$C$1199,0)))</f>
        <v/>
      </c>
      <c r="H1173" s="7" t="str">
        <f>IF(ISNA(MATCH(1164,'Transfer Engine'!$C$2:$C$1199,0)),"",INDEX('Compliance Database'!$H$2:$H$1199,MATCH(1164,'Transfer Engine'!$C$2:$C$1199,0)))</f>
        <v/>
      </c>
      <c r="I1173" s="7" t="str">
        <f>IF(ISNA(MATCH(1164,'Transfer Engine'!$C$2:$C$1199,0)),"",INDEX('Compliance Database'!$I$2:$I$1199,MATCH(1164,'Transfer Engine'!$C$2:$C$1199,0)))</f>
        <v/>
      </c>
      <c r="J1173" s="6" t="str">
        <f>IF(ISNA(MATCH(1164,'Transfer Engine'!$C$2:$C$1199,0)),"",INDEX('Compliance Database'!$J$2:$J$1199,MATCH(1164,'Transfer Engine'!$C$2:$C$1199,0)))</f>
        <v/>
      </c>
      <c r="K1173" s="7" t="str">
        <f>IF(ISNA(MATCH(1164,'Transfer Engine'!$C$2:$C$1199,0)),"",INDEX('Compliance Database'!$K$2:$K$1199,MATCH(1164,'Transfer Engine'!$C$2:$C$1199,0)))</f>
        <v/>
      </c>
      <c r="L1173" s="7" t="str">
        <f>IF(ISNA(MATCH(1164,'Transfer Engine'!$C$2:$C$1199,0)),"",INDEX('Compliance Database'!$L$2:$L$1199,MATCH(1164,'Transfer Engine'!$C$2:$C$1199,0)))</f>
        <v/>
      </c>
      <c r="M1173" s="7" t="str">
        <f>IF(ISNA(MATCH(1164,'Transfer Engine'!$C$2:$C$1199,0)),"",INDEX('Compliance Database'!$M$2:$M$1199,MATCH(1164,'Transfer Engine'!$C$2:$C$1199,0)))</f>
        <v/>
      </c>
      <c r="N1173" s="7" t="str">
        <f>IF(ISNA(MATCH(1164,'Transfer Engine'!$C$2:$C$1199,0)),"",INDEX('Compliance Database'!$N$2:$N$1199,MATCH(1164,'Transfer Engine'!$C$2:$C$1199,0)))</f>
        <v/>
      </c>
      <c r="O1173" s="7" t="str">
        <f>IF(ISNA(MATCH(1164,'Transfer Engine'!$C$2:$C$1199,0)),"",INDEX('Compliance Database'!$O$2:$O$1199,MATCH(1164,'Transfer Engine'!$C$2:$C$1199,0)))</f>
        <v/>
      </c>
      <c r="P1173" s="6" t="str">
        <f>IF(ISNA(MATCH(1164,'Transfer Engine'!$C$2:$C$1199,0)),"",HYPERLINK("#Acts!A"&amp;INDEX('Compliance Database'!$P$2:$P$1199,MATCH(1164,'Transfer Engine'!$C$2:$C$1199,0)),"Go to Act"))</f>
        <v/>
      </c>
    </row>
    <row r="1174" spans="1:16" ht="172.95" customHeight="1" x14ac:dyDescent="0.3">
      <c r="A1174" s="6" t="str">
        <f>IF(ISNA(MATCH(1165,'Transfer Engine'!$C$2:$C$1199,0)),"",INDEX('Compliance Database'!$A$2:$A$1199,MATCH(1165,'Transfer Engine'!$C$2:$C$1199,0)))</f>
        <v/>
      </c>
      <c r="B1174" s="6" t="str">
        <f>IF(ISNA(MATCH(1165,'Transfer Engine'!$C$2:$C$1199,0)),"",INDEX('Compliance Database'!$B$2:$B$1199,MATCH(1165,'Transfer Engine'!$C$2:$C$1199,0)))</f>
        <v/>
      </c>
      <c r="C1174" s="6" t="str">
        <f>IF(ISNA(MATCH(1165,'Transfer Engine'!$C$2:$C$1199,0)),"",INDEX('Compliance Database'!$C$2:$C$1199,MATCH(1165,'Transfer Engine'!$C$2:$C$1199,0)))</f>
        <v/>
      </c>
      <c r="D1174" s="7" t="str">
        <f>IF(ISNA(MATCH(1165,'Transfer Engine'!$C$2:$C$1199,0)),"",INDEX('Compliance Database'!$D$2:$D$1199,MATCH(1165,'Transfer Engine'!$C$2:$C$1199,0)))</f>
        <v/>
      </c>
      <c r="E1174" s="6" t="str">
        <f>IF(ISNA(MATCH(1165,'Transfer Engine'!$C$2:$C$1199,0)),"",INDEX('Compliance Database'!$E$2:$E$1199,MATCH(1165,'Transfer Engine'!$C$2:$C$1199,0)))</f>
        <v/>
      </c>
      <c r="F1174" s="6" t="str">
        <f>IF(ISNA(MATCH(1165,'Transfer Engine'!$C$2:$C$1199,0)),"",INDEX('Compliance Database'!$F$2:$F$1199,MATCH(1165,'Transfer Engine'!$C$2:$C$1199,0)))</f>
        <v/>
      </c>
      <c r="G1174" s="6" t="str">
        <f>IF(ISNA(MATCH(1165,'Transfer Engine'!$C$2:$C$1199,0)),"",INDEX('Compliance Database'!$G$2:$G$1199,MATCH(1165,'Transfer Engine'!$C$2:$C$1199,0)))</f>
        <v/>
      </c>
      <c r="H1174" s="7" t="str">
        <f>IF(ISNA(MATCH(1165,'Transfer Engine'!$C$2:$C$1199,0)),"",INDEX('Compliance Database'!$H$2:$H$1199,MATCH(1165,'Transfer Engine'!$C$2:$C$1199,0)))</f>
        <v/>
      </c>
      <c r="I1174" s="7" t="str">
        <f>IF(ISNA(MATCH(1165,'Transfer Engine'!$C$2:$C$1199,0)),"",INDEX('Compliance Database'!$I$2:$I$1199,MATCH(1165,'Transfer Engine'!$C$2:$C$1199,0)))</f>
        <v/>
      </c>
      <c r="J1174" s="6" t="str">
        <f>IF(ISNA(MATCH(1165,'Transfer Engine'!$C$2:$C$1199,0)),"",INDEX('Compliance Database'!$J$2:$J$1199,MATCH(1165,'Transfer Engine'!$C$2:$C$1199,0)))</f>
        <v/>
      </c>
      <c r="K1174" s="7" t="str">
        <f>IF(ISNA(MATCH(1165,'Transfer Engine'!$C$2:$C$1199,0)),"",INDEX('Compliance Database'!$K$2:$K$1199,MATCH(1165,'Transfer Engine'!$C$2:$C$1199,0)))</f>
        <v/>
      </c>
      <c r="L1174" s="7" t="str">
        <f>IF(ISNA(MATCH(1165,'Transfer Engine'!$C$2:$C$1199,0)),"",INDEX('Compliance Database'!$L$2:$L$1199,MATCH(1165,'Transfer Engine'!$C$2:$C$1199,0)))</f>
        <v/>
      </c>
      <c r="M1174" s="7" t="str">
        <f>IF(ISNA(MATCH(1165,'Transfer Engine'!$C$2:$C$1199,0)),"",INDEX('Compliance Database'!$M$2:$M$1199,MATCH(1165,'Transfer Engine'!$C$2:$C$1199,0)))</f>
        <v/>
      </c>
      <c r="N1174" s="7" t="str">
        <f>IF(ISNA(MATCH(1165,'Transfer Engine'!$C$2:$C$1199,0)),"",INDEX('Compliance Database'!$N$2:$N$1199,MATCH(1165,'Transfer Engine'!$C$2:$C$1199,0)))</f>
        <v/>
      </c>
      <c r="O1174" s="7" t="str">
        <f>IF(ISNA(MATCH(1165,'Transfer Engine'!$C$2:$C$1199,0)),"",INDEX('Compliance Database'!$O$2:$O$1199,MATCH(1165,'Transfer Engine'!$C$2:$C$1199,0)))</f>
        <v/>
      </c>
      <c r="P1174" s="6" t="str">
        <f>IF(ISNA(MATCH(1165,'Transfer Engine'!$C$2:$C$1199,0)),"",HYPERLINK("#Acts!A"&amp;INDEX('Compliance Database'!$P$2:$P$1199,MATCH(1165,'Transfer Engine'!$C$2:$C$1199,0)),"Go to Act"))</f>
        <v/>
      </c>
    </row>
    <row r="1175" spans="1:16" ht="172.95" customHeight="1" x14ac:dyDescent="0.3">
      <c r="A1175" s="6" t="str">
        <f>IF(ISNA(MATCH(1166,'Transfer Engine'!$C$2:$C$1199,0)),"",INDEX('Compliance Database'!$A$2:$A$1199,MATCH(1166,'Transfer Engine'!$C$2:$C$1199,0)))</f>
        <v/>
      </c>
      <c r="B1175" s="6" t="str">
        <f>IF(ISNA(MATCH(1166,'Transfer Engine'!$C$2:$C$1199,0)),"",INDEX('Compliance Database'!$B$2:$B$1199,MATCH(1166,'Transfer Engine'!$C$2:$C$1199,0)))</f>
        <v/>
      </c>
      <c r="C1175" s="6" t="str">
        <f>IF(ISNA(MATCH(1166,'Transfer Engine'!$C$2:$C$1199,0)),"",INDEX('Compliance Database'!$C$2:$C$1199,MATCH(1166,'Transfer Engine'!$C$2:$C$1199,0)))</f>
        <v/>
      </c>
      <c r="D1175" s="7" t="str">
        <f>IF(ISNA(MATCH(1166,'Transfer Engine'!$C$2:$C$1199,0)),"",INDEX('Compliance Database'!$D$2:$D$1199,MATCH(1166,'Transfer Engine'!$C$2:$C$1199,0)))</f>
        <v/>
      </c>
      <c r="E1175" s="6" t="str">
        <f>IF(ISNA(MATCH(1166,'Transfer Engine'!$C$2:$C$1199,0)),"",INDEX('Compliance Database'!$E$2:$E$1199,MATCH(1166,'Transfer Engine'!$C$2:$C$1199,0)))</f>
        <v/>
      </c>
      <c r="F1175" s="6" t="str">
        <f>IF(ISNA(MATCH(1166,'Transfer Engine'!$C$2:$C$1199,0)),"",INDEX('Compliance Database'!$F$2:$F$1199,MATCH(1166,'Transfer Engine'!$C$2:$C$1199,0)))</f>
        <v/>
      </c>
      <c r="G1175" s="6" t="str">
        <f>IF(ISNA(MATCH(1166,'Transfer Engine'!$C$2:$C$1199,0)),"",INDEX('Compliance Database'!$G$2:$G$1199,MATCH(1166,'Transfer Engine'!$C$2:$C$1199,0)))</f>
        <v/>
      </c>
      <c r="H1175" s="7" t="str">
        <f>IF(ISNA(MATCH(1166,'Transfer Engine'!$C$2:$C$1199,0)),"",INDEX('Compliance Database'!$H$2:$H$1199,MATCH(1166,'Transfer Engine'!$C$2:$C$1199,0)))</f>
        <v/>
      </c>
      <c r="I1175" s="7" t="str">
        <f>IF(ISNA(MATCH(1166,'Transfer Engine'!$C$2:$C$1199,0)),"",INDEX('Compliance Database'!$I$2:$I$1199,MATCH(1166,'Transfer Engine'!$C$2:$C$1199,0)))</f>
        <v/>
      </c>
      <c r="J1175" s="6" t="str">
        <f>IF(ISNA(MATCH(1166,'Transfer Engine'!$C$2:$C$1199,0)),"",INDEX('Compliance Database'!$J$2:$J$1199,MATCH(1166,'Transfer Engine'!$C$2:$C$1199,0)))</f>
        <v/>
      </c>
      <c r="K1175" s="7" t="str">
        <f>IF(ISNA(MATCH(1166,'Transfer Engine'!$C$2:$C$1199,0)),"",INDEX('Compliance Database'!$K$2:$K$1199,MATCH(1166,'Transfer Engine'!$C$2:$C$1199,0)))</f>
        <v/>
      </c>
      <c r="L1175" s="7" t="str">
        <f>IF(ISNA(MATCH(1166,'Transfer Engine'!$C$2:$C$1199,0)),"",INDEX('Compliance Database'!$L$2:$L$1199,MATCH(1166,'Transfer Engine'!$C$2:$C$1199,0)))</f>
        <v/>
      </c>
      <c r="M1175" s="7" t="str">
        <f>IF(ISNA(MATCH(1166,'Transfer Engine'!$C$2:$C$1199,0)),"",INDEX('Compliance Database'!$M$2:$M$1199,MATCH(1166,'Transfer Engine'!$C$2:$C$1199,0)))</f>
        <v/>
      </c>
      <c r="N1175" s="7" t="str">
        <f>IF(ISNA(MATCH(1166,'Transfer Engine'!$C$2:$C$1199,0)),"",INDEX('Compliance Database'!$N$2:$N$1199,MATCH(1166,'Transfer Engine'!$C$2:$C$1199,0)))</f>
        <v/>
      </c>
      <c r="O1175" s="7" t="str">
        <f>IF(ISNA(MATCH(1166,'Transfer Engine'!$C$2:$C$1199,0)),"",INDEX('Compliance Database'!$O$2:$O$1199,MATCH(1166,'Transfer Engine'!$C$2:$C$1199,0)))</f>
        <v/>
      </c>
      <c r="P1175" s="6" t="str">
        <f>IF(ISNA(MATCH(1166,'Transfer Engine'!$C$2:$C$1199,0)),"",HYPERLINK("#Acts!A"&amp;INDEX('Compliance Database'!$P$2:$P$1199,MATCH(1166,'Transfer Engine'!$C$2:$C$1199,0)),"Go to Act"))</f>
        <v/>
      </c>
    </row>
    <row r="1176" spans="1:16" ht="172.95" customHeight="1" x14ac:dyDescent="0.3">
      <c r="A1176" s="6" t="str">
        <f>IF(ISNA(MATCH(1167,'Transfer Engine'!$C$2:$C$1199,0)),"",INDEX('Compliance Database'!$A$2:$A$1199,MATCH(1167,'Transfer Engine'!$C$2:$C$1199,0)))</f>
        <v/>
      </c>
      <c r="B1176" s="6" t="str">
        <f>IF(ISNA(MATCH(1167,'Transfer Engine'!$C$2:$C$1199,0)),"",INDEX('Compliance Database'!$B$2:$B$1199,MATCH(1167,'Transfer Engine'!$C$2:$C$1199,0)))</f>
        <v/>
      </c>
      <c r="C1176" s="6" t="str">
        <f>IF(ISNA(MATCH(1167,'Transfer Engine'!$C$2:$C$1199,0)),"",INDEX('Compliance Database'!$C$2:$C$1199,MATCH(1167,'Transfer Engine'!$C$2:$C$1199,0)))</f>
        <v/>
      </c>
      <c r="D1176" s="7" t="str">
        <f>IF(ISNA(MATCH(1167,'Transfer Engine'!$C$2:$C$1199,0)),"",INDEX('Compliance Database'!$D$2:$D$1199,MATCH(1167,'Transfer Engine'!$C$2:$C$1199,0)))</f>
        <v/>
      </c>
      <c r="E1176" s="6" t="str">
        <f>IF(ISNA(MATCH(1167,'Transfer Engine'!$C$2:$C$1199,0)),"",INDEX('Compliance Database'!$E$2:$E$1199,MATCH(1167,'Transfer Engine'!$C$2:$C$1199,0)))</f>
        <v/>
      </c>
      <c r="F1176" s="6" t="str">
        <f>IF(ISNA(MATCH(1167,'Transfer Engine'!$C$2:$C$1199,0)),"",INDEX('Compliance Database'!$F$2:$F$1199,MATCH(1167,'Transfer Engine'!$C$2:$C$1199,0)))</f>
        <v/>
      </c>
      <c r="G1176" s="6" t="str">
        <f>IF(ISNA(MATCH(1167,'Transfer Engine'!$C$2:$C$1199,0)),"",INDEX('Compliance Database'!$G$2:$G$1199,MATCH(1167,'Transfer Engine'!$C$2:$C$1199,0)))</f>
        <v/>
      </c>
      <c r="H1176" s="7" t="str">
        <f>IF(ISNA(MATCH(1167,'Transfer Engine'!$C$2:$C$1199,0)),"",INDEX('Compliance Database'!$H$2:$H$1199,MATCH(1167,'Transfer Engine'!$C$2:$C$1199,0)))</f>
        <v/>
      </c>
      <c r="I1176" s="7" t="str">
        <f>IF(ISNA(MATCH(1167,'Transfer Engine'!$C$2:$C$1199,0)),"",INDEX('Compliance Database'!$I$2:$I$1199,MATCH(1167,'Transfer Engine'!$C$2:$C$1199,0)))</f>
        <v/>
      </c>
      <c r="J1176" s="6" t="str">
        <f>IF(ISNA(MATCH(1167,'Transfer Engine'!$C$2:$C$1199,0)),"",INDEX('Compliance Database'!$J$2:$J$1199,MATCH(1167,'Transfer Engine'!$C$2:$C$1199,0)))</f>
        <v/>
      </c>
      <c r="K1176" s="7" t="str">
        <f>IF(ISNA(MATCH(1167,'Transfer Engine'!$C$2:$C$1199,0)),"",INDEX('Compliance Database'!$K$2:$K$1199,MATCH(1167,'Transfer Engine'!$C$2:$C$1199,0)))</f>
        <v/>
      </c>
      <c r="L1176" s="7" t="str">
        <f>IF(ISNA(MATCH(1167,'Transfer Engine'!$C$2:$C$1199,0)),"",INDEX('Compliance Database'!$L$2:$L$1199,MATCH(1167,'Transfer Engine'!$C$2:$C$1199,0)))</f>
        <v/>
      </c>
      <c r="M1176" s="7" t="str">
        <f>IF(ISNA(MATCH(1167,'Transfer Engine'!$C$2:$C$1199,0)),"",INDEX('Compliance Database'!$M$2:$M$1199,MATCH(1167,'Transfer Engine'!$C$2:$C$1199,0)))</f>
        <v/>
      </c>
      <c r="N1176" s="7" t="str">
        <f>IF(ISNA(MATCH(1167,'Transfer Engine'!$C$2:$C$1199,0)),"",INDEX('Compliance Database'!$N$2:$N$1199,MATCH(1167,'Transfer Engine'!$C$2:$C$1199,0)))</f>
        <v/>
      </c>
      <c r="O1176" s="7" t="str">
        <f>IF(ISNA(MATCH(1167,'Transfer Engine'!$C$2:$C$1199,0)),"",INDEX('Compliance Database'!$O$2:$O$1199,MATCH(1167,'Transfer Engine'!$C$2:$C$1199,0)))</f>
        <v/>
      </c>
      <c r="P1176" s="6" t="str">
        <f>IF(ISNA(MATCH(1167,'Transfer Engine'!$C$2:$C$1199,0)),"",HYPERLINK("#Acts!A"&amp;INDEX('Compliance Database'!$P$2:$P$1199,MATCH(1167,'Transfer Engine'!$C$2:$C$1199,0)),"Go to Act"))</f>
        <v/>
      </c>
    </row>
    <row r="1177" spans="1:16" ht="172.95" customHeight="1" x14ac:dyDescent="0.3">
      <c r="A1177" s="6" t="str">
        <f>IF(ISNA(MATCH(1168,'Transfer Engine'!$C$2:$C$1199,0)),"",INDEX('Compliance Database'!$A$2:$A$1199,MATCH(1168,'Transfer Engine'!$C$2:$C$1199,0)))</f>
        <v/>
      </c>
      <c r="B1177" s="6" t="str">
        <f>IF(ISNA(MATCH(1168,'Transfer Engine'!$C$2:$C$1199,0)),"",INDEX('Compliance Database'!$B$2:$B$1199,MATCH(1168,'Transfer Engine'!$C$2:$C$1199,0)))</f>
        <v/>
      </c>
      <c r="C1177" s="6" t="str">
        <f>IF(ISNA(MATCH(1168,'Transfer Engine'!$C$2:$C$1199,0)),"",INDEX('Compliance Database'!$C$2:$C$1199,MATCH(1168,'Transfer Engine'!$C$2:$C$1199,0)))</f>
        <v/>
      </c>
      <c r="D1177" s="7" t="str">
        <f>IF(ISNA(MATCH(1168,'Transfer Engine'!$C$2:$C$1199,0)),"",INDEX('Compliance Database'!$D$2:$D$1199,MATCH(1168,'Transfer Engine'!$C$2:$C$1199,0)))</f>
        <v/>
      </c>
      <c r="E1177" s="6" t="str">
        <f>IF(ISNA(MATCH(1168,'Transfer Engine'!$C$2:$C$1199,0)),"",INDEX('Compliance Database'!$E$2:$E$1199,MATCH(1168,'Transfer Engine'!$C$2:$C$1199,0)))</f>
        <v/>
      </c>
      <c r="F1177" s="6" t="str">
        <f>IF(ISNA(MATCH(1168,'Transfer Engine'!$C$2:$C$1199,0)),"",INDEX('Compliance Database'!$F$2:$F$1199,MATCH(1168,'Transfer Engine'!$C$2:$C$1199,0)))</f>
        <v/>
      </c>
      <c r="G1177" s="6" t="str">
        <f>IF(ISNA(MATCH(1168,'Transfer Engine'!$C$2:$C$1199,0)),"",INDEX('Compliance Database'!$G$2:$G$1199,MATCH(1168,'Transfer Engine'!$C$2:$C$1199,0)))</f>
        <v/>
      </c>
      <c r="H1177" s="7" t="str">
        <f>IF(ISNA(MATCH(1168,'Transfer Engine'!$C$2:$C$1199,0)),"",INDEX('Compliance Database'!$H$2:$H$1199,MATCH(1168,'Transfer Engine'!$C$2:$C$1199,0)))</f>
        <v/>
      </c>
      <c r="I1177" s="7" t="str">
        <f>IF(ISNA(MATCH(1168,'Transfer Engine'!$C$2:$C$1199,0)),"",INDEX('Compliance Database'!$I$2:$I$1199,MATCH(1168,'Transfer Engine'!$C$2:$C$1199,0)))</f>
        <v/>
      </c>
      <c r="J1177" s="6" t="str">
        <f>IF(ISNA(MATCH(1168,'Transfer Engine'!$C$2:$C$1199,0)),"",INDEX('Compliance Database'!$J$2:$J$1199,MATCH(1168,'Transfer Engine'!$C$2:$C$1199,0)))</f>
        <v/>
      </c>
      <c r="K1177" s="7" t="str">
        <f>IF(ISNA(MATCH(1168,'Transfer Engine'!$C$2:$C$1199,0)),"",INDEX('Compliance Database'!$K$2:$K$1199,MATCH(1168,'Transfer Engine'!$C$2:$C$1199,0)))</f>
        <v/>
      </c>
      <c r="L1177" s="7" t="str">
        <f>IF(ISNA(MATCH(1168,'Transfer Engine'!$C$2:$C$1199,0)),"",INDEX('Compliance Database'!$L$2:$L$1199,MATCH(1168,'Transfer Engine'!$C$2:$C$1199,0)))</f>
        <v/>
      </c>
      <c r="M1177" s="7" t="str">
        <f>IF(ISNA(MATCH(1168,'Transfer Engine'!$C$2:$C$1199,0)),"",INDEX('Compliance Database'!$M$2:$M$1199,MATCH(1168,'Transfer Engine'!$C$2:$C$1199,0)))</f>
        <v/>
      </c>
      <c r="N1177" s="7" t="str">
        <f>IF(ISNA(MATCH(1168,'Transfer Engine'!$C$2:$C$1199,0)),"",INDEX('Compliance Database'!$N$2:$N$1199,MATCH(1168,'Transfer Engine'!$C$2:$C$1199,0)))</f>
        <v/>
      </c>
      <c r="O1177" s="7" t="str">
        <f>IF(ISNA(MATCH(1168,'Transfer Engine'!$C$2:$C$1199,0)),"",INDEX('Compliance Database'!$O$2:$O$1199,MATCH(1168,'Transfer Engine'!$C$2:$C$1199,0)))</f>
        <v/>
      </c>
      <c r="P1177" s="6" t="str">
        <f>IF(ISNA(MATCH(1168,'Transfer Engine'!$C$2:$C$1199,0)),"",HYPERLINK("#Acts!A"&amp;INDEX('Compliance Database'!$P$2:$P$1199,MATCH(1168,'Transfer Engine'!$C$2:$C$1199,0)),"Go to Act"))</f>
        <v/>
      </c>
    </row>
    <row r="1178" spans="1:16" ht="172.95" customHeight="1" x14ac:dyDescent="0.3">
      <c r="A1178" s="6" t="str">
        <f>IF(ISNA(MATCH(1169,'Transfer Engine'!$C$2:$C$1199,0)),"",INDEX('Compliance Database'!$A$2:$A$1199,MATCH(1169,'Transfer Engine'!$C$2:$C$1199,0)))</f>
        <v/>
      </c>
      <c r="B1178" s="6" t="str">
        <f>IF(ISNA(MATCH(1169,'Transfer Engine'!$C$2:$C$1199,0)),"",INDEX('Compliance Database'!$B$2:$B$1199,MATCH(1169,'Transfer Engine'!$C$2:$C$1199,0)))</f>
        <v/>
      </c>
      <c r="C1178" s="6" t="str">
        <f>IF(ISNA(MATCH(1169,'Transfer Engine'!$C$2:$C$1199,0)),"",INDEX('Compliance Database'!$C$2:$C$1199,MATCH(1169,'Transfer Engine'!$C$2:$C$1199,0)))</f>
        <v/>
      </c>
      <c r="D1178" s="7" t="str">
        <f>IF(ISNA(MATCH(1169,'Transfer Engine'!$C$2:$C$1199,0)),"",INDEX('Compliance Database'!$D$2:$D$1199,MATCH(1169,'Transfer Engine'!$C$2:$C$1199,0)))</f>
        <v/>
      </c>
      <c r="E1178" s="6" t="str">
        <f>IF(ISNA(MATCH(1169,'Transfer Engine'!$C$2:$C$1199,0)),"",INDEX('Compliance Database'!$E$2:$E$1199,MATCH(1169,'Transfer Engine'!$C$2:$C$1199,0)))</f>
        <v/>
      </c>
      <c r="F1178" s="6" t="str">
        <f>IF(ISNA(MATCH(1169,'Transfer Engine'!$C$2:$C$1199,0)),"",INDEX('Compliance Database'!$F$2:$F$1199,MATCH(1169,'Transfer Engine'!$C$2:$C$1199,0)))</f>
        <v/>
      </c>
      <c r="G1178" s="6" t="str">
        <f>IF(ISNA(MATCH(1169,'Transfer Engine'!$C$2:$C$1199,0)),"",INDEX('Compliance Database'!$G$2:$G$1199,MATCH(1169,'Transfer Engine'!$C$2:$C$1199,0)))</f>
        <v/>
      </c>
      <c r="H1178" s="7" t="str">
        <f>IF(ISNA(MATCH(1169,'Transfer Engine'!$C$2:$C$1199,0)),"",INDEX('Compliance Database'!$H$2:$H$1199,MATCH(1169,'Transfer Engine'!$C$2:$C$1199,0)))</f>
        <v/>
      </c>
      <c r="I1178" s="7" t="str">
        <f>IF(ISNA(MATCH(1169,'Transfer Engine'!$C$2:$C$1199,0)),"",INDEX('Compliance Database'!$I$2:$I$1199,MATCH(1169,'Transfer Engine'!$C$2:$C$1199,0)))</f>
        <v/>
      </c>
      <c r="J1178" s="6" t="str">
        <f>IF(ISNA(MATCH(1169,'Transfer Engine'!$C$2:$C$1199,0)),"",INDEX('Compliance Database'!$J$2:$J$1199,MATCH(1169,'Transfer Engine'!$C$2:$C$1199,0)))</f>
        <v/>
      </c>
      <c r="K1178" s="7" t="str">
        <f>IF(ISNA(MATCH(1169,'Transfer Engine'!$C$2:$C$1199,0)),"",INDEX('Compliance Database'!$K$2:$K$1199,MATCH(1169,'Transfer Engine'!$C$2:$C$1199,0)))</f>
        <v/>
      </c>
      <c r="L1178" s="7" t="str">
        <f>IF(ISNA(MATCH(1169,'Transfer Engine'!$C$2:$C$1199,0)),"",INDEX('Compliance Database'!$L$2:$L$1199,MATCH(1169,'Transfer Engine'!$C$2:$C$1199,0)))</f>
        <v/>
      </c>
      <c r="M1178" s="7" t="str">
        <f>IF(ISNA(MATCH(1169,'Transfer Engine'!$C$2:$C$1199,0)),"",INDEX('Compliance Database'!$M$2:$M$1199,MATCH(1169,'Transfer Engine'!$C$2:$C$1199,0)))</f>
        <v/>
      </c>
      <c r="N1178" s="7" t="str">
        <f>IF(ISNA(MATCH(1169,'Transfer Engine'!$C$2:$C$1199,0)),"",INDEX('Compliance Database'!$N$2:$N$1199,MATCH(1169,'Transfer Engine'!$C$2:$C$1199,0)))</f>
        <v/>
      </c>
      <c r="O1178" s="7" t="str">
        <f>IF(ISNA(MATCH(1169,'Transfer Engine'!$C$2:$C$1199,0)),"",INDEX('Compliance Database'!$O$2:$O$1199,MATCH(1169,'Transfer Engine'!$C$2:$C$1199,0)))</f>
        <v/>
      </c>
      <c r="P1178" s="6" t="str">
        <f>IF(ISNA(MATCH(1169,'Transfer Engine'!$C$2:$C$1199,0)),"",HYPERLINK("#Acts!A"&amp;INDEX('Compliance Database'!$P$2:$P$1199,MATCH(1169,'Transfer Engine'!$C$2:$C$1199,0)),"Go to Act"))</f>
        <v/>
      </c>
    </row>
    <row r="1179" spans="1:16" ht="172.95" customHeight="1" x14ac:dyDescent="0.3">
      <c r="A1179" s="6" t="str">
        <f>IF(ISNA(MATCH(1170,'Transfer Engine'!$C$2:$C$1199,0)),"",INDEX('Compliance Database'!$A$2:$A$1199,MATCH(1170,'Transfer Engine'!$C$2:$C$1199,0)))</f>
        <v/>
      </c>
      <c r="B1179" s="6" t="str">
        <f>IF(ISNA(MATCH(1170,'Transfer Engine'!$C$2:$C$1199,0)),"",INDEX('Compliance Database'!$B$2:$B$1199,MATCH(1170,'Transfer Engine'!$C$2:$C$1199,0)))</f>
        <v/>
      </c>
      <c r="C1179" s="6" t="str">
        <f>IF(ISNA(MATCH(1170,'Transfer Engine'!$C$2:$C$1199,0)),"",INDEX('Compliance Database'!$C$2:$C$1199,MATCH(1170,'Transfer Engine'!$C$2:$C$1199,0)))</f>
        <v/>
      </c>
      <c r="D1179" s="7" t="str">
        <f>IF(ISNA(MATCH(1170,'Transfer Engine'!$C$2:$C$1199,0)),"",INDEX('Compliance Database'!$D$2:$D$1199,MATCH(1170,'Transfer Engine'!$C$2:$C$1199,0)))</f>
        <v/>
      </c>
      <c r="E1179" s="6" t="str">
        <f>IF(ISNA(MATCH(1170,'Transfer Engine'!$C$2:$C$1199,0)),"",INDEX('Compliance Database'!$E$2:$E$1199,MATCH(1170,'Transfer Engine'!$C$2:$C$1199,0)))</f>
        <v/>
      </c>
      <c r="F1179" s="6" t="str">
        <f>IF(ISNA(MATCH(1170,'Transfer Engine'!$C$2:$C$1199,0)),"",INDEX('Compliance Database'!$F$2:$F$1199,MATCH(1170,'Transfer Engine'!$C$2:$C$1199,0)))</f>
        <v/>
      </c>
      <c r="G1179" s="6" t="str">
        <f>IF(ISNA(MATCH(1170,'Transfer Engine'!$C$2:$C$1199,0)),"",INDEX('Compliance Database'!$G$2:$G$1199,MATCH(1170,'Transfer Engine'!$C$2:$C$1199,0)))</f>
        <v/>
      </c>
      <c r="H1179" s="7" t="str">
        <f>IF(ISNA(MATCH(1170,'Transfer Engine'!$C$2:$C$1199,0)),"",INDEX('Compliance Database'!$H$2:$H$1199,MATCH(1170,'Transfer Engine'!$C$2:$C$1199,0)))</f>
        <v/>
      </c>
      <c r="I1179" s="7" t="str">
        <f>IF(ISNA(MATCH(1170,'Transfer Engine'!$C$2:$C$1199,0)),"",INDEX('Compliance Database'!$I$2:$I$1199,MATCH(1170,'Transfer Engine'!$C$2:$C$1199,0)))</f>
        <v/>
      </c>
      <c r="J1179" s="6" t="str">
        <f>IF(ISNA(MATCH(1170,'Transfer Engine'!$C$2:$C$1199,0)),"",INDEX('Compliance Database'!$J$2:$J$1199,MATCH(1170,'Transfer Engine'!$C$2:$C$1199,0)))</f>
        <v/>
      </c>
      <c r="K1179" s="7" t="str">
        <f>IF(ISNA(MATCH(1170,'Transfer Engine'!$C$2:$C$1199,0)),"",INDEX('Compliance Database'!$K$2:$K$1199,MATCH(1170,'Transfer Engine'!$C$2:$C$1199,0)))</f>
        <v/>
      </c>
      <c r="L1179" s="7" t="str">
        <f>IF(ISNA(MATCH(1170,'Transfer Engine'!$C$2:$C$1199,0)),"",INDEX('Compliance Database'!$L$2:$L$1199,MATCH(1170,'Transfer Engine'!$C$2:$C$1199,0)))</f>
        <v/>
      </c>
      <c r="M1179" s="7" t="str">
        <f>IF(ISNA(MATCH(1170,'Transfer Engine'!$C$2:$C$1199,0)),"",INDEX('Compliance Database'!$M$2:$M$1199,MATCH(1170,'Transfer Engine'!$C$2:$C$1199,0)))</f>
        <v/>
      </c>
      <c r="N1179" s="7" t="str">
        <f>IF(ISNA(MATCH(1170,'Transfer Engine'!$C$2:$C$1199,0)),"",INDEX('Compliance Database'!$N$2:$N$1199,MATCH(1170,'Transfer Engine'!$C$2:$C$1199,0)))</f>
        <v/>
      </c>
      <c r="O1179" s="7" t="str">
        <f>IF(ISNA(MATCH(1170,'Transfer Engine'!$C$2:$C$1199,0)),"",INDEX('Compliance Database'!$O$2:$O$1199,MATCH(1170,'Transfer Engine'!$C$2:$C$1199,0)))</f>
        <v/>
      </c>
      <c r="P1179" s="6" t="str">
        <f>IF(ISNA(MATCH(1170,'Transfer Engine'!$C$2:$C$1199,0)),"",HYPERLINK("#Acts!A"&amp;INDEX('Compliance Database'!$P$2:$P$1199,MATCH(1170,'Transfer Engine'!$C$2:$C$1199,0)),"Go to Act"))</f>
        <v/>
      </c>
    </row>
    <row r="1180" spans="1:16" ht="172.95" customHeight="1" x14ac:dyDescent="0.3">
      <c r="A1180" s="6" t="str">
        <f>IF(ISNA(MATCH(1171,'Transfer Engine'!$C$2:$C$1199,0)),"",INDEX('Compliance Database'!$A$2:$A$1199,MATCH(1171,'Transfer Engine'!$C$2:$C$1199,0)))</f>
        <v/>
      </c>
      <c r="B1180" s="6" t="str">
        <f>IF(ISNA(MATCH(1171,'Transfer Engine'!$C$2:$C$1199,0)),"",INDEX('Compliance Database'!$B$2:$B$1199,MATCH(1171,'Transfer Engine'!$C$2:$C$1199,0)))</f>
        <v/>
      </c>
      <c r="C1180" s="6" t="str">
        <f>IF(ISNA(MATCH(1171,'Transfer Engine'!$C$2:$C$1199,0)),"",INDEX('Compliance Database'!$C$2:$C$1199,MATCH(1171,'Transfer Engine'!$C$2:$C$1199,0)))</f>
        <v/>
      </c>
      <c r="D1180" s="7" t="str">
        <f>IF(ISNA(MATCH(1171,'Transfer Engine'!$C$2:$C$1199,0)),"",INDEX('Compliance Database'!$D$2:$D$1199,MATCH(1171,'Transfer Engine'!$C$2:$C$1199,0)))</f>
        <v/>
      </c>
      <c r="E1180" s="6" t="str">
        <f>IF(ISNA(MATCH(1171,'Transfer Engine'!$C$2:$C$1199,0)),"",INDEX('Compliance Database'!$E$2:$E$1199,MATCH(1171,'Transfer Engine'!$C$2:$C$1199,0)))</f>
        <v/>
      </c>
      <c r="F1180" s="6" t="str">
        <f>IF(ISNA(MATCH(1171,'Transfer Engine'!$C$2:$C$1199,0)),"",INDEX('Compliance Database'!$F$2:$F$1199,MATCH(1171,'Transfer Engine'!$C$2:$C$1199,0)))</f>
        <v/>
      </c>
      <c r="G1180" s="6" t="str">
        <f>IF(ISNA(MATCH(1171,'Transfer Engine'!$C$2:$C$1199,0)),"",INDEX('Compliance Database'!$G$2:$G$1199,MATCH(1171,'Transfer Engine'!$C$2:$C$1199,0)))</f>
        <v/>
      </c>
      <c r="H1180" s="7" t="str">
        <f>IF(ISNA(MATCH(1171,'Transfer Engine'!$C$2:$C$1199,0)),"",INDEX('Compliance Database'!$H$2:$H$1199,MATCH(1171,'Transfer Engine'!$C$2:$C$1199,0)))</f>
        <v/>
      </c>
      <c r="I1180" s="7" t="str">
        <f>IF(ISNA(MATCH(1171,'Transfer Engine'!$C$2:$C$1199,0)),"",INDEX('Compliance Database'!$I$2:$I$1199,MATCH(1171,'Transfer Engine'!$C$2:$C$1199,0)))</f>
        <v/>
      </c>
      <c r="J1180" s="6" t="str">
        <f>IF(ISNA(MATCH(1171,'Transfer Engine'!$C$2:$C$1199,0)),"",INDEX('Compliance Database'!$J$2:$J$1199,MATCH(1171,'Transfer Engine'!$C$2:$C$1199,0)))</f>
        <v/>
      </c>
      <c r="K1180" s="7" t="str">
        <f>IF(ISNA(MATCH(1171,'Transfer Engine'!$C$2:$C$1199,0)),"",INDEX('Compliance Database'!$K$2:$K$1199,MATCH(1171,'Transfer Engine'!$C$2:$C$1199,0)))</f>
        <v/>
      </c>
      <c r="L1180" s="7" t="str">
        <f>IF(ISNA(MATCH(1171,'Transfer Engine'!$C$2:$C$1199,0)),"",INDEX('Compliance Database'!$L$2:$L$1199,MATCH(1171,'Transfer Engine'!$C$2:$C$1199,0)))</f>
        <v/>
      </c>
      <c r="M1180" s="7" t="str">
        <f>IF(ISNA(MATCH(1171,'Transfer Engine'!$C$2:$C$1199,0)),"",INDEX('Compliance Database'!$M$2:$M$1199,MATCH(1171,'Transfer Engine'!$C$2:$C$1199,0)))</f>
        <v/>
      </c>
      <c r="N1180" s="7" t="str">
        <f>IF(ISNA(MATCH(1171,'Transfer Engine'!$C$2:$C$1199,0)),"",INDEX('Compliance Database'!$N$2:$N$1199,MATCH(1171,'Transfer Engine'!$C$2:$C$1199,0)))</f>
        <v/>
      </c>
      <c r="O1180" s="7" t="str">
        <f>IF(ISNA(MATCH(1171,'Transfer Engine'!$C$2:$C$1199,0)),"",INDEX('Compliance Database'!$O$2:$O$1199,MATCH(1171,'Transfer Engine'!$C$2:$C$1199,0)))</f>
        <v/>
      </c>
      <c r="P1180" s="6" t="str">
        <f>IF(ISNA(MATCH(1171,'Transfer Engine'!$C$2:$C$1199,0)),"",HYPERLINK("#Acts!A"&amp;INDEX('Compliance Database'!$P$2:$P$1199,MATCH(1171,'Transfer Engine'!$C$2:$C$1199,0)),"Go to Act"))</f>
        <v/>
      </c>
    </row>
    <row r="1181" spans="1:16" ht="172.95" customHeight="1" x14ac:dyDescent="0.3">
      <c r="A1181" s="6" t="str">
        <f>IF(ISNA(MATCH(1172,'Transfer Engine'!$C$2:$C$1199,0)),"",INDEX('Compliance Database'!$A$2:$A$1199,MATCH(1172,'Transfer Engine'!$C$2:$C$1199,0)))</f>
        <v/>
      </c>
      <c r="B1181" s="6" t="str">
        <f>IF(ISNA(MATCH(1172,'Transfer Engine'!$C$2:$C$1199,0)),"",INDEX('Compliance Database'!$B$2:$B$1199,MATCH(1172,'Transfer Engine'!$C$2:$C$1199,0)))</f>
        <v/>
      </c>
      <c r="C1181" s="6" t="str">
        <f>IF(ISNA(MATCH(1172,'Transfer Engine'!$C$2:$C$1199,0)),"",INDEX('Compliance Database'!$C$2:$C$1199,MATCH(1172,'Transfer Engine'!$C$2:$C$1199,0)))</f>
        <v/>
      </c>
      <c r="D1181" s="7" t="str">
        <f>IF(ISNA(MATCH(1172,'Transfer Engine'!$C$2:$C$1199,0)),"",INDEX('Compliance Database'!$D$2:$D$1199,MATCH(1172,'Transfer Engine'!$C$2:$C$1199,0)))</f>
        <v/>
      </c>
      <c r="E1181" s="6" t="str">
        <f>IF(ISNA(MATCH(1172,'Transfer Engine'!$C$2:$C$1199,0)),"",INDEX('Compliance Database'!$E$2:$E$1199,MATCH(1172,'Transfer Engine'!$C$2:$C$1199,0)))</f>
        <v/>
      </c>
      <c r="F1181" s="6" t="str">
        <f>IF(ISNA(MATCH(1172,'Transfer Engine'!$C$2:$C$1199,0)),"",INDEX('Compliance Database'!$F$2:$F$1199,MATCH(1172,'Transfer Engine'!$C$2:$C$1199,0)))</f>
        <v/>
      </c>
      <c r="G1181" s="6" t="str">
        <f>IF(ISNA(MATCH(1172,'Transfer Engine'!$C$2:$C$1199,0)),"",INDEX('Compliance Database'!$G$2:$G$1199,MATCH(1172,'Transfer Engine'!$C$2:$C$1199,0)))</f>
        <v/>
      </c>
      <c r="H1181" s="7" t="str">
        <f>IF(ISNA(MATCH(1172,'Transfer Engine'!$C$2:$C$1199,0)),"",INDEX('Compliance Database'!$H$2:$H$1199,MATCH(1172,'Transfer Engine'!$C$2:$C$1199,0)))</f>
        <v/>
      </c>
      <c r="I1181" s="7" t="str">
        <f>IF(ISNA(MATCH(1172,'Transfer Engine'!$C$2:$C$1199,0)),"",INDEX('Compliance Database'!$I$2:$I$1199,MATCH(1172,'Transfer Engine'!$C$2:$C$1199,0)))</f>
        <v/>
      </c>
      <c r="J1181" s="6" t="str">
        <f>IF(ISNA(MATCH(1172,'Transfer Engine'!$C$2:$C$1199,0)),"",INDEX('Compliance Database'!$J$2:$J$1199,MATCH(1172,'Transfer Engine'!$C$2:$C$1199,0)))</f>
        <v/>
      </c>
      <c r="K1181" s="7" t="str">
        <f>IF(ISNA(MATCH(1172,'Transfer Engine'!$C$2:$C$1199,0)),"",INDEX('Compliance Database'!$K$2:$K$1199,MATCH(1172,'Transfer Engine'!$C$2:$C$1199,0)))</f>
        <v/>
      </c>
      <c r="L1181" s="7" t="str">
        <f>IF(ISNA(MATCH(1172,'Transfer Engine'!$C$2:$C$1199,0)),"",INDEX('Compliance Database'!$L$2:$L$1199,MATCH(1172,'Transfer Engine'!$C$2:$C$1199,0)))</f>
        <v/>
      </c>
      <c r="M1181" s="7" t="str">
        <f>IF(ISNA(MATCH(1172,'Transfer Engine'!$C$2:$C$1199,0)),"",INDEX('Compliance Database'!$M$2:$M$1199,MATCH(1172,'Transfer Engine'!$C$2:$C$1199,0)))</f>
        <v/>
      </c>
      <c r="N1181" s="7" t="str">
        <f>IF(ISNA(MATCH(1172,'Transfer Engine'!$C$2:$C$1199,0)),"",INDEX('Compliance Database'!$N$2:$N$1199,MATCH(1172,'Transfer Engine'!$C$2:$C$1199,0)))</f>
        <v/>
      </c>
      <c r="O1181" s="7" t="str">
        <f>IF(ISNA(MATCH(1172,'Transfer Engine'!$C$2:$C$1199,0)),"",INDEX('Compliance Database'!$O$2:$O$1199,MATCH(1172,'Transfer Engine'!$C$2:$C$1199,0)))</f>
        <v/>
      </c>
      <c r="P1181" s="6" t="str">
        <f>IF(ISNA(MATCH(1172,'Transfer Engine'!$C$2:$C$1199,0)),"",HYPERLINK("#Acts!A"&amp;INDEX('Compliance Database'!$P$2:$P$1199,MATCH(1172,'Transfer Engine'!$C$2:$C$1199,0)),"Go to Act"))</f>
        <v/>
      </c>
    </row>
    <row r="1182" spans="1:16" ht="172.95" customHeight="1" x14ac:dyDescent="0.3">
      <c r="A1182" s="6" t="str">
        <f>IF(ISNA(MATCH(1173,'Transfer Engine'!$C$2:$C$1199,0)),"",INDEX('Compliance Database'!$A$2:$A$1199,MATCH(1173,'Transfer Engine'!$C$2:$C$1199,0)))</f>
        <v/>
      </c>
      <c r="B1182" s="6" t="str">
        <f>IF(ISNA(MATCH(1173,'Transfer Engine'!$C$2:$C$1199,0)),"",INDEX('Compliance Database'!$B$2:$B$1199,MATCH(1173,'Transfer Engine'!$C$2:$C$1199,0)))</f>
        <v/>
      </c>
      <c r="C1182" s="6" t="str">
        <f>IF(ISNA(MATCH(1173,'Transfer Engine'!$C$2:$C$1199,0)),"",INDEX('Compliance Database'!$C$2:$C$1199,MATCH(1173,'Transfer Engine'!$C$2:$C$1199,0)))</f>
        <v/>
      </c>
      <c r="D1182" s="7" t="str">
        <f>IF(ISNA(MATCH(1173,'Transfer Engine'!$C$2:$C$1199,0)),"",INDEX('Compliance Database'!$D$2:$D$1199,MATCH(1173,'Transfer Engine'!$C$2:$C$1199,0)))</f>
        <v/>
      </c>
      <c r="E1182" s="6" t="str">
        <f>IF(ISNA(MATCH(1173,'Transfer Engine'!$C$2:$C$1199,0)),"",INDEX('Compliance Database'!$E$2:$E$1199,MATCH(1173,'Transfer Engine'!$C$2:$C$1199,0)))</f>
        <v/>
      </c>
      <c r="F1182" s="6" t="str">
        <f>IF(ISNA(MATCH(1173,'Transfer Engine'!$C$2:$C$1199,0)),"",INDEX('Compliance Database'!$F$2:$F$1199,MATCH(1173,'Transfer Engine'!$C$2:$C$1199,0)))</f>
        <v/>
      </c>
      <c r="G1182" s="6" t="str">
        <f>IF(ISNA(MATCH(1173,'Transfer Engine'!$C$2:$C$1199,0)),"",INDEX('Compliance Database'!$G$2:$G$1199,MATCH(1173,'Transfer Engine'!$C$2:$C$1199,0)))</f>
        <v/>
      </c>
      <c r="H1182" s="7" t="str">
        <f>IF(ISNA(MATCH(1173,'Transfer Engine'!$C$2:$C$1199,0)),"",INDEX('Compliance Database'!$H$2:$H$1199,MATCH(1173,'Transfer Engine'!$C$2:$C$1199,0)))</f>
        <v/>
      </c>
      <c r="I1182" s="7" t="str">
        <f>IF(ISNA(MATCH(1173,'Transfer Engine'!$C$2:$C$1199,0)),"",INDEX('Compliance Database'!$I$2:$I$1199,MATCH(1173,'Transfer Engine'!$C$2:$C$1199,0)))</f>
        <v/>
      </c>
      <c r="J1182" s="6" t="str">
        <f>IF(ISNA(MATCH(1173,'Transfer Engine'!$C$2:$C$1199,0)),"",INDEX('Compliance Database'!$J$2:$J$1199,MATCH(1173,'Transfer Engine'!$C$2:$C$1199,0)))</f>
        <v/>
      </c>
      <c r="K1182" s="7" t="str">
        <f>IF(ISNA(MATCH(1173,'Transfer Engine'!$C$2:$C$1199,0)),"",INDEX('Compliance Database'!$K$2:$K$1199,MATCH(1173,'Transfer Engine'!$C$2:$C$1199,0)))</f>
        <v/>
      </c>
      <c r="L1182" s="7" t="str">
        <f>IF(ISNA(MATCH(1173,'Transfer Engine'!$C$2:$C$1199,0)),"",INDEX('Compliance Database'!$L$2:$L$1199,MATCH(1173,'Transfer Engine'!$C$2:$C$1199,0)))</f>
        <v/>
      </c>
      <c r="M1182" s="7" t="str">
        <f>IF(ISNA(MATCH(1173,'Transfer Engine'!$C$2:$C$1199,0)),"",INDEX('Compliance Database'!$M$2:$M$1199,MATCH(1173,'Transfer Engine'!$C$2:$C$1199,0)))</f>
        <v/>
      </c>
      <c r="N1182" s="7" t="str">
        <f>IF(ISNA(MATCH(1173,'Transfer Engine'!$C$2:$C$1199,0)),"",INDEX('Compliance Database'!$N$2:$N$1199,MATCH(1173,'Transfer Engine'!$C$2:$C$1199,0)))</f>
        <v/>
      </c>
      <c r="O1182" s="7" t="str">
        <f>IF(ISNA(MATCH(1173,'Transfer Engine'!$C$2:$C$1199,0)),"",INDEX('Compliance Database'!$O$2:$O$1199,MATCH(1173,'Transfer Engine'!$C$2:$C$1199,0)))</f>
        <v/>
      </c>
      <c r="P1182" s="6" t="str">
        <f>IF(ISNA(MATCH(1173,'Transfer Engine'!$C$2:$C$1199,0)),"",HYPERLINK("#Acts!A"&amp;INDEX('Compliance Database'!$P$2:$P$1199,MATCH(1173,'Transfer Engine'!$C$2:$C$1199,0)),"Go to Act"))</f>
        <v/>
      </c>
    </row>
    <row r="1183" spans="1:16" ht="172.95" customHeight="1" x14ac:dyDescent="0.3">
      <c r="A1183" s="6" t="str">
        <f>IF(ISNA(MATCH(1174,'Transfer Engine'!$C$2:$C$1199,0)),"",INDEX('Compliance Database'!$A$2:$A$1199,MATCH(1174,'Transfer Engine'!$C$2:$C$1199,0)))</f>
        <v/>
      </c>
      <c r="B1183" s="6" t="str">
        <f>IF(ISNA(MATCH(1174,'Transfer Engine'!$C$2:$C$1199,0)),"",INDEX('Compliance Database'!$B$2:$B$1199,MATCH(1174,'Transfer Engine'!$C$2:$C$1199,0)))</f>
        <v/>
      </c>
      <c r="C1183" s="6" t="str">
        <f>IF(ISNA(MATCH(1174,'Transfer Engine'!$C$2:$C$1199,0)),"",INDEX('Compliance Database'!$C$2:$C$1199,MATCH(1174,'Transfer Engine'!$C$2:$C$1199,0)))</f>
        <v/>
      </c>
      <c r="D1183" s="7" t="str">
        <f>IF(ISNA(MATCH(1174,'Transfer Engine'!$C$2:$C$1199,0)),"",INDEX('Compliance Database'!$D$2:$D$1199,MATCH(1174,'Transfer Engine'!$C$2:$C$1199,0)))</f>
        <v/>
      </c>
      <c r="E1183" s="6" t="str">
        <f>IF(ISNA(MATCH(1174,'Transfer Engine'!$C$2:$C$1199,0)),"",INDEX('Compliance Database'!$E$2:$E$1199,MATCH(1174,'Transfer Engine'!$C$2:$C$1199,0)))</f>
        <v/>
      </c>
      <c r="F1183" s="6" t="str">
        <f>IF(ISNA(MATCH(1174,'Transfer Engine'!$C$2:$C$1199,0)),"",INDEX('Compliance Database'!$F$2:$F$1199,MATCH(1174,'Transfer Engine'!$C$2:$C$1199,0)))</f>
        <v/>
      </c>
      <c r="G1183" s="6" t="str">
        <f>IF(ISNA(MATCH(1174,'Transfer Engine'!$C$2:$C$1199,0)),"",INDEX('Compliance Database'!$G$2:$G$1199,MATCH(1174,'Transfer Engine'!$C$2:$C$1199,0)))</f>
        <v/>
      </c>
      <c r="H1183" s="7" t="str">
        <f>IF(ISNA(MATCH(1174,'Transfer Engine'!$C$2:$C$1199,0)),"",INDEX('Compliance Database'!$H$2:$H$1199,MATCH(1174,'Transfer Engine'!$C$2:$C$1199,0)))</f>
        <v/>
      </c>
      <c r="I1183" s="7" t="str">
        <f>IF(ISNA(MATCH(1174,'Transfer Engine'!$C$2:$C$1199,0)),"",INDEX('Compliance Database'!$I$2:$I$1199,MATCH(1174,'Transfer Engine'!$C$2:$C$1199,0)))</f>
        <v/>
      </c>
      <c r="J1183" s="6" t="str">
        <f>IF(ISNA(MATCH(1174,'Transfer Engine'!$C$2:$C$1199,0)),"",INDEX('Compliance Database'!$J$2:$J$1199,MATCH(1174,'Transfer Engine'!$C$2:$C$1199,0)))</f>
        <v/>
      </c>
      <c r="K1183" s="7" t="str">
        <f>IF(ISNA(MATCH(1174,'Transfer Engine'!$C$2:$C$1199,0)),"",INDEX('Compliance Database'!$K$2:$K$1199,MATCH(1174,'Transfer Engine'!$C$2:$C$1199,0)))</f>
        <v/>
      </c>
      <c r="L1183" s="7" t="str">
        <f>IF(ISNA(MATCH(1174,'Transfer Engine'!$C$2:$C$1199,0)),"",INDEX('Compliance Database'!$L$2:$L$1199,MATCH(1174,'Transfer Engine'!$C$2:$C$1199,0)))</f>
        <v/>
      </c>
      <c r="M1183" s="7" t="str">
        <f>IF(ISNA(MATCH(1174,'Transfer Engine'!$C$2:$C$1199,0)),"",INDEX('Compliance Database'!$M$2:$M$1199,MATCH(1174,'Transfer Engine'!$C$2:$C$1199,0)))</f>
        <v/>
      </c>
      <c r="N1183" s="7" t="str">
        <f>IF(ISNA(MATCH(1174,'Transfer Engine'!$C$2:$C$1199,0)),"",INDEX('Compliance Database'!$N$2:$N$1199,MATCH(1174,'Transfer Engine'!$C$2:$C$1199,0)))</f>
        <v/>
      </c>
      <c r="O1183" s="7" t="str">
        <f>IF(ISNA(MATCH(1174,'Transfer Engine'!$C$2:$C$1199,0)),"",INDEX('Compliance Database'!$O$2:$O$1199,MATCH(1174,'Transfer Engine'!$C$2:$C$1199,0)))</f>
        <v/>
      </c>
      <c r="P1183" s="6" t="str">
        <f>IF(ISNA(MATCH(1174,'Transfer Engine'!$C$2:$C$1199,0)),"",HYPERLINK("#Acts!A"&amp;INDEX('Compliance Database'!$P$2:$P$1199,MATCH(1174,'Transfer Engine'!$C$2:$C$1199,0)),"Go to Act"))</f>
        <v/>
      </c>
    </row>
    <row r="1184" spans="1:16" ht="172.95" customHeight="1" x14ac:dyDescent="0.3">
      <c r="A1184" s="6" t="str">
        <f>IF(ISNA(MATCH(1175,'Transfer Engine'!$C$2:$C$1199,0)),"",INDEX('Compliance Database'!$A$2:$A$1199,MATCH(1175,'Transfer Engine'!$C$2:$C$1199,0)))</f>
        <v/>
      </c>
      <c r="B1184" s="6" t="str">
        <f>IF(ISNA(MATCH(1175,'Transfer Engine'!$C$2:$C$1199,0)),"",INDEX('Compliance Database'!$B$2:$B$1199,MATCH(1175,'Transfer Engine'!$C$2:$C$1199,0)))</f>
        <v/>
      </c>
      <c r="C1184" s="6" t="str">
        <f>IF(ISNA(MATCH(1175,'Transfer Engine'!$C$2:$C$1199,0)),"",INDEX('Compliance Database'!$C$2:$C$1199,MATCH(1175,'Transfer Engine'!$C$2:$C$1199,0)))</f>
        <v/>
      </c>
      <c r="D1184" s="7" t="str">
        <f>IF(ISNA(MATCH(1175,'Transfer Engine'!$C$2:$C$1199,0)),"",INDEX('Compliance Database'!$D$2:$D$1199,MATCH(1175,'Transfer Engine'!$C$2:$C$1199,0)))</f>
        <v/>
      </c>
      <c r="E1184" s="6" t="str">
        <f>IF(ISNA(MATCH(1175,'Transfer Engine'!$C$2:$C$1199,0)),"",INDEX('Compliance Database'!$E$2:$E$1199,MATCH(1175,'Transfer Engine'!$C$2:$C$1199,0)))</f>
        <v/>
      </c>
      <c r="F1184" s="6" t="str">
        <f>IF(ISNA(MATCH(1175,'Transfer Engine'!$C$2:$C$1199,0)),"",INDEX('Compliance Database'!$F$2:$F$1199,MATCH(1175,'Transfer Engine'!$C$2:$C$1199,0)))</f>
        <v/>
      </c>
      <c r="G1184" s="6" t="str">
        <f>IF(ISNA(MATCH(1175,'Transfer Engine'!$C$2:$C$1199,0)),"",INDEX('Compliance Database'!$G$2:$G$1199,MATCH(1175,'Transfer Engine'!$C$2:$C$1199,0)))</f>
        <v/>
      </c>
      <c r="H1184" s="7" t="str">
        <f>IF(ISNA(MATCH(1175,'Transfer Engine'!$C$2:$C$1199,0)),"",INDEX('Compliance Database'!$H$2:$H$1199,MATCH(1175,'Transfer Engine'!$C$2:$C$1199,0)))</f>
        <v/>
      </c>
      <c r="I1184" s="7" t="str">
        <f>IF(ISNA(MATCH(1175,'Transfer Engine'!$C$2:$C$1199,0)),"",INDEX('Compliance Database'!$I$2:$I$1199,MATCH(1175,'Transfer Engine'!$C$2:$C$1199,0)))</f>
        <v/>
      </c>
      <c r="J1184" s="6" t="str">
        <f>IF(ISNA(MATCH(1175,'Transfer Engine'!$C$2:$C$1199,0)),"",INDEX('Compliance Database'!$J$2:$J$1199,MATCH(1175,'Transfer Engine'!$C$2:$C$1199,0)))</f>
        <v/>
      </c>
      <c r="K1184" s="7" t="str">
        <f>IF(ISNA(MATCH(1175,'Transfer Engine'!$C$2:$C$1199,0)),"",INDEX('Compliance Database'!$K$2:$K$1199,MATCH(1175,'Transfer Engine'!$C$2:$C$1199,0)))</f>
        <v/>
      </c>
      <c r="L1184" s="7" t="str">
        <f>IF(ISNA(MATCH(1175,'Transfer Engine'!$C$2:$C$1199,0)),"",INDEX('Compliance Database'!$L$2:$L$1199,MATCH(1175,'Transfer Engine'!$C$2:$C$1199,0)))</f>
        <v/>
      </c>
      <c r="M1184" s="7" t="str">
        <f>IF(ISNA(MATCH(1175,'Transfer Engine'!$C$2:$C$1199,0)),"",INDEX('Compliance Database'!$M$2:$M$1199,MATCH(1175,'Transfer Engine'!$C$2:$C$1199,0)))</f>
        <v/>
      </c>
      <c r="N1184" s="7" t="str">
        <f>IF(ISNA(MATCH(1175,'Transfer Engine'!$C$2:$C$1199,0)),"",INDEX('Compliance Database'!$N$2:$N$1199,MATCH(1175,'Transfer Engine'!$C$2:$C$1199,0)))</f>
        <v/>
      </c>
      <c r="O1184" s="7" t="str">
        <f>IF(ISNA(MATCH(1175,'Transfer Engine'!$C$2:$C$1199,0)),"",INDEX('Compliance Database'!$O$2:$O$1199,MATCH(1175,'Transfer Engine'!$C$2:$C$1199,0)))</f>
        <v/>
      </c>
      <c r="P1184" s="6" t="str">
        <f>IF(ISNA(MATCH(1175,'Transfer Engine'!$C$2:$C$1199,0)),"",HYPERLINK("#Acts!A"&amp;INDEX('Compliance Database'!$P$2:$P$1199,MATCH(1175,'Transfer Engine'!$C$2:$C$1199,0)),"Go to Act"))</f>
        <v/>
      </c>
    </row>
    <row r="1185" spans="1:16" ht="172.95" customHeight="1" x14ac:dyDescent="0.3">
      <c r="A1185" s="6" t="str">
        <f>IF(ISNA(MATCH(1176,'Transfer Engine'!$C$2:$C$1199,0)),"",INDEX('Compliance Database'!$A$2:$A$1199,MATCH(1176,'Transfer Engine'!$C$2:$C$1199,0)))</f>
        <v/>
      </c>
      <c r="B1185" s="6" t="str">
        <f>IF(ISNA(MATCH(1176,'Transfer Engine'!$C$2:$C$1199,0)),"",INDEX('Compliance Database'!$B$2:$B$1199,MATCH(1176,'Transfer Engine'!$C$2:$C$1199,0)))</f>
        <v/>
      </c>
      <c r="C1185" s="6" t="str">
        <f>IF(ISNA(MATCH(1176,'Transfer Engine'!$C$2:$C$1199,0)),"",INDEX('Compliance Database'!$C$2:$C$1199,MATCH(1176,'Transfer Engine'!$C$2:$C$1199,0)))</f>
        <v/>
      </c>
      <c r="D1185" s="7" t="str">
        <f>IF(ISNA(MATCH(1176,'Transfer Engine'!$C$2:$C$1199,0)),"",INDEX('Compliance Database'!$D$2:$D$1199,MATCH(1176,'Transfer Engine'!$C$2:$C$1199,0)))</f>
        <v/>
      </c>
      <c r="E1185" s="6" t="str">
        <f>IF(ISNA(MATCH(1176,'Transfer Engine'!$C$2:$C$1199,0)),"",INDEX('Compliance Database'!$E$2:$E$1199,MATCH(1176,'Transfer Engine'!$C$2:$C$1199,0)))</f>
        <v/>
      </c>
      <c r="F1185" s="6" t="str">
        <f>IF(ISNA(MATCH(1176,'Transfer Engine'!$C$2:$C$1199,0)),"",INDEX('Compliance Database'!$F$2:$F$1199,MATCH(1176,'Transfer Engine'!$C$2:$C$1199,0)))</f>
        <v/>
      </c>
      <c r="G1185" s="6" t="str">
        <f>IF(ISNA(MATCH(1176,'Transfer Engine'!$C$2:$C$1199,0)),"",INDEX('Compliance Database'!$G$2:$G$1199,MATCH(1176,'Transfer Engine'!$C$2:$C$1199,0)))</f>
        <v/>
      </c>
      <c r="H1185" s="7" t="str">
        <f>IF(ISNA(MATCH(1176,'Transfer Engine'!$C$2:$C$1199,0)),"",INDEX('Compliance Database'!$H$2:$H$1199,MATCH(1176,'Transfer Engine'!$C$2:$C$1199,0)))</f>
        <v/>
      </c>
      <c r="I1185" s="7" t="str">
        <f>IF(ISNA(MATCH(1176,'Transfer Engine'!$C$2:$C$1199,0)),"",INDEX('Compliance Database'!$I$2:$I$1199,MATCH(1176,'Transfer Engine'!$C$2:$C$1199,0)))</f>
        <v/>
      </c>
      <c r="J1185" s="6" t="str">
        <f>IF(ISNA(MATCH(1176,'Transfer Engine'!$C$2:$C$1199,0)),"",INDEX('Compliance Database'!$J$2:$J$1199,MATCH(1176,'Transfer Engine'!$C$2:$C$1199,0)))</f>
        <v/>
      </c>
      <c r="K1185" s="7" t="str">
        <f>IF(ISNA(MATCH(1176,'Transfer Engine'!$C$2:$C$1199,0)),"",INDEX('Compliance Database'!$K$2:$K$1199,MATCH(1176,'Transfer Engine'!$C$2:$C$1199,0)))</f>
        <v/>
      </c>
      <c r="L1185" s="7" t="str">
        <f>IF(ISNA(MATCH(1176,'Transfer Engine'!$C$2:$C$1199,0)),"",INDEX('Compliance Database'!$L$2:$L$1199,MATCH(1176,'Transfer Engine'!$C$2:$C$1199,0)))</f>
        <v/>
      </c>
      <c r="M1185" s="7" t="str">
        <f>IF(ISNA(MATCH(1176,'Transfer Engine'!$C$2:$C$1199,0)),"",INDEX('Compliance Database'!$M$2:$M$1199,MATCH(1176,'Transfer Engine'!$C$2:$C$1199,0)))</f>
        <v/>
      </c>
      <c r="N1185" s="7" t="str">
        <f>IF(ISNA(MATCH(1176,'Transfer Engine'!$C$2:$C$1199,0)),"",INDEX('Compliance Database'!$N$2:$N$1199,MATCH(1176,'Transfer Engine'!$C$2:$C$1199,0)))</f>
        <v/>
      </c>
      <c r="O1185" s="7" t="str">
        <f>IF(ISNA(MATCH(1176,'Transfer Engine'!$C$2:$C$1199,0)),"",INDEX('Compliance Database'!$O$2:$O$1199,MATCH(1176,'Transfer Engine'!$C$2:$C$1199,0)))</f>
        <v/>
      </c>
      <c r="P1185" s="6" t="str">
        <f>IF(ISNA(MATCH(1176,'Transfer Engine'!$C$2:$C$1199,0)),"",HYPERLINK("#Acts!A"&amp;INDEX('Compliance Database'!$P$2:$P$1199,MATCH(1176,'Transfer Engine'!$C$2:$C$1199,0)),"Go to Act"))</f>
        <v/>
      </c>
    </row>
    <row r="1186" spans="1:16" ht="172.95" customHeight="1" x14ac:dyDescent="0.3">
      <c r="A1186" s="6" t="str">
        <f>IF(ISNA(MATCH(1177,'Transfer Engine'!$C$2:$C$1199,0)),"",INDEX('Compliance Database'!$A$2:$A$1199,MATCH(1177,'Transfer Engine'!$C$2:$C$1199,0)))</f>
        <v/>
      </c>
      <c r="B1186" s="6" t="str">
        <f>IF(ISNA(MATCH(1177,'Transfer Engine'!$C$2:$C$1199,0)),"",INDEX('Compliance Database'!$B$2:$B$1199,MATCH(1177,'Transfer Engine'!$C$2:$C$1199,0)))</f>
        <v/>
      </c>
      <c r="C1186" s="6" t="str">
        <f>IF(ISNA(MATCH(1177,'Transfer Engine'!$C$2:$C$1199,0)),"",INDEX('Compliance Database'!$C$2:$C$1199,MATCH(1177,'Transfer Engine'!$C$2:$C$1199,0)))</f>
        <v/>
      </c>
      <c r="D1186" s="7" t="str">
        <f>IF(ISNA(MATCH(1177,'Transfer Engine'!$C$2:$C$1199,0)),"",INDEX('Compliance Database'!$D$2:$D$1199,MATCH(1177,'Transfer Engine'!$C$2:$C$1199,0)))</f>
        <v/>
      </c>
      <c r="E1186" s="6" t="str">
        <f>IF(ISNA(MATCH(1177,'Transfer Engine'!$C$2:$C$1199,0)),"",INDEX('Compliance Database'!$E$2:$E$1199,MATCH(1177,'Transfer Engine'!$C$2:$C$1199,0)))</f>
        <v/>
      </c>
      <c r="F1186" s="6" t="str">
        <f>IF(ISNA(MATCH(1177,'Transfer Engine'!$C$2:$C$1199,0)),"",INDEX('Compliance Database'!$F$2:$F$1199,MATCH(1177,'Transfer Engine'!$C$2:$C$1199,0)))</f>
        <v/>
      </c>
      <c r="G1186" s="6" t="str">
        <f>IF(ISNA(MATCH(1177,'Transfer Engine'!$C$2:$C$1199,0)),"",INDEX('Compliance Database'!$G$2:$G$1199,MATCH(1177,'Transfer Engine'!$C$2:$C$1199,0)))</f>
        <v/>
      </c>
      <c r="H1186" s="7" t="str">
        <f>IF(ISNA(MATCH(1177,'Transfer Engine'!$C$2:$C$1199,0)),"",INDEX('Compliance Database'!$H$2:$H$1199,MATCH(1177,'Transfer Engine'!$C$2:$C$1199,0)))</f>
        <v/>
      </c>
      <c r="I1186" s="7" t="str">
        <f>IF(ISNA(MATCH(1177,'Transfer Engine'!$C$2:$C$1199,0)),"",INDEX('Compliance Database'!$I$2:$I$1199,MATCH(1177,'Transfer Engine'!$C$2:$C$1199,0)))</f>
        <v/>
      </c>
      <c r="J1186" s="6" t="str">
        <f>IF(ISNA(MATCH(1177,'Transfer Engine'!$C$2:$C$1199,0)),"",INDEX('Compliance Database'!$J$2:$J$1199,MATCH(1177,'Transfer Engine'!$C$2:$C$1199,0)))</f>
        <v/>
      </c>
      <c r="K1186" s="7" t="str">
        <f>IF(ISNA(MATCH(1177,'Transfer Engine'!$C$2:$C$1199,0)),"",INDEX('Compliance Database'!$K$2:$K$1199,MATCH(1177,'Transfer Engine'!$C$2:$C$1199,0)))</f>
        <v/>
      </c>
      <c r="L1186" s="7" t="str">
        <f>IF(ISNA(MATCH(1177,'Transfer Engine'!$C$2:$C$1199,0)),"",INDEX('Compliance Database'!$L$2:$L$1199,MATCH(1177,'Transfer Engine'!$C$2:$C$1199,0)))</f>
        <v/>
      </c>
      <c r="M1186" s="7" t="str">
        <f>IF(ISNA(MATCH(1177,'Transfer Engine'!$C$2:$C$1199,0)),"",INDEX('Compliance Database'!$M$2:$M$1199,MATCH(1177,'Transfer Engine'!$C$2:$C$1199,0)))</f>
        <v/>
      </c>
      <c r="N1186" s="7" t="str">
        <f>IF(ISNA(MATCH(1177,'Transfer Engine'!$C$2:$C$1199,0)),"",INDEX('Compliance Database'!$N$2:$N$1199,MATCH(1177,'Transfer Engine'!$C$2:$C$1199,0)))</f>
        <v/>
      </c>
      <c r="O1186" s="7" t="str">
        <f>IF(ISNA(MATCH(1177,'Transfer Engine'!$C$2:$C$1199,0)),"",INDEX('Compliance Database'!$O$2:$O$1199,MATCH(1177,'Transfer Engine'!$C$2:$C$1199,0)))</f>
        <v/>
      </c>
      <c r="P1186" s="6" t="str">
        <f>IF(ISNA(MATCH(1177,'Transfer Engine'!$C$2:$C$1199,0)),"",HYPERLINK("#Acts!A"&amp;INDEX('Compliance Database'!$P$2:$P$1199,MATCH(1177,'Transfer Engine'!$C$2:$C$1199,0)),"Go to Act"))</f>
        <v/>
      </c>
    </row>
    <row r="1187" spans="1:16" ht="172.95" customHeight="1" x14ac:dyDescent="0.3">
      <c r="A1187" s="6" t="str">
        <f>IF(ISNA(MATCH(1178,'Transfer Engine'!$C$2:$C$1199,0)),"",INDEX('Compliance Database'!$A$2:$A$1199,MATCH(1178,'Transfer Engine'!$C$2:$C$1199,0)))</f>
        <v/>
      </c>
      <c r="B1187" s="6" t="str">
        <f>IF(ISNA(MATCH(1178,'Transfer Engine'!$C$2:$C$1199,0)),"",INDEX('Compliance Database'!$B$2:$B$1199,MATCH(1178,'Transfer Engine'!$C$2:$C$1199,0)))</f>
        <v/>
      </c>
      <c r="C1187" s="6" t="str">
        <f>IF(ISNA(MATCH(1178,'Transfer Engine'!$C$2:$C$1199,0)),"",INDEX('Compliance Database'!$C$2:$C$1199,MATCH(1178,'Transfer Engine'!$C$2:$C$1199,0)))</f>
        <v/>
      </c>
      <c r="D1187" s="7" t="str">
        <f>IF(ISNA(MATCH(1178,'Transfer Engine'!$C$2:$C$1199,0)),"",INDEX('Compliance Database'!$D$2:$D$1199,MATCH(1178,'Transfer Engine'!$C$2:$C$1199,0)))</f>
        <v/>
      </c>
      <c r="E1187" s="6" t="str">
        <f>IF(ISNA(MATCH(1178,'Transfer Engine'!$C$2:$C$1199,0)),"",INDEX('Compliance Database'!$E$2:$E$1199,MATCH(1178,'Transfer Engine'!$C$2:$C$1199,0)))</f>
        <v/>
      </c>
      <c r="F1187" s="6" t="str">
        <f>IF(ISNA(MATCH(1178,'Transfer Engine'!$C$2:$C$1199,0)),"",INDEX('Compliance Database'!$F$2:$F$1199,MATCH(1178,'Transfer Engine'!$C$2:$C$1199,0)))</f>
        <v/>
      </c>
      <c r="G1187" s="6" t="str">
        <f>IF(ISNA(MATCH(1178,'Transfer Engine'!$C$2:$C$1199,0)),"",INDEX('Compliance Database'!$G$2:$G$1199,MATCH(1178,'Transfer Engine'!$C$2:$C$1199,0)))</f>
        <v/>
      </c>
      <c r="H1187" s="7" t="str">
        <f>IF(ISNA(MATCH(1178,'Transfer Engine'!$C$2:$C$1199,0)),"",INDEX('Compliance Database'!$H$2:$H$1199,MATCH(1178,'Transfer Engine'!$C$2:$C$1199,0)))</f>
        <v/>
      </c>
      <c r="I1187" s="7" t="str">
        <f>IF(ISNA(MATCH(1178,'Transfer Engine'!$C$2:$C$1199,0)),"",INDEX('Compliance Database'!$I$2:$I$1199,MATCH(1178,'Transfer Engine'!$C$2:$C$1199,0)))</f>
        <v/>
      </c>
      <c r="J1187" s="6" t="str">
        <f>IF(ISNA(MATCH(1178,'Transfer Engine'!$C$2:$C$1199,0)),"",INDEX('Compliance Database'!$J$2:$J$1199,MATCH(1178,'Transfer Engine'!$C$2:$C$1199,0)))</f>
        <v/>
      </c>
      <c r="K1187" s="7" t="str">
        <f>IF(ISNA(MATCH(1178,'Transfer Engine'!$C$2:$C$1199,0)),"",INDEX('Compliance Database'!$K$2:$K$1199,MATCH(1178,'Transfer Engine'!$C$2:$C$1199,0)))</f>
        <v/>
      </c>
      <c r="L1187" s="7" t="str">
        <f>IF(ISNA(MATCH(1178,'Transfer Engine'!$C$2:$C$1199,0)),"",INDEX('Compliance Database'!$L$2:$L$1199,MATCH(1178,'Transfer Engine'!$C$2:$C$1199,0)))</f>
        <v/>
      </c>
      <c r="M1187" s="7" t="str">
        <f>IF(ISNA(MATCH(1178,'Transfer Engine'!$C$2:$C$1199,0)),"",INDEX('Compliance Database'!$M$2:$M$1199,MATCH(1178,'Transfer Engine'!$C$2:$C$1199,0)))</f>
        <v/>
      </c>
      <c r="N1187" s="7" t="str">
        <f>IF(ISNA(MATCH(1178,'Transfer Engine'!$C$2:$C$1199,0)),"",INDEX('Compliance Database'!$N$2:$N$1199,MATCH(1178,'Transfer Engine'!$C$2:$C$1199,0)))</f>
        <v/>
      </c>
      <c r="O1187" s="7" t="str">
        <f>IF(ISNA(MATCH(1178,'Transfer Engine'!$C$2:$C$1199,0)),"",INDEX('Compliance Database'!$O$2:$O$1199,MATCH(1178,'Transfer Engine'!$C$2:$C$1199,0)))</f>
        <v/>
      </c>
      <c r="P1187" s="6" t="str">
        <f>IF(ISNA(MATCH(1178,'Transfer Engine'!$C$2:$C$1199,0)),"",HYPERLINK("#Acts!A"&amp;INDEX('Compliance Database'!$P$2:$P$1199,MATCH(1178,'Transfer Engine'!$C$2:$C$1199,0)),"Go to Act"))</f>
        <v/>
      </c>
    </row>
    <row r="1188" spans="1:16" ht="172.95" customHeight="1" x14ac:dyDescent="0.3">
      <c r="A1188" s="6" t="str">
        <f>IF(ISNA(MATCH(1179,'Transfer Engine'!$C$2:$C$1199,0)),"",INDEX('Compliance Database'!$A$2:$A$1199,MATCH(1179,'Transfer Engine'!$C$2:$C$1199,0)))</f>
        <v/>
      </c>
      <c r="B1188" s="6" t="str">
        <f>IF(ISNA(MATCH(1179,'Transfer Engine'!$C$2:$C$1199,0)),"",INDEX('Compliance Database'!$B$2:$B$1199,MATCH(1179,'Transfer Engine'!$C$2:$C$1199,0)))</f>
        <v/>
      </c>
      <c r="C1188" s="6" t="str">
        <f>IF(ISNA(MATCH(1179,'Transfer Engine'!$C$2:$C$1199,0)),"",INDEX('Compliance Database'!$C$2:$C$1199,MATCH(1179,'Transfer Engine'!$C$2:$C$1199,0)))</f>
        <v/>
      </c>
      <c r="D1188" s="7" t="str">
        <f>IF(ISNA(MATCH(1179,'Transfer Engine'!$C$2:$C$1199,0)),"",INDEX('Compliance Database'!$D$2:$D$1199,MATCH(1179,'Transfer Engine'!$C$2:$C$1199,0)))</f>
        <v/>
      </c>
      <c r="E1188" s="6" t="str">
        <f>IF(ISNA(MATCH(1179,'Transfer Engine'!$C$2:$C$1199,0)),"",INDEX('Compliance Database'!$E$2:$E$1199,MATCH(1179,'Transfer Engine'!$C$2:$C$1199,0)))</f>
        <v/>
      </c>
      <c r="F1188" s="6" t="str">
        <f>IF(ISNA(MATCH(1179,'Transfer Engine'!$C$2:$C$1199,0)),"",INDEX('Compliance Database'!$F$2:$F$1199,MATCH(1179,'Transfer Engine'!$C$2:$C$1199,0)))</f>
        <v/>
      </c>
      <c r="G1188" s="6" t="str">
        <f>IF(ISNA(MATCH(1179,'Transfer Engine'!$C$2:$C$1199,0)),"",INDEX('Compliance Database'!$G$2:$G$1199,MATCH(1179,'Transfer Engine'!$C$2:$C$1199,0)))</f>
        <v/>
      </c>
      <c r="H1188" s="7" t="str">
        <f>IF(ISNA(MATCH(1179,'Transfer Engine'!$C$2:$C$1199,0)),"",INDEX('Compliance Database'!$H$2:$H$1199,MATCH(1179,'Transfer Engine'!$C$2:$C$1199,0)))</f>
        <v/>
      </c>
      <c r="I1188" s="7" t="str">
        <f>IF(ISNA(MATCH(1179,'Transfer Engine'!$C$2:$C$1199,0)),"",INDEX('Compliance Database'!$I$2:$I$1199,MATCH(1179,'Transfer Engine'!$C$2:$C$1199,0)))</f>
        <v/>
      </c>
      <c r="J1188" s="6" t="str">
        <f>IF(ISNA(MATCH(1179,'Transfer Engine'!$C$2:$C$1199,0)),"",INDEX('Compliance Database'!$J$2:$J$1199,MATCH(1179,'Transfer Engine'!$C$2:$C$1199,0)))</f>
        <v/>
      </c>
      <c r="K1188" s="7" t="str">
        <f>IF(ISNA(MATCH(1179,'Transfer Engine'!$C$2:$C$1199,0)),"",INDEX('Compliance Database'!$K$2:$K$1199,MATCH(1179,'Transfer Engine'!$C$2:$C$1199,0)))</f>
        <v/>
      </c>
      <c r="L1188" s="7" t="str">
        <f>IF(ISNA(MATCH(1179,'Transfer Engine'!$C$2:$C$1199,0)),"",INDEX('Compliance Database'!$L$2:$L$1199,MATCH(1179,'Transfer Engine'!$C$2:$C$1199,0)))</f>
        <v/>
      </c>
      <c r="M1188" s="7" t="str">
        <f>IF(ISNA(MATCH(1179,'Transfer Engine'!$C$2:$C$1199,0)),"",INDEX('Compliance Database'!$M$2:$M$1199,MATCH(1179,'Transfer Engine'!$C$2:$C$1199,0)))</f>
        <v/>
      </c>
      <c r="N1188" s="7" t="str">
        <f>IF(ISNA(MATCH(1179,'Transfer Engine'!$C$2:$C$1199,0)),"",INDEX('Compliance Database'!$N$2:$N$1199,MATCH(1179,'Transfer Engine'!$C$2:$C$1199,0)))</f>
        <v/>
      </c>
      <c r="O1188" s="7" t="str">
        <f>IF(ISNA(MATCH(1179,'Transfer Engine'!$C$2:$C$1199,0)),"",INDEX('Compliance Database'!$O$2:$O$1199,MATCH(1179,'Transfer Engine'!$C$2:$C$1199,0)))</f>
        <v/>
      </c>
      <c r="P1188" s="6" t="str">
        <f>IF(ISNA(MATCH(1179,'Transfer Engine'!$C$2:$C$1199,0)),"",HYPERLINK("#Acts!A"&amp;INDEX('Compliance Database'!$P$2:$P$1199,MATCH(1179,'Transfer Engine'!$C$2:$C$1199,0)),"Go to Act"))</f>
        <v/>
      </c>
    </row>
    <row r="1189" spans="1:16" ht="172.95" customHeight="1" x14ac:dyDescent="0.3">
      <c r="A1189" s="6" t="str">
        <f>IF(ISNA(MATCH(1180,'Transfer Engine'!$C$2:$C$1199,0)),"",INDEX('Compliance Database'!$A$2:$A$1199,MATCH(1180,'Transfer Engine'!$C$2:$C$1199,0)))</f>
        <v/>
      </c>
      <c r="B1189" s="6" t="str">
        <f>IF(ISNA(MATCH(1180,'Transfer Engine'!$C$2:$C$1199,0)),"",INDEX('Compliance Database'!$B$2:$B$1199,MATCH(1180,'Transfer Engine'!$C$2:$C$1199,0)))</f>
        <v/>
      </c>
      <c r="C1189" s="6" t="str">
        <f>IF(ISNA(MATCH(1180,'Transfer Engine'!$C$2:$C$1199,0)),"",INDEX('Compliance Database'!$C$2:$C$1199,MATCH(1180,'Transfer Engine'!$C$2:$C$1199,0)))</f>
        <v/>
      </c>
      <c r="D1189" s="7" t="str">
        <f>IF(ISNA(MATCH(1180,'Transfer Engine'!$C$2:$C$1199,0)),"",INDEX('Compliance Database'!$D$2:$D$1199,MATCH(1180,'Transfer Engine'!$C$2:$C$1199,0)))</f>
        <v/>
      </c>
      <c r="E1189" s="6" t="str">
        <f>IF(ISNA(MATCH(1180,'Transfer Engine'!$C$2:$C$1199,0)),"",INDEX('Compliance Database'!$E$2:$E$1199,MATCH(1180,'Transfer Engine'!$C$2:$C$1199,0)))</f>
        <v/>
      </c>
      <c r="F1189" s="6" t="str">
        <f>IF(ISNA(MATCH(1180,'Transfer Engine'!$C$2:$C$1199,0)),"",INDEX('Compliance Database'!$F$2:$F$1199,MATCH(1180,'Transfer Engine'!$C$2:$C$1199,0)))</f>
        <v/>
      </c>
      <c r="G1189" s="6" t="str">
        <f>IF(ISNA(MATCH(1180,'Transfer Engine'!$C$2:$C$1199,0)),"",INDEX('Compliance Database'!$G$2:$G$1199,MATCH(1180,'Transfer Engine'!$C$2:$C$1199,0)))</f>
        <v/>
      </c>
      <c r="H1189" s="7" t="str">
        <f>IF(ISNA(MATCH(1180,'Transfer Engine'!$C$2:$C$1199,0)),"",INDEX('Compliance Database'!$H$2:$H$1199,MATCH(1180,'Transfer Engine'!$C$2:$C$1199,0)))</f>
        <v/>
      </c>
      <c r="I1189" s="7" t="str">
        <f>IF(ISNA(MATCH(1180,'Transfer Engine'!$C$2:$C$1199,0)),"",INDEX('Compliance Database'!$I$2:$I$1199,MATCH(1180,'Transfer Engine'!$C$2:$C$1199,0)))</f>
        <v/>
      </c>
      <c r="J1189" s="6" t="str">
        <f>IF(ISNA(MATCH(1180,'Transfer Engine'!$C$2:$C$1199,0)),"",INDEX('Compliance Database'!$J$2:$J$1199,MATCH(1180,'Transfer Engine'!$C$2:$C$1199,0)))</f>
        <v/>
      </c>
      <c r="K1189" s="7" t="str">
        <f>IF(ISNA(MATCH(1180,'Transfer Engine'!$C$2:$C$1199,0)),"",INDEX('Compliance Database'!$K$2:$K$1199,MATCH(1180,'Transfer Engine'!$C$2:$C$1199,0)))</f>
        <v/>
      </c>
      <c r="L1189" s="7" t="str">
        <f>IF(ISNA(MATCH(1180,'Transfer Engine'!$C$2:$C$1199,0)),"",INDEX('Compliance Database'!$L$2:$L$1199,MATCH(1180,'Transfer Engine'!$C$2:$C$1199,0)))</f>
        <v/>
      </c>
      <c r="M1189" s="7" t="str">
        <f>IF(ISNA(MATCH(1180,'Transfer Engine'!$C$2:$C$1199,0)),"",INDEX('Compliance Database'!$M$2:$M$1199,MATCH(1180,'Transfer Engine'!$C$2:$C$1199,0)))</f>
        <v/>
      </c>
      <c r="N1189" s="7" t="str">
        <f>IF(ISNA(MATCH(1180,'Transfer Engine'!$C$2:$C$1199,0)),"",INDEX('Compliance Database'!$N$2:$N$1199,MATCH(1180,'Transfer Engine'!$C$2:$C$1199,0)))</f>
        <v/>
      </c>
      <c r="O1189" s="7" t="str">
        <f>IF(ISNA(MATCH(1180,'Transfer Engine'!$C$2:$C$1199,0)),"",INDEX('Compliance Database'!$O$2:$O$1199,MATCH(1180,'Transfer Engine'!$C$2:$C$1199,0)))</f>
        <v/>
      </c>
      <c r="P1189" s="6" t="str">
        <f>IF(ISNA(MATCH(1180,'Transfer Engine'!$C$2:$C$1199,0)),"",HYPERLINK("#Acts!A"&amp;INDEX('Compliance Database'!$P$2:$P$1199,MATCH(1180,'Transfer Engine'!$C$2:$C$1199,0)),"Go to Act"))</f>
        <v/>
      </c>
    </row>
    <row r="1190" spans="1:16" ht="172.95" customHeight="1" x14ac:dyDescent="0.3">
      <c r="A1190" s="6" t="str">
        <f>IF(ISNA(MATCH(1181,'Transfer Engine'!$C$2:$C$1199,0)),"",INDEX('Compliance Database'!$A$2:$A$1199,MATCH(1181,'Transfer Engine'!$C$2:$C$1199,0)))</f>
        <v/>
      </c>
      <c r="B1190" s="6" t="str">
        <f>IF(ISNA(MATCH(1181,'Transfer Engine'!$C$2:$C$1199,0)),"",INDEX('Compliance Database'!$B$2:$B$1199,MATCH(1181,'Transfer Engine'!$C$2:$C$1199,0)))</f>
        <v/>
      </c>
      <c r="C1190" s="6" t="str">
        <f>IF(ISNA(MATCH(1181,'Transfer Engine'!$C$2:$C$1199,0)),"",INDEX('Compliance Database'!$C$2:$C$1199,MATCH(1181,'Transfer Engine'!$C$2:$C$1199,0)))</f>
        <v/>
      </c>
      <c r="D1190" s="7" t="str">
        <f>IF(ISNA(MATCH(1181,'Transfer Engine'!$C$2:$C$1199,0)),"",INDEX('Compliance Database'!$D$2:$D$1199,MATCH(1181,'Transfer Engine'!$C$2:$C$1199,0)))</f>
        <v/>
      </c>
      <c r="E1190" s="6" t="str">
        <f>IF(ISNA(MATCH(1181,'Transfer Engine'!$C$2:$C$1199,0)),"",INDEX('Compliance Database'!$E$2:$E$1199,MATCH(1181,'Transfer Engine'!$C$2:$C$1199,0)))</f>
        <v/>
      </c>
      <c r="F1190" s="6" t="str">
        <f>IF(ISNA(MATCH(1181,'Transfer Engine'!$C$2:$C$1199,0)),"",INDEX('Compliance Database'!$F$2:$F$1199,MATCH(1181,'Transfer Engine'!$C$2:$C$1199,0)))</f>
        <v/>
      </c>
      <c r="G1190" s="6" t="str">
        <f>IF(ISNA(MATCH(1181,'Transfer Engine'!$C$2:$C$1199,0)),"",INDEX('Compliance Database'!$G$2:$G$1199,MATCH(1181,'Transfer Engine'!$C$2:$C$1199,0)))</f>
        <v/>
      </c>
      <c r="H1190" s="7" t="str">
        <f>IF(ISNA(MATCH(1181,'Transfer Engine'!$C$2:$C$1199,0)),"",INDEX('Compliance Database'!$H$2:$H$1199,MATCH(1181,'Transfer Engine'!$C$2:$C$1199,0)))</f>
        <v/>
      </c>
      <c r="I1190" s="7" t="str">
        <f>IF(ISNA(MATCH(1181,'Transfer Engine'!$C$2:$C$1199,0)),"",INDEX('Compliance Database'!$I$2:$I$1199,MATCH(1181,'Transfer Engine'!$C$2:$C$1199,0)))</f>
        <v/>
      </c>
      <c r="J1190" s="6" t="str">
        <f>IF(ISNA(MATCH(1181,'Transfer Engine'!$C$2:$C$1199,0)),"",INDEX('Compliance Database'!$J$2:$J$1199,MATCH(1181,'Transfer Engine'!$C$2:$C$1199,0)))</f>
        <v/>
      </c>
      <c r="K1190" s="7" t="str">
        <f>IF(ISNA(MATCH(1181,'Transfer Engine'!$C$2:$C$1199,0)),"",INDEX('Compliance Database'!$K$2:$K$1199,MATCH(1181,'Transfer Engine'!$C$2:$C$1199,0)))</f>
        <v/>
      </c>
      <c r="L1190" s="7" t="str">
        <f>IF(ISNA(MATCH(1181,'Transfer Engine'!$C$2:$C$1199,0)),"",INDEX('Compliance Database'!$L$2:$L$1199,MATCH(1181,'Transfer Engine'!$C$2:$C$1199,0)))</f>
        <v/>
      </c>
      <c r="M1190" s="7" t="str">
        <f>IF(ISNA(MATCH(1181,'Transfer Engine'!$C$2:$C$1199,0)),"",INDEX('Compliance Database'!$M$2:$M$1199,MATCH(1181,'Transfer Engine'!$C$2:$C$1199,0)))</f>
        <v/>
      </c>
      <c r="N1190" s="7" t="str">
        <f>IF(ISNA(MATCH(1181,'Transfer Engine'!$C$2:$C$1199,0)),"",INDEX('Compliance Database'!$N$2:$N$1199,MATCH(1181,'Transfer Engine'!$C$2:$C$1199,0)))</f>
        <v/>
      </c>
      <c r="O1190" s="7" t="str">
        <f>IF(ISNA(MATCH(1181,'Transfer Engine'!$C$2:$C$1199,0)),"",INDEX('Compliance Database'!$O$2:$O$1199,MATCH(1181,'Transfer Engine'!$C$2:$C$1199,0)))</f>
        <v/>
      </c>
      <c r="P1190" s="6" t="str">
        <f>IF(ISNA(MATCH(1181,'Transfer Engine'!$C$2:$C$1199,0)),"",HYPERLINK("#Acts!A"&amp;INDEX('Compliance Database'!$P$2:$P$1199,MATCH(1181,'Transfer Engine'!$C$2:$C$1199,0)),"Go to Act"))</f>
        <v/>
      </c>
    </row>
    <row r="1191" spans="1:16" ht="172.95" customHeight="1" x14ac:dyDescent="0.3">
      <c r="A1191" s="6" t="str">
        <f>IF(ISNA(MATCH(1182,'Transfer Engine'!$C$2:$C$1199,0)),"",INDEX('Compliance Database'!$A$2:$A$1199,MATCH(1182,'Transfer Engine'!$C$2:$C$1199,0)))</f>
        <v/>
      </c>
      <c r="B1191" s="6" t="str">
        <f>IF(ISNA(MATCH(1182,'Transfer Engine'!$C$2:$C$1199,0)),"",INDEX('Compliance Database'!$B$2:$B$1199,MATCH(1182,'Transfer Engine'!$C$2:$C$1199,0)))</f>
        <v/>
      </c>
      <c r="C1191" s="6" t="str">
        <f>IF(ISNA(MATCH(1182,'Transfer Engine'!$C$2:$C$1199,0)),"",INDEX('Compliance Database'!$C$2:$C$1199,MATCH(1182,'Transfer Engine'!$C$2:$C$1199,0)))</f>
        <v/>
      </c>
      <c r="D1191" s="7" t="str">
        <f>IF(ISNA(MATCH(1182,'Transfer Engine'!$C$2:$C$1199,0)),"",INDEX('Compliance Database'!$D$2:$D$1199,MATCH(1182,'Transfer Engine'!$C$2:$C$1199,0)))</f>
        <v/>
      </c>
      <c r="E1191" s="6" t="str">
        <f>IF(ISNA(MATCH(1182,'Transfer Engine'!$C$2:$C$1199,0)),"",INDEX('Compliance Database'!$E$2:$E$1199,MATCH(1182,'Transfer Engine'!$C$2:$C$1199,0)))</f>
        <v/>
      </c>
      <c r="F1191" s="6" t="str">
        <f>IF(ISNA(MATCH(1182,'Transfer Engine'!$C$2:$C$1199,0)),"",INDEX('Compliance Database'!$F$2:$F$1199,MATCH(1182,'Transfer Engine'!$C$2:$C$1199,0)))</f>
        <v/>
      </c>
      <c r="G1191" s="6" t="str">
        <f>IF(ISNA(MATCH(1182,'Transfer Engine'!$C$2:$C$1199,0)),"",INDEX('Compliance Database'!$G$2:$G$1199,MATCH(1182,'Transfer Engine'!$C$2:$C$1199,0)))</f>
        <v/>
      </c>
      <c r="H1191" s="7" t="str">
        <f>IF(ISNA(MATCH(1182,'Transfer Engine'!$C$2:$C$1199,0)),"",INDEX('Compliance Database'!$H$2:$H$1199,MATCH(1182,'Transfer Engine'!$C$2:$C$1199,0)))</f>
        <v/>
      </c>
      <c r="I1191" s="7" t="str">
        <f>IF(ISNA(MATCH(1182,'Transfer Engine'!$C$2:$C$1199,0)),"",INDEX('Compliance Database'!$I$2:$I$1199,MATCH(1182,'Transfer Engine'!$C$2:$C$1199,0)))</f>
        <v/>
      </c>
      <c r="J1191" s="6" t="str">
        <f>IF(ISNA(MATCH(1182,'Transfer Engine'!$C$2:$C$1199,0)),"",INDEX('Compliance Database'!$J$2:$J$1199,MATCH(1182,'Transfer Engine'!$C$2:$C$1199,0)))</f>
        <v/>
      </c>
      <c r="K1191" s="7" t="str">
        <f>IF(ISNA(MATCH(1182,'Transfer Engine'!$C$2:$C$1199,0)),"",INDEX('Compliance Database'!$K$2:$K$1199,MATCH(1182,'Transfer Engine'!$C$2:$C$1199,0)))</f>
        <v/>
      </c>
      <c r="L1191" s="7" t="str">
        <f>IF(ISNA(MATCH(1182,'Transfer Engine'!$C$2:$C$1199,0)),"",INDEX('Compliance Database'!$L$2:$L$1199,MATCH(1182,'Transfer Engine'!$C$2:$C$1199,0)))</f>
        <v/>
      </c>
      <c r="M1191" s="7" t="str">
        <f>IF(ISNA(MATCH(1182,'Transfer Engine'!$C$2:$C$1199,0)),"",INDEX('Compliance Database'!$M$2:$M$1199,MATCH(1182,'Transfer Engine'!$C$2:$C$1199,0)))</f>
        <v/>
      </c>
      <c r="N1191" s="7" t="str">
        <f>IF(ISNA(MATCH(1182,'Transfer Engine'!$C$2:$C$1199,0)),"",INDEX('Compliance Database'!$N$2:$N$1199,MATCH(1182,'Transfer Engine'!$C$2:$C$1199,0)))</f>
        <v/>
      </c>
      <c r="O1191" s="7" t="str">
        <f>IF(ISNA(MATCH(1182,'Transfer Engine'!$C$2:$C$1199,0)),"",INDEX('Compliance Database'!$O$2:$O$1199,MATCH(1182,'Transfer Engine'!$C$2:$C$1199,0)))</f>
        <v/>
      </c>
      <c r="P1191" s="6" t="str">
        <f>IF(ISNA(MATCH(1182,'Transfer Engine'!$C$2:$C$1199,0)),"",HYPERLINK("#Acts!A"&amp;INDEX('Compliance Database'!$P$2:$P$1199,MATCH(1182,'Transfer Engine'!$C$2:$C$1199,0)),"Go to Act"))</f>
        <v/>
      </c>
    </row>
    <row r="1192" spans="1:16" ht="172.95" customHeight="1" x14ac:dyDescent="0.3">
      <c r="A1192" s="6" t="str">
        <f>IF(ISNA(MATCH(1183,'Transfer Engine'!$C$2:$C$1199,0)),"",INDEX('Compliance Database'!$A$2:$A$1199,MATCH(1183,'Transfer Engine'!$C$2:$C$1199,0)))</f>
        <v/>
      </c>
      <c r="B1192" s="6" t="str">
        <f>IF(ISNA(MATCH(1183,'Transfer Engine'!$C$2:$C$1199,0)),"",INDEX('Compliance Database'!$B$2:$B$1199,MATCH(1183,'Transfer Engine'!$C$2:$C$1199,0)))</f>
        <v/>
      </c>
      <c r="C1192" s="6" t="str">
        <f>IF(ISNA(MATCH(1183,'Transfer Engine'!$C$2:$C$1199,0)),"",INDEX('Compliance Database'!$C$2:$C$1199,MATCH(1183,'Transfer Engine'!$C$2:$C$1199,0)))</f>
        <v/>
      </c>
      <c r="D1192" s="7" t="str">
        <f>IF(ISNA(MATCH(1183,'Transfer Engine'!$C$2:$C$1199,0)),"",INDEX('Compliance Database'!$D$2:$D$1199,MATCH(1183,'Transfer Engine'!$C$2:$C$1199,0)))</f>
        <v/>
      </c>
      <c r="E1192" s="6" t="str">
        <f>IF(ISNA(MATCH(1183,'Transfer Engine'!$C$2:$C$1199,0)),"",INDEX('Compliance Database'!$E$2:$E$1199,MATCH(1183,'Transfer Engine'!$C$2:$C$1199,0)))</f>
        <v/>
      </c>
      <c r="F1192" s="6" t="str">
        <f>IF(ISNA(MATCH(1183,'Transfer Engine'!$C$2:$C$1199,0)),"",INDEX('Compliance Database'!$F$2:$F$1199,MATCH(1183,'Transfer Engine'!$C$2:$C$1199,0)))</f>
        <v/>
      </c>
      <c r="G1192" s="6" t="str">
        <f>IF(ISNA(MATCH(1183,'Transfer Engine'!$C$2:$C$1199,0)),"",INDEX('Compliance Database'!$G$2:$G$1199,MATCH(1183,'Transfer Engine'!$C$2:$C$1199,0)))</f>
        <v/>
      </c>
      <c r="H1192" s="7" t="str">
        <f>IF(ISNA(MATCH(1183,'Transfer Engine'!$C$2:$C$1199,0)),"",INDEX('Compliance Database'!$H$2:$H$1199,MATCH(1183,'Transfer Engine'!$C$2:$C$1199,0)))</f>
        <v/>
      </c>
      <c r="I1192" s="7" t="str">
        <f>IF(ISNA(MATCH(1183,'Transfer Engine'!$C$2:$C$1199,0)),"",INDEX('Compliance Database'!$I$2:$I$1199,MATCH(1183,'Transfer Engine'!$C$2:$C$1199,0)))</f>
        <v/>
      </c>
      <c r="J1192" s="6" t="str">
        <f>IF(ISNA(MATCH(1183,'Transfer Engine'!$C$2:$C$1199,0)),"",INDEX('Compliance Database'!$J$2:$J$1199,MATCH(1183,'Transfer Engine'!$C$2:$C$1199,0)))</f>
        <v/>
      </c>
      <c r="K1192" s="7" t="str">
        <f>IF(ISNA(MATCH(1183,'Transfer Engine'!$C$2:$C$1199,0)),"",INDEX('Compliance Database'!$K$2:$K$1199,MATCH(1183,'Transfer Engine'!$C$2:$C$1199,0)))</f>
        <v/>
      </c>
      <c r="L1192" s="7" t="str">
        <f>IF(ISNA(MATCH(1183,'Transfer Engine'!$C$2:$C$1199,0)),"",INDEX('Compliance Database'!$L$2:$L$1199,MATCH(1183,'Transfer Engine'!$C$2:$C$1199,0)))</f>
        <v/>
      </c>
      <c r="M1192" s="7" t="str">
        <f>IF(ISNA(MATCH(1183,'Transfer Engine'!$C$2:$C$1199,0)),"",INDEX('Compliance Database'!$M$2:$M$1199,MATCH(1183,'Transfer Engine'!$C$2:$C$1199,0)))</f>
        <v/>
      </c>
      <c r="N1192" s="7" t="str">
        <f>IF(ISNA(MATCH(1183,'Transfer Engine'!$C$2:$C$1199,0)),"",INDEX('Compliance Database'!$N$2:$N$1199,MATCH(1183,'Transfer Engine'!$C$2:$C$1199,0)))</f>
        <v/>
      </c>
      <c r="O1192" s="7" t="str">
        <f>IF(ISNA(MATCH(1183,'Transfer Engine'!$C$2:$C$1199,0)),"",INDEX('Compliance Database'!$O$2:$O$1199,MATCH(1183,'Transfer Engine'!$C$2:$C$1199,0)))</f>
        <v/>
      </c>
      <c r="P1192" s="6" t="str">
        <f>IF(ISNA(MATCH(1183,'Transfer Engine'!$C$2:$C$1199,0)),"",HYPERLINK("#Acts!A"&amp;INDEX('Compliance Database'!$P$2:$P$1199,MATCH(1183,'Transfer Engine'!$C$2:$C$1199,0)),"Go to Act"))</f>
        <v/>
      </c>
    </row>
    <row r="1193" spans="1:16" ht="172.95" customHeight="1" x14ac:dyDescent="0.3">
      <c r="A1193" s="6" t="str">
        <f>IF(ISNA(MATCH(1184,'Transfer Engine'!$C$2:$C$1199,0)),"",INDEX('Compliance Database'!$A$2:$A$1199,MATCH(1184,'Transfer Engine'!$C$2:$C$1199,0)))</f>
        <v/>
      </c>
      <c r="B1193" s="6" t="str">
        <f>IF(ISNA(MATCH(1184,'Transfer Engine'!$C$2:$C$1199,0)),"",INDEX('Compliance Database'!$B$2:$B$1199,MATCH(1184,'Transfer Engine'!$C$2:$C$1199,0)))</f>
        <v/>
      </c>
      <c r="C1193" s="6" t="str">
        <f>IF(ISNA(MATCH(1184,'Transfer Engine'!$C$2:$C$1199,0)),"",INDEX('Compliance Database'!$C$2:$C$1199,MATCH(1184,'Transfer Engine'!$C$2:$C$1199,0)))</f>
        <v/>
      </c>
      <c r="D1193" s="7" t="str">
        <f>IF(ISNA(MATCH(1184,'Transfer Engine'!$C$2:$C$1199,0)),"",INDEX('Compliance Database'!$D$2:$D$1199,MATCH(1184,'Transfer Engine'!$C$2:$C$1199,0)))</f>
        <v/>
      </c>
      <c r="E1193" s="6" t="str">
        <f>IF(ISNA(MATCH(1184,'Transfer Engine'!$C$2:$C$1199,0)),"",INDEX('Compliance Database'!$E$2:$E$1199,MATCH(1184,'Transfer Engine'!$C$2:$C$1199,0)))</f>
        <v/>
      </c>
      <c r="F1193" s="6" t="str">
        <f>IF(ISNA(MATCH(1184,'Transfer Engine'!$C$2:$C$1199,0)),"",INDEX('Compliance Database'!$F$2:$F$1199,MATCH(1184,'Transfer Engine'!$C$2:$C$1199,0)))</f>
        <v/>
      </c>
      <c r="G1193" s="6" t="str">
        <f>IF(ISNA(MATCH(1184,'Transfer Engine'!$C$2:$C$1199,0)),"",INDEX('Compliance Database'!$G$2:$G$1199,MATCH(1184,'Transfer Engine'!$C$2:$C$1199,0)))</f>
        <v/>
      </c>
      <c r="H1193" s="7" t="str">
        <f>IF(ISNA(MATCH(1184,'Transfer Engine'!$C$2:$C$1199,0)),"",INDEX('Compliance Database'!$H$2:$H$1199,MATCH(1184,'Transfer Engine'!$C$2:$C$1199,0)))</f>
        <v/>
      </c>
      <c r="I1193" s="7" t="str">
        <f>IF(ISNA(MATCH(1184,'Transfer Engine'!$C$2:$C$1199,0)),"",INDEX('Compliance Database'!$I$2:$I$1199,MATCH(1184,'Transfer Engine'!$C$2:$C$1199,0)))</f>
        <v/>
      </c>
      <c r="J1193" s="6" t="str">
        <f>IF(ISNA(MATCH(1184,'Transfer Engine'!$C$2:$C$1199,0)),"",INDEX('Compliance Database'!$J$2:$J$1199,MATCH(1184,'Transfer Engine'!$C$2:$C$1199,0)))</f>
        <v/>
      </c>
      <c r="K1193" s="7" t="str">
        <f>IF(ISNA(MATCH(1184,'Transfer Engine'!$C$2:$C$1199,0)),"",INDEX('Compliance Database'!$K$2:$K$1199,MATCH(1184,'Transfer Engine'!$C$2:$C$1199,0)))</f>
        <v/>
      </c>
      <c r="L1193" s="7" t="str">
        <f>IF(ISNA(MATCH(1184,'Transfer Engine'!$C$2:$C$1199,0)),"",INDEX('Compliance Database'!$L$2:$L$1199,MATCH(1184,'Transfer Engine'!$C$2:$C$1199,0)))</f>
        <v/>
      </c>
      <c r="M1193" s="7" t="str">
        <f>IF(ISNA(MATCH(1184,'Transfer Engine'!$C$2:$C$1199,0)),"",INDEX('Compliance Database'!$M$2:$M$1199,MATCH(1184,'Transfer Engine'!$C$2:$C$1199,0)))</f>
        <v/>
      </c>
      <c r="N1193" s="7" t="str">
        <f>IF(ISNA(MATCH(1184,'Transfer Engine'!$C$2:$C$1199,0)),"",INDEX('Compliance Database'!$N$2:$N$1199,MATCH(1184,'Transfer Engine'!$C$2:$C$1199,0)))</f>
        <v/>
      </c>
      <c r="O1193" s="7" t="str">
        <f>IF(ISNA(MATCH(1184,'Transfer Engine'!$C$2:$C$1199,0)),"",INDEX('Compliance Database'!$O$2:$O$1199,MATCH(1184,'Transfer Engine'!$C$2:$C$1199,0)))</f>
        <v/>
      </c>
      <c r="P1193" s="6" t="str">
        <f>IF(ISNA(MATCH(1184,'Transfer Engine'!$C$2:$C$1199,0)),"",HYPERLINK("#Acts!A"&amp;INDEX('Compliance Database'!$P$2:$P$1199,MATCH(1184,'Transfer Engine'!$C$2:$C$1199,0)),"Go to Act"))</f>
        <v/>
      </c>
    </row>
    <row r="1194" spans="1:16" ht="172.95" customHeight="1" x14ac:dyDescent="0.3">
      <c r="A1194" s="6" t="str">
        <f>IF(ISNA(MATCH(1185,'Transfer Engine'!$C$2:$C$1199,0)),"",INDEX('Compliance Database'!$A$2:$A$1199,MATCH(1185,'Transfer Engine'!$C$2:$C$1199,0)))</f>
        <v/>
      </c>
      <c r="B1194" s="6" t="str">
        <f>IF(ISNA(MATCH(1185,'Transfer Engine'!$C$2:$C$1199,0)),"",INDEX('Compliance Database'!$B$2:$B$1199,MATCH(1185,'Transfer Engine'!$C$2:$C$1199,0)))</f>
        <v/>
      </c>
      <c r="C1194" s="6" t="str">
        <f>IF(ISNA(MATCH(1185,'Transfer Engine'!$C$2:$C$1199,0)),"",INDEX('Compliance Database'!$C$2:$C$1199,MATCH(1185,'Transfer Engine'!$C$2:$C$1199,0)))</f>
        <v/>
      </c>
      <c r="D1194" s="7" t="str">
        <f>IF(ISNA(MATCH(1185,'Transfer Engine'!$C$2:$C$1199,0)),"",INDEX('Compliance Database'!$D$2:$D$1199,MATCH(1185,'Transfer Engine'!$C$2:$C$1199,0)))</f>
        <v/>
      </c>
      <c r="E1194" s="6" t="str">
        <f>IF(ISNA(MATCH(1185,'Transfer Engine'!$C$2:$C$1199,0)),"",INDEX('Compliance Database'!$E$2:$E$1199,MATCH(1185,'Transfer Engine'!$C$2:$C$1199,0)))</f>
        <v/>
      </c>
      <c r="F1194" s="6" t="str">
        <f>IF(ISNA(MATCH(1185,'Transfer Engine'!$C$2:$C$1199,0)),"",INDEX('Compliance Database'!$F$2:$F$1199,MATCH(1185,'Transfer Engine'!$C$2:$C$1199,0)))</f>
        <v/>
      </c>
      <c r="G1194" s="6" t="str">
        <f>IF(ISNA(MATCH(1185,'Transfer Engine'!$C$2:$C$1199,0)),"",INDEX('Compliance Database'!$G$2:$G$1199,MATCH(1185,'Transfer Engine'!$C$2:$C$1199,0)))</f>
        <v/>
      </c>
      <c r="H1194" s="7" t="str">
        <f>IF(ISNA(MATCH(1185,'Transfer Engine'!$C$2:$C$1199,0)),"",INDEX('Compliance Database'!$H$2:$H$1199,MATCH(1185,'Transfer Engine'!$C$2:$C$1199,0)))</f>
        <v/>
      </c>
      <c r="I1194" s="7" t="str">
        <f>IF(ISNA(MATCH(1185,'Transfer Engine'!$C$2:$C$1199,0)),"",INDEX('Compliance Database'!$I$2:$I$1199,MATCH(1185,'Transfer Engine'!$C$2:$C$1199,0)))</f>
        <v/>
      </c>
      <c r="J1194" s="6" t="str">
        <f>IF(ISNA(MATCH(1185,'Transfer Engine'!$C$2:$C$1199,0)),"",INDEX('Compliance Database'!$J$2:$J$1199,MATCH(1185,'Transfer Engine'!$C$2:$C$1199,0)))</f>
        <v/>
      </c>
      <c r="K1194" s="7" t="str">
        <f>IF(ISNA(MATCH(1185,'Transfer Engine'!$C$2:$C$1199,0)),"",INDEX('Compliance Database'!$K$2:$K$1199,MATCH(1185,'Transfer Engine'!$C$2:$C$1199,0)))</f>
        <v/>
      </c>
      <c r="L1194" s="7" t="str">
        <f>IF(ISNA(MATCH(1185,'Transfer Engine'!$C$2:$C$1199,0)),"",INDEX('Compliance Database'!$L$2:$L$1199,MATCH(1185,'Transfer Engine'!$C$2:$C$1199,0)))</f>
        <v/>
      </c>
      <c r="M1194" s="7" t="str">
        <f>IF(ISNA(MATCH(1185,'Transfer Engine'!$C$2:$C$1199,0)),"",INDEX('Compliance Database'!$M$2:$M$1199,MATCH(1185,'Transfer Engine'!$C$2:$C$1199,0)))</f>
        <v/>
      </c>
      <c r="N1194" s="7" t="str">
        <f>IF(ISNA(MATCH(1185,'Transfer Engine'!$C$2:$C$1199,0)),"",INDEX('Compliance Database'!$N$2:$N$1199,MATCH(1185,'Transfer Engine'!$C$2:$C$1199,0)))</f>
        <v/>
      </c>
      <c r="O1194" s="7" t="str">
        <f>IF(ISNA(MATCH(1185,'Transfer Engine'!$C$2:$C$1199,0)),"",INDEX('Compliance Database'!$O$2:$O$1199,MATCH(1185,'Transfer Engine'!$C$2:$C$1199,0)))</f>
        <v/>
      </c>
      <c r="P1194" s="6" t="str">
        <f>IF(ISNA(MATCH(1185,'Transfer Engine'!$C$2:$C$1199,0)),"",HYPERLINK("#Acts!A"&amp;INDEX('Compliance Database'!$P$2:$P$1199,MATCH(1185,'Transfer Engine'!$C$2:$C$1199,0)),"Go to Act"))</f>
        <v/>
      </c>
    </row>
    <row r="1195" spans="1:16" ht="172.95" customHeight="1" x14ac:dyDescent="0.3">
      <c r="A1195" s="6" t="str">
        <f>IF(ISNA(MATCH(1186,'Transfer Engine'!$C$2:$C$1199,0)),"",INDEX('Compliance Database'!$A$2:$A$1199,MATCH(1186,'Transfer Engine'!$C$2:$C$1199,0)))</f>
        <v/>
      </c>
      <c r="B1195" s="6" t="str">
        <f>IF(ISNA(MATCH(1186,'Transfer Engine'!$C$2:$C$1199,0)),"",INDEX('Compliance Database'!$B$2:$B$1199,MATCH(1186,'Transfer Engine'!$C$2:$C$1199,0)))</f>
        <v/>
      </c>
      <c r="C1195" s="6" t="str">
        <f>IF(ISNA(MATCH(1186,'Transfer Engine'!$C$2:$C$1199,0)),"",INDEX('Compliance Database'!$C$2:$C$1199,MATCH(1186,'Transfer Engine'!$C$2:$C$1199,0)))</f>
        <v/>
      </c>
      <c r="D1195" s="7" t="str">
        <f>IF(ISNA(MATCH(1186,'Transfer Engine'!$C$2:$C$1199,0)),"",INDEX('Compliance Database'!$D$2:$D$1199,MATCH(1186,'Transfer Engine'!$C$2:$C$1199,0)))</f>
        <v/>
      </c>
      <c r="E1195" s="6" t="str">
        <f>IF(ISNA(MATCH(1186,'Transfer Engine'!$C$2:$C$1199,0)),"",INDEX('Compliance Database'!$E$2:$E$1199,MATCH(1186,'Transfer Engine'!$C$2:$C$1199,0)))</f>
        <v/>
      </c>
      <c r="F1195" s="6" t="str">
        <f>IF(ISNA(MATCH(1186,'Transfer Engine'!$C$2:$C$1199,0)),"",INDEX('Compliance Database'!$F$2:$F$1199,MATCH(1186,'Transfer Engine'!$C$2:$C$1199,0)))</f>
        <v/>
      </c>
      <c r="G1195" s="6" t="str">
        <f>IF(ISNA(MATCH(1186,'Transfer Engine'!$C$2:$C$1199,0)),"",INDEX('Compliance Database'!$G$2:$G$1199,MATCH(1186,'Transfer Engine'!$C$2:$C$1199,0)))</f>
        <v/>
      </c>
      <c r="H1195" s="7" t="str">
        <f>IF(ISNA(MATCH(1186,'Transfer Engine'!$C$2:$C$1199,0)),"",INDEX('Compliance Database'!$H$2:$H$1199,MATCH(1186,'Transfer Engine'!$C$2:$C$1199,0)))</f>
        <v/>
      </c>
      <c r="I1195" s="7" t="str">
        <f>IF(ISNA(MATCH(1186,'Transfer Engine'!$C$2:$C$1199,0)),"",INDEX('Compliance Database'!$I$2:$I$1199,MATCH(1186,'Transfer Engine'!$C$2:$C$1199,0)))</f>
        <v/>
      </c>
      <c r="J1195" s="6" t="str">
        <f>IF(ISNA(MATCH(1186,'Transfer Engine'!$C$2:$C$1199,0)),"",INDEX('Compliance Database'!$J$2:$J$1199,MATCH(1186,'Transfer Engine'!$C$2:$C$1199,0)))</f>
        <v/>
      </c>
      <c r="K1195" s="7" t="str">
        <f>IF(ISNA(MATCH(1186,'Transfer Engine'!$C$2:$C$1199,0)),"",INDEX('Compliance Database'!$K$2:$K$1199,MATCH(1186,'Transfer Engine'!$C$2:$C$1199,0)))</f>
        <v/>
      </c>
      <c r="L1195" s="7" t="str">
        <f>IF(ISNA(MATCH(1186,'Transfer Engine'!$C$2:$C$1199,0)),"",INDEX('Compliance Database'!$L$2:$L$1199,MATCH(1186,'Transfer Engine'!$C$2:$C$1199,0)))</f>
        <v/>
      </c>
      <c r="M1195" s="7" t="str">
        <f>IF(ISNA(MATCH(1186,'Transfer Engine'!$C$2:$C$1199,0)),"",INDEX('Compliance Database'!$M$2:$M$1199,MATCH(1186,'Transfer Engine'!$C$2:$C$1199,0)))</f>
        <v/>
      </c>
      <c r="N1195" s="7" t="str">
        <f>IF(ISNA(MATCH(1186,'Transfer Engine'!$C$2:$C$1199,0)),"",INDEX('Compliance Database'!$N$2:$N$1199,MATCH(1186,'Transfer Engine'!$C$2:$C$1199,0)))</f>
        <v/>
      </c>
      <c r="O1195" s="7" t="str">
        <f>IF(ISNA(MATCH(1186,'Transfer Engine'!$C$2:$C$1199,0)),"",INDEX('Compliance Database'!$O$2:$O$1199,MATCH(1186,'Transfer Engine'!$C$2:$C$1199,0)))</f>
        <v/>
      </c>
      <c r="P1195" s="6" t="str">
        <f>IF(ISNA(MATCH(1186,'Transfer Engine'!$C$2:$C$1199,0)),"",HYPERLINK("#Acts!A"&amp;INDEX('Compliance Database'!$P$2:$P$1199,MATCH(1186,'Transfer Engine'!$C$2:$C$1199,0)),"Go to Act"))</f>
        <v/>
      </c>
    </row>
    <row r="1196" spans="1:16" ht="172.95" customHeight="1" x14ac:dyDescent="0.3">
      <c r="A1196" s="6" t="str">
        <f>IF(ISNA(MATCH(1187,'Transfer Engine'!$C$2:$C$1199,0)),"",INDEX('Compliance Database'!$A$2:$A$1199,MATCH(1187,'Transfer Engine'!$C$2:$C$1199,0)))</f>
        <v/>
      </c>
      <c r="B1196" s="6" t="str">
        <f>IF(ISNA(MATCH(1187,'Transfer Engine'!$C$2:$C$1199,0)),"",INDEX('Compliance Database'!$B$2:$B$1199,MATCH(1187,'Transfer Engine'!$C$2:$C$1199,0)))</f>
        <v/>
      </c>
      <c r="C1196" s="6" t="str">
        <f>IF(ISNA(MATCH(1187,'Transfer Engine'!$C$2:$C$1199,0)),"",INDEX('Compliance Database'!$C$2:$C$1199,MATCH(1187,'Transfer Engine'!$C$2:$C$1199,0)))</f>
        <v/>
      </c>
      <c r="D1196" s="7" t="str">
        <f>IF(ISNA(MATCH(1187,'Transfer Engine'!$C$2:$C$1199,0)),"",INDEX('Compliance Database'!$D$2:$D$1199,MATCH(1187,'Transfer Engine'!$C$2:$C$1199,0)))</f>
        <v/>
      </c>
      <c r="E1196" s="6" t="str">
        <f>IF(ISNA(MATCH(1187,'Transfer Engine'!$C$2:$C$1199,0)),"",INDEX('Compliance Database'!$E$2:$E$1199,MATCH(1187,'Transfer Engine'!$C$2:$C$1199,0)))</f>
        <v/>
      </c>
      <c r="F1196" s="6" t="str">
        <f>IF(ISNA(MATCH(1187,'Transfer Engine'!$C$2:$C$1199,0)),"",INDEX('Compliance Database'!$F$2:$F$1199,MATCH(1187,'Transfer Engine'!$C$2:$C$1199,0)))</f>
        <v/>
      </c>
      <c r="G1196" s="6" t="str">
        <f>IF(ISNA(MATCH(1187,'Transfer Engine'!$C$2:$C$1199,0)),"",INDEX('Compliance Database'!$G$2:$G$1199,MATCH(1187,'Transfer Engine'!$C$2:$C$1199,0)))</f>
        <v/>
      </c>
      <c r="H1196" s="7" t="str">
        <f>IF(ISNA(MATCH(1187,'Transfer Engine'!$C$2:$C$1199,0)),"",INDEX('Compliance Database'!$H$2:$H$1199,MATCH(1187,'Transfer Engine'!$C$2:$C$1199,0)))</f>
        <v/>
      </c>
      <c r="I1196" s="7" t="str">
        <f>IF(ISNA(MATCH(1187,'Transfer Engine'!$C$2:$C$1199,0)),"",INDEX('Compliance Database'!$I$2:$I$1199,MATCH(1187,'Transfer Engine'!$C$2:$C$1199,0)))</f>
        <v/>
      </c>
      <c r="J1196" s="6" t="str">
        <f>IF(ISNA(MATCH(1187,'Transfer Engine'!$C$2:$C$1199,0)),"",INDEX('Compliance Database'!$J$2:$J$1199,MATCH(1187,'Transfer Engine'!$C$2:$C$1199,0)))</f>
        <v/>
      </c>
      <c r="K1196" s="7" t="str">
        <f>IF(ISNA(MATCH(1187,'Transfer Engine'!$C$2:$C$1199,0)),"",INDEX('Compliance Database'!$K$2:$K$1199,MATCH(1187,'Transfer Engine'!$C$2:$C$1199,0)))</f>
        <v/>
      </c>
      <c r="L1196" s="7" t="str">
        <f>IF(ISNA(MATCH(1187,'Transfer Engine'!$C$2:$C$1199,0)),"",INDEX('Compliance Database'!$L$2:$L$1199,MATCH(1187,'Transfer Engine'!$C$2:$C$1199,0)))</f>
        <v/>
      </c>
      <c r="M1196" s="7" t="str">
        <f>IF(ISNA(MATCH(1187,'Transfer Engine'!$C$2:$C$1199,0)),"",INDEX('Compliance Database'!$M$2:$M$1199,MATCH(1187,'Transfer Engine'!$C$2:$C$1199,0)))</f>
        <v/>
      </c>
      <c r="N1196" s="7" t="str">
        <f>IF(ISNA(MATCH(1187,'Transfer Engine'!$C$2:$C$1199,0)),"",INDEX('Compliance Database'!$N$2:$N$1199,MATCH(1187,'Transfer Engine'!$C$2:$C$1199,0)))</f>
        <v/>
      </c>
      <c r="O1196" s="7" t="str">
        <f>IF(ISNA(MATCH(1187,'Transfer Engine'!$C$2:$C$1199,0)),"",INDEX('Compliance Database'!$O$2:$O$1199,MATCH(1187,'Transfer Engine'!$C$2:$C$1199,0)))</f>
        <v/>
      </c>
      <c r="P1196" s="6" t="str">
        <f>IF(ISNA(MATCH(1187,'Transfer Engine'!$C$2:$C$1199,0)),"",HYPERLINK("#Acts!A"&amp;INDEX('Compliance Database'!$P$2:$P$1199,MATCH(1187,'Transfer Engine'!$C$2:$C$1199,0)),"Go to Act"))</f>
        <v/>
      </c>
    </row>
    <row r="1197" spans="1:16" ht="172.95" customHeight="1" x14ac:dyDescent="0.3">
      <c r="A1197" s="6" t="str">
        <f>IF(ISNA(MATCH(1188,'Transfer Engine'!$C$2:$C$1199,0)),"",INDEX('Compliance Database'!$A$2:$A$1199,MATCH(1188,'Transfer Engine'!$C$2:$C$1199,0)))</f>
        <v/>
      </c>
      <c r="B1197" s="6" t="str">
        <f>IF(ISNA(MATCH(1188,'Transfer Engine'!$C$2:$C$1199,0)),"",INDEX('Compliance Database'!$B$2:$B$1199,MATCH(1188,'Transfer Engine'!$C$2:$C$1199,0)))</f>
        <v/>
      </c>
      <c r="C1197" s="6" t="str">
        <f>IF(ISNA(MATCH(1188,'Transfer Engine'!$C$2:$C$1199,0)),"",INDEX('Compliance Database'!$C$2:$C$1199,MATCH(1188,'Transfer Engine'!$C$2:$C$1199,0)))</f>
        <v/>
      </c>
      <c r="D1197" s="7" t="str">
        <f>IF(ISNA(MATCH(1188,'Transfer Engine'!$C$2:$C$1199,0)),"",INDEX('Compliance Database'!$D$2:$D$1199,MATCH(1188,'Transfer Engine'!$C$2:$C$1199,0)))</f>
        <v/>
      </c>
      <c r="E1197" s="6" t="str">
        <f>IF(ISNA(MATCH(1188,'Transfer Engine'!$C$2:$C$1199,0)),"",INDEX('Compliance Database'!$E$2:$E$1199,MATCH(1188,'Transfer Engine'!$C$2:$C$1199,0)))</f>
        <v/>
      </c>
      <c r="F1197" s="6" t="str">
        <f>IF(ISNA(MATCH(1188,'Transfer Engine'!$C$2:$C$1199,0)),"",INDEX('Compliance Database'!$F$2:$F$1199,MATCH(1188,'Transfer Engine'!$C$2:$C$1199,0)))</f>
        <v/>
      </c>
      <c r="G1197" s="6" t="str">
        <f>IF(ISNA(MATCH(1188,'Transfer Engine'!$C$2:$C$1199,0)),"",INDEX('Compliance Database'!$G$2:$G$1199,MATCH(1188,'Transfer Engine'!$C$2:$C$1199,0)))</f>
        <v/>
      </c>
      <c r="H1197" s="7" t="str">
        <f>IF(ISNA(MATCH(1188,'Transfer Engine'!$C$2:$C$1199,0)),"",INDEX('Compliance Database'!$H$2:$H$1199,MATCH(1188,'Transfer Engine'!$C$2:$C$1199,0)))</f>
        <v/>
      </c>
      <c r="I1197" s="7" t="str">
        <f>IF(ISNA(MATCH(1188,'Transfer Engine'!$C$2:$C$1199,0)),"",INDEX('Compliance Database'!$I$2:$I$1199,MATCH(1188,'Transfer Engine'!$C$2:$C$1199,0)))</f>
        <v/>
      </c>
      <c r="J1197" s="6" t="str">
        <f>IF(ISNA(MATCH(1188,'Transfer Engine'!$C$2:$C$1199,0)),"",INDEX('Compliance Database'!$J$2:$J$1199,MATCH(1188,'Transfer Engine'!$C$2:$C$1199,0)))</f>
        <v/>
      </c>
      <c r="K1197" s="7" t="str">
        <f>IF(ISNA(MATCH(1188,'Transfer Engine'!$C$2:$C$1199,0)),"",INDEX('Compliance Database'!$K$2:$K$1199,MATCH(1188,'Transfer Engine'!$C$2:$C$1199,0)))</f>
        <v/>
      </c>
      <c r="L1197" s="7" t="str">
        <f>IF(ISNA(MATCH(1188,'Transfer Engine'!$C$2:$C$1199,0)),"",INDEX('Compliance Database'!$L$2:$L$1199,MATCH(1188,'Transfer Engine'!$C$2:$C$1199,0)))</f>
        <v/>
      </c>
      <c r="M1197" s="7" t="str">
        <f>IF(ISNA(MATCH(1188,'Transfer Engine'!$C$2:$C$1199,0)),"",INDEX('Compliance Database'!$M$2:$M$1199,MATCH(1188,'Transfer Engine'!$C$2:$C$1199,0)))</f>
        <v/>
      </c>
      <c r="N1197" s="7" t="str">
        <f>IF(ISNA(MATCH(1188,'Transfer Engine'!$C$2:$C$1199,0)),"",INDEX('Compliance Database'!$N$2:$N$1199,MATCH(1188,'Transfer Engine'!$C$2:$C$1199,0)))</f>
        <v/>
      </c>
      <c r="O1197" s="7" t="str">
        <f>IF(ISNA(MATCH(1188,'Transfer Engine'!$C$2:$C$1199,0)),"",INDEX('Compliance Database'!$O$2:$O$1199,MATCH(1188,'Transfer Engine'!$C$2:$C$1199,0)))</f>
        <v/>
      </c>
      <c r="P1197" s="6" t="str">
        <f>IF(ISNA(MATCH(1188,'Transfer Engine'!$C$2:$C$1199,0)),"",HYPERLINK("#Acts!A"&amp;INDEX('Compliance Database'!$P$2:$P$1199,MATCH(1188,'Transfer Engine'!$C$2:$C$1199,0)),"Go to Act"))</f>
        <v/>
      </c>
    </row>
    <row r="1198" spans="1:16" ht="172.95" customHeight="1" x14ac:dyDescent="0.3">
      <c r="A1198" s="6" t="str">
        <f>IF(ISNA(MATCH(1189,'Transfer Engine'!$C$2:$C$1199,0)),"",INDEX('Compliance Database'!$A$2:$A$1199,MATCH(1189,'Transfer Engine'!$C$2:$C$1199,0)))</f>
        <v/>
      </c>
      <c r="B1198" s="6" t="str">
        <f>IF(ISNA(MATCH(1189,'Transfer Engine'!$C$2:$C$1199,0)),"",INDEX('Compliance Database'!$B$2:$B$1199,MATCH(1189,'Transfer Engine'!$C$2:$C$1199,0)))</f>
        <v/>
      </c>
      <c r="C1198" s="6" t="str">
        <f>IF(ISNA(MATCH(1189,'Transfer Engine'!$C$2:$C$1199,0)),"",INDEX('Compliance Database'!$C$2:$C$1199,MATCH(1189,'Transfer Engine'!$C$2:$C$1199,0)))</f>
        <v/>
      </c>
      <c r="D1198" s="7" t="str">
        <f>IF(ISNA(MATCH(1189,'Transfer Engine'!$C$2:$C$1199,0)),"",INDEX('Compliance Database'!$D$2:$D$1199,MATCH(1189,'Transfer Engine'!$C$2:$C$1199,0)))</f>
        <v/>
      </c>
      <c r="E1198" s="6" t="str">
        <f>IF(ISNA(MATCH(1189,'Transfer Engine'!$C$2:$C$1199,0)),"",INDEX('Compliance Database'!$E$2:$E$1199,MATCH(1189,'Transfer Engine'!$C$2:$C$1199,0)))</f>
        <v/>
      </c>
      <c r="F1198" s="6" t="str">
        <f>IF(ISNA(MATCH(1189,'Transfer Engine'!$C$2:$C$1199,0)),"",INDEX('Compliance Database'!$F$2:$F$1199,MATCH(1189,'Transfer Engine'!$C$2:$C$1199,0)))</f>
        <v/>
      </c>
      <c r="G1198" s="6" t="str">
        <f>IF(ISNA(MATCH(1189,'Transfer Engine'!$C$2:$C$1199,0)),"",INDEX('Compliance Database'!$G$2:$G$1199,MATCH(1189,'Transfer Engine'!$C$2:$C$1199,0)))</f>
        <v/>
      </c>
      <c r="H1198" s="7" t="str">
        <f>IF(ISNA(MATCH(1189,'Transfer Engine'!$C$2:$C$1199,0)),"",INDEX('Compliance Database'!$H$2:$H$1199,MATCH(1189,'Transfer Engine'!$C$2:$C$1199,0)))</f>
        <v/>
      </c>
      <c r="I1198" s="7" t="str">
        <f>IF(ISNA(MATCH(1189,'Transfer Engine'!$C$2:$C$1199,0)),"",INDEX('Compliance Database'!$I$2:$I$1199,MATCH(1189,'Transfer Engine'!$C$2:$C$1199,0)))</f>
        <v/>
      </c>
      <c r="J1198" s="6" t="str">
        <f>IF(ISNA(MATCH(1189,'Transfer Engine'!$C$2:$C$1199,0)),"",INDEX('Compliance Database'!$J$2:$J$1199,MATCH(1189,'Transfer Engine'!$C$2:$C$1199,0)))</f>
        <v/>
      </c>
      <c r="K1198" s="7" t="str">
        <f>IF(ISNA(MATCH(1189,'Transfer Engine'!$C$2:$C$1199,0)),"",INDEX('Compliance Database'!$K$2:$K$1199,MATCH(1189,'Transfer Engine'!$C$2:$C$1199,0)))</f>
        <v/>
      </c>
      <c r="L1198" s="7" t="str">
        <f>IF(ISNA(MATCH(1189,'Transfer Engine'!$C$2:$C$1199,0)),"",INDEX('Compliance Database'!$L$2:$L$1199,MATCH(1189,'Transfer Engine'!$C$2:$C$1199,0)))</f>
        <v/>
      </c>
      <c r="M1198" s="7" t="str">
        <f>IF(ISNA(MATCH(1189,'Transfer Engine'!$C$2:$C$1199,0)),"",INDEX('Compliance Database'!$M$2:$M$1199,MATCH(1189,'Transfer Engine'!$C$2:$C$1199,0)))</f>
        <v/>
      </c>
      <c r="N1198" s="7" t="str">
        <f>IF(ISNA(MATCH(1189,'Transfer Engine'!$C$2:$C$1199,0)),"",INDEX('Compliance Database'!$N$2:$N$1199,MATCH(1189,'Transfer Engine'!$C$2:$C$1199,0)))</f>
        <v/>
      </c>
      <c r="O1198" s="7" t="str">
        <f>IF(ISNA(MATCH(1189,'Transfer Engine'!$C$2:$C$1199,0)),"",INDEX('Compliance Database'!$O$2:$O$1199,MATCH(1189,'Transfer Engine'!$C$2:$C$1199,0)))</f>
        <v/>
      </c>
      <c r="P1198" s="6" t="str">
        <f>IF(ISNA(MATCH(1189,'Transfer Engine'!$C$2:$C$1199,0)),"",HYPERLINK("#Acts!A"&amp;INDEX('Compliance Database'!$P$2:$P$1199,MATCH(1189,'Transfer Engine'!$C$2:$C$1199,0)),"Go to Act"))</f>
        <v/>
      </c>
    </row>
    <row r="1199" spans="1:16" ht="172.95" customHeight="1" x14ac:dyDescent="0.3">
      <c r="A1199" s="6" t="str">
        <f>IF(ISNA(MATCH(1190,'Transfer Engine'!$C$2:$C$1199,0)),"",INDEX('Compliance Database'!$A$2:$A$1199,MATCH(1190,'Transfer Engine'!$C$2:$C$1199,0)))</f>
        <v/>
      </c>
      <c r="B1199" s="6" t="str">
        <f>IF(ISNA(MATCH(1190,'Transfer Engine'!$C$2:$C$1199,0)),"",INDEX('Compliance Database'!$B$2:$B$1199,MATCH(1190,'Transfer Engine'!$C$2:$C$1199,0)))</f>
        <v/>
      </c>
      <c r="C1199" s="6" t="str">
        <f>IF(ISNA(MATCH(1190,'Transfer Engine'!$C$2:$C$1199,0)),"",INDEX('Compliance Database'!$C$2:$C$1199,MATCH(1190,'Transfer Engine'!$C$2:$C$1199,0)))</f>
        <v/>
      </c>
      <c r="D1199" s="7" t="str">
        <f>IF(ISNA(MATCH(1190,'Transfer Engine'!$C$2:$C$1199,0)),"",INDEX('Compliance Database'!$D$2:$D$1199,MATCH(1190,'Transfer Engine'!$C$2:$C$1199,0)))</f>
        <v/>
      </c>
      <c r="E1199" s="6" t="str">
        <f>IF(ISNA(MATCH(1190,'Transfer Engine'!$C$2:$C$1199,0)),"",INDEX('Compliance Database'!$E$2:$E$1199,MATCH(1190,'Transfer Engine'!$C$2:$C$1199,0)))</f>
        <v/>
      </c>
      <c r="F1199" s="6" t="str">
        <f>IF(ISNA(MATCH(1190,'Transfer Engine'!$C$2:$C$1199,0)),"",INDEX('Compliance Database'!$F$2:$F$1199,MATCH(1190,'Transfer Engine'!$C$2:$C$1199,0)))</f>
        <v/>
      </c>
      <c r="G1199" s="6" t="str">
        <f>IF(ISNA(MATCH(1190,'Transfer Engine'!$C$2:$C$1199,0)),"",INDEX('Compliance Database'!$G$2:$G$1199,MATCH(1190,'Transfer Engine'!$C$2:$C$1199,0)))</f>
        <v/>
      </c>
      <c r="H1199" s="7" t="str">
        <f>IF(ISNA(MATCH(1190,'Transfer Engine'!$C$2:$C$1199,0)),"",INDEX('Compliance Database'!$H$2:$H$1199,MATCH(1190,'Transfer Engine'!$C$2:$C$1199,0)))</f>
        <v/>
      </c>
      <c r="I1199" s="7" t="str">
        <f>IF(ISNA(MATCH(1190,'Transfer Engine'!$C$2:$C$1199,0)),"",INDEX('Compliance Database'!$I$2:$I$1199,MATCH(1190,'Transfer Engine'!$C$2:$C$1199,0)))</f>
        <v/>
      </c>
      <c r="J1199" s="6" t="str">
        <f>IF(ISNA(MATCH(1190,'Transfer Engine'!$C$2:$C$1199,0)),"",INDEX('Compliance Database'!$J$2:$J$1199,MATCH(1190,'Transfer Engine'!$C$2:$C$1199,0)))</f>
        <v/>
      </c>
      <c r="K1199" s="7" t="str">
        <f>IF(ISNA(MATCH(1190,'Transfer Engine'!$C$2:$C$1199,0)),"",INDEX('Compliance Database'!$K$2:$K$1199,MATCH(1190,'Transfer Engine'!$C$2:$C$1199,0)))</f>
        <v/>
      </c>
      <c r="L1199" s="7" t="str">
        <f>IF(ISNA(MATCH(1190,'Transfer Engine'!$C$2:$C$1199,0)),"",INDEX('Compliance Database'!$L$2:$L$1199,MATCH(1190,'Transfer Engine'!$C$2:$C$1199,0)))</f>
        <v/>
      </c>
      <c r="M1199" s="7" t="str">
        <f>IF(ISNA(MATCH(1190,'Transfer Engine'!$C$2:$C$1199,0)),"",INDEX('Compliance Database'!$M$2:$M$1199,MATCH(1190,'Transfer Engine'!$C$2:$C$1199,0)))</f>
        <v/>
      </c>
      <c r="N1199" s="7" t="str">
        <f>IF(ISNA(MATCH(1190,'Transfer Engine'!$C$2:$C$1199,0)),"",INDEX('Compliance Database'!$N$2:$N$1199,MATCH(1190,'Transfer Engine'!$C$2:$C$1199,0)))</f>
        <v/>
      </c>
      <c r="O1199" s="7" t="str">
        <f>IF(ISNA(MATCH(1190,'Transfer Engine'!$C$2:$C$1199,0)),"",INDEX('Compliance Database'!$O$2:$O$1199,MATCH(1190,'Transfer Engine'!$C$2:$C$1199,0)))</f>
        <v/>
      </c>
      <c r="P1199" s="6" t="str">
        <f>IF(ISNA(MATCH(1190,'Transfer Engine'!$C$2:$C$1199,0)),"",HYPERLINK("#Acts!A"&amp;INDEX('Compliance Database'!$P$2:$P$1199,MATCH(1190,'Transfer Engine'!$C$2:$C$1199,0)),"Go to Act"))</f>
        <v/>
      </c>
    </row>
    <row r="1200" spans="1:16" ht="172.95" customHeight="1" x14ac:dyDescent="0.3">
      <c r="A1200" s="6" t="str">
        <f>IF(ISNA(MATCH(1191,'Transfer Engine'!$C$2:$C$1199,0)),"",INDEX('Compliance Database'!$A$2:$A$1199,MATCH(1191,'Transfer Engine'!$C$2:$C$1199,0)))</f>
        <v/>
      </c>
      <c r="B1200" s="6" t="str">
        <f>IF(ISNA(MATCH(1191,'Transfer Engine'!$C$2:$C$1199,0)),"",INDEX('Compliance Database'!$B$2:$B$1199,MATCH(1191,'Transfer Engine'!$C$2:$C$1199,0)))</f>
        <v/>
      </c>
      <c r="C1200" s="6" t="str">
        <f>IF(ISNA(MATCH(1191,'Transfer Engine'!$C$2:$C$1199,0)),"",INDEX('Compliance Database'!$C$2:$C$1199,MATCH(1191,'Transfer Engine'!$C$2:$C$1199,0)))</f>
        <v/>
      </c>
      <c r="D1200" s="7" t="str">
        <f>IF(ISNA(MATCH(1191,'Transfer Engine'!$C$2:$C$1199,0)),"",INDEX('Compliance Database'!$D$2:$D$1199,MATCH(1191,'Transfer Engine'!$C$2:$C$1199,0)))</f>
        <v/>
      </c>
      <c r="E1200" s="6" t="str">
        <f>IF(ISNA(MATCH(1191,'Transfer Engine'!$C$2:$C$1199,0)),"",INDEX('Compliance Database'!$E$2:$E$1199,MATCH(1191,'Transfer Engine'!$C$2:$C$1199,0)))</f>
        <v/>
      </c>
      <c r="F1200" s="6" t="str">
        <f>IF(ISNA(MATCH(1191,'Transfer Engine'!$C$2:$C$1199,0)),"",INDEX('Compliance Database'!$F$2:$F$1199,MATCH(1191,'Transfer Engine'!$C$2:$C$1199,0)))</f>
        <v/>
      </c>
      <c r="G1200" s="6" t="str">
        <f>IF(ISNA(MATCH(1191,'Transfer Engine'!$C$2:$C$1199,0)),"",INDEX('Compliance Database'!$G$2:$G$1199,MATCH(1191,'Transfer Engine'!$C$2:$C$1199,0)))</f>
        <v/>
      </c>
      <c r="H1200" s="7" t="str">
        <f>IF(ISNA(MATCH(1191,'Transfer Engine'!$C$2:$C$1199,0)),"",INDEX('Compliance Database'!$H$2:$H$1199,MATCH(1191,'Transfer Engine'!$C$2:$C$1199,0)))</f>
        <v/>
      </c>
      <c r="I1200" s="7" t="str">
        <f>IF(ISNA(MATCH(1191,'Transfer Engine'!$C$2:$C$1199,0)),"",INDEX('Compliance Database'!$I$2:$I$1199,MATCH(1191,'Transfer Engine'!$C$2:$C$1199,0)))</f>
        <v/>
      </c>
      <c r="J1200" s="6" t="str">
        <f>IF(ISNA(MATCH(1191,'Transfer Engine'!$C$2:$C$1199,0)),"",INDEX('Compliance Database'!$J$2:$J$1199,MATCH(1191,'Transfer Engine'!$C$2:$C$1199,0)))</f>
        <v/>
      </c>
      <c r="K1200" s="7" t="str">
        <f>IF(ISNA(MATCH(1191,'Transfer Engine'!$C$2:$C$1199,0)),"",INDEX('Compliance Database'!$K$2:$K$1199,MATCH(1191,'Transfer Engine'!$C$2:$C$1199,0)))</f>
        <v/>
      </c>
      <c r="L1200" s="7" t="str">
        <f>IF(ISNA(MATCH(1191,'Transfer Engine'!$C$2:$C$1199,0)),"",INDEX('Compliance Database'!$L$2:$L$1199,MATCH(1191,'Transfer Engine'!$C$2:$C$1199,0)))</f>
        <v/>
      </c>
      <c r="M1200" s="7" t="str">
        <f>IF(ISNA(MATCH(1191,'Transfer Engine'!$C$2:$C$1199,0)),"",INDEX('Compliance Database'!$M$2:$M$1199,MATCH(1191,'Transfer Engine'!$C$2:$C$1199,0)))</f>
        <v/>
      </c>
      <c r="N1200" s="7" t="str">
        <f>IF(ISNA(MATCH(1191,'Transfer Engine'!$C$2:$C$1199,0)),"",INDEX('Compliance Database'!$N$2:$N$1199,MATCH(1191,'Transfer Engine'!$C$2:$C$1199,0)))</f>
        <v/>
      </c>
      <c r="O1200" s="7" t="str">
        <f>IF(ISNA(MATCH(1191,'Transfer Engine'!$C$2:$C$1199,0)),"",INDEX('Compliance Database'!$O$2:$O$1199,MATCH(1191,'Transfer Engine'!$C$2:$C$1199,0)))</f>
        <v/>
      </c>
      <c r="P1200" s="6" t="str">
        <f>IF(ISNA(MATCH(1191,'Transfer Engine'!$C$2:$C$1199,0)),"",HYPERLINK("#Acts!A"&amp;INDEX('Compliance Database'!$P$2:$P$1199,MATCH(1191,'Transfer Engine'!$C$2:$C$1199,0)),"Go to Act"))</f>
        <v/>
      </c>
    </row>
    <row r="1201" spans="1:16" ht="172.95" customHeight="1" x14ac:dyDescent="0.3">
      <c r="A1201" s="6" t="str">
        <f>IF(ISNA(MATCH(1192,'Transfer Engine'!$C$2:$C$1199,0)),"",INDEX('Compliance Database'!$A$2:$A$1199,MATCH(1192,'Transfer Engine'!$C$2:$C$1199,0)))</f>
        <v/>
      </c>
      <c r="B1201" s="6" t="str">
        <f>IF(ISNA(MATCH(1192,'Transfer Engine'!$C$2:$C$1199,0)),"",INDEX('Compliance Database'!$B$2:$B$1199,MATCH(1192,'Transfer Engine'!$C$2:$C$1199,0)))</f>
        <v/>
      </c>
      <c r="C1201" s="6" t="str">
        <f>IF(ISNA(MATCH(1192,'Transfer Engine'!$C$2:$C$1199,0)),"",INDEX('Compliance Database'!$C$2:$C$1199,MATCH(1192,'Transfer Engine'!$C$2:$C$1199,0)))</f>
        <v/>
      </c>
      <c r="D1201" s="7" t="str">
        <f>IF(ISNA(MATCH(1192,'Transfer Engine'!$C$2:$C$1199,0)),"",INDEX('Compliance Database'!$D$2:$D$1199,MATCH(1192,'Transfer Engine'!$C$2:$C$1199,0)))</f>
        <v/>
      </c>
      <c r="E1201" s="6" t="str">
        <f>IF(ISNA(MATCH(1192,'Transfer Engine'!$C$2:$C$1199,0)),"",INDEX('Compliance Database'!$E$2:$E$1199,MATCH(1192,'Transfer Engine'!$C$2:$C$1199,0)))</f>
        <v/>
      </c>
      <c r="F1201" s="6" t="str">
        <f>IF(ISNA(MATCH(1192,'Transfer Engine'!$C$2:$C$1199,0)),"",INDEX('Compliance Database'!$F$2:$F$1199,MATCH(1192,'Transfer Engine'!$C$2:$C$1199,0)))</f>
        <v/>
      </c>
      <c r="G1201" s="6" t="str">
        <f>IF(ISNA(MATCH(1192,'Transfer Engine'!$C$2:$C$1199,0)),"",INDEX('Compliance Database'!$G$2:$G$1199,MATCH(1192,'Transfer Engine'!$C$2:$C$1199,0)))</f>
        <v/>
      </c>
      <c r="H1201" s="7" t="str">
        <f>IF(ISNA(MATCH(1192,'Transfer Engine'!$C$2:$C$1199,0)),"",INDEX('Compliance Database'!$H$2:$H$1199,MATCH(1192,'Transfer Engine'!$C$2:$C$1199,0)))</f>
        <v/>
      </c>
      <c r="I1201" s="7" t="str">
        <f>IF(ISNA(MATCH(1192,'Transfer Engine'!$C$2:$C$1199,0)),"",INDEX('Compliance Database'!$I$2:$I$1199,MATCH(1192,'Transfer Engine'!$C$2:$C$1199,0)))</f>
        <v/>
      </c>
      <c r="J1201" s="6" t="str">
        <f>IF(ISNA(MATCH(1192,'Transfer Engine'!$C$2:$C$1199,0)),"",INDEX('Compliance Database'!$J$2:$J$1199,MATCH(1192,'Transfer Engine'!$C$2:$C$1199,0)))</f>
        <v/>
      </c>
      <c r="K1201" s="7" t="str">
        <f>IF(ISNA(MATCH(1192,'Transfer Engine'!$C$2:$C$1199,0)),"",INDEX('Compliance Database'!$K$2:$K$1199,MATCH(1192,'Transfer Engine'!$C$2:$C$1199,0)))</f>
        <v/>
      </c>
      <c r="L1201" s="7" t="str">
        <f>IF(ISNA(MATCH(1192,'Transfer Engine'!$C$2:$C$1199,0)),"",INDEX('Compliance Database'!$L$2:$L$1199,MATCH(1192,'Transfer Engine'!$C$2:$C$1199,0)))</f>
        <v/>
      </c>
      <c r="M1201" s="7" t="str">
        <f>IF(ISNA(MATCH(1192,'Transfer Engine'!$C$2:$C$1199,0)),"",INDEX('Compliance Database'!$M$2:$M$1199,MATCH(1192,'Transfer Engine'!$C$2:$C$1199,0)))</f>
        <v/>
      </c>
      <c r="N1201" s="7" t="str">
        <f>IF(ISNA(MATCH(1192,'Transfer Engine'!$C$2:$C$1199,0)),"",INDEX('Compliance Database'!$N$2:$N$1199,MATCH(1192,'Transfer Engine'!$C$2:$C$1199,0)))</f>
        <v/>
      </c>
      <c r="O1201" s="7" t="str">
        <f>IF(ISNA(MATCH(1192,'Transfer Engine'!$C$2:$C$1199,0)),"",INDEX('Compliance Database'!$O$2:$O$1199,MATCH(1192,'Transfer Engine'!$C$2:$C$1199,0)))</f>
        <v/>
      </c>
      <c r="P1201" s="6" t="str">
        <f>IF(ISNA(MATCH(1192,'Transfer Engine'!$C$2:$C$1199,0)),"",HYPERLINK("#Acts!A"&amp;INDEX('Compliance Database'!$P$2:$P$1199,MATCH(1192,'Transfer Engine'!$C$2:$C$1199,0)),"Go to Act"))</f>
        <v/>
      </c>
    </row>
    <row r="1202" spans="1:16" ht="172.95" customHeight="1" x14ac:dyDescent="0.3">
      <c r="A1202" s="6" t="str">
        <f>IF(ISNA(MATCH(1193,'Transfer Engine'!$C$2:$C$1199,0)),"",INDEX('Compliance Database'!$A$2:$A$1199,MATCH(1193,'Transfer Engine'!$C$2:$C$1199,0)))</f>
        <v/>
      </c>
      <c r="B1202" s="6" t="str">
        <f>IF(ISNA(MATCH(1193,'Transfer Engine'!$C$2:$C$1199,0)),"",INDEX('Compliance Database'!$B$2:$B$1199,MATCH(1193,'Transfer Engine'!$C$2:$C$1199,0)))</f>
        <v/>
      </c>
      <c r="C1202" s="6" t="str">
        <f>IF(ISNA(MATCH(1193,'Transfer Engine'!$C$2:$C$1199,0)),"",INDEX('Compliance Database'!$C$2:$C$1199,MATCH(1193,'Transfer Engine'!$C$2:$C$1199,0)))</f>
        <v/>
      </c>
      <c r="D1202" s="7" t="str">
        <f>IF(ISNA(MATCH(1193,'Transfer Engine'!$C$2:$C$1199,0)),"",INDEX('Compliance Database'!$D$2:$D$1199,MATCH(1193,'Transfer Engine'!$C$2:$C$1199,0)))</f>
        <v/>
      </c>
      <c r="E1202" s="6" t="str">
        <f>IF(ISNA(MATCH(1193,'Transfer Engine'!$C$2:$C$1199,0)),"",INDEX('Compliance Database'!$E$2:$E$1199,MATCH(1193,'Transfer Engine'!$C$2:$C$1199,0)))</f>
        <v/>
      </c>
      <c r="F1202" s="6" t="str">
        <f>IF(ISNA(MATCH(1193,'Transfer Engine'!$C$2:$C$1199,0)),"",INDEX('Compliance Database'!$F$2:$F$1199,MATCH(1193,'Transfer Engine'!$C$2:$C$1199,0)))</f>
        <v/>
      </c>
      <c r="G1202" s="6" t="str">
        <f>IF(ISNA(MATCH(1193,'Transfer Engine'!$C$2:$C$1199,0)),"",INDEX('Compliance Database'!$G$2:$G$1199,MATCH(1193,'Transfer Engine'!$C$2:$C$1199,0)))</f>
        <v/>
      </c>
      <c r="H1202" s="7" t="str">
        <f>IF(ISNA(MATCH(1193,'Transfer Engine'!$C$2:$C$1199,0)),"",INDEX('Compliance Database'!$H$2:$H$1199,MATCH(1193,'Transfer Engine'!$C$2:$C$1199,0)))</f>
        <v/>
      </c>
      <c r="I1202" s="7" t="str">
        <f>IF(ISNA(MATCH(1193,'Transfer Engine'!$C$2:$C$1199,0)),"",INDEX('Compliance Database'!$I$2:$I$1199,MATCH(1193,'Transfer Engine'!$C$2:$C$1199,0)))</f>
        <v/>
      </c>
      <c r="J1202" s="6" t="str">
        <f>IF(ISNA(MATCH(1193,'Transfer Engine'!$C$2:$C$1199,0)),"",INDEX('Compliance Database'!$J$2:$J$1199,MATCH(1193,'Transfer Engine'!$C$2:$C$1199,0)))</f>
        <v/>
      </c>
      <c r="K1202" s="7" t="str">
        <f>IF(ISNA(MATCH(1193,'Transfer Engine'!$C$2:$C$1199,0)),"",INDEX('Compliance Database'!$K$2:$K$1199,MATCH(1193,'Transfer Engine'!$C$2:$C$1199,0)))</f>
        <v/>
      </c>
      <c r="L1202" s="7" t="str">
        <f>IF(ISNA(MATCH(1193,'Transfer Engine'!$C$2:$C$1199,0)),"",INDEX('Compliance Database'!$L$2:$L$1199,MATCH(1193,'Transfer Engine'!$C$2:$C$1199,0)))</f>
        <v/>
      </c>
      <c r="M1202" s="7" t="str">
        <f>IF(ISNA(MATCH(1193,'Transfer Engine'!$C$2:$C$1199,0)),"",INDEX('Compliance Database'!$M$2:$M$1199,MATCH(1193,'Transfer Engine'!$C$2:$C$1199,0)))</f>
        <v/>
      </c>
      <c r="N1202" s="7" t="str">
        <f>IF(ISNA(MATCH(1193,'Transfer Engine'!$C$2:$C$1199,0)),"",INDEX('Compliance Database'!$N$2:$N$1199,MATCH(1193,'Transfer Engine'!$C$2:$C$1199,0)))</f>
        <v/>
      </c>
      <c r="O1202" s="7" t="str">
        <f>IF(ISNA(MATCH(1193,'Transfer Engine'!$C$2:$C$1199,0)),"",INDEX('Compliance Database'!$O$2:$O$1199,MATCH(1193,'Transfer Engine'!$C$2:$C$1199,0)))</f>
        <v/>
      </c>
      <c r="P1202" s="6" t="str">
        <f>IF(ISNA(MATCH(1193,'Transfer Engine'!$C$2:$C$1199,0)),"",HYPERLINK("#Acts!A"&amp;INDEX('Compliance Database'!$P$2:$P$1199,MATCH(1193,'Transfer Engine'!$C$2:$C$1199,0)),"Go to Act"))</f>
        <v/>
      </c>
    </row>
    <row r="1203" spans="1:16" ht="172.95" customHeight="1" x14ac:dyDescent="0.3">
      <c r="A1203" s="6" t="str">
        <f>IF(ISNA(MATCH(1194,'Transfer Engine'!$C$2:$C$1199,0)),"",INDEX('Compliance Database'!$A$2:$A$1199,MATCH(1194,'Transfer Engine'!$C$2:$C$1199,0)))</f>
        <v/>
      </c>
      <c r="B1203" s="6" t="str">
        <f>IF(ISNA(MATCH(1194,'Transfer Engine'!$C$2:$C$1199,0)),"",INDEX('Compliance Database'!$B$2:$B$1199,MATCH(1194,'Transfer Engine'!$C$2:$C$1199,0)))</f>
        <v/>
      </c>
      <c r="C1203" s="6" t="str">
        <f>IF(ISNA(MATCH(1194,'Transfer Engine'!$C$2:$C$1199,0)),"",INDEX('Compliance Database'!$C$2:$C$1199,MATCH(1194,'Transfer Engine'!$C$2:$C$1199,0)))</f>
        <v/>
      </c>
      <c r="D1203" s="7" t="str">
        <f>IF(ISNA(MATCH(1194,'Transfer Engine'!$C$2:$C$1199,0)),"",INDEX('Compliance Database'!$D$2:$D$1199,MATCH(1194,'Transfer Engine'!$C$2:$C$1199,0)))</f>
        <v/>
      </c>
      <c r="E1203" s="6" t="str">
        <f>IF(ISNA(MATCH(1194,'Transfer Engine'!$C$2:$C$1199,0)),"",INDEX('Compliance Database'!$E$2:$E$1199,MATCH(1194,'Transfer Engine'!$C$2:$C$1199,0)))</f>
        <v/>
      </c>
      <c r="F1203" s="6" t="str">
        <f>IF(ISNA(MATCH(1194,'Transfer Engine'!$C$2:$C$1199,0)),"",INDEX('Compliance Database'!$F$2:$F$1199,MATCH(1194,'Transfer Engine'!$C$2:$C$1199,0)))</f>
        <v/>
      </c>
      <c r="G1203" s="6" t="str">
        <f>IF(ISNA(MATCH(1194,'Transfer Engine'!$C$2:$C$1199,0)),"",INDEX('Compliance Database'!$G$2:$G$1199,MATCH(1194,'Transfer Engine'!$C$2:$C$1199,0)))</f>
        <v/>
      </c>
      <c r="H1203" s="7" t="str">
        <f>IF(ISNA(MATCH(1194,'Transfer Engine'!$C$2:$C$1199,0)),"",INDEX('Compliance Database'!$H$2:$H$1199,MATCH(1194,'Transfer Engine'!$C$2:$C$1199,0)))</f>
        <v/>
      </c>
      <c r="I1203" s="7" t="str">
        <f>IF(ISNA(MATCH(1194,'Transfer Engine'!$C$2:$C$1199,0)),"",INDEX('Compliance Database'!$I$2:$I$1199,MATCH(1194,'Transfer Engine'!$C$2:$C$1199,0)))</f>
        <v/>
      </c>
      <c r="J1203" s="6" t="str">
        <f>IF(ISNA(MATCH(1194,'Transfer Engine'!$C$2:$C$1199,0)),"",INDEX('Compliance Database'!$J$2:$J$1199,MATCH(1194,'Transfer Engine'!$C$2:$C$1199,0)))</f>
        <v/>
      </c>
      <c r="K1203" s="7" t="str">
        <f>IF(ISNA(MATCH(1194,'Transfer Engine'!$C$2:$C$1199,0)),"",INDEX('Compliance Database'!$K$2:$K$1199,MATCH(1194,'Transfer Engine'!$C$2:$C$1199,0)))</f>
        <v/>
      </c>
      <c r="L1203" s="7" t="str">
        <f>IF(ISNA(MATCH(1194,'Transfer Engine'!$C$2:$C$1199,0)),"",INDEX('Compliance Database'!$L$2:$L$1199,MATCH(1194,'Transfer Engine'!$C$2:$C$1199,0)))</f>
        <v/>
      </c>
      <c r="M1203" s="7" t="str">
        <f>IF(ISNA(MATCH(1194,'Transfer Engine'!$C$2:$C$1199,0)),"",INDEX('Compliance Database'!$M$2:$M$1199,MATCH(1194,'Transfer Engine'!$C$2:$C$1199,0)))</f>
        <v/>
      </c>
      <c r="N1203" s="7" t="str">
        <f>IF(ISNA(MATCH(1194,'Transfer Engine'!$C$2:$C$1199,0)),"",INDEX('Compliance Database'!$N$2:$N$1199,MATCH(1194,'Transfer Engine'!$C$2:$C$1199,0)))</f>
        <v/>
      </c>
      <c r="O1203" s="7" t="str">
        <f>IF(ISNA(MATCH(1194,'Transfer Engine'!$C$2:$C$1199,0)),"",INDEX('Compliance Database'!$O$2:$O$1199,MATCH(1194,'Transfer Engine'!$C$2:$C$1199,0)))</f>
        <v/>
      </c>
      <c r="P1203" s="6" t="str">
        <f>IF(ISNA(MATCH(1194,'Transfer Engine'!$C$2:$C$1199,0)),"",HYPERLINK("#Acts!A"&amp;INDEX('Compliance Database'!$P$2:$P$1199,MATCH(1194,'Transfer Engine'!$C$2:$C$1199,0)),"Go to Act"))</f>
        <v/>
      </c>
    </row>
    <row r="1204" spans="1:16" ht="172.95" customHeight="1" x14ac:dyDescent="0.3">
      <c r="A1204" s="6" t="str">
        <f>IF(ISNA(MATCH(1195,'Transfer Engine'!$C$2:$C$1199,0)),"",INDEX('Compliance Database'!$A$2:$A$1199,MATCH(1195,'Transfer Engine'!$C$2:$C$1199,0)))</f>
        <v/>
      </c>
      <c r="B1204" s="6" t="str">
        <f>IF(ISNA(MATCH(1195,'Transfer Engine'!$C$2:$C$1199,0)),"",INDEX('Compliance Database'!$B$2:$B$1199,MATCH(1195,'Transfer Engine'!$C$2:$C$1199,0)))</f>
        <v/>
      </c>
      <c r="C1204" s="6" t="str">
        <f>IF(ISNA(MATCH(1195,'Transfer Engine'!$C$2:$C$1199,0)),"",INDEX('Compliance Database'!$C$2:$C$1199,MATCH(1195,'Transfer Engine'!$C$2:$C$1199,0)))</f>
        <v/>
      </c>
      <c r="D1204" s="7" t="str">
        <f>IF(ISNA(MATCH(1195,'Transfer Engine'!$C$2:$C$1199,0)),"",INDEX('Compliance Database'!$D$2:$D$1199,MATCH(1195,'Transfer Engine'!$C$2:$C$1199,0)))</f>
        <v/>
      </c>
      <c r="E1204" s="6" t="str">
        <f>IF(ISNA(MATCH(1195,'Transfer Engine'!$C$2:$C$1199,0)),"",INDEX('Compliance Database'!$E$2:$E$1199,MATCH(1195,'Transfer Engine'!$C$2:$C$1199,0)))</f>
        <v/>
      </c>
      <c r="F1204" s="6" t="str">
        <f>IF(ISNA(MATCH(1195,'Transfer Engine'!$C$2:$C$1199,0)),"",INDEX('Compliance Database'!$F$2:$F$1199,MATCH(1195,'Transfer Engine'!$C$2:$C$1199,0)))</f>
        <v/>
      </c>
      <c r="G1204" s="6" t="str">
        <f>IF(ISNA(MATCH(1195,'Transfer Engine'!$C$2:$C$1199,0)),"",INDEX('Compliance Database'!$G$2:$G$1199,MATCH(1195,'Transfer Engine'!$C$2:$C$1199,0)))</f>
        <v/>
      </c>
      <c r="H1204" s="7" t="str">
        <f>IF(ISNA(MATCH(1195,'Transfer Engine'!$C$2:$C$1199,0)),"",INDEX('Compliance Database'!$H$2:$H$1199,MATCH(1195,'Transfer Engine'!$C$2:$C$1199,0)))</f>
        <v/>
      </c>
      <c r="I1204" s="7" t="str">
        <f>IF(ISNA(MATCH(1195,'Transfer Engine'!$C$2:$C$1199,0)),"",INDEX('Compliance Database'!$I$2:$I$1199,MATCH(1195,'Transfer Engine'!$C$2:$C$1199,0)))</f>
        <v/>
      </c>
      <c r="J1204" s="6" t="str">
        <f>IF(ISNA(MATCH(1195,'Transfer Engine'!$C$2:$C$1199,0)),"",INDEX('Compliance Database'!$J$2:$J$1199,MATCH(1195,'Transfer Engine'!$C$2:$C$1199,0)))</f>
        <v/>
      </c>
      <c r="K1204" s="7" t="str">
        <f>IF(ISNA(MATCH(1195,'Transfer Engine'!$C$2:$C$1199,0)),"",INDEX('Compliance Database'!$K$2:$K$1199,MATCH(1195,'Transfer Engine'!$C$2:$C$1199,0)))</f>
        <v/>
      </c>
      <c r="L1204" s="7" t="str">
        <f>IF(ISNA(MATCH(1195,'Transfer Engine'!$C$2:$C$1199,0)),"",INDEX('Compliance Database'!$L$2:$L$1199,MATCH(1195,'Transfer Engine'!$C$2:$C$1199,0)))</f>
        <v/>
      </c>
      <c r="M1204" s="7" t="str">
        <f>IF(ISNA(MATCH(1195,'Transfer Engine'!$C$2:$C$1199,0)),"",INDEX('Compliance Database'!$M$2:$M$1199,MATCH(1195,'Transfer Engine'!$C$2:$C$1199,0)))</f>
        <v/>
      </c>
      <c r="N1204" s="7" t="str">
        <f>IF(ISNA(MATCH(1195,'Transfer Engine'!$C$2:$C$1199,0)),"",INDEX('Compliance Database'!$N$2:$N$1199,MATCH(1195,'Transfer Engine'!$C$2:$C$1199,0)))</f>
        <v/>
      </c>
      <c r="O1204" s="7" t="str">
        <f>IF(ISNA(MATCH(1195,'Transfer Engine'!$C$2:$C$1199,0)),"",INDEX('Compliance Database'!$O$2:$O$1199,MATCH(1195,'Transfer Engine'!$C$2:$C$1199,0)))</f>
        <v/>
      </c>
      <c r="P1204" s="6" t="str">
        <f>IF(ISNA(MATCH(1195,'Transfer Engine'!$C$2:$C$1199,0)),"",HYPERLINK("#Acts!A"&amp;INDEX('Compliance Database'!$P$2:$P$1199,MATCH(1195,'Transfer Engine'!$C$2:$C$1199,0)),"Go to Act"))</f>
        <v/>
      </c>
    </row>
    <row r="1205" spans="1:16" ht="172.95" customHeight="1" x14ac:dyDescent="0.3">
      <c r="A1205" s="6" t="str">
        <f>IF(ISNA(MATCH(1196,'Transfer Engine'!$C$2:$C$1199,0)),"",INDEX('Compliance Database'!$A$2:$A$1199,MATCH(1196,'Transfer Engine'!$C$2:$C$1199,0)))</f>
        <v/>
      </c>
      <c r="B1205" s="6" t="str">
        <f>IF(ISNA(MATCH(1196,'Transfer Engine'!$C$2:$C$1199,0)),"",INDEX('Compliance Database'!$B$2:$B$1199,MATCH(1196,'Transfer Engine'!$C$2:$C$1199,0)))</f>
        <v/>
      </c>
      <c r="C1205" s="6" t="str">
        <f>IF(ISNA(MATCH(1196,'Transfer Engine'!$C$2:$C$1199,0)),"",INDEX('Compliance Database'!$C$2:$C$1199,MATCH(1196,'Transfer Engine'!$C$2:$C$1199,0)))</f>
        <v/>
      </c>
      <c r="D1205" s="7" t="str">
        <f>IF(ISNA(MATCH(1196,'Transfer Engine'!$C$2:$C$1199,0)),"",INDEX('Compliance Database'!$D$2:$D$1199,MATCH(1196,'Transfer Engine'!$C$2:$C$1199,0)))</f>
        <v/>
      </c>
      <c r="E1205" s="6" t="str">
        <f>IF(ISNA(MATCH(1196,'Transfer Engine'!$C$2:$C$1199,0)),"",INDEX('Compliance Database'!$E$2:$E$1199,MATCH(1196,'Transfer Engine'!$C$2:$C$1199,0)))</f>
        <v/>
      </c>
      <c r="F1205" s="6" t="str">
        <f>IF(ISNA(MATCH(1196,'Transfer Engine'!$C$2:$C$1199,0)),"",INDEX('Compliance Database'!$F$2:$F$1199,MATCH(1196,'Transfer Engine'!$C$2:$C$1199,0)))</f>
        <v/>
      </c>
      <c r="G1205" s="6" t="str">
        <f>IF(ISNA(MATCH(1196,'Transfer Engine'!$C$2:$C$1199,0)),"",INDEX('Compliance Database'!$G$2:$G$1199,MATCH(1196,'Transfer Engine'!$C$2:$C$1199,0)))</f>
        <v/>
      </c>
      <c r="H1205" s="7" t="str">
        <f>IF(ISNA(MATCH(1196,'Transfer Engine'!$C$2:$C$1199,0)),"",INDEX('Compliance Database'!$H$2:$H$1199,MATCH(1196,'Transfer Engine'!$C$2:$C$1199,0)))</f>
        <v/>
      </c>
      <c r="I1205" s="7" t="str">
        <f>IF(ISNA(MATCH(1196,'Transfer Engine'!$C$2:$C$1199,0)),"",INDEX('Compliance Database'!$I$2:$I$1199,MATCH(1196,'Transfer Engine'!$C$2:$C$1199,0)))</f>
        <v/>
      </c>
      <c r="J1205" s="6" t="str">
        <f>IF(ISNA(MATCH(1196,'Transfer Engine'!$C$2:$C$1199,0)),"",INDEX('Compliance Database'!$J$2:$J$1199,MATCH(1196,'Transfer Engine'!$C$2:$C$1199,0)))</f>
        <v/>
      </c>
      <c r="K1205" s="7" t="str">
        <f>IF(ISNA(MATCH(1196,'Transfer Engine'!$C$2:$C$1199,0)),"",INDEX('Compliance Database'!$K$2:$K$1199,MATCH(1196,'Transfer Engine'!$C$2:$C$1199,0)))</f>
        <v/>
      </c>
      <c r="L1205" s="7" t="str">
        <f>IF(ISNA(MATCH(1196,'Transfer Engine'!$C$2:$C$1199,0)),"",INDEX('Compliance Database'!$L$2:$L$1199,MATCH(1196,'Transfer Engine'!$C$2:$C$1199,0)))</f>
        <v/>
      </c>
      <c r="M1205" s="7" t="str">
        <f>IF(ISNA(MATCH(1196,'Transfer Engine'!$C$2:$C$1199,0)),"",INDEX('Compliance Database'!$M$2:$M$1199,MATCH(1196,'Transfer Engine'!$C$2:$C$1199,0)))</f>
        <v/>
      </c>
      <c r="N1205" s="7" t="str">
        <f>IF(ISNA(MATCH(1196,'Transfer Engine'!$C$2:$C$1199,0)),"",INDEX('Compliance Database'!$N$2:$N$1199,MATCH(1196,'Transfer Engine'!$C$2:$C$1199,0)))</f>
        <v/>
      </c>
      <c r="O1205" s="7" t="str">
        <f>IF(ISNA(MATCH(1196,'Transfer Engine'!$C$2:$C$1199,0)),"",INDEX('Compliance Database'!$O$2:$O$1199,MATCH(1196,'Transfer Engine'!$C$2:$C$1199,0)))</f>
        <v/>
      </c>
      <c r="P1205" s="6" t="str">
        <f>IF(ISNA(MATCH(1196,'Transfer Engine'!$C$2:$C$1199,0)),"",HYPERLINK("#Acts!A"&amp;INDEX('Compliance Database'!$P$2:$P$1199,MATCH(1196,'Transfer Engine'!$C$2:$C$1199,0)),"Go to Act"))</f>
        <v/>
      </c>
    </row>
    <row r="1206" spans="1:16" ht="172.95" customHeight="1" x14ac:dyDescent="0.3">
      <c r="A1206" s="6" t="str">
        <f>IF(ISNA(MATCH(1197,'Transfer Engine'!$C$2:$C$1199,0)),"",INDEX('Compliance Database'!$A$2:$A$1199,MATCH(1197,'Transfer Engine'!$C$2:$C$1199,0)))</f>
        <v/>
      </c>
      <c r="B1206" s="6" t="str">
        <f>IF(ISNA(MATCH(1197,'Transfer Engine'!$C$2:$C$1199,0)),"",INDEX('Compliance Database'!$B$2:$B$1199,MATCH(1197,'Transfer Engine'!$C$2:$C$1199,0)))</f>
        <v/>
      </c>
      <c r="C1206" s="6" t="str">
        <f>IF(ISNA(MATCH(1197,'Transfer Engine'!$C$2:$C$1199,0)),"",INDEX('Compliance Database'!$C$2:$C$1199,MATCH(1197,'Transfer Engine'!$C$2:$C$1199,0)))</f>
        <v/>
      </c>
      <c r="D1206" s="7" t="str">
        <f>IF(ISNA(MATCH(1197,'Transfer Engine'!$C$2:$C$1199,0)),"",INDEX('Compliance Database'!$D$2:$D$1199,MATCH(1197,'Transfer Engine'!$C$2:$C$1199,0)))</f>
        <v/>
      </c>
      <c r="E1206" s="6" t="str">
        <f>IF(ISNA(MATCH(1197,'Transfer Engine'!$C$2:$C$1199,0)),"",INDEX('Compliance Database'!$E$2:$E$1199,MATCH(1197,'Transfer Engine'!$C$2:$C$1199,0)))</f>
        <v/>
      </c>
      <c r="F1206" s="6" t="str">
        <f>IF(ISNA(MATCH(1197,'Transfer Engine'!$C$2:$C$1199,0)),"",INDEX('Compliance Database'!$F$2:$F$1199,MATCH(1197,'Transfer Engine'!$C$2:$C$1199,0)))</f>
        <v/>
      </c>
      <c r="G1206" s="6" t="str">
        <f>IF(ISNA(MATCH(1197,'Transfer Engine'!$C$2:$C$1199,0)),"",INDEX('Compliance Database'!$G$2:$G$1199,MATCH(1197,'Transfer Engine'!$C$2:$C$1199,0)))</f>
        <v/>
      </c>
      <c r="H1206" s="7" t="str">
        <f>IF(ISNA(MATCH(1197,'Transfer Engine'!$C$2:$C$1199,0)),"",INDEX('Compliance Database'!$H$2:$H$1199,MATCH(1197,'Transfer Engine'!$C$2:$C$1199,0)))</f>
        <v/>
      </c>
      <c r="I1206" s="7" t="str">
        <f>IF(ISNA(MATCH(1197,'Transfer Engine'!$C$2:$C$1199,0)),"",INDEX('Compliance Database'!$I$2:$I$1199,MATCH(1197,'Transfer Engine'!$C$2:$C$1199,0)))</f>
        <v/>
      </c>
      <c r="J1206" s="6" t="str">
        <f>IF(ISNA(MATCH(1197,'Transfer Engine'!$C$2:$C$1199,0)),"",INDEX('Compliance Database'!$J$2:$J$1199,MATCH(1197,'Transfer Engine'!$C$2:$C$1199,0)))</f>
        <v/>
      </c>
      <c r="K1206" s="7" t="str">
        <f>IF(ISNA(MATCH(1197,'Transfer Engine'!$C$2:$C$1199,0)),"",INDEX('Compliance Database'!$K$2:$K$1199,MATCH(1197,'Transfer Engine'!$C$2:$C$1199,0)))</f>
        <v/>
      </c>
      <c r="L1206" s="7" t="str">
        <f>IF(ISNA(MATCH(1197,'Transfer Engine'!$C$2:$C$1199,0)),"",INDEX('Compliance Database'!$L$2:$L$1199,MATCH(1197,'Transfer Engine'!$C$2:$C$1199,0)))</f>
        <v/>
      </c>
      <c r="M1206" s="7" t="str">
        <f>IF(ISNA(MATCH(1197,'Transfer Engine'!$C$2:$C$1199,0)),"",INDEX('Compliance Database'!$M$2:$M$1199,MATCH(1197,'Transfer Engine'!$C$2:$C$1199,0)))</f>
        <v/>
      </c>
      <c r="N1206" s="7" t="str">
        <f>IF(ISNA(MATCH(1197,'Transfer Engine'!$C$2:$C$1199,0)),"",INDEX('Compliance Database'!$N$2:$N$1199,MATCH(1197,'Transfer Engine'!$C$2:$C$1199,0)))</f>
        <v/>
      </c>
      <c r="O1206" s="7" t="str">
        <f>IF(ISNA(MATCH(1197,'Transfer Engine'!$C$2:$C$1199,0)),"",INDEX('Compliance Database'!$O$2:$O$1199,MATCH(1197,'Transfer Engine'!$C$2:$C$1199,0)))</f>
        <v/>
      </c>
      <c r="P1206" s="6" t="str">
        <f>IF(ISNA(MATCH(1197,'Transfer Engine'!$C$2:$C$1199,0)),"",HYPERLINK("#Acts!A"&amp;INDEX('Compliance Database'!$P$2:$P$1199,MATCH(1197,'Transfer Engine'!$C$2:$C$1199,0)),"Go to Act"))</f>
        <v/>
      </c>
    </row>
    <row r="1207" spans="1:16" ht="172.95" customHeight="1" x14ac:dyDescent="0.3">
      <c r="A1207" s="6" t="str">
        <f>IF(ISNA(MATCH(1198,'Transfer Engine'!$C$2:$C$1199,0)),"",INDEX('Compliance Database'!$A$2:$A$1199,MATCH(1198,'Transfer Engine'!$C$2:$C$1199,0)))</f>
        <v/>
      </c>
      <c r="B1207" s="6" t="str">
        <f>IF(ISNA(MATCH(1198,'Transfer Engine'!$C$2:$C$1199,0)),"",INDEX('Compliance Database'!$B$2:$B$1199,MATCH(1198,'Transfer Engine'!$C$2:$C$1199,0)))</f>
        <v/>
      </c>
      <c r="C1207" s="6" t="str">
        <f>IF(ISNA(MATCH(1198,'Transfer Engine'!$C$2:$C$1199,0)),"",INDEX('Compliance Database'!$C$2:$C$1199,MATCH(1198,'Transfer Engine'!$C$2:$C$1199,0)))</f>
        <v/>
      </c>
      <c r="D1207" s="7" t="str">
        <f>IF(ISNA(MATCH(1198,'Transfer Engine'!$C$2:$C$1199,0)),"",INDEX('Compliance Database'!$D$2:$D$1199,MATCH(1198,'Transfer Engine'!$C$2:$C$1199,0)))</f>
        <v/>
      </c>
      <c r="E1207" s="6" t="str">
        <f>IF(ISNA(MATCH(1198,'Transfer Engine'!$C$2:$C$1199,0)),"",INDEX('Compliance Database'!$E$2:$E$1199,MATCH(1198,'Transfer Engine'!$C$2:$C$1199,0)))</f>
        <v/>
      </c>
      <c r="F1207" s="6" t="str">
        <f>IF(ISNA(MATCH(1198,'Transfer Engine'!$C$2:$C$1199,0)),"",INDEX('Compliance Database'!$F$2:$F$1199,MATCH(1198,'Transfer Engine'!$C$2:$C$1199,0)))</f>
        <v/>
      </c>
      <c r="G1207" s="6" t="str">
        <f>IF(ISNA(MATCH(1198,'Transfer Engine'!$C$2:$C$1199,0)),"",INDEX('Compliance Database'!$G$2:$G$1199,MATCH(1198,'Transfer Engine'!$C$2:$C$1199,0)))</f>
        <v/>
      </c>
      <c r="H1207" s="7" t="str">
        <f>IF(ISNA(MATCH(1198,'Transfer Engine'!$C$2:$C$1199,0)),"",INDEX('Compliance Database'!$H$2:$H$1199,MATCH(1198,'Transfer Engine'!$C$2:$C$1199,0)))</f>
        <v/>
      </c>
      <c r="I1207" s="7" t="str">
        <f>IF(ISNA(MATCH(1198,'Transfer Engine'!$C$2:$C$1199,0)),"",INDEX('Compliance Database'!$I$2:$I$1199,MATCH(1198,'Transfer Engine'!$C$2:$C$1199,0)))</f>
        <v/>
      </c>
      <c r="J1207" s="6" t="str">
        <f>IF(ISNA(MATCH(1198,'Transfer Engine'!$C$2:$C$1199,0)),"",INDEX('Compliance Database'!$J$2:$J$1199,MATCH(1198,'Transfer Engine'!$C$2:$C$1199,0)))</f>
        <v/>
      </c>
      <c r="K1207" s="7" t="str">
        <f>IF(ISNA(MATCH(1198,'Transfer Engine'!$C$2:$C$1199,0)),"",INDEX('Compliance Database'!$K$2:$K$1199,MATCH(1198,'Transfer Engine'!$C$2:$C$1199,0)))</f>
        <v/>
      </c>
      <c r="L1207" s="7" t="str">
        <f>IF(ISNA(MATCH(1198,'Transfer Engine'!$C$2:$C$1199,0)),"",INDEX('Compliance Database'!$L$2:$L$1199,MATCH(1198,'Transfer Engine'!$C$2:$C$1199,0)))</f>
        <v/>
      </c>
      <c r="M1207" s="7" t="str">
        <f>IF(ISNA(MATCH(1198,'Transfer Engine'!$C$2:$C$1199,0)),"",INDEX('Compliance Database'!$M$2:$M$1199,MATCH(1198,'Transfer Engine'!$C$2:$C$1199,0)))</f>
        <v/>
      </c>
      <c r="N1207" s="7" t="str">
        <f>IF(ISNA(MATCH(1198,'Transfer Engine'!$C$2:$C$1199,0)),"",INDEX('Compliance Database'!$N$2:$N$1199,MATCH(1198,'Transfer Engine'!$C$2:$C$1199,0)))</f>
        <v/>
      </c>
      <c r="O1207" s="7" t="str">
        <f>IF(ISNA(MATCH(1198,'Transfer Engine'!$C$2:$C$1199,0)),"",INDEX('Compliance Database'!$O$2:$O$1199,MATCH(1198,'Transfer Engine'!$C$2:$C$1199,0)))</f>
        <v/>
      </c>
      <c r="P1207" s="6" t="str">
        <f>IF(ISNA(MATCH(1198,'Transfer Engine'!$C$2:$C$1199,0)),"",HYPERLINK("#Acts!A"&amp;INDEX('Compliance Database'!$P$2:$P$1199,MATCH(1198,'Transfer Engine'!$C$2:$C$1199,0)),"Go to Act"))</f>
        <v/>
      </c>
    </row>
  </sheetData>
  <mergeCells count="1">
    <mergeCell ref="A1:D1"/>
  </mergeCell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xr:uid="{00000000-0002-0000-0200-000000000000}">
          <x14:formula1>
            <xm:f>Lists!$A$3:$A$11</xm:f>
          </x14:formula1>
          <xm:sqref>B4:B5</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P1199"/>
  <sheetViews>
    <sheetView workbookViewId="0">
      <pane ySplit="1" topLeftCell="A2" activePane="bottomLeft" state="frozen"/>
      <selection pane="bottomLeft"/>
    </sheetView>
  </sheetViews>
  <sheetFormatPr defaultRowHeight="14.4" x14ac:dyDescent="0.3"/>
  <cols>
    <col min="1" max="1" width="16" customWidth="1"/>
    <col min="2" max="2" width="60" customWidth="1"/>
    <col min="3" max="3" width="15" customWidth="1"/>
    <col min="4" max="4" width="45" customWidth="1"/>
    <col min="5" max="5" width="12" customWidth="1"/>
    <col min="6" max="6" width="21" customWidth="1"/>
    <col min="7" max="7" width="31" customWidth="1"/>
    <col min="8" max="9" width="45" customWidth="1"/>
    <col min="10" max="10" width="60" customWidth="1"/>
    <col min="11" max="12" width="45" customWidth="1"/>
    <col min="13" max="14" width="78" customWidth="1"/>
    <col min="15" max="15" width="45" customWidth="1"/>
    <col min="16" max="16" width="12" customWidth="1"/>
  </cols>
  <sheetData>
    <row r="1" spans="1:16" x14ac:dyDescent="0.3">
      <c r="A1" s="8" t="s">
        <v>14</v>
      </c>
      <c r="B1" s="8" t="s">
        <v>24</v>
      </c>
      <c r="C1" s="8" t="s">
        <v>25</v>
      </c>
      <c r="D1" s="8" t="s">
        <v>26</v>
      </c>
      <c r="E1" s="8" t="s">
        <v>27</v>
      </c>
      <c r="F1" s="8" t="s">
        <v>18</v>
      </c>
      <c r="G1" s="8" t="s">
        <v>28</v>
      </c>
      <c r="H1" s="8" t="s">
        <v>4</v>
      </c>
      <c r="I1" s="8" t="s">
        <v>29</v>
      </c>
      <c r="J1" s="8" t="s">
        <v>19</v>
      </c>
      <c r="K1" s="8" t="s">
        <v>30</v>
      </c>
      <c r="L1" s="8" t="s">
        <v>31</v>
      </c>
      <c r="M1" s="8" t="s">
        <v>32</v>
      </c>
      <c r="N1" s="8" t="s">
        <v>33</v>
      </c>
      <c r="O1" s="8" t="s">
        <v>34</v>
      </c>
      <c r="P1" s="8" t="s">
        <v>35</v>
      </c>
    </row>
    <row r="2" spans="1:16" ht="158.4" x14ac:dyDescent="0.3">
      <c r="A2" t="s">
        <v>39</v>
      </c>
      <c r="B2" t="s">
        <v>42</v>
      </c>
      <c r="C2" t="s">
        <v>43</v>
      </c>
      <c r="D2" s="9" t="s">
        <v>44</v>
      </c>
      <c r="E2" t="s">
        <v>45</v>
      </c>
      <c r="F2" t="s">
        <v>46</v>
      </c>
      <c r="G2" t="s">
        <v>47</v>
      </c>
      <c r="H2" s="9" t="s">
        <v>48</v>
      </c>
      <c r="I2" s="9" t="s">
        <v>49</v>
      </c>
      <c r="K2" s="9" t="s">
        <v>50</v>
      </c>
      <c r="L2" s="9"/>
      <c r="M2" s="9" t="s">
        <v>51</v>
      </c>
      <c r="N2" s="9" t="s">
        <v>52</v>
      </c>
      <c r="O2" s="9" t="s">
        <v>53</v>
      </c>
      <c r="P2" s="10">
        <v>2</v>
      </c>
    </row>
    <row r="3" spans="1:16" ht="144" x14ac:dyDescent="0.3">
      <c r="A3" t="s">
        <v>39</v>
      </c>
      <c r="B3" t="s">
        <v>54</v>
      </c>
      <c r="C3" t="s">
        <v>55</v>
      </c>
      <c r="D3" s="9" t="s">
        <v>56</v>
      </c>
      <c r="E3" t="s">
        <v>57</v>
      </c>
      <c r="F3" t="s">
        <v>46</v>
      </c>
      <c r="G3" t="s">
        <v>47</v>
      </c>
      <c r="H3" s="9" t="s">
        <v>58</v>
      </c>
      <c r="I3" s="9" t="s">
        <v>59</v>
      </c>
      <c r="J3" t="s">
        <v>60</v>
      </c>
      <c r="K3" s="9" t="s">
        <v>61</v>
      </c>
      <c r="L3" s="9"/>
      <c r="M3" s="9" t="s">
        <v>62</v>
      </c>
      <c r="N3" s="9" t="s">
        <v>63</v>
      </c>
      <c r="O3" s="9" t="s">
        <v>64</v>
      </c>
      <c r="P3" s="10">
        <v>3</v>
      </c>
    </row>
    <row r="4" spans="1:16" ht="100.8" x14ac:dyDescent="0.3">
      <c r="A4" t="s">
        <v>39</v>
      </c>
      <c r="B4" t="s">
        <v>65</v>
      </c>
      <c r="C4" t="s">
        <v>66</v>
      </c>
      <c r="D4" s="9" t="s">
        <v>67</v>
      </c>
      <c r="E4" t="s">
        <v>68</v>
      </c>
      <c r="F4" t="s">
        <v>69</v>
      </c>
      <c r="G4" t="s">
        <v>47</v>
      </c>
      <c r="H4" s="9"/>
      <c r="I4" s="9"/>
      <c r="K4" s="9" t="s">
        <v>70</v>
      </c>
      <c r="L4" s="9"/>
      <c r="M4" s="9" t="s">
        <v>71</v>
      </c>
      <c r="N4" s="9" t="s">
        <v>72</v>
      </c>
      <c r="O4" s="9" t="s">
        <v>73</v>
      </c>
      <c r="P4" s="10">
        <v>4</v>
      </c>
    </row>
    <row r="5" spans="1:16" ht="129.6" x14ac:dyDescent="0.3">
      <c r="A5" t="s">
        <v>39</v>
      </c>
      <c r="B5" t="s">
        <v>65</v>
      </c>
      <c r="C5" t="s">
        <v>74</v>
      </c>
      <c r="D5" s="9" t="s">
        <v>75</v>
      </c>
      <c r="E5" t="s">
        <v>76</v>
      </c>
      <c r="F5" t="s">
        <v>69</v>
      </c>
      <c r="G5" t="s">
        <v>47</v>
      </c>
      <c r="H5" s="9"/>
      <c r="I5" s="9"/>
      <c r="K5" s="9" t="s">
        <v>77</v>
      </c>
      <c r="L5" s="9"/>
      <c r="M5" s="9" t="s">
        <v>78</v>
      </c>
      <c r="N5" s="9" t="s">
        <v>79</v>
      </c>
      <c r="O5" s="9" t="s">
        <v>80</v>
      </c>
      <c r="P5" s="10">
        <v>4</v>
      </c>
    </row>
    <row r="6" spans="1:16" ht="100.8" x14ac:dyDescent="0.3">
      <c r="A6" t="s">
        <v>39</v>
      </c>
      <c r="B6" t="s">
        <v>65</v>
      </c>
      <c r="C6" t="s">
        <v>43</v>
      </c>
      <c r="D6" s="9" t="s">
        <v>81</v>
      </c>
      <c r="E6" t="s">
        <v>82</v>
      </c>
      <c r="F6" t="s">
        <v>69</v>
      </c>
      <c r="G6" t="s">
        <v>47</v>
      </c>
      <c r="H6" s="9"/>
      <c r="I6" s="9"/>
      <c r="K6" s="9" t="s">
        <v>83</v>
      </c>
      <c r="L6" s="9"/>
      <c r="M6" s="9" t="s">
        <v>84</v>
      </c>
      <c r="N6" s="9" t="s">
        <v>85</v>
      </c>
      <c r="O6" s="9" t="s">
        <v>86</v>
      </c>
      <c r="P6" s="10">
        <v>4</v>
      </c>
    </row>
    <row r="7" spans="1:16" ht="129.6" x14ac:dyDescent="0.3">
      <c r="A7" t="s">
        <v>39</v>
      </c>
      <c r="B7" t="s">
        <v>65</v>
      </c>
      <c r="C7" t="s">
        <v>68</v>
      </c>
      <c r="D7" s="9" t="s">
        <v>87</v>
      </c>
      <c r="E7" t="s">
        <v>82</v>
      </c>
      <c r="F7" t="s">
        <v>69</v>
      </c>
      <c r="G7" t="s">
        <v>47</v>
      </c>
      <c r="H7" s="9"/>
      <c r="I7" s="9"/>
      <c r="K7" s="9" t="s">
        <v>88</v>
      </c>
      <c r="L7" s="9"/>
      <c r="M7" s="9" t="s">
        <v>89</v>
      </c>
      <c r="N7" s="9" t="s">
        <v>90</v>
      </c>
      <c r="O7" s="9" t="s">
        <v>91</v>
      </c>
      <c r="P7" s="10">
        <v>4</v>
      </c>
    </row>
    <row r="8" spans="1:16" ht="100.8" x14ac:dyDescent="0.3">
      <c r="A8" t="s">
        <v>39</v>
      </c>
      <c r="B8" t="s">
        <v>65</v>
      </c>
      <c r="C8" t="s">
        <v>82</v>
      </c>
      <c r="D8" s="9" t="s">
        <v>92</v>
      </c>
      <c r="E8" t="s">
        <v>82</v>
      </c>
      <c r="F8" t="s">
        <v>69</v>
      </c>
      <c r="G8" t="s">
        <v>47</v>
      </c>
      <c r="H8" s="9"/>
      <c r="I8" s="9"/>
      <c r="K8" s="9" t="s">
        <v>93</v>
      </c>
      <c r="L8" s="9"/>
      <c r="M8" s="9" t="s">
        <v>94</v>
      </c>
      <c r="N8" s="9" t="s">
        <v>95</v>
      </c>
      <c r="O8" s="9" t="s">
        <v>96</v>
      </c>
      <c r="P8" s="10">
        <v>4</v>
      </c>
    </row>
    <row r="9" spans="1:16" ht="100.8" x14ac:dyDescent="0.3">
      <c r="A9" t="s">
        <v>39</v>
      </c>
      <c r="B9" t="s">
        <v>65</v>
      </c>
      <c r="C9" t="s">
        <v>55</v>
      </c>
      <c r="D9" s="9" t="s">
        <v>97</v>
      </c>
      <c r="E9" t="s">
        <v>98</v>
      </c>
      <c r="F9" t="s">
        <v>69</v>
      </c>
      <c r="G9" t="s">
        <v>47</v>
      </c>
      <c r="H9" s="9"/>
      <c r="I9" s="9"/>
      <c r="K9" s="9" t="s">
        <v>99</v>
      </c>
      <c r="L9" s="9"/>
      <c r="M9" s="9" t="s">
        <v>100</v>
      </c>
      <c r="N9" s="9" t="s">
        <v>101</v>
      </c>
      <c r="O9" s="9" t="s">
        <v>102</v>
      </c>
      <c r="P9" s="10">
        <v>4</v>
      </c>
    </row>
    <row r="10" spans="1:16" ht="129.6" x14ac:dyDescent="0.3">
      <c r="A10" t="s">
        <v>39</v>
      </c>
      <c r="B10" t="s">
        <v>65</v>
      </c>
      <c r="C10" t="s">
        <v>103</v>
      </c>
      <c r="D10" s="9" t="s">
        <v>104</v>
      </c>
      <c r="E10" t="s">
        <v>105</v>
      </c>
      <c r="F10" t="s">
        <v>46</v>
      </c>
      <c r="G10" t="s">
        <v>47</v>
      </c>
      <c r="H10" s="9"/>
      <c r="I10" s="9" t="s">
        <v>106</v>
      </c>
      <c r="J10" t="s">
        <v>107</v>
      </c>
      <c r="K10" s="9" t="s">
        <v>108</v>
      </c>
      <c r="L10" s="9" t="s">
        <v>109</v>
      </c>
      <c r="M10" s="9" t="s">
        <v>110</v>
      </c>
      <c r="N10" s="9" t="s">
        <v>111</v>
      </c>
      <c r="O10" s="9" t="s">
        <v>112</v>
      </c>
      <c r="P10" s="10">
        <v>4</v>
      </c>
    </row>
    <row r="11" spans="1:16" ht="129.6" x14ac:dyDescent="0.3">
      <c r="A11" t="s">
        <v>39</v>
      </c>
      <c r="B11" t="s">
        <v>65</v>
      </c>
      <c r="C11" t="s">
        <v>113</v>
      </c>
      <c r="D11" s="9" t="s">
        <v>114</v>
      </c>
      <c r="E11" t="s">
        <v>115</v>
      </c>
      <c r="F11" t="s">
        <v>116</v>
      </c>
      <c r="G11" t="s">
        <v>47</v>
      </c>
      <c r="H11" s="9" t="s">
        <v>117</v>
      </c>
      <c r="I11" s="9"/>
      <c r="K11" s="9" t="s">
        <v>118</v>
      </c>
      <c r="L11" s="9" t="s">
        <v>119</v>
      </c>
      <c r="M11" s="9" t="s">
        <v>120</v>
      </c>
      <c r="N11" s="9" t="s">
        <v>121</v>
      </c>
      <c r="O11" s="9" t="s">
        <v>122</v>
      </c>
      <c r="P11" s="10">
        <v>4</v>
      </c>
    </row>
    <row r="12" spans="1:16" ht="144" x14ac:dyDescent="0.3">
      <c r="A12" t="s">
        <v>39</v>
      </c>
      <c r="B12" t="s">
        <v>65</v>
      </c>
      <c r="C12" t="s">
        <v>123</v>
      </c>
      <c r="D12" s="9" t="s">
        <v>124</v>
      </c>
      <c r="E12" t="s">
        <v>125</v>
      </c>
      <c r="F12" t="s">
        <v>116</v>
      </c>
      <c r="G12" t="s">
        <v>47</v>
      </c>
      <c r="H12" s="9"/>
      <c r="I12" s="9" t="s">
        <v>106</v>
      </c>
      <c r="J12" t="s">
        <v>107</v>
      </c>
      <c r="K12" s="9" t="s">
        <v>126</v>
      </c>
      <c r="L12" s="9" t="s">
        <v>127</v>
      </c>
      <c r="M12" s="9" t="s">
        <v>128</v>
      </c>
      <c r="N12" s="9" t="s">
        <v>129</v>
      </c>
      <c r="O12" s="9" t="s">
        <v>130</v>
      </c>
      <c r="P12" s="10">
        <v>4</v>
      </c>
    </row>
    <row r="13" spans="1:16" ht="129.6" x14ac:dyDescent="0.3">
      <c r="A13" t="s">
        <v>39</v>
      </c>
      <c r="B13" t="s">
        <v>65</v>
      </c>
      <c r="C13" t="s">
        <v>131</v>
      </c>
      <c r="D13" s="9" t="s">
        <v>132</v>
      </c>
      <c r="E13" t="s">
        <v>133</v>
      </c>
      <c r="F13" t="s">
        <v>116</v>
      </c>
      <c r="G13" t="s">
        <v>47</v>
      </c>
      <c r="H13" s="9"/>
      <c r="I13" s="9" t="s">
        <v>106</v>
      </c>
      <c r="J13" t="s">
        <v>134</v>
      </c>
      <c r="K13" s="9" t="s">
        <v>135</v>
      </c>
      <c r="L13" s="9" t="s">
        <v>136</v>
      </c>
      <c r="M13" s="9" t="s">
        <v>137</v>
      </c>
      <c r="N13" s="9" t="s">
        <v>138</v>
      </c>
      <c r="O13" s="9" t="s">
        <v>139</v>
      </c>
      <c r="P13" s="10">
        <v>4</v>
      </c>
    </row>
    <row r="14" spans="1:16" ht="158.4" x14ac:dyDescent="0.3">
      <c r="A14" t="s">
        <v>39</v>
      </c>
      <c r="B14" t="s">
        <v>65</v>
      </c>
      <c r="C14" t="s">
        <v>140</v>
      </c>
      <c r="D14" s="9" t="s">
        <v>141</v>
      </c>
      <c r="E14" t="s">
        <v>142</v>
      </c>
      <c r="F14" t="s">
        <v>143</v>
      </c>
      <c r="G14" t="s">
        <v>47</v>
      </c>
      <c r="H14" s="9"/>
      <c r="I14" s="9" t="s">
        <v>144</v>
      </c>
      <c r="J14" t="s">
        <v>134</v>
      </c>
      <c r="K14" s="9" t="s">
        <v>145</v>
      </c>
      <c r="L14" s="9" t="s">
        <v>146</v>
      </c>
      <c r="M14" s="9" t="s">
        <v>147</v>
      </c>
      <c r="N14" s="9" t="s">
        <v>148</v>
      </c>
      <c r="O14" s="9" t="s">
        <v>149</v>
      </c>
      <c r="P14" s="10">
        <v>4</v>
      </c>
    </row>
    <row r="15" spans="1:16" ht="129.6" x14ac:dyDescent="0.3">
      <c r="A15" t="s">
        <v>39</v>
      </c>
      <c r="B15" t="s">
        <v>65</v>
      </c>
      <c r="C15" t="s">
        <v>150</v>
      </c>
      <c r="D15" s="9" t="s">
        <v>151</v>
      </c>
      <c r="E15" t="s">
        <v>152</v>
      </c>
      <c r="F15" t="s">
        <v>116</v>
      </c>
      <c r="G15" t="s">
        <v>47</v>
      </c>
      <c r="H15" s="9" t="s">
        <v>153</v>
      </c>
      <c r="I15" s="9" t="s">
        <v>106</v>
      </c>
      <c r="J15" t="s">
        <v>107</v>
      </c>
      <c r="K15" s="9" t="s">
        <v>154</v>
      </c>
      <c r="L15" s="9" t="s">
        <v>155</v>
      </c>
      <c r="M15" s="9" t="s">
        <v>156</v>
      </c>
      <c r="N15" s="9" t="s">
        <v>157</v>
      </c>
      <c r="O15" s="9" t="s">
        <v>158</v>
      </c>
      <c r="P15" s="10">
        <v>4</v>
      </c>
    </row>
    <row r="16" spans="1:16" ht="172.8" x14ac:dyDescent="0.3">
      <c r="A16" t="s">
        <v>39</v>
      </c>
      <c r="B16" t="s">
        <v>65</v>
      </c>
      <c r="C16" t="s">
        <v>159</v>
      </c>
      <c r="D16" s="9" t="s">
        <v>160</v>
      </c>
      <c r="E16" t="s">
        <v>161</v>
      </c>
      <c r="F16" t="s">
        <v>116</v>
      </c>
      <c r="G16" t="s">
        <v>47</v>
      </c>
      <c r="H16" s="9"/>
      <c r="I16" s="9" t="s">
        <v>106</v>
      </c>
      <c r="J16" t="s">
        <v>107</v>
      </c>
      <c r="K16" s="9" t="s">
        <v>162</v>
      </c>
      <c r="L16" s="9" t="s">
        <v>163</v>
      </c>
      <c r="M16" s="9" t="s">
        <v>164</v>
      </c>
      <c r="N16" s="9" t="s">
        <v>165</v>
      </c>
      <c r="O16" s="9" t="s">
        <v>166</v>
      </c>
      <c r="P16" s="10">
        <v>4</v>
      </c>
    </row>
    <row r="17" spans="1:16" ht="187.2" x14ac:dyDescent="0.3">
      <c r="A17" t="s">
        <v>39</v>
      </c>
      <c r="B17" t="s">
        <v>65</v>
      </c>
      <c r="C17" t="s">
        <v>167</v>
      </c>
      <c r="D17" s="9" t="s">
        <v>168</v>
      </c>
      <c r="E17" t="s">
        <v>169</v>
      </c>
      <c r="F17" t="s">
        <v>116</v>
      </c>
      <c r="G17" t="s">
        <v>47</v>
      </c>
      <c r="H17" s="9"/>
      <c r="I17" s="9" t="s">
        <v>106</v>
      </c>
      <c r="J17" t="s">
        <v>107</v>
      </c>
      <c r="K17" s="9" t="s">
        <v>170</v>
      </c>
      <c r="L17" s="9" t="s">
        <v>171</v>
      </c>
      <c r="M17" s="9" t="s">
        <v>172</v>
      </c>
      <c r="N17" s="9" t="s">
        <v>173</v>
      </c>
      <c r="O17" s="9" t="s">
        <v>174</v>
      </c>
      <c r="P17" s="10">
        <v>4</v>
      </c>
    </row>
    <row r="18" spans="1:16" ht="158.4" x14ac:dyDescent="0.3">
      <c r="A18" t="s">
        <v>39</v>
      </c>
      <c r="B18" t="s">
        <v>65</v>
      </c>
      <c r="C18" t="s">
        <v>175</v>
      </c>
      <c r="D18" s="9" t="s">
        <v>176</v>
      </c>
      <c r="E18" t="s">
        <v>177</v>
      </c>
      <c r="F18" t="s">
        <v>116</v>
      </c>
      <c r="G18" t="s">
        <v>47</v>
      </c>
      <c r="H18" s="9"/>
      <c r="I18" s="9" t="s">
        <v>106</v>
      </c>
      <c r="J18" t="s">
        <v>107</v>
      </c>
      <c r="K18" s="9" t="s">
        <v>178</v>
      </c>
      <c r="L18" s="9" t="s">
        <v>179</v>
      </c>
      <c r="M18" s="9" t="s">
        <v>180</v>
      </c>
      <c r="N18" s="9" t="s">
        <v>181</v>
      </c>
      <c r="O18" s="9" t="s">
        <v>182</v>
      </c>
      <c r="P18" s="10">
        <v>4</v>
      </c>
    </row>
    <row r="19" spans="1:16" ht="144" x14ac:dyDescent="0.3">
      <c r="A19" t="s">
        <v>39</v>
      </c>
      <c r="B19" t="s">
        <v>65</v>
      </c>
      <c r="C19" t="s">
        <v>183</v>
      </c>
      <c r="D19" s="9" t="s">
        <v>184</v>
      </c>
      <c r="E19" t="s">
        <v>185</v>
      </c>
      <c r="F19" t="s">
        <v>116</v>
      </c>
      <c r="G19" t="s">
        <v>47</v>
      </c>
      <c r="H19" s="9"/>
      <c r="I19" s="9" t="s">
        <v>106</v>
      </c>
      <c r="J19" t="s">
        <v>107</v>
      </c>
      <c r="K19" s="9" t="s">
        <v>186</v>
      </c>
      <c r="L19" s="9" t="s">
        <v>187</v>
      </c>
      <c r="M19" s="9" t="s">
        <v>188</v>
      </c>
      <c r="N19" s="9" t="s">
        <v>189</v>
      </c>
      <c r="O19" s="9" t="s">
        <v>190</v>
      </c>
      <c r="P19" s="10">
        <v>4</v>
      </c>
    </row>
    <row r="20" spans="1:16" ht="316.8" x14ac:dyDescent="0.3">
      <c r="A20" t="s">
        <v>39</v>
      </c>
      <c r="B20" t="s">
        <v>65</v>
      </c>
      <c r="C20" t="s">
        <v>191</v>
      </c>
      <c r="D20" s="9" t="s">
        <v>192</v>
      </c>
      <c r="E20" t="s">
        <v>193</v>
      </c>
      <c r="F20" t="s">
        <v>116</v>
      </c>
      <c r="G20" t="s">
        <v>47</v>
      </c>
      <c r="H20" s="9"/>
      <c r="I20" s="9" t="s">
        <v>106</v>
      </c>
      <c r="J20" t="s">
        <v>107</v>
      </c>
      <c r="K20" s="9" t="s">
        <v>194</v>
      </c>
      <c r="L20" s="9" t="s">
        <v>195</v>
      </c>
      <c r="M20" s="9" t="s">
        <v>196</v>
      </c>
      <c r="N20" s="9" t="s">
        <v>197</v>
      </c>
      <c r="O20" s="9" t="s">
        <v>198</v>
      </c>
      <c r="P20" s="10">
        <v>4</v>
      </c>
    </row>
    <row r="21" spans="1:16" ht="403.2" x14ac:dyDescent="0.3">
      <c r="A21" t="s">
        <v>39</v>
      </c>
      <c r="B21" t="s">
        <v>65</v>
      </c>
      <c r="C21" t="s">
        <v>199</v>
      </c>
      <c r="D21" s="9" t="s">
        <v>200</v>
      </c>
      <c r="E21" t="s">
        <v>201</v>
      </c>
      <c r="F21" t="s">
        <v>116</v>
      </c>
      <c r="G21" t="s">
        <v>47</v>
      </c>
      <c r="H21" s="9"/>
      <c r="I21" s="9" t="s">
        <v>106</v>
      </c>
      <c r="J21" t="s">
        <v>107</v>
      </c>
      <c r="K21" s="9" t="s">
        <v>202</v>
      </c>
      <c r="L21" s="9" t="s">
        <v>203</v>
      </c>
      <c r="M21" s="9" t="s">
        <v>204</v>
      </c>
      <c r="N21" s="9" t="s">
        <v>205</v>
      </c>
      <c r="O21" s="9" t="s">
        <v>206</v>
      </c>
      <c r="P21" s="10">
        <v>4</v>
      </c>
    </row>
    <row r="22" spans="1:16" ht="302.39999999999998" x14ac:dyDescent="0.3">
      <c r="A22" t="s">
        <v>39</v>
      </c>
      <c r="B22" t="s">
        <v>65</v>
      </c>
      <c r="C22" t="s">
        <v>207</v>
      </c>
      <c r="D22" s="9" t="s">
        <v>208</v>
      </c>
      <c r="E22" t="s">
        <v>209</v>
      </c>
      <c r="F22" t="s">
        <v>116</v>
      </c>
      <c r="G22" t="s">
        <v>47</v>
      </c>
      <c r="H22" s="9"/>
      <c r="I22" s="9" t="s">
        <v>106</v>
      </c>
      <c r="J22" t="s">
        <v>107</v>
      </c>
      <c r="K22" s="9" t="s">
        <v>210</v>
      </c>
      <c r="L22" s="9" t="s">
        <v>211</v>
      </c>
      <c r="M22" s="9" t="s">
        <v>212</v>
      </c>
      <c r="N22" s="9" t="s">
        <v>213</v>
      </c>
      <c r="O22" s="9" t="s">
        <v>214</v>
      </c>
      <c r="P22" s="10">
        <v>4</v>
      </c>
    </row>
    <row r="23" spans="1:16" ht="72" x14ac:dyDescent="0.3">
      <c r="A23" t="s">
        <v>39</v>
      </c>
      <c r="B23" t="s">
        <v>65</v>
      </c>
      <c r="C23" t="s">
        <v>215</v>
      </c>
      <c r="D23" s="9" t="s">
        <v>216</v>
      </c>
      <c r="E23" t="s">
        <v>217</v>
      </c>
      <c r="F23" t="s">
        <v>69</v>
      </c>
      <c r="G23" t="s">
        <v>47</v>
      </c>
      <c r="H23" s="9"/>
      <c r="I23" s="9"/>
      <c r="K23" s="9" t="s">
        <v>218</v>
      </c>
      <c r="L23" s="9"/>
      <c r="M23" s="9" t="s">
        <v>219</v>
      </c>
      <c r="N23" s="9"/>
      <c r="O23" s="9" t="s">
        <v>220</v>
      </c>
      <c r="P23" s="10">
        <v>4</v>
      </c>
    </row>
    <row r="24" spans="1:16" ht="72" x14ac:dyDescent="0.3">
      <c r="A24" t="s">
        <v>39</v>
      </c>
      <c r="B24" t="s">
        <v>65</v>
      </c>
      <c r="C24" t="s">
        <v>221</v>
      </c>
      <c r="D24" s="9" t="s">
        <v>222</v>
      </c>
      <c r="E24" t="s">
        <v>223</v>
      </c>
      <c r="F24" t="s">
        <v>69</v>
      </c>
      <c r="G24" t="s">
        <v>47</v>
      </c>
      <c r="H24" s="9"/>
      <c r="I24" s="9"/>
      <c r="K24" s="9" t="s">
        <v>224</v>
      </c>
      <c r="L24" s="9"/>
      <c r="M24" s="9" t="s">
        <v>225</v>
      </c>
      <c r="N24" s="9"/>
      <c r="O24" s="9" t="s">
        <v>226</v>
      </c>
      <c r="P24" s="10">
        <v>4</v>
      </c>
    </row>
    <row r="25" spans="1:16" ht="115.2" x14ac:dyDescent="0.3">
      <c r="A25" t="s">
        <v>39</v>
      </c>
      <c r="B25" t="s">
        <v>65</v>
      </c>
      <c r="C25" t="s">
        <v>227</v>
      </c>
      <c r="D25" s="9" t="s">
        <v>228</v>
      </c>
      <c r="E25" t="s">
        <v>229</v>
      </c>
      <c r="F25" t="s">
        <v>116</v>
      </c>
      <c r="G25" t="s">
        <v>47</v>
      </c>
      <c r="H25" s="9"/>
      <c r="I25" s="9" t="s">
        <v>106</v>
      </c>
      <c r="J25" t="s">
        <v>107</v>
      </c>
      <c r="K25" s="9" t="s">
        <v>230</v>
      </c>
      <c r="L25" s="9" t="s">
        <v>231</v>
      </c>
      <c r="M25" s="9" t="s">
        <v>232</v>
      </c>
      <c r="N25" s="9" t="s">
        <v>233</v>
      </c>
      <c r="O25" s="9" t="s">
        <v>234</v>
      </c>
      <c r="P25" s="10">
        <v>4</v>
      </c>
    </row>
    <row r="26" spans="1:16" ht="115.2" x14ac:dyDescent="0.3">
      <c r="A26" t="s">
        <v>39</v>
      </c>
      <c r="B26" t="s">
        <v>65</v>
      </c>
      <c r="C26" t="s">
        <v>235</v>
      </c>
      <c r="D26" s="9" t="s">
        <v>236</v>
      </c>
      <c r="E26" t="s">
        <v>237</v>
      </c>
      <c r="F26" t="s">
        <v>46</v>
      </c>
      <c r="G26" t="s">
        <v>47</v>
      </c>
      <c r="H26" s="9"/>
      <c r="I26" s="9" t="s">
        <v>106</v>
      </c>
      <c r="J26" t="s">
        <v>238</v>
      </c>
      <c r="K26" s="9" t="s">
        <v>239</v>
      </c>
      <c r="L26" s="9" t="s">
        <v>240</v>
      </c>
      <c r="M26" s="9" t="s">
        <v>241</v>
      </c>
      <c r="N26" s="9" t="s">
        <v>242</v>
      </c>
      <c r="O26" s="9" t="s">
        <v>243</v>
      </c>
      <c r="P26" s="10">
        <v>4</v>
      </c>
    </row>
    <row r="27" spans="1:16" ht="129.6" x14ac:dyDescent="0.3">
      <c r="A27" t="s">
        <v>39</v>
      </c>
      <c r="B27" t="s">
        <v>65</v>
      </c>
      <c r="C27" t="s">
        <v>244</v>
      </c>
      <c r="D27" s="9" t="s">
        <v>245</v>
      </c>
      <c r="E27" t="s">
        <v>246</v>
      </c>
      <c r="F27" t="s">
        <v>143</v>
      </c>
      <c r="G27" t="s">
        <v>47</v>
      </c>
      <c r="H27" s="9"/>
      <c r="I27" s="9" t="s">
        <v>106</v>
      </c>
      <c r="J27" t="s">
        <v>107</v>
      </c>
      <c r="K27" s="9" t="s">
        <v>247</v>
      </c>
      <c r="L27" s="9" t="s">
        <v>248</v>
      </c>
      <c r="M27" s="9" t="s">
        <v>249</v>
      </c>
      <c r="N27" s="9" t="s">
        <v>250</v>
      </c>
      <c r="O27" s="9" t="s">
        <v>251</v>
      </c>
      <c r="P27" s="10">
        <v>4</v>
      </c>
    </row>
    <row r="28" spans="1:16" ht="144" x14ac:dyDescent="0.3">
      <c r="A28" t="s">
        <v>39</v>
      </c>
      <c r="B28" t="s">
        <v>65</v>
      </c>
      <c r="C28" t="s">
        <v>252</v>
      </c>
      <c r="D28" s="9" t="s">
        <v>253</v>
      </c>
      <c r="E28" t="s">
        <v>254</v>
      </c>
      <c r="F28" t="s">
        <v>116</v>
      </c>
      <c r="G28" t="s">
        <v>47</v>
      </c>
      <c r="H28" s="9" t="s">
        <v>255</v>
      </c>
      <c r="I28" s="9" t="s">
        <v>106</v>
      </c>
      <c r="K28" s="9" t="s">
        <v>256</v>
      </c>
      <c r="L28" s="9" t="s">
        <v>257</v>
      </c>
      <c r="M28" s="9" t="s">
        <v>258</v>
      </c>
      <c r="N28" s="9" t="s">
        <v>259</v>
      </c>
      <c r="O28" s="9" t="s">
        <v>260</v>
      </c>
      <c r="P28" s="10">
        <v>4</v>
      </c>
    </row>
    <row r="29" spans="1:16" ht="115.2" x14ac:dyDescent="0.3">
      <c r="A29" t="s">
        <v>39</v>
      </c>
      <c r="B29" t="s">
        <v>65</v>
      </c>
      <c r="C29" t="s">
        <v>261</v>
      </c>
      <c r="D29" s="9" t="s">
        <v>262</v>
      </c>
      <c r="E29" t="s">
        <v>263</v>
      </c>
      <c r="F29" t="s">
        <v>116</v>
      </c>
      <c r="G29" t="s">
        <v>47</v>
      </c>
      <c r="H29" s="9" t="s">
        <v>255</v>
      </c>
      <c r="I29" s="9" t="s">
        <v>106</v>
      </c>
      <c r="K29" s="9" t="s">
        <v>264</v>
      </c>
      <c r="L29" s="9" t="s">
        <v>265</v>
      </c>
      <c r="M29" s="9" t="s">
        <v>266</v>
      </c>
      <c r="N29" s="9" t="s">
        <v>267</v>
      </c>
      <c r="O29" s="9" t="s">
        <v>260</v>
      </c>
      <c r="P29" s="10">
        <v>4</v>
      </c>
    </row>
    <row r="30" spans="1:16" ht="158.4" x14ac:dyDescent="0.3">
      <c r="A30" t="s">
        <v>39</v>
      </c>
      <c r="B30" t="s">
        <v>65</v>
      </c>
      <c r="C30" t="s">
        <v>268</v>
      </c>
      <c r="D30" s="9" t="s">
        <v>269</v>
      </c>
      <c r="E30" t="s">
        <v>270</v>
      </c>
      <c r="F30" t="s">
        <v>116</v>
      </c>
      <c r="G30" t="s">
        <v>47</v>
      </c>
      <c r="H30" s="9"/>
      <c r="I30" s="9" t="s">
        <v>271</v>
      </c>
      <c r="J30" t="s">
        <v>107</v>
      </c>
      <c r="K30" s="9" t="s">
        <v>272</v>
      </c>
      <c r="L30" s="9" t="s">
        <v>273</v>
      </c>
      <c r="M30" s="9" t="s">
        <v>274</v>
      </c>
      <c r="N30" s="9" t="s">
        <v>275</v>
      </c>
      <c r="O30" s="9" t="s">
        <v>276</v>
      </c>
      <c r="P30" s="10">
        <v>4</v>
      </c>
    </row>
    <row r="31" spans="1:16" ht="172.8" x14ac:dyDescent="0.3">
      <c r="A31" t="s">
        <v>39</v>
      </c>
      <c r="B31" t="s">
        <v>65</v>
      </c>
      <c r="C31" t="s">
        <v>277</v>
      </c>
      <c r="D31" s="9" t="s">
        <v>278</v>
      </c>
      <c r="E31" t="s">
        <v>279</v>
      </c>
      <c r="F31" t="s">
        <v>116</v>
      </c>
      <c r="G31" t="s">
        <v>47</v>
      </c>
      <c r="H31" s="9"/>
      <c r="I31" s="9" t="s">
        <v>271</v>
      </c>
      <c r="J31" t="s">
        <v>107</v>
      </c>
      <c r="K31" s="9" t="s">
        <v>280</v>
      </c>
      <c r="L31" s="9" t="s">
        <v>281</v>
      </c>
      <c r="M31" s="9" t="s">
        <v>282</v>
      </c>
      <c r="N31" s="9" t="s">
        <v>283</v>
      </c>
      <c r="O31" s="9" t="s">
        <v>284</v>
      </c>
      <c r="P31" s="10">
        <v>4</v>
      </c>
    </row>
    <row r="32" spans="1:16" ht="144" x14ac:dyDescent="0.3">
      <c r="A32" t="s">
        <v>39</v>
      </c>
      <c r="B32" t="s">
        <v>65</v>
      </c>
      <c r="C32" t="s">
        <v>285</v>
      </c>
      <c r="D32" s="9" t="s">
        <v>286</v>
      </c>
      <c r="E32" t="s">
        <v>287</v>
      </c>
      <c r="F32" t="s">
        <v>46</v>
      </c>
      <c r="G32" t="s">
        <v>47</v>
      </c>
      <c r="H32" s="9" t="s">
        <v>288</v>
      </c>
      <c r="I32" s="9" t="s">
        <v>289</v>
      </c>
      <c r="J32" t="s">
        <v>290</v>
      </c>
      <c r="K32" s="9" t="s">
        <v>291</v>
      </c>
      <c r="L32" s="9" t="s">
        <v>292</v>
      </c>
      <c r="M32" s="9" t="s">
        <v>293</v>
      </c>
      <c r="N32" s="9" t="s">
        <v>294</v>
      </c>
      <c r="O32" s="9" t="s">
        <v>295</v>
      </c>
      <c r="P32" s="10">
        <v>4</v>
      </c>
    </row>
    <row r="33" spans="1:16" ht="172.8" x14ac:dyDescent="0.3">
      <c r="A33" t="s">
        <v>39</v>
      </c>
      <c r="B33" t="s">
        <v>65</v>
      </c>
      <c r="C33" t="s">
        <v>296</v>
      </c>
      <c r="D33" s="9" t="s">
        <v>297</v>
      </c>
      <c r="E33" t="s">
        <v>298</v>
      </c>
      <c r="F33" t="s">
        <v>116</v>
      </c>
      <c r="G33" t="s">
        <v>47</v>
      </c>
      <c r="H33" s="9"/>
      <c r="I33" s="9"/>
      <c r="J33" t="s">
        <v>107</v>
      </c>
      <c r="K33" s="9" t="s">
        <v>299</v>
      </c>
      <c r="L33" s="9" t="s">
        <v>300</v>
      </c>
      <c r="M33" s="9" t="s">
        <v>301</v>
      </c>
      <c r="N33" s="9" t="s">
        <v>302</v>
      </c>
      <c r="O33" s="9" t="s">
        <v>303</v>
      </c>
      <c r="P33" s="10">
        <v>4</v>
      </c>
    </row>
    <row r="34" spans="1:16" ht="100.8" x14ac:dyDescent="0.3">
      <c r="A34" t="s">
        <v>39</v>
      </c>
      <c r="B34" t="s">
        <v>304</v>
      </c>
      <c r="C34" t="s">
        <v>74</v>
      </c>
      <c r="D34" s="9" t="s">
        <v>305</v>
      </c>
      <c r="E34" t="s">
        <v>68</v>
      </c>
      <c r="F34" t="s">
        <v>46</v>
      </c>
      <c r="G34" t="s">
        <v>47</v>
      </c>
      <c r="H34" s="9" t="s">
        <v>306</v>
      </c>
      <c r="I34" s="9" t="s">
        <v>307</v>
      </c>
      <c r="K34" s="9" t="s">
        <v>308</v>
      </c>
      <c r="L34" s="9" t="s">
        <v>309</v>
      </c>
      <c r="M34" s="9" t="s">
        <v>310</v>
      </c>
      <c r="N34" s="9"/>
      <c r="O34" s="9" t="s">
        <v>311</v>
      </c>
      <c r="P34" s="10">
        <v>5</v>
      </c>
    </row>
    <row r="35" spans="1:16" ht="86.4" x14ac:dyDescent="0.3">
      <c r="A35" t="s">
        <v>39</v>
      </c>
      <c r="B35" t="s">
        <v>304</v>
      </c>
      <c r="C35" t="s">
        <v>312</v>
      </c>
      <c r="D35" s="9" t="s">
        <v>313</v>
      </c>
      <c r="E35" t="s">
        <v>314</v>
      </c>
      <c r="F35" t="s">
        <v>69</v>
      </c>
      <c r="G35" t="s">
        <v>47</v>
      </c>
      <c r="H35" s="9"/>
      <c r="I35" s="9"/>
      <c r="K35" s="9" t="s">
        <v>315</v>
      </c>
      <c r="L35" s="9"/>
      <c r="M35" s="9" t="s">
        <v>316</v>
      </c>
      <c r="N35" s="9" t="s">
        <v>317</v>
      </c>
      <c r="O35" s="9" t="s">
        <v>318</v>
      </c>
      <c r="P35" s="10">
        <v>5</v>
      </c>
    </row>
    <row r="36" spans="1:16" ht="158.4" x14ac:dyDescent="0.3">
      <c r="A36" t="s">
        <v>39</v>
      </c>
      <c r="B36" t="s">
        <v>304</v>
      </c>
      <c r="C36" t="s">
        <v>319</v>
      </c>
      <c r="D36" s="9" t="s">
        <v>320</v>
      </c>
      <c r="E36" t="s">
        <v>321</v>
      </c>
      <c r="F36" t="s">
        <v>143</v>
      </c>
      <c r="G36" t="s">
        <v>47</v>
      </c>
      <c r="H36" s="9"/>
      <c r="I36" s="9" t="s">
        <v>59</v>
      </c>
      <c r="J36" t="s">
        <v>322</v>
      </c>
      <c r="K36" s="9" t="s">
        <v>323</v>
      </c>
      <c r="L36" s="9" t="s">
        <v>324</v>
      </c>
      <c r="M36" s="9" t="s">
        <v>325</v>
      </c>
      <c r="N36" s="9" t="s">
        <v>326</v>
      </c>
      <c r="O36" s="9" t="s">
        <v>327</v>
      </c>
      <c r="P36" s="10">
        <v>5</v>
      </c>
    </row>
    <row r="37" spans="1:16" ht="201.6" x14ac:dyDescent="0.3">
      <c r="A37" t="s">
        <v>39</v>
      </c>
      <c r="B37" t="s">
        <v>304</v>
      </c>
      <c r="C37" t="s">
        <v>328</v>
      </c>
      <c r="D37" s="9" t="s">
        <v>329</v>
      </c>
      <c r="E37" t="s">
        <v>330</v>
      </c>
      <c r="F37" t="s">
        <v>46</v>
      </c>
      <c r="G37" t="s">
        <v>47</v>
      </c>
      <c r="H37" s="9"/>
      <c r="I37" s="9" t="s">
        <v>307</v>
      </c>
      <c r="J37" t="s">
        <v>322</v>
      </c>
      <c r="K37" s="9" t="s">
        <v>331</v>
      </c>
      <c r="L37" s="9" t="s">
        <v>332</v>
      </c>
      <c r="M37" s="9" t="s">
        <v>333</v>
      </c>
      <c r="N37" s="9" t="s">
        <v>334</v>
      </c>
      <c r="O37" s="9" t="s">
        <v>335</v>
      </c>
      <c r="P37" s="10">
        <v>5</v>
      </c>
    </row>
    <row r="38" spans="1:16" ht="100.8" x14ac:dyDescent="0.3">
      <c r="A38" t="s">
        <v>39</v>
      </c>
      <c r="B38" t="s">
        <v>304</v>
      </c>
      <c r="C38" t="s">
        <v>336</v>
      </c>
      <c r="D38" s="9" t="s">
        <v>337</v>
      </c>
      <c r="E38" t="s">
        <v>338</v>
      </c>
      <c r="F38" t="s">
        <v>143</v>
      </c>
      <c r="G38" t="s">
        <v>47</v>
      </c>
      <c r="H38" s="9"/>
      <c r="I38" s="9" t="s">
        <v>307</v>
      </c>
      <c r="J38" t="s">
        <v>339</v>
      </c>
      <c r="K38" s="9" t="s">
        <v>340</v>
      </c>
      <c r="L38" s="9" t="s">
        <v>341</v>
      </c>
      <c r="M38" s="9" t="s">
        <v>342</v>
      </c>
      <c r="N38" s="9" t="s">
        <v>343</v>
      </c>
      <c r="O38" s="9" t="s">
        <v>344</v>
      </c>
      <c r="P38" s="10">
        <v>5</v>
      </c>
    </row>
    <row r="39" spans="1:16" ht="72" x14ac:dyDescent="0.3">
      <c r="A39" t="s">
        <v>39</v>
      </c>
      <c r="B39" t="s">
        <v>304</v>
      </c>
      <c r="C39" t="s">
        <v>345</v>
      </c>
      <c r="D39" s="9" t="s">
        <v>346</v>
      </c>
      <c r="E39" t="s">
        <v>347</v>
      </c>
      <c r="F39" t="s">
        <v>143</v>
      </c>
      <c r="G39" t="s">
        <v>47</v>
      </c>
      <c r="H39" s="9"/>
      <c r="I39" s="9" t="s">
        <v>307</v>
      </c>
      <c r="J39" t="s">
        <v>339</v>
      </c>
      <c r="K39" s="9" t="s">
        <v>348</v>
      </c>
      <c r="L39" s="9" t="s">
        <v>349</v>
      </c>
      <c r="M39" s="9" t="s">
        <v>350</v>
      </c>
      <c r="N39" s="9"/>
      <c r="O39" s="9" t="s">
        <v>351</v>
      </c>
      <c r="P39" s="10">
        <v>5</v>
      </c>
    </row>
    <row r="40" spans="1:16" ht="115.2" x14ac:dyDescent="0.3">
      <c r="A40" t="s">
        <v>39</v>
      </c>
      <c r="B40" t="s">
        <v>304</v>
      </c>
      <c r="C40" t="s">
        <v>352</v>
      </c>
      <c r="D40" s="9" t="s">
        <v>353</v>
      </c>
      <c r="E40" t="s">
        <v>354</v>
      </c>
      <c r="F40" t="s">
        <v>143</v>
      </c>
      <c r="G40" t="s">
        <v>47</v>
      </c>
      <c r="H40" s="9" t="s">
        <v>306</v>
      </c>
      <c r="I40" s="9" t="s">
        <v>307</v>
      </c>
      <c r="J40" t="s">
        <v>339</v>
      </c>
      <c r="K40" s="9" t="s">
        <v>355</v>
      </c>
      <c r="L40" s="9" t="s">
        <v>356</v>
      </c>
      <c r="M40" s="9" t="s">
        <v>357</v>
      </c>
      <c r="N40" s="9" t="s">
        <v>358</v>
      </c>
      <c r="O40" s="9" t="s">
        <v>359</v>
      </c>
      <c r="P40" s="10">
        <v>5</v>
      </c>
    </row>
    <row r="41" spans="1:16" ht="158.4" x14ac:dyDescent="0.3">
      <c r="A41" t="s">
        <v>39</v>
      </c>
      <c r="B41" t="s">
        <v>304</v>
      </c>
      <c r="C41" t="s">
        <v>360</v>
      </c>
      <c r="D41" s="9" t="s">
        <v>361</v>
      </c>
      <c r="E41" t="s">
        <v>362</v>
      </c>
      <c r="F41" t="s">
        <v>46</v>
      </c>
      <c r="G41" t="s">
        <v>47</v>
      </c>
      <c r="H41" s="9"/>
      <c r="I41" s="9" t="s">
        <v>106</v>
      </c>
      <c r="J41" t="s">
        <v>339</v>
      </c>
      <c r="K41" s="9" t="s">
        <v>363</v>
      </c>
      <c r="L41" s="9" t="s">
        <v>364</v>
      </c>
      <c r="M41" s="9" t="s">
        <v>365</v>
      </c>
      <c r="N41" s="9" t="s">
        <v>366</v>
      </c>
      <c r="O41" s="9" t="s">
        <v>367</v>
      </c>
      <c r="P41" s="10">
        <v>5</v>
      </c>
    </row>
    <row r="42" spans="1:16" ht="144" x14ac:dyDescent="0.3">
      <c r="A42" t="s">
        <v>39</v>
      </c>
      <c r="B42" t="s">
        <v>368</v>
      </c>
      <c r="C42" t="s">
        <v>369</v>
      </c>
      <c r="D42" s="9" t="s">
        <v>370</v>
      </c>
      <c r="E42" t="s">
        <v>371</v>
      </c>
      <c r="F42" t="s">
        <v>46</v>
      </c>
      <c r="G42" t="s">
        <v>47</v>
      </c>
      <c r="H42" s="9" t="s">
        <v>372</v>
      </c>
      <c r="I42" s="9" t="s">
        <v>106</v>
      </c>
      <c r="K42" s="9" t="s">
        <v>373</v>
      </c>
      <c r="L42" s="9" t="s">
        <v>374</v>
      </c>
      <c r="M42" s="9" t="s">
        <v>375</v>
      </c>
      <c r="N42" s="9" t="s">
        <v>376</v>
      </c>
      <c r="O42" s="9" t="s">
        <v>377</v>
      </c>
      <c r="P42" s="10">
        <v>6</v>
      </c>
    </row>
    <row r="43" spans="1:16" ht="86.4" x14ac:dyDescent="0.3">
      <c r="A43" t="s">
        <v>39</v>
      </c>
      <c r="B43" t="s">
        <v>368</v>
      </c>
      <c r="C43" t="s">
        <v>66</v>
      </c>
      <c r="D43" s="9" t="s">
        <v>378</v>
      </c>
      <c r="E43" t="s">
        <v>379</v>
      </c>
      <c r="F43" t="s">
        <v>116</v>
      </c>
      <c r="G43" t="s">
        <v>47</v>
      </c>
      <c r="H43" s="9"/>
      <c r="I43" s="9" t="s">
        <v>106</v>
      </c>
      <c r="K43" s="9" t="s">
        <v>380</v>
      </c>
      <c r="L43" s="9" t="s">
        <v>381</v>
      </c>
      <c r="M43" s="9" t="s">
        <v>382</v>
      </c>
      <c r="N43" s="9" t="s">
        <v>383</v>
      </c>
      <c r="O43" s="9" t="s">
        <v>384</v>
      </c>
      <c r="P43" s="10">
        <v>6</v>
      </c>
    </row>
    <row r="44" spans="1:16" ht="100.8" x14ac:dyDescent="0.3">
      <c r="A44" t="s">
        <v>39</v>
      </c>
      <c r="B44" t="s">
        <v>368</v>
      </c>
      <c r="C44" t="s">
        <v>74</v>
      </c>
      <c r="D44" s="9" t="s">
        <v>385</v>
      </c>
      <c r="E44" t="s">
        <v>386</v>
      </c>
      <c r="F44" t="s">
        <v>143</v>
      </c>
      <c r="G44" t="s">
        <v>47</v>
      </c>
      <c r="H44" s="9" t="s">
        <v>387</v>
      </c>
      <c r="I44" s="9" t="s">
        <v>106</v>
      </c>
      <c r="K44" s="9" t="s">
        <v>388</v>
      </c>
      <c r="L44" s="9" t="s">
        <v>389</v>
      </c>
      <c r="M44" s="9" t="s">
        <v>390</v>
      </c>
      <c r="N44" s="9" t="s">
        <v>391</v>
      </c>
      <c r="O44" s="9" t="s">
        <v>392</v>
      </c>
      <c r="P44" s="10">
        <v>6</v>
      </c>
    </row>
    <row r="45" spans="1:16" ht="72" x14ac:dyDescent="0.3">
      <c r="A45" t="s">
        <v>39</v>
      </c>
      <c r="B45" t="s">
        <v>368</v>
      </c>
      <c r="C45" t="s">
        <v>43</v>
      </c>
      <c r="D45" s="9" t="s">
        <v>393</v>
      </c>
      <c r="E45" t="s">
        <v>394</v>
      </c>
      <c r="F45" t="s">
        <v>143</v>
      </c>
      <c r="G45" t="s">
        <v>47</v>
      </c>
      <c r="H45" s="9" t="s">
        <v>395</v>
      </c>
      <c r="I45" s="9" t="s">
        <v>106</v>
      </c>
      <c r="K45" s="9" t="s">
        <v>396</v>
      </c>
      <c r="L45" s="9" t="s">
        <v>397</v>
      </c>
      <c r="M45" s="9" t="s">
        <v>398</v>
      </c>
      <c r="N45" s="9" t="s">
        <v>399</v>
      </c>
      <c r="O45" s="9" t="s">
        <v>400</v>
      </c>
      <c r="P45" s="10">
        <v>6</v>
      </c>
    </row>
    <row r="46" spans="1:16" ht="100.8" x14ac:dyDescent="0.3">
      <c r="A46" t="s">
        <v>39</v>
      </c>
      <c r="B46" t="s">
        <v>368</v>
      </c>
      <c r="C46" t="s">
        <v>68</v>
      </c>
      <c r="D46" s="9" t="s">
        <v>401</v>
      </c>
      <c r="E46" t="s">
        <v>402</v>
      </c>
      <c r="F46" t="s">
        <v>143</v>
      </c>
      <c r="G46" t="s">
        <v>47</v>
      </c>
      <c r="H46" s="9" t="s">
        <v>306</v>
      </c>
      <c r="I46" s="9" t="s">
        <v>106</v>
      </c>
      <c r="K46" s="9" t="s">
        <v>403</v>
      </c>
      <c r="L46" s="9" t="s">
        <v>404</v>
      </c>
      <c r="M46" s="9" t="s">
        <v>405</v>
      </c>
      <c r="N46" s="9" t="s">
        <v>406</v>
      </c>
      <c r="O46" s="9" t="s">
        <v>407</v>
      </c>
      <c r="P46" s="10">
        <v>6</v>
      </c>
    </row>
    <row r="47" spans="1:16" ht="86.4" x14ac:dyDescent="0.3">
      <c r="A47" t="s">
        <v>39</v>
      </c>
      <c r="B47" t="s">
        <v>368</v>
      </c>
      <c r="C47" t="s">
        <v>82</v>
      </c>
      <c r="D47" s="9" t="s">
        <v>408</v>
      </c>
      <c r="E47" t="s">
        <v>409</v>
      </c>
      <c r="F47" t="s">
        <v>143</v>
      </c>
      <c r="G47" t="s">
        <v>47</v>
      </c>
      <c r="H47" s="9" t="s">
        <v>372</v>
      </c>
      <c r="I47" s="9" t="s">
        <v>106</v>
      </c>
      <c r="K47" s="9" t="s">
        <v>410</v>
      </c>
      <c r="L47" s="9" t="s">
        <v>411</v>
      </c>
      <c r="M47" s="9" t="s">
        <v>412</v>
      </c>
      <c r="N47" s="9" t="s">
        <v>413</v>
      </c>
      <c r="O47" s="9" t="s">
        <v>414</v>
      </c>
      <c r="P47" s="10">
        <v>6</v>
      </c>
    </row>
    <row r="48" spans="1:16" ht="144" x14ac:dyDescent="0.3">
      <c r="A48" t="s">
        <v>39</v>
      </c>
      <c r="B48" t="s">
        <v>368</v>
      </c>
      <c r="C48" t="s">
        <v>55</v>
      </c>
      <c r="D48" s="9" t="s">
        <v>415</v>
      </c>
      <c r="E48" t="s">
        <v>416</v>
      </c>
      <c r="F48" t="s">
        <v>143</v>
      </c>
      <c r="G48" t="s">
        <v>47</v>
      </c>
      <c r="H48" s="9" t="s">
        <v>417</v>
      </c>
      <c r="I48" s="9" t="s">
        <v>106</v>
      </c>
      <c r="J48" t="s">
        <v>418</v>
      </c>
      <c r="K48" s="9" t="s">
        <v>419</v>
      </c>
      <c r="L48" s="9" t="s">
        <v>420</v>
      </c>
      <c r="M48" s="9" t="s">
        <v>421</v>
      </c>
      <c r="N48" s="9" t="s">
        <v>422</v>
      </c>
      <c r="O48" s="9" t="s">
        <v>423</v>
      </c>
      <c r="P48" s="10">
        <v>6</v>
      </c>
    </row>
    <row r="49" spans="1:16" ht="129.6" x14ac:dyDescent="0.3">
      <c r="A49" t="s">
        <v>39</v>
      </c>
      <c r="B49" t="s">
        <v>368</v>
      </c>
      <c r="C49" t="s">
        <v>424</v>
      </c>
      <c r="D49" s="9" t="s">
        <v>425</v>
      </c>
      <c r="E49" t="s">
        <v>426</v>
      </c>
      <c r="F49" t="s">
        <v>143</v>
      </c>
      <c r="G49" t="s">
        <v>47</v>
      </c>
      <c r="H49" s="9" t="s">
        <v>427</v>
      </c>
      <c r="I49" s="9" t="s">
        <v>106</v>
      </c>
      <c r="J49" t="s">
        <v>418</v>
      </c>
      <c r="K49" s="9" t="s">
        <v>428</v>
      </c>
      <c r="L49" s="9" t="s">
        <v>429</v>
      </c>
      <c r="M49" s="9" t="s">
        <v>430</v>
      </c>
      <c r="N49" s="9" t="s">
        <v>431</v>
      </c>
      <c r="O49" s="9" t="s">
        <v>432</v>
      </c>
      <c r="P49" s="10">
        <v>6</v>
      </c>
    </row>
    <row r="50" spans="1:16" ht="115.2" x14ac:dyDescent="0.3">
      <c r="A50" t="s">
        <v>39</v>
      </c>
      <c r="B50" t="s">
        <v>368</v>
      </c>
      <c r="C50" t="s">
        <v>433</v>
      </c>
      <c r="D50" s="9" t="s">
        <v>434</v>
      </c>
      <c r="E50" t="s">
        <v>435</v>
      </c>
      <c r="F50" t="s">
        <v>143</v>
      </c>
      <c r="G50" t="s">
        <v>47</v>
      </c>
      <c r="H50" s="9" t="s">
        <v>417</v>
      </c>
      <c r="I50" s="9" t="s">
        <v>106</v>
      </c>
      <c r="J50" t="s">
        <v>418</v>
      </c>
      <c r="K50" s="9" t="s">
        <v>436</v>
      </c>
      <c r="L50" s="9" t="s">
        <v>437</v>
      </c>
      <c r="M50" s="9" t="s">
        <v>438</v>
      </c>
      <c r="N50" s="9" t="s">
        <v>439</v>
      </c>
      <c r="O50" s="9" t="s">
        <v>440</v>
      </c>
      <c r="P50" s="10">
        <v>6</v>
      </c>
    </row>
    <row r="51" spans="1:16" ht="86.4" x14ac:dyDescent="0.3">
      <c r="A51" t="s">
        <v>39</v>
      </c>
      <c r="B51" t="s">
        <v>368</v>
      </c>
      <c r="C51" t="s">
        <v>441</v>
      </c>
      <c r="D51" s="9" t="s">
        <v>442</v>
      </c>
      <c r="E51" t="s">
        <v>443</v>
      </c>
      <c r="F51" t="s">
        <v>143</v>
      </c>
      <c r="G51" t="s">
        <v>47</v>
      </c>
      <c r="H51" s="9"/>
      <c r="I51" s="9" t="s">
        <v>106</v>
      </c>
      <c r="J51" t="s">
        <v>418</v>
      </c>
      <c r="K51" s="9" t="s">
        <v>444</v>
      </c>
      <c r="L51" s="9" t="s">
        <v>445</v>
      </c>
      <c r="M51" s="9" t="s">
        <v>446</v>
      </c>
      <c r="N51" s="9" t="s">
        <v>447</v>
      </c>
      <c r="O51" s="9" t="s">
        <v>448</v>
      </c>
      <c r="P51" s="10">
        <v>6</v>
      </c>
    </row>
    <row r="52" spans="1:16" ht="86.4" x14ac:dyDescent="0.3">
      <c r="A52" t="s">
        <v>39</v>
      </c>
      <c r="B52" t="s">
        <v>368</v>
      </c>
      <c r="C52" t="s">
        <v>449</v>
      </c>
      <c r="D52" s="9" t="s">
        <v>450</v>
      </c>
      <c r="E52" t="s">
        <v>451</v>
      </c>
      <c r="F52" t="s">
        <v>143</v>
      </c>
      <c r="G52" t="s">
        <v>47</v>
      </c>
      <c r="H52" s="9" t="s">
        <v>452</v>
      </c>
      <c r="I52" s="9" t="s">
        <v>106</v>
      </c>
      <c r="J52" t="s">
        <v>418</v>
      </c>
      <c r="K52" s="9" t="s">
        <v>453</v>
      </c>
      <c r="L52" s="9" t="s">
        <v>454</v>
      </c>
      <c r="M52" s="9" t="s">
        <v>455</v>
      </c>
      <c r="N52" s="9" t="s">
        <v>456</v>
      </c>
      <c r="O52" s="9" t="s">
        <v>457</v>
      </c>
      <c r="P52" s="10">
        <v>6</v>
      </c>
    </row>
    <row r="53" spans="1:16" ht="86.4" x14ac:dyDescent="0.3">
      <c r="A53" t="s">
        <v>39</v>
      </c>
      <c r="B53" t="s">
        <v>368</v>
      </c>
      <c r="C53" t="s">
        <v>458</v>
      </c>
      <c r="D53" s="9" t="s">
        <v>459</v>
      </c>
      <c r="E53" t="s">
        <v>460</v>
      </c>
      <c r="F53" t="s">
        <v>143</v>
      </c>
      <c r="G53" t="s">
        <v>47</v>
      </c>
      <c r="H53" s="9"/>
      <c r="I53" s="9" t="s">
        <v>106</v>
      </c>
      <c r="J53" t="s">
        <v>418</v>
      </c>
      <c r="K53" s="9" t="s">
        <v>461</v>
      </c>
      <c r="L53" s="9" t="s">
        <v>462</v>
      </c>
      <c r="M53" s="9" t="s">
        <v>463</v>
      </c>
      <c r="N53" s="9" t="s">
        <v>464</v>
      </c>
      <c r="O53" s="9" t="s">
        <v>465</v>
      </c>
      <c r="P53" s="10">
        <v>6</v>
      </c>
    </row>
    <row r="54" spans="1:16" ht="172.8" x14ac:dyDescent="0.3">
      <c r="A54" t="s">
        <v>39</v>
      </c>
      <c r="B54" t="s">
        <v>368</v>
      </c>
      <c r="C54" t="s">
        <v>466</v>
      </c>
      <c r="D54" s="9" t="s">
        <v>467</v>
      </c>
      <c r="E54" t="s">
        <v>468</v>
      </c>
      <c r="F54" t="s">
        <v>46</v>
      </c>
      <c r="G54" t="s">
        <v>47</v>
      </c>
      <c r="H54" s="9" t="s">
        <v>469</v>
      </c>
      <c r="I54" s="9" t="s">
        <v>106</v>
      </c>
      <c r="J54" t="s">
        <v>470</v>
      </c>
      <c r="K54" s="9" t="s">
        <v>471</v>
      </c>
      <c r="L54" s="9" t="s">
        <v>472</v>
      </c>
      <c r="M54" s="9" t="s">
        <v>473</v>
      </c>
      <c r="N54" s="9" t="s">
        <v>474</v>
      </c>
      <c r="O54" s="9" t="s">
        <v>475</v>
      </c>
      <c r="P54" s="10">
        <v>6</v>
      </c>
    </row>
    <row r="55" spans="1:16" ht="115.2" x14ac:dyDescent="0.3">
      <c r="A55" t="s">
        <v>39</v>
      </c>
      <c r="B55" t="s">
        <v>368</v>
      </c>
      <c r="C55" t="s">
        <v>476</v>
      </c>
      <c r="D55" s="9" t="s">
        <v>477</v>
      </c>
      <c r="E55" t="s">
        <v>478</v>
      </c>
      <c r="F55" t="s">
        <v>116</v>
      </c>
      <c r="G55" t="s">
        <v>47</v>
      </c>
      <c r="H55" s="9"/>
      <c r="I55" s="9" t="s">
        <v>106</v>
      </c>
      <c r="J55" t="s">
        <v>479</v>
      </c>
      <c r="K55" s="9" t="s">
        <v>480</v>
      </c>
      <c r="L55" s="9" t="s">
        <v>481</v>
      </c>
      <c r="M55" s="9" t="s">
        <v>482</v>
      </c>
      <c r="N55" s="9" t="s">
        <v>483</v>
      </c>
      <c r="O55" s="9" t="s">
        <v>484</v>
      </c>
      <c r="P55" s="10">
        <v>6</v>
      </c>
    </row>
    <row r="56" spans="1:16" ht="100.8" x14ac:dyDescent="0.3">
      <c r="A56" t="s">
        <v>39</v>
      </c>
      <c r="B56" t="s">
        <v>368</v>
      </c>
      <c r="C56" t="s">
        <v>485</v>
      </c>
      <c r="D56" s="9" t="s">
        <v>486</v>
      </c>
      <c r="E56" t="s">
        <v>487</v>
      </c>
      <c r="F56" t="s">
        <v>46</v>
      </c>
      <c r="G56" t="s">
        <v>47</v>
      </c>
      <c r="H56" s="9" t="s">
        <v>488</v>
      </c>
      <c r="I56" s="9" t="s">
        <v>106</v>
      </c>
      <c r="K56" s="9" t="s">
        <v>489</v>
      </c>
      <c r="L56" s="9" t="s">
        <v>490</v>
      </c>
      <c r="M56" s="9" t="s">
        <v>491</v>
      </c>
      <c r="N56" s="9"/>
      <c r="O56" s="9" t="s">
        <v>492</v>
      </c>
      <c r="P56" s="10">
        <v>6</v>
      </c>
    </row>
    <row r="57" spans="1:16" ht="144" x14ac:dyDescent="0.3">
      <c r="A57" t="s">
        <v>39</v>
      </c>
      <c r="B57" t="s">
        <v>493</v>
      </c>
      <c r="C57" t="s">
        <v>369</v>
      </c>
      <c r="D57" s="9" t="s">
        <v>494</v>
      </c>
      <c r="E57" t="s">
        <v>371</v>
      </c>
      <c r="F57" t="s">
        <v>46</v>
      </c>
      <c r="G57" t="s">
        <v>47</v>
      </c>
      <c r="H57" s="9" t="s">
        <v>372</v>
      </c>
      <c r="I57" s="9" t="s">
        <v>106</v>
      </c>
      <c r="K57" s="9" t="s">
        <v>495</v>
      </c>
      <c r="L57" s="9" t="s">
        <v>496</v>
      </c>
      <c r="M57" s="9" t="s">
        <v>497</v>
      </c>
      <c r="N57" s="9" t="s">
        <v>498</v>
      </c>
      <c r="O57" s="9" t="s">
        <v>377</v>
      </c>
      <c r="P57" s="10">
        <v>7</v>
      </c>
    </row>
    <row r="58" spans="1:16" ht="86.4" x14ac:dyDescent="0.3">
      <c r="A58" t="s">
        <v>39</v>
      </c>
      <c r="B58" t="s">
        <v>493</v>
      </c>
      <c r="C58" t="s">
        <v>66</v>
      </c>
      <c r="D58" s="9" t="s">
        <v>499</v>
      </c>
      <c r="E58" t="s">
        <v>379</v>
      </c>
      <c r="F58" t="s">
        <v>116</v>
      </c>
      <c r="G58" t="s">
        <v>47</v>
      </c>
      <c r="H58" s="9"/>
      <c r="I58" s="9" t="s">
        <v>106</v>
      </c>
      <c r="K58" s="9" t="s">
        <v>500</v>
      </c>
      <c r="L58" s="9" t="s">
        <v>501</v>
      </c>
      <c r="M58" s="9" t="s">
        <v>502</v>
      </c>
      <c r="N58" s="9" t="s">
        <v>503</v>
      </c>
      <c r="O58" s="9" t="s">
        <v>384</v>
      </c>
      <c r="P58" s="10">
        <v>7</v>
      </c>
    </row>
    <row r="59" spans="1:16" ht="129.6" x14ac:dyDescent="0.3">
      <c r="A59" t="s">
        <v>39</v>
      </c>
      <c r="B59" t="s">
        <v>493</v>
      </c>
      <c r="C59" t="s">
        <v>74</v>
      </c>
      <c r="D59" s="9" t="s">
        <v>504</v>
      </c>
      <c r="E59" t="s">
        <v>386</v>
      </c>
      <c r="F59" t="s">
        <v>143</v>
      </c>
      <c r="G59" t="s">
        <v>47</v>
      </c>
      <c r="H59" s="9" t="s">
        <v>306</v>
      </c>
      <c r="I59" s="9" t="s">
        <v>106</v>
      </c>
      <c r="K59" s="9" t="s">
        <v>505</v>
      </c>
      <c r="L59" s="9" t="s">
        <v>506</v>
      </c>
      <c r="M59" s="9" t="s">
        <v>507</v>
      </c>
      <c r="N59" s="9" t="s">
        <v>508</v>
      </c>
      <c r="O59" s="9" t="s">
        <v>392</v>
      </c>
      <c r="P59" s="10">
        <v>7</v>
      </c>
    </row>
    <row r="60" spans="1:16" ht="100.8" x14ac:dyDescent="0.3">
      <c r="A60" t="s">
        <v>39</v>
      </c>
      <c r="B60" t="s">
        <v>493</v>
      </c>
      <c r="C60" t="s">
        <v>43</v>
      </c>
      <c r="D60" s="9" t="s">
        <v>509</v>
      </c>
      <c r="E60" t="s">
        <v>394</v>
      </c>
      <c r="F60" t="s">
        <v>143</v>
      </c>
      <c r="G60" t="s">
        <v>47</v>
      </c>
      <c r="H60" s="9"/>
      <c r="I60" s="9" t="s">
        <v>106</v>
      </c>
      <c r="K60" s="9" t="s">
        <v>510</v>
      </c>
      <c r="L60" s="9" t="s">
        <v>511</v>
      </c>
      <c r="M60" s="9" t="s">
        <v>512</v>
      </c>
      <c r="N60" s="9" t="s">
        <v>399</v>
      </c>
      <c r="O60" s="9" t="s">
        <v>513</v>
      </c>
      <c r="P60" s="10">
        <v>7</v>
      </c>
    </row>
    <row r="61" spans="1:16" ht="100.8" x14ac:dyDescent="0.3">
      <c r="A61" t="s">
        <v>39</v>
      </c>
      <c r="B61" t="s">
        <v>493</v>
      </c>
      <c r="C61" t="s">
        <v>68</v>
      </c>
      <c r="D61" s="9" t="s">
        <v>401</v>
      </c>
      <c r="E61" t="s">
        <v>402</v>
      </c>
      <c r="F61" t="s">
        <v>143</v>
      </c>
      <c r="G61" t="s">
        <v>47</v>
      </c>
      <c r="H61" s="9" t="s">
        <v>306</v>
      </c>
      <c r="I61" s="9" t="s">
        <v>106</v>
      </c>
      <c r="K61" s="9" t="s">
        <v>403</v>
      </c>
      <c r="L61" s="9" t="s">
        <v>514</v>
      </c>
      <c r="M61" s="9" t="s">
        <v>515</v>
      </c>
      <c r="N61" s="9" t="s">
        <v>516</v>
      </c>
      <c r="O61" s="9" t="s">
        <v>517</v>
      </c>
      <c r="P61" s="10">
        <v>7</v>
      </c>
    </row>
    <row r="62" spans="1:16" ht="129.6" x14ac:dyDescent="0.3">
      <c r="A62" t="s">
        <v>39</v>
      </c>
      <c r="B62" t="s">
        <v>493</v>
      </c>
      <c r="C62" t="s">
        <v>82</v>
      </c>
      <c r="D62" s="9" t="s">
        <v>518</v>
      </c>
      <c r="E62" t="s">
        <v>409</v>
      </c>
      <c r="F62" t="s">
        <v>143</v>
      </c>
      <c r="G62" t="s">
        <v>47</v>
      </c>
      <c r="H62" s="9" t="s">
        <v>469</v>
      </c>
      <c r="I62" s="9" t="s">
        <v>106</v>
      </c>
      <c r="K62" s="9" t="s">
        <v>519</v>
      </c>
      <c r="L62" s="9" t="s">
        <v>520</v>
      </c>
      <c r="M62" s="9" t="s">
        <v>521</v>
      </c>
      <c r="N62" s="9" t="s">
        <v>522</v>
      </c>
      <c r="O62" s="9" t="s">
        <v>523</v>
      </c>
      <c r="P62" s="10">
        <v>7</v>
      </c>
    </row>
    <row r="63" spans="1:16" ht="144" x14ac:dyDescent="0.3">
      <c r="A63" t="s">
        <v>39</v>
      </c>
      <c r="B63" t="s">
        <v>493</v>
      </c>
      <c r="C63" t="s">
        <v>55</v>
      </c>
      <c r="D63" s="9" t="s">
        <v>415</v>
      </c>
      <c r="E63" t="s">
        <v>416</v>
      </c>
      <c r="F63" t="s">
        <v>143</v>
      </c>
      <c r="G63" t="s">
        <v>47</v>
      </c>
      <c r="H63" s="9" t="s">
        <v>417</v>
      </c>
      <c r="I63" s="9" t="s">
        <v>106</v>
      </c>
      <c r="J63" t="s">
        <v>524</v>
      </c>
      <c r="K63" s="9" t="s">
        <v>419</v>
      </c>
      <c r="L63" s="9" t="s">
        <v>420</v>
      </c>
      <c r="M63" s="9" t="s">
        <v>421</v>
      </c>
      <c r="N63" s="9" t="s">
        <v>422</v>
      </c>
      <c r="O63" s="9" t="s">
        <v>423</v>
      </c>
      <c r="P63" s="10">
        <v>7</v>
      </c>
    </row>
    <row r="64" spans="1:16" ht="115.2" x14ac:dyDescent="0.3">
      <c r="A64" t="s">
        <v>39</v>
      </c>
      <c r="B64" t="s">
        <v>493</v>
      </c>
      <c r="C64" t="s">
        <v>424</v>
      </c>
      <c r="D64" s="9" t="s">
        <v>425</v>
      </c>
      <c r="E64" t="s">
        <v>426</v>
      </c>
      <c r="F64" t="s">
        <v>143</v>
      </c>
      <c r="G64" t="s">
        <v>47</v>
      </c>
      <c r="H64" s="9" t="s">
        <v>427</v>
      </c>
      <c r="I64" s="9" t="s">
        <v>106</v>
      </c>
      <c r="J64" t="s">
        <v>524</v>
      </c>
      <c r="K64" s="9" t="s">
        <v>525</v>
      </c>
      <c r="L64" s="9" t="s">
        <v>526</v>
      </c>
      <c r="M64" s="9" t="s">
        <v>527</v>
      </c>
      <c r="N64" s="9" t="s">
        <v>528</v>
      </c>
      <c r="O64" s="9" t="s">
        <v>432</v>
      </c>
      <c r="P64" s="10">
        <v>7</v>
      </c>
    </row>
    <row r="65" spans="1:16" ht="100.8" x14ac:dyDescent="0.3">
      <c r="A65" t="s">
        <v>39</v>
      </c>
      <c r="B65" t="s">
        <v>493</v>
      </c>
      <c r="C65" t="s">
        <v>433</v>
      </c>
      <c r="D65" s="9" t="s">
        <v>434</v>
      </c>
      <c r="E65" t="s">
        <v>435</v>
      </c>
      <c r="F65" t="s">
        <v>143</v>
      </c>
      <c r="G65" t="s">
        <v>47</v>
      </c>
      <c r="H65" s="9" t="s">
        <v>417</v>
      </c>
      <c r="I65" s="9" t="s">
        <v>106</v>
      </c>
      <c r="J65" t="s">
        <v>524</v>
      </c>
      <c r="K65" s="9" t="s">
        <v>529</v>
      </c>
      <c r="L65" s="9" t="s">
        <v>530</v>
      </c>
      <c r="M65" s="9" t="s">
        <v>438</v>
      </c>
      <c r="N65" s="9" t="s">
        <v>531</v>
      </c>
      <c r="O65" s="9" t="s">
        <v>440</v>
      </c>
      <c r="P65" s="10">
        <v>7</v>
      </c>
    </row>
    <row r="66" spans="1:16" ht="72" x14ac:dyDescent="0.3">
      <c r="A66" t="s">
        <v>39</v>
      </c>
      <c r="B66" t="s">
        <v>493</v>
      </c>
      <c r="C66" t="s">
        <v>441</v>
      </c>
      <c r="D66" s="9" t="s">
        <v>442</v>
      </c>
      <c r="E66" t="s">
        <v>443</v>
      </c>
      <c r="F66" t="s">
        <v>143</v>
      </c>
      <c r="G66" t="s">
        <v>47</v>
      </c>
      <c r="H66" s="9"/>
      <c r="I66" s="9" t="s">
        <v>106</v>
      </c>
      <c r="J66" t="s">
        <v>524</v>
      </c>
      <c r="K66" s="9" t="s">
        <v>532</v>
      </c>
      <c r="L66" s="9" t="s">
        <v>533</v>
      </c>
      <c r="M66" s="9" t="s">
        <v>446</v>
      </c>
      <c r="N66" s="9" t="s">
        <v>447</v>
      </c>
      <c r="O66" s="9" t="s">
        <v>534</v>
      </c>
      <c r="P66" s="10">
        <v>7</v>
      </c>
    </row>
    <row r="67" spans="1:16" ht="86.4" x14ac:dyDescent="0.3">
      <c r="A67" t="s">
        <v>39</v>
      </c>
      <c r="B67" t="s">
        <v>493</v>
      </c>
      <c r="C67" t="s">
        <v>449</v>
      </c>
      <c r="D67" s="9" t="s">
        <v>450</v>
      </c>
      <c r="E67" t="s">
        <v>451</v>
      </c>
      <c r="F67" t="s">
        <v>143</v>
      </c>
      <c r="G67" t="s">
        <v>47</v>
      </c>
      <c r="H67" s="9" t="s">
        <v>452</v>
      </c>
      <c r="I67" s="9" t="s">
        <v>106</v>
      </c>
      <c r="J67" t="s">
        <v>524</v>
      </c>
      <c r="K67" s="9" t="s">
        <v>535</v>
      </c>
      <c r="L67" s="9" t="s">
        <v>536</v>
      </c>
      <c r="M67" s="9" t="s">
        <v>455</v>
      </c>
      <c r="N67" s="9" t="s">
        <v>537</v>
      </c>
      <c r="O67" s="9" t="s">
        <v>457</v>
      </c>
      <c r="P67" s="10">
        <v>7</v>
      </c>
    </row>
    <row r="68" spans="1:16" ht="100.8" x14ac:dyDescent="0.3">
      <c r="A68" t="s">
        <v>39</v>
      </c>
      <c r="B68" t="s">
        <v>493</v>
      </c>
      <c r="C68" t="s">
        <v>458</v>
      </c>
      <c r="D68" s="9" t="s">
        <v>459</v>
      </c>
      <c r="E68" t="s">
        <v>460</v>
      </c>
      <c r="F68" t="s">
        <v>143</v>
      </c>
      <c r="G68" t="s">
        <v>47</v>
      </c>
      <c r="H68" s="9"/>
      <c r="I68" s="9" t="s">
        <v>106</v>
      </c>
      <c r="J68" t="s">
        <v>524</v>
      </c>
      <c r="K68" s="9" t="s">
        <v>538</v>
      </c>
      <c r="L68" s="9" t="s">
        <v>539</v>
      </c>
      <c r="M68" s="9" t="s">
        <v>540</v>
      </c>
      <c r="N68" s="9" t="s">
        <v>541</v>
      </c>
      <c r="O68" s="9" t="s">
        <v>465</v>
      </c>
      <c r="P68" s="10">
        <v>7</v>
      </c>
    </row>
    <row r="69" spans="1:16" ht="158.4" x14ac:dyDescent="0.3">
      <c r="A69" t="s">
        <v>39</v>
      </c>
      <c r="B69" t="s">
        <v>493</v>
      </c>
      <c r="C69" t="s">
        <v>466</v>
      </c>
      <c r="D69" s="9" t="s">
        <v>467</v>
      </c>
      <c r="E69" t="s">
        <v>468</v>
      </c>
      <c r="F69" t="s">
        <v>46</v>
      </c>
      <c r="G69" t="s">
        <v>47</v>
      </c>
      <c r="H69" s="9" t="s">
        <v>469</v>
      </c>
      <c r="I69" s="9" t="s">
        <v>106</v>
      </c>
      <c r="J69" t="s">
        <v>470</v>
      </c>
      <c r="K69" s="9" t="s">
        <v>542</v>
      </c>
      <c r="L69" s="9" t="s">
        <v>543</v>
      </c>
      <c r="M69" s="9" t="s">
        <v>544</v>
      </c>
      <c r="N69" s="9" t="s">
        <v>545</v>
      </c>
      <c r="O69" s="9" t="s">
        <v>546</v>
      </c>
      <c r="P69" s="10">
        <v>7</v>
      </c>
    </row>
    <row r="70" spans="1:16" ht="115.2" x14ac:dyDescent="0.3">
      <c r="A70" t="s">
        <v>39</v>
      </c>
      <c r="B70" t="s">
        <v>493</v>
      </c>
      <c r="C70" t="s">
        <v>476</v>
      </c>
      <c r="D70" s="9" t="s">
        <v>477</v>
      </c>
      <c r="E70" t="s">
        <v>478</v>
      </c>
      <c r="F70" t="s">
        <v>69</v>
      </c>
      <c r="G70" t="s">
        <v>47</v>
      </c>
      <c r="H70" s="9" t="s">
        <v>547</v>
      </c>
      <c r="I70" s="9" t="s">
        <v>106</v>
      </c>
      <c r="K70" s="9" t="s">
        <v>480</v>
      </c>
      <c r="L70" s="9"/>
      <c r="M70" s="9" t="s">
        <v>548</v>
      </c>
      <c r="N70" s="9" t="s">
        <v>549</v>
      </c>
      <c r="O70" s="9" t="s">
        <v>484</v>
      </c>
      <c r="P70" s="10">
        <v>7</v>
      </c>
    </row>
    <row r="71" spans="1:16" ht="129.6" x14ac:dyDescent="0.3">
      <c r="A71" t="s">
        <v>39</v>
      </c>
      <c r="B71" t="s">
        <v>493</v>
      </c>
      <c r="C71" t="s">
        <v>485</v>
      </c>
      <c r="D71" s="9" t="s">
        <v>550</v>
      </c>
      <c r="E71" t="s">
        <v>487</v>
      </c>
      <c r="F71" t="s">
        <v>46</v>
      </c>
      <c r="G71" t="s">
        <v>47</v>
      </c>
      <c r="H71" s="9" t="s">
        <v>48</v>
      </c>
      <c r="I71" s="9" t="s">
        <v>49</v>
      </c>
      <c r="K71" s="9" t="s">
        <v>551</v>
      </c>
      <c r="L71" s="9"/>
      <c r="M71" s="9" t="s">
        <v>552</v>
      </c>
      <c r="N71" s="9"/>
      <c r="O71" s="9" t="s">
        <v>553</v>
      </c>
      <c r="P71" s="10">
        <v>7</v>
      </c>
    </row>
    <row r="72" spans="1:16" ht="201.6" x14ac:dyDescent="0.3">
      <c r="A72" t="s">
        <v>39</v>
      </c>
      <c r="B72" t="s">
        <v>554</v>
      </c>
      <c r="C72" t="s">
        <v>555</v>
      </c>
      <c r="D72" s="9" t="s">
        <v>556</v>
      </c>
      <c r="E72" t="s">
        <v>557</v>
      </c>
      <c r="F72" t="s">
        <v>46</v>
      </c>
      <c r="G72" t="s">
        <v>47</v>
      </c>
      <c r="H72" s="9" t="s">
        <v>452</v>
      </c>
      <c r="I72" s="9" t="s">
        <v>106</v>
      </c>
      <c r="J72" t="s">
        <v>558</v>
      </c>
      <c r="K72" s="9" t="s">
        <v>559</v>
      </c>
      <c r="L72" s="9" t="s">
        <v>560</v>
      </c>
      <c r="M72" s="9" t="s">
        <v>561</v>
      </c>
      <c r="N72" s="9" t="s">
        <v>562</v>
      </c>
      <c r="O72" s="9" t="s">
        <v>563</v>
      </c>
      <c r="P72" s="10">
        <v>9</v>
      </c>
    </row>
    <row r="73" spans="1:16" ht="115.2" x14ac:dyDescent="0.3">
      <c r="A73" t="s">
        <v>39</v>
      </c>
      <c r="B73" t="s">
        <v>554</v>
      </c>
      <c r="C73" t="s">
        <v>564</v>
      </c>
      <c r="D73" s="9" t="s">
        <v>565</v>
      </c>
      <c r="E73" t="s">
        <v>566</v>
      </c>
      <c r="F73" t="s">
        <v>46</v>
      </c>
      <c r="G73" t="s">
        <v>47</v>
      </c>
      <c r="H73" s="9" t="s">
        <v>452</v>
      </c>
      <c r="I73" s="9" t="s">
        <v>106</v>
      </c>
      <c r="J73" t="s">
        <v>558</v>
      </c>
      <c r="K73" s="9" t="s">
        <v>567</v>
      </c>
      <c r="L73" s="9" t="s">
        <v>568</v>
      </c>
      <c r="M73" s="9" t="s">
        <v>569</v>
      </c>
      <c r="N73" s="9"/>
      <c r="O73" s="9" t="s">
        <v>570</v>
      </c>
      <c r="P73" s="10">
        <v>9</v>
      </c>
    </row>
    <row r="74" spans="1:16" ht="144" x14ac:dyDescent="0.3">
      <c r="A74" t="s">
        <v>39</v>
      </c>
      <c r="B74" t="s">
        <v>571</v>
      </c>
      <c r="C74" t="s">
        <v>369</v>
      </c>
      <c r="D74" s="9" t="s">
        <v>572</v>
      </c>
      <c r="E74" t="s">
        <v>66</v>
      </c>
      <c r="F74" t="s">
        <v>116</v>
      </c>
      <c r="G74" t="s">
        <v>47</v>
      </c>
      <c r="H74" s="9"/>
      <c r="I74" s="9"/>
      <c r="K74" s="9" t="s">
        <v>573</v>
      </c>
      <c r="L74" s="9"/>
      <c r="M74" s="9" t="s">
        <v>574</v>
      </c>
      <c r="N74" s="9" t="s">
        <v>575</v>
      </c>
      <c r="O74" s="9" t="s">
        <v>576</v>
      </c>
      <c r="P74" s="10">
        <v>10</v>
      </c>
    </row>
    <row r="75" spans="1:16" ht="216" x14ac:dyDescent="0.3">
      <c r="A75" t="s">
        <v>39</v>
      </c>
      <c r="B75" t="s">
        <v>571</v>
      </c>
      <c r="C75" t="s">
        <v>66</v>
      </c>
      <c r="D75" s="9" t="s">
        <v>577</v>
      </c>
      <c r="E75" t="s">
        <v>66</v>
      </c>
      <c r="F75" t="s">
        <v>116</v>
      </c>
      <c r="G75" t="s">
        <v>47</v>
      </c>
      <c r="H75" s="9"/>
      <c r="I75" s="9"/>
      <c r="K75" s="9" t="s">
        <v>578</v>
      </c>
      <c r="L75" s="9"/>
      <c r="M75" s="9" t="s">
        <v>579</v>
      </c>
      <c r="N75" s="9" t="s">
        <v>580</v>
      </c>
      <c r="O75" s="9" t="s">
        <v>581</v>
      </c>
      <c r="P75" s="10">
        <v>10</v>
      </c>
    </row>
    <row r="76" spans="1:16" ht="129.6" x14ac:dyDescent="0.3">
      <c r="A76" t="s">
        <v>39</v>
      </c>
      <c r="B76" t="s">
        <v>571</v>
      </c>
      <c r="C76" t="s">
        <v>449</v>
      </c>
      <c r="D76" s="9" t="s">
        <v>582</v>
      </c>
      <c r="E76" t="s">
        <v>583</v>
      </c>
      <c r="F76" t="s">
        <v>143</v>
      </c>
      <c r="G76" t="s">
        <v>47</v>
      </c>
      <c r="H76" s="9"/>
      <c r="I76" s="9" t="s">
        <v>59</v>
      </c>
      <c r="J76" t="s">
        <v>584</v>
      </c>
      <c r="K76" s="9" t="s">
        <v>585</v>
      </c>
      <c r="L76" s="9" t="s">
        <v>586</v>
      </c>
      <c r="M76" s="9" t="s">
        <v>587</v>
      </c>
      <c r="N76" s="9" t="s">
        <v>588</v>
      </c>
      <c r="O76" s="9" t="s">
        <v>589</v>
      </c>
      <c r="P76" s="10">
        <v>10</v>
      </c>
    </row>
    <row r="77" spans="1:16" ht="273.60000000000002" x14ac:dyDescent="0.3">
      <c r="A77" t="s">
        <v>39</v>
      </c>
      <c r="B77" t="s">
        <v>571</v>
      </c>
      <c r="C77" t="s">
        <v>590</v>
      </c>
      <c r="D77" s="9" t="s">
        <v>591</v>
      </c>
      <c r="E77" t="s">
        <v>43</v>
      </c>
      <c r="F77" t="s">
        <v>143</v>
      </c>
      <c r="G77" t="s">
        <v>47</v>
      </c>
      <c r="H77" s="9"/>
      <c r="I77" s="9" t="s">
        <v>59</v>
      </c>
      <c r="J77" t="s">
        <v>584</v>
      </c>
      <c r="K77" s="9" t="s">
        <v>592</v>
      </c>
      <c r="L77" s="9" t="s">
        <v>593</v>
      </c>
      <c r="M77" s="9" t="s">
        <v>594</v>
      </c>
      <c r="N77" s="9" t="s">
        <v>595</v>
      </c>
      <c r="O77" s="9" t="s">
        <v>596</v>
      </c>
      <c r="P77" s="10">
        <v>10</v>
      </c>
    </row>
    <row r="78" spans="1:16" ht="187.2" x14ac:dyDescent="0.3">
      <c r="A78" t="s">
        <v>39</v>
      </c>
      <c r="B78" t="s">
        <v>571</v>
      </c>
      <c r="C78" t="s">
        <v>597</v>
      </c>
      <c r="D78" s="9" t="s">
        <v>598</v>
      </c>
      <c r="E78" t="s">
        <v>76</v>
      </c>
      <c r="F78" t="s">
        <v>143</v>
      </c>
      <c r="G78" t="s">
        <v>47</v>
      </c>
      <c r="H78" s="9"/>
      <c r="I78" s="9" t="s">
        <v>59</v>
      </c>
      <c r="J78" t="s">
        <v>584</v>
      </c>
      <c r="K78" s="9" t="s">
        <v>599</v>
      </c>
      <c r="L78" s="9" t="s">
        <v>600</v>
      </c>
      <c r="M78" s="9" t="s">
        <v>601</v>
      </c>
      <c r="N78" s="9" t="s">
        <v>602</v>
      </c>
      <c r="O78" s="9" t="s">
        <v>603</v>
      </c>
      <c r="P78" s="10">
        <v>10</v>
      </c>
    </row>
    <row r="79" spans="1:16" ht="100.8" x14ac:dyDescent="0.3">
      <c r="A79" t="s">
        <v>39</v>
      </c>
      <c r="B79" t="s">
        <v>571</v>
      </c>
      <c r="C79" t="s">
        <v>604</v>
      </c>
      <c r="D79" s="9" t="s">
        <v>605</v>
      </c>
      <c r="E79" t="s">
        <v>82</v>
      </c>
      <c r="F79" t="s">
        <v>143</v>
      </c>
      <c r="G79" t="s">
        <v>47</v>
      </c>
      <c r="H79" s="9"/>
      <c r="I79" s="9" t="s">
        <v>59</v>
      </c>
      <c r="J79" t="s">
        <v>584</v>
      </c>
      <c r="K79" s="9" t="s">
        <v>606</v>
      </c>
      <c r="L79" s="9" t="s">
        <v>607</v>
      </c>
      <c r="M79" s="9" t="s">
        <v>608</v>
      </c>
      <c r="N79" s="9" t="s">
        <v>609</v>
      </c>
      <c r="O79" s="9" t="s">
        <v>610</v>
      </c>
      <c r="P79" s="10">
        <v>10</v>
      </c>
    </row>
    <row r="80" spans="1:16" ht="100.8" x14ac:dyDescent="0.3">
      <c r="A80" t="s">
        <v>39</v>
      </c>
      <c r="B80" t="s">
        <v>571</v>
      </c>
      <c r="C80" t="s">
        <v>611</v>
      </c>
      <c r="D80" s="9" t="s">
        <v>612</v>
      </c>
      <c r="E80" t="s">
        <v>82</v>
      </c>
      <c r="F80" t="s">
        <v>143</v>
      </c>
      <c r="G80" t="s">
        <v>47</v>
      </c>
      <c r="H80" s="9" t="s">
        <v>613</v>
      </c>
      <c r="I80" s="9" t="s">
        <v>614</v>
      </c>
      <c r="J80" t="s">
        <v>584</v>
      </c>
      <c r="K80" s="9" t="s">
        <v>615</v>
      </c>
      <c r="L80" s="9" t="s">
        <v>616</v>
      </c>
      <c r="M80" s="9" t="s">
        <v>617</v>
      </c>
      <c r="N80" s="9" t="s">
        <v>618</v>
      </c>
      <c r="O80" s="9" t="s">
        <v>619</v>
      </c>
      <c r="P80" s="10">
        <v>10</v>
      </c>
    </row>
    <row r="81" spans="1:16" ht="259.2" x14ac:dyDescent="0.3">
      <c r="A81" t="s">
        <v>39</v>
      </c>
      <c r="B81" t="s">
        <v>571</v>
      </c>
      <c r="C81" t="s">
        <v>620</v>
      </c>
      <c r="D81" s="9" t="s">
        <v>621</v>
      </c>
      <c r="E81" t="s">
        <v>82</v>
      </c>
      <c r="F81" t="s">
        <v>143</v>
      </c>
      <c r="G81" t="s">
        <v>47</v>
      </c>
      <c r="H81" s="9" t="s">
        <v>395</v>
      </c>
      <c r="I81" s="9" t="s">
        <v>59</v>
      </c>
      <c r="J81" t="s">
        <v>584</v>
      </c>
      <c r="K81" s="9" t="s">
        <v>622</v>
      </c>
      <c r="L81" s="9" t="s">
        <v>623</v>
      </c>
      <c r="M81" s="9" t="s">
        <v>624</v>
      </c>
      <c r="N81" s="9" t="s">
        <v>625</v>
      </c>
      <c r="O81" s="9" t="s">
        <v>626</v>
      </c>
      <c r="P81" s="10">
        <v>10</v>
      </c>
    </row>
    <row r="82" spans="1:16" ht="129.6" x14ac:dyDescent="0.3">
      <c r="A82" t="s">
        <v>39</v>
      </c>
      <c r="B82" t="s">
        <v>571</v>
      </c>
      <c r="C82" t="s">
        <v>627</v>
      </c>
      <c r="D82" s="9" t="s">
        <v>628</v>
      </c>
      <c r="E82" t="s">
        <v>55</v>
      </c>
      <c r="F82" t="s">
        <v>143</v>
      </c>
      <c r="G82" t="s">
        <v>47</v>
      </c>
      <c r="H82" s="9" t="s">
        <v>395</v>
      </c>
      <c r="I82" s="9" t="s">
        <v>59</v>
      </c>
      <c r="J82" t="s">
        <v>584</v>
      </c>
      <c r="K82" s="9" t="s">
        <v>629</v>
      </c>
      <c r="L82" s="9" t="s">
        <v>630</v>
      </c>
      <c r="M82" s="9" t="s">
        <v>631</v>
      </c>
      <c r="N82" s="9" t="s">
        <v>632</v>
      </c>
      <c r="O82" s="9" t="s">
        <v>633</v>
      </c>
      <c r="P82" s="10">
        <v>10</v>
      </c>
    </row>
    <row r="83" spans="1:16" ht="100.8" x14ac:dyDescent="0.3">
      <c r="A83" t="s">
        <v>39</v>
      </c>
      <c r="B83" t="s">
        <v>571</v>
      </c>
      <c r="C83" t="s">
        <v>634</v>
      </c>
      <c r="D83" s="9" t="s">
        <v>635</v>
      </c>
      <c r="E83" t="s">
        <v>55</v>
      </c>
      <c r="F83" t="s">
        <v>143</v>
      </c>
      <c r="G83" t="s">
        <v>47</v>
      </c>
      <c r="H83" s="9" t="s">
        <v>636</v>
      </c>
      <c r="I83" s="9" t="s">
        <v>59</v>
      </c>
      <c r="J83" t="s">
        <v>584</v>
      </c>
      <c r="K83" s="9" t="s">
        <v>637</v>
      </c>
      <c r="L83" s="9" t="s">
        <v>638</v>
      </c>
      <c r="M83" s="9" t="s">
        <v>639</v>
      </c>
      <c r="N83" s="9" t="s">
        <v>640</v>
      </c>
      <c r="O83" s="9" t="s">
        <v>641</v>
      </c>
      <c r="P83" s="10">
        <v>10</v>
      </c>
    </row>
    <row r="84" spans="1:16" ht="86.4" x14ac:dyDescent="0.3">
      <c r="A84" t="s">
        <v>39</v>
      </c>
      <c r="B84" t="s">
        <v>571</v>
      </c>
      <c r="C84" t="s">
        <v>642</v>
      </c>
      <c r="D84" s="9" t="s">
        <v>643</v>
      </c>
      <c r="E84" t="s">
        <v>55</v>
      </c>
      <c r="F84" t="s">
        <v>143</v>
      </c>
      <c r="G84" t="s">
        <v>47</v>
      </c>
      <c r="H84" s="9" t="s">
        <v>644</v>
      </c>
      <c r="I84" s="9" t="s">
        <v>59</v>
      </c>
      <c r="J84" t="s">
        <v>584</v>
      </c>
      <c r="K84" s="9" t="s">
        <v>645</v>
      </c>
      <c r="L84" s="9" t="s">
        <v>646</v>
      </c>
      <c r="M84" s="9" t="s">
        <v>647</v>
      </c>
      <c r="N84" s="9"/>
      <c r="O84" s="9" t="s">
        <v>648</v>
      </c>
      <c r="P84" s="10">
        <v>10</v>
      </c>
    </row>
    <row r="85" spans="1:16" ht="158.4" x14ac:dyDescent="0.3">
      <c r="A85" t="s">
        <v>39</v>
      </c>
      <c r="B85" t="s">
        <v>571</v>
      </c>
      <c r="C85" t="s">
        <v>649</v>
      </c>
      <c r="D85" s="9" t="s">
        <v>650</v>
      </c>
      <c r="E85" t="s">
        <v>651</v>
      </c>
      <c r="F85" t="s">
        <v>143</v>
      </c>
      <c r="G85" t="s">
        <v>47</v>
      </c>
      <c r="H85" s="9"/>
      <c r="I85" s="9" t="s">
        <v>59</v>
      </c>
      <c r="J85" t="s">
        <v>584</v>
      </c>
      <c r="K85" s="9" t="s">
        <v>652</v>
      </c>
      <c r="L85" s="9" t="s">
        <v>653</v>
      </c>
      <c r="M85" s="9" t="s">
        <v>654</v>
      </c>
      <c r="N85" s="9" t="s">
        <v>655</v>
      </c>
      <c r="O85" s="9" t="s">
        <v>656</v>
      </c>
      <c r="P85" s="10">
        <v>10</v>
      </c>
    </row>
    <row r="86" spans="1:16" ht="129.6" x14ac:dyDescent="0.3">
      <c r="A86" t="s">
        <v>39</v>
      </c>
      <c r="B86" t="s">
        <v>571</v>
      </c>
      <c r="C86" t="s">
        <v>657</v>
      </c>
      <c r="D86" s="9" t="s">
        <v>658</v>
      </c>
      <c r="E86" t="s">
        <v>424</v>
      </c>
      <c r="F86" t="s">
        <v>143</v>
      </c>
      <c r="G86" t="s">
        <v>47</v>
      </c>
      <c r="H86" s="9"/>
      <c r="I86" s="9" t="s">
        <v>307</v>
      </c>
      <c r="J86" t="s">
        <v>584</v>
      </c>
      <c r="K86" s="9" t="s">
        <v>659</v>
      </c>
      <c r="L86" s="9" t="s">
        <v>660</v>
      </c>
      <c r="M86" s="9" t="s">
        <v>661</v>
      </c>
      <c r="N86" s="9" t="s">
        <v>662</v>
      </c>
      <c r="O86" s="9" t="s">
        <v>663</v>
      </c>
      <c r="P86" s="10">
        <v>10</v>
      </c>
    </row>
    <row r="87" spans="1:16" ht="158.4" x14ac:dyDescent="0.3">
      <c r="A87" t="s">
        <v>39</v>
      </c>
      <c r="B87" t="s">
        <v>571</v>
      </c>
      <c r="C87" t="s">
        <v>328</v>
      </c>
      <c r="D87" s="9" t="s">
        <v>664</v>
      </c>
      <c r="E87" t="s">
        <v>424</v>
      </c>
      <c r="F87" t="s">
        <v>143</v>
      </c>
      <c r="G87" t="s">
        <v>47</v>
      </c>
      <c r="H87" s="9"/>
      <c r="I87" s="9" t="s">
        <v>307</v>
      </c>
      <c r="J87" t="s">
        <v>584</v>
      </c>
      <c r="K87" s="9" t="s">
        <v>665</v>
      </c>
      <c r="L87" s="9" t="s">
        <v>666</v>
      </c>
      <c r="M87" s="9" t="s">
        <v>667</v>
      </c>
      <c r="N87" s="9" t="s">
        <v>668</v>
      </c>
      <c r="O87" s="9" t="s">
        <v>669</v>
      </c>
      <c r="P87" s="10">
        <v>10</v>
      </c>
    </row>
    <row r="88" spans="1:16" ht="100.8" x14ac:dyDescent="0.3">
      <c r="A88" t="s">
        <v>39</v>
      </c>
      <c r="B88" t="s">
        <v>571</v>
      </c>
      <c r="C88" t="s">
        <v>345</v>
      </c>
      <c r="D88" s="9" t="s">
        <v>670</v>
      </c>
      <c r="E88" t="s">
        <v>433</v>
      </c>
      <c r="F88" t="s">
        <v>143</v>
      </c>
      <c r="G88" t="s">
        <v>47</v>
      </c>
      <c r="H88" s="9" t="s">
        <v>671</v>
      </c>
      <c r="I88" s="9" t="s">
        <v>307</v>
      </c>
      <c r="J88" t="s">
        <v>584</v>
      </c>
      <c r="K88" s="9" t="s">
        <v>672</v>
      </c>
      <c r="L88" s="9" t="s">
        <v>673</v>
      </c>
      <c r="M88" s="9" t="s">
        <v>674</v>
      </c>
      <c r="N88" s="9" t="s">
        <v>675</v>
      </c>
      <c r="O88" s="9" t="s">
        <v>676</v>
      </c>
      <c r="P88" s="10">
        <v>10</v>
      </c>
    </row>
    <row r="89" spans="1:16" ht="216" x14ac:dyDescent="0.3">
      <c r="A89" t="s">
        <v>39</v>
      </c>
      <c r="B89" t="s">
        <v>571</v>
      </c>
      <c r="C89" t="s">
        <v>677</v>
      </c>
      <c r="D89" s="9" t="s">
        <v>678</v>
      </c>
      <c r="E89" t="s">
        <v>679</v>
      </c>
      <c r="F89" t="s">
        <v>143</v>
      </c>
      <c r="G89" t="s">
        <v>47</v>
      </c>
      <c r="H89" s="9"/>
      <c r="I89" s="9" t="s">
        <v>307</v>
      </c>
      <c r="J89" t="s">
        <v>584</v>
      </c>
      <c r="K89" s="9" t="s">
        <v>680</v>
      </c>
      <c r="L89" s="9" t="s">
        <v>681</v>
      </c>
      <c r="M89" s="9" t="s">
        <v>682</v>
      </c>
      <c r="N89" s="9" t="s">
        <v>683</v>
      </c>
      <c r="O89" s="9" t="s">
        <v>684</v>
      </c>
      <c r="P89" s="10">
        <v>10</v>
      </c>
    </row>
    <row r="90" spans="1:16" ht="158.4" x14ac:dyDescent="0.3">
      <c r="A90" t="s">
        <v>39</v>
      </c>
      <c r="B90" t="s">
        <v>571</v>
      </c>
      <c r="C90" t="s">
        <v>685</v>
      </c>
      <c r="D90" s="9" t="s">
        <v>686</v>
      </c>
      <c r="E90" t="s">
        <v>449</v>
      </c>
      <c r="F90" t="s">
        <v>143</v>
      </c>
      <c r="G90" t="s">
        <v>47</v>
      </c>
      <c r="H90" s="9"/>
      <c r="I90" s="9" t="s">
        <v>307</v>
      </c>
      <c r="J90" t="s">
        <v>584</v>
      </c>
      <c r="K90" s="9" t="s">
        <v>687</v>
      </c>
      <c r="L90" s="9" t="s">
        <v>688</v>
      </c>
      <c r="M90" s="9" t="s">
        <v>689</v>
      </c>
      <c r="N90" s="9" t="s">
        <v>690</v>
      </c>
      <c r="O90" s="9" t="s">
        <v>691</v>
      </c>
      <c r="P90" s="10">
        <v>10</v>
      </c>
    </row>
    <row r="91" spans="1:16" ht="360" x14ac:dyDescent="0.3">
      <c r="A91" t="s">
        <v>39</v>
      </c>
      <c r="B91" t="s">
        <v>571</v>
      </c>
      <c r="C91" t="s">
        <v>692</v>
      </c>
      <c r="D91" s="9" t="s">
        <v>693</v>
      </c>
      <c r="E91" t="s">
        <v>694</v>
      </c>
      <c r="F91" t="s">
        <v>143</v>
      </c>
      <c r="G91" t="s">
        <v>47</v>
      </c>
      <c r="H91" s="9"/>
      <c r="I91" s="9" t="s">
        <v>307</v>
      </c>
      <c r="J91" t="s">
        <v>584</v>
      </c>
      <c r="K91" s="9" t="s">
        <v>695</v>
      </c>
      <c r="L91" s="9" t="s">
        <v>696</v>
      </c>
      <c r="M91" s="9" t="s">
        <v>697</v>
      </c>
      <c r="N91" s="9" t="s">
        <v>698</v>
      </c>
      <c r="O91" s="9" t="s">
        <v>699</v>
      </c>
      <c r="P91" s="10">
        <v>10</v>
      </c>
    </row>
    <row r="92" spans="1:16" ht="100.8" x14ac:dyDescent="0.3">
      <c r="A92" t="s">
        <v>39</v>
      </c>
      <c r="B92" t="s">
        <v>571</v>
      </c>
      <c r="C92" t="s">
        <v>700</v>
      </c>
      <c r="D92" s="9" t="s">
        <v>701</v>
      </c>
      <c r="E92" t="s">
        <v>702</v>
      </c>
      <c r="F92" t="s">
        <v>143</v>
      </c>
      <c r="G92" t="s">
        <v>47</v>
      </c>
      <c r="H92" s="9" t="s">
        <v>703</v>
      </c>
      <c r="I92" s="9" t="s">
        <v>59</v>
      </c>
      <c r="J92" t="s">
        <v>584</v>
      </c>
      <c r="K92" s="9" t="s">
        <v>704</v>
      </c>
      <c r="L92" s="9" t="s">
        <v>705</v>
      </c>
      <c r="M92" s="9" t="s">
        <v>706</v>
      </c>
      <c r="N92" s="9" t="s">
        <v>707</v>
      </c>
      <c r="O92" s="9" t="s">
        <v>708</v>
      </c>
      <c r="P92" s="10">
        <v>10</v>
      </c>
    </row>
    <row r="93" spans="1:16" ht="100.8" x14ac:dyDescent="0.3">
      <c r="A93" t="s">
        <v>39</v>
      </c>
      <c r="B93" t="s">
        <v>709</v>
      </c>
      <c r="C93" t="s">
        <v>369</v>
      </c>
      <c r="D93" s="9" t="s">
        <v>710</v>
      </c>
      <c r="E93" t="s">
        <v>82</v>
      </c>
      <c r="F93" t="s">
        <v>143</v>
      </c>
      <c r="G93" t="s">
        <v>47</v>
      </c>
      <c r="H93" s="9" t="s">
        <v>711</v>
      </c>
      <c r="I93" s="9" t="s">
        <v>106</v>
      </c>
      <c r="J93" t="s">
        <v>584</v>
      </c>
      <c r="K93" s="9" t="s">
        <v>712</v>
      </c>
      <c r="L93" s="9" t="s">
        <v>713</v>
      </c>
      <c r="M93" s="9" t="s">
        <v>714</v>
      </c>
      <c r="N93" s="9" t="s">
        <v>715</v>
      </c>
      <c r="O93" s="9" t="s">
        <v>716</v>
      </c>
      <c r="P93" s="10">
        <v>11</v>
      </c>
    </row>
    <row r="94" spans="1:16" ht="100.8" x14ac:dyDescent="0.3">
      <c r="A94" t="s">
        <v>39</v>
      </c>
      <c r="B94" t="s">
        <v>709</v>
      </c>
      <c r="C94" t="s">
        <v>74</v>
      </c>
      <c r="D94" s="9" t="s">
        <v>717</v>
      </c>
      <c r="E94" t="s">
        <v>82</v>
      </c>
      <c r="F94" t="s">
        <v>143</v>
      </c>
      <c r="G94" t="s">
        <v>47</v>
      </c>
      <c r="H94" s="9"/>
      <c r="I94" s="9" t="s">
        <v>59</v>
      </c>
      <c r="K94" s="9" t="s">
        <v>718</v>
      </c>
      <c r="L94" s="9" t="s">
        <v>719</v>
      </c>
      <c r="M94" s="9" t="s">
        <v>720</v>
      </c>
      <c r="N94" s="9" t="s">
        <v>721</v>
      </c>
      <c r="O94" s="9" t="s">
        <v>722</v>
      </c>
      <c r="P94" s="10">
        <v>11</v>
      </c>
    </row>
    <row r="95" spans="1:16" ht="100.8" x14ac:dyDescent="0.3">
      <c r="A95" t="s">
        <v>39</v>
      </c>
      <c r="B95" t="s">
        <v>709</v>
      </c>
      <c r="C95" t="s">
        <v>43</v>
      </c>
      <c r="D95" s="9" t="s">
        <v>723</v>
      </c>
      <c r="E95" t="s">
        <v>82</v>
      </c>
      <c r="F95" t="s">
        <v>143</v>
      </c>
      <c r="G95" t="s">
        <v>47</v>
      </c>
      <c r="H95" s="9" t="s">
        <v>711</v>
      </c>
      <c r="I95" s="9" t="s">
        <v>59</v>
      </c>
      <c r="K95" s="9" t="s">
        <v>724</v>
      </c>
      <c r="L95" s="9" t="s">
        <v>725</v>
      </c>
      <c r="M95" s="9" t="s">
        <v>726</v>
      </c>
      <c r="N95" s="9" t="s">
        <v>727</v>
      </c>
      <c r="O95" s="9" t="s">
        <v>728</v>
      </c>
      <c r="P95" s="10">
        <v>11</v>
      </c>
    </row>
    <row r="96" spans="1:16" ht="100.8" x14ac:dyDescent="0.3">
      <c r="A96" t="s">
        <v>39</v>
      </c>
      <c r="B96" t="s">
        <v>709</v>
      </c>
      <c r="C96" t="s">
        <v>68</v>
      </c>
      <c r="D96" s="9" t="s">
        <v>729</v>
      </c>
      <c r="E96" t="s">
        <v>82</v>
      </c>
      <c r="F96" t="s">
        <v>143</v>
      </c>
      <c r="G96" t="s">
        <v>47</v>
      </c>
      <c r="H96" s="9" t="s">
        <v>711</v>
      </c>
      <c r="I96" s="9" t="s">
        <v>59</v>
      </c>
      <c r="K96" s="9" t="s">
        <v>730</v>
      </c>
      <c r="L96" s="9" t="s">
        <v>731</v>
      </c>
      <c r="M96" s="9" t="s">
        <v>732</v>
      </c>
      <c r="N96" s="9" t="s">
        <v>733</v>
      </c>
      <c r="O96" s="9" t="s">
        <v>734</v>
      </c>
      <c r="P96" s="10">
        <v>11</v>
      </c>
    </row>
    <row r="97" spans="1:16" ht="100.8" x14ac:dyDescent="0.3">
      <c r="A97" t="s">
        <v>39</v>
      </c>
      <c r="B97" t="s">
        <v>709</v>
      </c>
      <c r="C97" t="s">
        <v>449</v>
      </c>
      <c r="D97" s="9" t="s">
        <v>735</v>
      </c>
      <c r="E97" t="s">
        <v>55</v>
      </c>
      <c r="F97" t="s">
        <v>143</v>
      </c>
      <c r="G97" t="s">
        <v>47</v>
      </c>
      <c r="H97" s="9" t="s">
        <v>395</v>
      </c>
      <c r="I97" s="9" t="s">
        <v>59</v>
      </c>
      <c r="K97" s="9" t="s">
        <v>736</v>
      </c>
      <c r="L97" s="9" t="s">
        <v>737</v>
      </c>
      <c r="M97" s="9" t="s">
        <v>738</v>
      </c>
      <c r="N97" s="9" t="s">
        <v>739</v>
      </c>
      <c r="O97" s="9" t="s">
        <v>740</v>
      </c>
      <c r="P97" s="10">
        <v>11</v>
      </c>
    </row>
    <row r="98" spans="1:16" ht="100.8" x14ac:dyDescent="0.3">
      <c r="A98" t="s">
        <v>39</v>
      </c>
      <c r="B98" t="s">
        <v>709</v>
      </c>
      <c r="C98" t="s">
        <v>458</v>
      </c>
      <c r="D98" s="9" t="s">
        <v>741</v>
      </c>
      <c r="E98" t="s">
        <v>55</v>
      </c>
      <c r="F98" t="s">
        <v>143</v>
      </c>
      <c r="G98" t="s">
        <v>47</v>
      </c>
      <c r="H98" s="9" t="s">
        <v>395</v>
      </c>
      <c r="I98" s="9" t="s">
        <v>59</v>
      </c>
      <c r="K98" s="9" t="s">
        <v>742</v>
      </c>
      <c r="L98" s="9" t="s">
        <v>743</v>
      </c>
      <c r="M98" s="9" t="s">
        <v>744</v>
      </c>
      <c r="N98" s="9" t="s">
        <v>745</v>
      </c>
      <c r="O98" s="9" t="s">
        <v>746</v>
      </c>
      <c r="P98" s="10">
        <v>11</v>
      </c>
    </row>
    <row r="99" spans="1:16" ht="100.8" x14ac:dyDescent="0.3">
      <c r="A99" t="s">
        <v>39</v>
      </c>
      <c r="B99" t="s">
        <v>709</v>
      </c>
      <c r="C99" t="s">
        <v>466</v>
      </c>
      <c r="D99" s="9" t="s">
        <v>747</v>
      </c>
      <c r="E99" t="s">
        <v>55</v>
      </c>
      <c r="F99" t="s">
        <v>143</v>
      </c>
      <c r="G99" t="s">
        <v>47</v>
      </c>
      <c r="H99" s="9"/>
      <c r="I99" s="9" t="s">
        <v>106</v>
      </c>
      <c r="J99" t="s">
        <v>748</v>
      </c>
      <c r="K99" s="9" t="s">
        <v>749</v>
      </c>
      <c r="L99" s="9" t="s">
        <v>750</v>
      </c>
      <c r="M99" s="9" t="s">
        <v>751</v>
      </c>
      <c r="N99" s="9" t="s">
        <v>752</v>
      </c>
      <c r="O99" s="9" t="s">
        <v>753</v>
      </c>
      <c r="P99" s="10">
        <v>11</v>
      </c>
    </row>
    <row r="100" spans="1:16" ht="115.2" x14ac:dyDescent="0.3">
      <c r="A100" t="s">
        <v>39</v>
      </c>
      <c r="B100" t="s">
        <v>709</v>
      </c>
      <c r="C100" t="s">
        <v>590</v>
      </c>
      <c r="D100" s="9" t="s">
        <v>754</v>
      </c>
      <c r="E100" t="s">
        <v>651</v>
      </c>
      <c r="F100" t="s">
        <v>143</v>
      </c>
      <c r="G100" t="s">
        <v>47</v>
      </c>
      <c r="H100" s="9"/>
      <c r="I100" s="9" t="s">
        <v>106</v>
      </c>
      <c r="J100" t="s">
        <v>748</v>
      </c>
      <c r="K100" s="9" t="s">
        <v>755</v>
      </c>
      <c r="L100" s="9" t="s">
        <v>756</v>
      </c>
      <c r="M100" s="9" t="s">
        <v>757</v>
      </c>
      <c r="N100" s="9" t="s">
        <v>758</v>
      </c>
      <c r="O100" s="9" t="s">
        <v>759</v>
      </c>
      <c r="P100" s="10">
        <v>11</v>
      </c>
    </row>
    <row r="101" spans="1:16" ht="115.2" x14ac:dyDescent="0.3">
      <c r="A101" t="s">
        <v>39</v>
      </c>
      <c r="B101" t="s">
        <v>709</v>
      </c>
      <c r="C101" t="s">
        <v>221</v>
      </c>
      <c r="D101" s="9" t="s">
        <v>760</v>
      </c>
      <c r="E101" t="s">
        <v>424</v>
      </c>
      <c r="F101" t="s">
        <v>143</v>
      </c>
      <c r="G101" t="s">
        <v>47</v>
      </c>
      <c r="H101" s="9"/>
      <c r="I101" s="9" t="s">
        <v>106</v>
      </c>
      <c r="J101" t="s">
        <v>748</v>
      </c>
      <c r="K101" s="9" t="s">
        <v>761</v>
      </c>
      <c r="L101" s="9" t="s">
        <v>762</v>
      </c>
      <c r="M101" s="9" t="s">
        <v>763</v>
      </c>
      <c r="N101" s="9" t="s">
        <v>764</v>
      </c>
      <c r="O101" s="9" t="s">
        <v>765</v>
      </c>
      <c r="P101" s="10">
        <v>11</v>
      </c>
    </row>
    <row r="102" spans="1:16" ht="86.4" x14ac:dyDescent="0.3">
      <c r="A102" t="s">
        <v>39</v>
      </c>
      <c r="B102" t="s">
        <v>709</v>
      </c>
      <c r="C102" t="s">
        <v>766</v>
      </c>
      <c r="D102" s="9" t="s">
        <v>767</v>
      </c>
      <c r="E102" t="s">
        <v>424</v>
      </c>
      <c r="F102" t="s">
        <v>143</v>
      </c>
      <c r="G102" t="s">
        <v>47</v>
      </c>
      <c r="H102" s="9"/>
      <c r="I102" s="9" t="s">
        <v>106</v>
      </c>
      <c r="J102" t="s">
        <v>748</v>
      </c>
      <c r="K102" s="9" t="s">
        <v>768</v>
      </c>
      <c r="L102" s="9" t="s">
        <v>769</v>
      </c>
      <c r="M102" s="9" t="s">
        <v>770</v>
      </c>
      <c r="N102" s="9" t="s">
        <v>771</v>
      </c>
      <c r="O102" s="9" t="s">
        <v>772</v>
      </c>
      <c r="P102" s="10">
        <v>11</v>
      </c>
    </row>
    <row r="103" spans="1:16" ht="345.6" x14ac:dyDescent="0.3">
      <c r="A103" t="s">
        <v>39</v>
      </c>
      <c r="B103" t="s">
        <v>709</v>
      </c>
      <c r="C103" t="s">
        <v>773</v>
      </c>
      <c r="D103" s="9" t="s">
        <v>774</v>
      </c>
      <c r="E103" t="s">
        <v>775</v>
      </c>
      <c r="F103" t="s">
        <v>143</v>
      </c>
      <c r="G103" t="s">
        <v>47</v>
      </c>
      <c r="H103" s="9"/>
      <c r="I103" s="9" t="s">
        <v>106</v>
      </c>
      <c r="J103" t="s">
        <v>748</v>
      </c>
      <c r="K103" s="9" t="s">
        <v>776</v>
      </c>
      <c r="L103" s="9" t="s">
        <v>777</v>
      </c>
      <c r="M103" s="9" t="s">
        <v>778</v>
      </c>
      <c r="N103" s="9" t="s">
        <v>779</v>
      </c>
      <c r="O103" s="9" t="s">
        <v>780</v>
      </c>
      <c r="P103" s="10">
        <v>11</v>
      </c>
    </row>
    <row r="104" spans="1:16" ht="158.4" x14ac:dyDescent="0.3">
      <c r="A104" t="s">
        <v>39</v>
      </c>
      <c r="B104" t="s">
        <v>709</v>
      </c>
      <c r="C104" t="s">
        <v>597</v>
      </c>
      <c r="D104" s="9" t="s">
        <v>781</v>
      </c>
      <c r="E104" t="s">
        <v>433</v>
      </c>
      <c r="F104" t="s">
        <v>143</v>
      </c>
      <c r="G104" t="s">
        <v>47</v>
      </c>
      <c r="H104" s="9"/>
      <c r="I104" s="9" t="s">
        <v>106</v>
      </c>
      <c r="J104" t="s">
        <v>748</v>
      </c>
      <c r="K104" s="9" t="s">
        <v>782</v>
      </c>
      <c r="L104" s="9" t="s">
        <v>783</v>
      </c>
      <c r="M104" s="9" t="s">
        <v>784</v>
      </c>
      <c r="N104" s="9" t="s">
        <v>785</v>
      </c>
      <c r="O104" s="9" t="s">
        <v>786</v>
      </c>
      <c r="P104" s="10">
        <v>11</v>
      </c>
    </row>
    <row r="105" spans="1:16" ht="230.4" x14ac:dyDescent="0.3">
      <c r="A105" t="s">
        <v>39</v>
      </c>
      <c r="B105" t="s">
        <v>709</v>
      </c>
      <c r="C105" t="s">
        <v>787</v>
      </c>
      <c r="D105" s="9" t="s">
        <v>788</v>
      </c>
      <c r="E105" t="s">
        <v>433</v>
      </c>
      <c r="F105" t="s">
        <v>143</v>
      </c>
      <c r="G105" t="s">
        <v>47</v>
      </c>
      <c r="H105" s="9" t="s">
        <v>789</v>
      </c>
      <c r="I105" s="9" t="s">
        <v>614</v>
      </c>
      <c r="J105" t="s">
        <v>584</v>
      </c>
      <c r="K105" s="9" t="s">
        <v>790</v>
      </c>
      <c r="L105" s="9" t="s">
        <v>791</v>
      </c>
      <c r="M105" s="9" t="s">
        <v>792</v>
      </c>
      <c r="N105" s="9" t="s">
        <v>793</v>
      </c>
      <c r="O105" s="9" t="s">
        <v>794</v>
      </c>
      <c r="P105" s="10">
        <v>11</v>
      </c>
    </row>
    <row r="106" spans="1:16" ht="115.2" x14ac:dyDescent="0.3">
      <c r="A106" t="s">
        <v>39</v>
      </c>
      <c r="B106" t="s">
        <v>709</v>
      </c>
      <c r="C106" t="s">
        <v>604</v>
      </c>
      <c r="D106" s="9" t="s">
        <v>795</v>
      </c>
      <c r="E106" t="s">
        <v>796</v>
      </c>
      <c r="F106" t="s">
        <v>143</v>
      </c>
      <c r="G106" t="s">
        <v>47</v>
      </c>
      <c r="H106" s="9" t="s">
        <v>797</v>
      </c>
      <c r="I106" s="9" t="s">
        <v>614</v>
      </c>
      <c r="J106" t="s">
        <v>584</v>
      </c>
      <c r="K106" s="9" t="s">
        <v>798</v>
      </c>
      <c r="L106" s="9" t="s">
        <v>799</v>
      </c>
      <c r="M106" s="9" t="s">
        <v>800</v>
      </c>
      <c r="N106" s="9" t="s">
        <v>801</v>
      </c>
      <c r="O106" s="9" t="s">
        <v>802</v>
      </c>
      <c r="P106" s="10">
        <v>11</v>
      </c>
    </row>
    <row r="107" spans="1:16" ht="100.8" x14ac:dyDescent="0.3">
      <c r="A107" t="s">
        <v>39</v>
      </c>
      <c r="B107" t="s">
        <v>709</v>
      </c>
      <c r="C107" t="s">
        <v>611</v>
      </c>
      <c r="D107" s="9" t="s">
        <v>803</v>
      </c>
      <c r="E107" t="s">
        <v>441</v>
      </c>
      <c r="F107" t="s">
        <v>143</v>
      </c>
      <c r="G107" t="s">
        <v>47</v>
      </c>
      <c r="H107" s="9"/>
      <c r="I107" s="9" t="s">
        <v>614</v>
      </c>
      <c r="J107" t="s">
        <v>584</v>
      </c>
      <c r="K107" s="9" t="s">
        <v>804</v>
      </c>
      <c r="L107" s="9" t="s">
        <v>805</v>
      </c>
      <c r="M107" s="9" t="s">
        <v>806</v>
      </c>
      <c r="N107" s="9" t="s">
        <v>807</v>
      </c>
      <c r="O107" s="9" t="s">
        <v>808</v>
      </c>
      <c r="P107" s="10">
        <v>11</v>
      </c>
    </row>
    <row r="108" spans="1:16" ht="115.2" x14ac:dyDescent="0.3">
      <c r="A108" t="s">
        <v>39</v>
      </c>
      <c r="B108" t="s">
        <v>709</v>
      </c>
      <c r="C108" t="s">
        <v>809</v>
      </c>
      <c r="D108" s="9" t="s">
        <v>810</v>
      </c>
      <c r="E108" t="s">
        <v>441</v>
      </c>
      <c r="F108" t="s">
        <v>143</v>
      </c>
      <c r="G108" t="s">
        <v>47</v>
      </c>
      <c r="H108" s="9"/>
      <c r="I108" s="9" t="s">
        <v>614</v>
      </c>
      <c r="J108" t="s">
        <v>584</v>
      </c>
      <c r="K108" s="9" t="s">
        <v>811</v>
      </c>
      <c r="L108" s="9" t="s">
        <v>812</v>
      </c>
      <c r="M108" s="9" t="s">
        <v>813</v>
      </c>
      <c r="N108" s="9" t="s">
        <v>814</v>
      </c>
      <c r="O108" s="9" t="s">
        <v>815</v>
      </c>
      <c r="P108" s="10">
        <v>11</v>
      </c>
    </row>
    <row r="109" spans="1:16" ht="100.8" x14ac:dyDescent="0.3">
      <c r="A109" t="s">
        <v>39</v>
      </c>
      <c r="B109" t="s">
        <v>709</v>
      </c>
      <c r="C109" t="s">
        <v>816</v>
      </c>
      <c r="D109" s="9" t="s">
        <v>817</v>
      </c>
      <c r="E109" t="s">
        <v>679</v>
      </c>
      <c r="F109" t="s">
        <v>143</v>
      </c>
      <c r="G109" t="s">
        <v>47</v>
      </c>
      <c r="H109" s="9" t="s">
        <v>395</v>
      </c>
      <c r="I109" s="9" t="s">
        <v>614</v>
      </c>
      <c r="J109" t="s">
        <v>584</v>
      </c>
      <c r="K109" s="9" t="s">
        <v>818</v>
      </c>
      <c r="L109" s="9" t="s">
        <v>819</v>
      </c>
      <c r="M109" s="9" t="s">
        <v>820</v>
      </c>
      <c r="N109" s="9" t="s">
        <v>821</v>
      </c>
      <c r="O109" s="9" t="s">
        <v>822</v>
      </c>
      <c r="P109" s="10">
        <v>11</v>
      </c>
    </row>
    <row r="110" spans="1:16" ht="100.8" x14ac:dyDescent="0.3">
      <c r="A110" t="s">
        <v>39</v>
      </c>
      <c r="B110" t="s">
        <v>709</v>
      </c>
      <c r="C110" t="s">
        <v>649</v>
      </c>
      <c r="D110" s="9" t="s">
        <v>823</v>
      </c>
      <c r="E110" t="s">
        <v>449</v>
      </c>
      <c r="F110" t="s">
        <v>143</v>
      </c>
      <c r="G110" t="s">
        <v>47</v>
      </c>
      <c r="H110" s="9" t="s">
        <v>395</v>
      </c>
      <c r="I110" s="9" t="s">
        <v>614</v>
      </c>
      <c r="J110" t="s">
        <v>584</v>
      </c>
      <c r="K110" s="9" t="s">
        <v>824</v>
      </c>
      <c r="L110" s="9" t="s">
        <v>825</v>
      </c>
      <c r="M110" s="9" t="s">
        <v>826</v>
      </c>
      <c r="N110" s="9" t="s">
        <v>827</v>
      </c>
      <c r="O110" s="9" t="s">
        <v>828</v>
      </c>
      <c r="P110" s="10">
        <v>11</v>
      </c>
    </row>
    <row r="111" spans="1:16" ht="129.6" x14ac:dyDescent="0.3">
      <c r="A111" t="s">
        <v>39</v>
      </c>
      <c r="B111" t="s">
        <v>709</v>
      </c>
      <c r="C111" t="s">
        <v>657</v>
      </c>
      <c r="D111" s="9" t="s">
        <v>829</v>
      </c>
      <c r="E111" t="s">
        <v>449</v>
      </c>
      <c r="F111" t="s">
        <v>46</v>
      </c>
      <c r="G111" t="s">
        <v>47</v>
      </c>
      <c r="H111" s="9"/>
      <c r="I111" s="9" t="s">
        <v>106</v>
      </c>
      <c r="J111" t="s">
        <v>584</v>
      </c>
      <c r="K111" s="9" t="s">
        <v>830</v>
      </c>
      <c r="L111" s="9" t="s">
        <v>831</v>
      </c>
      <c r="M111" s="9" t="s">
        <v>832</v>
      </c>
      <c r="N111" s="9" t="s">
        <v>833</v>
      </c>
      <c r="O111" s="9" t="s">
        <v>834</v>
      </c>
      <c r="P111" s="10">
        <v>11</v>
      </c>
    </row>
    <row r="112" spans="1:16" ht="129.6" x14ac:dyDescent="0.3">
      <c r="A112" t="s">
        <v>39</v>
      </c>
      <c r="B112" t="s">
        <v>709</v>
      </c>
      <c r="C112" t="s">
        <v>328</v>
      </c>
      <c r="D112" s="9" t="s">
        <v>835</v>
      </c>
      <c r="E112" t="s">
        <v>694</v>
      </c>
      <c r="F112" t="s">
        <v>143</v>
      </c>
      <c r="G112" t="s">
        <v>47</v>
      </c>
      <c r="H112" s="9"/>
      <c r="I112" s="9" t="s">
        <v>106</v>
      </c>
      <c r="J112" t="s">
        <v>584</v>
      </c>
      <c r="K112" s="9" t="s">
        <v>836</v>
      </c>
      <c r="L112" s="9" t="s">
        <v>837</v>
      </c>
      <c r="M112" s="9" t="s">
        <v>838</v>
      </c>
      <c r="N112" s="9" t="s">
        <v>839</v>
      </c>
      <c r="O112" s="9" t="s">
        <v>840</v>
      </c>
      <c r="P112" s="10">
        <v>11</v>
      </c>
    </row>
    <row r="113" spans="1:16" ht="100.8" x14ac:dyDescent="0.3">
      <c r="A113" t="s">
        <v>39</v>
      </c>
      <c r="B113" t="s">
        <v>709</v>
      </c>
      <c r="C113" t="s">
        <v>841</v>
      </c>
      <c r="D113" s="9" t="s">
        <v>842</v>
      </c>
      <c r="E113" t="s">
        <v>458</v>
      </c>
      <c r="F113" t="s">
        <v>143</v>
      </c>
      <c r="G113" t="s">
        <v>47</v>
      </c>
      <c r="H113" s="9" t="s">
        <v>395</v>
      </c>
      <c r="I113" s="9" t="s">
        <v>106</v>
      </c>
      <c r="J113" t="s">
        <v>584</v>
      </c>
      <c r="K113" s="9" t="s">
        <v>843</v>
      </c>
      <c r="L113" s="9" t="s">
        <v>844</v>
      </c>
      <c r="M113" s="9" t="s">
        <v>845</v>
      </c>
      <c r="N113" s="9"/>
      <c r="O113" s="9" t="s">
        <v>846</v>
      </c>
      <c r="P113" s="10">
        <v>11</v>
      </c>
    </row>
    <row r="114" spans="1:16" ht="115.2" x14ac:dyDescent="0.3">
      <c r="A114" t="s">
        <v>39</v>
      </c>
      <c r="B114" t="s">
        <v>709</v>
      </c>
      <c r="C114" t="s">
        <v>336</v>
      </c>
      <c r="D114" s="9" t="s">
        <v>847</v>
      </c>
      <c r="E114" t="s">
        <v>458</v>
      </c>
      <c r="F114" t="s">
        <v>143</v>
      </c>
      <c r="G114" t="s">
        <v>848</v>
      </c>
      <c r="H114" s="9"/>
      <c r="I114" s="9" t="s">
        <v>106</v>
      </c>
      <c r="J114" t="s">
        <v>584</v>
      </c>
      <c r="K114" s="9" t="s">
        <v>849</v>
      </c>
      <c r="L114" s="9" t="s">
        <v>850</v>
      </c>
      <c r="M114" s="9" t="s">
        <v>851</v>
      </c>
      <c r="N114" s="9"/>
      <c r="O114" s="9" t="s">
        <v>852</v>
      </c>
      <c r="P114" s="10">
        <v>11</v>
      </c>
    </row>
    <row r="115" spans="1:16" ht="115.2" x14ac:dyDescent="0.3">
      <c r="A115" t="s">
        <v>39</v>
      </c>
      <c r="B115" t="s">
        <v>709</v>
      </c>
      <c r="C115" t="s">
        <v>853</v>
      </c>
      <c r="D115" s="9" t="s">
        <v>854</v>
      </c>
      <c r="E115" t="s">
        <v>458</v>
      </c>
      <c r="F115" t="s">
        <v>143</v>
      </c>
      <c r="G115" t="s">
        <v>47</v>
      </c>
      <c r="H115" s="9" t="s">
        <v>797</v>
      </c>
      <c r="I115" s="9" t="s">
        <v>106</v>
      </c>
      <c r="J115" t="s">
        <v>584</v>
      </c>
      <c r="K115" s="9" t="s">
        <v>855</v>
      </c>
      <c r="L115" s="9" t="s">
        <v>856</v>
      </c>
      <c r="M115" s="9" t="s">
        <v>857</v>
      </c>
      <c r="N115" s="9" t="s">
        <v>858</v>
      </c>
      <c r="O115" s="9" t="s">
        <v>859</v>
      </c>
      <c r="P115" s="10">
        <v>11</v>
      </c>
    </row>
    <row r="116" spans="1:16" ht="86.4" x14ac:dyDescent="0.3">
      <c r="A116" t="s">
        <v>39</v>
      </c>
      <c r="B116" t="s">
        <v>709</v>
      </c>
      <c r="C116" t="s">
        <v>860</v>
      </c>
      <c r="D116" s="9" t="s">
        <v>861</v>
      </c>
      <c r="E116" t="s">
        <v>458</v>
      </c>
      <c r="F116" t="s">
        <v>143</v>
      </c>
      <c r="G116" t="s">
        <v>47</v>
      </c>
      <c r="H116" s="9" t="s">
        <v>797</v>
      </c>
      <c r="I116" s="9" t="s">
        <v>106</v>
      </c>
      <c r="J116" t="s">
        <v>584</v>
      </c>
      <c r="K116" s="9" t="s">
        <v>862</v>
      </c>
      <c r="L116" s="9" t="s">
        <v>863</v>
      </c>
      <c r="M116" s="9" t="s">
        <v>864</v>
      </c>
      <c r="N116" s="9" t="s">
        <v>865</v>
      </c>
      <c r="O116" s="9" t="s">
        <v>866</v>
      </c>
      <c r="P116" s="10">
        <v>11</v>
      </c>
    </row>
    <row r="117" spans="1:16" ht="100.8" x14ac:dyDescent="0.3">
      <c r="A117" t="s">
        <v>39</v>
      </c>
      <c r="B117" t="s">
        <v>709</v>
      </c>
      <c r="C117" t="s">
        <v>867</v>
      </c>
      <c r="D117" s="9" t="s">
        <v>868</v>
      </c>
      <c r="E117" t="s">
        <v>869</v>
      </c>
      <c r="F117" t="s">
        <v>46</v>
      </c>
      <c r="G117" t="s">
        <v>47</v>
      </c>
      <c r="H117" s="9" t="s">
        <v>395</v>
      </c>
      <c r="I117" s="9" t="s">
        <v>106</v>
      </c>
      <c r="J117" t="s">
        <v>748</v>
      </c>
      <c r="K117" s="9" t="s">
        <v>870</v>
      </c>
      <c r="L117" s="9" t="s">
        <v>871</v>
      </c>
      <c r="M117" s="9" t="s">
        <v>872</v>
      </c>
      <c r="N117" s="9" t="s">
        <v>873</v>
      </c>
      <c r="O117" s="9" t="s">
        <v>874</v>
      </c>
      <c r="P117" s="10">
        <v>11</v>
      </c>
    </row>
    <row r="118" spans="1:16" ht="100.8" x14ac:dyDescent="0.3">
      <c r="A118" t="s">
        <v>39</v>
      </c>
      <c r="B118" t="s">
        <v>709</v>
      </c>
      <c r="C118" t="s">
        <v>875</v>
      </c>
      <c r="D118" s="9" t="s">
        <v>876</v>
      </c>
      <c r="E118" t="s">
        <v>466</v>
      </c>
      <c r="F118" t="s">
        <v>46</v>
      </c>
      <c r="G118" t="s">
        <v>47</v>
      </c>
      <c r="H118" s="9" t="s">
        <v>877</v>
      </c>
      <c r="I118" s="9" t="s">
        <v>106</v>
      </c>
      <c r="J118" t="s">
        <v>748</v>
      </c>
      <c r="K118" s="9" t="s">
        <v>878</v>
      </c>
      <c r="L118" s="9" t="s">
        <v>879</v>
      </c>
      <c r="M118" s="9" t="s">
        <v>880</v>
      </c>
      <c r="N118" s="9" t="s">
        <v>881</v>
      </c>
      <c r="O118" s="9" t="s">
        <v>882</v>
      </c>
      <c r="P118" s="10">
        <v>11</v>
      </c>
    </row>
    <row r="119" spans="1:16" ht="100.8" x14ac:dyDescent="0.3">
      <c r="A119" t="s">
        <v>39</v>
      </c>
      <c r="B119" t="s">
        <v>709</v>
      </c>
      <c r="C119" t="s">
        <v>883</v>
      </c>
      <c r="D119" s="9" t="s">
        <v>884</v>
      </c>
      <c r="E119" t="s">
        <v>466</v>
      </c>
      <c r="F119" t="s">
        <v>143</v>
      </c>
      <c r="G119" t="s">
        <v>47</v>
      </c>
      <c r="H119" s="9"/>
      <c r="I119" s="9"/>
      <c r="J119" t="s">
        <v>748</v>
      </c>
      <c r="K119" s="9" t="s">
        <v>885</v>
      </c>
      <c r="L119" s="9" t="s">
        <v>886</v>
      </c>
      <c r="M119" s="9" t="s">
        <v>887</v>
      </c>
      <c r="N119" s="9" t="s">
        <v>888</v>
      </c>
      <c r="O119" s="9" t="s">
        <v>889</v>
      </c>
      <c r="P119" s="10">
        <v>11</v>
      </c>
    </row>
    <row r="120" spans="1:16" ht="100.8" x14ac:dyDescent="0.3">
      <c r="A120" t="s">
        <v>39</v>
      </c>
      <c r="B120" t="s">
        <v>709</v>
      </c>
      <c r="C120" t="s">
        <v>890</v>
      </c>
      <c r="D120" s="9" t="s">
        <v>891</v>
      </c>
      <c r="E120" t="s">
        <v>702</v>
      </c>
      <c r="F120" t="s">
        <v>143</v>
      </c>
      <c r="G120" t="s">
        <v>47</v>
      </c>
      <c r="H120" s="9" t="s">
        <v>892</v>
      </c>
      <c r="I120" s="9"/>
      <c r="J120" t="s">
        <v>748</v>
      </c>
      <c r="K120" s="9" t="s">
        <v>893</v>
      </c>
      <c r="L120" s="9" t="s">
        <v>894</v>
      </c>
      <c r="M120" s="9" t="s">
        <v>895</v>
      </c>
      <c r="N120" s="9" t="s">
        <v>896</v>
      </c>
      <c r="O120" s="9" t="s">
        <v>897</v>
      </c>
      <c r="P120" s="10">
        <v>11</v>
      </c>
    </row>
    <row r="121" spans="1:16" ht="172.8" x14ac:dyDescent="0.3">
      <c r="A121" t="s">
        <v>39</v>
      </c>
      <c r="B121" t="s">
        <v>709</v>
      </c>
      <c r="C121" t="s">
        <v>677</v>
      </c>
      <c r="D121" s="9" t="s">
        <v>898</v>
      </c>
      <c r="E121" t="s">
        <v>312</v>
      </c>
      <c r="F121" t="s">
        <v>143</v>
      </c>
      <c r="G121" t="s">
        <v>47</v>
      </c>
      <c r="H121" s="9" t="s">
        <v>899</v>
      </c>
      <c r="I121" s="9"/>
      <c r="J121" t="s">
        <v>748</v>
      </c>
      <c r="K121" s="9" t="s">
        <v>900</v>
      </c>
      <c r="L121" s="9" t="s">
        <v>901</v>
      </c>
      <c r="M121" s="9" t="s">
        <v>902</v>
      </c>
      <c r="N121" s="9" t="s">
        <v>903</v>
      </c>
      <c r="O121" s="9" t="s">
        <v>904</v>
      </c>
      <c r="P121" s="10">
        <v>11</v>
      </c>
    </row>
    <row r="122" spans="1:16" ht="144" x14ac:dyDescent="0.3">
      <c r="A122" t="s">
        <v>39</v>
      </c>
      <c r="B122" t="s">
        <v>709</v>
      </c>
      <c r="C122" t="s">
        <v>905</v>
      </c>
      <c r="D122" s="9" t="s">
        <v>906</v>
      </c>
      <c r="E122" t="s">
        <v>312</v>
      </c>
      <c r="F122" t="s">
        <v>143</v>
      </c>
      <c r="G122" t="s">
        <v>47</v>
      </c>
      <c r="H122" s="9" t="s">
        <v>899</v>
      </c>
      <c r="I122" s="9"/>
      <c r="J122" t="s">
        <v>748</v>
      </c>
      <c r="K122" s="9" t="s">
        <v>907</v>
      </c>
      <c r="L122" s="9" t="s">
        <v>908</v>
      </c>
      <c r="M122" s="9" t="s">
        <v>909</v>
      </c>
      <c r="N122" s="9" t="s">
        <v>910</v>
      </c>
      <c r="O122" s="9" t="s">
        <v>911</v>
      </c>
      <c r="P122" s="10">
        <v>11</v>
      </c>
    </row>
    <row r="123" spans="1:16" ht="100.8" x14ac:dyDescent="0.3">
      <c r="A123" t="s">
        <v>39</v>
      </c>
      <c r="B123" t="s">
        <v>709</v>
      </c>
      <c r="C123" t="s">
        <v>912</v>
      </c>
      <c r="D123" s="9" t="s">
        <v>913</v>
      </c>
      <c r="E123" t="s">
        <v>312</v>
      </c>
      <c r="F123" t="s">
        <v>46</v>
      </c>
      <c r="G123" t="s">
        <v>47</v>
      </c>
      <c r="H123" s="9"/>
      <c r="I123" s="9" t="s">
        <v>106</v>
      </c>
      <c r="J123" t="s">
        <v>584</v>
      </c>
      <c r="K123" s="9" t="s">
        <v>914</v>
      </c>
      <c r="L123" s="9" t="s">
        <v>915</v>
      </c>
      <c r="M123" s="9" t="s">
        <v>916</v>
      </c>
      <c r="N123" s="9" t="s">
        <v>917</v>
      </c>
      <c r="O123" s="9" t="s">
        <v>918</v>
      </c>
      <c r="P123" s="10">
        <v>11</v>
      </c>
    </row>
    <row r="124" spans="1:16" ht="100.8" x14ac:dyDescent="0.3">
      <c r="A124" t="s">
        <v>39</v>
      </c>
      <c r="B124" t="s">
        <v>709</v>
      </c>
      <c r="C124" t="s">
        <v>692</v>
      </c>
      <c r="D124" s="9" t="s">
        <v>919</v>
      </c>
      <c r="E124" t="s">
        <v>312</v>
      </c>
      <c r="F124" t="s">
        <v>143</v>
      </c>
      <c r="G124" t="s">
        <v>47</v>
      </c>
      <c r="H124" s="9"/>
      <c r="I124" s="9" t="s">
        <v>59</v>
      </c>
      <c r="J124" t="s">
        <v>584</v>
      </c>
      <c r="K124" s="9" t="s">
        <v>920</v>
      </c>
      <c r="L124" s="9" t="s">
        <v>921</v>
      </c>
      <c r="M124" s="9" t="s">
        <v>922</v>
      </c>
      <c r="N124" s="9" t="s">
        <v>923</v>
      </c>
      <c r="O124" s="9" t="s">
        <v>924</v>
      </c>
      <c r="P124" s="10">
        <v>11</v>
      </c>
    </row>
    <row r="125" spans="1:16" ht="115.2" x14ac:dyDescent="0.3">
      <c r="A125" t="s">
        <v>39</v>
      </c>
      <c r="B125" t="s">
        <v>709</v>
      </c>
      <c r="C125" t="s">
        <v>925</v>
      </c>
      <c r="D125" s="9" t="s">
        <v>926</v>
      </c>
      <c r="E125" t="s">
        <v>927</v>
      </c>
      <c r="F125" t="s">
        <v>143</v>
      </c>
      <c r="G125" t="s">
        <v>47</v>
      </c>
      <c r="H125" s="9"/>
      <c r="I125" s="9" t="s">
        <v>59</v>
      </c>
      <c r="J125" t="s">
        <v>584</v>
      </c>
      <c r="K125" s="9" t="s">
        <v>928</v>
      </c>
      <c r="L125" s="9" t="s">
        <v>929</v>
      </c>
      <c r="M125" s="9" t="s">
        <v>930</v>
      </c>
      <c r="N125" s="9" t="s">
        <v>931</v>
      </c>
      <c r="O125" s="9" t="s">
        <v>932</v>
      </c>
      <c r="P125" s="10">
        <v>11</v>
      </c>
    </row>
    <row r="126" spans="1:16" ht="100.8" x14ac:dyDescent="0.3">
      <c r="A126" t="s">
        <v>39</v>
      </c>
      <c r="B126" t="s">
        <v>709</v>
      </c>
      <c r="C126" t="s">
        <v>933</v>
      </c>
      <c r="D126" s="9" t="s">
        <v>934</v>
      </c>
      <c r="E126" t="s">
        <v>590</v>
      </c>
      <c r="F126" t="s">
        <v>143</v>
      </c>
      <c r="G126" t="s">
        <v>47</v>
      </c>
      <c r="H126" s="9"/>
      <c r="I126" s="9" t="s">
        <v>59</v>
      </c>
      <c r="J126" t="s">
        <v>584</v>
      </c>
      <c r="K126" s="9" t="s">
        <v>935</v>
      </c>
      <c r="L126" s="9" t="s">
        <v>936</v>
      </c>
      <c r="M126" s="9" t="s">
        <v>937</v>
      </c>
      <c r="N126" s="9" t="s">
        <v>938</v>
      </c>
      <c r="O126" s="9" t="s">
        <v>939</v>
      </c>
      <c r="P126" s="10">
        <v>11</v>
      </c>
    </row>
    <row r="127" spans="1:16" ht="129.6" x14ac:dyDescent="0.3">
      <c r="A127" t="s">
        <v>39</v>
      </c>
      <c r="B127" t="s">
        <v>709</v>
      </c>
      <c r="C127" t="s">
        <v>940</v>
      </c>
      <c r="D127" s="9" t="s">
        <v>941</v>
      </c>
      <c r="E127" t="s">
        <v>942</v>
      </c>
      <c r="F127" t="s">
        <v>143</v>
      </c>
      <c r="G127" t="s">
        <v>47</v>
      </c>
      <c r="H127" s="9"/>
      <c r="I127" s="9" t="s">
        <v>59</v>
      </c>
      <c r="J127" t="s">
        <v>584</v>
      </c>
      <c r="K127" s="9" t="s">
        <v>943</v>
      </c>
      <c r="L127" s="9" t="s">
        <v>944</v>
      </c>
      <c r="M127" s="9" t="s">
        <v>945</v>
      </c>
      <c r="N127" s="9" t="s">
        <v>946</v>
      </c>
      <c r="O127" s="9" t="s">
        <v>947</v>
      </c>
      <c r="P127" s="10">
        <v>11</v>
      </c>
    </row>
    <row r="128" spans="1:16" ht="144" x14ac:dyDescent="0.3">
      <c r="A128" t="s">
        <v>39</v>
      </c>
      <c r="B128" t="s">
        <v>709</v>
      </c>
      <c r="C128" t="s">
        <v>700</v>
      </c>
      <c r="D128" s="9" t="s">
        <v>948</v>
      </c>
      <c r="E128" t="s">
        <v>215</v>
      </c>
      <c r="F128" t="s">
        <v>143</v>
      </c>
      <c r="G128" t="s">
        <v>47</v>
      </c>
      <c r="H128" s="9"/>
      <c r="I128" s="9" t="s">
        <v>59</v>
      </c>
      <c r="J128" t="s">
        <v>584</v>
      </c>
      <c r="K128" s="9" t="s">
        <v>949</v>
      </c>
      <c r="L128" s="9" t="s">
        <v>950</v>
      </c>
      <c r="M128" s="9" t="s">
        <v>951</v>
      </c>
      <c r="N128" s="9" t="s">
        <v>952</v>
      </c>
      <c r="O128" s="9" t="s">
        <v>953</v>
      </c>
      <c r="P128" s="10">
        <v>11</v>
      </c>
    </row>
    <row r="129" spans="1:16" ht="115.2" x14ac:dyDescent="0.3">
      <c r="A129" t="s">
        <v>39</v>
      </c>
      <c r="B129" t="s">
        <v>709</v>
      </c>
      <c r="C129" t="s">
        <v>954</v>
      </c>
      <c r="D129" s="9" t="s">
        <v>955</v>
      </c>
      <c r="E129" t="s">
        <v>215</v>
      </c>
      <c r="F129" t="s">
        <v>116</v>
      </c>
      <c r="G129" t="s">
        <v>47</v>
      </c>
      <c r="H129" s="9"/>
      <c r="I129" s="9" t="s">
        <v>106</v>
      </c>
      <c r="K129" s="9" t="s">
        <v>956</v>
      </c>
      <c r="L129" s="9"/>
      <c r="M129" s="9" t="s">
        <v>957</v>
      </c>
      <c r="N129" s="9" t="s">
        <v>958</v>
      </c>
      <c r="O129" s="9" t="s">
        <v>959</v>
      </c>
      <c r="P129" s="10">
        <v>11</v>
      </c>
    </row>
    <row r="130" spans="1:16" ht="86.4" x14ac:dyDescent="0.3">
      <c r="A130" t="s">
        <v>39</v>
      </c>
      <c r="B130" t="s">
        <v>960</v>
      </c>
      <c r="C130" t="s">
        <v>369</v>
      </c>
      <c r="D130" s="9" t="s">
        <v>572</v>
      </c>
      <c r="E130" t="s">
        <v>74</v>
      </c>
      <c r="F130" t="s">
        <v>116</v>
      </c>
      <c r="G130" t="s">
        <v>47</v>
      </c>
      <c r="H130" s="9" t="s">
        <v>711</v>
      </c>
      <c r="I130" s="9"/>
      <c r="J130" t="s">
        <v>584</v>
      </c>
      <c r="K130" s="9" t="s">
        <v>961</v>
      </c>
      <c r="L130" s="9"/>
      <c r="M130" s="9" t="s">
        <v>962</v>
      </c>
      <c r="N130" s="9" t="s">
        <v>963</v>
      </c>
      <c r="O130" s="9" t="s">
        <v>964</v>
      </c>
      <c r="P130" s="10">
        <v>12</v>
      </c>
    </row>
    <row r="131" spans="1:16" ht="201.6" x14ac:dyDescent="0.3">
      <c r="A131" t="s">
        <v>39</v>
      </c>
      <c r="B131" t="s">
        <v>960</v>
      </c>
      <c r="C131" t="s">
        <v>66</v>
      </c>
      <c r="D131" s="9" t="s">
        <v>965</v>
      </c>
      <c r="E131" t="s">
        <v>74</v>
      </c>
      <c r="F131" t="s">
        <v>116</v>
      </c>
      <c r="G131" t="s">
        <v>47</v>
      </c>
      <c r="H131" s="9" t="s">
        <v>711</v>
      </c>
      <c r="I131" s="9"/>
      <c r="J131" t="s">
        <v>584</v>
      </c>
      <c r="K131" s="9" t="s">
        <v>966</v>
      </c>
      <c r="L131" s="9"/>
      <c r="M131" s="9" t="s">
        <v>967</v>
      </c>
      <c r="N131" s="9" t="s">
        <v>968</v>
      </c>
      <c r="O131" s="9" t="s">
        <v>969</v>
      </c>
      <c r="P131" s="10">
        <v>12</v>
      </c>
    </row>
    <row r="132" spans="1:16" ht="86.4" x14ac:dyDescent="0.3">
      <c r="A132" t="s">
        <v>39</v>
      </c>
      <c r="B132" t="s">
        <v>960</v>
      </c>
      <c r="C132" t="s">
        <v>424</v>
      </c>
      <c r="D132" s="9" t="s">
        <v>970</v>
      </c>
      <c r="E132" t="s">
        <v>43</v>
      </c>
      <c r="F132" t="s">
        <v>69</v>
      </c>
      <c r="G132" t="s">
        <v>47</v>
      </c>
      <c r="H132" s="9" t="s">
        <v>711</v>
      </c>
      <c r="I132" s="9"/>
      <c r="K132" s="9" t="s">
        <v>971</v>
      </c>
      <c r="L132" s="9"/>
      <c r="M132" s="9" t="s">
        <v>972</v>
      </c>
      <c r="N132" s="9"/>
      <c r="O132" s="9" t="s">
        <v>973</v>
      </c>
      <c r="P132" s="10">
        <v>12</v>
      </c>
    </row>
    <row r="133" spans="1:16" ht="201.6" x14ac:dyDescent="0.3">
      <c r="A133" t="s">
        <v>39</v>
      </c>
      <c r="B133" t="s">
        <v>960</v>
      </c>
      <c r="C133" t="s">
        <v>441</v>
      </c>
      <c r="D133" s="9" t="s">
        <v>974</v>
      </c>
      <c r="E133" t="s">
        <v>43</v>
      </c>
      <c r="F133" t="s">
        <v>116</v>
      </c>
      <c r="G133" t="s">
        <v>47</v>
      </c>
      <c r="H133" s="9" t="s">
        <v>711</v>
      </c>
      <c r="I133" s="9"/>
      <c r="K133" s="9" t="s">
        <v>975</v>
      </c>
      <c r="L133" s="9"/>
      <c r="M133" s="9" t="s">
        <v>976</v>
      </c>
      <c r="N133" s="9" t="s">
        <v>977</v>
      </c>
      <c r="O133" s="9" t="s">
        <v>978</v>
      </c>
      <c r="P133" s="10">
        <v>12</v>
      </c>
    </row>
    <row r="134" spans="1:16" ht="100.8" x14ac:dyDescent="0.3">
      <c r="A134" t="s">
        <v>39</v>
      </c>
      <c r="B134" t="s">
        <v>960</v>
      </c>
      <c r="C134" t="s">
        <v>312</v>
      </c>
      <c r="D134" s="9" t="s">
        <v>979</v>
      </c>
      <c r="E134" t="s">
        <v>68</v>
      </c>
      <c r="F134" t="s">
        <v>116</v>
      </c>
      <c r="G134" t="s">
        <v>47</v>
      </c>
      <c r="H134" s="9" t="s">
        <v>636</v>
      </c>
      <c r="I134" s="9"/>
      <c r="J134" t="s">
        <v>584</v>
      </c>
      <c r="K134" s="9" t="s">
        <v>980</v>
      </c>
      <c r="L134" s="9"/>
      <c r="M134" s="9" t="s">
        <v>981</v>
      </c>
      <c r="N134" s="9" t="s">
        <v>982</v>
      </c>
      <c r="O134" s="9" t="s">
        <v>983</v>
      </c>
      <c r="P134" s="10">
        <v>12</v>
      </c>
    </row>
    <row r="135" spans="1:16" ht="86.4" x14ac:dyDescent="0.3">
      <c r="A135" t="s">
        <v>39</v>
      </c>
      <c r="B135" t="s">
        <v>960</v>
      </c>
      <c r="C135" t="s">
        <v>221</v>
      </c>
      <c r="D135" s="9" t="s">
        <v>984</v>
      </c>
      <c r="E135" t="s">
        <v>68</v>
      </c>
      <c r="F135" t="s">
        <v>143</v>
      </c>
      <c r="G135" t="s">
        <v>47</v>
      </c>
      <c r="H135" s="9"/>
      <c r="I135" s="9"/>
      <c r="J135" t="s">
        <v>584</v>
      </c>
      <c r="K135" s="9" t="s">
        <v>985</v>
      </c>
      <c r="L135" s="9"/>
      <c r="M135" s="9" t="s">
        <v>986</v>
      </c>
      <c r="N135" s="9" t="s">
        <v>987</v>
      </c>
      <c r="O135" s="9" t="s">
        <v>988</v>
      </c>
      <c r="P135" s="10">
        <v>12</v>
      </c>
    </row>
    <row r="136" spans="1:16" ht="100.8" x14ac:dyDescent="0.3">
      <c r="A136" t="s">
        <v>39</v>
      </c>
      <c r="B136" t="s">
        <v>960</v>
      </c>
      <c r="C136" t="s">
        <v>989</v>
      </c>
      <c r="D136" s="9" t="s">
        <v>990</v>
      </c>
      <c r="E136" t="s">
        <v>76</v>
      </c>
      <c r="F136" t="s">
        <v>143</v>
      </c>
      <c r="G136" t="s">
        <v>47</v>
      </c>
      <c r="H136" s="9"/>
      <c r="I136" s="9" t="s">
        <v>59</v>
      </c>
      <c r="J136" t="s">
        <v>584</v>
      </c>
      <c r="K136" s="9" t="s">
        <v>991</v>
      </c>
      <c r="L136" s="9" t="s">
        <v>992</v>
      </c>
      <c r="M136" s="9" t="s">
        <v>993</v>
      </c>
      <c r="N136" s="9" t="s">
        <v>994</v>
      </c>
      <c r="O136" s="9" t="s">
        <v>995</v>
      </c>
      <c r="P136" s="10">
        <v>12</v>
      </c>
    </row>
    <row r="137" spans="1:16" ht="100.8" x14ac:dyDescent="0.3">
      <c r="A137" t="s">
        <v>39</v>
      </c>
      <c r="B137" t="s">
        <v>960</v>
      </c>
      <c r="C137" t="s">
        <v>773</v>
      </c>
      <c r="D137" s="9" t="s">
        <v>996</v>
      </c>
      <c r="E137" t="s">
        <v>82</v>
      </c>
      <c r="F137" t="s">
        <v>143</v>
      </c>
      <c r="G137" t="s">
        <v>47</v>
      </c>
      <c r="H137" s="9"/>
      <c r="I137" s="9" t="s">
        <v>59</v>
      </c>
      <c r="J137" t="s">
        <v>584</v>
      </c>
      <c r="K137" s="9" t="s">
        <v>997</v>
      </c>
      <c r="L137" s="9" t="s">
        <v>998</v>
      </c>
      <c r="M137" s="9" t="s">
        <v>999</v>
      </c>
      <c r="N137" s="9" t="s">
        <v>1000</v>
      </c>
      <c r="O137" s="9" t="s">
        <v>1001</v>
      </c>
      <c r="P137" s="10">
        <v>12</v>
      </c>
    </row>
    <row r="138" spans="1:16" ht="172.8" x14ac:dyDescent="0.3">
      <c r="A138" t="s">
        <v>39</v>
      </c>
      <c r="B138" t="s">
        <v>960</v>
      </c>
      <c r="C138" t="s">
        <v>809</v>
      </c>
      <c r="D138" s="9" t="s">
        <v>1002</v>
      </c>
      <c r="E138" t="s">
        <v>1003</v>
      </c>
      <c r="F138" t="s">
        <v>143</v>
      </c>
      <c r="G138" t="s">
        <v>47</v>
      </c>
      <c r="H138" s="9"/>
      <c r="I138" s="9" t="s">
        <v>59</v>
      </c>
      <c r="J138" t="s">
        <v>584</v>
      </c>
      <c r="K138" s="9" t="s">
        <v>1004</v>
      </c>
      <c r="L138" s="9" t="s">
        <v>1005</v>
      </c>
      <c r="M138" s="9" t="s">
        <v>1006</v>
      </c>
      <c r="N138" s="9" t="s">
        <v>1007</v>
      </c>
      <c r="O138" s="9" t="s">
        <v>1008</v>
      </c>
      <c r="P138" s="10">
        <v>12</v>
      </c>
    </row>
    <row r="139" spans="1:16" ht="100.8" x14ac:dyDescent="0.3">
      <c r="A139" t="s">
        <v>39</v>
      </c>
      <c r="B139" t="s">
        <v>960</v>
      </c>
      <c r="C139" t="s">
        <v>841</v>
      </c>
      <c r="D139" s="9" t="s">
        <v>1009</v>
      </c>
      <c r="E139" t="s">
        <v>424</v>
      </c>
      <c r="F139" t="s">
        <v>143</v>
      </c>
      <c r="G139" t="s">
        <v>47</v>
      </c>
      <c r="H139" s="9"/>
      <c r="I139" s="9" t="s">
        <v>59</v>
      </c>
      <c r="J139" t="s">
        <v>584</v>
      </c>
      <c r="K139" s="9" t="s">
        <v>1010</v>
      </c>
      <c r="L139" s="9" t="s">
        <v>1011</v>
      </c>
      <c r="M139" s="9" t="s">
        <v>1012</v>
      </c>
      <c r="N139" s="9" t="s">
        <v>1013</v>
      </c>
      <c r="O139" s="9" t="s">
        <v>1014</v>
      </c>
      <c r="P139" s="10">
        <v>12</v>
      </c>
    </row>
    <row r="140" spans="1:16" ht="72" x14ac:dyDescent="0.3">
      <c r="A140" t="s">
        <v>39</v>
      </c>
      <c r="B140" t="s">
        <v>960</v>
      </c>
      <c r="C140" t="s">
        <v>860</v>
      </c>
      <c r="D140" s="9" t="s">
        <v>1015</v>
      </c>
      <c r="E140" t="s">
        <v>775</v>
      </c>
      <c r="F140" t="s">
        <v>143</v>
      </c>
      <c r="G140" t="s">
        <v>47</v>
      </c>
      <c r="H140" s="9"/>
      <c r="I140" s="9" t="s">
        <v>59</v>
      </c>
      <c r="J140" t="s">
        <v>584</v>
      </c>
      <c r="K140" s="9" t="s">
        <v>1016</v>
      </c>
      <c r="L140" s="9" t="s">
        <v>1017</v>
      </c>
      <c r="M140" s="9" t="s">
        <v>1018</v>
      </c>
      <c r="N140" s="9"/>
      <c r="O140" s="9" t="s">
        <v>1019</v>
      </c>
      <c r="P140" s="10">
        <v>12</v>
      </c>
    </row>
    <row r="141" spans="1:16" ht="129.6" x14ac:dyDescent="0.3">
      <c r="A141" t="s">
        <v>39</v>
      </c>
      <c r="B141" t="s">
        <v>1020</v>
      </c>
      <c r="C141" t="s">
        <v>555</v>
      </c>
      <c r="D141" s="9" t="s">
        <v>1021</v>
      </c>
      <c r="E141" t="s">
        <v>557</v>
      </c>
      <c r="F141" t="s">
        <v>46</v>
      </c>
      <c r="G141" t="s">
        <v>47</v>
      </c>
      <c r="H141" s="9" t="s">
        <v>1022</v>
      </c>
      <c r="I141" s="9" t="s">
        <v>106</v>
      </c>
      <c r="K141" s="9" t="s">
        <v>1023</v>
      </c>
      <c r="L141" s="9"/>
      <c r="M141" s="9" t="s">
        <v>1024</v>
      </c>
      <c r="N141" s="9"/>
      <c r="O141" s="9" t="s">
        <v>1025</v>
      </c>
      <c r="P141" s="10">
        <v>14</v>
      </c>
    </row>
    <row r="142" spans="1:16" ht="144" x14ac:dyDescent="0.3">
      <c r="A142" t="s">
        <v>39</v>
      </c>
      <c r="B142" t="s">
        <v>1020</v>
      </c>
      <c r="C142" t="s">
        <v>564</v>
      </c>
      <c r="D142" s="9" t="s">
        <v>1026</v>
      </c>
      <c r="E142" t="s">
        <v>566</v>
      </c>
      <c r="F142" t="s">
        <v>46</v>
      </c>
      <c r="G142" t="s">
        <v>47</v>
      </c>
      <c r="H142" s="9" t="s">
        <v>1022</v>
      </c>
      <c r="I142" s="9" t="s">
        <v>106</v>
      </c>
      <c r="K142" s="9" t="s">
        <v>1027</v>
      </c>
      <c r="L142" s="9"/>
      <c r="M142" s="9" t="s">
        <v>1028</v>
      </c>
      <c r="N142" s="9" t="s">
        <v>1029</v>
      </c>
      <c r="O142" s="9" t="s">
        <v>1030</v>
      </c>
      <c r="P142" s="10">
        <v>14</v>
      </c>
    </row>
    <row r="143" spans="1:16" ht="144" x14ac:dyDescent="0.3">
      <c r="A143" t="s">
        <v>39</v>
      </c>
      <c r="B143" t="s">
        <v>1020</v>
      </c>
      <c r="C143" t="s">
        <v>1031</v>
      </c>
      <c r="D143" s="9" t="s">
        <v>1032</v>
      </c>
      <c r="E143" t="s">
        <v>583</v>
      </c>
      <c r="F143" t="s">
        <v>46</v>
      </c>
      <c r="G143" t="s">
        <v>47</v>
      </c>
      <c r="H143" s="9" t="s">
        <v>1022</v>
      </c>
      <c r="I143" s="9" t="s">
        <v>106</v>
      </c>
      <c r="K143" s="9" t="s">
        <v>1033</v>
      </c>
      <c r="L143" s="9"/>
      <c r="M143" s="9" t="s">
        <v>1034</v>
      </c>
      <c r="N143" s="9" t="s">
        <v>1035</v>
      </c>
      <c r="O143" s="9" t="s">
        <v>1036</v>
      </c>
      <c r="P143" s="10">
        <v>14</v>
      </c>
    </row>
    <row r="144" spans="1:16" ht="129.6" x14ac:dyDescent="0.3">
      <c r="A144" t="s">
        <v>39</v>
      </c>
      <c r="B144" t="s">
        <v>1020</v>
      </c>
      <c r="C144" t="s">
        <v>1037</v>
      </c>
      <c r="D144" s="9" t="s">
        <v>1038</v>
      </c>
      <c r="E144" t="s">
        <v>1039</v>
      </c>
      <c r="F144" t="s">
        <v>46</v>
      </c>
      <c r="G144" t="s">
        <v>47</v>
      </c>
      <c r="H144" s="9" t="s">
        <v>1022</v>
      </c>
      <c r="I144" s="9" t="s">
        <v>106</v>
      </c>
      <c r="K144" s="9" t="s">
        <v>1040</v>
      </c>
      <c r="L144" s="9"/>
      <c r="M144" s="9" t="s">
        <v>1041</v>
      </c>
      <c r="N144" s="9"/>
      <c r="O144" s="9" t="s">
        <v>1042</v>
      </c>
      <c r="P144" s="10">
        <v>14</v>
      </c>
    </row>
    <row r="145" spans="1:16" ht="129.6" x14ac:dyDescent="0.3">
      <c r="A145" t="s">
        <v>39</v>
      </c>
      <c r="B145" t="s">
        <v>1020</v>
      </c>
      <c r="C145" t="s">
        <v>1043</v>
      </c>
      <c r="D145" s="9" t="s">
        <v>1044</v>
      </c>
      <c r="E145" t="s">
        <v>68</v>
      </c>
      <c r="F145" t="s">
        <v>46</v>
      </c>
      <c r="G145" t="s">
        <v>47</v>
      </c>
      <c r="H145" s="9" t="s">
        <v>1022</v>
      </c>
      <c r="I145" s="9" t="s">
        <v>106</v>
      </c>
      <c r="K145" s="9" t="s">
        <v>1045</v>
      </c>
      <c r="L145" s="9"/>
      <c r="M145" s="9" t="s">
        <v>1046</v>
      </c>
      <c r="N145" s="9" t="s">
        <v>1047</v>
      </c>
      <c r="O145" s="9" t="s">
        <v>1048</v>
      </c>
      <c r="P145" s="10">
        <v>14</v>
      </c>
    </row>
    <row r="146" spans="1:16" ht="129.6" x14ac:dyDescent="0.3">
      <c r="A146" t="s">
        <v>39</v>
      </c>
      <c r="B146" t="s">
        <v>1049</v>
      </c>
      <c r="C146" t="s">
        <v>369</v>
      </c>
      <c r="D146" s="9" t="s">
        <v>572</v>
      </c>
      <c r="E146" t="s">
        <v>66</v>
      </c>
      <c r="F146" t="s">
        <v>143</v>
      </c>
      <c r="G146" t="s">
        <v>47</v>
      </c>
      <c r="H146" s="9" t="s">
        <v>711</v>
      </c>
      <c r="I146" s="9"/>
      <c r="J146" t="s">
        <v>584</v>
      </c>
      <c r="K146" s="9" t="s">
        <v>1050</v>
      </c>
      <c r="L146" s="9"/>
      <c r="M146" s="9" t="s">
        <v>574</v>
      </c>
      <c r="N146" s="9" t="s">
        <v>575</v>
      </c>
      <c r="O146" s="9" t="s">
        <v>576</v>
      </c>
      <c r="P146" s="10">
        <v>8</v>
      </c>
    </row>
    <row r="147" spans="1:16" ht="230.4" x14ac:dyDescent="0.3">
      <c r="A147" t="s">
        <v>39</v>
      </c>
      <c r="B147" t="s">
        <v>1049</v>
      </c>
      <c r="C147" t="s">
        <v>66</v>
      </c>
      <c r="D147" s="9" t="s">
        <v>577</v>
      </c>
      <c r="E147" t="s">
        <v>66</v>
      </c>
      <c r="F147" t="s">
        <v>143</v>
      </c>
      <c r="G147" t="s">
        <v>47</v>
      </c>
      <c r="H147" s="9" t="s">
        <v>711</v>
      </c>
      <c r="I147" s="9"/>
      <c r="J147" t="s">
        <v>584</v>
      </c>
      <c r="K147" s="9" t="s">
        <v>1051</v>
      </c>
      <c r="L147" s="9"/>
      <c r="M147" s="9" t="s">
        <v>1052</v>
      </c>
      <c r="N147" s="9" t="s">
        <v>1053</v>
      </c>
      <c r="O147" s="9" t="s">
        <v>1054</v>
      </c>
      <c r="P147" s="10">
        <v>8</v>
      </c>
    </row>
    <row r="148" spans="1:16" ht="86.4" x14ac:dyDescent="0.3">
      <c r="A148" t="s">
        <v>39</v>
      </c>
      <c r="B148" t="s">
        <v>1049</v>
      </c>
      <c r="C148" t="s">
        <v>74</v>
      </c>
      <c r="D148" s="9" t="s">
        <v>1055</v>
      </c>
      <c r="E148" t="s">
        <v>66</v>
      </c>
      <c r="F148" t="s">
        <v>143</v>
      </c>
      <c r="G148" t="s">
        <v>47</v>
      </c>
      <c r="H148" s="9" t="s">
        <v>711</v>
      </c>
      <c r="I148" s="9"/>
      <c r="J148" t="s">
        <v>584</v>
      </c>
      <c r="K148" s="9" t="s">
        <v>1056</v>
      </c>
      <c r="L148" s="9"/>
      <c r="M148" s="9" t="s">
        <v>1057</v>
      </c>
      <c r="N148" s="9"/>
      <c r="O148" s="9" t="s">
        <v>1058</v>
      </c>
      <c r="P148" s="10">
        <v>8</v>
      </c>
    </row>
    <row r="149" spans="1:16" ht="129.6" x14ac:dyDescent="0.3">
      <c r="A149" t="s">
        <v>39</v>
      </c>
      <c r="B149" t="s">
        <v>1049</v>
      </c>
      <c r="C149" t="s">
        <v>43</v>
      </c>
      <c r="D149" s="9" t="s">
        <v>1059</v>
      </c>
      <c r="E149" t="s">
        <v>566</v>
      </c>
      <c r="F149" t="s">
        <v>143</v>
      </c>
      <c r="G149" t="s">
        <v>47</v>
      </c>
      <c r="H149" s="9" t="s">
        <v>711</v>
      </c>
      <c r="I149" s="9"/>
      <c r="J149" t="s">
        <v>584</v>
      </c>
      <c r="K149" s="9" t="s">
        <v>1060</v>
      </c>
      <c r="L149" s="9"/>
      <c r="M149" s="9" t="s">
        <v>1061</v>
      </c>
      <c r="N149" s="9" t="s">
        <v>1062</v>
      </c>
      <c r="O149" s="9" t="s">
        <v>1063</v>
      </c>
      <c r="P149" s="10">
        <v>8</v>
      </c>
    </row>
    <row r="150" spans="1:16" ht="86.4" x14ac:dyDescent="0.3">
      <c r="A150" t="s">
        <v>39</v>
      </c>
      <c r="B150" t="s">
        <v>1049</v>
      </c>
      <c r="C150" t="s">
        <v>82</v>
      </c>
      <c r="D150" s="9" t="s">
        <v>1064</v>
      </c>
      <c r="E150" t="s">
        <v>74</v>
      </c>
      <c r="F150" t="s">
        <v>143</v>
      </c>
      <c r="G150" t="s">
        <v>47</v>
      </c>
      <c r="H150" s="9" t="s">
        <v>711</v>
      </c>
      <c r="I150" s="9"/>
      <c r="J150" t="s">
        <v>584</v>
      </c>
      <c r="K150" s="9" t="s">
        <v>1065</v>
      </c>
      <c r="L150" s="9"/>
      <c r="M150" s="9" t="s">
        <v>1066</v>
      </c>
      <c r="N150" s="9"/>
      <c r="O150" s="9" t="s">
        <v>1067</v>
      </c>
      <c r="P150" s="10">
        <v>8</v>
      </c>
    </row>
    <row r="151" spans="1:16" ht="100.8" x14ac:dyDescent="0.3">
      <c r="A151" t="s">
        <v>39</v>
      </c>
      <c r="B151" t="s">
        <v>1049</v>
      </c>
      <c r="C151" t="s">
        <v>55</v>
      </c>
      <c r="D151" s="9" t="s">
        <v>1068</v>
      </c>
      <c r="E151" t="s">
        <v>74</v>
      </c>
      <c r="F151" t="s">
        <v>143</v>
      </c>
      <c r="G151" t="s">
        <v>47</v>
      </c>
      <c r="H151" s="9" t="s">
        <v>711</v>
      </c>
      <c r="I151" s="9"/>
      <c r="J151" t="s">
        <v>584</v>
      </c>
      <c r="K151" s="9" t="s">
        <v>1069</v>
      </c>
      <c r="L151" s="9"/>
      <c r="M151" s="9" t="s">
        <v>1070</v>
      </c>
      <c r="N151" s="9"/>
      <c r="O151" s="9" t="s">
        <v>1071</v>
      </c>
      <c r="P151" s="10">
        <v>8</v>
      </c>
    </row>
    <row r="152" spans="1:16" ht="86.4" x14ac:dyDescent="0.3">
      <c r="A152" t="s">
        <v>39</v>
      </c>
      <c r="B152" t="s">
        <v>1049</v>
      </c>
      <c r="C152" t="s">
        <v>424</v>
      </c>
      <c r="D152" s="9" t="s">
        <v>1072</v>
      </c>
      <c r="E152" t="s">
        <v>74</v>
      </c>
      <c r="F152" t="s">
        <v>69</v>
      </c>
      <c r="G152" t="s">
        <v>47</v>
      </c>
      <c r="H152" s="9"/>
      <c r="I152" s="9"/>
      <c r="K152" s="9" t="s">
        <v>1073</v>
      </c>
      <c r="L152" s="9"/>
      <c r="M152" s="9" t="s">
        <v>1074</v>
      </c>
      <c r="N152" s="9"/>
      <c r="O152" s="9" t="s">
        <v>1075</v>
      </c>
      <c r="P152" s="10">
        <v>8</v>
      </c>
    </row>
    <row r="153" spans="1:16" ht="201.6" x14ac:dyDescent="0.3">
      <c r="A153" t="s">
        <v>39</v>
      </c>
      <c r="B153" t="s">
        <v>1049</v>
      </c>
      <c r="C153" t="s">
        <v>441</v>
      </c>
      <c r="D153" s="9" t="s">
        <v>1076</v>
      </c>
      <c r="E153" t="s">
        <v>583</v>
      </c>
      <c r="F153" t="s">
        <v>116</v>
      </c>
      <c r="G153" t="s">
        <v>47</v>
      </c>
      <c r="H153" s="9"/>
      <c r="I153" s="9"/>
      <c r="K153" s="9" t="s">
        <v>1077</v>
      </c>
      <c r="L153" s="9"/>
      <c r="M153" s="9" t="s">
        <v>1078</v>
      </c>
      <c r="N153" s="9" t="s">
        <v>1079</v>
      </c>
      <c r="O153" s="9" t="s">
        <v>1080</v>
      </c>
      <c r="P153" s="10">
        <v>8</v>
      </c>
    </row>
    <row r="154" spans="1:16" ht="409.6" x14ac:dyDescent="0.3">
      <c r="A154" t="s">
        <v>39</v>
      </c>
      <c r="B154" t="s">
        <v>1049</v>
      </c>
      <c r="C154" t="s">
        <v>458</v>
      </c>
      <c r="D154" s="9" t="s">
        <v>1081</v>
      </c>
      <c r="E154" t="s">
        <v>1039</v>
      </c>
      <c r="F154" t="s">
        <v>116</v>
      </c>
      <c r="G154" t="s">
        <v>47</v>
      </c>
      <c r="H154" s="9"/>
      <c r="I154" s="9"/>
      <c r="K154" s="9" t="s">
        <v>1082</v>
      </c>
      <c r="L154" s="9"/>
      <c r="M154" s="9" t="s">
        <v>1083</v>
      </c>
      <c r="N154" s="9" t="s">
        <v>1084</v>
      </c>
      <c r="O154" s="9" t="s">
        <v>1085</v>
      </c>
      <c r="P154" s="10">
        <v>8</v>
      </c>
    </row>
    <row r="155" spans="1:16" ht="100.8" x14ac:dyDescent="0.3">
      <c r="A155" t="s">
        <v>39</v>
      </c>
      <c r="B155" t="s">
        <v>1049</v>
      </c>
      <c r="C155" t="s">
        <v>466</v>
      </c>
      <c r="D155" s="9" t="s">
        <v>1086</v>
      </c>
      <c r="E155" t="s">
        <v>68</v>
      </c>
      <c r="F155" t="s">
        <v>116</v>
      </c>
      <c r="G155" t="s">
        <v>47</v>
      </c>
      <c r="H155" s="9" t="s">
        <v>711</v>
      </c>
      <c r="I155" s="9"/>
      <c r="J155" t="s">
        <v>584</v>
      </c>
      <c r="K155" s="9" t="s">
        <v>1087</v>
      </c>
      <c r="L155" s="9"/>
      <c r="M155" s="9" t="s">
        <v>1088</v>
      </c>
      <c r="N155" s="9" t="s">
        <v>1089</v>
      </c>
      <c r="O155" s="9" t="s">
        <v>1090</v>
      </c>
      <c r="P155" s="10">
        <v>8</v>
      </c>
    </row>
    <row r="156" spans="1:16" ht="100.8" x14ac:dyDescent="0.3">
      <c r="A156" t="s">
        <v>39</v>
      </c>
      <c r="B156" t="s">
        <v>1049</v>
      </c>
      <c r="C156" t="s">
        <v>312</v>
      </c>
      <c r="D156" s="9" t="s">
        <v>1091</v>
      </c>
      <c r="E156" t="s">
        <v>68</v>
      </c>
      <c r="F156" t="s">
        <v>116</v>
      </c>
      <c r="G156" t="s">
        <v>47</v>
      </c>
      <c r="H156" s="9" t="s">
        <v>711</v>
      </c>
      <c r="I156" s="9"/>
      <c r="J156" t="s">
        <v>584</v>
      </c>
      <c r="K156" s="9" t="s">
        <v>1092</v>
      </c>
      <c r="L156" s="9"/>
      <c r="M156" s="9" t="s">
        <v>1093</v>
      </c>
      <c r="N156" s="9" t="s">
        <v>1094</v>
      </c>
      <c r="O156" s="9" t="s">
        <v>1095</v>
      </c>
      <c r="P156" s="10">
        <v>8</v>
      </c>
    </row>
    <row r="157" spans="1:16" ht="86.4" x14ac:dyDescent="0.3">
      <c r="A157" t="s">
        <v>39</v>
      </c>
      <c r="B157" t="s">
        <v>1049</v>
      </c>
      <c r="C157" t="s">
        <v>590</v>
      </c>
      <c r="D157" s="9" t="s">
        <v>1096</v>
      </c>
      <c r="E157" t="s">
        <v>68</v>
      </c>
      <c r="F157" t="s">
        <v>116</v>
      </c>
      <c r="G157" t="s">
        <v>47</v>
      </c>
      <c r="H157" s="9" t="s">
        <v>452</v>
      </c>
      <c r="I157" s="9"/>
      <c r="J157" t="s">
        <v>584</v>
      </c>
      <c r="K157" s="9" t="s">
        <v>1097</v>
      </c>
      <c r="L157" s="9"/>
      <c r="M157" s="9" t="s">
        <v>1098</v>
      </c>
      <c r="N157" s="9" t="s">
        <v>1099</v>
      </c>
      <c r="O157" s="9" t="s">
        <v>1100</v>
      </c>
      <c r="P157" s="10">
        <v>8</v>
      </c>
    </row>
    <row r="158" spans="1:16" ht="100.8" x14ac:dyDescent="0.3">
      <c r="A158" t="s">
        <v>39</v>
      </c>
      <c r="B158" t="s">
        <v>1049</v>
      </c>
      <c r="C158" t="s">
        <v>215</v>
      </c>
      <c r="D158" s="9" t="s">
        <v>1101</v>
      </c>
      <c r="E158" t="s">
        <v>68</v>
      </c>
      <c r="F158" t="s">
        <v>143</v>
      </c>
      <c r="G158" t="s">
        <v>47</v>
      </c>
      <c r="H158" s="9" t="s">
        <v>1102</v>
      </c>
      <c r="I158" s="9" t="s">
        <v>106</v>
      </c>
      <c r="J158" t="s">
        <v>584</v>
      </c>
      <c r="K158" s="9" t="s">
        <v>1103</v>
      </c>
      <c r="L158" s="9" t="s">
        <v>1104</v>
      </c>
      <c r="M158" s="9" t="s">
        <v>1105</v>
      </c>
      <c r="N158" s="9" t="s">
        <v>1106</v>
      </c>
      <c r="O158" s="9" t="s">
        <v>1107</v>
      </c>
      <c r="P158" s="10">
        <v>8</v>
      </c>
    </row>
    <row r="159" spans="1:16" ht="86.4" x14ac:dyDescent="0.3">
      <c r="A159" t="s">
        <v>39</v>
      </c>
      <c r="B159" t="s">
        <v>1049</v>
      </c>
      <c r="C159" t="s">
        <v>221</v>
      </c>
      <c r="D159" s="9" t="s">
        <v>1108</v>
      </c>
      <c r="E159" t="s">
        <v>68</v>
      </c>
      <c r="F159" t="s">
        <v>143</v>
      </c>
      <c r="G159" t="s">
        <v>47</v>
      </c>
      <c r="H159" s="9" t="s">
        <v>452</v>
      </c>
      <c r="I159" s="9" t="s">
        <v>106</v>
      </c>
      <c r="J159" t="s">
        <v>584</v>
      </c>
      <c r="K159" s="9" t="s">
        <v>1109</v>
      </c>
      <c r="L159" s="9" t="s">
        <v>1110</v>
      </c>
      <c r="M159" s="9" t="s">
        <v>1111</v>
      </c>
      <c r="N159" s="9" t="s">
        <v>1112</v>
      </c>
      <c r="O159" s="9" t="s">
        <v>1113</v>
      </c>
      <c r="P159" s="10">
        <v>8</v>
      </c>
    </row>
    <row r="160" spans="1:16" ht="86.4" x14ac:dyDescent="0.3">
      <c r="A160" t="s">
        <v>39</v>
      </c>
      <c r="B160" t="s">
        <v>1049</v>
      </c>
      <c r="C160" t="s">
        <v>766</v>
      </c>
      <c r="D160" s="9" t="s">
        <v>1114</v>
      </c>
      <c r="E160" t="s">
        <v>68</v>
      </c>
      <c r="F160" t="s">
        <v>143</v>
      </c>
      <c r="G160" t="s">
        <v>47</v>
      </c>
      <c r="H160" s="9" t="s">
        <v>452</v>
      </c>
      <c r="I160" s="9" t="s">
        <v>106</v>
      </c>
      <c r="J160" t="s">
        <v>584</v>
      </c>
      <c r="K160" s="9" t="s">
        <v>1115</v>
      </c>
      <c r="L160" s="9" t="s">
        <v>1116</v>
      </c>
      <c r="M160" s="9" t="s">
        <v>1117</v>
      </c>
      <c r="N160" s="9" t="s">
        <v>1118</v>
      </c>
      <c r="O160" s="9" t="s">
        <v>1119</v>
      </c>
      <c r="P160" s="10">
        <v>8</v>
      </c>
    </row>
    <row r="161" spans="1:16" ht="86.4" x14ac:dyDescent="0.3">
      <c r="A161" t="s">
        <v>39</v>
      </c>
      <c r="B161" t="s">
        <v>1049</v>
      </c>
      <c r="C161" t="s">
        <v>989</v>
      </c>
      <c r="D161" s="9" t="s">
        <v>1120</v>
      </c>
      <c r="E161" t="s">
        <v>76</v>
      </c>
      <c r="F161" t="s">
        <v>143</v>
      </c>
      <c r="G161" t="s">
        <v>47</v>
      </c>
      <c r="H161" s="9" t="s">
        <v>1102</v>
      </c>
      <c r="I161" s="9" t="s">
        <v>106</v>
      </c>
      <c r="J161" t="s">
        <v>584</v>
      </c>
      <c r="K161" s="9" t="s">
        <v>1121</v>
      </c>
      <c r="L161" s="9" t="s">
        <v>1122</v>
      </c>
      <c r="M161" s="9" t="s">
        <v>1123</v>
      </c>
      <c r="N161" s="9"/>
      <c r="O161" s="9" t="s">
        <v>1124</v>
      </c>
      <c r="P161" s="10">
        <v>8</v>
      </c>
    </row>
    <row r="162" spans="1:16" ht="129.6" x14ac:dyDescent="0.3">
      <c r="A162" t="s">
        <v>39</v>
      </c>
      <c r="B162" t="s">
        <v>1049</v>
      </c>
      <c r="C162" t="s">
        <v>773</v>
      </c>
      <c r="D162" s="9" t="s">
        <v>1125</v>
      </c>
      <c r="E162" t="s">
        <v>82</v>
      </c>
      <c r="F162" t="s">
        <v>143</v>
      </c>
      <c r="G162" t="s">
        <v>47</v>
      </c>
      <c r="H162" s="9" t="s">
        <v>452</v>
      </c>
      <c r="I162" s="9" t="s">
        <v>106</v>
      </c>
      <c r="J162" t="s">
        <v>584</v>
      </c>
      <c r="K162" s="9" t="s">
        <v>1126</v>
      </c>
      <c r="L162" s="9" t="s">
        <v>1127</v>
      </c>
      <c r="M162" s="9" t="s">
        <v>1128</v>
      </c>
      <c r="N162" s="9" t="s">
        <v>1129</v>
      </c>
      <c r="O162" s="9" t="s">
        <v>1130</v>
      </c>
      <c r="P162" s="10">
        <v>8</v>
      </c>
    </row>
    <row r="163" spans="1:16" ht="144" x14ac:dyDescent="0.3">
      <c r="A163" t="s">
        <v>39</v>
      </c>
      <c r="B163" t="s">
        <v>1049</v>
      </c>
      <c r="C163" t="s">
        <v>597</v>
      </c>
      <c r="D163" s="9" t="s">
        <v>1131</v>
      </c>
      <c r="E163" t="s">
        <v>82</v>
      </c>
      <c r="F163" t="s">
        <v>143</v>
      </c>
      <c r="G163" t="s">
        <v>47</v>
      </c>
      <c r="H163" s="9" t="s">
        <v>452</v>
      </c>
      <c r="I163" s="9" t="s">
        <v>106</v>
      </c>
      <c r="J163" t="s">
        <v>584</v>
      </c>
      <c r="K163" s="9" t="s">
        <v>1132</v>
      </c>
      <c r="L163" s="9" t="s">
        <v>1133</v>
      </c>
      <c r="M163" s="9" t="s">
        <v>1134</v>
      </c>
      <c r="N163" s="9" t="s">
        <v>1135</v>
      </c>
      <c r="O163" s="9" t="s">
        <v>1136</v>
      </c>
      <c r="P163" s="10">
        <v>8</v>
      </c>
    </row>
    <row r="164" spans="1:16" ht="115.2" x14ac:dyDescent="0.3">
      <c r="A164" t="s">
        <v>39</v>
      </c>
      <c r="B164" t="s">
        <v>1049</v>
      </c>
      <c r="C164" t="s">
        <v>787</v>
      </c>
      <c r="D164" s="9" t="s">
        <v>1137</v>
      </c>
      <c r="E164" t="s">
        <v>82</v>
      </c>
      <c r="F164" t="s">
        <v>143</v>
      </c>
      <c r="G164" t="s">
        <v>47</v>
      </c>
      <c r="H164" s="9" t="s">
        <v>1102</v>
      </c>
      <c r="I164" s="9" t="s">
        <v>106</v>
      </c>
      <c r="J164" t="s">
        <v>584</v>
      </c>
      <c r="K164" s="9" t="s">
        <v>1138</v>
      </c>
      <c r="L164" s="9" t="s">
        <v>1139</v>
      </c>
      <c r="M164" s="9" t="s">
        <v>1140</v>
      </c>
      <c r="N164" s="9"/>
      <c r="O164" s="9" t="s">
        <v>1141</v>
      </c>
      <c r="P164" s="10">
        <v>8</v>
      </c>
    </row>
    <row r="165" spans="1:16" ht="86.4" x14ac:dyDescent="0.3">
      <c r="A165" t="s">
        <v>39</v>
      </c>
      <c r="B165" t="s">
        <v>1049</v>
      </c>
      <c r="C165" t="s">
        <v>604</v>
      </c>
      <c r="D165" s="9" t="s">
        <v>1142</v>
      </c>
      <c r="E165" t="s">
        <v>82</v>
      </c>
      <c r="F165" t="s">
        <v>143</v>
      </c>
      <c r="G165" t="s">
        <v>47</v>
      </c>
      <c r="H165" s="9" t="s">
        <v>1143</v>
      </c>
      <c r="I165" s="9" t="s">
        <v>106</v>
      </c>
      <c r="J165" t="s">
        <v>584</v>
      </c>
      <c r="K165" s="9" t="s">
        <v>1144</v>
      </c>
      <c r="L165" s="9" t="s">
        <v>1145</v>
      </c>
      <c r="M165" s="9" t="s">
        <v>1146</v>
      </c>
      <c r="N165" s="9"/>
      <c r="O165" s="9" t="s">
        <v>1147</v>
      </c>
      <c r="P165" s="10">
        <v>8</v>
      </c>
    </row>
    <row r="166" spans="1:16" ht="72" x14ac:dyDescent="0.3">
      <c r="A166" t="s">
        <v>39</v>
      </c>
      <c r="B166" t="s">
        <v>1049</v>
      </c>
      <c r="C166" t="s">
        <v>611</v>
      </c>
      <c r="D166" s="9" t="s">
        <v>1148</v>
      </c>
      <c r="E166" t="s">
        <v>82</v>
      </c>
      <c r="F166" t="s">
        <v>143</v>
      </c>
      <c r="G166" t="s">
        <v>47</v>
      </c>
      <c r="H166" s="9" t="s">
        <v>1143</v>
      </c>
      <c r="I166" s="9" t="s">
        <v>106</v>
      </c>
      <c r="J166" t="s">
        <v>584</v>
      </c>
      <c r="K166" s="9" t="s">
        <v>1149</v>
      </c>
      <c r="L166" s="9" t="s">
        <v>1150</v>
      </c>
      <c r="M166" s="9" t="s">
        <v>1151</v>
      </c>
      <c r="N166" s="9"/>
      <c r="O166" s="9" t="s">
        <v>1152</v>
      </c>
      <c r="P166" s="10">
        <v>8</v>
      </c>
    </row>
    <row r="167" spans="1:16" ht="115.2" x14ac:dyDescent="0.3">
      <c r="A167" t="s">
        <v>39</v>
      </c>
      <c r="B167" t="s">
        <v>1049</v>
      </c>
      <c r="C167" t="s">
        <v>319</v>
      </c>
      <c r="D167" s="9" t="s">
        <v>1153</v>
      </c>
      <c r="E167" t="s">
        <v>1003</v>
      </c>
      <c r="F167" t="s">
        <v>143</v>
      </c>
      <c r="G167" t="s">
        <v>47</v>
      </c>
      <c r="H167" s="9" t="s">
        <v>1143</v>
      </c>
      <c r="I167" s="9" t="s">
        <v>106</v>
      </c>
      <c r="J167" t="s">
        <v>584</v>
      </c>
      <c r="K167" s="9" t="s">
        <v>1154</v>
      </c>
      <c r="L167" s="9" t="s">
        <v>1155</v>
      </c>
      <c r="M167" s="9" t="s">
        <v>1156</v>
      </c>
      <c r="N167" s="9" t="s">
        <v>1157</v>
      </c>
      <c r="O167" s="9" t="s">
        <v>1158</v>
      </c>
      <c r="P167" s="10">
        <v>8</v>
      </c>
    </row>
    <row r="168" spans="1:16" ht="72" x14ac:dyDescent="0.3">
      <c r="A168" t="s">
        <v>39</v>
      </c>
      <c r="B168" t="s">
        <v>1049</v>
      </c>
      <c r="C168" t="s">
        <v>620</v>
      </c>
      <c r="D168" s="9" t="s">
        <v>1159</v>
      </c>
      <c r="E168" t="s">
        <v>55</v>
      </c>
      <c r="F168" t="s">
        <v>143</v>
      </c>
      <c r="G168" t="s">
        <v>47</v>
      </c>
      <c r="H168" s="9" t="s">
        <v>1143</v>
      </c>
      <c r="I168" s="9" t="s">
        <v>106</v>
      </c>
      <c r="J168" t="s">
        <v>584</v>
      </c>
      <c r="K168" s="9" t="s">
        <v>1160</v>
      </c>
      <c r="L168" s="9" t="s">
        <v>1161</v>
      </c>
      <c r="M168" s="9" t="s">
        <v>1162</v>
      </c>
      <c r="N168" s="9"/>
      <c r="O168" s="9" t="s">
        <v>1163</v>
      </c>
      <c r="P168" s="10">
        <v>8</v>
      </c>
    </row>
    <row r="169" spans="1:16" ht="187.2" x14ac:dyDescent="0.3">
      <c r="A169" t="s">
        <v>39</v>
      </c>
      <c r="B169" t="s">
        <v>1049</v>
      </c>
      <c r="C169" t="s">
        <v>809</v>
      </c>
      <c r="D169" s="9" t="s">
        <v>1164</v>
      </c>
      <c r="E169" t="s">
        <v>55</v>
      </c>
      <c r="F169" t="s">
        <v>143</v>
      </c>
      <c r="G169" t="s">
        <v>47</v>
      </c>
      <c r="H169" s="9" t="s">
        <v>452</v>
      </c>
      <c r="I169" s="9" t="s">
        <v>106</v>
      </c>
      <c r="J169" t="s">
        <v>584</v>
      </c>
      <c r="K169" s="9" t="s">
        <v>1165</v>
      </c>
      <c r="L169" s="9" t="s">
        <v>1166</v>
      </c>
      <c r="M169" s="9" t="s">
        <v>1167</v>
      </c>
      <c r="N169" s="9" t="s">
        <v>1168</v>
      </c>
      <c r="O169" s="9" t="s">
        <v>1169</v>
      </c>
      <c r="P169" s="10">
        <v>8</v>
      </c>
    </row>
    <row r="170" spans="1:16" ht="115.2" x14ac:dyDescent="0.3">
      <c r="A170" t="s">
        <v>39</v>
      </c>
      <c r="B170" t="s">
        <v>1049</v>
      </c>
      <c r="C170" t="s">
        <v>816</v>
      </c>
      <c r="D170" s="9" t="s">
        <v>1170</v>
      </c>
      <c r="E170" t="s">
        <v>55</v>
      </c>
      <c r="F170" t="s">
        <v>143</v>
      </c>
      <c r="G170" t="s">
        <v>47</v>
      </c>
      <c r="H170" s="9" t="s">
        <v>452</v>
      </c>
      <c r="I170" s="9" t="s">
        <v>106</v>
      </c>
      <c r="J170" t="s">
        <v>584</v>
      </c>
      <c r="K170" s="9" t="s">
        <v>1171</v>
      </c>
      <c r="L170" s="9" t="s">
        <v>1172</v>
      </c>
      <c r="M170" s="9" t="s">
        <v>1173</v>
      </c>
      <c r="N170" s="9"/>
      <c r="O170" s="9" t="s">
        <v>1174</v>
      </c>
      <c r="P170" s="10">
        <v>8</v>
      </c>
    </row>
    <row r="171" spans="1:16" ht="100.8" x14ac:dyDescent="0.3">
      <c r="A171" t="s">
        <v>39</v>
      </c>
      <c r="B171" t="s">
        <v>1049</v>
      </c>
      <c r="C171" t="s">
        <v>1175</v>
      </c>
      <c r="D171" s="9" t="s">
        <v>1176</v>
      </c>
      <c r="E171" t="s">
        <v>55</v>
      </c>
      <c r="F171" t="s">
        <v>143</v>
      </c>
      <c r="G171" t="s">
        <v>47</v>
      </c>
      <c r="H171" s="9" t="s">
        <v>1177</v>
      </c>
      <c r="I171" s="9" t="s">
        <v>106</v>
      </c>
      <c r="J171" t="s">
        <v>584</v>
      </c>
      <c r="K171" s="9" t="s">
        <v>1178</v>
      </c>
      <c r="L171" s="9" t="s">
        <v>1179</v>
      </c>
      <c r="M171" s="9" t="s">
        <v>1180</v>
      </c>
      <c r="N171" s="9"/>
      <c r="O171" s="9" t="s">
        <v>1181</v>
      </c>
      <c r="P171" s="10">
        <v>8</v>
      </c>
    </row>
    <row r="172" spans="1:16" ht="100.8" x14ac:dyDescent="0.3">
      <c r="A172" t="s">
        <v>39</v>
      </c>
      <c r="B172" t="s">
        <v>1049</v>
      </c>
      <c r="C172" t="s">
        <v>634</v>
      </c>
      <c r="D172" s="9" t="s">
        <v>1182</v>
      </c>
      <c r="E172" t="s">
        <v>55</v>
      </c>
      <c r="F172" t="s">
        <v>143</v>
      </c>
      <c r="G172" t="s">
        <v>47</v>
      </c>
      <c r="H172" s="9" t="s">
        <v>452</v>
      </c>
      <c r="I172" s="9" t="s">
        <v>106</v>
      </c>
      <c r="J172" t="s">
        <v>584</v>
      </c>
      <c r="K172" s="9" t="s">
        <v>1183</v>
      </c>
      <c r="L172" s="9" t="s">
        <v>1184</v>
      </c>
      <c r="M172" s="9" t="s">
        <v>1185</v>
      </c>
      <c r="N172" s="9"/>
      <c r="O172" s="9" t="s">
        <v>1186</v>
      </c>
      <c r="P172" s="10">
        <v>8</v>
      </c>
    </row>
    <row r="173" spans="1:16" ht="100.8" x14ac:dyDescent="0.3">
      <c r="A173" t="s">
        <v>39</v>
      </c>
      <c r="B173" t="s">
        <v>1049</v>
      </c>
      <c r="C173" t="s">
        <v>642</v>
      </c>
      <c r="D173" s="9" t="s">
        <v>1187</v>
      </c>
      <c r="E173" t="s">
        <v>651</v>
      </c>
      <c r="F173" t="s">
        <v>143</v>
      </c>
      <c r="G173" t="s">
        <v>47</v>
      </c>
      <c r="H173" s="9" t="s">
        <v>452</v>
      </c>
      <c r="I173" s="9" t="s">
        <v>106</v>
      </c>
      <c r="J173" t="s">
        <v>584</v>
      </c>
      <c r="K173" s="9" t="s">
        <v>1188</v>
      </c>
      <c r="L173" s="9" t="s">
        <v>1189</v>
      </c>
      <c r="M173" s="9" t="s">
        <v>1190</v>
      </c>
      <c r="N173" s="9"/>
      <c r="O173" s="9" t="s">
        <v>1191</v>
      </c>
      <c r="P173" s="10">
        <v>8</v>
      </c>
    </row>
    <row r="174" spans="1:16" ht="86.4" x14ac:dyDescent="0.3">
      <c r="A174" t="s">
        <v>39</v>
      </c>
      <c r="B174" t="s">
        <v>1049</v>
      </c>
      <c r="C174" t="s">
        <v>649</v>
      </c>
      <c r="D174" s="9" t="s">
        <v>1192</v>
      </c>
      <c r="E174" t="s">
        <v>424</v>
      </c>
      <c r="F174" t="s">
        <v>143</v>
      </c>
      <c r="G174" t="s">
        <v>47</v>
      </c>
      <c r="H174" s="9" t="s">
        <v>452</v>
      </c>
      <c r="I174" s="9" t="s">
        <v>106</v>
      </c>
      <c r="J174" t="s">
        <v>584</v>
      </c>
      <c r="K174" s="9" t="s">
        <v>1193</v>
      </c>
      <c r="L174" s="9" t="s">
        <v>1194</v>
      </c>
      <c r="M174" s="9" t="s">
        <v>1195</v>
      </c>
      <c r="N174" s="9"/>
      <c r="O174" s="9" t="s">
        <v>1196</v>
      </c>
      <c r="P174" s="10">
        <v>8</v>
      </c>
    </row>
    <row r="175" spans="1:16" ht="144" x14ac:dyDescent="0.3">
      <c r="A175" t="s">
        <v>39</v>
      </c>
      <c r="B175" t="s">
        <v>1049</v>
      </c>
      <c r="C175" t="s">
        <v>657</v>
      </c>
      <c r="D175" s="9" t="s">
        <v>1197</v>
      </c>
      <c r="E175" t="s">
        <v>424</v>
      </c>
      <c r="F175" t="s">
        <v>143</v>
      </c>
      <c r="G175" t="s">
        <v>47</v>
      </c>
      <c r="H175" s="9" t="s">
        <v>452</v>
      </c>
      <c r="I175" s="9" t="s">
        <v>106</v>
      </c>
      <c r="J175" t="s">
        <v>584</v>
      </c>
      <c r="K175" s="9" t="s">
        <v>1198</v>
      </c>
      <c r="L175" s="9" t="s">
        <v>1199</v>
      </c>
      <c r="M175" s="9" t="s">
        <v>1200</v>
      </c>
      <c r="N175" s="9"/>
      <c r="O175" s="9" t="s">
        <v>1201</v>
      </c>
      <c r="P175" s="10">
        <v>8</v>
      </c>
    </row>
    <row r="176" spans="1:16" ht="129.6" x14ac:dyDescent="0.3">
      <c r="A176" t="s">
        <v>39</v>
      </c>
      <c r="B176" t="s">
        <v>1049</v>
      </c>
      <c r="C176" t="s">
        <v>328</v>
      </c>
      <c r="D176" s="9" t="s">
        <v>1202</v>
      </c>
      <c r="E176" t="s">
        <v>424</v>
      </c>
      <c r="F176" t="s">
        <v>143</v>
      </c>
      <c r="G176" t="s">
        <v>47</v>
      </c>
      <c r="H176" s="9" t="s">
        <v>671</v>
      </c>
      <c r="I176" s="9" t="s">
        <v>106</v>
      </c>
      <c r="J176" t="s">
        <v>584</v>
      </c>
      <c r="K176" s="9" t="s">
        <v>1203</v>
      </c>
      <c r="L176" s="9" t="s">
        <v>1204</v>
      </c>
      <c r="M176" s="9" t="s">
        <v>1205</v>
      </c>
      <c r="N176" s="9" t="s">
        <v>1206</v>
      </c>
      <c r="O176" s="9" t="s">
        <v>1207</v>
      </c>
      <c r="P176" s="10">
        <v>8</v>
      </c>
    </row>
    <row r="177" spans="1:16" ht="86.4" x14ac:dyDescent="0.3">
      <c r="A177" t="s">
        <v>39</v>
      </c>
      <c r="B177" t="s">
        <v>1049</v>
      </c>
      <c r="C177" t="s">
        <v>841</v>
      </c>
      <c r="D177" s="9" t="s">
        <v>1208</v>
      </c>
      <c r="E177" t="s">
        <v>424</v>
      </c>
      <c r="F177" t="s">
        <v>143</v>
      </c>
      <c r="G177" t="s">
        <v>47</v>
      </c>
      <c r="H177" s="9" t="s">
        <v>671</v>
      </c>
      <c r="I177" s="9" t="s">
        <v>106</v>
      </c>
      <c r="J177" t="s">
        <v>584</v>
      </c>
      <c r="K177" s="9" t="s">
        <v>1209</v>
      </c>
      <c r="L177" s="9" t="s">
        <v>1210</v>
      </c>
      <c r="M177" s="9" t="s">
        <v>1211</v>
      </c>
      <c r="N177" s="9" t="s">
        <v>1212</v>
      </c>
      <c r="O177" s="9" t="s">
        <v>1213</v>
      </c>
      <c r="P177" s="10">
        <v>8</v>
      </c>
    </row>
    <row r="178" spans="1:16" ht="115.2" x14ac:dyDescent="0.3">
      <c r="A178" t="s">
        <v>39</v>
      </c>
      <c r="B178" t="s">
        <v>1214</v>
      </c>
      <c r="C178" t="s">
        <v>555</v>
      </c>
      <c r="D178" s="9" t="s">
        <v>1215</v>
      </c>
      <c r="E178" t="s">
        <v>557</v>
      </c>
      <c r="F178" t="s">
        <v>143</v>
      </c>
      <c r="G178" t="s">
        <v>47</v>
      </c>
      <c r="H178" s="9"/>
      <c r="I178" s="9" t="s">
        <v>307</v>
      </c>
      <c r="J178" t="s">
        <v>1216</v>
      </c>
      <c r="K178" s="9" t="s">
        <v>1217</v>
      </c>
      <c r="L178" s="9"/>
      <c r="M178" s="9" t="s">
        <v>1218</v>
      </c>
      <c r="N178" s="9" t="s">
        <v>1219</v>
      </c>
      <c r="O178" s="9" t="s">
        <v>1220</v>
      </c>
      <c r="P178" s="10">
        <v>13</v>
      </c>
    </row>
    <row r="179" spans="1:16" ht="129.6" x14ac:dyDescent="0.3">
      <c r="A179" t="s">
        <v>39</v>
      </c>
      <c r="B179" t="s">
        <v>1214</v>
      </c>
      <c r="C179" t="s">
        <v>564</v>
      </c>
      <c r="D179" s="9" t="s">
        <v>1221</v>
      </c>
      <c r="E179" t="s">
        <v>566</v>
      </c>
      <c r="F179" t="s">
        <v>143</v>
      </c>
      <c r="G179" t="s">
        <v>47</v>
      </c>
      <c r="H179" s="9"/>
      <c r="I179" s="9"/>
      <c r="J179" t="s">
        <v>1216</v>
      </c>
      <c r="K179" s="9" t="s">
        <v>1222</v>
      </c>
      <c r="L179" s="9"/>
      <c r="M179" s="9" t="s">
        <v>1223</v>
      </c>
      <c r="N179" s="9" t="s">
        <v>1224</v>
      </c>
      <c r="O179" s="9" t="s">
        <v>1225</v>
      </c>
      <c r="P179" s="10">
        <v>13</v>
      </c>
    </row>
    <row r="180" spans="1:16" ht="100.8" x14ac:dyDescent="0.3">
      <c r="A180" t="s">
        <v>39</v>
      </c>
      <c r="B180" t="s">
        <v>1214</v>
      </c>
      <c r="C180" t="s">
        <v>1031</v>
      </c>
      <c r="D180" s="9" t="s">
        <v>1226</v>
      </c>
      <c r="E180" t="s">
        <v>583</v>
      </c>
      <c r="F180" t="s">
        <v>143</v>
      </c>
      <c r="G180" t="s">
        <v>47</v>
      </c>
      <c r="H180" s="9"/>
      <c r="I180" s="9"/>
      <c r="J180" t="s">
        <v>1216</v>
      </c>
      <c r="K180" s="9" t="s">
        <v>1227</v>
      </c>
      <c r="L180" s="9"/>
      <c r="M180" s="9" t="s">
        <v>1228</v>
      </c>
      <c r="N180" s="9" t="s">
        <v>1229</v>
      </c>
      <c r="O180" s="9" t="s">
        <v>1230</v>
      </c>
      <c r="P180" s="10">
        <v>13</v>
      </c>
    </row>
    <row r="181" spans="1:16" ht="129.6" x14ac:dyDescent="0.3">
      <c r="A181" t="s">
        <v>39</v>
      </c>
      <c r="B181" t="s">
        <v>1214</v>
      </c>
      <c r="C181" t="s">
        <v>1037</v>
      </c>
      <c r="D181" s="9" t="s">
        <v>1231</v>
      </c>
      <c r="E181" t="s">
        <v>1039</v>
      </c>
      <c r="F181" t="s">
        <v>143</v>
      </c>
      <c r="G181" t="s">
        <v>47</v>
      </c>
      <c r="H181" s="9"/>
      <c r="I181" s="9" t="s">
        <v>307</v>
      </c>
      <c r="J181" t="s">
        <v>1216</v>
      </c>
      <c r="K181" s="9" t="s">
        <v>1232</v>
      </c>
      <c r="L181" s="9"/>
      <c r="M181" s="9" t="s">
        <v>1233</v>
      </c>
      <c r="N181" s="9" t="s">
        <v>1234</v>
      </c>
      <c r="O181" s="9" t="s">
        <v>1235</v>
      </c>
      <c r="P181" s="10">
        <v>13</v>
      </c>
    </row>
    <row r="182" spans="1:16" ht="129.6" x14ac:dyDescent="0.3">
      <c r="A182" t="s">
        <v>39</v>
      </c>
      <c r="B182" t="s">
        <v>1214</v>
      </c>
      <c r="C182" t="s">
        <v>1043</v>
      </c>
      <c r="D182" s="9" t="s">
        <v>1236</v>
      </c>
      <c r="E182" t="s">
        <v>76</v>
      </c>
      <c r="F182" t="s">
        <v>143</v>
      </c>
      <c r="G182" t="s">
        <v>47</v>
      </c>
      <c r="H182" s="9"/>
      <c r="I182" s="9"/>
      <c r="J182" t="s">
        <v>1216</v>
      </c>
      <c r="K182" s="9" t="s">
        <v>1237</v>
      </c>
      <c r="L182" s="9"/>
      <c r="M182" s="9" t="s">
        <v>1238</v>
      </c>
      <c r="N182" s="9" t="s">
        <v>1239</v>
      </c>
      <c r="O182" s="9" t="s">
        <v>1240</v>
      </c>
      <c r="P182" s="10">
        <v>13</v>
      </c>
    </row>
    <row r="183" spans="1:16" ht="129.6" x14ac:dyDescent="0.3">
      <c r="A183" t="s">
        <v>39</v>
      </c>
      <c r="B183" t="s">
        <v>1214</v>
      </c>
      <c r="C183" t="s">
        <v>1241</v>
      </c>
      <c r="D183" s="9" t="s">
        <v>1242</v>
      </c>
      <c r="E183" t="s">
        <v>1003</v>
      </c>
      <c r="F183" t="s">
        <v>143</v>
      </c>
      <c r="G183" t="s">
        <v>47</v>
      </c>
      <c r="H183" s="9"/>
      <c r="I183" s="9"/>
      <c r="J183" t="s">
        <v>1216</v>
      </c>
      <c r="K183" s="9" t="s">
        <v>1243</v>
      </c>
      <c r="L183" s="9"/>
      <c r="M183" s="9" t="s">
        <v>1244</v>
      </c>
      <c r="N183" s="9" t="s">
        <v>1245</v>
      </c>
      <c r="O183" s="9" t="s">
        <v>1246</v>
      </c>
      <c r="P183" s="10">
        <v>13</v>
      </c>
    </row>
    <row r="184" spans="1:16" ht="86.4" x14ac:dyDescent="0.3">
      <c r="A184" t="s">
        <v>39</v>
      </c>
      <c r="B184" t="s">
        <v>1214</v>
      </c>
      <c r="C184" t="s">
        <v>1247</v>
      </c>
      <c r="D184" s="9" t="s">
        <v>1248</v>
      </c>
      <c r="E184" t="s">
        <v>651</v>
      </c>
      <c r="F184" t="s">
        <v>143</v>
      </c>
      <c r="G184" t="s">
        <v>47</v>
      </c>
      <c r="H184" s="9"/>
      <c r="I184" s="9" t="s">
        <v>307</v>
      </c>
      <c r="J184" t="s">
        <v>1216</v>
      </c>
      <c r="K184" s="9" t="s">
        <v>1249</v>
      </c>
      <c r="L184" s="9" t="s">
        <v>1250</v>
      </c>
      <c r="M184" s="9" t="s">
        <v>1251</v>
      </c>
      <c r="N184" s="9" t="s">
        <v>1252</v>
      </c>
      <c r="O184" s="9" t="s">
        <v>1253</v>
      </c>
      <c r="P184" s="10">
        <v>13</v>
      </c>
    </row>
    <row r="185" spans="1:16" ht="100.8" x14ac:dyDescent="0.3">
      <c r="A185" t="s">
        <v>39</v>
      </c>
      <c r="B185" t="s">
        <v>1214</v>
      </c>
      <c r="C185" t="s">
        <v>1254</v>
      </c>
      <c r="D185" s="9" t="s">
        <v>1255</v>
      </c>
      <c r="E185" t="s">
        <v>775</v>
      </c>
      <c r="F185" t="s">
        <v>143</v>
      </c>
      <c r="G185" t="s">
        <v>47</v>
      </c>
      <c r="H185" s="9"/>
      <c r="I185" s="9" t="s">
        <v>307</v>
      </c>
      <c r="J185" t="s">
        <v>1216</v>
      </c>
      <c r="K185" s="9" t="s">
        <v>1256</v>
      </c>
      <c r="L185" s="9" t="s">
        <v>1257</v>
      </c>
      <c r="M185" s="9" t="s">
        <v>1258</v>
      </c>
      <c r="N185" s="9" t="s">
        <v>1259</v>
      </c>
      <c r="O185" s="9" t="s">
        <v>1260</v>
      </c>
      <c r="P185" s="10">
        <v>13</v>
      </c>
    </row>
    <row r="186" spans="1:16" ht="115.2" x14ac:dyDescent="0.3">
      <c r="A186" t="s">
        <v>39</v>
      </c>
      <c r="B186" t="s">
        <v>1214</v>
      </c>
      <c r="C186" t="s">
        <v>1261</v>
      </c>
      <c r="D186" s="9" t="s">
        <v>1262</v>
      </c>
      <c r="E186" t="s">
        <v>796</v>
      </c>
      <c r="F186" t="s">
        <v>143</v>
      </c>
      <c r="G186" t="s">
        <v>47</v>
      </c>
      <c r="H186" s="9"/>
      <c r="I186" s="9" t="s">
        <v>307</v>
      </c>
      <c r="J186" t="s">
        <v>1216</v>
      </c>
      <c r="K186" s="9" t="s">
        <v>1263</v>
      </c>
      <c r="L186" s="9" t="s">
        <v>1264</v>
      </c>
      <c r="M186" s="9" t="s">
        <v>1265</v>
      </c>
      <c r="N186" s="9" t="s">
        <v>1266</v>
      </c>
      <c r="O186" s="9" t="s">
        <v>1267</v>
      </c>
      <c r="P186" s="10">
        <v>13</v>
      </c>
    </row>
    <row r="187" spans="1:16" ht="129.6" x14ac:dyDescent="0.3">
      <c r="A187" t="s">
        <v>39</v>
      </c>
      <c r="B187" t="s">
        <v>1214</v>
      </c>
      <c r="C187" t="s">
        <v>1268</v>
      </c>
      <c r="D187" s="9" t="s">
        <v>1269</v>
      </c>
      <c r="E187" t="s">
        <v>679</v>
      </c>
      <c r="F187" t="s">
        <v>143</v>
      </c>
      <c r="G187" t="s">
        <v>47</v>
      </c>
      <c r="H187" s="9"/>
      <c r="I187" s="9" t="s">
        <v>307</v>
      </c>
      <c r="J187" t="s">
        <v>1216</v>
      </c>
      <c r="K187" s="9" t="s">
        <v>1270</v>
      </c>
      <c r="L187" s="9" t="s">
        <v>1271</v>
      </c>
      <c r="M187" s="9" t="s">
        <v>1272</v>
      </c>
      <c r="N187" s="9" t="s">
        <v>1273</v>
      </c>
      <c r="O187" s="9" t="s">
        <v>1274</v>
      </c>
      <c r="P187" s="10">
        <v>13</v>
      </c>
    </row>
    <row r="188" spans="1:16" ht="115.2" x14ac:dyDescent="0.3">
      <c r="A188" t="s">
        <v>39</v>
      </c>
      <c r="B188" t="s">
        <v>1214</v>
      </c>
      <c r="C188" t="s">
        <v>1275</v>
      </c>
      <c r="D188" s="9" t="s">
        <v>1276</v>
      </c>
      <c r="E188" t="s">
        <v>694</v>
      </c>
      <c r="F188" t="s">
        <v>143</v>
      </c>
      <c r="G188" t="s">
        <v>47</v>
      </c>
      <c r="H188" s="9"/>
      <c r="I188" s="9" t="s">
        <v>307</v>
      </c>
      <c r="J188" t="s">
        <v>1216</v>
      </c>
      <c r="K188" s="9" t="s">
        <v>1277</v>
      </c>
      <c r="L188" s="9" t="s">
        <v>1278</v>
      </c>
      <c r="M188" s="9" t="s">
        <v>1279</v>
      </c>
      <c r="N188" s="9" t="s">
        <v>1280</v>
      </c>
      <c r="O188" s="9" t="s">
        <v>1281</v>
      </c>
      <c r="P188" s="10">
        <v>13</v>
      </c>
    </row>
    <row r="189" spans="1:16" ht="115.2" x14ac:dyDescent="0.3">
      <c r="A189" t="s">
        <v>39</v>
      </c>
      <c r="B189" t="s">
        <v>1214</v>
      </c>
      <c r="C189" t="s">
        <v>1282</v>
      </c>
      <c r="D189" s="9" t="s">
        <v>1283</v>
      </c>
      <c r="E189" t="s">
        <v>869</v>
      </c>
      <c r="F189" t="s">
        <v>143</v>
      </c>
      <c r="G189" t="s">
        <v>47</v>
      </c>
      <c r="H189" s="9"/>
      <c r="I189" s="9" t="s">
        <v>307</v>
      </c>
      <c r="J189" t="s">
        <v>1216</v>
      </c>
      <c r="K189" s="9" t="s">
        <v>1284</v>
      </c>
      <c r="L189" s="9" t="s">
        <v>1285</v>
      </c>
      <c r="M189" s="9" t="s">
        <v>1286</v>
      </c>
      <c r="N189" s="9" t="s">
        <v>1287</v>
      </c>
      <c r="O189" s="9" t="s">
        <v>1288</v>
      </c>
      <c r="P189" s="10">
        <v>13</v>
      </c>
    </row>
    <row r="190" spans="1:16" ht="302.39999999999998" x14ac:dyDescent="0.3">
      <c r="A190" t="s">
        <v>39</v>
      </c>
      <c r="B190" t="s">
        <v>1214</v>
      </c>
      <c r="C190" t="s">
        <v>1289</v>
      </c>
      <c r="D190" s="9" t="s">
        <v>1290</v>
      </c>
      <c r="E190" t="s">
        <v>702</v>
      </c>
      <c r="F190" t="s">
        <v>143</v>
      </c>
      <c r="G190" t="s">
        <v>47</v>
      </c>
      <c r="H190" s="9" t="s">
        <v>1291</v>
      </c>
      <c r="I190" s="9" t="s">
        <v>144</v>
      </c>
      <c r="J190" t="s">
        <v>1216</v>
      </c>
      <c r="K190" s="9" t="s">
        <v>1292</v>
      </c>
      <c r="L190" s="9" t="s">
        <v>1293</v>
      </c>
      <c r="M190" s="9" t="s">
        <v>1294</v>
      </c>
      <c r="N190" s="9" t="s">
        <v>1295</v>
      </c>
      <c r="O190" s="9" t="s">
        <v>1296</v>
      </c>
      <c r="P190" s="10">
        <v>13</v>
      </c>
    </row>
    <row r="191" spans="1:16" ht="403.2" x14ac:dyDescent="0.3">
      <c r="A191" t="s">
        <v>39</v>
      </c>
      <c r="B191" t="s">
        <v>1214</v>
      </c>
      <c r="C191" t="s">
        <v>1297</v>
      </c>
      <c r="D191" s="9" t="s">
        <v>1298</v>
      </c>
      <c r="E191" t="s">
        <v>927</v>
      </c>
      <c r="F191" t="s">
        <v>143</v>
      </c>
      <c r="G191" t="s">
        <v>47</v>
      </c>
      <c r="H191" s="9" t="s">
        <v>1291</v>
      </c>
      <c r="I191" s="9" t="s">
        <v>144</v>
      </c>
      <c r="J191" t="s">
        <v>1216</v>
      </c>
      <c r="K191" s="9" t="s">
        <v>1299</v>
      </c>
      <c r="L191" s="9" t="s">
        <v>1300</v>
      </c>
      <c r="M191" s="9" t="s">
        <v>1301</v>
      </c>
      <c r="N191" s="9" t="s">
        <v>1302</v>
      </c>
      <c r="O191" s="9" t="s">
        <v>1303</v>
      </c>
      <c r="P191" s="10">
        <v>13</v>
      </c>
    </row>
    <row r="192" spans="1:16" ht="158.4" x14ac:dyDescent="0.3">
      <c r="A192" t="s">
        <v>39</v>
      </c>
      <c r="B192" t="s">
        <v>1214</v>
      </c>
      <c r="C192" t="s">
        <v>1304</v>
      </c>
      <c r="D192" s="9" t="s">
        <v>1305</v>
      </c>
      <c r="E192" t="s">
        <v>942</v>
      </c>
      <c r="F192" t="s">
        <v>143</v>
      </c>
      <c r="G192" t="s">
        <v>47</v>
      </c>
      <c r="H192" s="9" t="s">
        <v>1291</v>
      </c>
      <c r="I192" s="9" t="s">
        <v>144</v>
      </c>
      <c r="J192" t="s">
        <v>1216</v>
      </c>
      <c r="K192" s="9" t="s">
        <v>1306</v>
      </c>
      <c r="L192" s="9" t="s">
        <v>1307</v>
      </c>
      <c r="M192" s="9" t="s">
        <v>1308</v>
      </c>
      <c r="N192" s="9" t="s">
        <v>1309</v>
      </c>
      <c r="O192" s="9" t="s">
        <v>1310</v>
      </c>
      <c r="P192" s="10">
        <v>13</v>
      </c>
    </row>
    <row r="193" spans="1:16" ht="129.6" x14ac:dyDescent="0.3">
      <c r="A193" t="s">
        <v>39</v>
      </c>
      <c r="B193" t="s">
        <v>1214</v>
      </c>
      <c r="C193" t="s">
        <v>1311</v>
      </c>
      <c r="D193" s="9" t="s">
        <v>1312</v>
      </c>
      <c r="E193" t="s">
        <v>1313</v>
      </c>
      <c r="F193" t="s">
        <v>143</v>
      </c>
      <c r="G193" t="s">
        <v>47</v>
      </c>
      <c r="H193" s="9" t="s">
        <v>1291</v>
      </c>
      <c r="I193" s="9" t="s">
        <v>144</v>
      </c>
      <c r="J193" t="s">
        <v>1216</v>
      </c>
      <c r="K193" s="9" t="s">
        <v>1314</v>
      </c>
      <c r="L193" s="9" t="s">
        <v>1315</v>
      </c>
      <c r="M193" s="9" t="s">
        <v>1316</v>
      </c>
      <c r="N193" s="9" t="s">
        <v>1317</v>
      </c>
      <c r="O193" s="9" t="s">
        <v>1318</v>
      </c>
      <c r="P193" s="10">
        <v>13</v>
      </c>
    </row>
    <row r="194" spans="1:16" ht="345.6" x14ac:dyDescent="0.3">
      <c r="A194" t="s">
        <v>39</v>
      </c>
      <c r="B194" t="s">
        <v>1214</v>
      </c>
      <c r="C194" t="s">
        <v>1319</v>
      </c>
      <c r="D194" s="9" t="s">
        <v>1320</v>
      </c>
      <c r="E194" t="s">
        <v>1321</v>
      </c>
      <c r="F194" t="s">
        <v>143</v>
      </c>
      <c r="G194" t="s">
        <v>47</v>
      </c>
      <c r="H194" s="9" t="s">
        <v>1291</v>
      </c>
      <c r="I194" s="9" t="s">
        <v>144</v>
      </c>
      <c r="J194" t="s">
        <v>1216</v>
      </c>
      <c r="K194" s="9" t="s">
        <v>1322</v>
      </c>
      <c r="L194" s="9" t="s">
        <v>1323</v>
      </c>
      <c r="M194" s="9" t="s">
        <v>1324</v>
      </c>
      <c r="N194" s="9" t="s">
        <v>1325</v>
      </c>
      <c r="O194" s="9" t="s">
        <v>1326</v>
      </c>
      <c r="P194" s="10">
        <v>13</v>
      </c>
    </row>
    <row r="195" spans="1:16" ht="129.6" x14ac:dyDescent="0.3">
      <c r="A195" t="s">
        <v>39</v>
      </c>
      <c r="B195" t="s">
        <v>1214</v>
      </c>
      <c r="C195" t="s">
        <v>1327</v>
      </c>
      <c r="D195" s="9" t="s">
        <v>1328</v>
      </c>
      <c r="E195" t="s">
        <v>1329</v>
      </c>
      <c r="F195" t="s">
        <v>143</v>
      </c>
      <c r="G195" t="s">
        <v>47</v>
      </c>
      <c r="H195" s="9" t="s">
        <v>1291</v>
      </c>
      <c r="I195" s="9" t="s">
        <v>144</v>
      </c>
      <c r="J195" t="s">
        <v>1216</v>
      </c>
      <c r="K195" s="9" t="s">
        <v>1330</v>
      </c>
      <c r="L195" s="9" t="s">
        <v>1331</v>
      </c>
      <c r="M195" s="9" t="s">
        <v>1332</v>
      </c>
      <c r="N195" s="9" t="s">
        <v>1333</v>
      </c>
      <c r="O195" s="9" t="s">
        <v>1334</v>
      </c>
      <c r="P195" s="10">
        <v>13</v>
      </c>
    </row>
    <row r="196" spans="1:16" ht="129.6" x14ac:dyDescent="0.3">
      <c r="A196" t="s">
        <v>39</v>
      </c>
      <c r="B196" t="s">
        <v>1214</v>
      </c>
      <c r="C196" t="s">
        <v>1335</v>
      </c>
      <c r="D196" s="9" t="s">
        <v>1336</v>
      </c>
      <c r="E196" t="s">
        <v>1337</v>
      </c>
      <c r="F196" t="s">
        <v>143</v>
      </c>
      <c r="G196" t="s">
        <v>47</v>
      </c>
      <c r="H196" s="9"/>
      <c r="I196" s="9" t="s">
        <v>59</v>
      </c>
      <c r="J196" t="s">
        <v>1216</v>
      </c>
      <c r="K196" s="9" t="s">
        <v>1338</v>
      </c>
      <c r="L196" s="9" t="s">
        <v>1339</v>
      </c>
      <c r="M196" s="9" t="s">
        <v>1340</v>
      </c>
      <c r="N196" s="9" t="s">
        <v>1341</v>
      </c>
      <c r="O196" s="9" t="s">
        <v>1342</v>
      </c>
      <c r="P196" s="10">
        <v>13</v>
      </c>
    </row>
    <row r="197" spans="1:16" ht="100.8" x14ac:dyDescent="0.3">
      <c r="A197" t="s">
        <v>39</v>
      </c>
      <c r="B197" t="s">
        <v>1214</v>
      </c>
      <c r="C197" t="s">
        <v>1343</v>
      </c>
      <c r="D197" s="9" t="s">
        <v>1344</v>
      </c>
      <c r="E197" t="s">
        <v>1345</v>
      </c>
      <c r="F197" t="s">
        <v>143</v>
      </c>
      <c r="G197" t="s">
        <v>47</v>
      </c>
      <c r="H197" s="9" t="s">
        <v>153</v>
      </c>
      <c r="I197" s="9" t="s">
        <v>59</v>
      </c>
      <c r="J197" t="s">
        <v>1216</v>
      </c>
      <c r="K197" s="9" t="s">
        <v>1346</v>
      </c>
      <c r="L197" s="9" t="s">
        <v>1347</v>
      </c>
      <c r="M197" s="9" t="s">
        <v>1348</v>
      </c>
      <c r="N197" s="9" t="s">
        <v>1349</v>
      </c>
      <c r="O197" s="9" t="s">
        <v>1350</v>
      </c>
      <c r="P197" s="10">
        <v>13</v>
      </c>
    </row>
    <row r="198" spans="1:16" ht="115.2" x14ac:dyDescent="0.3">
      <c r="A198" t="s">
        <v>39</v>
      </c>
      <c r="B198" t="s">
        <v>1214</v>
      </c>
      <c r="C198" t="s">
        <v>1351</v>
      </c>
      <c r="D198" s="9" t="s">
        <v>1352</v>
      </c>
      <c r="E198" t="s">
        <v>1353</v>
      </c>
      <c r="F198" t="s">
        <v>143</v>
      </c>
      <c r="G198" t="s">
        <v>47</v>
      </c>
      <c r="H198" s="9"/>
      <c r="I198" s="9" t="s">
        <v>59</v>
      </c>
      <c r="J198" t="s">
        <v>1216</v>
      </c>
      <c r="K198" s="9" t="s">
        <v>1354</v>
      </c>
      <c r="L198" s="9" t="s">
        <v>1355</v>
      </c>
      <c r="M198" s="9" t="s">
        <v>1356</v>
      </c>
      <c r="N198" s="9" t="s">
        <v>1357</v>
      </c>
      <c r="O198" s="9" t="s">
        <v>1358</v>
      </c>
      <c r="P198" s="10">
        <v>13</v>
      </c>
    </row>
    <row r="199" spans="1:16" ht="86.4" x14ac:dyDescent="0.3">
      <c r="A199" t="s">
        <v>39</v>
      </c>
      <c r="B199" t="s">
        <v>1214</v>
      </c>
      <c r="C199" t="s">
        <v>1359</v>
      </c>
      <c r="D199" s="9" t="s">
        <v>1360</v>
      </c>
      <c r="E199" t="s">
        <v>1361</v>
      </c>
      <c r="F199" t="s">
        <v>143</v>
      </c>
      <c r="G199" t="s">
        <v>47</v>
      </c>
      <c r="H199" s="9" t="s">
        <v>1362</v>
      </c>
      <c r="I199" s="9" t="s">
        <v>59</v>
      </c>
      <c r="J199" t="s">
        <v>1216</v>
      </c>
      <c r="K199" s="9" t="s">
        <v>1363</v>
      </c>
      <c r="L199" s="9" t="s">
        <v>1364</v>
      </c>
      <c r="M199" s="9" t="s">
        <v>1365</v>
      </c>
      <c r="N199" s="9" t="s">
        <v>1366</v>
      </c>
      <c r="O199" s="9" t="s">
        <v>1367</v>
      </c>
      <c r="P199" s="10">
        <v>13</v>
      </c>
    </row>
    <row r="200" spans="1:16" ht="115.2" x14ac:dyDescent="0.3">
      <c r="A200" t="s">
        <v>39</v>
      </c>
      <c r="B200" t="s">
        <v>1214</v>
      </c>
      <c r="C200" t="s">
        <v>1368</v>
      </c>
      <c r="D200" s="9" t="s">
        <v>1369</v>
      </c>
      <c r="E200" t="s">
        <v>1370</v>
      </c>
      <c r="F200" t="s">
        <v>143</v>
      </c>
      <c r="G200" t="s">
        <v>47</v>
      </c>
      <c r="H200" s="9"/>
      <c r="I200" s="9" t="s">
        <v>59</v>
      </c>
      <c r="J200" t="s">
        <v>1216</v>
      </c>
      <c r="K200" s="9" t="s">
        <v>1371</v>
      </c>
      <c r="L200" s="9" t="s">
        <v>1372</v>
      </c>
      <c r="M200" s="9" t="s">
        <v>1373</v>
      </c>
      <c r="N200" s="9" t="s">
        <v>1374</v>
      </c>
      <c r="O200" s="9" t="s">
        <v>1375</v>
      </c>
      <c r="P200" s="10">
        <v>13</v>
      </c>
    </row>
    <row r="201" spans="1:16" ht="86.4" x14ac:dyDescent="0.3">
      <c r="A201" t="s">
        <v>39</v>
      </c>
      <c r="B201" t="s">
        <v>1214</v>
      </c>
      <c r="C201" t="s">
        <v>1376</v>
      </c>
      <c r="D201" s="9" t="s">
        <v>1377</v>
      </c>
      <c r="E201" t="s">
        <v>1378</v>
      </c>
      <c r="F201" t="s">
        <v>143</v>
      </c>
      <c r="G201" t="s">
        <v>47</v>
      </c>
      <c r="H201" s="9"/>
      <c r="I201" s="9" t="s">
        <v>59</v>
      </c>
      <c r="J201" t="s">
        <v>1216</v>
      </c>
      <c r="K201" s="9" t="s">
        <v>1379</v>
      </c>
      <c r="L201" s="9" t="s">
        <v>1380</v>
      </c>
      <c r="M201" s="9" t="s">
        <v>1381</v>
      </c>
      <c r="N201" s="9"/>
      <c r="O201" s="9" t="s">
        <v>1382</v>
      </c>
      <c r="P201" s="10">
        <v>13</v>
      </c>
    </row>
    <row r="202" spans="1:16" ht="144" x14ac:dyDescent="0.3">
      <c r="A202" t="s">
        <v>39</v>
      </c>
      <c r="B202" t="s">
        <v>1214</v>
      </c>
      <c r="C202" t="s">
        <v>1383</v>
      </c>
      <c r="D202" s="9" t="s">
        <v>1384</v>
      </c>
      <c r="E202" t="s">
        <v>1385</v>
      </c>
      <c r="F202" t="s">
        <v>143</v>
      </c>
      <c r="G202" t="s">
        <v>47</v>
      </c>
      <c r="H202" s="9" t="s">
        <v>1386</v>
      </c>
      <c r="I202" s="9" t="s">
        <v>59</v>
      </c>
      <c r="J202" t="s">
        <v>1216</v>
      </c>
      <c r="K202" s="9" t="s">
        <v>1387</v>
      </c>
      <c r="L202" s="9" t="s">
        <v>1388</v>
      </c>
      <c r="M202" s="9" t="s">
        <v>1389</v>
      </c>
      <c r="N202" s="9" t="s">
        <v>1390</v>
      </c>
      <c r="O202" s="9" t="s">
        <v>1391</v>
      </c>
      <c r="P202" s="10">
        <v>13</v>
      </c>
    </row>
    <row r="203" spans="1:16" ht="331.2" x14ac:dyDescent="0.3">
      <c r="A203" t="s">
        <v>39</v>
      </c>
      <c r="B203" t="s">
        <v>1214</v>
      </c>
      <c r="C203" t="s">
        <v>1392</v>
      </c>
      <c r="D203" s="9" t="s">
        <v>1393</v>
      </c>
      <c r="E203" t="s">
        <v>1394</v>
      </c>
      <c r="F203" t="s">
        <v>143</v>
      </c>
      <c r="G203" t="s">
        <v>47</v>
      </c>
      <c r="H203" s="9" t="s">
        <v>1386</v>
      </c>
      <c r="I203" s="9" t="s">
        <v>59</v>
      </c>
      <c r="J203" t="s">
        <v>1216</v>
      </c>
      <c r="K203" s="9" t="s">
        <v>1395</v>
      </c>
      <c r="L203" s="9" t="s">
        <v>1396</v>
      </c>
      <c r="M203" s="9" t="s">
        <v>1397</v>
      </c>
      <c r="N203" s="9" t="s">
        <v>1398</v>
      </c>
      <c r="O203" s="9" t="s">
        <v>1399</v>
      </c>
      <c r="P203" s="10">
        <v>13</v>
      </c>
    </row>
    <row r="204" spans="1:16" ht="115.2" x14ac:dyDescent="0.3">
      <c r="A204" t="s">
        <v>39</v>
      </c>
      <c r="B204" t="s">
        <v>1214</v>
      </c>
      <c r="C204" t="s">
        <v>1400</v>
      </c>
      <c r="D204" s="9" t="s">
        <v>1401</v>
      </c>
      <c r="E204" t="s">
        <v>1402</v>
      </c>
      <c r="F204" t="s">
        <v>143</v>
      </c>
      <c r="G204" t="s">
        <v>1403</v>
      </c>
      <c r="H204" s="9" t="s">
        <v>1386</v>
      </c>
      <c r="I204" s="9" t="s">
        <v>59</v>
      </c>
      <c r="K204" s="9" t="s">
        <v>1404</v>
      </c>
      <c r="L204" s="9" t="s">
        <v>1405</v>
      </c>
      <c r="M204" s="9" t="s">
        <v>1406</v>
      </c>
      <c r="N204" s="9" t="s">
        <v>1407</v>
      </c>
      <c r="O204" s="9" t="s">
        <v>1408</v>
      </c>
      <c r="P204" s="10">
        <v>13</v>
      </c>
    </row>
    <row r="205" spans="1:16" ht="115.2" x14ac:dyDescent="0.3">
      <c r="A205" t="s">
        <v>39</v>
      </c>
      <c r="B205" t="s">
        <v>1214</v>
      </c>
      <c r="C205" t="s">
        <v>1409</v>
      </c>
      <c r="D205" s="9" t="s">
        <v>1410</v>
      </c>
      <c r="E205" t="s">
        <v>1411</v>
      </c>
      <c r="F205" t="s">
        <v>143</v>
      </c>
      <c r="G205" t="s">
        <v>47</v>
      </c>
      <c r="H205" s="9" t="s">
        <v>1386</v>
      </c>
      <c r="I205" s="9" t="s">
        <v>59</v>
      </c>
      <c r="J205" t="s">
        <v>1216</v>
      </c>
      <c r="K205" s="9" t="s">
        <v>1412</v>
      </c>
      <c r="L205" s="9" t="s">
        <v>1413</v>
      </c>
      <c r="M205" s="9" t="s">
        <v>1414</v>
      </c>
      <c r="N205" s="9" t="s">
        <v>1415</v>
      </c>
      <c r="O205" s="9" t="s">
        <v>1416</v>
      </c>
      <c r="P205" s="10">
        <v>13</v>
      </c>
    </row>
    <row r="206" spans="1:16" ht="86.4" x14ac:dyDescent="0.3">
      <c r="A206" t="s">
        <v>39</v>
      </c>
      <c r="B206" t="s">
        <v>1214</v>
      </c>
      <c r="C206" t="s">
        <v>1417</v>
      </c>
      <c r="D206" s="9" t="s">
        <v>1418</v>
      </c>
      <c r="E206" t="s">
        <v>1419</v>
      </c>
      <c r="F206" t="s">
        <v>143</v>
      </c>
      <c r="G206" t="s">
        <v>47</v>
      </c>
      <c r="H206" s="9" t="s">
        <v>1386</v>
      </c>
      <c r="I206" s="9" t="s">
        <v>59</v>
      </c>
      <c r="J206" t="s">
        <v>1216</v>
      </c>
      <c r="K206" s="9" t="s">
        <v>1420</v>
      </c>
      <c r="L206" s="9" t="s">
        <v>1421</v>
      </c>
      <c r="M206" s="9" t="s">
        <v>1422</v>
      </c>
      <c r="N206" s="9" t="s">
        <v>1423</v>
      </c>
      <c r="O206" s="9" t="s">
        <v>1424</v>
      </c>
      <c r="P206" s="10">
        <v>13</v>
      </c>
    </row>
    <row r="207" spans="1:16" ht="86.4" x14ac:dyDescent="0.3">
      <c r="A207" t="s">
        <v>39</v>
      </c>
      <c r="B207" t="s">
        <v>1214</v>
      </c>
      <c r="C207" t="s">
        <v>1425</v>
      </c>
      <c r="D207" s="9" t="s">
        <v>1426</v>
      </c>
      <c r="E207" t="s">
        <v>1427</v>
      </c>
      <c r="F207" t="s">
        <v>143</v>
      </c>
      <c r="G207" t="s">
        <v>47</v>
      </c>
      <c r="H207" s="9" t="s">
        <v>1386</v>
      </c>
      <c r="I207" s="9" t="s">
        <v>59</v>
      </c>
      <c r="J207" t="s">
        <v>1216</v>
      </c>
      <c r="K207" s="9" t="s">
        <v>1428</v>
      </c>
      <c r="L207" s="9" t="s">
        <v>1429</v>
      </c>
      <c r="M207" s="9" t="s">
        <v>1430</v>
      </c>
      <c r="N207" s="9" t="s">
        <v>1431</v>
      </c>
      <c r="O207" s="9" t="s">
        <v>1432</v>
      </c>
      <c r="P207" s="10">
        <v>13</v>
      </c>
    </row>
    <row r="208" spans="1:16" ht="144" x14ac:dyDescent="0.3">
      <c r="A208" t="s">
        <v>39</v>
      </c>
      <c r="B208" t="s">
        <v>1214</v>
      </c>
      <c r="C208" t="s">
        <v>1433</v>
      </c>
      <c r="D208" s="9" t="s">
        <v>1434</v>
      </c>
      <c r="E208" t="s">
        <v>1435</v>
      </c>
      <c r="F208" t="s">
        <v>143</v>
      </c>
      <c r="G208" t="s">
        <v>47</v>
      </c>
      <c r="H208" s="9"/>
      <c r="I208" s="9" t="s">
        <v>59</v>
      </c>
      <c r="J208" t="s">
        <v>1216</v>
      </c>
      <c r="K208" s="9" t="s">
        <v>1436</v>
      </c>
      <c r="L208" s="9" t="s">
        <v>1437</v>
      </c>
      <c r="M208" s="9" t="s">
        <v>1438</v>
      </c>
      <c r="N208" s="9" t="s">
        <v>1439</v>
      </c>
      <c r="O208" s="9" t="s">
        <v>1440</v>
      </c>
      <c r="P208" s="10">
        <v>13</v>
      </c>
    </row>
    <row r="209" spans="1:16" ht="86.4" x14ac:dyDescent="0.3">
      <c r="A209" t="s">
        <v>39</v>
      </c>
      <c r="B209" t="s">
        <v>1214</v>
      </c>
      <c r="C209" t="s">
        <v>1441</v>
      </c>
      <c r="D209" s="9" t="s">
        <v>1442</v>
      </c>
      <c r="E209" t="s">
        <v>1443</v>
      </c>
      <c r="F209" t="s">
        <v>46</v>
      </c>
      <c r="G209" t="s">
        <v>848</v>
      </c>
      <c r="H209" s="9"/>
      <c r="I209" s="9"/>
      <c r="K209" s="9" t="s">
        <v>1444</v>
      </c>
      <c r="L209" s="9"/>
      <c r="M209" s="9" t="s">
        <v>1445</v>
      </c>
      <c r="N209" s="9"/>
      <c r="O209" s="9" t="s">
        <v>1446</v>
      </c>
      <c r="P209" s="10">
        <v>13</v>
      </c>
    </row>
    <row r="210" spans="1:16" ht="86.4" x14ac:dyDescent="0.3">
      <c r="A210" t="s">
        <v>39</v>
      </c>
      <c r="B210" t="s">
        <v>1214</v>
      </c>
      <c r="C210" t="s">
        <v>1447</v>
      </c>
      <c r="D210" s="9" t="s">
        <v>1448</v>
      </c>
      <c r="E210" t="s">
        <v>1449</v>
      </c>
      <c r="F210" t="s">
        <v>143</v>
      </c>
      <c r="G210" t="s">
        <v>47</v>
      </c>
      <c r="H210" s="9"/>
      <c r="I210" s="9" t="s">
        <v>59</v>
      </c>
      <c r="J210" t="s">
        <v>1216</v>
      </c>
      <c r="K210" s="9" t="s">
        <v>1450</v>
      </c>
      <c r="L210" s="9"/>
      <c r="M210" s="9" t="s">
        <v>1451</v>
      </c>
      <c r="N210" s="9" t="s">
        <v>1452</v>
      </c>
      <c r="O210" s="9" t="s">
        <v>1453</v>
      </c>
      <c r="P210" s="10">
        <v>13</v>
      </c>
    </row>
    <row r="211" spans="1:16" ht="86.4" x14ac:dyDescent="0.3">
      <c r="A211" t="s">
        <v>39</v>
      </c>
      <c r="B211" t="s">
        <v>1214</v>
      </c>
      <c r="C211" t="s">
        <v>1454</v>
      </c>
      <c r="D211" s="9" t="s">
        <v>1455</v>
      </c>
      <c r="E211" t="s">
        <v>1456</v>
      </c>
      <c r="F211" t="s">
        <v>143</v>
      </c>
      <c r="G211" t="s">
        <v>47</v>
      </c>
      <c r="H211" s="9"/>
      <c r="I211" s="9" t="s">
        <v>59</v>
      </c>
      <c r="J211" t="s">
        <v>1216</v>
      </c>
      <c r="K211" s="9" t="s">
        <v>1457</v>
      </c>
      <c r="L211" s="9"/>
      <c r="M211" s="9" t="s">
        <v>1458</v>
      </c>
      <c r="N211" s="9" t="s">
        <v>1459</v>
      </c>
      <c r="O211" s="9" t="s">
        <v>1460</v>
      </c>
      <c r="P211" s="10">
        <v>13</v>
      </c>
    </row>
    <row r="212" spans="1:16" ht="86.4" x14ac:dyDescent="0.3">
      <c r="A212" t="s">
        <v>39</v>
      </c>
      <c r="B212" t="s">
        <v>1214</v>
      </c>
      <c r="C212" t="s">
        <v>1461</v>
      </c>
      <c r="D212" s="9" t="s">
        <v>1462</v>
      </c>
      <c r="E212" t="s">
        <v>1463</v>
      </c>
      <c r="F212" t="s">
        <v>116</v>
      </c>
      <c r="G212" t="s">
        <v>47</v>
      </c>
      <c r="H212" s="9"/>
      <c r="I212" s="9"/>
      <c r="K212" s="9" t="s">
        <v>1464</v>
      </c>
      <c r="L212" s="9"/>
      <c r="M212" s="9" t="s">
        <v>1465</v>
      </c>
      <c r="N212" s="9" t="s">
        <v>1466</v>
      </c>
      <c r="O212" s="9" t="s">
        <v>1467</v>
      </c>
      <c r="P212" s="10">
        <v>13</v>
      </c>
    </row>
    <row r="213" spans="1:16" ht="72" x14ac:dyDescent="0.3">
      <c r="A213" t="s">
        <v>39</v>
      </c>
      <c r="B213" t="s">
        <v>1214</v>
      </c>
      <c r="C213" t="s">
        <v>1468</v>
      </c>
      <c r="D213" s="9" t="s">
        <v>1469</v>
      </c>
      <c r="E213" t="s">
        <v>1470</v>
      </c>
      <c r="F213" t="s">
        <v>116</v>
      </c>
      <c r="G213" t="s">
        <v>47</v>
      </c>
      <c r="H213" s="9"/>
      <c r="I213" s="9"/>
      <c r="K213" s="9" t="s">
        <v>1471</v>
      </c>
      <c r="L213" s="9"/>
      <c r="M213" s="9" t="s">
        <v>1472</v>
      </c>
      <c r="N213" s="9" t="s">
        <v>1466</v>
      </c>
      <c r="O213" s="9" t="s">
        <v>1473</v>
      </c>
      <c r="P213" s="10">
        <v>13</v>
      </c>
    </row>
    <row r="214" spans="1:16" ht="129.6" x14ac:dyDescent="0.3">
      <c r="A214" t="s">
        <v>39</v>
      </c>
      <c r="B214" t="s">
        <v>1214</v>
      </c>
      <c r="C214" t="s">
        <v>1474</v>
      </c>
      <c r="D214" s="9" t="s">
        <v>1475</v>
      </c>
      <c r="E214" t="s">
        <v>1476</v>
      </c>
      <c r="F214" t="s">
        <v>143</v>
      </c>
      <c r="G214" t="s">
        <v>47</v>
      </c>
      <c r="H214" s="9"/>
      <c r="I214" s="9" t="s">
        <v>614</v>
      </c>
      <c r="J214" t="s">
        <v>1216</v>
      </c>
      <c r="K214" s="9" t="s">
        <v>1477</v>
      </c>
      <c r="L214" s="9"/>
      <c r="M214" s="9" t="s">
        <v>1478</v>
      </c>
      <c r="N214" s="9" t="s">
        <v>1479</v>
      </c>
      <c r="O214" s="9" t="s">
        <v>1480</v>
      </c>
      <c r="P214" s="10">
        <v>13</v>
      </c>
    </row>
    <row r="215" spans="1:16" ht="100.8" x14ac:dyDescent="0.3">
      <c r="A215" t="s">
        <v>39</v>
      </c>
      <c r="B215" t="s">
        <v>1214</v>
      </c>
      <c r="C215" t="s">
        <v>1481</v>
      </c>
      <c r="D215" s="9" t="s">
        <v>1482</v>
      </c>
      <c r="E215" t="s">
        <v>1483</v>
      </c>
      <c r="F215" t="s">
        <v>143</v>
      </c>
      <c r="G215" t="s">
        <v>47</v>
      </c>
      <c r="H215" s="9"/>
      <c r="I215" s="9" t="s">
        <v>59</v>
      </c>
      <c r="J215" t="s">
        <v>1216</v>
      </c>
      <c r="K215" s="9" t="s">
        <v>1484</v>
      </c>
      <c r="L215" s="9"/>
      <c r="M215" s="9" t="s">
        <v>1485</v>
      </c>
      <c r="N215" s="9" t="s">
        <v>1486</v>
      </c>
      <c r="O215" s="9" t="s">
        <v>1487</v>
      </c>
      <c r="P215" s="10">
        <v>13</v>
      </c>
    </row>
    <row r="216" spans="1:16" ht="172.8" x14ac:dyDescent="0.3">
      <c r="A216" t="s">
        <v>39</v>
      </c>
      <c r="B216" t="s">
        <v>1214</v>
      </c>
      <c r="C216" t="s">
        <v>1488</v>
      </c>
      <c r="D216" s="9" t="s">
        <v>1489</v>
      </c>
      <c r="E216" t="s">
        <v>1490</v>
      </c>
      <c r="F216" t="s">
        <v>143</v>
      </c>
      <c r="G216" t="s">
        <v>848</v>
      </c>
      <c r="H216" s="9"/>
      <c r="I216" s="9" t="s">
        <v>59</v>
      </c>
      <c r="J216" t="s">
        <v>1216</v>
      </c>
      <c r="K216" s="9" t="s">
        <v>1491</v>
      </c>
      <c r="L216" s="9"/>
      <c r="M216" s="9" t="s">
        <v>1492</v>
      </c>
      <c r="N216" s="9" t="s">
        <v>1493</v>
      </c>
      <c r="O216" s="9" t="s">
        <v>1494</v>
      </c>
      <c r="P216" s="10">
        <v>13</v>
      </c>
    </row>
    <row r="217" spans="1:16" ht="230.4" x14ac:dyDescent="0.3">
      <c r="A217" t="s">
        <v>39</v>
      </c>
      <c r="B217" t="s">
        <v>1214</v>
      </c>
      <c r="C217" t="s">
        <v>1495</v>
      </c>
      <c r="D217" s="9" t="s">
        <v>1496</v>
      </c>
      <c r="E217" t="s">
        <v>860</v>
      </c>
      <c r="F217" t="s">
        <v>143</v>
      </c>
      <c r="G217" t="s">
        <v>47</v>
      </c>
      <c r="H217" s="9"/>
      <c r="I217" s="9" t="s">
        <v>59</v>
      </c>
      <c r="J217" t="s">
        <v>1216</v>
      </c>
      <c r="K217" s="9" t="s">
        <v>1497</v>
      </c>
      <c r="L217" s="9"/>
      <c r="M217" s="9" t="s">
        <v>1498</v>
      </c>
      <c r="N217" s="9" t="s">
        <v>1499</v>
      </c>
      <c r="O217" s="9" t="s">
        <v>1500</v>
      </c>
      <c r="P217" s="10">
        <v>13</v>
      </c>
    </row>
    <row r="218" spans="1:16" ht="129.6" x14ac:dyDescent="0.3">
      <c r="A218" t="s">
        <v>41</v>
      </c>
      <c r="B218" t="s">
        <v>1501</v>
      </c>
      <c r="C218" t="s">
        <v>369</v>
      </c>
      <c r="D218" s="9" t="s">
        <v>1502</v>
      </c>
      <c r="E218" t="s">
        <v>1003</v>
      </c>
      <c r="F218" t="s">
        <v>116</v>
      </c>
      <c r="G218" t="s">
        <v>47</v>
      </c>
      <c r="H218" s="9" t="s">
        <v>469</v>
      </c>
      <c r="I218" s="9" t="s">
        <v>307</v>
      </c>
      <c r="K218" s="9" t="s">
        <v>1503</v>
      </c>
      <c r="L218" s="9" t="s">
        <v>1504</v>
      </c>
      <c r="M218" s="9" t="s">
        <v>1505</v>
      </c>
      <c r="N218" s="9" t="s">
        <v>1506</v>
      </c>
      <c r="O218" s="9" t="s">
        <v>1507</v>
      </c>
      <c r="P218" s="10">
        <v>15</v>
      </c>
    </row>
    <row r="219" spans="1:16" ht="158.4" x14ac:dyDescent="0.3">
      <c r="A219" t="s">
        <v>41</v>
      </c>
      <c r="B219" t="s">
        <v>1501</v>
      </c>
      <c r="C219" t="s">
        <v>66</v>
      </c>
      <c r="D219" s="9" t="s">
        <v>1508</v>
      </c>
      <c r="E219" t="s">
        <v>55</v>
      </c>
      <c r="F219" t="s">
        <v>116</v>
      </c>
      <c r="G219" t="s">
        <v>47</v>
      </c>
      <c r="H219" s="9" t="s">
        <v>1509</v>
      </c>
      <c r="I219" s="9"/>
      <c r="J219" t="s">
        <v>1510</v>
      </c>
      <c r="K219" s="9" t="s">
        <v>1511</v>
      </c>
      <c r="L219" s="9" t="s">
        <v>1512</v>
      </c>
      <c r="M219" s="9" t="s">
        <v>1513</v>
      </c>
      <c r="N219" s="9" t="s">
        <v>1514</v>
      </c>
      <c r="O219" s="9" t="s">
        <v>1515</v>
      </c>
      <c r="P219" s="10">
        <v>15</v>
      </c>
    </row>
    <row r="220" spans="1:16" ht="115.2" x14ac:dyDescent="0.3">
      <c r="A220" t="s">
        <v>41</v>
      </c>
      <c r="B220" t="s">
        <v>1501</v>
      </c>
      <c r="C220" t="s">
        <v>74</v>
      </c>
      <c r="D220" s="9" t="s">
        <v>1516</v>
      </c>
      <c r="E220" t="s">
        <v>55</v>
      </c>
      <c r="F220" t="s">
        <v>69</v>
      </c>
      <c r="G220" t="s">
        <v>47</v>
      </c>
      <c r="H220" s="9"/>
      <c r="I220" s="9"/>
      <c r="K220" s="9" t="s">
        <v>1517</v>
      </c>
      <c r="L220" s="9" t="s">
        <v>1518</v>
      </c>
      <c r="M220" s="9"/>
      <c r="N220" s="9"/>
      <c r="O220" s="9" t="s">
        <v>1519</v>
      </c>
      <c r="P220" s="10">
        <v>15</v>
      </c>
    </row>
    <row r="221" spans="1:16" ht="86.4" x14ac:dyDescent="0.3">
      <c r="A221" t="s">
        <v>41</v>
      </c>
      <c r="B221" t="s">
        <v>1501</v>
      </c>
      <c r="C221" t="s">
        <v>43</v>
      </c>
      <c r="D221" s="9" t="s">
        <v>1520</v>
      </c>
      <c r="E221" t="s">
        <v>424</v>
      </c>
      <c r="F221" t="s">
        <v>143</v>
      </c>
      <c r="G221" t="s">
        <v>47</v>
      </c>
      <c r="H221" s="9" t="s">
        <v>1521</v>
      </c>
      <c r="I221" s="9"/>
      <c r="K221" s="9" t="s">
        <v>1522</v>
      </c>
      <c r="L221" s="9" t="s">
        <v>1523</v>
      </c>
      <c r="M221" s="9" t="s">
        <v>1524</v>
      </c>
      <c r="N221" s="9" t="s">
        <v>1525</v>
      </c>
      <c r="O221" s="9" t="s">
        <v>1526</v>
      </c>
      <c r="P221" s="10">
        <v>15</v>
      </c>
    </row>
    <row r="222" spans="1:16" ht="144" x14ac:dyDescent="0.3">
      <c r="A222" t="s">
        <v>41</v>
      </c>
      <c r="B222" t="s">
        <v>1501</v>
      </c>
      <c r="C222" t="s">
        <v>68</v>
      </c>
      <c r="D222" s="9" t="s">
        <v>1527</v>
      </c>
      <c r="E222" t="s">
        <v>424</v>
      </c>
      <c r="F222" t="s">
        <v>143</v>
      </c>
      <c r="G222" t="s">
        <v>47</v>
      </c>
      <c r="H222" s="9" t="s">
        <v>1528</v>
      </c>
      <c r="I222" s="9"/>
      <c r="K222" s="9" t="s">
        <v>1529</v>
      </c>
      <c r="L222" s="9" t="s">
        <v>1530</v>
      </c>
      <c r="M222" s="9" t="s">
        <v>1531</v>
      </c>
      <c r="N222" s="9" t="s">
        <v>1532</v>
      </c>
      <c r="O222" s="9" t="s">
        <v>1533</v>
      </c>
      <c r="P222" s="10">
        <v>15</v>
      </c>
    </row>
    <row r="223" spans="1:16" ht="72" x14ac:dyDescent="0.3">
      <c r="A223" t="s">
        <v>41</v>
      </c>
      <c r="B223" t="s">
        <v>1534</v>
      </c>
      <c r="C223" t="s">
        <v>369</v>
      </c>
      <c r="D223" s="9" t="s">
        <v>1535</v>
      </c>
      <c r="E223" t="s">
        <v>74</v>
      </c>
      <c r="F223" t="s">
        <v>46</v>
      </c>
      <c r="G223" t="s">
        <v>47</v>
      </c>
      <c r="H223" s="9"/>
      <c r="I223" s="9"/>
      <c r="K223" s="9" t="s">
        <v>1536</v>
      </c>
      <c r="L223" s="9"/>
      <c r="M223" s="9" t="s">
        <v>1537</v>
      </c>
      <c r="N223" s="9"/>
      <c r="O223" s="9" t="s">
        <v>1538</v>
      </c>
      <c r="P223" s="10">
        <v>16</v>
      </c>
    </row>
    <row r="224" spans="1:16" ht="72" x14ac:dyDescent="0.3">
      <c r="A224" t="s">
        <v>41</v>
      </c>
      <c r="B224" t="s">
        <v>1534</v>
      </c>
      <c r="C224" t="s">
        <v>66</v>
      </c>
      <c r="D224" s="9" t="s">
        <v>1539</v>
      </c>
      <c r="E224" t="s">
        <v>66</v>
      </c>
      <c r="F224" t="s">
        <v>46</v>
      </c>
      <c r="G224" t="s">
        <v>47</v>
      </c>
      <c r="H224" s="9"/>
      <c r="I224" s="9"/>
      <c r="K224" s="9" t="s">
        <v>1540</v>
      </c>
      <c r="L224" s="9"/>
      <c r="M224" s="9" t="s">
        <v>1541</v>
      </c>
      <c r="N224" s="9"/>
      <c r="O224" s="9" t="s">
        <v>1542</v>
      </c>
      <c r="P224" s="10">
        <v>16</v>
      </c>
    </row>
    <row r="225" spans="1:16" ht="115.2" x14ac:dyDescent="0.3">
      <c r="A225" t="s">
        <v>41</v>
      </c>
      <c r="B225" t="s">
        <v>1534</v>
      </c>
      <c r="C225" t="s">
        <v>74</v>
      </c>
      <c r="D225" s="9" t="s">
        <v>1543</v>
      </c>
      <c r="E225" t="s">
        <v>566</v>
      </c>
      <c r="F225" t="s">
        <v>46</v>
      </c>
      <c r="G225" t="s">
        <v>47</v>
      </c>
      <c r="H225" s="9"/>
      <c r="I225" s="9"/>
      <c r="K225" s="9" t="s">
        <v>1544</v>
      </c>
      <c r="L225" s="9"/>
      <c r="M225" s="9" t="s">
        <v>1545</v>
      </c>
      <c r="N225" s="9"/>
      <c r="O225" s="9" t="s">
        <v>1546</v>
      </c>
      <c r="P225" s="10">
        <v>16</v>
      </c>
    </row>
    <row r="226" spans="1:16" ht="100.8" x14ac:dyDescent="0.3">
      <c r="A226" t="s">
        <v>41</v>
      </c>
      <c r="B226" t="s">
        <v>1534</v>
      </c>
      <c r="C226" t="s">
        <v>43</v>
      </c>
      <c r="D226" s="9" t="s">
        <v>1547</v>
      </c>
      <c r="E226" t="s">
        <v>43</v>
      </c>
      <c r="F226" t="s">
        <v>143</v>
      </c>
      <c r="G226" t="s">
        <v>47</v>
      </c>
      <c r="H226" s="9" t="s">
        <v>488</v>
      </c>
      <c r="I226" s="9" t="s">
        <v>59</v>
      </c>
      <c r="K226" s="9" t="s">
        <v>1548</v>
      </c>
      <c r="L226" s="9" t="s">
        <v>1549</v>
      </c>
      <c r="M226" s="9"/>
      <c r="N226" s="9"/>
      <c r="O226" s="9" t="s">
        <v>1550</v>
      </c>
      <c r="P226" s="10">
        <v>16</v>
      </c>
    </row>
    <row r="227" spans="1:16" ht="129.6" x14ac:dyDescent="0.3">
      <c r="A227" t="s">
        <v>41</v>
      </c>
      <c r="B227" t="s">
        <v>1534</v>
      </c>
      <c r="C227" t="s">
        <v>68</v>
      </c>
      <c r="D227" s="9" t="s">
        <v>1551</v>
      </c>
      <c r="E227" t="s">
        <v>43</v>
      </c>
      <c r="F227" t="s">
        <v>143</v>
      </c>
      <c r="G227" t="s">
        <v>47</v>
      </c>
      <c r="H227" s="9" t="s">
        <v>488</v>
      </c>
      <c r="I227" s="9" t="s">
        <v>59</v>
      </c>
      <c r="K227" s="9" t="s">
        <v>1552</v>
      </c>
      <c r="L227" s="9" t="s">
        <v>1553</v>
      </c>
      <c r="M227" s="9" t="s">
        <v>1554</v>
      </c>
      <c r="N227" s="9" t="s">
        <v>1555</v>
      </c>
      <c r="O227" s="9" t="s">
        <v>1556</v>
      </c>
      <c r="P227" s="10">
        <v>16</v>
      </c>
    </row>
    <row r="228" spans="1:16" ht="115.2" x14ac:dyDescent="0.3">
      <c r="A228" t="s">
        <v>41</v>
      </c>
      <c r="B228" t="s">
        <v>1534</v>
      </c>
      <c r="C228" t="s">
        <v>82</v>
      </c>
      <c r="D228" s="9" t="s">
        <v>1557</v>
      </c>
      <c r="E228" t="s">
        <v>55</v>
      </c>
      <c r="F228" t="s">
        <v>143</v>
      </c>
      <c r="G228" t="s">
        <v>47</v>
      </c>
      <c r="H228" s="9" t="s">
        <v>452</v>
      </c>
      <c r="I228" s="9" t="s">
        <v>59</v>
      </c>
      <c r="K228" s="9" t="s">
        <v>1558</v>
      </c>
      <c r="L228" s="9" t="s">
        <v>1559</v>
      </c>
      <c r="M228" s="9" t="s">
        <v>1560</v>
      </c>
      <c r="N228" s="9" t="s">
        <v>1561</v>
      </c>
      <c r="O228" s="9" t="s">
        <v>1562</v>
      </c>
      <c r="P228" s="10">
        <v>16</v>
      </c>
    </row>
    <row r="229" spans="1:16" ht="115.2" x14ac:dyDescent="0.3">
      <c r="A229" t="s">
        <v>41</v>
      </c>
      <c r="B229" t="s">
        <v>1563</v>
      </c>
      <c r="C229" t="s">
        <v>369</v>
      </c>
      <c r="D229" s="9" t="s">
        <v>1564</v>
      </c>
      <c r="E229" t="s">
        <v>1039</v>
      </c>
      <c r="F229" t="s">
        <v>46</v>
      </c>
      <c r="G229" t="s">
        <v>47</v>
      </c>
      <c r="H229" s="9" t="s">
        <v>1565</v>
      </c>
      <c r="I229" s="9" t="s">
        <v>106</v>
      </c>
      <c r="J229" t="s">
        <v>1510</v>
      </c>
      <c r="K229" s="9" t="s">
        <v>1566</v>
      </c>
      <c r="L229" s="9" t="s">
        <v>1567</v>
      </c>
      <c r="M229" s="9" t="s">
        <v>1568</v>
      </c>
      <c r="N229" s="9" t="s">
        <v>1569</v>
      </c>
      <c r="O229" s="9" t="s">
        <v>1570</v>
      </c>
      <c r="P229" s="10">
        <v>17</v>
      </c>
    </row>
    <row r="230" spans="1:16" ht="115.2" x14ac:dyDescent="0.3">
      <c r="A230" t="s">
        <v>41</v>
      </c>
      <c r="B230" t="s">
        <v>1563</v>
      </c>
      <c r="C230" t="s">
        <v>66</v>
      </c>
      <c r="D230" s="9" t="s">
        <v>1571</v>
      </c>
      <c r="E230" t="s">
        <v>76</v>
      </c>
      <c r="F230" t="s">
        <v>46</v>
      </c>
      <c r="G230" t="s">
        <v>47</v>
      </c>
      <c r="H230" s="9" t="s">
        <v>1565</v>
      </c>
      <c r="I230" s="9" t="s">
        <v>106</v>
      </c>
      <c r="J230" t="s">
        <v>1510</v>
      </c>
      <c r="K230" s="9" t="s">
        <v>1572</v>
      </c>
      <c r="L230" s="9" t="s">
        <v>1573</v>
      </c>
      <c r="M230" s="9" t="s">
        <v>1574</v>
      </c>
      <c r="N230" s="9" t="s">
        <v>1575</v>
      </c>
      <c r="O230" s="9" t="s">
        <v>1576</v>
      </c>
      <c r="P230" s="10">
        <v>17</v>
      </c>
    </row>
    <row r="231" spans="1:16" ht="115.2" x14ac:dyDescent="0.3">
      <c r="A231" t="s">
        <v>41</v>
      </c>
      <c r="B231" t="s">
        <v>1563</v>
      </c>
      <c r="C231" t="s">
        <v>74</v>
      </c>
      <c r="D231" s="9" t="s">
        <v>1577</v>
      </c>
      <c r="E231" t="s">
        <v>55</v>
      </c>
      <c r="F231" t="s">
        <v>69</v>
      </c>
      <c r="G231" t="s">
        <v>47</v>
      </c>
      <c r="H231" s="9"/>
      <c r="I231" s="9"/>
      <c r="K231" s="9" t="s">
        <v>1578</v>
      </c>
      <c r="L231" s="9"/>
      <c r="M231" s="9" t="s">
        <v>1579</v>
      </c>
      <c r="N231" s="9" t="s">
        <v>1580</v>
      </c>
      <c r="O231" s="9" t="s">
        <v>1581</v>
      </c>
      <c r="P231" s="10">
        <v>17</v>
      </c>
    </row>
    <row r="232" spans="1:16" ht="115.2" x14ac:dyDescent="0.3">
      <c r="A232" t="s">
        <v>41</v>
      </c>
      <c r="B232" t="s">
        <v>1563</v>
      </c>
      <c r="C232" t="s">
        <v>43</v>
      </c>
      <c r="D232" s="9" t="s">
        <v>1582</v>
      </c>
      <c r="E232" t="s">
        <v>55</v>
      </c>
      <c r="F232" t="s">
        <v>143</v>
      </c>
      <c r="G232" t="s">
        <v>47</v>
      </c>
      <c r="H232" s="9"/>
      <c r="I232" s="9" t="s">
        <v>59</v>
      </c>
      <c r="K232" s="9" t="s">
        <v>1583</v>
      </c>
      <c r="L232" s="9" t="s">
        <v>1584</v>
      </c>
      <c r="M232" s="9" t="s">
        <v>1585</v>
      </c>
      <c r="N232" s="9"/>
      <c r="O232" s="9" t="s">
        <v>1586</v>
      </c>
      <c r="P232" s="10">
        <v>17</v>
      </c>
    </row>
    <row r="233" spans="1:16" ht="86.4" x14ac:dyDescent="0.3">
      <c r="A233" t="s">
        <v>41</v>
      </c>
      <c r="B233" t="s">
        <v>1563</v>
      </c>
      <c r="C233" t="s">
        <v>68</v>
      </c>
      <c r="D233" s="9" t="s">
        <v>1587</v>
      </c>
      <c r="E233" t="s">
        <v>55</v>
      </c>
      <c r="F233" t="s">
        <v>143</v>
      </c>
      <c r="G233" t="s">
        <v>47</v>
      </c>
      <c r="H233" s="9"/>
      <c r="I233" s="9" t="s">
        <v>59</v>
      </c>
      <c r="K233" s="9" t="s">
        <v>1588</v>
      </c>
      <c r="L233" s="9" t="s">
        <v>1589</v>
      </c>
      <c r="M233" s="9" t="s">
        <v>1590</v>
      </c>
      <c r="N233" s="9"/>
      <c r="O233" s="9" t="s">
        <v>1591</v>
      </c>
      <c r="P233" s="10">
        <v>17</v>
      </c>
    </row>
    <row r="234" spans="1:16" ht="86.4" x14ac:dyDescent="0.3">
      <c r="A234" t="s">
        <v>41</v>
      </c>
      <c r="B234" t="s">
        <v>1592</v>
      </c>
      <c r="C234" t="s">
        <v>66</v>
      </c>
      <c r="D234" s="9" t="s">
        <v>1593</v>
      </c>
      <c r="E234" t="s">
        <v>1175</v>
      </c>
      <c r="F234" t="s">
        <v>69</v>
      </c>
      <c r="G234" t="s">
        <v>47</v>
      </c>
      <c r="H234" s="9"/>
      <c r="I234" s="9"/>
      <c r="K234" s="9" t="s">
        <v>1594</v>
      </c>
      <c r="L234" s="9"/>
      <c r="M234" s="9" t="s">
        <v>1595</v>
      </c>
      <c r="N234" s="9" t="s">
        <v>1596</v>
      </c>
      <c r="O234" s="9" t="s">
        <v>1597</v>
      </c>
      <c r="P234" s="10">
        <v>18</v>
      </c>
    </row>
    <row r="235" spans="1:16" ht="172.8" x14ac:dyDescent="0.3">
      <c r="A235" t="s">
        <v>41</v>
      </c>
      <c r="B235" t="s">
        <v>1592</v>
      </c>
      <c r="C235" t="s">
        <v>74</v>
      </c>
      <c r="D235" s="9" t="s">
        <v>1598</v>
      </c>
      <c r="E235" t="s">
        <v>634</v>
      </c>
      <c r="F235" t="s">
        <v>46</v>
      </c>
      <c r="G235" t="s">
        <v>1599</v>
      </c>
      <c r="H235" s="9" t="s">
        <v>1600</v>
      </c>
      <c r="I235" s="9" t="s">
        <v>106</v>
      </c>
      <c r="K235" s="9" t="s">
        <v>1601</v>
      </c>
      <c r="L235" s="9" t="s">
        <v>1602</v>
      </c>
      <c r="M235" s="9" t="s">
        <v>1603</v>
      </c>
      <c r="N235" s="9" t="s">
        <v>1604</v>
      </c>
      <c r="O235" s="9" t="s">
        <v>1605</v>
      </c>
      <c r="P235" s="10">
        <v>18</v>
      </c>
    </row>
    <row r="236" spans="1:16" ht="72" x14ac:dyDescent="0.3">
      <c r="A236" t="s">
        <v>41</v>
      </c>
      <c r="B236" t="s">
        <v>1592</v>
      </c>
      <c r="C236" t="s">
        <v>1606</v>
      </c>
      <c r="D236" s="9" t="s">
        <v>1607</v>
      </c>
      <c r="E236" t="s">
        <v>841</v>
      </c>
      <c r="F236" t="s">
        <v>143</v>
      </c>
      <c r="G236" t="s">
        <v>47</v>
      </c>
      <c r="H236" s="9" t="s">
        <v>1608</v>
      </c>
      <c r="I236" s="9" t="s">
        <v>106</v>
      </c>
      <c r="J236" t="s">
        <v>1510</v>
      </c>
      <c r="K236" s="9" t="s">
        <v>1609</v>
      </c>
      <c r="L236" s="9" t="s">
        <v>1610</v>
      </c>
      <c r="M236" s="9" t="s">
        <v>1611</v>
      </c>
      <c r="N236" s="9"/>
      <c r="O236" s="9" t="s">
        <v>1612</v>
      </c>
      <c r="P236" s="10">
        <v>18</v>
      </c>
    </row>
    <row r="237" spans="1:16" ht="86.4" x14ac:dyDescent="0.3">
      <c r="A237" t="s">
        <v>41</v>
      </c>
      <c r="B237" t="s">
        <v>1592</v>
      </c>
      <c r="C237" t="s">
        <v>43</v>
      </c>
      <c r="D237" s="9" t="s">
        <v>1613</v>
      </c>
      <c r="E237" t="s">
        <v>1435</v>
      </c>
      <c r="F237" t="s">
        <v>69</v>
      </c>
      <c r="G237" t="s">
        <v>47</v>
      </c>
      <c r="H237" s="9" t="s">
        <v>1614</v>
      </c>
      <c r="I237" s="9" t="s">
        <v>271</v>
      </c>
      <c r="K237" s="9" t="s">
        <v>1615</v>
      </c>
      <c r="L237" s="9"/>
      <c r="M237" s="9" t="s">
        <v>1616</v>
      </c>
      <c r="N237" s="9" t="s">
        <v>1617</v>
      </c>
      <c r="O237" s="9" t="s">
        <v>1618</v>
      </c>
      <c r="P237" s="10">
        <v>18</v>
      </c>
    </row>
    <row r="238" spans="1:16" ht="403.2" x14ac:dyDescent="0.3">
      <c r="A238" t="s">
        <v>41</v>
      </c>
      <c r="B238" t="s">
        <v>1592</v>
      </c>
      <c r="C238" t="s">
        <v>68</v>
      </c>
      <c r="D238" s="9" t="s">
        <v>1619</v>
      </c>
      <c r="E238" t="s">
        <v>627</v>
      </c>
      <c r="F238" t="s">
        <v>69</v>
      </c>
      <c r="G238" t="s">
        <v>47</v>
      </c>
      <c r="H238" s="9" t="s">
        <v>1614</v>
      </c>
      <c r="I238" s="9" t="s">
        <v>271</v>
      </c>
      <c r="K238" s="9" t="s">
        <v>1620</v>
      </c>
      <c r="L238" s="9"/>
      <c r="M238" s="9" t="s">
        <v>1621</v>
      </c>
      <c r="N238" s="9" t="s">
        <v>1622</v>
      </c>
      <c r="O238" s="9" t="s">
        <v>1623</v>
      </c>
      <c r="P238" s="10">
        <v>18</v>
      </c>
    </row>
    <row r="239" spans="1:16" ht="409.6" x14ac:dyDescent="0.3">
      <c r="A239" t="s">
        <v>41</v>
      </c>
      <c r="B239" t="s">
        <v>1592</v>
      </c>
      <c r="C239" t="s">
        <v>55</v>
      </c>
      <c r="D239" s="9" t="s">
        <v>1624</v>
      </c>
      <c r="E239" t="s">
        <v>627</v>
      </c>
      <c r="F239" t="s">
        <v>69</v>
      </c>
      <c r="G239" t="s">
        <v>47</v>
      </c>
      <c r="H239" s="9" t="s">
        <v>1614</v>
      </c>
      <c r="I239" s="9" t="s">
        <v>271</v>
      </c>
      <c r="K239" s="9" t="s">
        <v>1625</v>
      </c>
      <c r="L239" s="9"/>
      <c r="M239" s="9" t="s">
        <v>1626</v>
      </c>
      <c r="N239" s="9" t="s">
        <v>1627</v>
      </c>
      <c r="O239" s="9" t="s">
        <v>1628</v>
      </c>
      <c r="P239" s="10">
        <v>18</v>
      </c>
    </row>
    <row r="240" spans="1:16" ht="172.8" x14ac:dyDescent="0.3">
      <c r="A240" t="s">
        <v>41</v>
      </c>
      <c r="B240" t="s">
        <v>1592</v>
      </c>
      <c r="C240" t="s">
        <v>424</v>
      </c>
      <c r="D240" s="9" t="s">
        <v>1629</v>
      </c>
      <c r="E240" t="s">
        <v>627</v>
      </c>
      <c r="F240" t="s">
        <v>69</v>
      </c>
      <c r="G240" t="s">
        <v>47</v>
      </c>
      <c r="H240" s="9" t="s">
        <v>1630</v>
      </c>
      <c r="I240" s="9"/>
      <c r="K240" s="9" t="s">
        <v>1631</v>
      </c>
      <c r="L240" s="9"/>
      <c r="M240" s="9" t="s">
        <v>1632</v>
      </c>
      <c r="N240" s="9" t="s">
        <v>1633</v>
      </c>
      <c r="O240" s="9" t="s">
        <v>1634</v>
      </c>
      <c r="P240" s="10">
        <v>18</v>
      </c>
    </row>
    <row r="241" spans="1:16" ht="100.8" x14ac:dyDescent="0.3">
      <c r="A241" t="s">
        <v>41</v>
      </c>
      <c r="B241" t="s">
        <v>1592</v>
      </c>
      <c r="C241" t="s">
        <v>433</v>
      </c>
      <c r="D241" s="9" t="s">
        <v>1635</v>
      </c>
      <c r="E241" t="s">
        <v>853</v>
      </c>
      <c r="F241" t="s">
        <v>116</v>
      </c>
      <c r="G241" t="s">
        <v>47</v>
      </c>
      <c r="H241" s="9"/>
      <c r="I241" s="9"/>
      <c r="K241" s="9" t="s">
        <v>1636</v>
      </c>
      <c r="L241" s="9"/>
      <c r="M241" s="9" t="s">
        <v>1637</v>
      </c>
      <c r="N241" s="9" t="s">
        <v>1638</v>
      </c>
      <c r="O241" s="9" t="s">
        <v>1639</v>
      </c>
      <c r="P241" s="10">
        <v>18</v>
      </c>
    </row>
    <row r="242" spans="1:16" ht="86.4" x14ac:dyDescent="0.3">
      <c r="A242" t="s">
        <v>41</v>
      </c>
      <c r="B242" t="s">
        <v>1592</v>
      </c>
      <c r="C242" t="s">
        <v>441</v>
      </c>
      <c r="D242" s="9" t="s">
        <v>1640</v>
      </c>
      <c r="E242" t="s">
        <v>912</v>
      </c>
      <c r="F242" t="s">
        <v>69</v>
      </c>
      <c r="G242" t="s">
        <v>47</v>
      </c>
      <c r="H242" s="9"/>
      <c r="I242" s="9"/>
      <c r="K242" s="9" t="s">
        <v>1641</v>
      </c>
      <c r="L242" s="9"/>
      <c r="M242" s="9" t="s">
        <v>1642</v>
      </c>
      <c r="N242" s="9" t="s">
        <v>1643</v>
      </c>
      <c r="O242" s="9" t="s">
        <v>1644</v>
      </c>
      <c r="P242" s="10">
        <v>18</v>
      </c>
    </row>
    <row r="243" spans="1:16" ht="115.2" x14ac:dyDescent="0.3">
      <c r="A243" t="s">
        <v>41</v>
      </c>
      <c r="B243" t="s">
        <v>1592</v>
      </c>
      <c r="C243" t="s">
        <v>449</v>
      </c>
      <c r="D243" s="9" t="s">
        <v>1645</v>
      </c>
      <c r="E243" t="s">
        <v>627</v>
      </c>
      <c r="F243" t="s">
        <v>116</v>
      </c>
      <c r="G243" t="s">
        <v>47</v>
      </c>
      <c r="H243" s="9"/>
      <c r="I243" s="9"/>
      <c r="K243" s="9" t="s">
        <v>1646</v>
      </c>
      <c r="L243" s="9"/>
      <c r="M243" s="9" t="s">
        <v>1647</v>
      </c>
      <c r="N243" s="9" t="s">
        <v>1648</v>
      </c>
      <c r="O243" s="9" t="s">
        <v>1649</v>
      </c>
      <c r="P243" s="10">
        <v>18</v>
      </c>
    </row>
    <row r="244" spans="1:16" ht="86.4" x14ac:dyDescent="0.3">
      <c r="A244" t="s">
        <v>41</v>
      </c>
      <c r="B244" t="s">
        <v>1592</v>
      </c>
      <c r="C244" t="s">
        <v>458</v>
      </c>
      <c r="D244" s="9" t="s">
        <v>1650</v>
      </c>
      <c r="E244" t="s">
        <v>627</v>
      </c>
      <c r="F244" t="s">
        <v>116</v>
      </c>
      <c r="G244" t="s">
        <v>47</v>
      </c>
      <c r="H244" s="9"/>
      <c r="I244" s="9"/>
      <c r="K244" s="9" t="s">
        <v>1651</v>
      </c>
      <c r="L244" s="9" t="s">
        <v>1652</v>
      </c>
      <c r="M244" s="9" t="s">
        <v>1653</v>
      </c>
      <c r="N244" s="9"/>
      <c r="O244" s="9" t="s">
        <v>1654</v>
      </c>
      <c r="P244" s="10">
        <v>18</v>
      </c>
    </row>
    <row r="245" spans="1:16" ht="100.8" x14ac:dyDescent="0.3">
      <c r="A245" t="s">
        <v>41</v>
      </c>
      <c r="B245" t="s">
        <v>1592</v>
      </c>
      <c r="C245" t="s">
        <v>466</v>
      </c>
      <c r="D245" s="9" t="s">
        <v>1655</v>
      </c>
      <c r="E245" t="s">
        <v>1427</v>
      </c>
      <c r="F245" t="s">
        <v>143</v>
      </c>
      <c r="G245" t="s">
        <v>47</v>
      </c>
      <c r="H245" s="9" t="s">
        <v>452</v>
      </c>
      <c r="I245" s="9" t="s">
        <v>106</v>
      </c>
      <c r="K245" s="9" t="s">
        <v>1656</v>
      </c>
      <c r="L245" s="9" t="s">
        <v>1657</v>
      </c>
      <c r="M245" s="9" t="s">
        <v>1658</v>
      </c>
      <c r="N245" s="9" t="s">
        <v>1659</v>
      </c>
      <c r="O245" s="9" t="s">
        <v>1660</v>
      </c>
      <c r="P245" s="10">
        <v>18</v>
      </c>
    </row>
    <row r="246" spans="1:16" ht="115.2" x14ac:dyDescent="0.3">
      <c r="A246" t="s">
        <v>41</v>
      </c>
      <c r="B246" t="s">
        <v>1592</v>
      </c>
      <c r="C246" t="s">
        <v>312</v>
      </c>
      <c r="D246" s="9" t="s">
        <v>1661</v>
      </c>
      <c r="E246" t="s">
        <v>634</v>
      </c>
      <c r="F246" t="s">
        <v>143</v>
      </c>
      <c r="G246" t="s">
        <v>47</v>
      </c>
      <c r="H246" s="9" t="s">
        <v>1662</v>
      </c>
      <c r="I246" s="9" t="s">
        <v>106</v>
      </c>
      <c r="K246" s="9" t="s">
        <v>1663</v>
      </c>
      <c r="L246" s="9" t="s">
        <v>1664</v>
      </c>
      <c r="M246" s="9" t="s">
        <v>1665</v>
      </c>
      <c r="N246" s="9" t="s">
        <v>1666</v>
      </c>
      <c r="O246" s="9" t="s">
        <v>1667</v>
      </c>
      <c r="P246" s="10">
        <v>18</v>
      </c>
    </row>
    <row r="247" spans="1:16" ht="172.8" x14ac:dyDescent="0.3">
      <c r="A247" t="s">
        <v>41</v>
      </c>
      <c r="B247" t="s">
        <v>1668</v>
      </c>
      <c r="C247" t="s">
        <v>369</v>
      </c>
      <c r="D247" s="9" t="s">
        <v>1669</v>
      </c>
      <c r="E247" t="s">
        <v>766</v>
      </c>
      <c r="F247" t="s">
        <v>69</v>
      </c>
      <c r="G247" t="s">
        <v>47</v>
      </c>
      <c r="H247" s="9"/>
      <c r="I247" s="9"/>
      <c r="K247" s="9" t="s">
        <v>1670</v>
      </c>
      <c r="L247" s="9"/>
      <c r="M247" s="9" t="s">
        <v>1671</v>
      </c>
      <c r="N247" s="9" t="s">
        <v>1672</v>
      </c>
      <c r="O247" s="9" t="s">
        <v>1673</v>
      </c>
      <c r="P247" s="10">
        <v>19</v>
      </c>
    </row>
    <row r="248" spans="1:16" ht="273.60000000000002" x14ac:dyDescent="0.3">
      <c r="A248" t="s">
        <v>41</v>
      </c>
      <c r="B248" t="s">
        <v>1668</v>
      </c>
      <c r="C248" t="s">
        <v>66</v>
      </c>
      <c r="D248" s="9" t="s">
        <v>1674</v>
      </c>
      <c r="E248" t="s">
        <v>766</v>
      </c>
      <c r="F248" t="s">
        <v>116</v>
      </c>
      <c r="G248" t="s">
        <v>47</v>
      </c>
      <c r="H248" s="9"/>
      <c r="I248" s="9"/>
      <c r="K248" s="9" t="s">
        <v>1675</v>
      </c>
      <c r="L248" s="9"/>
      <c r="M248" s="9" t="s">
        <v>1676</v>
      </c>
      <c r="N248" s="9" t="s">
        <v>1677</v>
      </c>
      <c r="O248" s="9" t="s">
        <v>1678</v>
      </c>
      <c r="P248" s="10">
        <v>19</v>
      </c>
    </row>
    <row r="249" spans="1:16" ht="129.6" x14ac:dyDescent="0.3">
      <c r="A249" t="s">
        <v>41</v>
      </c>
      <c r="B249" t="s">
        <v>1668</v>
      </c>
      <c r="C249" t="s">
        <v>74</v>
      </c>
      <c r="D249" s="9" t="s">
        <v>1679</v>
      </c>
      <c r="E249" t="s">
        <v>766</v>
      </c>
      <c r="F249" t="s">
        <v>69</v>
      </c>
      <c r="G249" t="s">
        <v>47</v>
      </c>
      <c r="H249" s="9"/>
      <c r="I249" s="9"/>
      <c r="J249" t="s">
        <v>1680</v>
      </c>
      <c r="K249" s="9" t="s">
        <v>1681</v>
      </c>
      <c r="L249" s="9" t="s">
        <v>1682</v>
      </c>
      <c r="M249" s="9" t="s">
        <v>1683</v>
      </c>
      <c r="N249" s="9" t="s">
        <v>1684</v>
      </c>
      <c r="O249" s="9" t="s">
        <v>1685</v>
      </c>
      <c r="P249" s="10">
        <v>19</v>
      </c>
    </row>
    <row r="250" spans="1:16" ht="115.2" x14ac:dyDescent="0.3">
      <c r="A250" t="s">
        <v>41</v>
      </c>
      <c r="B250" t="s">
        <v>1668</v>
      </c>
      <c r="C250" t="s">
        <v>43</v>
      </c>
      <c r="D250" s="9" t="s">
        <v>1686</v>
      </c>
      <c r="E250" t="s">
        <v>1353</v>
      </c>
      <c r="F250" t="s">
        <v>69</v>
      </c>
      <c r="G250" t="s">
        <v>47</v>
      </c>
      <c r="H250" s="9"/>
      <c r="I250" s="9"/>
      <c r="K250" s="9" t="s">
        <v>1687</v>
      </c>
      <c r="L250" s="9"/>
      <c r="M250" s="9" t="s">
        <v>1688</v>
      </c>
      <c r="N250" s="9"/>
      <c r="O250" s="9" t="s">
        <v>1689</v>
      </c>
      <c r="P250" s="10">
        <v>19</v>
      </c>
    </row>
    <row r="251" spans="1:16" ht="158.4" x14ac:dyDescent="0.3">
      <c r="A251" t="s">
        <v>41</v>
      </c>
      <c r="B251" t="s">
        <v>1668</v>
      </c>
      <c r="C251" t="s">
        <v>68</v>
      </c>
      <c r="D251" s="9" t="s">
        <v>1690</v>
      </c>
      <c r="E251" t="s">
        <v>1691</v>
      </c>
      <c r="F251" t="s">
        <v>116</v>
      </c>
      <c r="G251" t="s">
        <v>47</v>
      </c>
      <c r="H251" s="9" t="s">
        <v>469</v>
      </c>
      <c r="I251" s="9"/>
      <c r="K251" s="9" t="s">
        <v>1692</v>
      </c>
      <c r="L251" s="9" t="s">
        <v>1693</v>
      </c>
      <c r="M251" s="9" t="s">
        <v>1694</v>
      </c>
      <c r="N251" s="9" t="s">
        <v>1695</v>
      </c>
      <c r="O251" s="9" t="s">
        <v>1696</v>
      </c>
      <c r="P251" s="10">
        <v>19</v>
      </c>
    </row>
    <row r="252" spans="1:16" ht="129.6" x14ac:dyDescent="0.3">
      <c r="A252" t="s">
        <v>41</v>
      </c>
      <c r="B252" t="s">
        <v>1668</v>
      </c>
      <c r="C252" t="s">
        <v>82</v>
      </c>
      <c r="D252" s="9" t="s">
        <v>1697</v>
      </c>
      <c r="E252" t="s">
        <v>787</v>
      </c>
      <c r="F252" t="s">
        <v>69</v>
      </c>
      <c r="G252" t="s">
        <v>47</v>
      </c>
      <c r="H252" s="9"/>
      <c r="I252" s="9"/>
      <c r="K252" s="9" t="s">
        <v>1698</v>
      </c>
      <c r="L252" s="9"/>
      <c r="M252" s="9" t="s">
        <v>1699</v>
      </c>
      <c r="N252" s="9" t="s">
        <v>1700</v>
      </c>
      <c r="O252" s="9" t="s">
        <v>1701</v>
      </c>
      <c r="P252" s="10">
        <v>19</v>
      </c>
    </row>
    <row r="253" spans="1:16" ht="100.8" x14ac:dyDescent="0.3">
      <c r="A253" t="s">
        <v>41</v>
      </c>
      <c r="B253" t="s">
        <v>1668</v>
      </c>
      <c r="C253" t="s">
        <v>55</v>
      </c>
      <c r="D253" s="9" t="s">
        <v>1702</v>
      </c>
      <c r="E253" t="s">
        <v>604</v>
      </c>
      <c r="F253" t="s">
        <v>116</v>
      </c>
      <c r="G253" t="s">
        <v>47</v>
      </c>
      <c r="H253" s="9" t="s">
        <v>488</v>
      </c>
      <c r="I253" s="9" t="s">
        <v>106</v>
      </c>
      <c r="K253" s="9" t="s">
        <v>1703</v>
      </c>
      <c r="L253" s="9" t="s">
        <v>1704</v>
      </c>
      <c r="M253" s="9" t="s">
        <v>1705</v>
      </c>
      <c r="N253" s="9" t="s">
        <v>1706</v>
      </c>
      <c r="O253" s="9" t="s">
        <v>1707</v>
      </c>
      <c r="P253" s="10">
        <v>19</v>
      </c>
    </row>
    <row r="254" spans="1:16" ht="129.6" x14ac:dyDescent="0.3">
      <c r="A254" t="s">
        <v>41</v>
      </c>
      <c r="B254" t="s">
        <v>1668</v>
      </c>
      <c r="C254" t="s">
        <v>424</v>
      </c>
      <c r="D254" s="9" t="s">
        <v>1708</v>
      </c>
      <c r="E254" t="s">
        <v>604</v>
      </c>
      <c r="F254" t="s">
        <v>116</v>
      </c>
      <c r="G254" t="s">
        <v>47</v>
      </c>
      <c r="H254" s="9" t="s">
        <v>488</v>
      </c>
      <c r="I254" s="9" t="s">
        <v>106</v>
      </c>
      <c r="K254" s="9" t="s">
        <v>1709</v>
      </c>
      <c r="L254" s="9" t="s">
        <v>1710</v>
      </c>
      <c r="M254" s="9" t="s">
        <v>1711</v>
      </c>
      <c r="N254" s="9"/>
      <c r="O254" s="9" t="s">
        <v>1712</v>
      </c>
      <c r="P254" s="10">
        <v>19</v>
      </c>
    </row>
    <row r="255" spans="1:16" ht="144" x14ac:dyDescent="0.3">
      <c r="A255" t="s">
        <v>41</v>
      </c>
      <c r="B255" t="s">
        <v>1668</v>
      </c>
      <c r="C255" t="s">
        <v>433</v>
      </c>
      <c r="D255" s="9" t="s">
        <v>1713</v>
      </c>
      <c r="E255" t="s">
        <v>604</v>
      </c>
      <c r="F255" t="s">
        <v>116</v>
      </c>
      <c r="G255" t="s">
        <v>47</v>
      </c>
      <c r="H255" s="9"/>
      <c r="I255" s="9"/>
      <c r="J255" t="s">
        <v>1714</v>
      </c>
      <c r="K255" s="9" t="s">
        <v>1715</v>
      </c>
      <c r="L255" s="9" t="s">
        <v>1716</v>
      </c>
      <c r="M255" s="9" t="s">
        <v>1717</v>
      </c>
      <c r="N255" s="9" t="s">
        <v>1718</v>
      </c>
      <c r="O255" s="9" t="s">
        <v>1719</v>
      </c>
      <c r="P255" s="10">
        <v>19</v>
      </c>
    </row>
    <row r="256" spans="1:16" ht="100.8" x14ac:dyDescent="0.3">
      <c r="A256" t="s">
        <v>41</v>
      </c>
      <c r="B256" t="s">
        <v>1668</v>
      </c>
      <c r="C256" t="s">
        <v>441</v>
      </c>
      <c r="D256" s="9" t="s">
        <v>1720</v>
      </c>
      <c r="E256" t="s">
        <v>604</v>
      </c>
      <c r="F256" t="s">
        <v>116</v>
      </c>
      <c r="G256" t="s">
        <v>47</v>
      </c>
      <c r="H256" s="9"/>
      <c r="I256" s="9"/>
      <c r="J256" t="s">
        <v>1714</v>
      </c>
      <c r="K256" s="9" t="s">
        <v>1721</v>
      </c>
      <c r="L256" s="9" t="s">
        <v>1722</v>
      </c>
      <c r="M256" s="9" t="s">
        <v>1723</v>
      </c>
      <c r="N256" s="9" t="s">
        <v>1724</v>
      </c>
      <c r="O256" s="9" t="s">
        <v>1725</v>
      </c>
      <c r="P256" s="10">
        <v>19</v>
      </c>
    </row>
    <row r="257" spans="1:16" ht="172.8" x14ac:dyDescent="0.3">
      <c r="A257" t="s">
        <v>41</v>
      </c>
      <c r="B257" t="s">
        <v>1668</v>
      </c>
      <c r="C257" t="s">
        <v>449</v>
      </c>
      <c r="D257" s="9" t="s">
        <v>1726</v>
      </c>
      <c r="E257" t="s">
        <v>604</v>
      </c>
      <c r="F257" t="s">
        <v>116</v>
      </c>
      <c r="G257" t="s">
        <v>47</v>
      </c>
      <c r="H257" s="9"/>
      <c r="I257" s="9"/>
      <c r="K257" s="9" t="s">
        <v>1727</v>
      </c>
      <c r="L257" s="9" t="s">
        <v>1728</v>
      </c>
      <c r="M257" s="9" t="s">
        <v>1729</v>
      </c>
      <c r="N257" s="9" t="s">
        <v>1730</v>
      </c>
      <c r="O257" s="9" t="s">
        <v>1731</v>
      </c>
      <c r="P257" s="10">
        <v>19</v>
      </c>
    </row>
    <row r="258" spans="1:16" ht="72" x14ac:dyDescent="0.3">
      <c r="A258" t="s">
        <v>41</v>
      </c>
      <c r="B258" t="s">
        <v>1668</v>
      </c>
      <c r="C258" t="s">
        <v>458</v>
      </c>
      <c r="D258" s="9" t="s">
        <v>1732</v>
      </c>
      <c r="E258" t="s">
        <v>1370</v>
      </c>
      <c r="F258" t="s">
        <v>116</v>
      </c>
      <c r="G258" t="s">
        <v>47</v>
      </c>
      <c r="H258" s="9"/>
      <c r="I258" s="9"/>
      <c r="K258" s="9" t="s">
        <v>1733</v>
      </c>
      <c r="L258" s="9" t="s">
        <v>1734</v>
      </c>
      <c r="M258" s="9" t="s">
        <v>1735</v>
      </c>
      <c r="N258" s="9"/>
      <c r="O258" s="9" t="s">
        <v>1736</v>
      </c>
      <c r="P258" s="10">
        <v>19</v>
      </c>
    </row>
    <row r="259" spans="1:16" ht="72" x14ac:dyDescent="0.3">
      <c r="A259" t="s">
        <v>41</v>
      </c>
      <c r="B259" t="s">
        <v>1668</v>
      </c>
      <c r="C259" t="s">
        <v>466</v>
      </c>
      <c r="D259" s="9" t="s">
        <v>1737</v>
      </c>
      <c r="E259" t="s">
        <v>611</v>
      </c>
      <c r="F259" t="s">
        <v>116</v>
      </c>
      <c r="G259" t="s">
        <v>47</v>
      </c>
      <c r="H259" s="9"/>
      <c r="I259" s="9"/>
      <c r="K259" s="9" t="s">
        <v>1738</v>
      </c>
      <c r="L259" s="9" t="s">
        <v>1739</v>
      </c>
      <c r="M259" s="9" t="s">
        <v>1740</v>
      </c>
      <c r="N259" s="9"/>
      <c r="O259" s="9" t="s">
        <v>1741</v>
      </c>
      <c r="P259" s="10">
        <v>19</v>
      </c>
    </row>
    <row r="260" spans="1:16" ht="100.8" x14ac:dyDescent="0.3">
      <c r="A260" t="s">
        <v>41</v>
      </c>
      <c r="B260" t="s">
        <v>1668</v>
      </c>
      <c r="C260" t="s">
        <v>312</v>
      </c>
      <c r="D260" s="9" t="s">
        <v>1742</v>
      </c>
      <c r="E260" t="s">
        <v>611</v>
      </c>
      <c r="F260" t="s">
        <v>116</v>
      </c>
      <c r="G260" t="s">
        <v>47</v>
      </c>
      <c r="H260" s="9"/>
      <c r="I260" s="9"/>
      <c r="J260" t="s">
        <v>1714</v>
      </c>
      <c r="K260" s="9" t="s">
        <v>1743</v>
      </c>
      <c r="L260" s="9" t="s">
        <v>1744</v>
      </c>
      <c r="M260" s="9" t="s">
        <v>1745</v>
      </c>
      <c r="N260" s="9" t="s">
        <v>1746</v>
      </c>
      <c r="O260" s="9" t="s">
        <v>1747</v>
      </c>
      <c r="P260" s="10">
        <v>19</v>
      </c>
    </row>
    <row r="261" spans="1:16" ht="144" x14ac:dyDescent="0.3">
      <c r="A261" t="s">
        <v>41</v>
      </c>
      <c r="B261" t="s">
        <v>1668</v>
      </c>
      <c r="C261" t="s">
        <v>1748</v>
      </c>
      <c r="D261" s="9" t="s">
        <v>1749</v>
      </c>
      <c r="E261" t="s">
        <v>1750</v>
      </c>
      <c r="F261" t="s">
        <v>143</v>
      </c>
      <c r="G261" t="s">
        <v>47</v>
      </c>
      <c r="H261" s="9" t="s">
        <v>1751</v>
      </c>
      <c r="I261" s="9" t="s">
        <v>59</v>
      </c>
      <c r="J261" t="s">
        <v>1510</v>
      </c>
      <c r="K261" s="9" t="s">
        <v>1752</v>
      </c>
      <c r="L261" s="9" t="s">
        <v>1753</v>
      </c>
      <c r="M261" s="9" t="s">
        <v>1754</v>
      </c>
      <c r="N261" s="9" t="s">
        <v>1755</v>
      </c>
      <c r="O261" s="9" t="s">
        <v>1756</v>
      </c>
      <c r="P261" s="10">
        <v>19</v>
      </c>
    </row>
    <row r="262" spans="1:16" ht="158.4" x14ac:dyDescent="0.3">
      <c r="A262" t="s">
        <v>41</v>
      </c>
      <c r="B262" t="s">
        <v>1668</v>
      </c>
      <c r="C262" t="s">
        <v>1757</v>
      </c>
      <c r="D262" s="9" t="s">
        <v>1758</v>
      </c>
      <c r="E262" t="s">
        <v>1759</v>
      </c>
      <c r="F262" t="s">
        <v>116</v>
      </c>
      <c r="G262" t="s">
        <v>47</v>
      </c>
      <c r="H262" s="9" t="s">
        <v>1760</v>
      </c>
      <c r="I262" s="9" t="s">
        <v>106</v>
      </c>
      <c r="J262" t="s">
        <v>1510</v>
      </c>
      <c r="K262" s="9" t="s">
        <v>1761</v>
      </c>
      <c r="L262" s="9" t="s">
        <v>1762</v>
      </c>
      <c r="M262" s="9" t="s">
        <v>1763</v>
      </c>
      <c r="N262" s="9" t="s">
        <v>1764</v>
      </c>
      <c r="O262" s="9" t="s">
        <v>1765</v>
      </c>
      <c r="P262" s="10">
        <v>19</v>
      </c>
    </row>
    <row r="263" spans="1:16" ht="144" x14ac:dyDescent="0.3">
      <c r="A263" t="s">
        <v>41</v>
      </c>
      <c r="B263" t="s">
        <v>1668</v>
      </c>
      <c r="C263" t="s">
        <v>1766</v>
      </c>
      <c r="D263" s="9" t="s">
        <v>1767</v>
      </c>
      <c r="E263" t="s">
        <v>1768</v>
      </c>
      <c r="F263" t="s">
        <v>116</v>
      </c>
      <c r="G263" t="s">
        <v>47</v>
      </c>
      <c r="H263" s="9" t="s">
        <v>1769</v>
      </c>
      <c r="I263" s="9"/>
      <c r="J263" t="s">
        <v>1510</v>
      </c>
      <c r="K263" s="9" t="s">
        <v>1770</v>
      </c>
      <c r="L263" s="9" t="s">
        <v>1771</v>
      </c>
      <c r="M263" s="9" t="s">
        <v>1772</v>
      </c>
      <c r="N263" s="9" t="s">
        <v>1773</v>
      </c>
      <c r="O263" s="9" t="s">
        <v>1774</v>
      </c>
      <c r="P263" s="10">
        <v>19</v>
      </c>
    </row>
    <row r="264" spans="1:16" ht="187.2" x14ac:dyDescent="0.3">
      <c r="A264" t="s">
        <v>41</v>
      </c>
      <c r="B264" t="s">
        <v>1668</v>
      </c>
      <c r="C264" t="s">
        <v>1775</v>
      </c>
      <c r="D264" s="9" t="s">
        <v>1776</v>
      </c>
      <c r="E264" t="s">
        <v>1777</v>
      </c>
      <c r="F264" t="s">
        <v>46</v>
      </c>
      <c r="G264" t="s">
        <v>47</v>
      </c>
      <c r="H264" s="9" t="s">
        <v>1778</v>
      </c>
      <c r="I264" s="9" t="s">
        <v>106</v>
      </c>
      <c r="J264" t="s">
        <v>1510</v>
      </c>
      <c r="K264" s="9" t="s">
        <v>1779</v>
      </c>
      <c r="L264" s="9" t="s">
        <v>1780</v>
      </c>
      <c r="M264" s="9" t="s">
        <v>1781</v>
      </c>
      <c r="N264" s="9" t="s">
        <v>1782</v>
      </c>
      <c r="O264" s="9" t="s">
        <v>1783</v>
      </c>
      <c r="P264" s="10">
        <v>19</v>
      </c>
    </row>
    <row r="265" spans="1:16" ht="129.6" x14ac:dyDescent="0.3">
      <c r="A265" t="s">
        <v>41</v>
      </c>
      <c r="B265" t="s">
        <v>1668</v>
      </c>
      <c r="C265" t="s">
        <v>1784</v>
      </c>
      <c r="D265" s="9" t="s">
        <v>1785</v>
      </c>
      <c r="E265" t="s">
        <v>1786</v>
      </c>
      <c r="F265" t="s">
        <v>46</v>
      </c>
      <c r="G265" t="s">
        <v>47</v>
      </c>
      <c r="H265" s="9" t="s">
        <v>1778</v>
      </c>
      <c r="I265" s="9" t="s">
        <v>106</v>
      </c>
      <c r="J265" t="s">
        <v>1510</v>
      </c>
      <c r="K265" s="9" t="s">
        <v>1787</v>
      </c>
      <c r="L265" s="9" t="s">
        <v>1788</v>
      </c>
      <c r="M265" s="9" t="s">
        <v>1789</v>
      </c>
      <c r="N265" s="9" t="s">
        <v>1790</v>
      </c>
      <c r="O265" s="9" t="s">
        <v>1791</v>
      </c>
      <c r="P265" s="10">
        <v>19</v>
      </c>
    </row>
    <row r="266" spans="1:16" ht="144" x14ac:dyDescent="0.3">
      <c r="A266" t="s">
        <v>41</v>
      </c>
      <c r="B266" t="s">
        <v>1668</v>
      </c>
      <c r="C266" t="s">
        <v>1792</v>
      </c>
      <c r="D266" s="9" t="s">
        <v>1793</v>
      </c>
      <c r="E266" t="s">
        <v>1794</v>
      </c>
      <c r="F266" t="s">
        <v>46</v>
      </c>
      <c r="G266" t="s">
        <v>47</v>
      </c>
      <c r="H266" s="9" t="s">
        <v>1795</v>
      </c>
      <c r="I266" s="9" t="s">
        <v>614</v>
      </c>
      <c r="J266" t="s">
        <v>1796</v>
      </c>
      <c r="K266" s="9" t="s">
        <v>1797</v>
      </c>
      <c r="L266" s="9" t="s">
        <v>1798</v>
      </c>
      <c r="M266" s="9" t="s">
        <v>1799</v>
      </c>
      <c r="N266" s="9" t="s">
        <v>1800</v>
      </c>
      <c r="O266" s="9" t="s">
        <v>1801</v>
      </c>
      <c r="P266" s="10">
        <v>19</v>
      </c>
    </row>
    <row r="267" spans="1:16" ht="129.6" x14ac:dyDescent="0.3">
      <c r="A267" t="s">
        <v>41</v>
      </c>
      <c r="B267" t="s">
        <v>1668</v>
      </c>
      <c r="C267" t="s">
        <v>1802</v>
      </c>
      <c r="D267" s="9" t="s">
        <v>1803</v>
      </c>
      <c r="E267" t="s">
        <v>1804</v>
      </c>
      <c r="F267" t="s">
        <v>116</v>
      </c>
      <c r="G267" t="s">
        <v>47</v>
      </c>
      <c r="H267" s="9" t="s">
        <v>372</v>
      </c>
      <c r="I267" s="9"/>
      <c r="J267" t="s">
        <v>1805</v>
      </c>
      <c r="K267" s="9" t="s">
        <v>1806</v>
      </c>
      <c r="L267" s="9" t="s">
        <v>1807</v>
      </c>
      <c r="M267" s="9" t="s">
        <v>1808</v>
      </c>
      <c r="N267" s="9" t="s">
        <v>1809</v>
      </c>
      <c r="O267" s="9" t="s">
        <v>1810</v>
      </c>
      <c r="P267" s="10">
        <v>19</v>
      </c>
    </row>
    <row r="268" spans="1:16" ht="115.2" x14ac:dyDescent="0.3">
      <c r="A268" t="s">
        <v>41</v>
      </c>
      <c r="B268" t="s">
        <v>1811</v>
      </c>
      <c r="C268" t="s">
        <v>369</v>
      </c>
      <c r="D268" s="9" t="s">
        <v>1812</v>
      </c>
      <c r="E268" t="s">
        <v>1813</v>
      </c>
      <c r="F268" t="s">
        <v>116</v>
      </c>
      <c r="G268" t="s">
        <v>47</v>
      </c>
      <c r="H268" s="9" t="s">
        <v>711</v>
      </c>
      <c r="I268" s="9"/>
      <c r="K268" s="9" t="s">
        <v>1814</v>
      </c>
      <c r="L268" s="9"/>
      <c r="M268" s="9" t="s">
        <v>1815</v>
      </c>
      <c r="N268" s="9" t="s">
        <v>1816</v>
      </c>
      <c r="O268" s="9" t="s">
        <v>1817</v>
      </c>
      <c r="P268" s="10">
        <v>20</v>
      </c>
    </row>
    <row r="269" spans="1:16" ht="100.8" x14ac:dyDescent="0.3">
      <c r="A269" t="s">
        <v>41</v>
      </c>
      <c r="B269" t="s">
        <v>1811</v>
      </c>
      <c r="C269" t="s">
        <v>66</v>
      </c>
      <c r="D269" s="9" t="s">
        <v>1818</v>
      </c>
      <c r="E269" t="s">
        <v>1039</v>
      </c>
      <c r="F269" t="s">
        <v>116</v>
      </c>
      <c r="G269" t="s">
        <v>47</v>
      </c>
      <c r="H269" s="9" t="s">
        <v>711</v>
      </c>
      <c r="I269" s="9"/>
      <c r="K269" s="9" t="s">
        <v>1819</v>
      </c>
      <c r="L269" s="9"/>
      <c r="M269" s="9" t="s">
        <v>1820</v>
      </c>
      <c r="N269" s="9" t="s">
        <v>1821</v>
      </c>
      <c r="O269" s="9" t="s">
        <v>1822</v>
      </c>
      <c r="P269" s="10">
        <v>20</v>
      </c>
    </row>
    <row r="270" spans="1:16" ht="129.6" x14ac:dyDescent="0.3">
      <c r="A270" t="s">
        <v>41</v>
      </c>
      <c r="B270" t="s">
        <v>1811</v>
      </c>
      <c r="C270" t="s">
        <v>74</v>
      </c>
      <c r="D270" s="9" t="s">
        <v>1823</v>
      </c>
      <c r="E270" t="s">
        <v>1824</v>
      </c>
      <c r="F270" t="s">
        <v>143</v>
      </c>
      <c r="G270" t="s">
        <v>47</v>
      </c>
      <c r="H270" s="9"/>
      <c r="I270" s="9"/>
      <c r="J270" t="s">
        <v>1680</v>
      </c>
      <c r="K270" s="9" t="s">
        <v>1825</v>
      </c>
      <c r="L270" s="9" t="s">
        <v>1826</v>
      </c>
      <c r="M270" s="9" t="s">
        <v>1827</v>
      </c>
      <c r="N270" s="9" t="s">
        <v>1828</v>
      </c>
      <c r="O270" s="9" t="s">
        <v>1829</v>
      </c>
      <c r="P270" s="10">
        <v>20</v>
      </c>
    </row>
    <row r="271" spans="1:16" ht="201.6" x14ac:dyDescent="0.3">
      <c r="A271" t="s">
        <v>41</v>
      </c>
      <c r="B271" t="s">
        <v>1811</v>
      </c>
      <c r="C271" t="s">
        <v>1606</v>
      </c>
      <c r="D271" s="9" t="s">
        <v>1830</v>
      </c>
      <c r="E271" t="s">
        <v>775</v>
      </c>
      <c r="F271" t="s">
        <v>143</v>
      </c>
      <c r="G271" t="s">
        <v>47</v>
      </c>
      <c r="H271" s="9" t="s">
        <v>59</v>
      </c>
      <c r="I271" s="9" t="s">
        <v>59</v>
      </c>
      <c r="K271" s="9" t="s">
        <v>1831</v>
      </c>
      <c r="L271" s="9" t="s">
        <v>1832</v>
      </c>
      <c r="M271" s="9" t="s">
        <v>1833</v>
      </c>
      <c r="N271" s="9" t="s">
        <v>1834</v>
      </c>
      <c r="O271" s="9" t="s">
        <v>1835</v>
      </c>
      <c r="P271" s="10">
        <v>20</v>
      </c>
    </row>
    <row r="272" spans="1:16" ht="115.2" x14ac:dyDescent="0.3">
      <c r="A272" t="s">
        <v>41</v>
      </c>
      <c r="B272" t="s">
        <v>1811</v>
      </c>
      <c r="C272" t="s">
        <v>43</v>
      </c>
      <c r="D272" s="9" t="s">
        <v>1836</v>
      </c>
      <c r="E272" t="s">
        <v>796</v>
      </c>
      <c r="F272" t="s">
        <v>69</v>
      </c>
      <c r="G272" t="s">
        <v>47</v>
      </c>
      <c r="H272" s="9" t="s">
        <v>711</v>
      </c>
      <c r="I272" s="9"/>
      <c r="K272" s="9" t="s">
        <v>1837</v>
      </c>
      <c r="L272" s="9"/>
      <c r="M272" s="9" t="s">
        <v>1838</v>
      </c>
      <c r="N272" s="9"/>
      <c r="O272" s="9" t="s">
        <v>1839</v>
      </c>
      <c r="P272" s="10">
        <v>20</v>
      </c>
    </row>
    <row r="273" spans="1:16" ht="86.4" x14ac:dyDescent="0.3">
      <c r="A273" t="s">
        <v>41</v>
      </c>
      <c r="B273" t="s">
        <v>1811</v>
      </c>
      <c r="C273" t="s">
        <v>68</v>
      </c>
      <c r="D273" s="9" t="s">
        <v>1840</v>
      </c>
      <c r="E273" t="s">
        <v>1841</v>
      </c>
      <c r="F273" t="s">
        <v>143</v>
      </c>
      <c r="G273" t="s">
        <v>47</v>
      </c>
      <c r="H273" s="9" t="s">
        <v>1842</v>
      </c>
      <c r="I273" s="9" t="s">
        <v>106</v>
      </c>
      <c r="J273" t="s">
        <v>1843</v>
      </c>
      <c r="K273" s="9" t="s">
        <v>1844</v>
      </c>
      <c r="L273" s="9" t="s">
        <v>1845</v>
      </c>
      <c r="M273" s="9" t="s">
        <v>1846</v>
      </c>
      <c r="N273" s="9"/>
      <c r="O273" s="9" t="s">
        <v>1847</v>
      </c>
      <c r="P273" s="10">
        <v>20</v>
      </c>
    </row>
    <row r="274" spans="1:16" ht="144" x14ac:dyDescent="0.3">
      <c r="A274" t="s">
        <v>41</v>
      </c>
      <c r="B274" t="s">
        <v>1811</v>
      </c>
      <c r="C274" t="s">
        <v>1848</v>
      </c>
      <c r="D274" s="9" t="s">
        <v>1849</v>
      </c>
      <c r="E274" t="s">
        <v>1850</v>
      </c>
      <c r="F274" t="s">
        <v>143</v>
      </c>
      <c r="G274" t="s">
        <v>47</v>
      </c>
      <c r="H274" s="9" t="s">
        <v>1851</v>
      </c>
      <c r="I274" s="9" t="s">
        <v>144</v>
      </c>
      <c r="K274" s="9" t="s">
        <v>1852</v>
      </c>
      <c r="L274" s="9" t="s">
        <v>1853</v>
      </c>
      <c r="M274" s="9" t="s">
        <v>1854</v>
      </c>
      <c r="N274" s="9" t="s">
        <v>1855</v>
      </c>
      <c r="O274" s="9" t="s">
        <v>1856</v>
      </c>
      <c r="P274" s="10">
        <v>20</v>
      </c>
    </row>
    <row r="275" spans="1:16" ht="158.4" x14ac:dyDescent="0.3">
      <c r="A275" t="s">
        <v>41</v>
      </c>
      <c r="B275" t="s">
        <v>1811</v>
      </c>
      <c r="C275" t="s">
        <v>1857</v>
      </c>
      <c r="D275" s="9" t="s">
        <v>1858</v>
      </c>
      <c r="E275" t="s">
        <v>1859</v>
      </c>
      <c r="F275" t="s">
        <v>143</v>
      </c>
      <c r="G275" t="s">
        <v>47</v>
      </c>
      <c r="H275" s="9" t="s">
        <v>1860</v>
      </c>
      <c r="I275" s="9" t="s">
        <v>144</v>
      </c>
      <c r="J275" t="s">
        <v>1861</v>
      </c>
      <c r="K275" s="9" t="s">
        <v>1862</v>
      </c>
      <c r="L275" s="9" t="s">
        <v>1863</v>
      </c>
      <c r="M275" s="9" t="s">
        <v>1864</v>
      </c>
      <c r="N275" s="9" t="s">
        <v>1865</v>
      </c>
      <c r="O275" s="9" t="s">
        <v>1866</v>
      </c>
      <c r="P275" s="10">
        <v>20</v>
      </c>
    </row>
    <row r="276" spans="1:16" ht="144" x14ac:dyDescent="0.3">
      <c r="A276" t="s">
        <v>41</v>
      </c>
      <c r="B276" t="s">
        <v>1811</v>
      </c>
      <c r="C276" t="s">
        <v>1867</v>
      </c>
      <c r="D276" s="9" t="s">
        <v>1868</v>
      </c>
      <c r="E276" t="s">
        <v>1869</v>
      </c>
      <c r="F276" t="s">
        <v>143</v>
      </c>
      <c r="G276" t="s">
        <v>47</v>
      </c>
      <c r="H276" s="9" t="s">
        <v>1870</v>
      </c>
      <c r="I276" s="9" t="s">
        <v>59</v>
      </c>
      <c r="J276" t="s">
        <v>1861</v>
      </c>
      <c r="K276" s="9" t="s">
        <v>1871</v>
      </c>
      <c r="L276" s="9" t="s">
        <v>1872</v>
      </c>
      <c r="M276" s="9" t="s">
        <v>1873</v>
      </c>
      <c r="N276" s="9" t="s">
        <v>1874</v>
      </c>
      <c r="O276" s="9" t="s">
        <v>1875</v>
      </c>
      <c r="P276" s="10">
        <v>20</v>
      </c>
    </row>
    <row r="277" spans="1:16" ht="158.4" x14ac:dyDescent="0.3">
      <c r="A277" t="s">
        <v>41</v>
      </c>
      <c r="B277" t="s">
        <v>1811</v>
      </c>
      <c r="C277" t="s">
        <v>1876</v>
      </c>
      <c r="D277" s="9" t="s">
        <v>1877</v>
      </c>
      <c r="E277" t="s">
        <v>1878</v>
      </c>
      <c r="F277" t="s">
        <v>143</v>
      </c>
      <c r="G277" t="s">
        <v>47</v>
      </c>
      <c r="H277" s="9" t="s">
        <v>1879</v>
      </c>
      <c r="I277" s="9" t="s">
        <v>59</v>
      </c>
      <c r="J277" t="s">
        <v>1880</v>
      </c>
      <c r="K277" s="9" t="s">
        <v>1881</v>
      </c>
      <c r="L277" s="9" t="s">
        <v>1882</v>
      </c>
      <c r="M277" s="9" t="s">
        <v>1883</v>
      </c>
      <c r="N277" s="9" t="s">
        <v>1884</v>
      </c>
      <c r="O277" s="9" t="s">
        <v>1885</v>
      </c>
      <c r="P277" s="10">
        <v>20</v>
      </c>
    </row>
    <row r="278" spans="1:16" ht="115.2" x14ac:dyDescent="0.3">
      <c r="A278" t="s">
        <v>41</v>
      </c>
      <c r="B278" t="s">
        <v>1811</v>
      </c>
      <c r="C278" t="s">
        <v>1886</v>
      </c>
      <c r="D278" s="9" t="s">
        <v>1887</v>
      </c>
      <c r="E278" t="s">
        <v>1394</v>
      </c>
      <c r="F278" t="s">
        <v>143</v>
      </c>
      <c r="G278" t="s">
        <v>47</v>
      </c>
      <c r="H278" s="9" t="s">
        <v>1888</v>
      </c>
      <c r="I278" s="9" t="s">
        <v>59</v>
      </c>
      <c r="J278" t="s">
        <v>1880</v>
      </c>
      <c r="K278" s="9" t="s">
        <v>1889</v>
      </c>
      <c r="L278" s="9" t="s">
        <v>1890</v>
      </c>
      <c r="M278" s="9" t="s">
        <v>1891</v>
      </c>
      <c r="N278" s="9" t="s">
        <v>1892</v>
      </c>
      <c r="O278" s="9" t="s">
        <v>1893</v>
      </c>
      <c r="P278" s="10">
        <v>20</v>
      </c>
    </row>
    <row r="279" spans="1:16" ht="129.6" x14ac:dyDescent="0.3">
      <c r="A279" t="s">
        <v>41</v>
      </c>
      <c r="B279" t="s">
        <v>1811</v>
      </c>
      <c r="C279" t="s">
        <v>82</v>
      </c>
      <c r="D279" s="9" t="s">
        <v>1697</v>
      </c>
      <c r="E279" t="s">
        <v>1470</v>
      </c>
      <c r="F279" t="s">
        <v>69</v>
      </c>
      <c r="G279" t="s">
        <v>47</v>
      </c>
      <c r="H279" s="9" t="s">
        <v>711</v>
      </c>
      <c r="I279" s="9"/>
      <c r="K279" s="9" t="s">
        <v>1894</v>
      </c>
      <c r="L279" s="9"/>
      <c r="M279" s="9" t="s">
        <v>1895</v>
      </c>
      <c r="N279" s="9" t="s">
        <v>1896</v>
      </c>
      <c r="O279" s="9" t="s">
        <v>1897</v>
      </c>
      <c r="P279" s="10">
        <v>20</v>
      </c>
    </row>
    <row r="280" spans="1:16" ht="259.2" x14ac:dyDescent="0.3">
      <c r="A280" t="s">
        <v>41</v>
      </c>
      <c r="B280" t="s">
        <v>1811</v>
      </c>
      <c r="C280" t="s">
        <v>55</v>
      </c>
      <c r="D280" s="9" t="s">
        <v>1898</v>
      </c>
      <c r="E280" t="s">
        <v>1899</v>
      </c>
      <c r="F280" t="s">
        <v>143</v>
      </c>
      <c r="G280" t="s">
        <v>47</v>
      </c>
      <c r="H280" s="9" t="s">
        <v>1900</v>
      </c>
      <c r="I280" s="9" t="s">
        <v>59</v>
      </c>
      <c r="J280" t="s">
        <v>1901</v>
      </c>
      <c r="K280" s="9" t="s">
        <v>1902</v>
      </c>
      <c r="L280" s="9" t="s">
        <v>1903</v>
      </c>
      <c r="M280" s="9" t="s">
        <v>1904</v>
      </c>
      <c r="N280" s="9" t="s">
        <v>1905</v>
      </c>
      <c r="O280" s="9" t="s">
        <v>1906</v>
      </c>
      <c r="P280" s="10">
        <v>20</v>
      </c>
    </row>
    <row r="281" spans="1:16" ht="230.4" x14ac:dyDescent="0.3">
      <c r="A281" t="s">
        <v>41</v>
      </c>
      <c r="B281" t="s">
        <v>1811</v>
      </c>
      <c r="C281" t="s">
        <v>449</v>
      </c>
      <c r="D281" s="9" t="s">
        <v>1907</v>
      </c>
      <c r="E281" t="s">
        <v>1435</v>
      </c>
      <c r="F281" t="s">
        <v>143</v>
      </c>
      <c r="G281" t="s">
        <v>47</v>
      </c>
      <c r="H281" s="9" t="s">
        <v>1908</v>
      </c>
      <c r="I281" s="9" t="s">
        <v>307</v>
      </c>
      <c r="K281" s="9" t="s">
        <v>1909</v>
      </c>
      <c r="L281" s="9" t="s">
        <v>1910</v>
      </c>
      <c r="M281" s="9" t="s">
        <v>1911</v>
      </c>
      <c r="N281" s="9" t="s">
        <v>1912</v>
      </c>
      <c r="O281" s="9" t="s">
        <v>1913</v>
      </c>
      <c r="P281" s="10">
        <v>20</v>
      </c>
    </row>
    <row r="282" spans="1:16" ht="216" x14ac:dyDescent="0.3">
      <c r="A282" t="s">
        <v>41</v>
      </c>
      <c r="B282" t="s">
        <v>1914</v>
      </c>
      <c r="C282" t="s">
        <v>369</v>
      </c>
      <c r="D282" s="9" t="s">
        <v>1915</v>
      </c>
      <c r="E282" t="s">
        <v>74</v>
      </c>
      <c r="F282" t="s">
        <v>143</v>
      </c>
      <c r="G282" t="s">
        <v>47</v>
      </c>
      <c r="H282" s="9" t="s">
        <v>1916</v>
      </c>
      <c r="I282" s="9" t="s">
        <v>59</v>
      </c>
      <c r="J282" t="s">
        <v>1917</v>
      </c>
      <c r="K282" s="9" t="s">
        <v>1918</v>
      </c>
      <c r="L282" s="9"/>
      <c r="M282" s="9" t="s">
        <v>1919</v>
      </c>
      <c r="N282" s="9" t="s">
        <v>1920</v>
      </c>
      <c r="O282" s="9" t="s">
        <v>1921</v>
      </c>
      <c r="P282" s="10">
        <v>22</v>
      </c>
    </row>
    <row r="283" spans="1:16" ht="144" x14ac:dyDescent="0.3">
      <c r="A283" t="s">
        <v>41</v>
      </c>
      <c r="B283" t="s">
        <v>1914</v>
      </c>
      <c r="C283" t="s">
        <v>66</v>
      </c>
      <c r="D283" s="9" t="s">
        <v>1922</v>
      </c>
      <c r="E283" t="s">
        <v>74</v>
      </c>
      <c r="F283" t="s">
        <v>143</v>
      </c>
      <c r="G283" t="s">
        <v>47</v>
      </c>
      <c r="H283" s="9" t="s">
        <v>711</v>
      </c>
      <c r="I283" s="9" t="s">
        <v>59</v>
      </c>
      <c r="K283" s="9" t="s">
        <v>1923</v>
      </c>
      <c r="L283" s="9"/>
      <c r="M283" s="9" t="s">
        <v>1924</v>
      </c>
      <c r="N283" s="9" t="s">
        <v>1925</v>
      </c>
      <c r="O283" s="9" t="s">
        <v>1926</v>
      </c>
      <c r="P283" s="10">
        <v>22</v>
      </c>
    </row>
    <row r="284" spans="1:16" ht="129.6" x14ac:dyDescent="0.3">
      <c r="A284" t="s">
        <v>41</v>
      </c>
      <c r="B284" t="s">
        <v>1914</v>
      </c>
      <c r="C284" t="s">
        <v>74</v>
      </c>
      <c r="D284" s="9" t="s">
        <v>1927</v>
      </c>
      <c r="E284" t="s">
        <v>74</v>
      </c>
      <c r="F284" t="s">
        <v>143</v>
      </c>
      <c r="G284" t="s">
        <v>47</v>
      </c>
      <c r="H284" s="9"/>
      <c r="I284" s="9" t="s">
        <v>59</v>
      </c>
      <c r="J284" t="s">
        <v>1917</v>
      </c>
      <c r="K284" s="9" t="s">
        <v>1928</v>
      </c>
      <c r="L284" s="9" t="s">
        <v>1929</v>
      </c>
      <c r="M284" s="9" t="s">
        <v>1930</v>
      </c>
      <c r="N284" s="9" t="s">
        <v>1931</v>
      </c>
      <c r="O284" s="9" t="s">
        <v>1932</v>
      </c>
      <c r="P284" s="10">
        <v>22</v>
      </c>
    </row>
    <row r="285" spans="1:16" ht="86.4" x14ac:dyDescent="0.3">
      <c r="A285" t="s">
        <v>41</v>
      </c>
      <c r="B285" t="s">
        <v>1914</v>
      </c>
      <c r="C285" t="s">
        <v>43</v>
      </c>
      <c r="D285" s="9" t="s">
        <v>1933</v>
      </c>
      <c r="E285" t="s">
        <v>775</v>
      </c>
      <c r="F285" t="s">
        <v>143</v>
      </c>
      <c r="G285" t="s">
        <v>47</v>
      </c>
      <c r="H285" s="9"/>
      <c r="I285" s="9" t="s">
        <v>59</v>
      </c>
      <c r="J285" t="s">
        <v>1917</v>
      </c>
      <c r="K285" s="9" t="s">
        <v>1934</v>
      </c>
      <c r="L285" s="9" t="s">
        <v>1935</v>
      </c>
      <c r="M285" s="9" t="s">
        <v>1936</v>
      </c>
      <c r="N285" s="9"/>
      <c r="O285" s="9" t="s">
        <v>1937</v>
      </c>
      <c r="P285" s="10">
        <v>22</v>
      </c>
    </row>
    <row r="286" spans="1:16" ht="100.8" x14ac:dyDescent="0.3">
      <c r="A286" t="s">
        <v>41</v>
      </c>
      <c r="B286" t="s">
        <v>1914</v>
      </c>
      <c r="C286" t="s">
        <v>68</v>
      </c>
      <c r="D286" s="9" t="s">
        <v>1938</v>
      </c>
      <c r="E286" t="s">
        <v>583</v>
      </c>
      <c r="F286" t="s">
        <v>143</v>
      </c>
      <c r="G286" t="s">
        <v>47</v>
      </c>
      <c r="H286" s="9"/>
      <c r="I286" s="9" t="s">
        <v>59</v>
      </c>
      <c r="K286" s="9" t="s">
        <v>1939</v>
      </c>
      <c r="L286" s="9" t="s">
        <v>1940</v>
      </c>
      <c r="M286" s="9" t="s">
        <v>1941</v>
      </c>
      <c r="N286" s="9" t="s">
        <v>1942</v>
      </c>
      <c r="O286" s="9" t="s">
        <v>1943</v>
      </c>
      <c r="P286" s="10">
        <v>22</v>
      </c>
    </row>
    <row r="287" spans="1:16" ht="100.8" x14ac:dyDescent="0.3">
      <c r="A287" t="s">
        <v>41</v>
      </c>
      <c r="B287" t="s">
        <v>1914</v>
      </c>
      <c r="C287" t="s">
        <v>424</v>
      </c>
      <c r="D287" s="9" t="s">
        <v>1944</v>
      </c>
      <c r="E287" t="s">
        <v>43</v>
      </c>
      <c r="F287" t="s">
        <v>143</v>
      </c>
      <c r="G287" t="s">
        <v>47</v>
      </c>
      <c r="H287" s="9"/>
      <c r="I287" s="9" t="s">
        <v>59</v>
      </c>
      <c r="K287" s="9" t="s">
        <v>1945</v>
      </c>
      <c r="L287" s="9" t="s">
        <v>1946</v>
      </c>
      <c r="M287" s="9" t="s">
        <v>1947</v>
      </c>
      <c r="N287" s="9" t="s">
        <v>1948</v>
      </c>
      <c r="O287" s="9" t="s">
        <v>1949</v>
      </c>
      <c r="P287" s="10">
        <v>22</v>
      </c>
    </row>
    <row r="288" spans="1:16" ht="86.4" x14ac:dyDescent="0.3">
      <c r="A288" t="s">
        <v>41</v>
      </c>
      <c r="B288" t="s">
        <v>1914</v>
      </c>
      <c r="C288" t="s">
        <v>433</v>
      </c>
      <c r="D288" s="9" t="s">
        <v>1950</v>
      </c>
      <c r="E288" t="s">
        <v>796</v>
      </c>
      <c r="F288" t="s">
        <v>143</v>
      </c>
      <c r="G288" t="s">
        <v>47</v>
      </c>
      <c r="H288" s="9"/>
      <c r="I288" s="9" t="s">
        <v>59</v>
      </c>
      <c r="K288" s="9" t="s">
        <v>1951</v>
      </c>
      <c r="L288" s="9" t="s">
        <v>1952</v>
      </c>
      <c r="M288" s="9" t="s">
        <v>1953</v>
      </c>
      <c r="N288" s="9"/>
      <c r="O288" s="9" t="s">
        <v>1954</v>
      </c>
      <c r="P288" s="10">
        <v>22</v>
      </c>
    </row>
    <row r="289" spans="1:16" ht="158.4" x14ac:dyDescent="0.3">
      <c r="A289" t="s">
        <v>41</v>
      </c>
      <c r="B289" t="s">
        <v>1914</v>
      </c>
      <c r="C289" t="s">
        <v>441</v>
      </c>
      <c r="D289" s="9" t="s">
        <v>1955</v>
      </c>
      <c r="E289" t="s">
        <v>43</v>
      </c>
      <c r="F289" t="s">
        <v>143</v>
      </c>
      <c r="G289" t="s">
        <v>47</v>
      </c>
      <c r="H289" s="9"/>
      <c r="I289" s="9" t="s">
        <v>59</v>
      </c>
      <c r="K289" s="9" t="s">
        <v>1956</v>
      </c>
      <c r="L289" s="9" t="s">
        <v>1957</v>
      </c>
      <c r="M289" s="9" t="s">
        <v>1958</v>
      </c>
      <c r="N289" s="9" t="s">
        <v>1959</v>
      </c>
      <c r="O289" s="9" t="s">
        <v>1960</v>
      </c>
      <c r="P289" s="10">
        <v>22</v>
      </c>
    </row>
    <row r="290" spans="1:16" ht="86.4" x14ac:dyDescent="0.3">
      <c r="A290" t="s">
        <v>41</v>
      </c>
      <c r="B290" t="s">
        <v>1914</v>
      </c>
      <c r="C290" t="s">
        <v>449</v>
      </c>
      <c r="D290" s="9" t="s">
        <v>1961</v>
      </c>
      <c r="E290" t="s">
        <v>1039</v>
      </c>
      <c r="F290" t="s">
        <v>69</v>
      </c>
      <c r="G290" t="s">
        <v>47</v>
      </c>
      <c r="H290" s="9"/>
      <c r="I290" s="9" t="s">
        <v>106</v>
      </c>
      <c r="K290" s="9" t="s">
        <v>1962</v>
      </c>
      <c r="L290" s="9"/>
      <c r="M290" s="9" t="s">
        <v>1963</v>
      </c>
      <c r="N290" s="9"/>
      <c r="O290" s="9" t="s">
        <v>1964</v>
      </c>
      <c r="P290" s="10">
        <v>22</v>
      </c>
    </row>
    <row r="291" spans="1:16" ht="115.2" x14ac:dyDescent="0.3">
      <c r="A291" t="s">
        <v>41</v>
      </c>
      <c r="B291" t="s">
        <v>1914</v>
      </c>
      <c r="C291" t="s">
        <v>458</v>
      </c>
      <c r="D291" s="9" t="s">
        <v>1965</v>
      </c>
      <c r="E291" t="s">
        <v>68</v>
      </c>
      <c r="F291" t="s">
        <v>143</v>
      </c>
      <c r="G291" t="s">
        <v>47</v>
      </c>
      <c r="H291" s="9" t="s">
        <v>59</v>
      </c>
      <c r="I291" s="9" t="s">
        <v>59</v>
      </c>
      <c r="K291" s="9" t="s">
        <v>1966</v>
      </c>
      <c r="L291" s="9"/>
      <c r="M291" s="9" t="s">
        <v>1967</v>
      </c>
      <c r="N291" s="9"/>
      <c r="O291" s="9" t="s">
        <v>1968</v>
      </c>
      <c r="P291" s="10">
        <v>22</v>
      </c>
    </row>
    <row r="292" spans="1:16" ht="115.2" x14ac:dyDescent="0.3">
      <c r="A292" t="s">
        <v>41</v>
      </c>
      <c r="B292" t="s">
        <v>1914</v>
      </c>
      <c r="C292" t="s">
        <v>466</v>
      </c>
      <c r="D292" s="9" t="s">
        <v>1969</v>
      </c>
      <c r="E292" t="s">
        <v>68</v>
      </c>
      <c r="F292" t="s">
        <v>143</v>
      </c>
      <c r="G292" t="s">
        <v>47</v>
      </c>
      <c r="H292" s="9" t="s">
        <v>452</v>
      </c>
      <c r="I292" s="9" t="s">
        <v>59</v>
      </c>
      <c r="K292" s="9" t="s">
        <v>1970</v>
      </c>
      <c r="L292" s="9"/>
      <c r="M292" s="9" t="s">
        <v>1971</v>
      </c>
      <c r="N292" s="9"/>
      <c r="O292" s="9" t="s">
        <v>1972</v>
      </c>
      <c r="P292" s="10">
        <v>22</v>
      </c>
    </row>
    <row r="293" spans="1:16" ht="100.8" x14ac:dyDescent="0.3">
      <c r="A293" t="s">
        <v>41</v>
      </c>
      <c r="B293" t="s">
        <v>1914</v>
      </c>
      <c r="C293" t="s">
        <v>215</v>
      </c>
      <c r="D293" s="9" t="s">
        <v>1973</v>
      </c>
      <c r="E293" t="s">
        <v>68</v>
      </c>
      <c r="F293" t="s">
        <v>143</v>
      </c>
      <c r="G293" t="s">
        <v>47</v>
      </c>
      <c r="H293" s="9"/>
      <c r="I293" s="9" t="s">
        <v>59</v>
      </c>
      <c r="K293" s="9" t="s">
        <v>1974</v>
      </c>
      <c r="L293" s="9"/>
      <c r="M293" s="9" t="s">
        <v>1975</v>
      </c>
      <c r="N293" s="9"/>
      <c r="O293" s="9" t="s">
        <v>1976</v>
      </c>
      <c r="P293" s="10">
        <v>22</v>
      </c>
    </row>
    <row r="294" spans="1:16" ht="172.8" x14ac:dyDescent="0.3">
      <c r="A294" t="s">
        <v>41</v>
      </c>
      <c r="B294" t="s">
        <v>1977</v>
      </c>
      <c r="C294" t="s">
        <v>369</v>
      </c>
      <c r="D294" s="9" t="s">
        <v>1978</v>
      </c>
      <c r="E294" t="s">
        <v>642</v>
      </c>
      <c r="F294" t="s">
        <v>143</v>
      </c>
      <c r="G294" t="s">
        <v>47</v>
      </c>
      <c r="H294" s="9"/>
      <c r="I294" s="9"/>
      <c r="J294" t="s">
        <v>1510</v>
      </c>
      <c r="K294" s="9" t="s">
        <v>1979</v>
      </c>
      <c r="L294" s="9" t="s">
        <v>1980</v>
      </c>
      <c r="M294" s="9" t="s">
        <v>1981</v>
      </c>
      <c r="N294" s="9" t="s">
        <v>1982</v>
      </c>
      <c r="O294" s="9" t="s">
        <v>1983</v>
      </c>
      <c r="P294" s="10">
        <v>23</v>
      </c>
    </row>
    <row r="295" spans="1:16" ht="144" x14ac:dyDescent="0.3">
      <c r="A295" t="s">
        <v>41</v>
      </c>
      <c r="B295" t="s">
        <v>1977</v>
      </c>
      <c r="C295" t="s">
        <v>66</v>
      </c>
      <c r="D295" s="9" t="s">
        <v>1984</v>
      </c>
      <c r="E295" t="s">
        <v>642</v>
      </c>
      <c r="F295" t="s">
        <v>143</v>
      </c>
      <c r="G295" t="s">
        <v>47</v>
      </c>
      <c r="H295" s="9"/>
      <c r="I295" s="9"/>
      <c r="J295" t="s">
        <v>1510</v>
      </c>
      <c r="K295" s="9" t="s">
        <v>1985</v>
      </c>
      <c r="L295" s="9" t="s">
        <v>1986</v>
      </c>
      <c r="M295" s="9" t="s">
        <v>1987</v>
      </c>
      <c r="N295" s="9" t="s">
        <v>1988</v>
      </c>
      <c r="O295" s="9" t="s">
        <v>1989</v>
      </c>
      <c r="P295" s="10">
        <v>23</v>
      </c>
    </row>
    <row r="296" spans="1:16" ht="216" x14ac:dyDescent="0.3">
      <c r="A296" t="s">
        <v>41</v>
      </c>
      <c r="B296" t="s">
        <v>1977</v>
      </c>
      <c r="C296" t="s">
        <v>74</v>
      </c>
      <c r="D296" s="9" t="s">
        <v>1990</v>
      </c>
      <c r="E296" t="s">
        <v>1443</v>
      </c>
      <c r="F296" t="s">
        <v>143</v>
      </c>
      <c r="G296" t="s">
        <v>47</v>
      </c>
      <c r="H296" s="9"/>
      <c r="I296" s="9"/>
      <c r="J296" t="s">
        <v>1880</v>
      </c>
      <c r="K296" s="9" t="s">
        <v>1991</v>
      </c>
      <c r="L296" s="9" t="s">
        <v>1992</v>
      </c>
      <c r="M296" s="9" t="s">
        <v>1993</v>
      </c>
      <c r="N296" s="9" t="s">
        <v>1994</v>
      </c>
      <c r="O296" s="9" t="s">
        <v>1995</v>
      </c>
      <c r="P296" s="10">
        <v>23</v>
      </c>
    </row>
    <row r="297" spans="1:16" ht="115.2" x14ac:dyDescent="0.3">
      <c r="A297" t="s">
        <v>41</v>
      </c>
      <c r="B297" t="s">
        <v>1977</v>
      </c>
      <c r="C297" t="s">
        <v>43</v>
      </c>
      <c r="D297" s="9" t="s">
        <v>1996</v>
      </c>
      <c r="E297" t="s">
        <v>860</v>
      </c>
      <c r="F297" t="s">
        <v>116</v>
      </c>
      <c r="G297" t="s">
        <v>47</v>
      </c>
      <c r="H297" s="9" t="s">
        <v>1614</v>
      </c>
      <c r="I297" s="9" t="s">
        <v>106</v>
      </c>
      <c r="J297" t="s">
        <v>1510</v>
      </c>
      <c r="K297" s="9" t="s">
        <v>1997</v>
      </c>
      <c r="L297" s="9" t="s">
        <v>1998</v>
      </c>
      <c r="M297" s="9" t="s">
        <v>1999</v>
      </c>
      <c r="N297" s="9" t="s">
        <v>2000</v>
      </c>
      <c r="O297" s="9" t="s">
        <v>2001</v>
      </c>
      <c r="P297" s="10">
        <v>23</v>
      </c>
    </row>
    <row r="298" spans="1:16" ht="100.8" x14ac:dyDescent="0.3">
      <c r="A298" t="s">
        <v>41</v>
      </c>
      <c r="B298" t="s">
        <v>1977</v>
      </c>
      <c r="C298" t="s">
        <v>68</v>
      </c>
      <c r="D298" s="9" t="s">
        <v>2002</v>
      </c>
      <c r="E298" t="s">
        <v>649</v>
      </c>
      <c r="F298" t="s">
        <v>143</v>
      </c>
      <c r="G298" t="s">
        <v>47</v>
      </c>
      <c r="H298" s="9"/>
      <c r="I298" s="9"/>
      <c r="J298" t="s">
        <v>2003</v>
      </c>
      <c r="K298" s="9" t="s">
        <v>2004</v>
      </c>
      <c r="L298" s="9" t="s">
        <v>2005</v>
      </c>
      <c r="M298" s="9" t="s">
        <v>2006</v>
      </c>
      <c r="N298" s="9" t="s">
        <v>2007</v>
      </c>
      <c r="O298" s="9" t="s">
        <v>2008</v>
      </c>
      <c r="P298" s="10">
        <v>23</v>
      </c>
    </row>
    <row r="299" spans="1:16" ht="158.4" x14ac:dyDescent="0.3">
      <c r="A299" t="s">
        <v>41</v>
      </c>
      <c r="B299" t="s">
        <v>1977</v>
      </c>
      <c r="C299" t="s">
        <v>82</v>
      </c>
      <c r="D299" s="9" t="s">
        <v>2009</v>
      </c>
      <c r="E299" t="s">
        <v>649</v>
      </c>
      <c r="F299" t="s">
        <v>116</v>
      </c>
      <c r="G299" t="s">
        <v>47</v>
      </c>
      <c r="H299" s="9" t="s">
        <v>469</v>
      </c>
      <c r="I299" s="9" t="s">
        <v>106</v>
      </c>
      <c r="K299" s="9" t="s">
        <v>2010</v>
      </c>
      <c r="L299" s="9" t="s">
        <v>2011</v>
      </c>
      <c r="M299" s="9" t="s">
        <v>2012</v>
      </c>
      <c r="N299" s="9" t="s">
        <v>2013</v>
      </c>
      <c r="O299" s="9" t="s">
        <v>2014</v>
      </c>
      <c r="P299" s="10">
        <v>23</v>
      </c>
    </row>
    <row r="300" spans="1:16" ht="144" x14ac:dyDescent="0.3">
      <c r="A300" t="s">
        <v>41</v>
      </c>
      <c r="B300" t="s">
        <v>1977</v>
      </c>
      <c r="C300" t="s">
        <v>55</v>
      </c>
      <c r="D300" s="9" t="s">
        <v>2015</v>
      </c>
      <c r="E300" t="s">
        <v>649</v>
      </c>
      <c r="F300" t="s">
        <v>143</v>
      </c>
      <c r="G300" t="s">
        <v>47</v>
      </c>
      <c r="H300" s="9"/>
      <c r="I300" s="9"/>
      <c r="J300" t="s">
        <v>1510</v>
      </c>
      <c r="K300" s="9" t="s">
        <v>2016</v>
      </c>
      <c r="L300" s="9" t="s">
        <v>2017</v>
      </c>
      <c r="M300" s="9" t="s">
        <v>2018</v>
      </c>
      <c r="N300" s="9"/>
      <c r="O300" s="9" t="s">
        <v>2019</v>
      </c>
      <c r="P300" s="10">
        <v>23</v>
      </c>
    </row>
    <row r="301" spans="1:16" ht="100.8" x14ac:dyDescent="0.3">
      <c r="A301" t="s">
        <v>41</v>
      </c>
      <c r="B301" t="s">
        <v>1977</v>
      </c>
      <c r="C301" t="s">
        <v>424</v>
      </c>
      <c r="D301" s="9" t="s">
        <v>2020</v>
      </c>
      <c r="E301" t="s">
        <v>853</v>
      </c>
      <c r="F301" t="s">
        <v>116</v>
      </c>
      <c r="G301" t="s">
        <v>47</v>
      </c>
      <c r="H301" s="9" t="s">
        <v>1614</v>
      </c>
      <c r="I301" s="9" t="s">
        <v>106</v>
      </c>
      <c r="J301" t="s">
        <v>1510</v>
      </c>
      <c r="K301" s="9" t="s">
        <v>2021</v>
      </c>
      <c r="L301" s="9" t="s">
        <v>2022</v>
      </c>
      <c r="M301" s="9" t="s">
        <v>2023</v>
      </c>
      <c r="N301" s="9"/>
      <c r="O301" s="9" t="s">
        <v>2024</v>
      </c>
      <c r="P301" s="10">
        <v>23</v>
      </c>
    </row>
    <row r="302" spans="1:16" ht="201.6" x14ac:dyDescent="0.3">
      <c r="A302" t="s">
        <v>41</v>
      </c>
      <c r="B302" t="s">
        <v>1977</v>
      </c>
      <c r="C302" t="s">
        <v>433</v>
      </c>
      <c r="D302" s="9" t="s">
        <v>2025</v>
      </c>
      <c r="E302" t="s">
        <v>853</v>
      </c>
      <c r="F302" t="s">
        <v>143</v>
      </c>
      <c r="G302" t="s">
        <v>47</v>
      </c>
      <c r="H302" s="9" t="s">
        <v>2026</v>
      </c>
      <c r="I302" s="9" t="s">
        <v>271</v>
      </c>
      <c r="K302" s="9" t="s">
        <v>2027</v>
      </c>
      <c r="L302" s="9" t="s">
        <v>2028</v>
      </c>
      <c r="M302" s="9" t="s">
        <v>2029</v>
      </c>
      <c r="N302" s="9" t="s">
        <v>2030</v>
      </c>
      <c r="O302" s="9" t="s">
        <v>2031</v>
      </c>
      <c r="P302" s="10">
        <v>23</v>
      </c>
    </row>
    <row r="303" spans="1:16" ht="230.4" x14ac:dyDescent="0.3">
      <c r="A303" t="s">
        <v>41</v>
      </c>
      <c r="B303" t="s">
        <v>1977</v>
      </c>
      <c r="C303" t="s">
        <v>441</v>
      </c>
      <c r="D303" s="9" t="s">
        <v>2032</v>
      </c>
      <c r="E303" t="s">
        <v>2033</v>
      </c>
      <c r="F303" t="s">
        <v>143</v>
      </c>
      <c r="G303" t="s">
        <v>47</v>
      </c>
      <c r="H303" s="9" t="s">
        <v>2026</v>
      </c>
      <c r="I303" s="9" t="s">
        <v>271</v>
      </c>
      <c r="K303" s="9" t="s">
        <v>2034</v>
      </c>
      <c r="L303" s="9" t="s">
        <v>2035</v>
      </c>
      <c r="M303" s="9" t="s">
        <v>2036</v>
      </c>
      <c r="N303" s="9" t="s">
        <v>2037</v>
      </c>
      <c r="O303" s="9" t="s">
        <v>2038</v>
      </c>
      <c r="P303" s="10">
        <v>23</v>
      </c>
    </row>
    <row r="304" spans="1:16" ht="115.2" x14ac:dyDescent="0.3">
      <c r="A304" t="s">
        <v>41</v>
      </c>
      <c r="B304" t="s">
        <v>1977</v>
      </c>
      <c r="C304" t="s">
        <v>449</v>
      </c>
      <c r="D304" s="9" t="s">
        <v>2039</v>
      </c>
      <c r="E304" t="s">
        <v>345</v>
      </c>
      <c r="F304" t="s">
        <v>116</v>
      </c>
      <c r="G304" t="s">
        <v>47</v>
      </c>
      <c r="H304" s="9" t="s">
        <v>2040</v>
      </c>
      <c r="I304" s="9" t="s">
        <v>106</v>
      </c>
      <c r="J304" t="s">
        <v>1510</v>
      </c>
      <c r="K304" s="9" t="s">
        <v>2041</v>
      </c>
      <c r="L304" s="9" t="s">
        <v>2042</v>
      </c>
      <c r="M304" s="9" t="s">
        <v>2043</v>
      </c>
      <c r="N304" s="9"/>
      <c r="O304" s="9" t="s">
        <v>2044</v>
      </c>
      <c r="P304" s="10">
        <v>23</v>
      </c>
    </row>
    <row r="305" spans="1:16" ht="172.8" x14ac:dyDescent="0.3">
      <c r="A305" t="s">
        <v>41</v>
      </c>
      <c r="B305" t="s">
        <v>1977</v>
      </c>
      <c r="C305" t="s">
        <v>458</v>
      </c>
      <c r="D305" s="9" t="s">
        <v>2045</v>
      </c>
      <c r="E305" t="s">
        <v>853</v>
      </c>
      <c r="F305" t="s">
        <v>143</v>
      </c>
      <c r="G305" t="s">
        <v>47</v>
      </c>
      <c r="H305" s="9" t="s">
        <v>797</v>
      </c>
      <c r="I305" s="9" t="s">
        <v>271</v>
      </c>
      <c r="K305" s="9" t="s">
        <v>2046</v>
      </c>
      <c r="L305" s="9" t="s">
        <v>2047</v>
      </c>
      <c r="M305" s="9" t="s">
        <v>2048</v>
      </c>
      <c r="N305" s="9" t="s">
        <v>2049</v>
      </c>
      <c r="O305" s="9" t="s">
        <v>2050</v>
      </c>
      <c r="P305" s="10">
        <v>23</v>
      </c>
    </row>
    <row r="306" spans="1:16" ht="72" x14ac:dyDescent="0.3">
      <c r="A306" t="s">
        <v>41</v>
      </c>
      <c r="B306" t="s">
        <v>1977</v>
      </c>
      <c r="C306" t="s">
        <v>466</v>
      </c>
      <c r="D306" s="9" t="s">
        <v>2051</v>
      </c>
      <c r="E306" t="s">
        <v>853</v>
      </c>
      <c r="F306" t="s">
        <v>116</v>
      </c>
      <c r="G306" t="s">
        <v>47</v>
      </c>
      <c r="H306" s="9" t="s">
        <v>797</v>
      </c>
      <c r="I306" s="9" t="s">
        <v>106</v>
      </c>
      <c r="K306" s="9" t="s">
        <v>2052</v>
      </c>
      <c r="L306" s="9" t="s">
        <v>2053</v>
      </c>
      <c r="M306" s="9" t="s">
        <v>2054</v>
      </c>
      <c r="N306" s="9"/>
      <c r="O306" s="9" t="s">
        <v>2055</v>
      </c>
      <c r="P306" s="10">
        <v>23</v>
      </c>
    </row>
    <row r="307" spans="1:16" ht="115.2" x14ac:dyDescent="0.3">
      <c r="A307" t="s">
        <v>41</v>
      </c>
      <c r="B307" t="s">
        <v>1977</v>
      </c>
      <c r="C307" t="s">
        <v>215</v>
      </c>
      <c r="D307" s="9" t="s">
        <v>2056</v>
      </c>
      <c r="E307" t="s">
        <v>2057</v>
      </c>
      <c r="F307" t="s">
        <v>116</v>
      </c>
      <c r="G307" t="s">
        <v>47</v>
      </c>
      <c r="H307" s="9" t="s">
        <v>452</v>
      </c>
      <c r="I307" s="9" t="s">
        <v>106</v>
      </c>
      <c r="J307" t="s">
        <v>1843</v>
      </c>
      <c r="K307" s="9" t="s">
        <v>2058</v>
      </c>
      <c r="L307" s="9" t="s">
        <v>2059</v>
      </c>
      <c r="M307" s="9" t="s">
        <v>2060</v>
      </c>
      <c r="N307" s="9" t="s">
        <v>2061</v>
      </c>
      <c r="O307" s="9" t="s">
        <v>2062</v>
      </c>
      <c r="P307" s="10">
        <v>23</v>
      </c>
    </row>
    <row r="308" spans="1:16" ht="158.4" x14ac:dyDescent="0.3">
      <c r="A308" t="s">
        <v>41</v>
      </c>
      <c r="B308" t="s">
        <v>2063</v>
      </c>
      <c r="C308" t="s">
        <v>369</v>
      </c>
      <c r="D308" s="9" t="s">
        <v>2064</v>
      </c>
      <c r="E308" t="s">
        <v>2065</v>
      </c>
      <c r="F308" t="s">
        <v>143</v>
      </c>
      <c r="G308" t="s">
        <v>47</v>
      </c>
      <c r="H308" s="9" t="s">
        <v>2066</v>
      </c>
      <c r="I308" s="9" t="s">
        <v>59</v>
      </c>
      <c r="J308" t="s">
        <v>1510</v>
      </c>
      <c r="K308" s="9" t="s">
        <v>2067</v>
      </c>
      <c r="L308" s="9" t="s">
        <v>2068</v>
      </c>
      <c r="M308" s="9" t="s">
        <v>2069</v>
      </c>
      <c r="N308" s="9" t="s">
        <v>2070</v>
      </c>
      <c r="O308" s="9" t="s">
        <v>2071</v>
      </c>
      <c r="P308" s="10">
        <v>24</v>
      </c>
    </row>
    <row r="309" spans="1:16" ht="158.4" x14ac:dyDescent="0.3">
      <c r="A309" t="s">
        <v>41</v>
      </c>
      <c r="B309" t="s">
        <v>2063</v>
      </c>
      <c r="C309" t="s">
        <v>66</v>
      </c>
      <c r="D309" s="9" t="s">
        <v>2072</v>
      </c>
      <c r="E309" t="s">
        <v>2073</v>
      </c>
      <c r="F309" t="s">
        <v>116</v>
      </c>
      <c r="G309" t="s">
        <v>47</v>
      </c>
      <c r="H309" s="9"/>
      <c r="I309" s="9" t="s">
        <v>271</v>
      </c>
      <c r="K309" s="9" t="s">
        <v>2074</v>
      </c>
      <c r="L309" s="9" t="s">
        <v>2075</v>
      </c>
      <c r="M309" s="9" t="s">
        <v>2076</v>
      </c>
      <c r="N309" s="9" t="s">
        <v>2077</v>
      </c>
      <c r="O309" s="9" t="s">
        <v>2078</v>
      </c>
      <c r="P309" s="10">
        <v>24</v>
      </c>
    </row>
    <row r="310" spans="1:16" ht="86.4" x14ac:dyDescent="0.3">
      <c r="A310" t="s">
        <v>41</v>
      </c>
      <c r="B310" t="s">
        <v>2063</v>
      </c>
      <c r="C310" t="s">
        <v>74</v>
      </c>
      <c r="D310" s="9" t="s">
        <v>2079</v>
      </c>
      <c r="E310" t="s">
        <v>2080</v>
      </c>
      <c r="F310" t="s">
        <v>116</v>
      </c>
      <c r="G310" t="s">
        <v>47</v>
      </c>
      <c r="H310" s="9"/>
      <c r="I310" s="9" t="s">
        <v>271</v>
      </c>
      <c r="K310" s="9" t="s">
        <v>2081</v>
      </c>
      <c r="L310" s="9" t="s">
        <v>2082</v>
      </c>
      <c r="M310" s="9" t="s">
        <v>2083</v>
      </c>
      <c r="N310" s="9"/>
      <c r="O310" s="9" t="s">
        <v>2084</v>
      </c>
      <c r="P310" s="10">
        <v>24</v>
      </c>
    </row>
    <row r="311" spans="1:16" ht="144" x14ac:dyDescent="0.3">
      <c r="A311" t="s">
        <v>41</v>
      </c>
      <c r="B311" t="s">
        <v>2063</v>
      </c>
      <c r="C311" t="s">
        <v>43</v>
      </c>
      <c r="D311" s="9" t="s">
        <v>2085</v>
      </c>
      <c r="E311" t="s">
        <v>692</v>
      </c>
      <c r="F311" t="s">
        <v>46</v>
      </c>
      <c r="G311" t="s">
        <v>47</v>
      </c>
      <c r="H311" s="9"/>
      <c r="I311" s="9" t="s">
        <v>271</v>
      </c>
      <c r="J311" t="s">
        <v>2086</v>
      </c>
      <c r="K311" s="9" t="s">
        <v>2087</v>
      </c>
      <c r="L311" s="9" t="s">
        <v>2088</v>
      </c>
      <c r="M311" s="9" t="s">
        <v>2089</v>
      </c>
      <c r="N311" s="9" t="s">
        <v>2090</v>
      </c>
      <c r="O311" s="9" t="s">
        <v>2091</v>
      </c>
      <c r="P311" s="10">
        <v>24</v>
      </c>
    </row>
    <row r="312" spans="1:16" ht="86.4" x14ac:dyDescent="0.3">
      <c r="A312" t="s">
        <v>41</v>
      </c>
      <c r="B312" t="s">
        <v>2063</v>
      </c>
      <c r="C312" t="s">
        <v>68</v>
      </c>
      <c r="D312" s="9" t="s">
        <v>2092</v>
      </c>
      <c r="E312" t="s">
        <v>692</v>
      </c>
      <c r="F312" t="s">
        <v>116</v>
      </c>
      <c r="G312" t="s">
        <v>47</v>
      </c>
      <c r="H312" s="9"/>
      <c r="I312" s="9" t="s">
        <v>271</v>
      </c>
      <c r="K312" s="9" t="s">
        <v>2093</v>
      </c>
      <c r="L312" s="9" t="s">
        <v>2094</v>
      </c>
      <c r="M312" s="9" t="s">
        <v>2095</v>
      </c>
      <c r="N312" s="9"/>
      <c r="O312" s="9" t="s">
        <v>2096</v>
      </c>
      <c r="P312" s="10">
        <v>24</v>
      </c>
    </row>
    <row r="313" spans="1:16" ht="158.4" x14ac:dyDescent="0.3">
      <c r="A313" t="s">
        <v>41</v>
      </c>
      <c r="B313" t="s">
        <v>2063</v>
      </c>
      <c r="C313" t="s">
        <v>82</v>
      </c>
      <c r="D313" s="9" t="s">
        <v>2097</v>
      </c>
      <c r="E313" t="s">
        <v>692</v>
      </c>
      <c r="F313" t="s">
        <v>116</v>
      </c>
      <c r="G313" t="s">
        <v>47</v>
      </c>
      <c r="H313" s="9"/>
      <c r="I313" s="9" t="s">
        <v>271</v>
      </c>
      <c r="K313" s="9" t="s">
        <v>2098</v>
      </c>
      <c r="L313" s="9" t="s">
        <v>2099</v>
      </c>
      <c r="M313" s="9" t="s">
        <v>2100</v>
      </c>
      <c r="N313" s="9"/>
      <c r="O313" s="9" t="s">
        <v>2101</v>
      </c>
      <c r="P313" s="10">
        <v>24</v>
      </c>
    </row>
    <row r="314" spans="1:16" ht="86.4" x14ac:dyDescent="0.3">
      <c r="A314" t="s">
        <v>41</v>
      </c>
      <c r="B314" t="s">
        <v>2063</v>
      </c>
      <c r="C314" t="s">
        <v>55</v>
      </c>
      <c r="D314" s="9" t="s">
        <v>2102</v>
      </c>
      <c r="E314" t="s">
        <v>883</v>
      </c>
      <c r="F314" t="s">
        <v>143</v>
      </c>
      <c r="G314" t="s">
        <v>47</v>
      </c>
      <c r="H314" s="9" t="s">
        <v>671</v>
      </c>
      <c r="I314" s="9"/>
      <c r="J314" t="s">
        <v>2003</v>
      </c>
      <c r="K314" s="9" t="s">
        <v>2103</v>
      </c>
      <c r="L314" s="9" t="s">
        <v>2104</v>
      </c>
      <c r="M314" s="9" t="s">
        <v>2105</v>
      </c>
      <c r="N314" s="9" t="s">
        <v>2106</v>
      </c>
      <c r="O314" s="9" t="s">
        <v>2107</v>
      </c>
      <c r="P314" s="10">
        <v>24</v>
      </c>
    </row>
    <row r="315" spans="1:16" ht="216" x14ac:dyDescent="0.3">
      <c r="A315" t="s">
        <v>41</v>
      </c>
      <c r="B315" t="s">
        <v>2063</v>
      </c>
      <c r="C315" t="s">
        <v>424</v>
      </c>
      <c r="D315" s="9" t="s">
        <v>2108</v>
      </c>
      <c r="E315" t="s">
        <v>2109</v>
      </c>
      <c r="F315" t="s">
        <v>143</v>
      </c>
      <c r="G315" t="s">
        <v>47</v>
      </c>
      <c r="H315" s="9" t="s">
        <v>1022</v>
      </c>
      <c r="I315" s="9" t="s">
        <v>106</v>
      </c>
      <c r="K315" s="9" t="s">
        <v>2110</v>
      </c>
      <c r="L315" s="9"/>
      <c r="M315" s="9" t="s">
        <v>2111</v>
      </c>
      <c r="N315" s="9" t="s">
        <v>2112</v>
      </c>
      <c r="O315" s="9" t="s">
        <v>2113</v>
      </c>
      <c r="P315" s="10">
        <v>24</v>
      </c>
    </row>
    <row r="316" spans="1:16" ht="100.8" x14ac:dyDescent="0.3">
      <c r="A316" t="s">
        <v>41</v>
      </c>
      <c r="B316" t="s">
        <v>2063</v>
      </c>
      <c r="C316" t="s">
        <v>433</v>
      </c>
      <c r="D316" s="9" t="s">
        <v>2114</v>
      </c>
      <c r="E316" t="s">
        <v>2115</v>
      </c>
      <c r="F316" t="s">
        <v>143</v>
      </c>
      <c r="G316" t="s">
        <v>47</v>
      </c>
      <c r="H316" s="9" t="s">
        <v>671</v>
      </c>
      <c r="I316" s="9" t="s">
        <v>271</v>
      </c>
      <c r="K316" s="9" t="s">
        <v>2116</v>
      </c>
      <c r="L316" s="9" t="s">
        <v>2117</v>
      </c>
      <c r="M316" s="9" t="s">
        <v>2118</v>
      </c>
      <c r="N316" s="9"/>
      <c r="O316" s="9" t="s">
        <v>2119</v>
      </c>
      <c r="P316" s="10">
        <v>24</v>
      </c>
    </row>
    <row r="317" spans="1:16" ht="129.6" x14ac:dyDescent="0.3">
      <c r="A317" t="s">
        <v>41</v>
      </c>
      <c r="B317" t="s">
        <v>2063</v>
      </c>
      <c r="C317" t="s">
        <v>441</v>
      </c>
      <c r="D317" s="9" t="s">
        <v>2120</v>
      </c>
      <c r="E317" t="s">
        <v>2121</v>
      </c>
      <c r="F317" t="s">
        <v>116</v>
      </c>
      <c r="G317" t="s">
        <v>47</v>
      </c>
      <c r="H317" s="9" t="s">
        <v>671</v>
      </c>
      <c r="I317" s="9" t="s">
        <v>271</v>
      </c>
      <c r="J317" t="s">
        <v>2122</v>
      </c>
      <c r="K317" s="9" t="s">
        <v>2123</v>
      </c>
      <c r="L317" s="9" t="s">
        <v>2124</v>
      </c>
      <c r="M317" s="9" t="s">
        <v>2125</v>
      </c>
      <c r="N317" s="9" t="s">
        <v>2126</v>
      </c>
      <c r="O317" s="9" t="s">
        <v>2127</v>
      </c>
      <c r="P317" s="10">
        <v>24</v>
      </c>
    </row>
    <row r="318" spans="1:16" ht="72" x14ac:dyDescent="0.3">
      <c r="A318" t="s">
        <v>41</v>
      </c>
      <c r="B318" t="s">
        <v>2063</v>
      </c>
      <c r="C318" t="s">
        <v>449</v>
      </c>
      <c r="D318" s="9" t="s">
        <v>2128</v>
      </c>
      <c r="E318" t="s">
        <v>2129</v>
      </c>
      <c r="F318" t="s">
        <v>116</v>
      </c>
      <c r="G318" t="s">
        <v>47</v>
      </c>
      <c r="H318" s="9" t="s">
        <v>671</v>
      </c>
      <c r="I318" s="9" t="s">
        <v>271</v>
      </c>
      <c r="J318" t="s">
        <v>2122</v>
      </c>
      <c r="K318" s="9" t="s">
        <v>2130</v>
      </c>
      <c r="L318" s="9" t="s">
        <v>2131</v>
      </c>
      <c r="M318" s="9" t="s">
        <v>2132</v>
      </c>
      <c r="N318" s="9" t="s">
        <v>2133</v>
      </c>
      <c r="O318" s="9" t="s">
        <v>2134</v>
      </c>
      <c r="P318" s="10">
        <v>24</v>
      </c>
    </row>
    <row r="319" spans="1:16" ht="129.6" x14ac:dyDescent="0.3">
      <c r="A319" t="s">
        <v>41</v>
      </c>
      <c r="B319" t="s">
        <v>2063</v>
      </c>
      <c r="C319" t="s">
        <v>458</v>
      </c>
      <c r="D319" s="9" t="s">
        <v>2135</v>
      </c>
      <c r="E319" t="s">
        <v>2136</v>
      </c>
      <c r="F319" t="s">
        <v>46</v>
      </c>
      <c r="G319" t="s">
        <v>47</v>
      </c>
      <c r="H319" s="9" t="s">
        <v>1022</v>
      </c>
      <c r="I319" s="9" t="s">
        <v>106</v>
      </c>
      <c r="K319" s="9" t="s">
        <v>2137</v>
      </c>
      <c r="L319" s="9"/>
      <c r="M319" s="9" t="s">
        <v>2138</v>
      </c>
      <c r="N319" s="9" t="s">
        <v>2139</v>
      </c>
      <c r="O319" s="9" t="s">
        <v>2140</v>
      </c>
      <c r="P319" s="10">
        <v>24</v>
      </c>
    </row>
    <row r="320" spans="1:16" ht="129.6" x14ac:dyDescent="0.3">
      <c r="A320" t="s">
        <v>41</v>
      </c>
      <c r="B320" t="s">
        <v>2063</v>
      </c>
      <c r="C320" t="s">
        <v>466</v>
      </c>
      <c r="D320" s="9" t="s">
        <v>2141</v>
      </c>
      <c r="E320" t="s">
        <v>2129</v>
      </c>
      <c r="F320" t="s">
        <v>46</v>
      </c>
      <c r="G320" t="s">
        <v>47</v>
      </c>
      <c r="H320" s="9" t="s">
        <v>1022</v>
      </c>
      <c r="I320" s="9" t="s">
        <v>106</v>
      </c>
      <c r="J320" t="s">
        <v>1510</v>
      </c>
      <c r="K320" s="9" t="s">
        <v>2142</v>
      </c>
      <c r="L320" s="9"/>
      <c r="M320" s="9" t="s">
        <v>2143</v>
      </c>
      <c r="N320" s="9" t="s">
        <v>2144</v>
      </c>
      <c r="O320" s="9" t="s">
        <v>2145</v>
      </c>
      <c r="P320" s="10">
        <v>24</v>
      </c>
    </row>
    <row r="321" spans="1:16" ht="57.6" x14ac:dyDescent="0.3">
      <c r="A321" t="s">
        <v>41</v>
      </c>
      <c r="B321" t="s">
        <v>2063</v>
      </c>
      <c r="C321" t="s">
        <v>312</v>
      </c>
      <c r="D321" s="9" t="s">
        <v>2146</v>
      </c>
      <c r="E321" t="s">
        <v>2147</v>
      </c>
      <c r="F321" t="s">
        <v>116</v>
      </c>
      <c r="G321" t="s">
        <v>47</v>
      </c>
      <c r="H321" s="9"/>
      <c r="I321" s="9" t="s">
        <v>271</v>
      </c>
      <c r="K321" s="9" t="s">
        <v>2148</v>
      </c>
      <c r="L321" s="9" t="s">
        <v>2149</v>
      </c>
      <c r="M321" s="9" t="s">
        <v>2150</v>
      </c>
      <c r="N321" s="9"/>
      <c r="O321" s="9" t="s">
        <v>2151</v>
      </c>
      <c r="P321" s="10">
        <v>24</v>
      </c>
    </row>
    <row r="322" spans="1:16" ht="115.2" x14ac:dyDescent="0.3">
      <c r="A322" t="s">
        <v>41</v>
      </c>
      <c r="B322" t="s">
        <v>2063</v>
      </c>
      <c r="C322" t="s">
        <v>590</v>
      </c>
      <c r="D322" s="9" t="s">
        <v>2152</v>
      </c>
      <c r="E322" t="s">
        <v>2129</v>
      </c>
      <c r="F322" t="s">
        <v>116</v>
      </c>
      <c r="G322" t="s">
        <v>47</v>
      </c>
      <c r="H322" s="9" t="s">
        <v>1614</v>
      </c>
      <c r="I322" s="9" t="s">
        <v>106</v>
      </c>
      <c r="J322" t="s">
        <v>2153</v>
      </c>
      <c r="K322" s="9" t="s">
        <v>2154</v>
      </c>
      <c r="L322" s="9" t="s">
        <v>2155</v>
      </c>
      <c r="M322" s="9" t="s">
        <v>2156</v>
      </c>
      <c r="N322" s="9" t="s">
        <v>2157</v>
      </c>
      <c r="O322" s="9" t="s">
        <v>2158</v>
      </c>
      <c r="P322" s="10">
        <v>24</v>
      </c>
    </row>
    <row r="323" spans="1:16" ht="273.60000000000002" x14ac:dyDescent="0.3">
      <c r="A323" t="s">
        <v>41</v>
      </c>
      <c r="B323" t="s">
        <v>2063</v>
      </c>
      <c r="C323" t="s">
        <v>215</v>
      </c>
      <c r="D323" s="9" t="s">
        <v>2159</v>
      </c>
      <c r="E323" t="s">
        <v>2129</v>
      </c>
      <c r="F323" t="s">
        <v>116</v>
      </c>
      <c r="G323" t="s">
        <v>47</v>
      </c>
      <c r="H323" s="9" t="s">
        <v>1614</v>
      </c>
      <c r="I323" s="9" t="s">
        <v>106</v>
      </c>
      <c r="J323" t="s">
        <v>2153</v>
      </c>
      <c r="K323" s="9" t="s">
        <v>2160</v>
      </c>
      <c r="L323" s="9" t="s">
        <v>2161</v>
      </c>
      <c r="M323" s="9" t="s">
        <v>2162</v>
      </c>
      <c r="N323" s="9" t="s">
        <v>2163</v>
      </c>
      <c r="O323" s="9" t="s">
        <v>2164</v>
      </c>
      <c r="P323" s="10">
        <v>24</v>
      </c>
    </row>
    <row r="324" spans="1:16" ht="129.6" x14ac:dyDescent="0.3">
      <c r="A324" t="s">
        <v>41</v>
      </c>
      <c r="B324" t="s">
        <v>2063</v>
      </c>
      <c r="C324" t="s">
        <v>2165</v>
      </c>
      <c r="D324" s="9" t="s">
        <v>2166</v>
      </c>
      <c r="E324" t="s">
        <v>875</v>
      </c>
      <c r="F324" t="s">
        <v>143</v>
      </c>
      <c r="G324" t="s">
        <v>47</v>
      </c>
      <c r="H324" s="9" t="s">
        <v>2167</v>
      </c>
      <c r="I324" s="9" t="s">
        <v>2168</v>
      </c>
      <c r="J324" t="s">
        <v>2153</v>
      </c>
      <c r="K324" s="9" t="s">
        <v>2169</v>
      </c>
      <c r="L324" s="9" t="s">
        <v>2170</v>
      </c>
      <c r="M324" s="9" t="s">
        <v>2171</v>
      </c>
      <c r="N324" s="9" t="s">
        <v>2172</v>
      </c>
      <c r="O324" s="9" t="s">
        <v>2173</v>
      </c>
      <c r="P324" s="10">
        <v>24</v>
      </c>
    </row>
    <row r="325" spans="1:16" ht="259.2" x14ac:dyDescent="0.3">
      <c r="A325" t="s">
        <v>41</v>
      </c>
      <c r="B325" t="s">
        <v>2174</v>
      </c>
      <c r="C325" t="s">
        <v>369</v>
      </c>
      <c r="D325" s="9" t="s">
        <v>2175</v>
      </c>
      <c r="E325" t="s">
        <v>74</v>
      </c>
      <c r="F325" t="s">
        <v>143</v>
      </c>
      <c r="G325" t="s">
        <v>47</v>
      </c>
      <c r="H325" s="9" t="s">
        <v>1630</v>
      </c>
      <c r="I325" s="9" t="s">
        <v>59</v>
      </c>
      <c r="J325" t="s">
        <v>2176</v>
      </c>
      <c r="K325" s="9" t="s">
        <v>2177</v>
      </c>
      <c r="L325" s="9" t="s">
        <v>2178</v>
      </c>
      <c r="M325" s="9" t="s">
        <v>2179</v>
      </c>
      <c r="N325" s="9" t="s">
        <v>2180</v>
      </c>
      <c r="O325" s="9" t="s">
        <v>2181</v>
      </c>
      <c r="P325" s="10">
        <v>21</v>
      </c>
    </row>
    <row r="326" spans="1:16" ht="86.4" x14ac:dyDescent="0.3">
      <c r="A326" t="s">
        <v>41</v>
      </c>
      <c r="B326" t="s">
        <v>2174</v>
      </c>
      <c r="C326" t="s">
        <v>66</v>
      </c>
      <c r="D326" s="9" t="s">
        <v>2182</v>
      </c>
      <c r="E326" t="s">
        <v>74</v>
      </c>
      <c r="F326" t="s">
        <v>143</v>
      </c>
      <c r="G326" t="s">
        <v>47</v>
      </c>
      <c r="H326" s="9" t="s">
        <v>1630</v>
      </c>
      <c r="I326" s="9" t="s">
        <v>59</v>
      </c>
      <c r="J326" t="s">
        <v>2176</v>
      </c>
      <c r="K326" s="9" t="s">
        <v>2183</v>
      </c>
      <c r="L326" s="9" t="s">
        <v>2184</v>
      </c>
      <c r="M326" s="9" t="s">
        <v>2185</v>
      </c>
      <c r="N326" s="9"/>
      <c r="O326" s="9" t="s">
        <v>2186</v>
      </c>
      <c r="P326" s="10">
        <v>21</v>
      </c>
    </row>
    <row r="327" spans="1:16" ht="244.8" x14ac:dyDescent="0.3">
      <c r="A327" t="s">
        <v>41</v>
      </c>
      <c r="B327" t="s">
        <v>2174</v>
      </c>
      <c r="C327" t="s">
        <v>74</v>
      </c>
      <c r="D327" s="9" t="s">
        <v>2187</v>
      </c>
      <c r="E327" t="s">
        <v>583</v>
      </c>
      <c r="F327" t="s">
        <v>143</v>
      </c>
      <c r="G327" t="s">
        <v>47</v>
      </c>
      <c r="H327" s="9" t="s">
        <v>1630</v>
      </c>
      <c r="I327" s="9" t="s">
        <v>59</v>
      </c>
      <c r="J327" t="s">
        <v>2176</v>
      </c>
      <c r="K327" s="9" t="s">
        <v>2188</v>
      </c>
      <c r="L327" s="9" t="s">
        <v>2189</v>
      </c>
      <c r="M327" s="9" t="s">
        <v>2190</v>
      </c>
      <c r="N327" s="9" t="s">
        <v>2191</v>
      </c>
      <c r="O327" s="9" t="s">
        <v>2192</v>
      </c>
      <c r="P327" s="10">
        <v>21</v>
      </c>
    </row>
    <row r="328" spans="1:16" ht="57.6" x14ac:dyDescent="0.3">
      <c r="A328" t="s">
        <v>41</v>
      </c>
      <c r="B328" t="s">
        <v>2174</v>
      </c>
      <c r="C328" t="s">
        <v>43</v>
      </c>
      <c r="D328" s="9" t="s">
        <v>2193</v>
      </c>
      <c r="E328" t="s">
        <v>2194</v>
      </c>
      <c r="F328" t="s">
        <v>143</v>
      </c>
      <c r="G328" t="s">
        <v>47</v>
      </c>
      <c r="H328" s="9" t="s">
        <v>1630</v>
      </c>
      <c r="I328" s="9" t="s">
        <v>59</v>
      </c>
      <c r="J328" t="s">
        <v>2176</v>
      </c>
      <c r="K328" s="9" t="s">
        <v>2195</v>
      </c>
      <c r="L328" s="9" t="s">
        <v>2196</v>
      </c>
      <c r="M328" s="9" t="s">
        <v>2197</v>
      </c>
      <c r="N328" s="9"/>
      <c r="O328" s="9" t="s">
        <v>2198</v>
      </c>
      <c r="P328" s="10">
        <v>21</v>
      </c>
    </row>
    <row r="329" spans="1:16" ht="216" x14ac:dyDescent="0.3">
      <c r="A329" t="s">
        <v>41</v>
      </c>
      <c r="B329" t="s">
        <v>2174</v>
      </c>
      <c r="C329" t="s">
        <v>68</v>
      </c>
      <c r="D329" s="9" t="s">
        <v>2199</v>
      </c>
      <c r="E329" t="s">
        <v>441</v>
      </c>
      <c r="F329" t="s">
        <v>143</v>
      </c>
      <c r="G329" t="s">
        <v>47</v>
      </c>
      <c r="H329" s="9" t="s">
        <v>1630</v>
      </c>
      <c r="I329" s="9" t="s">
        <v>59</v>
      </c>
      <c r="J329" t="s">
        <v>2176</v>
      </c>
      <c r="K329" s="9" t="s">
        <v>2200</v>
      </c>
      <c r="L329" s="9" t="s">
        <v>2201</v>
      </c>
      <c r="M329" s="9" t="s">
        <v>2202</v>
      </c>
      <c r="N329" s="9" t="s">
        <v>2203</v>
      </c>
      <c r="O329" s="9" t="s">
        <v>2204</v>
      </c>
      <c r="P329" s="10">
        <v>21</v>
      </c>
    </row>
    <row r="330" spans="1:16" ht="100.8" x14ac:dyDescent="0.3">
      <c r="A330" t="s">
        <v>41</v>
      </c>
      <c r="B330" t="s">
        <v>2174</v>
      </c>
      <c r="C330" t="s">
        <v>55</v>
      </c>
      <c r="D330" s="9" t="s">
        <v>2205</v>
      </c>
      <c r="E330" t="s">
        <v>441</v>
      </c>
      <c r="F330" t="s">
        <v>143</v>
      </c>
      <c r="G330" t="s">
        <v>47</v>
      </c>
      <c r="H330" s="9" t="s">
        <v>2206</v>
      </c>
      <c r="I330" s="9" t="s">
        <v>307</v>
      </c>
      <c r="J330" t="s">
        <v>2176</v>
      </c>
      <c r="K330" s="9" t="s">
        <v>2207</v>
      </c>
      <c r="L330" s="9" t="s">
        <v>2208</v>
      </c>
      <c r="M330" s="9" t="s">
        <v>2209</v>
      </c>
      <c r="N330" s="9" t="s">
        <v>2210</v>
      </c>
      <c r="O330" s="9" t="s">
        <v>2211</v>
      </c>
      <c r="P330" s="10">
        <v>21</v>
      </c>
    </row>
    <row r="331" spans="1:16" ht="100.8" x14ac:dyDescent="0.3">
      <c r="A331" t="s">
        <v>41</v>
      </c>
      <c r="B331" t="s">
        <v>2174</v>
      </c>
      <c r="C331" t="s">
        <v>424</v>
      </c>
      <c r="D331" s="9" t="s">
        <v>2212</v>
      </c>
      <c r="E331" t="s">
        <v>679</v>
      </c>
      <c r="F331" t="s">
        <v>143</v>
      </c>
      <c r="G331" t="s">
        <v>47</v>
      </c>
      <c r="H331" s="9" t="s">
        <v>2206</v>
      </c>
      <c r="I331" s="9" t="s">
        <v>59</v>
      </c>
      <c r="J331" t="s">
        <v>2176</v>
      </c>
      <c r="K331" s="9" t="s">
        <v>2213</v>
      </c>
      <c r="L331" s="9" t="s">
        <v>2214</v>
      </c>
      <c r="M331" s="9" t="s">
        <v>2215</v>
      </c>
      <c r="N331" s="9" t="s">
        <v>2216</v>
      </c>
      <c r="O331" s="9" t="s">
        <v>2217</v>
      </c>
      <c r="P331" s="10">
        <v>21</v>
      </c>
    </row>
    <row r="332" spans="1:16" ht="100.8" x14ac:dyDescent="0.3">
      <c r="A332" t="s">
        <v>41</v>
      </c>
      <c r="B332" t="s">
        <v>2174</v>
      </c>
      <c r="C332" t="s">
        <v>433</v>
      </c>
      <c r="D332" s="9" t="s">
        <v>2218</v>
      </c>
      <c r="E332" t="s">
        <v>449</v>
      </c>
      <c r="F332" t="s">
        <v>143</v>
      </c>
      <c r="G332" t="s">
        <v>47</v>
      </c>
      <c r="H332" s="9" t="s">
        <v>2206</v>
      </c>
      <c r="I332" s="9" t="s">
        <v>307</v>
      </c>
      <c r="J332" t="s">
        <v>2176</v>
      </c>
      <c r="K332" s="9" t="s">
        <v>2219</v>
      </c>
      <c r="L332" s="9" t="s">
        <v>2220</v>
      </c>
      <c r="M332" s="9" t="s">
        <v>2221</v>
      </c>
      <c r="N332" s="9"/>
      <c r="O332" s="9" t="s">
        <v>2222</v>
      </c>
      <c r="P332" s="10">
        <v>21</v>
      </c>
    </row>
    <row r="333" spans="1:16" ht="115.2" x14ac:dyDescent="0.3">
      <c r="A333" t="s">
        <v>41</v>
      </c>
      <c r="B333" t="s">
        <v>2174</v>
      </c>
      <c r="C333" t="s">
        <v>441</v>
      </c>
      <c r="D333" s="9" t="s">
        <v>2223</v>
      </c>
      <c r="E333" t="s">
        <v>449</v>
      </c>
      <c r="F333" t="s">
        <v>143</v>
      </c>
      <c r="G333" t="s">
        <v>47</v>
      </c>
      <c r="H333" s="9" t="s">
        <v>2206</v>
      </c>
      <c r="I333" s="9" t="s">
        <v>307</v>
      </c>
      <c r="J333" t="s">
        <v>2176</v>
      </c>
      <c r="K333" s="9" t="s">
        <v>2224</v>
      </c>
      <c r="L333" s="9" t="s">
        <v>2225</v>
      </c>
      <c r="M333" s="9" t="s">
        <v>2226</v>
      </c>
      <c r="N333" s="9" t="s">
        <v>2227</v>
      </c>
      <c r="O333" s="9" t="s">
        <v>2228</v>
      </c>
      <c r="P333" s="10">
        <v>21</v>
      </c>
    </row>
    <row r="334" spans="1:16" ht="86.4" x14ac:dyDescent="0.3">
      <c r="A334" t="s">
        <v>41</v>
      </c>
      <c r="B334" t="s">
        <v>2174</v>
      </c>
      <c r="C334" t="s">
        <v>449</v>
      </c>
      <c r="D334" s="9" t="s">
        <v>2229</v>
      </c>
      <c r="E334" t="s">
        <v>449</v>
      </c>
      <c r="F334" t="s">
        <v>143</v>
      </c>
      <c r="G334" t="s">
        <v>47</v>
      </c>
      <c r="H334" s="9" t="s">
        <v>2230</v>
      </c>
      <c r="I334" s="9" t="s">
        <v>307</v>
      </c>
      <c r="J334" t="s">
        <v>2176</v>
      </c>
      <c r="K334" s="9" t="s">
        <v>2231</v>
      </c>
      <c r="L334" s="9" t="s">
        <v>2232</v>
      </c>
      <c r="M334" s="9" t="s">
        <v>2233</v>
      </c>
      <c r="N334" s="9"/>
      <c r="O334" s="9" t="s">
        <v>2234</v>
      </c>
      <c r="P334" s="10">
        <v>21</v>
      </c>
    </row>
    <row r="335" spans="1:16" ht="86.4" x14ac:dyDescent="0.3">
      <c r="A335" t="s">
        <v>41</v>
      </c>
      <c r="B335" t="s">
        <v>2174</v>
      </c>
      <c r="C335" t="s">
        <v>458</v>
      </c>
      <c r="D335" s="9" t="s">
        <v>2235</v>
      </c>
      <c r="E335" t="s">
        <v>449</v>
      </c>
      <c r="F335" t="s">
        <v>143</v>
      </c>
      <c r="G335" t="s">
        <v>47</v>
      </c>
      <c r="H335" s="9" t="s">
        <v>2206</v>
      </c>
      <c r="I335" s="9" t="s">
        <v>307</v>
      </c>
      <c r="J335" t="s">
        <v>2176</v>
      </c>
      <c r="K335" s="9" t="s">
        <v>2236</v>
      </c>
      <c r="L335" s="9" t="s">
        <v>2237</v>
      </c>
      <c r="M335" s="9" t="s">
        <v>2238</v>
      </c>
      <c r="N335" s="9" t="s">
        <v>2239</v>
      </c>
      <c r="O335" s="9" t="s">
        <v>2240</v>
      </c>
      <c r="P335" s="10">
        <v>21</v>
      </c>
    </row>
    <row r="336" spans="1:16" ht="172.8" x14ac:dyDescent="0.3">
      <c r="A336" t="s">
        <v>41</v>
      </c>
      <c r="B336" t="s">
        <v>2174</v>
      </c>
      <c r="C336" t="s">
        <v>466</v>
      </c>
      <c r="D336" s="9" t="s">
        <v>2241</v>
      </c>
      <c r="E336" t="s">
        <v>694</v>
      </c>
      <c r="F336" t="s">
        <v>143</v>
      </c>
      <c r="G336" t="s">
        <v>47</v>
      </c>
      <c r="H336" s="9" t="s">
        <v>1630</v>
      </c>
      <c r="I336" s="9" t="s">
        <v>106</v>
      </c>
      <c r="J336" t="s">
        <v>2176</v>
      </c>
      <c r="K336" s="9" t="s">
        <v>2242</v>
      </c>
      <c r="L336" s="9" t="s">
        <v>2243</v>
      </c>
      <c r="M336" s="9" t="s">
        <v>2244</v>
      </c>
      <c r="N336" s="9" t="s">
        <v>2245</v>
      </c>
      <c r="O336" s="9" t="s">
        <v>2246</v>
      </c>
      <c r="P336" s="10">
        <v>21</v>
      </c>
    </row>
    <row r="337" spans="1:16" ht="100.8" x14ac:dyDescent="0.3">
      <c r="A337" t="s">
        <v>41</v>
      </c>
      <c r="B337" t="s">
        <v>2174</v>
      </c>
      <c r="C337" t="s">
        <v>312</v>
      </c>
      <c r="D337" s="9" t="s">
        <v>2247</v>
      </c>
      <c r="E337" t="s">
        <v>458</v>
      </c>
      <c r="F337" t="s">
        <v>143</v>
      </c>
      <c r="G337" t="s">
        <v>47</v>
      </c>
      <c r="H337" s="9" t="s">
        <v>2248</v>
      </c>
      <c r="I337" s="9" t="s">
        <v>106</v>
      </c>
      <c r="J337" t="s">
        <v>2176</v>
      </c>
      <c r="K337" s="9" t="s">
        <v>2249</v>
      </c>
      <c r="L337" s="9" t="s">
        <v>2250</v>
      </c>
      <c r="M337" s="9" t="s">
        <v>2251</v>
      </c>
      <c r="N337" s="9"/>
      <c r="O337" s="9" t="s">
        <v>2252</v>
      </c>
      <c r="P337" s="10">
        <v>21</v>
      </c>
    </row>
    <row r="338" spans="1:16" ht="86.4" x14ac:dyDescent="0.3">
      <c r="A338" t="s">
        <v>41</v>
      </c>
      <c r="B338" t="s">
        <v>2174</v>
      </c>
      <c r="C338" t="s">
        <v>590</v>
      </c>
      <c r="D338" s="9" t="s">
        <v>2253</v>
      </c>
      <c r="E338" t="s">
        <v>458</v>
      </c>
      <c r="F338" t="s">
        <v>143</v>
      </c>
      <c r="G338" t="s">
        <v>47</v>
      </c>
      <c r="H338" s="9" t="s">
        <v>1630</v>
      </c>
      <c r="I338" s="9" t="s">
        <v>106</v>
      </c>
      <c r="J338" t="s">
        <v>2176</v>
      </c>
      <c r="K338" s="9" t="s">
        <v>2254</v>
      </c>
      <c r="L338" s="9" t="s">
        <v>2255</v>
      </c>
      <c r="M338" s="9" t="s">
        <v>2256</v>
      </c>
      <c r="N338" s="9" t="s">
        <v>2257</v>
      </c>
      <c r="O338" s="9" t="s">
        <v>2258</v>
      </c>
      <c r="P338" s="10">
        <v>21</v>
      </c>
    </row>
    <row r="339" spans="1:16" ht="187.2" x14ac:dyDescent="0.3">
      <c r="A339" t="s">
        <v>41</v>
      </c>
      <c r="B339" t="s">
        <v>2174</v>
      </c>
      <c r="C339" t="s">
        <v>215</v>
      </c>
      <c r="D339" s="9" t="s">
        <v>2259</v>
      </c>
      <c r="E339" t="s">
        <v>458</v>
      </c>
      <c r="F339" t="s">
        <v>143</v>
      </c>
      <c r="G339" t="s">
        <v>47</v>
      </c>
      <c r="H339" s="9" t="s">
        <v>2260</v>
      </c>
      <c r="I339" s="9" t="s">
        <v>106</v>
      </c>
      <c r="J339" t="s">
        <v>2176</v>
      </c>
      <c r="K339" s="9" t="s">
        <v>2261</v>
      </c>
      <c r="L339" s="9" t="s">
        <v>2262</v>
      </c>
      <c r="M339" s="9" t="s">
        <v>2263</v>
      </c>
      <c r="N339" s="9" t="s">
        <v>2264</v>
      </c>
      <c r="O339" s="9" t="s">
        <v>2265</v>
      </c>
      <c r="P339" s="10">
        <v>21</v>
      </c>
    </row>
    <row r="340" spans="1:16" ht="409.6" x14ac:dyDescent="0.3">
      <c r="A340" t="s">
        <v>41</v>
      </c>
      <c r="B340" t="s">
        <v>2174</v>
      </c>
      <c r="C340" t="s">
        <v>221</v>
      </c>
      <c r="D340" s="9" t="s">
        <v>2266</v>
      </c>
      <c r="E340" t="s">
        <v>869</v>
      </c>
      <c r="F340" t="s">
        <v>143</v>
      </c>
      <c r="G340" t="s">
        <v>47</v>
      </c>
      <c r="H340" s="9" t="s">
        <v>2260</v>
      </c>
      <c r="I340" s="9" t="s">
        <v>106</v>
      </c>
      <c r="J340" t="s">
        <v>2176</v>
      </c>
      <c r="K340" s="9" t="s">
        <v>2267</v>
      </c>
      <c r="L340" s="9" t="s">
        <v>2268</v>
      </c>
      <c r="M340" s="9" t="s">
        <v>2269</v>
      </c>
      <c r="N340" s="9" t="s">
        <v>2270</v>
      </c>
      <c r="O340" s="9" t="s">
        <v>2271</v>
      </c>
      <c r="P340" s="10">
        <v>21</v>
      </c>
    </row>
    <row r="341" spans="1:16" ht="86.4" x14ac:dyDescent="0.3">
      <c r="A341" t="s">
        <v>41</v>
      </c>
      <c r="B341" t="s">
        <v>2174</v>
      </c>
      <c r="C341" t="s">
        <v>766</v>
      </c>
      <c r="D341" s="9" t="s">
        <v>2272</v>
      </c>
      <c r="E341" t="s">
        <v>466</v>
      </c>
      <c r="F341" t="s">
        <v>143</v>
      </c>
      <c r="G341" t="s">
        <v>47</v>
      </c>
      <c r="H341" s="9" t="s">
        <v>2260</v>
      </c>
      <c r="I341" s="9" t="s">
        <v>106</v>
      </c>
      <c r="J341" t="s">
        <v>2176</v>
      </c>
      <c r="K341" s="9" t="s">
        <v>2273</v>
      </c>
      <c r="L341" s="9" t="s">
        <v>2274</v>
      </c>
      <c r="M341" s="9" t="s">
        <v>2275</v>
      </c>
      <c r="N341" s="9"/>
      <c r="O341" s="9" t="s">
        <v>2276</v>
      </c>
      <c r="P341" s="10">
        <v>21</v>
      </c>
    </row>
    <row r="342" spans="1:16" ht="115.2" x14ac:dyDescent="0.3">
      <c r="A342" t="s">
        <v>41</v>
      </c>
      <c r="B342" t="s">
        <v>2174</v>
      </c>
      <c r="C342" t="s">
        <v>989</v>
      </c>
      <c r="D342" s="9" t="s">
        <v>2277</v>
      </c>
      <c r="E342" t="s">
        <v>466</v>
      </c>
      <c r="F342" t="s">
        <v>143</v>
      </c>
      <c r="G342" t="s">
        <v>47</v>
      </c>
      <c r="H342" s="9" t="s">
        <v>1630</v>
      </c>
      <c r="I342" s="9" t="s">
        <v>106</v>
      </c>
      <c r="J342" t="s">
        <v>2176</v>
      </c>
      <c r="K342" s="9" t="s">
        <v>2278</v>
      </c>
      <c r="L342" s="9" t="s">
        <v>2279</v>
      </c>
      <c r="M342" s="9" t="s">
        <v>2280</v>
      </c>
      <c r="N342" s="9" t="s">
        <v>2281</v>
      </c>
      <c r="O342" s="9" t="s">
        <v>2282</v>
      </c>
      <c r="P342" s="10">
        <v>21</v>
      </c>
    </row>
    <row r="343" spans="1:16" ht="115.2" x14ac:dyDescent="0.3">
      <c r="A343" t="s">
        <v>41</v>
      </c>
      <c r="B343" t="s">
        <v>2174</v>
      </c>
      <c r="C343" t="s">
        <v>773</v>
      </c>
      <c r="D343" s="9" t="s">
        <v>2283</v>
      </c>
      <c r="E343" t="s">
        <v>466</v>
      </c>
      <c r="F343" t="s">
        <v>143</v>
      </c>
      <c r="G343" t="s">
        <v>47</v>
      </c>
      <c r="H343" s="9" t="s">
        <v>1630</v>
      </c>
      <c r="I343" s="9" t="s">
        <v>106</v>
      </c>
      <c r="J343" t="s">
        <v>2176</v>
      </c>
      <c r="K343" s="9" t="s">
        <v>2284</v>
      </c>
      <c r="L343" s="9" t="s">
        <v>2285</v>
      </c>
      <c r="M343" s="9" t="s">
        <v>2286</v>
      </c>
      <c r="N343" s="9" t="s">
        <v>2287</v>
      </c>
      <c r="O343" s="9" t="s">
        <v>2288</v>
      </c>
      <c r="P343" s="10">
        <v>21</v>
      </c>
    </row>
    <row r="344" spans="1:16" ht="409.6" x14ac:dyDescent="0.3">
      <c r="A344" t="s">
        <v>41</v>
      </c>
      <c r="B344" t="s">
        <v>2174</v>
      </c>
      <c r="C344" t="s">
        <v>597</v>
      </c>
      <c r="D344" s="9" t="s">
        <v>2289</v>
      </c>
      <c r="E344" t="s">
        <v>702</v>
      </c>
      <c r="F344" t="s">
        <v>143</v>
      </c>
      <c r="G344" t="s">
        <v>47</v>
      </c>
      <c r="H344" s="9" t="s">
        <v>1630</v>
      </c>
      <c r="I344" s="9" t="s">
        <v>106</v>
      </c>
      <c r="J344" t="s">
        <v>2176</v>
      </c>
      <c r="K344" s="9" t="s">
        <v>2290</v>
      </c>
      <c r="L344" s="9" t="s">
        <v>2291</v>
      </c>
      <c r="M344" s="9" t="s">
        <v>2292</v>
      </c>
      <c r="N344" s="9" t="s">
        <v>2293</v>
      </c>
      <c r="O344" s="9" t="s">
        <v>2294</v>
      </c>
      <c r="P344" s="10">
        <v>21</v>
      </c>
    </row>
    <row r="345" spans="1:16" ht="273.60000000000002" x14ac:dyDescent="0.3">
      <c r="A345" t="s">
        <v>41</v>
      </c>
      <c r="B345" t="s">
        <v>2174</v>
      </c>
      <c r="C345" t="s">
        <v>787</v>
      </c>
      <c r="D345" s="9" t="s">
        <v>2295</v>
      </c>
      <c r="E345" t="s">
        <v>312</v>
      </c>
      <c r="F345" t="s">
        <v>143</v>
      </c>
      <c r="G345" t="s">
        <v>47</v>
      </c>
      <c r="H345" s="9" t="s">
        <v>1630</v>
      </c>
      <c r="I345" s="9" t="s">
        <v>106</v>
      </c>
      <c r="J345" t="s">
        <v>2176</v>
      </c>
      <c r="K345" s="9" t="s">
        <v>2296</v>
      </c>
      <c r="L345" s="9" t="s">
        <v>2297</v>
      </c>
      <c r="M345" s="9" t="s">
        <v>2298</v>
      </c>
      <c r="N345" s="9" t="s">
        <v>2299</v>
      </c>
      <c r="O345" s="9" t="s">
        <v>2300</v>
      </c>
      <c r="P345" s="10">
        <v>21</v>
      </c>
    </row>
    <row r="346" spans="1:16" ht="72" x14ac:dyDescent="0.3">
      <c r="A346" t="s">
        <v>41</v>
      </c>
      <c r="B346" t="s">
        <v>2174</v>
      </c>
      <c r="C346" t="s">
        <v>604</v>
      </c>
      <c r="D346" s="9" t="s">
        <v>2301</v>
      </c>
      <c r="E346" t="s">
        <v>312</v>
      </c>
      <c r="F346" t="s">
        <v>143</v>
      </c>
      <c r="G346" t="s">
        <v>47</v>
      </c>
      <c r="H346" s="9" t="s">
        <v>1630</v>
      </c>
      <c r="I346" s="9" t="s">
        <v>106</v>
      </c>
      <c r="J346" t="s">
        <v>2176</v>
      </c>
      <c r="K346" s="9" t="s">
        <v>2302</v>
      </c>
      <c r="L346" s="9" t="s">
        <v>2303</v>
      </c>
      <c r="M346" s="9" t="s">
        <v>2304</v>
      </c>
      <c r="N346" s="9"/>
      <c r="O346" s="9" t="s">
        <v>2305</v>
      </c>
      <c r="P346" s="10">
        <v>21</v>
      </c>
    </row>
    <row r="347" spans="1:16" ht="72" x14ac:dyDescent="0.3">
      <c r="A347" t="s">
        <v>41</v>
      </c>
      <c r="B347" t="s">
        <v>2174</v>
      </c>
      <c r="C347" t="s">
        <v>611</v>
      </c>
      <c r="D347" s="9" t="s">
        <v>2306</v>
      </c>
      <c r="E347" t="s">
        <v>312</v>
      </c>
      <c r="F347" t="s">
        <v>143</v>
      </c>
      <c r="G347" t="s">
        <v>47</v>
      </c>
      <c r="H347" s="9" t="s">
        <v>1630</v>
      </c>
      <c r="I347" s="9" t="s">
        <v>106</v>
      </c>
      <c r="J347" t="s">
        <v>2176</v>
      </c>
      <c r="K347" s="9" t="s">
        <v>2307</v>
      </c>
      <c r="L347" s="9" t="s">
        <v>2308</v>
      </c>
      <c r="M347" s="9" t="s">
        <v>2309</v>
      </c>
      <c r="N347" s="9"/>
      <c r="O347" s="9" t="s">
        <v>2310</v>
      </c>
      <c r="P347" s="10">
        <v>21</v>
      </c>
    </row>
    <row r="348" spans="1:16" ht="129.6" x14ac:dyDescent="0.3">
      <c r="A348" t="s">
        <v>41</v>
      </c>
      <c r="B348" t="s">
        <v>2174</v>
      </c>
      <c r="C348" t="s">
        <v>319</v>
      </c>
      <c r="D348" s="9" t="s">
        <v>2311</v>
      </c>
      <c r="E348" t="s">
        <v>927</v>
      </c>
      <c r="F348" t="s">
        <v>143</v>
      </c>
      <c r="G348" t="s">
        <v>47</v>
      </c>
      <c r="H348" s="9" t="s">
        <v>1630</v>
      </c>
      <c r="I348" s="9" t="s">
        <v>106</v>
      </c>
      <c r="J348" t="s">
        <v>2176</v>
      </c>
      <c r="K348" s="9" t="s">
        <v>2312</v>
      </c>
      <c r="L348" s="9" t="s">
        <v>2313</v>
      </c>
      <c r="M348" s="9" t="s">
        <v>2314</v>
      </c>
      <c r="N348" s="9"/>
      <c r="O348" s="9" t="s">
        <v>2315</v>
      </c>
      <c r="P348" s="10">
        <v>21</v>
      </c>
    </row>
    <row r="349" spans="1:16" ht="409.6" x14ac:dyDescent="0.3">
      <c r="A349" t="s">
        <v>41</v>
      </c>
      <c r="B349" t="s">
        <v>2174</v>
      </c>
      <c r="C349" t="s">
        <v>816</v>
      </c>
      <c r="D349" s="9" t="s">
        <v>2316</v>
      </c>
      <c r="E349" t="s">
        <v>942</v>
      </c>
      <c r="F349" t="s">
        <v>143</v>
      </c>
      <c r="G349" t="s">
        <v>47</v>
      </c>
      <c r="H349" s="9" t="s">
        <v>2317</v>
      </c>
      <c r="I349" s="9" t="s">
        <v>106</v>
      </c>
      <c r="J349" t="s">
        <v>2176</v>
      </c>
      <c r="K349" s="9" t="s">
        <v>2318</v>
      </c>
      <c r="L349" s="9" t="s">
        <v>2319</v>
      </c>
      <c r="M349" s="9" t="s">
        <v>2320</v>
      </c>
      <c r="N349" s="9" t="s">
        <v>2321</v>
      </c>
      <c r="O349" s="9" t="s">
        <v>2322</v>
      </c>
      <c r="P349" s="10">
        <v>21</v>
      </c>
    </row>
    <row r="350" spans="1:16" ht="144" x14ac:dyDescent="0.3">
      <c r="A350" t="s">
        <v>41</v>
      </c>
      <c r="B350" t="s">
        <v>2174</v>
      </c>
      <c r="C350" t="s">
        <v>1175</v>
      </c>
      <c r="D350" s="9" t="s">
        <v>2323</v>
      </c>
      <c r="E350" t="s">
        <v>215</v>
      </c>
      <c r="F350" t="s">
        <v>143</v>
      </c>
      <c r="G350" t="s">
        <v>47</v>
      </c>
      <c r="H350" s="9" t="s">
        <v>2248</v>
      </c>
      <c r="I350" s="9" t="s">
        <v>106</v>
      </c>
      <c r="J350" t="s">
        <v>2176</v>
      </c>
      <c r="K350" s="9" t="s">
        <v>2324</v>
      </c>
      <c r="L350" s="9" t="s">
        <v>2325</v>
      </c>
      <c r="M350" s="9" t="s">
        <v>2326</v>
      </c>
      <c r="N350" s="9" t="s">
        <v>2327</v>
      </c>
      <c r="O350" s="9" t="s">
        <v>2328</v>
      </c>
      <c r="P350" s="10">
        <v>21</v>
      </c>
    </row>
    <row r="351" spans="1:16" ht="409.6" x14ac:dyDescent="0.3">
      <c r="A351" t="s">
        <v>41</v>
      </c>
      <c r="B351" t="s">
        <v>2174</v>
      </c>
      <c r="C351" t="s">
        <v>627</v>
      </c>
      <c r="D351" s="9" t="s">
        <v>2329</v>
      </c>
      <c r="E351" t="s">
        <v>1313</v>
      </c>
      <c r="F351" t="s">
        <v>143</v>
      </c>
      <c r="G351" t="s">
        <v>47</v>
      </c>
      <c r="H351" s="9" t="s">
        <v>2330</v>
      </c>
      <c r="I351" s="9" t="s">
        <v>106</v>
      </c>
      <c r="J351" t="s">
        <v>2176</v>
      </c>
      <c r="K351" s="9" t="s">
        <v>2331</v>
      </c>
      <c r="L351" s="9" t="s">
        <v>2332</v>
      </c>
      <c r="M351" s="9" t="s">
        <v>2333</v>
      </c>
      <c r="N351" s="9" t="s">
        <v>2334</v>
      </c>
      <c r="O351" s="9" t="s">
        <v>2335</v>
      </c>
      <c r="P351" s="10">
        <v>21</v>
      </c>
    </row>
    <row r="352" spans="1:16" ht="409.6" x14ac:dyDescent="0.3">
      <c r="A352" t="s">
        <v>41</v>
      </c>
      <c r="B352" t="s">
        <v>2174</v>
      </c>
      <c r="C352" t="s">
        <v>634</v>
      </c>
      <c r="D352" s="9" t="s">
        <v>2336</v>
      </c>
      <c r="E352" t="s">
        <v>221</v>
      </c>
      <c r="F352" t="s">
        <v>143</v>
      </c>
      <c r="G352" t="s">
        <v>47</v>
      </c>
      <c r="H352" s="9" t="s">
        <v>1630</v>
      </c>
      <c r="I352" s="9" t="s">
        <v>106</v>
      </c>
      <c r="J352" t="s">
        <v>2176</v>
      </c>
      <c r="K352" s="9" t="s">
        <v>2337</v>
      </c>
      <c r="L352" s="9" t="s">
        <v>2338</v>
      </c>
      <c r="M352" s="9" t="s">
        <v>2339</v>
      </c>
      <c r="N352" s="9" t="s">
        <v>2340</v>
      </c>
      <c r="O352" s="9" t="s">
        <v>2341</v>
      </c>
      <c r="P352" s="10">
        <v>21</v>
      </c>
    </row>
    <row r="353" spans="1:16" ht="288" x14ac:dyDescent="0.3">
      <c r="A353" t="s">
        <v>41</v>
      </c>
      <c r="B353" t="s">
        <v>2174</v>
      </c>
      <c r="C353" t="s">
        <v>642</v>
      </c>
      <c r="D353" s="9" t="s">
        <v>2342</v>
      </c>
      <c r="E353" t="s">
        <v>1321</v>
      </c>
      <c r="F353" t="s">
        <v>143</v>
      </c>
      <c r="G353" t="s">
        <v>47</v>
      </c>
      <c r="H353" s="9" t="s">
        <v>1630</v>
      </c>
      <c r="I353" s="9" t="s">
        <v>106</v>
      </c>
      <c r="J353" t="s">
        <v>2176</v>
      </c>
      <c r="K353" s="9" t="s">
        <v>2343</v>
      </c>
      <c r="L353" s="9" t="s">
        <v>2344</v>
      </c>
      <c r="M353" s="9" t="s">
        <v>2345</v>
      </c>
      <c r="N353" s="9" t="s">
        <v>2346</v>
      </c>
      <c r="O353" s="9" t="s">
        <v>2347</v>
      </c>
      <c r="P353" s="10">
        <v>21</v>
      </c>
    </row>
    <row r="354" spans="1:16" ht="115.2" x14ac:dyDescent="0.3">
      <c r="A354" t="s">
        <v>41</v>
      </c>
      <c r="B354" t="s">
        <v>2174</v>
      </c>
      <c r="C354" t="s">
        <v>649</v>
      </c>
      <c r="D354" s="9" t="s">
        <v>2348</v>
      </c>
      <c r="E354" t="s">
        <v>766</v>
      </c>
      <c r="F354" t="s">
        <v>46</v>
      </c>
      <c r="G354" t="s">
        <v>47</v>
      </c>
      <c r="H354" s="9" t="s">
        <v>1630</v>
      </c>
      <c r="I354" s="9" t="s">
        <v>307</v>
      </c>
      <c r="K354" s="9" t="s">
        <v>2349</v>
      </c>
      <c r="L354" s="9" t="s">
        <v>2350</v>
      </c>
      <c r="M354" s="9" t="s">
        <v>2351</v>
      </c>
      <c r="N354" s="9"/>
      <c r="O354" s="9" t="s">
        <v>2352</v>
      </c>
      <c r="P354" s="10">
        <v>21</v>
      </c>
    </row>
    <row r="355" spans="1:16" ht="86.4" x14ac:dyDescent="0.3">
      <c r="A355" t="s">
        <v>41</v>
      </c>
      <c r="B355" t="s">
        <v>2174</v>
      </c>
      <c r="C355" t="s">
        <v>657</v>
      </c>
      <c r="D355" s="9" t="s">
        <v>2353</v>
      </c>
      <c r="E355" t="s">
        <v>766</v>
      </c>
      <c r="F355" t="s">
        <v>46</v>
      </c>
      <c r="G355" t="s">
        <v>47</v>
      </c>
      <c r="H355" s="9" t="s">
        <v>1630</v>
      </c>
      <c r="I355" s="9" t="s">
        <v>307</v>
      </c>
      <c r="K355" s="9" t="s">
        <v>2354</v>
      </c>
      <c r="L355" s="9" t="s">
        <v>2355</v>
      </c>
      <c r="M355" s="9" t="s">
        <v>2356</v>
      </c>
      <c r="N355" s="9"/>
      <c r="O355" s="9" t="s">
        <v>2357</v>
      </c>
      <c r="P355" s="10">
        <v>21</v>
      </c>
    </row>
    <row r="356" spans="1:16" ht="100.8" x14ac:dyDescent="0.3">
      <c r="A356" t="s">
        <v>41</v>
      </c>
      <c r="B356" t="s">
        <v>2174</v>
      </c>
      <c r="C356" t="s">
        <v>328</v>
      </c>
      <c r="D356" s="9" t="s">
        <v>2358</v>
      </c>
      <c r="E356" t="s">
        <v>766</v>
      </c>
      <c r="F356" t="s">
        <v>46</v>
      </c>
      <c r="G356" t="s">
        <v>47</v>
      </c>
      <c r="H356" s="9" t="s">
        <v>1630</v>
      </c>
      <c r="I356" s="9" t="s">
        <v>307</v>
      </c>
      <c r="K356" s="9" t="s">
        <v>2359</v>
      </c>
      <c r="L356" s="9" t="s">
        <v>2360</v>
      </c>
      <c r="M356" s="9" t="s">
        <v>2361</v>
      </c>
      <c r="N356" s="9"/>
      <c r="O356" s="9" t="s">
        <v>2362</v>
      </c>
      <c r="P356" s="10">
        <v>21</v>
      </c>
    </row>
    <row r="357" spans="1:16" ht="158.4" x14ac:dyDescent="0.3">
      <c r="A357" t="s">
        <v>41</v>
      </c>
      <c r="B357" t="s">
        <v>2174</v>
      </c>
      <c r="C357" t="s">
        <v>841</v>
      </c>
      <c r="D357" s="9" t="s">
        <v>2363</v>
      </c>
      <c r="E357" t="s">
        <v>766</v>
      </c>
      <c r="F357" t="s">
        <v>46</v>
      </c>
      <c r="G357" t="s">
        <v>47</v>
      </c>
      <c r="H357" s="9" t="s">
        <v>1630</v>
      </c>
      <c r="I357" s="9" t="s">
        <v>307</v>
      </c>
      <c r="K357" s="9" t="s">
        <v>2364</v>
      </c>
      <c r="L357" s="9" t="s">
        <v>2365</v>
      </c>
      <c r="M357" s="9" t="s">
        <v>2366</v>
      </c>
      <c r="N357" s="9"/>
      <c r="O357" s="9" t="s">
        <v>2367</v>
      </c>
      <c r="P357" s="10">
        <v>21</v>
      </c>
    </row>
    <row r="358" spans="1:16" ht="86.4" x14ac:dyDescent="0.3">
      <c r="A358" t="s">
        <v>41</v>
      </c>
      <c r="B358" t="s">
        <v>2174</v>
      </c>
      <c r="C358" t="s">
        <v>336</v>
      </c>
      <c r="D358" s="9" t="s">
        <v>2368</v>
      </c>
      <c r="E358" t="s">
        <v>1329</v>
      </c>
      <c r="F358" t="s">
        <v>46</v>
      </c>
      <c r="G358" t="s">
        <v>47</v>
      </c>
      <c r="H358" s="9" t="s">
        <v>1630</v>
      </c>
      <c r="I358" s="9" t="s">
        <v>307</v>
      </c>
      <c r="K358" s="9" t="s">
        <v>2369</v>
      </c>
      <c r="L358" s="9" t="s">
        <v>2370</v>
      </c>
      <c r="M358" s="9" t="s">
        <v>2371</v>
      </c>
      <c r="N358" s="9" t="s">
        <v>2372</v>
      </c>
      <c r="O358" s="9" t="s">
        <v>2373</v>
      </c>
      <c r="P358" s="10">
        <v>21</v>
      </c>
    </row>
    <row r="359" spans="1:16" ht="100.8" x14ac:dyDescent="0.3">
      <c r="A359" t="s">
        <v>41</v>
      </c>
      <c r="B359" t="s">
        <v>2174</v>
      </c>
      <c r="C359" t="s">
        <v>2374</v>
      </c>
      <c r="D359" s="9" t="s">
        <v>2375</v>
      </c>
      <c r="E359" t="s">
        <v>989</v>
      </c>
      <c r="F359" t="s">
        <v>46</v>
      </c>
      <c r="G359" t="s">
        <v>47</v>
      </c>
      <c r="H359" s="9" t="s">
        <v>1630</v>
      </c>
      <c r="I359" s="9" t="s">
        <v>307</v>
      </c>
      <c r="K359" s="9" t="s">
        <v>2376</v>
      </c>
      <c r="L359" s="9" t="s">
        <v>2377</v>
      </c>
      <c r="M359" s="9" t="s">
        <v>2378</v>
      </c>
      <c r="N359" s="9" t="s">
        <v>2379</v>
      </c>
      <c r="O359" s="9" t="s">
        <v>2380</v>
      </c>
      <c r="P359" s="10">
        <v>21</v>
      </c>
    </row>
    <row r="360" spans="1:16" ht="409.6" x14ac:dyDescent="0.3">
      <c r="A360" t="s">
        <v>41</v>
      </c>
      <c r="B360" t="s">
        <v>2174</v>
      </c>
      <c r="C360" t="s">
        <v>853</v>
      </c>
      <c r="D360" s="9" t="s">
        <v>2381</v>
      </c>
      <c r="E360" t="s">
        <v>989</v>
      </c>
      <c r="F360" t="s">
        <v>143</v>
      </c>
      <c r="G360" t="s">
        <v>47</v>
      </c>
      <c r="H360" s="9" t="s">
        <v>2382</v>
      </c>
      <c r="I360" s="9" t="s">
        <v>106</v>
      </c>
      <c r="K360" s="9" t="s">
        <v>2383</v>
      </c>
      <c r="L360" s="9" t="s">
        <v>2384</v>
      </c>
      <c r="M360" s="9" t="s">
        <v>2385</v>
      </c>
      <c r="N360" s="9" t="s">
        <v>2386</v>
      </c>
      <c r="O360" s="9" t="s">
        <v>2387</v>
      </c>
      <c r="P360" s="10">
        <v>21</v>
      </c>
    </row>
    <row r="361" spans="1:16" ht="129.6" x14ac:dyDescent="0.3">
      <c r="A361" t="s">
        <v>41</v>
      </c>
      <c r="B361" t="s">
        <v>2174</v>
      </c>
      <c r="C361" t="s">
        <v>860</v>
      </c>
      <c r="D361" s="9" t="s">
        <v>2388</v>
      </c>
      <c r="E361" t="s">
        <v>989</v>
      </c>
      <c r="F361" t="s">
        <v>143</v>
      </c>
      <c r="G361" t="s">
        <v>47</v>
      </c>
      <c r="H361" s="9" t="s">
        <v>2389</v>
      </c>
      <c r="I361" s="9" t="s">
        <v>106</v>
      </c>
      <c r="K361" s="9" t="s">
        <v>2390</v>
      </c>
      <c r="L361" s="9" t="s">
        <v>2391</v>
      </c>
      <c r="M361" s="9" t="s">
        <v>2392</v>
      </c>
      <c r="N361" s="9" t="s">
        <v>2393</v>
      </c>
      <c r="O361" s="9" t="s">
        <v>2394</v>
      </c>
      <c r="P361" s="10">
        <v>21</v>
      </c>
    </row>
    <row r="362" spans="1:16" ht="144" x14ac:dyDescent="0.3">
      <c r="A362" t="s">
        <v>41</v>
      </c>
      <c r="B362" t="s">
        <v>2174</v>
      </c>
      <c r="C362" t="s">
        <v>345</v>
      </c>
      <c r="D362" s="9" t="s">
        <v>2395</v>
      </c>
      <c r="E362" t="s">
        <v>1337</v>
      </c>
      <c r="F362" t="s">
        <v>143</v>
      </c>
      <c r="G362" t="s">
        <v>47</v>
      </c>
      <c r="H362" s="9" t="s">
        <v>1630</v>
      </c>
      <c r="I362" s="9" t="s">
        <v>106</v>
      </c>
      <c r="K362" s="9" t="s">
        <v>2396</v>
      </c>
      <c r="L362" s="9" t="s">
        <v>2397</v>
      </c>
      <c r="M362" s="9" t="s">
        <v>2398</v>
      </c>
      <c r="N362" s="9" t="s">
        <v>2399</v>
      </c>
      <c r="O362" s="9" t="s">
        <v>2400</v>
      </c>
      <c r="P362" s="10">
        <v>21</v>
      </c>
    </row>
    <row r="363" spans="1:16" ht="409.6" x14ac:dyDescent="0.3">
      <c r="A363" t="s">
        <v>41</v>
      </c>
      <c r="B363" t="s">
        <v>2174</v>
      </c>
      <c r="C363" t="s">
        <v>867</v>
      </c>
      <c r="D363" s="9" t="s">
        <v>2401</v>
      </c>
      <c r="E363" t="s">
        <v>773</v>
      </c>
      <c r="F363" t="s">
        <v>143</v>
      </c>
      <c r="G363" t="s">
        <v>47</v>
      </c>
      <c r="H363" s="9" t="s">
        <v>2389</v>
      </c>
      <c r="I363" s="9" t="s">
        <v>106</v>
      </c>
      <c r="K363" s="9" t="s">
        <v>2402</v>
      </c>
      <c r="L363" s="9" t="s">
        <v>2403</v>
      </c>
      <c r="M363" s="9" t="s">
        <v>2404</v>
      </c>
      <c r="N363" s="9" t="s">
        <v>2405</v>
      </c>
      <c r="O363" s="9" t="s">
        <v>2406</v>
      </c>
      <c r="P363" s="10">
        <v>21</v>
      </c>
    </row>
    <row r="364" spans="1:16" ht="129.6" x14ac:dyDescent="0.3">
      <c r="A364" t="s">
        <v>41</v>
      </c>
      <c r="B364" t="s">
        <v>2174</v>
      </c>
      <c r="C364" t="s">
        <v>875</v>
      </c>
      <c r="D364" s="9" t="s">
        <v>2407</v>
      </c>
      <c r="E364" t="s">
        <v>773</v>
      </c>
      <c r="F364" t="s">
        <v>143</v>
      </c>
      <c r="G364" t="s">
        <v>47</v>
      </c>
      <c r="H364" s="9" t="s">
        <v>1630</v>
      </c>
      <c r="I364" s="9" t="s">
        <v>106</v>
      </c>
      <c r="K364" s="9" t="s">
        <v>2408</v>
      </c>
      <c r="L364" s="9" t="s">
        <v>2409</v>
      </c>
      <c r="M364" s="9" t="s">
        <v>2410</v>
      </c>
      <c r="N364" s="9" t="s">
        <v>2411</v>
      </c>
      <c r="O364" s="9" t="s">
        <v>2412</v>
      </c>
      <c r="P364" s="10">
        <v>21</v>
      </c>
    </row>
    <row r="365" spans="1:16" ht="409.6" x14ac:dyDescent="0.3">
      <c r="A365" t="s">
        <v>41</v>
      </c>
      <c r="B365" t="s">
        <v>2174</v>
      </c>
      <c r="C365" t="s">
        <v>2413</v>
      </c>
      <c r="D365" s="9" t="s">
        <v>2414</v>
      </c>
      <c r="E365" t="s">
        <v>1345</v>
      </c>
      <c r="F365" t="s">
        <v>143</v>
      </c>
      <c r="G365" t="s">
        <v>47</v>
      </c>
      <c r="H365" s="9" t="s">
        <v>1630</v>
      </c>
      <c r="I365" s="9" t="s">
        <v>106</v>
      </c>
      <c r="K365" s="9" t="s">
        <v>2415</v>
      </c>
      <c r="L365" s="9" t="s">
        <v>2416</v>
      </c>
      <c r="M365" s="9" t="s">
        <v>2417</v>
      </c>
      <c r="N365" s="9" t="s">
        <v>2418</v>
      </c>
      <c r="O365" s="9" t="s">
        <v>2419</v>
      </c>
      <c r="P365" s="10">
        <v>21</v>
      </c>
    </row>
    <row r="366" spans="1:16" ht="86.4" x14ac:dyDescent="0.3">
      <c r="A366" t="s">
        <v>41</v>
      </c>
      <c r="B366" t="s">
        <v>2174</v>
      </c>
      <c r="C366" t="s">
        <v>883</v>
      </c>
      <c r="D366" s="9" t="s">
        <v>2420</v>
      </c>
      <c r="E366" t="s">
        <v>597</v>
      </c>
      <c r="F366" t="s">
        <v>143</v>
      </c>
      <c r="G366" t="s">
        <v>47</v>
      </c>
      <c r="H366" s="9" t="s">
        <v>1630</v>
      </c>
      <c r="I366" s="9" t="s">
        <v>307</v>
      </c>
      <c r="J366" t="s">
        <v>1843</v>
      </c>
      <c r="K366" s="9" t="s">
        <v>2421</v>
      </c>
      <c r="L366" s="9" t="s">
        <v>2422</v>
      </c>
      <c r="M366" s="9" t="s">
        <v>2423</v>
      </c>
      <c r="N366" s="9" t="s">
        <v>2424</v>
      </c>
      <c r="O366" s="9" t="s">
        <v>2425</v>
      </c>
      <c r="P366" s="10">
        <v>21</v>
      </c>
    </row>
    <row r="367" spans="1:16" ht="72" x14ac:dyDescent="0.3">
      <c r="A367" t="s">
        <v>41</v>
      </c>
      <c r="B367" t="s">
        <v>2174</v>
      </c>
      <c r="C367" t="s">
        <v>360</v>
      </c>
      <c r="D367" s="9" t="s">
        <v>2426</v>
      </c>
      <c r="E367" t="s">
        <v>597</v>
      </c>
      <c r="F367" t="s">
        <v>143</v>
      </c>
      <c r="G367" t="s">
        <v>47</v>
      </c>
      <c r="H367" s="9" t="s">
        <v>1630</v>
      </c>
      <c r="I367" s="9" t="s">
        <v>307</v>
      </c>
      <c r="J367" t="s">
        <v>1843</v>
      </c>
      <c r="K367" s="9" t="s">
        <v>2427</v>
      </c>
      <c r="L367" s="9" t="s">
        <v>2428</v>
      </c>
      <c r="M367" s="9" t="s">
        <v>2429</v>
      </c>
      <c r="N367" s="9" t="s">
        <v>2430</v>
      </c>
      <c r="O367" s="9" t="s">
        <v>2431</v>
      </c>
      <c r="P367" s="10">
        <v>21</v>
      </c>
    </row>
    <row r="368" spans="1:16" ht="100.8" x14ac:dyDescent="0.3">
      <c r="A368" t="s">
        <v>41</v>
      </c>
      <c r="B368" t="s">
        <v>2174</v>
      </c>
      <c r="C368" t="s">
        <v>890</v>
      </c>
      <c r="D368" s="9" t="s">
        <v>2432</v>
      </c>
      <c r="E368" t="s">
        <v>597</v>
      </c>
      <c r="F368" t="s">
        <v>143</v>
      </c>
      <c r="G368" t="s">
        <v>47</v>
      </c>
      <c r="H368" s="9" t="s">
        <v>1630</v>
      </c>
      <c r="I368" s="9" t="s">
        <v>307</v>
      </c>
      <c r="J368" t="s">
        <v>1843</v>
      </c>
      <c r="K368" s="9" t="s">
        <v>2433</v>
      </c>
      <c r="L368" s="9" t="s">
        <v>2434</v>
      </c>
      <c r="M368" s="9" t="s">
        <v>2435</v>
      </c>
      <c r="N368" s="9" t="s">
        <v>2436</v>
      </c>
      <c r="O368" s="9" t="s">
        <v>2437</v>
      </c>
      <c r="P368" s="10">
        <v>21</v>
      </c>
    </row>
    <row r="369" spans="1:16" ht="86.4" x14ac:dyDescent="0.3">
      <c r="A369" t="s">
        <v>41</v>
      </c>
      <c r="B369" t="s">
        <v>2174</v>
      </c>
      <c r="C369" t="s">
        <v>677</v>
      </c>
      <c r="D369" s="9" t="s">
        <v>2438</v>
      </c>
      <c r="E369" t="s">
        <v>597</v>
      </c>
      <c r="F369" t="s">
        <v>143</v>
      </c>
      <c r="G369" t="s">
        <v>47</v>
      </c>
      <c r="H369" s="9" t="s">
        <v>1630</v>
      </c>
      <c r="I369" s="9" t="s">
        <v>307</v>
      </c>
      <c r="J369" t="s">
        <v>1843</v>
      </c>
      <c r="K369" s="9" t="s">
        <v>2439</v>
      </c>
      <c r="L369" s="9" t="s">
        <v>2440</v>
      </c>
      <c r="M369" s="9" t="s">
        <v>2441</v>
      </c>
      <c r="N369" s="9" t="s">
        <v>2442</v>
      </c>
      <c r="O369" s="9" t="s">
        <v>2443</v>
      </c>
      <c r="P369" s="10">
        <v>21</v>
      </c>
    </row>
    <row r="370" spans="1:16" ht="86.4" x14ac:dyDescent="0.3">
      <c r="A370" t="s">
        <v>2444</v>
      </c>
      <c r="B370" t="s">
        <v>2445</v>
      </c>
      <c r="C370" t="s">
        <v>369</v>
      </c>
      <c r="D370" s="9" t="s">
        <v>2446</v>
      </c>
      <c r="E370" t="s">
        <v>369</v>
      </c>
      <c r="F370" t="s">
        <v>46</v>
      </c>
      <c r="G370" t="s">
        <v>47</v>
      </c>
      <c r="H370" s="9"/>
      <c r="I370" s="9"/>
      <c r="J370" t="s">
        <v>2447</v>
      </c>
      <c r="K370" s="9" t="s">
        <v>2448</v>
      </c>
      <c r="L370" s="9"/>
      <c r="M370" s="9" t="s">
        <v>2449</v>
      </c>
      <c r="N370" s="9"/>
      <c r="O370" s="9" t="s">
        <v>2450</v>
      </c>
      <c r="P370" s="10">
        <v>25</v>
      </c>
    </row>
    <row r="371" spans="1:16" ht="86.4" x14ac:dyDescent="0.3">
      <c r="A371" t="s">
        <v>2444</v>
      </c>
      <c r="B371" t="s">
        <v>2445</v>
      </c>
      <c r="C371" t="s">
        <v>66</v>
      </c>
      <c r="D371" s="9" t="s">
        <v>2451</v>
      </c>
      <c r="E371" t="s">
        <v>369</v>
      </c>
      <c r="F371" t="s">
        <v>46</v>
      </c>
      <c r="G371" t="s">
        <v>47</v>
      </c>
      <c r="H371" s="9"/>
      <c r="I371" s="9"/>
      <c r="J371" t="s">
        <v>2447</v>
      </c>
      <c r="K371" s="9" t="s">
        <v>2452</v>
      </c>
      <c r="L371" s="9"/>
      <c r="M371" s="9" t="s">
        <v>2453</v>
      </c>
      <c r="N371" s="9"/>
      <c r="O371" s="9" t="s">
        <v>2454</v>
      </c>
      <c r="P371" s="10">
        <v>25</v>
      </c>
    </row>
    <row r="372" spans="1:16" ht="86.4" x14ac:dyDescent="0.3">
      <c r="A372" t="s">
        <v>2444</v>
      </c>
      <c r="B372" t="s">
        <v>2455</v>
      </c>
      <c r="C372" t="s">
        <v>74</v>
      </c>
      <c r="D372" s="9" t="s">
        <v>2456</v>
      </c>
      <c r="E372" t="s">
        <v>557</v>
      </c>
      <c r="F372" t="s">
        <v>69</v>
      </c>
      <c r="G372" t="s">
        <v>47</v>
      </c>
      <c r="H372" s="9"/>
      <c r="I372" s="9"/>
      <c r="K372" s="9" t="s">
        <v>2457</v>
      </c>
      <c r="L372" s="9"/>
      <c r="M372" s="9" t="s">
        <v>2458</v>
      </c>
      <c r="N372" s="9"/>
      <c r="O372" s="9" t="s">
        <v>2459</v>
      </c>
      <c r="P372" s="10">
        <v>27</v>
      </c>
    </row>
    <row r="373" spans="1:16" ht="288" x14ac:dyDescent="0.3">
      <c r="A373" t="s">
        <v>2444</v>
      </c>
      <c r="B373" t="s">
        <v>2460</v>
      </c>
      <c r="C373" t="s">
        <v>66</v>
      </c>
      <c r="D373" s="9" t="s">
        <v>2461</v>
      </c>
      <c r="E373" t="s">
        <v>369</v>
      </c>
      <c r="F373" t="s">
        <v>143</v>
      </c>
      <c r="G373" t="s">
        <v>47</v>
      </c>
      <c r="H373" s="9"/>
      <c r="I373" s="9" t="s">
        <v>144</v>
      </c>
      <c r="K373" s="9" t="s">
        <v>2462</v>
      </c>
      <c r="L373" s="9" t="s">
        <v>2463</v>
      </c>
      <c r="M373" s="9" t="s">
        <v>2464</v>
      </c>
      <c r="N373" s="9" t="s">
        <v>2465</v>
      </c>
      <c r="O373" s="9" t="s">
        <v>2466</v>
      </c>
      <c r="P373" s="10">
        <v>28</v>
      </c>
    </row>
    <row r="374" spans="1:16" ht="144" x14ac:dyDescent="0.3">
      <c r="A374" t="s">
        <v>2444</v>
      </c>
      <c r="B374" t="s">
        <v>2460</v>
      </c>
      <c r="C374" t="s">
        <v>74</v>
      </c>
      <c r="D374" s="9" t="s">
        <v>2467</v>
      </c>
      <c r="E374" t="s">
        <v>68</v>
      </c>
      <c r="F374" t="s">
        <v>143</v>
      </c>
      <c r="G374" t="s">
        <v>47</v>
      </c>
      <c r="H374" s="9" t="s">
        <v>1509</v>
      </c>
      <c r="I374" s="9" t="s">
        <v>59</v>
      </c>
      <c r="J374" t="s">
        <v>2468</v>
      </c>
      <c r="K374" s="9" t="s">
        <v>2469</v>
      </c>
      <c r="L374" s="9" t="s">
        <v>2470</v>
      </c>
      <c r="M374" s="9" t="s">
        <v>2471</v>
      </c>
      <c r="N374" s="9" t="s">
        <v>2472</v>
      </c>
      <c r="O374" s="9" t="s">
        <v>2473</v>
      </c>
      <c r="P374" s="10">
        <v>28</v>
      </c>
    </row>
    <row r="375" spans="1:16" ht="115.2" x14ac:dyDescent="0.3">
      <c r="A375" t="s">
        <v>2444</v>
      </c>
      <c r="B375" t="s">
        <v>2460</v>
      </c>
      <c r="C375" t="s">
        <v>43</v>
      </c>
      <c r="D375" s="9" t="s">
        <v>2474</v>
      </c>
      <c r="E375" t="s">
        <v>82</v>
      </c>
      <c r="F375" t="s">
        <v>143</v>
      </c>
      <c r="G375" t="s">
        <v>47</v>
      </c>
      <c r="H375" s="9"/>
      <c r="I375" s="9"/>
      <c r="J375" t="s">
        <v>2468</v>
      </c>
      <c r="K375" s="9" t="s">
        <v>2475</v>
      </c>
      <c r="L375" s="9"/>
      <c r="M375" s="9" t="s">
        <v>2476</v>
      </c>
      <c r="N375" s="9" t="s">
        <v>2477</v>
      </c>
      <c r="O375" s="9" t="s">
        <v>2478</v>
      </c>
      <c r="P375" s="10">
        <v>28</v>
      </c>
    </row>
    <row r="376" spans="1:16" ht="86.4" x14ac:dyDescent="0.3">
      <c r="A376" t="s">
        <v>2444</v>
      </c>
      <c r="B376" t="s">
        <v>2460</v>
      </c>
      <c r="C376" t="s">
        <v>68</v>
      </c>
      <c r="D376" s="9" t="s">
        <v>2479</v>
      </c>
      <c r="E376" t="s">
        <v>82</v>
      </c>
      <c r="F376" t="s">
        <v>143</v>
      </c>
      <c r="G376" t="s">
        <v>47</v>
      </c>
      <c r="H376" s="9" t="s">
        <v>59</v>
      </c>
      <c r="I376" s="9" t="s">
        <v>59</v>
      </c>
      <c r="J376" t="s">
        <v>2468</v>
      </c>
      <c r="K376" s="9" t="s">
        <v>2480</v>
      </c>
      <c r="L376" s="9" t="s">
        <v>2481</v>
      </c>
      <c r="M376" s="9" t="s">
        <v>2482</v>
      </c>
      <c r="N376" s="9" t="s">
        <v>2483</v>
      </c>
      <c r="O376" s="9" t="s">
        <v>2484</v>
      </c>
      <c r="P376" s="10">
        <v>28</v>
      </c>
    </row>
    <row r="377" spans="1:16" ht="172.8" x14ac:dyDescent="0.3">
      <c r="A377" t="s">
        <v>2444</v>
      </c>
      <c r="B377" t="s">
        <v>2460</v>
      </c>
      <c r="C377" t="s">
        <v>82</v>
      </c>
      <c r="D377" s="9" t="s">
        <v>2485</v>
      </c>
      <c r="E377" t="s">
        <v>82</v>
      </c>
      <c r="F377" t="s">
        <v>143</v>
      </c>
      <c r="G377" t="s">
        <v>47</v>
      </c>
      <c r="H377" s="9" t="s">
        <v>59</v>
      </c>
      <c r="I377" s="9" t="s">
        <v>59</v>
      </c>
      <c r="J377" t="s">
        <v>2468</v>
      </c>
      <c r="K377" s="9" t="s">
        <v>2486</v>
      </c>
      <c r="L377" s="9" t="s">
        <v>2487</v>
      </c>
      <c r="M377" s="9" t="s">
        <v>2488</v>
      </c>
      <c r="N377" s="9" t="s">
        <v>2489</v>
      </c>
      <c r="O377" s="9" t="s">
        <v>2490</v>
      </c>
      <c r="P377" s="10">
        <v>28</v>
      </c>
    </row>
    <row r="378" spans="1:16" ht="115.2" x14ac:dyDescent="0.3">
      <c r="A378" t="s">
        <v>2444</v>
      </c>
      <c r="B378" t="s">
        <v>2460</v>
      </c>
      <c r="C378" t="s">
        <v>55</v>
      </c>
      <c r="D378" s="9" t="s">
        <v>2491</v>
      </c>
      <c r="E378" t="s">
        <v>1003</v>
      </c>
      <c r="F378" t="s">
        <v>143</v>
      </c>
      <c r="G378" t="s">
        <v>47</v>
      </c>
      <c r="H378" s="9" t="s">
        <v>59</v>
      </c>
      <c r="I378" s="9" t="s">
        <v>59</v>
      </c>
      <c r="J378" t="s">
        <v>2468</v>
      </c>
      <c r="K378" s="9" t="s">
        <v>2492</v>
      </c>
      <c r="L378" s="9" t="s">
        <v>2493</v>
      </c>
      <c r="M378" s="9" t="s">
        <v>2494</v>
      </c>
      <c r="N378" s="9" t="s">
        <v>2495</v>
      </c>
      <c r="O378" s="9" t="s">
        <v>2496</v>
      </c>
      <c r="P378" s="10">
        <v>28</v>
      </c>
    </row>
    <row r="379" spans="1:16" ht="172.8" x14ac:dyDescent="0.3">
      <c r="A379" t="s">
        <v>2444</v>
      </c>
      <c r="B379" t="s">
        <v>2460</v>
      </c>
      <c r="C379" t="s">
        <v>424</v>
      </c>
      <c r="D379" s="9" t="s">
        <v>2497</v>
      </c>
      <c r="E379" t="s">
        <v>55</v>
      </c>
      <c r="F379" t="s">
        <v>143</v>
      </c>
      <c r="G379" t="s">
        <v>47</v>
      </c>
      <c r="H379" s="9"/>
      <c r="I379" s="9" t="s">
        <v>59</v>
      </c>
      <c r="J379" t="s">
        <v>2468</v>
      </c>
      <c r="K379" s="9" t="s">
        <v>2498</v>
      </c>
      <c r="L379" s="9" t="s">
        <v>2499</v>
      </c>
      <c r="M379" s="9" t="s">
        <v>2500</v>
      </c>
      <c r="N379" s="9" t="s">
        <v>2501</v>
      </c>
      <c r="O379" s="9" t="s">
        <v>2502</v>
      </c>
      <c r="P379" s="10">
        <v>28</v>
      </c>
    </row>
    <row r="380" spans="1:16" ht="115.2" x14ac:dyDescent="0.3">
      <c r="A380" t="s">
        <v>2444</v>
      </c>
      <c r="B380" t="s">
        <v>2460</v>
      </c>
      <c r="C380" t="s">
        <v>433</v>
      </c>
      <c r="D380" s="9" t="s">
        <v>2503</v>
      </c>
      <c r="E380" t="s">
        <v>651</v>
      </c>
      <c r="F380" t="s">
        <v>46</v>
      </c>
      <c r="G380" t="s">
        <v>47</v>
      </c>
      <c r="H380" s="9"/>
      <c r="I380" s="9" t="s">
        <v>59</v>
      </c>
      <c r="J380" t="s">
        <v>2504</v>
      </c>
      <c r="K380" s="9" t="s">
        <v>2505</v>
      </c>
      <c r="L380" s="9" t="s">
        <v>2506</v>
      </c>
      <c r="M380" s="9" t="s">
        <v>2507</v>
      </c>
      <c r="N380" s="9" t="s">
        <v>2508</v>
      </c>
      <c r="O380" s="9" t="s">
        <v>2509</v>
      </c>
      <c r="P380" s="10">
        <v>28</v>
      </c>
    </row>
    <row r="381" spans="1:16" ht="230.4" x14ac:dyDescent="0.3">
      <c r="A381" t="s">
        <v>2444</v>
      </c>
      <c r="B381" t="s">
        <v>2460</v>
      </c>
      <c r="C381" t="s">
        <v>441</v>
      </c>
      <c r="D381" s="9" t="s">
        <v>2510</v>
      </c>
      <c r="E381" t="s">
        <v>424</v>
      </c>
      <c r="F381" t="s">
        <v>143</v>
      </c>
      <c r="G381" t="s">
        <v>47</v>
      </c>
      <c r="H381" s="9"/>
      <c r="I381" s="9" t="s">
        <v>59</v>
      </c>
      <c r="J381" t="s">
        <v>2468</v>
      </c>
      <c r="K381" s="9" t="s">
        <v>2511</v>
      </c>
      <c r="L381" s="9" t="s">
        <v>2512</v>
      </c>
      <c r="M381" s="9" t="s">
        <v>2513</v>
      </c>
      <c r="N381" s="9" t="s">
        <v>2514</v>
      </c>
      <c r="O381" s="9" t="s">
        <v>2515</v>
      </c>
      <c r="P381" s="10">
        <v>28</v>
      </c>
    </row>
    <row r="382" spans="1:16" ht="201.6" x14ac:dyDescent="0.3">
      <c r="A382" t="s">
        <v>2444</v>
      </c>
      <c r="B382" t="s">
        <v>2460</v>
      </c>
      <c r="C382" t="s">
        <v>449</v>
      </c>
      <c r="D382" s="9" t="s">
        <v>2516</v>
      </c>
      <c r="E382" t="s">
        <v>424</v>
      </c>
      <c r="F382" t="s">
        <v>143</v>
      </c>
      <c r="G382" t="s">
        <v>47</v>
      </c>
      <c r="H382" s="9"/>
      <c r="I382" s="9" t="s">
        <v>59</v>
      </c>
      <c r="J382" t="s">
        <v>2468</v>
      </c>
      <c r="K382" s="9" t="s">
        <v>2517</v>
      </c>
      <c r="L382" s="9" t="s">
        <v>2518</v>
      </c>
      <c r="M382" s="9" t="s">
        <v>2519</v>
      </c>
      <c r="N382" s="9" t="s">
        <v>2520</v>
      </c>
      <c r="O382" s="9" t="s">
        <v>2521</v>
      </c>
      <c r="P382" s="10">
        <v>28</v>
      </c>
    </row>
    <row r="383" spans="1:16" ht="115.2" x14ac:dyDescent="0.3">
      <c r="A383" t="s">
        <v>2444</v>
      </c>
      <c r="B383" t="s">
        <v>2460</v>
      </c>
      <c r="C383" t="s">
        <v>458</v>
      </c>
      <c r="D383" s="9" t="s">
        <v>2522</v>
      </c>
      <c r="E383" t="s">
        <v>424</v>
      </c>
      <c r="F383" t="s">
        <v>143</v>
      </c>
      <c r="G383" t="s">
        <v>47</v>
      </c>
      <c r="H383" s="9"/>
      <c r="I383" s="9" t="s">
        <v>59</v>
      </c>
      <c r="J383" t="s">
        <v>2468</v>
      </c>
      <c r="K383" s="9" t="s">
        <v>2523</v>
      </c>
      <c r="L383" s="9" t="s">
        <v>2524</v>
      </c>
      <c r="M383" s="9" t="s">
        <v>2525</v>
      </c>
      <c r="N383" s="9" t="s">
        <v>2526</v>
      </c>
      <c r="O383" s="9" t="s">
        <v>2527</v>
      </c>
      <c r="P383" s="10">
        <v>28</v>
      </c>
    </row>
    <row r="384" spans="1:16" ht="72" x14ac:dyDescent="0.3">
      <c r="A384" t="s">
        <v>2444</v>
      </c>
      <c r="B384" t="s">
        <v>2460</v>
      </c>
      <c r="C384" t="s">
        <v>466</v>
      </c>
      <c r="D384" s="9" t="s">
        <v>2522</v>
      </c>
      <c r="E384" t="s">
        <v>433</v>
      </c>
      <c r="F384" t="s">
        <v>143</v>
      </c>
      <c r="G384" t="s">
        <v>47</v>
      </c>
      <c r="H384" s="9"/>
      <c r="I384" s="9" t="s">
        <v>59</v>
      </c>
      <c r="J384" t="s">
        <v>2468</v>
      </c>
      <c r="K384" s="9" t="s">
        <v>2528</v>
      </c>
      <c r="L384" s="9" t="s">
        <v>2529</v>
      </c>
      <c r="M384" s="9" t="s">
        <v>2530</v>
      </c>
      <c r="N384" s="9" t="s">
        <v>2531</v>
      </c>
      <c r="O384" s="9" t="s">
        <v>2532</v>
      </c>
      <c r="P384" s="10">
        <v>28</v>
      </c>
    </row>
    <row r="385" spans="1:16" ht="158.4" x14ac:dyDescent="0.3">
      <c r="A385" t="s">
        <v>2444</v>
      </c>
      <c r="B385" t="s">
        <v>2460</v>
      </c>
      <c r="C385" t="s">
        <v>312</v>
      </c>
      <c r="D385" s="9" t="s">
        <v>2533</v>
      </c>
      <c r="E385" t="s">
        <v>433</v>
      </c>
      <c r="F385" t="s">
        <v>143</v>
      </c>
      <c r="G385" t="s">
        <v>47</v>
      </c>
      <c r="H385" s="9"/>
      <c r="I385" s="9" t="s">
        <v>106</v>
      </c>
      <c r="J385" t="s">
        <v>2468</v>
      </c>
      <c r="K385" s="9" t="s">
        <v>2534</v>
      </c>
      <c r="L385" s="9" t="s">
        <v>2535</v>
      </c>
      <c r="M385" s="9" t="s">
        <v>2536</v>
      </c>
      <c r="N385" s="9" t="s">
        <v>2537</v>
      </c>
      <c r="O385" s="9" t="s">
        <v>2538</v>
      </c>
      <c r="P385" s="10">
        <v>28</v>
      </c>
    </row>
    <row r="386" spans="1:16" ht="172.8" x14ac:dyDescent="0.3">
      <c r="A386" t="s">
        <v>2444</v>
      </c>
      <c r="B386" t="s">
        <v>2460</v>
      </c>
      <c r="C386" t="s">
        <v>590</v>
      </c>
      <c r="D386" s="9" t="s">
        <v>2539</v>
      </c>
      <c r="E386" t="s">
        <v>433</v>
      </c>
      <c r="F386" t="s">
        <v>143</v>
      </c>
      <c r="G386" t="s">
        <v>47</v>
      </c>
      <c r="H386" s="9" t="s">
        <v>797</v>
      </c>
      <c r="I386" s="9" t="s">
        <v>106</v>
      </c>
      <c r="J386" t="s">
        <v>2468</v>
      </c>
      <c r="K386" s="9" t="s">
        <v>2540</v>
      </c>
      <c r="L386" s="9" t="s">
        <v>2541</v>
      </c>
      <c r="M386" s="9" t="s">
        <v>2542</v>
      </c>
      <c r="N386" s="9" t="s">
        <v>2543</v>
      </c>
      <c r="O386" s="9" t="s">
        <v>2544</v>
      </c>
      <c r="P386" s="10">
        <v>28</v>
      </c>
    </row>
    <row r="387" spans="1:16" ht="100.8" x14ac:dyDescent="0.3">
      <c r="A387" t="s">
        <v>2444</v>
      </c>
      <c r="B387" t="s">
        <v>2460</v>
      </c>
      <c r="C387" t="s">
        <v>215</v>
      </c>
      <c r="D387" s="9" t="s">
        <v>2545</v>
      </c>
      <c r="E387" t="s">
        <v>433</v>
      </c>
      <c r="F387" t="s">
        <v>143</v>
      </c>
      <c r="G387" t="s">
        <v>47</v>
      </c>
      <c r="H387" s="9"/>
      <c r="I387" s="9" t="s">
        <v>106</v>
      </c>
      <c r="J387" t="s">
        <v>2468</v>
      </c>
      <c r="K387" s="9" t="s">
        <v>2546</v>
      </c>
      <c r="L387" s="9" t="s">
        <v>2547</v>
      </c>
      <c r="M387" s="9" t="s">
        <v>2548</v>
      </c>
      <c r="N387" s="9" t="s">
        <v>2549</v>
      </c>
      <c r="O387" s="9" t="s">
        <v>2550</v>
      </c>
      <c r="P387" s="10">
        <v>28</v>
      </c>
    </row>
    <row r="388" spans="1:16" ht="230.4" x14ac:dyDescent="0.3">
      <c r="A388" t="s">
        <v>2444</v>
      </c>
      <c r="B388" t="s">
        <v>2460</v>
      </c>
      <c r="C388" t="s">
        <v>221</v>
      </c>
      <c r="D388" s="9" t="s">
        <v>2551</v>
      </c>
      <c r="E388" t="s">
        <v>433</v>
      </c>
      <c r="F388" t="s">
        <v>143</v>
      </c>
      <c r="G388" t="s">
        <v>47</v>
      </c>
      <c r="H388" s="9"/>
      <c r="I388" s="9" t="s">
        <v>106</v>
      </c>
      <c r="J388" t="s">
        <v>2468</v>
      </c>
      <c r="K388" s="9" t="s">
        <v>2552</v>
      </c>
      <c r="L388" s="9" t="s">
        <v>2553</v>
      </c>
      <c r="M388" s="9" t="s">
        <v>2554</v>
      </c>
      <c r="N388" s="9" t="s">
        <v>2555</v>
      </c>
      <c r="O388" s="9" t="s">
        <v>2556</v>
      </c>
      <c r="P388" s="10">
        <v>28</v>
      </c>
    </row>
    <row r="389" spans="1:16" ht="216" x14ac:dyDescent="0.3">
      <c r="A389" t="s">
        <v>2444</v>
      </c>
      <c r="B389" t="s">
        <v>2460</v>
      </c>
      <c r="C389" t="s">
        <v>766</v>
      </c>
      <c r="D389" s="9" t="s">
        <v>2557</v>
      </c>
      <c r="E389" t="s">
        <v>433</v>
      </c>
      <c r="F389" t="s">
        <v>143</v>
      </c>
      <c r="G389" t="s">
        <v>47</v>
      </c>
      <c r="H389" s="9"/>
      <c r="I389" s="9" t="s">
        <v>106</v>
      </c>
      <c r="J389" t="s">
        <v>2468</v>
      </c>
      <c r="K389" s="9" t="s">
        <v>2558</v>
      </c>
      <c r="L389" s="9" t="s">
        <v>2559</v>
      </c>
      <c r="M389" s="9" t="s">
        <v>2560</v>
      </c>
      <c r="N389" s="9" t="s">
        <v>2561</v>
      </c>
      <c r="O389" s="9" t="s">
        <v>2562</v>
      </c>
      <c r="P389" s="10">
        <v>28</v>
      </c>
    </row>
    <row r="390" spans="1:16" ht="72" x14ac:dyDescent="0.3">
      <c r="A390" t="s">
        <v>2444</v>
      </c>
      <c r="B390" t="s">
        <v>2460</v>
      </c>
      <c r="C390" t="s">
        <v>989</v>
      </c>
      <c r="D390" s="9" t="s">
        <v>2563</v>
      </c>
      <c r="E390" t="s">
        <v>796</v>
      </c>
      <c r="F390" t="s">
        <v>143</v>
      </c>
      <c r="G390" t="s">
        <v>47</v>
      </c>
      <c r="H390" s="9"/>
      <c r="I390" s="9" t="s">
        <v>106</v>
      </c>
      <c r="J390" t="s">
        <v>2468</v>
      </c>
      <c r="K390" s="9" t="s">
        <v>2564</v>
      </c>
      <c r="L390" s="9" t="s">
        <v>2565</v>
      </c>
      <c r="M390" s="9" t="s">
        <v>2566</v>
      </c>
      <c r="N390" s="9" t="s">
        <v>2567</v>
      </c>
      <c r="O390" s="9" t="s">
        <v>2568</v>
      </c>
      <c r="P390" s="10">
        <v>28</v>
      </c>
    </row>
    <row r="391" spans="1:16" ht="115.2" x14ac:dyDescent="0.3">
      <c r="A391" t="s">
        <v>2444</v>
      </c>
      <c r="B391" t="s">
        <v>2460</v>
      </c>
      <c r="C391" t="s">
        <v>773</v>
      </c>
      <c r="D391" s="9" t="s">
        <v>2569</v>
      </c>
      <c r="E391" t="s">
        <v>441</v>
      </c>
      <c r="F391" t="s">
        <v>143</v>
      </c>
      <c r="G391" t="s">
        <v>47</v>
      </c>
      <c r="H391" s="9" t="s">
        <v>2570</v>
      </c>
      <c r="I391" s="9" t="s">
        <v>59</v>
      </c>
      <c r="J391" t="s">
        <v>2468</v>
      </c>
      <c r="K391" s="9" t="s">
        <v>2571</v>
      </c>
      <c r="L391" s="9" t="s">
        <v>2572</v>
      </c>
      <c r="M391" s="9" t="s">
        <v>2573</v>
      </c>
      <c r="N391" s="9"/>
      <c r="O391" s="9" t="s">
        <v>2574</v>
      </c>
      <c r="P391" s="10">
        <v>28</v>
      </c>
    </row>
    <row r="392" spans="1:16" ht="100.8" x14ac:dyDescent="0.3">
      <c r="A392" t="s">
        <v>2444</v>
      </c>
      <c r="B392" t="s">
        <v>2460</v>
      </c>
      <c r="C392" t="s">
        <v>597</v>
      </c>
      <c r="D392" s="9" t="s">
        <v>2575</v>
      </c>
      <c r="E392" t="s">
        <v>441</v>
      </c>
      <c r="F392" t="s">
        <v>143</v>
      </c>
      <c r="G392" t="s">
        <v>47</v>
      </c>
      <c r="H392" s="9" t="s">
        <v>2570</v>
      </c>
      <c r="I392" s="9" t="s">
        <v>59</v>
      </c>
      <c r="J392" t="s">
        <v>2468</v>
      </c>
      <c r="K392" s="9" t="s">
        <v>2576</v>
      </c>
      <c r="L392" s="9" t="s">
        <v>2577</v>
      </c>
      <c r="M392" s="9" t="s">
        <v>2578</v>
      </c>
      <c r="N392" s="9" t="s">
        <v>2579</v>
      </c>
      <c r="O392" s="9" t="s">
        <v>2580</v>
      </c>
      <c r="P392" s="10">
        <v>28</v>
      </c>
    </row>
    <row r="393" spans="1:16" ht="158.4" x14ac:dyDescent="0.3">
      <c r="A393" t="s">
        <v>2444</v>
      </c>
      <c r="B393" t="s">
        <v>2460</v>
      </c>
      <c r="C393" t="s">
        <v>787</v>
      </c>
      <c r="D393" s="9" t="s">
        <v>2581</v>
      </c>
      <c r="E393" t="s">
        <v>441</v>
      </c>
      <c r="F393" t="s">
        <v>143</v>
      </c>
      <c r="G393" t="s">
        <v>47</v>
      </c>
      <c r="H393" s="9" t="s">
        <v>2570</v>
      </c>
      <c r="I393" s="9" t="s">
        <v>59</v>
      </c>
      <c r="J393" t="s">
        <v>2468</v>
      </c>
      <c r="K393" s="9" t="s">
        <v>2582</v>
      </c>
      <c r="L393" s="9" t="s">
        <v>2583</v>
      </c>
      <c r="M393" s="9" t="s">
        <v>2584</v>
      </c>
      <c r="N393" s="9" t="s">
        <v>2585</v>
      </c>
      <c r="O393" s="9" t="s">
        <v>2586</v>
      </c>
      <c r="P393" s="10">
        <v>28</v>
      </c>
    </row>
    <row r="394" spans="1:16" ht="100.8" x14ac:dyDescent="0.3">
      <c r="A394" t="s">
        <v>2444</v>
      </c>
      <c r="B394" t="s">
        <v>2460</v>
      </c>
      <c r="C394" t="s">
        <v>604</v>
      </c>
      <c r="D394" s="9" t="s">
        <v>2587</v>
      </c>
      <c r="E394" t="s">
        <v>441</v>
      </c>
      <c r="F394" t="s">
        <v>143</v>
      </c>
      <c r="G394" t="s">
        <v>47</v>
      </c>
      <c r="H394" s="9" t="s">
        <v>2570</v>
      </c>
      <c r="I394" s="9" t="s">
        <v>59</v>
      </c>
      <c r="J394" t="s">
        <v>2468</v>
      </c>
      <c r="K394" s="9" t="s">
        <v>2588</v>
      </c>
      <c r="L394" s="9" t="s">
        <v>2589</v>
      </c>
      <c r="M394" s="9" t="s">
        <v>2590</v>
      </c>
      <c r="N394" s="9" t="s">
        <v>2591</v>
      </c>
      <c r="O394" s="9" t="s">
        <v>2592</v>
      </c>
      <c r="P394" s="10">
        <v>28</v>
      </c>
    </row>
    <row r="395" spans="1:16" ht="144" x14ac:dyDescent="0.3">
      <c r="A395" t="s">
        <v>2444</v>
      </c>
      <c r="B395" t="s">
        <v>2460</v>
      </c>
      <c r="C395" t="s">
        <v>611</v>
      </c>
      <c r="D395" s="9" t="s">
        <v>2593</v>
      </c>
      <c r="E395" t="s">
        <v>458</v>
      </c>
      <c r="F395" t="s">
        <v>143</v>
      </c>
      <c r="G395" t="s">
        <v>47</v>
      </c>
      <c r="H395" s="9"/>
      <c r="I395" s="9" t="s">
        <v>59</v>
      </c>
      <c r="J395" t="s">
        <v>2594</v>
      </c>
      <c r="K395" s="9" t="s">
        <v>2595</v>
      </c>
      <c r="L395" s="9" t="s">
        <v>2596</v>
      </c>
      <c r="M395" s="9" t="s">
        <v>2597</v>
      </c>
      <c r="N395" s="9" t="s">
        <v>2598</v>
      </c>
      <c r="O395" s="9" t="s">
        <v>2599</v>
      </c>
      <c r="P395" s="10">
        <v>28</v>
      </c>
    </row>
    <row r="396" spans="1:16" ht="216" x14ac:dyDescent="0.3">
      <c r="A396" t="s">
        <v>2444</v>
      </c>
      <c r="B396" t="s">
        <v>2460</v>
      </c>
      <c r="C396" t="s">
        <v>319</v>
      </c>
      <c r="D396" s="9" t="s">
        <v>2600</v>
      </c>
      <c r="E396" t="s">
        <v>869</v>
      </c>
      <c r="F396" t="s">
        <v>143</v>
      </c>
      <c r="G396" t="s">
        <v>47</v>
      </c>
      <c r="H396" s="9" t="s">
        <v>59</v>
      </c>
      <c r="I396" s="9" t="s">
        <v>59</v>
      </c>
      <c r="J396" t="s">
        <v>2594</v>
      </c>
      <c r="K396" s="9" t="s">
        <v>2601</v>
      </c>
      <c r="L396" s="9" t="s">
        <v>2602</v>
      </c>
      <c r="M396" s="9" t="s">
        <v>2603</v>
      </c>
      <c r="N396" s="9" t="s">
        <v>2604</v>
      </c>
      <c r="O396" s="9" t="s">
        <v>2605</v>
      </c>
      <c r="P396" s="10">
        <v>28</v>
      </c>
    </row>
    <row r="397" spans="1:16" ht="129.6" x14ac:dyDescent="0.3">
      <c r="A397" t="s">
        <v>2444</v>
      </c>
      <c r="B397" t="s">
        <v>2460</v>
      </c>
      <c r="C397" t="s">
        <v>620</v>
      </c>
      <c r="D397" s="9" t="s">
        <v>2606</v>
      </c>
      <c r="E397" t="s">
        <v>466</v>
      </c>
      <c r="F397" t="s">
        <v>143</v>
      </c>
      <c r="G397" t="s">
        <v>47</v>
      </c>
      <c r="H397" s="9" t="s">
        <v>59</v>
      </c>
      <c r="I397" s="9" t="s">
        <v>59</v>
      </c>
      <c r="J397" t="s">
        <v>2594</v>
      </c>
      <c r="K397" s="9" t="s">
        <v>2607</v>
      </c>
      <c r="L397" s="9" t="s">
        <v>2608</v>
      </c>
      <c r="M397" s="9" t="s">
        <v>2609</v>
      </c>
      <c r="N397" s="9" t="s">
        <v>2610</v>
      </c>
      <c r="O397" s="9" t="s">
        <v>2611</v>
      </c>
      <c r="P397" s="10">
        <v>28</v>
      </c>
    </row>
    <row r="398" spans="1:16" ht="129.6" x14ac:dyDescent="0.3">
      <c r="A398" t="s">
        <v>2444</v>
      </c>
      <c r="B398" t="s">
        <v>2460</v>
      </c>
      <c r="C398" t="s">
        <v>809</v>
      </c>
      <c r="D398" s="9" t="s">
        <v>2612</v>
      </c>
      <c r="E398" t="s">
        <v>312</v>
      </c>
      <c r="F398" t="s">
        <v>143</v>
      </c>
      <c r="G398" t="s">
        <v>47</v>
      </c>
      <c r="H398" s="9" t="s">
        <v>59</v>
      </c>
      <c r="I398" s="9" t="s">
        <v>59</v>
      </c>
      <c r="J398" t="s">
        <v>2594</v>
      </c>
      <c r="K398" s="9" t="s">
        <v>2613</v>
      </c>
      <c r="L398" s="9" t="s">
        <v>2614</v>
      </c>
      <c r="M398" s="9" t="s">
        <v>2615</v>
      </c>
      <c r="N398" s="9" t="s">
        <v>2616</v>
      </c>
      <c r="O398" s="9" t="s">
        <v>2617</v>
      </c>
      <c r="P398" s="10">
        <v>28</v>
      </c>
    </row>
    <row r="399" spans="1:16" ht="100.8" x14ac:dyDescent="0.3">
      <c r="A399" t="s">
        <v>2444</v>
      </c>
      <c r="B399" t="s">
        <v>2460</v>
      </c>
      <c r="C399" t="s">
        <v>816</v>
      </c>
      <c r="D399" s="9" t="s">
        <v>2618</v>
      </c>
      <c r="E399" t="s">
        <v>312</v>
      </c>
      <c r="F399" t="s">
        <v>143</v>
      </c>
      <c r="G399" t="s">
        <v>47</v>
      </c>
      <c r="H399" s="9" t="s">
        <v>59</v>
      </c>
      <c r="I399" s="9" t="s">
        <v>59</v>
      </c>
      <c r="J399" t="s">
        <v>2594</v>
      </c>
      <c r="K399" s="9" t="s">
        <v>2619</v>
      </c>
      <c r="L399" s="9" t="s">
        <v>2620</v>
      </c>
      <c r="M399" s="9" t="s">
        <v>2621</v>
      </c>
      <c r="N399" s="9" t="s">
        <v>2622</v>
      </c>
      <c r="O399" s="9" t="s">
        <v>2623</v>
      </c>
      <c r="P399" s="10">
        <v>28</v>
      </c>
    </row>
    <row r="400" spans="1:16" ht="72" x14ac:dyDescent="0.3">
      <c r="A400" t="s">
        <v>2444</v>
      </c>
      <c r="B400" t="s">
        <v>2460</v>
      </c>
      <c r="C400" t="s">
        <v>1175</v>
      </c>
      <c r="D400" s="9" t="s">
        <v>2624</v>
      </c>
      <c r="E400" t="s">
        <v>312</v>
      </c>
      <c r="F400" t="s">
        <v>116</v>
      </c>
      <c r="G400" t="s">
        <v>47</v>
      </c>
      <c r="H400" s="9"/>
      <c r="I400" s="9"/>
      <c r="K400" s="9" t="s">
        <v>2625</v>
      </c>
      <c r="L400" s="9"/>
      <c r="M400" s="9" t="s">
        <v>2626</v>
      </c>
      <c r="N400" s="9"/>
      <c r="O400" s="9" t="s">
        <v>2627</v>
      </c>
      <c r="P400" s="10">
        <v>28</v>
      </c>
    </row>
    <row r="401" spans="1:16" ht="216" x14ac:dyDescent="0.3">
      <c r="A401" t="s">
        <v>2444</v>
      </c>
      <c r="B401" t="s">
        <v>2460</v>
      </c>
      <c r="C401" t="s">
        <v>627</v>
      </c>
      <c r="D401" s="9" t="s">
        <v>2628</v>
      </c>
      <c r="E401" t="s">
        <v>312</v>
      </c>
      <c r="F401" t="s">
        <v>143</v>
      </c>
      <c r="G401" t="s">
        <v>47</v>
      </c>
      <c r="H401" s="9"/>
      <c r="I401" s="9"/>
      <c r="J401" t="s">
        <v>2468</v>
      </c>
      <c r="K401" s="9" t="s">
        <v>2629</v>
      </c>
      <c r="L401" s="9"/>
      <c r="M401" s="9" t="s">
        <v>2630</v>
      </c>
      <c r="N401" s="9" t="s">
        <v>2631</v>
      </c>
      <c r="O401" s="9" t="s">
        <v>2632</v>
      </c>
      <c r="P401" s="10">
        <v>28</v>
      </c>
    </row>
    <row r="402" spans="1:16" ht="158.4" x14ac:dyDescent="0.3">
      <c r="A402" t="s">
        <v>2444</v>
      </c>
      <c r="B402" t="s">
        <v>2460</v>
      </c>
      <c r="C402" t="s">
        <v>634</v>
      </c>
      <c r="D402" s="9" t="s">
        <v>2633</v>
      </c>
      <c r="E402" t="s">
        <v>590</v>
      </c>
      <c r="F402" t="s">
        <v>143</v>
      </c>
      <c r="G402" t="s">
        <v>47</v>
      </c>
      <c r="H402" s="9"/>
      <c r="I402" s="9"/>
      <c r="J402" t="s">
        <v>2468</v>
      </c>
      <c r="K402" s="9" t="s">
        <v>2634</v>
      </c>
      <c r="L402" s="9"/>
      <c r="M402" s="9" t="s">
        <v>2635</v>
      </c>
      <c r="N402" s="9" t="s">
        <v>2636</v>
      </c>
      <c r="O402" s="9" t="s">
        <v>2637</v>
      </c>
      <c r="P402" s="10">
        <v>28</v>
      </c>
    </row>
    <row r="403" spans="1:16" ht="57.6" x14ac:dyDescent="0.3">
      <c r="A403" t="s">
        <v>2444</v>
      </c>
      <c r="B403" t="s">
        <v>2460</v>
      </c>
      <c r="C403" t="s">
        <v>642</v>
      </c>
      <c r="D403" s="9" t="s">
        <v>2638</v>
      </c>
      <c r="E403" t="s">
        <v>590</v>
      </c>
      <c r="F403" t="s">
        <v>116</v>
      </c>
      <c r="G403" t="s">
        <v>47</v>
      </c>
      <c r="H403" s="9"/>
      <c r="I403" s="9"/>
      <c r="K403" s="9" t="s">
        <v>2639</v>
      </c>
      <c r="L403" s="9"/>
      <c r="M403" s="9" t="s">
        <v>2640</v>
      </c>
      <c r="N403" s="9"/>
      <c r="O403" s="9" t="s">
        <v>2641</v>
      </c>
      <c r="P403" s="10">
        <v>28</v>
      </c>
    </row>
    <row r="404" spans="1:16" ht="273.60000000000002" x14ac:dyDescent="0.3">
      <c r="A404" t="s">
        <v>2444</v>
      </c>
      <c r="B404" t="s">
        <v>2460</v>
      </c>
      <c r="C404" t="s">
        <v>649</v>
      </c>
      <c r="D404" s="9" t="s">
        <v>2642</v>
      </c>
      <c r="E404" t="s">
        <v>942</v>
      </c>
      <c r="F404" t="s">
        <v>143</v>
      </c>
      <c r="G404" t="s">
        <v>47</v>
      </c>
      <c r="H404" s="9"/>
      <c r="I404" s="9"/>
      <c r="J404" t="s">
        <v>2468</v>
      </c>
      <c r="K404" s="9" t="s">
        <v>2643</v>
      </c>
      <c r="L404" s="9"/>
      <c r="M404" s="9" t="s">
        <v>2644</v>
      </c>
      <c r="N404" s="9" t="s">
        <v>2645</v>
      </c>
      <c r="O404" s="9" t="s">
        <v>2478</v>
      </c>
      <c r="P404" s="10">
        <v>28</v>
      </c>
    </row>
    <row r="405" spans="1:16" ht="72" x14ac:dyDescent="0.3">
      <c r="A405" t="s">
        <v>2444</v>
      </c>
      <c r="B405" t="s">
        <v>2460</v>
      </c>
      <c r="C405" t="s">
        <v>657</v>
      </c>
      <c r="D405" s="9" t="s">
        <v>2646</v>
      </c>
      <c r="E405" t="s">
        <v>66</v>
      </c>
      <c r="F405" t="s">
        <v>116</v>
      </c>
      <c r="G405" t="s">
        <v>47</v>
      </c>
      <c r="H405" s="9"/>
      <c r="I405" s="9"/>
      <c r="K405" s="9" t="s">
        <v>2647</v>
      </c>
      <c r="L405" s="9" t="s">
        <v>2648</v>
      </c>
      <c r="M405" s="9" t="s">
        <v>2649</v>
      </c>
      <c r="N405" s="9"/>
      <c r="O405" s="9" t="s">
        <v>2650</v>
      </c>
      <c r="P405" s="10">
        <v>28</v>
      </c>
    </row>
    <row r="406" spans="1:16" ht="86.4" x14ac:dyDescent="0.3">
      <c r="A406" t="s">
        <v>2444</v>
      </c>
      <c r="B406" t="s">
        <v>2460</v>
      </c>
      <c r="C406" t="s">
        <v>328</v>
      </c>
      <c r="D406" s="9" t="s">
        <v>2651</v>
      </c>
      <c r="E406" t="s">
        <v>221</v>
      </c>
      <c r="F406" t="s">
        <v>116</v>
      </c>
      <c r="G406" t="s">
        <v>47</v>
      </c>
      <c r="H406" s="9"/>
      <c r="I406" s="9"/>
      <c r="K406" s="9" t="s">
        <v>2652</v>
      </c>
      <c r="L406" s="9" t="s">
        <v>2653</v>
      </c>
      <c r="M406" s="9" t="s">
        <v>2654</v>
      </c>
      <c r="N406" s="9"/>
      <c r="O406" s="9" t="s">
        <v>2655</v>
      </c>
      <c r="P406" s="10">
        <v>28</v>
      </c>
    </row>
    <row r="407" spans="1:16" ht="115.2" x14ac:dyDescent="0.3">
      <c r="A407" t="s">
        <v>2444</v>
      </c>
      <c r="B407" t="s">
        <v>2460</v>
      </c>
      <c r="C407" t="s">
        <v>841</v>
      </c>
      <c r="D407" s="9" t="s">
        <v>2656</v>
      </c>
      <c r="E407" t="s">
        <v>221</v>
      </c>
      <c r="F407" t="s">
        <v>116</v>
      </c>
      <c r="G407" t="s">
        <v>47</v>
      </c>
      <c r="H407" s="9"/>
      <c r="I407" s="9"/>
      <c r="K407" s="9" t="s">
        <v>2657</v>
      </c>
      <c r="L407" s="9" t="s">
        <v>2658</v>
      </c>
      <c r="M407" s="9" t="s">
        <v>2659</v>
      </c>
      <c r="N407" s="9"/>
      <c r="O407" s="9" t="s">
        <v>2660</v>
      </c>
      <c r="P407" s="10">
        <v>28</v>
      </c>
    </row>
    <row r="408" spans="1:16" ht="158.4" x14ac:dyDescent="0.3">
      <c r="A408" t="s">
        <v>2444</v>
      </c>
      <c r="B408" t="s">
        <v>2460</v>
      </c>
      <c r="C408" t="s">
        <v>336</v>
      </c>
      <c r="D408" s="9" t="s">
        <v>2661</v>
      </c>
      <c r="E408" t="s">
        <v>221</v>
      </c>
      <c r="F408" t="s">
        <v>69</v>
      </c>
      <c r="G408" t="s">
        <v>47</v>
      </c>
      <c r="H408" s="9"/>
      <c r="I408" s="9"/>
      <c r="K408" s="9" t="s">
        <v>2662</v>
      </c>
      <c r="L408" s="9" t="s">
        <v>2663</v>
      </c>
      <c r="M408" s="9" t="s">
        <v>2664</v>
      </c>
      <c r="N408" s="9" t="s">
        <v>2665</v>
      </c>
      <c r="O408" s="9" t="s">
        <v>2666</v>
      </c>
      <c r="P408" s="10">
        <v>28</v>
      </c>
    </row>
    <row r="409" spans="1:16" ht="129.6" x14ac:dyDescent="0.3">
      <c r="A409" t="s">
        <v>2444</v>
      </c>
      <c r="B409" t="s">
        <v>2460</v>
      </c>
      <c r="C409" t="s">
        <v>2374</v>
      </c>
      <c r="D409" s="9" t="s">
        <v>2667</v>
      </c>
      <c r="E409" t="s">
        <v>566</v>
      </c>
      <c r="F409" t="s">
        <v>116</v>
      </c>
      <c r="G409" t="s">
        <v>47</v>
      </c>
      <c r="H409" s="9"/>
      <c r="I409" s="9"/>
      <c r="J409" t="s">
        <v>2594</v>
      </c>
      <c r="K409" s="9" t="s">
        <v>2668</v>
      </c>
      <c r="L409" s="9" t="s">
        <v>2669</v>
      </c>
      <c r="M409" s="9" t="s">
        <v>2670</v>
      </c>
      <c r="N409" s="9" t="s">
        <v>2671</v>
      </c>
      <c r="O409" s="9" t="s">
        <v>2672</v>
      </c>
      <c r="P409" s="10">
        <v>28</v>
      </c>
    </row>
    <row r="410" spans="1:16" ht="72" x14ac:dyDescent="0.3">
      <c r="A410" t="s">
        <v>2444</v>
      </c>
      <c r="B410" t="s">
        <v>2673</v>
      </c>
      <c r="C410" t="s">
        <v>369</v>
      </c>
      <c r="D410" s="9" t="s">
        <v>2674</v>
      </c>
      <c r="E410" t="s">
        <v>74</v>
      </c>
      <c r="F410" t="s">
        <v>143</v>
      </c>
      <c r="G410" t="s">
        <v>848</v>
      </c>
      <c r="H410" s="9" t="s">
        <v>59</v>
      </c>
      <c r="I410" s="9" t="s">
        <v>59</v>
      </c>
      <c r="J410" t="s">
        <v>2675</v>
      </c>
      <c r="K410" s="9" t="s">
        <v>2676</v>
      </c>
      <c r="L410" s="9" t="s">
        <v>2677</v>
      </c>
      <c r="M410" s="9" t="s">
        <v>2678</v>
      </c>
      <c r="N410" s="9" t="s">
        <v>2679</v>
      </c>
      <c r="O410" s="9" t="s">
        <v>2680</v>
      </c>
      <c r="P410" s="10">
        <v>29</v>
      </c>
    </row>
    <row r="411" spans="1:16" ht="144" x14ac:dyDescent="0.3">
      <c r="A411" t="s">
        <v>2444</v>
      </c>
      <c r="B411" t="s">
        <v>2673</v>
      </c>
      <c r="C411" t="s">
        <v>74</v>
      </c>
      <c r="D411" s="9" t="s">
        <v>2681</v>
      </c>
      <c r="E411" t="s">
        <v>43</v>
      </c>
      <c r="F411" t="s">
        <v>143</v>
      </c>
      <c r="G411" t="s">
        <v>47</v>
      </c>
      <c r="H411" s="9" t="s">
        <v>1022</v>
      </c>
      <c r="I411" s="9" t="s">
        <v>49</v>
      </c>
      <c r="K411" s="9" t="s">
        <v>2682</v>
      </c>
      <c r="L411" s="9"/>
      <c r="M411" s="9" t="s">
        <v>2683</v>
      </c>
      <c r="N411" s="9" t="s">
        <v>2684</v>
      </c>
      <c r="O411" s="9" t="s">
        <v>2685</v>
      </c>
      <c r="P411" s="10">
        <v>29</v>
      </c>
    </row>
    <row r="412" spans="1:16" ht="129.6" x14ac:dyDescent="0.3">
      <c r="A412" t="s">
        <v>2444</v>
      </c>
      <c r="B412" t="s">
        <v>2673</v>
      </c>
      <c r="C412" t="s">
        <v>43</v>
      </c>
      <c r="D412" s="9" t="s">
        <v>2686</v>
      </c>
      <c r="E412" t="s">
        <v>1039</v>
      </c>
      <c r="F412" t="s">
        <v>143</v>
      </c>
      <c r="G412" t="s">
        <v>47</v>
      </c>
      <c r="H412" s="9" t="s">
        <v>1022</v>
      </c>
      <c r="I412" s="9" t="s">
        <v>49</v>
      </c>
      <c r="K412" s="9" t="s">
        <v>2687</v>
      </c>
      <c r="L412" s="9"/>
      <c r="M412" s="9" t="s">
        <v>2688</v>
      </c>
      <c r="N412" s="9" t="s">
        <v>2689</v>
      </c>
      <c r="O412" s="9" t="s">
        <v>2690</v>
      </c>
      <c r="P412" s="10">
        <v>29</v>
      </c>
    </row>
    <row r="413" spans="1:16" ht="172.8" x14ac:dyDescent="0.3">
      <c r="A413" t="s">
        <v>2444</v>
      </c>
      <c r="B413" t="s">
        <v>2673</v>
      </c>
      <c r="C413" t="s">
        <v>68</v>
      </c>
      <c r="D413" s="9" t="s">
        <v>2691</v>
      </c>
      <c r="E413" t="s">
        <v>76</v>
      </c>
      <c r="F413" t="s">
        <v>143</v>
      </c>
      <c r="G413" t="s">
        <v>47</v>
      </c>
      <c r="H413" s="9" t="s">
        <v>1022</v>
      </c>
      <c r="I413" s="9" t="s">
        <v>49</v>
      </c>
      <c r="J413" t="s">
        <v>2468</v>
      </c>
      <c r="K413" s="9" t="s">
        <v>2692</v>
      </c>
      <c r="L413" s="9" t="s">
        <v>2693</v>
      </c>
      <c r="M413" s="9" t="s">
        <v>2694</v>
      </c>
      <c r="N413" s="9" t="s">
        <v>2695</v>
      </c>
      <c r="O413" s="9" t="s">
        <v>2696</v>
      </c>
      <c r="P413" s="10">
        <v>29</v>
      </c>
    </row>
    <row r="414" spans="1:16" ht="158.4" x14ac:dyDescent="0.3">
      <c r="A414" t="s">
        <v>2444</v>
      </c>
      <c r="B414" t="s">
        <v>2673</v>
      </c>
      <c r="C414" t="s">
        <v>82</v>
      </c>
      <c r="D414" s="9" t="s">
        <v>2697</v>
      </c>
      <c r="E414" t="s">
        <v>1003</v>
      </c>
      <c r="F414" t="s">
        <v>143</v>
      </c>
      <c r="G414" t="s">
        <v>47</v>
      </c>
      <c r="H414" s="9" t="s">
        <v>1022</v>
      </c>
      <c r="I414" s="9" t="s">
        <v>49</v>
      </c>
      <c r="J414" t="s">
        <v>2468</v>
      </c>
      <c r="K414" s="9" t="s">
        <v>2698</v>
      </c>
      <c r="L414" s="9" t="s">
        <v>2699</v>
      </c>
      <c r="M414" s="9" t="s">
        <v>2700</v>
      </c>
      <c r="N414" s="9" t="s">
        <v>2701</v>
      </c>
      <c r="O414" s="9" t="s">
        <v>2702</v>
      </c>
      <c r="P414" s="10">
        <v>29</v>
      </c>
    </row>
    <row r="415" spans="1:16" ht="129.6" x14ac:dyDescent="0.3">
      <c r="A415" t="s">
        <v>2444</v>
      </c>
      <c r="B415" t="s">
        <v>2673</v>
      </c>
      <c r="C415" t="s">
        <v>55</v>
      </c>
      <c r="D415" s="9" t="s">
        <v>2703</v>
      </c>
      <c r="E415" t="s">
        <v>651</v>
      </c>
      <c r="F415" t="s">
        <v>143</v>
      </c>
      <c r="G415" t="s">
        <v>47</v>
      </c>
      <c r="H415" s="9" t="s">
        <v>1022</v>
      </c>
      <c r="I415" s="9" t="s">
        <v>49</v>
      </c>
      <c r="J415" t="s">
        <v>2468</v>
      </c>
      <c r="K415" s="9" t="s">
        <v>2704</v>
      </c>
      <c r="L415" s="9" t="s">
        <v>2705</v>
      </c>
      <c r="M415" s="9" t="s">
        <v>2706</v>
      </c>
      <c r="N415" s="9" t="s">
        <v>2707</v>
      </c>
      <c r="O415" s="9" t="s">
        <v>2708</v>
      </c>
      <c r="P415" s="10">
        <v>29</v>
      </c>
    </row>
    <row r="416" spans="1:16" ht="172.8" x14ac:dyDescent="0.3">
      <c r="A416" t="s">
        <v>2444</v>
      </c>
      <c r="B416" t="s">
        <v>2673</v>
      </c>
      <c r="C416" t="s">
        <v>424</v>
      </c>
      <c r="D416" s="9" t="s">
        <v>2709</v>
      </c>
      <c r="E416" t="s">
        <v>775</v>
      </c>
      <c r="F416" t="s">
        <v>143</v>
      </c>
      <c r="G416" t="s">
        <v>47</v>
      </c>
      <c r="H416" s="9" t="s">
        <v>2710</v>
      </c>
      <c r="I416" s="9" t="s">
        <v>614</v>
      </c>
      <c r="J416" t="s">
        <v>2711</v>
      </c>
      <c r="K416" s="9" t="s">
        <v>2712</v>
      </c>
      <c r="L416" s="9" t="s">
        <v>2713</v>
      </c>
      <c r="M416" s="9" t="s">
        <v>2714</v>
      </c>
      <c r="N416" s="9" t="s">
        <v>2715</v>
      </c>
      <c r="O416" s="9" t="s">
        <v>2716</v>
      </c>
      <c r="P416" s="10">
        <v>29</v>
      </c>
    </row>
    <row r="417" spans="1:16" ht="158.4" x14ac:dyDescent="0.3">
      <c r="A417" t="s">
        <v>2444</v>
      </c>
      <c r="B417" t="s">
        <v>2673</v>
      </c>
      <c r="C417" t="s">
        <v>433</v>
      </c>
      <c r="D417" s="9" t="s">
        <v>2717</v>
      </c>
      <c r="E417" t="s">
        <v>796</v>
      </c>
      <c r="F417" t="s">
        <v>143</v>
      </c>
      <c r="G417" t="s">
        <v>47</v>
      </c>
      <c r="H417" s="9" t="s">
        <v>2718</v>
      </c>
      <c r="I417" s="9" t="s">
        <v>59</v>
      </c>
      <c r="J417" t="s">
        <v>2711</v>
      </c>
      <c r="K417" s="9" t="s">
        <v>2719</v>
      </c>
      <c r="L417" s="9" t="s">
        <v>2720</v>
      </c>
      <c r="M417" s="9" t="s">
        <v>2721</v>
      </c>
      <c r="N417" s="9" t="s">
        <v>2722</v>
      </c>
      <c r="O417" s="9" t="s">
        <v>2723</v>
      </c>
      <c r="P417" s="10">
        <v>29</v>
      </c>
    </row>
    <row r="418" spans="1:16" ht="100.8" x14ac:dyDescent="0.3">
      <c r="A418" t="s">
        <v>2444</v>
      </c>
      <c r="B418" t="s">
        <v>2673</v>
      </c>
      <c r="C418" t="s">
        <v>441</v>
      </c>
      <c r="D418" s="9" t="s">
        <v>2724</v>
      </c>
      <c r="E418" t="s">
        <v>441</v>
      </c>
      <c r="F418" t="s">
        <v>143</v>
      </c>
      <c r="G418" t="s">
        <v>47</v>
      </c>
      <c r="H418" s="9" t="s">
        <v>797</v>
      </c>
      <c r="I418" s="9" t="s">
        <v>59</v>
      </c>
      <c r="J418" t="s">
        <v>2711</v>
      </c>
      <c r="K418" s="9" t="s">
        <v>2725</v>
      </c>
      <c r="L418" s="9" t="s">
        <v>2726</v>
      </c>
      <c r="M418" s="9" t="s">
        <v>2727</v>
      </c>
      <c r="N418" s="9" t="s">
        <v>2728</v>
      </c>
      <c r="O418" s="9" t="s">
        <v>2729</v>
      </c>
      <c r="P418" s="10">
        <v>29</v>
      </c>
    </row>
    <row r="419" spans="1:16" ht="100.8" x14ac:dyDescent="0.3">
      <c r="A419" t="s">
        <v>2444</v>
      </c>
      <c r="B419" t="s">
        <v>2673</v>
      </c>
      <c r="C419" t="s">
        <v>449</v>
      </c>
      <c r="D419" s="9" t="s">
        <v>2730</v>
      </c>
      <c r="E419" t="s">
        <v>679</v>
      </c>
      <c r="F419" t="s">
        <v>143</v>
      </c>
      <c r="G419" t="s">
        <v>47</v>
      </c>
      <c r="H419" s="9" t="s">
        <v>797</v>
      </c>
      <c r="I419" s="9" t="s">
        <v>106</v>
      </c>
      <c r="J419" t="s">
        <v>2711</v>
      </c>
      <c r="K419" s="9" t="s">
        <v>2731</v>
      </c>
      <c r="L419" s="9" t="s">
        <v>2732</v>
      </c>
      <c r="M419" s="9" t="s">
        <v>2733</v>
      </c>
      <c r="N419" s="9" t="s">
        <v>2734</v>
      </c>
      <c r="O419" s="9" t="s">
        <v>2735</v>
      </c>
      <c r="P419" s="10">
        <v>29</v>
      </c>
    </row>
    <row r="420" spans="1:16" ht="129.6" x14ac:dyDescent="0.3">
      <c r="A420" t="s">
        <v>2444</v>
      </c>
      <c r="B420" t="s">
        <v>2673</v>
      </c>
      <c r="C420" t="s">
        <v>458</v>
      </c>
      <c r="D420" s="9" t="s">
        <v>2736</v>
      </c>
      <c r="E420" t="s">
        <v>694</v>
      </c>
      <c r="F420" t="s">
        <v>143</v>
      </c>
      <c r="G420" t="s">
        <v>47</v>
      </c>
      <c r="H420" s="9" t="s">
        <v>2737</v>
      </c>
      <c r="I420" s="9" t="s">
        <v>614</v>
      </c>
      <c r="J420" t="s">
        <v>2711</v>
      </c>
      <c r="K420" s="9" t="s">
        <v>2738</v>
      </c>
      <c r="L420" s="9" t="s">
        <v>2739</v>
      </c>
      <c r="M420" s="9" t="s">
        <v>2740</v>
      </c>
      <c r="N420" s="9" t="s">
        <v>2741</v>
      </c>
      <c r="O420" s="9" t="s">
        <v>2742</v>
      </c>
      <c r="P420" s="10">
        <v>29</v>
      </c>
    </row>
    <row r="421" spans="1:16" ht="144" x14ac:dyDescent="0.3">
      <c r="A421" t="s">
        <v>2444</v>
      </c>
      <c r="B421" t="s">
        <v>2673</v>
      </c>
      <c r="C421" t="s">
        <v>466</v>
      </c>
      <c r="D421" s="9" t="s">
        <v>2743</v>
      </c>
      <c r="E421" t="s">
        <v>869</v>
      </c>
      <c r="F421" t="s">
        <v>143</v>
      </c>
      <c r="G421" t="s">
        <v>47</v>
      </c>
      <c r="H421" s="9" t="s">
        <v>2744</v>
      </c>
      <c r="I421" s="9" t="s">
        <v>614</v>
      </c>
      <c r="J421" t="s">
        <v>2711</v>
      </c>
      <c r="K421" s="9" t="s">
        <v>2745</v>
      </c>
      <c r="L421" s="9" t="s">
        <v>2746</v>
      </c>
      <c r="M421" s="9" t="s">
        <v>2747</v>
      </c>
      <c r="N421" s="9" t="s">
        <v>2748</v>
      </c>
      <c r="O421" s="9" t="s">
        <v>2749</v>
      </c>
      <c r="P421" s="10">
        <v>29</v>
      </c>
    </row>
    <row r="422" spans="1:16" ht="100.8" x14ac:dyDescent="0.3">
      <c r="A422" t="s">
        <v>2444</v>
      </c>
      <c r="B422" t="s">
        <v>2673</v>
      </c>
      <c r="C422" t="s">
        <v>312</v>
      </c>
      <c r="D422" s="9" t="s">
        <v>2750</v>
      </c>
      <c r="E422" t="s">
        <v>466</v>
      </c>
      <c r="F422" t="s">
        <v>46</v>
      </c>
      <c r="G422" t="s">
        <v>47</v>
      </c>
      <c r="H422" s="9" t="s">
        <v>153</v>
      </c>
      <c r="I422" s="9" t="s">
        <v>106</v>
      </c>
      <c r="J422" t="s">
        <v>2675</v>
      </c>
      <c r="K422" s="9" t="s">
        <v>2751</v>
      </c>
      <c r="L422" s="9" t="s">
        <v>2752</v>
      </c>
      <c r="M422" s="9" t="s">
        <v>2753</v>
      </c>
      <c r="N422" s="9" t="s">
        <v>2754</v>
      </c>
      <c r="O422" s="9" t="s">
        <v>2755</v>
      </c>
      <c r="P422" s="10">
        <v>29</v>
      </c>
    </row>
    <row r="423" spans="1:16" ht="72" x14ac:dyDescent="0.3">
      <c r="A423" t="s">
        <v>2444</v>
      </c>
      <c r="B423" t="s">
        <v>2673</v>
      </c>
      <c r="C423" t="s">
        <v>590</v>
      </c>
      <c r="D423" s="9" t="s">
        <v>2756</v>
      </c>
      <c r="E423" t="s">
        <v>466</v>
      </c>
      <c r="F423" t="s">
        <v>143</v>
      </c>
      <c r="G423" t="s">
        <v>47</v>
      </c>
      <c r="H423" s="9" t="s">
        <v>452</v>
      </c>
      <c r="I423" s="9" t="s">
        <v>59</v>
      </c>
      <c r="J423" t="s">
        <v>2675</v>
      </c>
      <c r="K423" s="9" t="s">
        <v>2757</v>
      </c>
      <c r="L423" s="9" t="s">
        <v>2758</v>
      </c>
      <c r="M423" s="9" t="s">
        <v>2759</v>
      </c>
      <c r="N423" s="9"/>
      <c r="O423" s="9" t="s">
        <v>2760</v>
      </c>
      <c r="P423" s="10">
        <v>29</v>
      </c>
    </row>
    <row r="424" spans="1:16" ht="86.4" x14ac:dyDescent="0.3">
      <c r="A424" t="s">
        <v>2444</v>
      </c>
      <c r="B424" t="s">
        <v>2673</v>
      </c>
      <c r="C424" t="s">
        <v>215</v>
      </c>
      <c r="D424" s="9" t="s">
        <v>2761</v>
      </c>
      <c r="E424" t="s">
        <v>466</v>
      </c>
      <c r="F424" t="s">
        <v>143</v>
      </c>
      <c r="G424" t="s">
        <v>47</v>
      </c>
      <c r="H424" s="9"/>
      <c r="I424" s="9" t="s">
        <v>59</v>
      </c>
      <c r="J424" t="s">
        <v>2675</v>
      </c>
      <c r="K424" s="9" t="s">
        <v>2762</v>
      </c>
      <c r="L424" s="9" t="s">
        <v>2763</v>
      </c>
      <c r="M424" s="9" t="s">
        <v>2764</v>
      </c>
      <c r="N424" s="9" t="s">
        <v>2765</v>
      </c>
      <c r="O424" s="9" t="s">
        <v>2766</v>
      </c>
      <c r="P424" s="10">
        <v>29</v>
      </c>
    </row>
    <row r="425" spans="1:16" ht="86.4" x14ac:dyDescent="0.3">
      <c r="A425" t="s">
        <v>2444</v>
      </c>
      <c r="B425" t="s">
        <v>2673</v>
      </c>
      <c r="C425" t="s">
        <v>221</v>
      </c>
      <c r="D425" s="9" t="s">
        <v>2767</v>
      </c>
      <c r="E425" t="s">
        <v>2768</v>
      </c>
      <c r="F425" t="s">
        <v>143</v>
      </c>
      <c r="G425" t="s">
        <v>47</v>
      </c>
      <c r="H425" s="9" t="s">
        <v>2769</v>
      </c>
      <c r="I425" s="9" t="s">
        <v>59</v>
      </c>
      <c r="J425" t="s">
        <v>2675</v>
      </c>
      <c r="K425" s="9" t="s">
        <v>2770</v>
      </c>
      <c r="L425" s="9" t="s">
        <v>2771</v>
      </c>
      <c r="M425" s="9" t="s">
        <v>2772</v>
      </c>
      <c r="N425" s="9" t="s">
        <v>2773</v>
      </c>
      <c r="O425" s="9" t="s">
        <v>2774</v>
      </c>
      <c r="P425" s="10">
        <v>29</v>
      </c>
    </row>
    <row r="426" spans="1:16" ht="100.8" x14ac:dyDescent="0.3">
      <c r="A426" t="s">
        <v>2444</v>
      </c>
      <c r="B426" t="s">
        <v>2673</v>
      </c>
      <c r="C426" t="s">
        <v>989</v>
      </c>
      <c r="D426" s="9" t="s">
        <v>2775</v>
      </c>
      <c r="E426" t="s">
        <v>942</v>
      </c>
      <c r="F426" t="s">
        <v>143</v>
      </c>
      <c r="G426" t="s">
        <v>47</v>
      </c>
      <c r="H426" s="9"/>
      <c r="I426" s="9" t="s">
        <v>59</v>
      </c>
      <c r="J426" t="s">
        <v>2675</v>
      </c>
      <c r="K426" s="9" t="s">
        <v>2776</v>
      </c>
      <c r="L426" s="9" t="s">
        <v>2777</v>
      </c>
      <c r="M426" s="9" t="s">
        <v>2778</v>
      </c>
      <c r="N426" s="9" t="s">
        <v>2779</v>
      </c>
      <c r="O426" s="9" t="s">
        <v>2780</v>
      </c>
      <c r="P426" s="10">
        <v>29</v>
      </c>
    </row>
    <row r="427" spans="1:16" ht="115.2" x14ac:dyDescent="0.3">
      <c r="A427" t="s">
        <v>2444</v>
      </c>
      <c r="B427" t="s">
        <v>2673</v>
      </c>
      <c r="C427" t="s">
        <v>773</v>
      </c>
      <c r="D427" s="9" t="s">
        <v>2781</v>
      </c>
      <c r="E427" t="s">
        <v>215</v>
      </c>
      <c r="F427" t="s">
        <v>143</v>
      </c>
      <c r="G427" t="s">
        <v>47</v>
      </c>
      <c r="H427" s="9"/>
      <c r="I427" s="9" t="s">
        <v>59</v>
      </c>
      <c r="J427" t="s">
        <v>2675</v>
      </c>
      <c r="K427" s="9" t="s">
        <v>2782</v>
      </c>
      <c r="L427" s="9" t="s">
        <v>2783</v>
      </c>
      <c r="M427" s="9" t="s">
        <v>2784</v>
      </c>
      <c r="N427" s="9" t="s">
        <v>2785</v>
      </c>
      <c r="O427" s="9" t="s">
        <v>2786</v>
      </c>
      <c r="P427" s="10">
        <v>29</v>
      </c>
    </row>
    <row r="428" spans="1:16" ht="115.2" x14ac:dyDescent="0.3">
      <c r="A428" t="s">
        <v>2444</v>
      </c>
      <c r="B428" t="s">
        <v>2673</v>
      </c>
      <c r="C428" t="s">
        <v>319</v>
      </c>
      <c r="D428" s="9" t="s">
        <v>2787</v>
      </c>
      <c r="E428" t="s">
        <v>766</v>
      </c>
      <c r="F428" t="s">
        <v>143</v>
      </c>
      <c r="G428" t="s">
        <v>47</v>
      </c>
      <c r="H428" s="9" t="s">
        <v>59</v>
      </c>
      <c r="I428" s="9" t="s">
        <v>59</v>
      </c>
      <c r="J428" t="s">
        <v>2675</v>
      </c>
      <c r="K428" s="9" t="s">
        <v>2788</v>
      </c>
      <c r="L428" s="9" t="s">
        <v>2789</v>
      </c>
      <c r="M428" s="9" t="s">
        <v>2790</v>
      </c>
      <c r="N428" s="9" t="s">
        <v>2791</v>
      </c>
      <c r="O428" s="9" t="s">
        <v>2792</v>
      </c>
      <c r="P428" s="10">
        <v>29</v>
      </c>
    </row>
    <row r="429" spans="1:16" ht="100.8" x14ac:dyDescent="0.3">
      <c r="A429" t="s">
        <v>2444</v>
      </c>
      <c r="B429" t="s">
        <v>2673</v>
      </c>
      <c r="C429" t="s">
        <v>809</v>
      </c>
      <c r="D429" s="9" t="s">
        <v>2793</v>
      </c>
      <c r="E429" t="s">
        <v>1329</v>
      </c>
      <c r="F429" t="s">
        <v>143</v>
      </c>
      <c r="G429" t="s">
        <v>47</v>
      </c>
      <c r="H429" s="9"/>
      <c r="I429" s="9" t="s">
        <v>59</v>
      </c>
      <c r="J429" t="s">
        <v>2675</v>
      </c>
      <c r="K429" s="9" t="s">
        <v>2794</v>
      </c>
      <c r="L429" s="9" t="s">
        <v>2795</v>
      </c>
      <c r="M429" s="9" t="s">
        <v>2796</v>
      </c>
      <c r="N429" s="9" t="s">
        <v>2797</v>
      </c>
      <c r="O429" s="9" t="s">
        <v>2798</v>
      </c>
      <c r="P429" s="10">
        <v>29</v>
      </c>
    </row>
    <row r="430" spans="1:16" ht="86.4" x14ac:dyDescent="0.3">
      <c r="A430" t="s">
        <v>2444</v>
      </c>
      <c r="B430" t="s">
        <v>2673</v>
      </c>
      <c r="C430" t="s">
        <v>816</v>
      </c>
      <c r="D430" s="9" t="s">
        <v>2799</v>
      </c>
      <c r="E430" t="s">
        <v>989</v>
      </c>
      <c r="F430" t="s">
        <v>143</v>
      </c>
      <c r="G430" t="s">
        <v>47</v>
      </c>
      <c r="H430" s="9"/>
      <c r="I430" s="9" t="s">
        <v>59</v>
      </c>
      <c r="J430" t="s">
        <v>2675</v>
      </c>
      <c r="K430" s="9" t="s">
        <v>2800</v>
      </c>
      <c r="L430" s="9" t="s">
        <v>2801</v>
      </c>
      <c r="M430" s="9" t="s">
        <v>2802</v>
      </c>
      <c r="N430" s="9" t="s">
        <v>2803</v>
      </c>
      <c r="O430" s="9" t="s">
        <v>2804</v>
      </c>
      <c r="P430" s="10">
        <v>29</v>
      </c>
    </row>
    <row r="431" spans="1:16" ht="100.8" x14ac:dyDescent="0.3">
      <c r="A431" t="s">
        <v>2444</v>
      </c>
      <c r="B431" t="s">
        <v>2673</v>
      </c>
      <c r="C431" t="s">
        <v>1175</v>
      </c>
      <c r="D431" s="9" t="s">
        <v>2805</v>
      </c>
      <c r="E431" t="s">
        <v>1337</v>
      </c>
      <c r="F431" t="s">
        <v>143</v>
      </c>
      <c r="G431" t="s">
        <v>47</v>
      </c>
      <c r="H431" s="9" t="s">
        <v>59</v>
      </c>
      <c r="I431" s="9" t="s">
        <v>59</v>
      </c>
      <c r="J431" t="s">
        <v>2675</v>
      </c>
      <c r="K431" s="9" t="s">
        <v>2806</v>
      </c>
      <c r="L431" s="9" t="s">
        <v>2807</v>
      </c>
      <c r="M431" s="9" t="s">
        <v>2808</v>
      </c>
      <c r="N431" s="9" t="s">
        <v>2809</v>
      </c>
      <c r="O431" s="9" t="s">
        <v>2810</v>
      </c>
      <c r="P431" s="10">
        <v>29</v>
      </c>
    </row>
    <row r="432" spans="1:16" ht="72" x14ac:dyDescent="0.3">
      <c r="A432" t="s">
        <v>2444</v>
      </c>
      <c r="B432" t="s">
        <v>2673</v>
      </c>
      <c r="C432" t="s">
        <v>627</v>
      </c>
      <c r="D432" s="9" t="s">
        <v>2811</v>
      </c>
      <c r="E432" t="s">
        <v>2812</v>
      </c>
      <c r="F432" t="s">
        <v>143</v>
      </c>
      <c r="G432" t="s">
        <v>47</v>
      </c>
      <c r="H432" s="9"/>
      <c r="I432" s="9" t="s">
        <v>59</v>
      </c>
      <c r="J432" t="s">
        <v>2675</v>
      </c>
      <c r="K432" s="9" t="s">
        <v>2813</v>
      </c>
      <c r="L432" s="9" t="s">
        <v>2814</v>
      </c>
      <c r="M432" s="9" t="s">
        <v>2815</v>
      </c>
      <c r="N432" s="9" t="s">
        <v>2816</v>
      </c>
      <c r="O432" s="9" t="s">
        <v>2817</v>
      </c>
      <c r="P432" s="10">
        <v>29</v>
      </c>
    </row>
    <row r="433" spans="1:16" ht="86.4" x14ac:dyDescent="0.3">
      <c r="A433" t="s">
        <v>2444</v>
      </c>
      <c r="B433" t="s">
        <v>2818</v>
      </c>
      <c r="C433" t="s">
        <v>66</v>
      </c>
      <c r="D433" s="9" t="s">
        <v>2819</v>
      </c>
      <c r="E433" t="s">
        <v>369</v>
      </c>
      <c r="F433" t="s">
        <v>116</v>
      </c>
      <c r="G433" t="s">
        <v>47</v>
      </c>
      <c r="H433" s="9" t="s">
        <v>2820</v>
      </c>
      <c r="I433" s="9" t="s">
        <v>307</v>
      </c>
      <c r="K433" s="9" t="s">
        <v>2821</v>
      </c>
      <c r="L433" s="9"/>
      <c r="M433" s="9" t="s">
        <v>2822</v>
      </c>
      <c r="N433" s="9" t="s">
        <v>2823</v>
      </c>
      <c r="O433" s="9" t="s">
        <v>2824</v>
      </c>
      <c r="P433" s="10">
        <v>30</v>
      </c>
    </row>
    <row r="434" spans="1:16" ht="86.4" x14ac:dyDescent="0.3">
      <c r="A434" t="s">
        <v>2444</v>
      </c>
      <c r="B434" t="s">
        <v>2818</v>
      </c>
      <c r="C434" t="s">
        <v>74</v>
      </c>
      <c r="D434" s="9" t="s">
        <v>2825</v>
      </c>
      <c r="E434" t="s">
        <v>557</v>
      </c>
      <c r="F434" t="s">
        <v>116</v>
      </c>
      <c r="G434" t="s">
        <v>47</v>
      </c>
      <c r="H434" s="9" t="s">
        <v>2826</v>
      </c>
      <c r="I434" s="9" t="s">
        <v>2827</v>
      </c>
      <c r="J434" t="s">
        <v>2675</v>
      </c>
      <c r="K434" s="9" t="s">
        <v>2828</v>
      </c>
      <c r="L434" s="9"/>
      <c r="M434" s="9" t="s">
        <v>2829</v>
      </c>
      <c r="N434" s="9" t="s">
        <v>2830</v>
      </c>
      <c r="O434" s="9" t="s">
        <v>2831</v>
      </c>
      <c r="P434" s="10">
        <v>30</v>
      </c>
    </row>
    <row r="435" spans="1:16" ht="72" x14ac:dyDescent="0.3">
      <c r="A435" t="s">
        <v>2444</v>
      </c>
      <c r="B435" t="s">
        <v>2832</v>
      </c>
      <c r="C435" t="s">
        <v>369</v>
      </c>
      <c r="D435" s="9" t="s">
        <v>2833</v>
      </c>
      <c r="E435" t="s">
        <v>76</v>
      </c>
      <c r="F435" t="s">
        <v>143</v>
      </c>
      <c r="G435" t="s">
        <v>47</v>
      </c>
      <c r="H435" s="9" t="s">
        <v>1630</v>
      </c>
      <c r="I435" s="9" t="s">
        <v>106</v>
      </c>
      <c r="J435" t="s">
        <v>2675</v>
      </c>
      <c r="K435" s="9" t="s">
        <v>2834</v>
      </c>
      <c r="L435" s="9" t="s">
        <v>2835</v>
      </c>
      <c r="M435" s="9" t="s">
        <v>2836</v>
      </c>
      <c r="N435" s="9"/>
      <c r="O435" s="9" t="s">
        <v>2837</v>
      </c>
      <c r="P435" s="10">
        <v>31</v>
      </c>
    </row>
    <row r="436" spans="1:16" ht="86.4" x14ac:dyDescent="0.3">
      <c r="A436" t="s">
        <v>2444</v>
      </c>
      <c r="B436" t="s">
        <v>2832</v>
      </c>
      <c r="C436" t="s">
        <v>66</v>
      </c>
      <c r="D436" s="9" t="s">
        <v>2838</v>
      </c>
      <c r="E436" t="s">
        <v>369</v>
      </c>
      <c r="F436" t="s">
        <v>143</v>
      </c>
      <c r="G436" t="s">
        <v>47</v>
      </c>
      <c r="H436" s="9" t="s">
        <v>2839</v>
      </c>
      <c r="I436" s="9" t="s">
        <v>106</v>
      </c>
      <c r="J436" t="s">
        <v>2675</v>
      </c>
      <c r="K436" s="9" t="s">
        <v>2840</v>
      </c>
      <c r="L436" s="9" t="s">
        <v>2841</v>
      </c>
      <c r="M436" s="9" t="s">
        <v>2842</v>
      </c>
      <c r="N436" s="9" t="s">
        <v>2843</v>
      </c>
      <c r="O436" s="9" t="s">
        <v>2844</v>
      </c>
      <c r="P436" s="10">
        <v>31</v>
      </c>
    </row>
    <row r="437" spans="1:16" ht="72" x14ac:dyDescent="0.3">
      <c r="A437" t="s">
        <v>2444</v>
      </c>
      <c r="B437" t="s">
        <v>2832</v>
      </c>
      <c r="C437" t="s">
        <v>74</v>
      </c>
      <c r="D437" s="9" t="s">
        <v>2845</v>
      </c>
      <c r="E437" t="s">
        <v>557</v>
      </c>
      <c r="F437" t="s">
        <v>143</v>
      </c>
      <c r="G437" t="s">
        <v>47</v>
      </c>
      <c r="H437" s="9" t="s">
        <v>2839</v>
      </c>
      <c r="I437" s="9" t="s">
        <v>106</v>
      </c>
      <c r="J437" t="s">
        <v>2675</v>
      </c>
      <c r="K437" s="9" t="s">
        <v>2846</v>
      </c>
      <c r="L437" s="9" t="s">
        <v>2847</v>
      </c>
      <c r="M437" s="9" t="s">
        <v>2848</v>
      </c>
      <c r="N437" s="9" t="s">
        <v>2849</v>
      </c>
      <c r="O437" s="9" t="s">
        <v>2850</v>
      </c>
      <c r="P437" s="10">
        <v>31</v>
      </c>
    </row>
    <row r="438" spans="1:16" ht="129.6" x14ac:dyDescent="0.3">
      <c r="A438" t="s">
        <v>2444</v>
      </c>
      <c r="B438" t="s">
        <v>2832</v>
      </c>
      <c r="C438" t="s">
        <v>43</v>
      </c>
      <c r="D438" s="9" t="s">
        <v>2851</v>
      </c>
      <c r="E438" t="s">
        <v>566</v>
      </c>
      <c r="F438" t="s">
        <v>143</v>
      </c>
      <c r="G438" t="s">
        <v>47</v>
      </c>
      <c r="H438" s="9" t="s">
        <v>2839</v>
      </c>
      <c r="I438" s="9" t="s">
        <v>106</v>
      </c>
      <c r="J438" t="s">
        <v>2675</v>
      </c>
      <c r="K438" s="9" t="s">
        <v>2852</v>
      </c>
      <c r="L438" s="9" t="s">
        <v>2853</v>
      </c>
      <c r="M438" s="9" t="s">
        <v>2854</v>
      </c>
      <c r="N438" s="9" t="s">
        <v>2855</v>
      </c>
      <c r="O438" s="9" t="s">
        <v>2856</v>
      </c>
      <c r="P438" s="10">
        <v>31</v>
      </c>
    </row>
    <row r="439" spans="1:16" ht="115.2" x14ac:dyDescent="0.3">
      <c r="A439" t="s">
        <v>2444</v>
      </c>
      <c r="B439" t="s">
        <v>2832</v>
      </c>
      <c r="C439" t="s">
        <v>68</v>
      </c>
      <c r="D439" s="9" t="s">
        <v>2857</v>
      </c>
      <c r="E439" t="s">
        <v>441</v>
      </c>
      <c r="F439" t="s">
        <v>143</v>
      </c>
      <c r="G439" t="s">
        <v>47</v>
      </c>
      <c r="H439" s="9" t="s">
        <v>2858</v>
      </c>
      <c r="I439" s="9" t="s">
        <v>106</v>
      </c>
      <c r="J439" t="s">
        <v>2468</v>
      </c>
      <c r="K439" s="9" t="s">
        <v>2859</v>
      </c>
      <c r="L439" s="9" t="s">
        <v>2860</v>
      </c>
      <c r="M439" s="9" t="s">
        <v>2861</v>
      </c>
      <c r="N439" s="9" t="s">
        <v>2862</v>
      </c>
      <c r="O439" s="9" t="s">
        <v>2863</v>
      </c>
      <c r="P439" s="10">
        <v>31</v>
      </c>
    </row>
    <row r="440" spans="1:16" ht="409.6" x14ac:dyDescent="0.3">
      <c r="A440" t="s">
        <v>2444</v>
      </c>
      <c r="B440" t="s">
        <v>2832</v>
      </c>
      <c r="C440" t="s">
        <v>82</v>
      </c>
      <c r="D440" s="9" t="s">
        <v>2864</v>
      </c>
      <c r="E440" t="s">
        <v>441</v>
      </c>
      <c r="F440" t="s">
        <v>143</v>
      </c>
      <c r="G440" t="s">
        <v>47</v>
      </c>
      <c r="H440" s="9" t="s">
        <v>2865</v>
      </c>
      <c r="I440" s="9" t="s">
        <v>106</v>
      </c>
      <c r="J440" t="s">
        <v>2468</v>
      </c>
      <c r="K440" s="9" t="s">
        <v>2866</v>
      </c>
      <c r="L440" s="9" t="s">
        <v>2867</v>
      </c>
      <c r="M440" s="9" t="s">
        <v>2868</v>
      </c>
      <c r="N440" s="9" t="s">
        <v>2869</v>
      </c>
      <c r="O440" s="9" t="s">
        <v>2870</v>
      </c>
      <c r="P440" s="10">
        <v>31</v>
      </c>
    </row>
    <row r="441" spans="1:16" ht="115.2" x14ac:dyDescent="0.3">
      <c r="A441" t="s">
        <v>2444</v>
      </c>
      <c r="B441" t="s">
        <v>2832</v>
      </c>
      <c r="C441" t="s">
        <v>55</v>
      </c>
      <c r="D441" s="9" t="s">
        <v>2871</v>
      </c>
      <c r="E441" t="s">
        <v>679</v>
      </c>
      <c r="F441" t="s">
        <v>143</v>
      </c>
      <c r="G441" t="s">
        <v>47</v>
      </c>
      <c r="H441" s="9" t="s">
        <v>1630</v>
      </c>
      <c r="I441" s="9" t="s">
        <v>106</v>
      </c>
      <c r="J441" t="s">
        <v>2468</v>
      </c>
      <c r="K441" s="9" t="s">
        <v>2872</v>
      </c>
      <c r="L441" s="9" t="s">
        <v>2873</v>
      </c>
      <c r="M441" s="9" t="s">
        <v>2874</v>
      </c>
      <c r="N441" s="9" t="s">
        <v>2875</v>
      </c>
      <c r="O441" s="9" t="s">
        <v>2876</v>
      </c>
      <c r="P441" s="10">
        <v>31</v>
      </c>
    </row>
    <row r="442" spans="1:16" ht="144" x14ac:dyDescent="0.3">
      <c r="A442" t="s">
        <v>2444</v>
      </c>
      <c r="B442" t="s">
        <v>2832</v>
      </c>
      <c r="C442" t="s">
        <v>424</v>
      </c>
      <c r="D442" s="9" t="s">
        <v>2877</v>
      </c>
      <c r="E442" t="s">
        <v>449</v>
      </c>
      <c r="F442" t="s">
        <v>143</v>
      </c>
      <c r="G442" t="s">
        <v>47</v>
      </c>
      <c r="H442" s="9" t="s">
        <v>2839</v>
      </c>
      <c r="I442" s="9" t="s">
        <v>106</v>
      </c>
      <c r="J442" t="s">
        <v>2468</v>
      </c>
      <c r="K442" s="9" t="s">
        <v>2878</v>
      </c>
      <c r="L442" s="9" t="s">
        <v>2879</v>
      </c>
      <c r="M442" s="9" t="s">
        <v>2880</v>
      </c>
      <c r="N442" s="9" t="s">
        <v>2881</v>
      </c>
      <c r="O442" s="9" t="s">
        <v>2882</v>
      </c>
      <c r="P442" s="10">
        <v>31</v>
      </c>
    </row>
    <row r="443" spans="1:16" ht="115.2" x14ac:dyDescent="0.3">
      <c r="A443" t="s">
        <v>2444</v>
      </c>
      <c r="B443" t="s">
        <v>2832</v>
      </c>
      <c r="C443" t="s">
        <v>433</v>
      </c>
      <c r="D443" s="9" t="s">
        <v>2883</v>
      </c>
      <c r="E443" t="s">
        <v>449</v>
      </c>
      <c r="F443" t="s">
        <v>143</v>
      </c>
      <c r="G443" t="s">
        <v>47</v>
      </c>
      <c r="H443" s="9" t="s">
        <v>2248</v>
      </c>
      <c r="I443" s="9" t="s">
        <v>106</v>
      </c>
      <c r="J443" t="s">
        <v>2468</v>
      </c>
      <c r="K443" s="9" t="s">
        <v>2884</v>
      </c>
      <c r="L443" s="9" t="s">
        <v>2885</v>
      </c>
      <c r="M443" s="9" t="s">
        <v>2886</v>
      </c>
      <c r="N443" s="9"/>
      <c r="O443" s="9" t="s">
        <v>2887</v>
      </c>
      <c r="P443" s="10">
        <v>31</v>
      </c>
    </row>
    <row r="444" spans="1:16" ht="115.2" x14ac:dyDescent="0.3">
      <c r="A444" t="s">
        <v>2444</v>
      </c>
      <c r="B444" t="s">
        <v>2832</v>
      </c>
      <c r="C444" t="s">
        <v>441</v>
      </c>
      <c r="D444" s="9" t="s">
        <v>2888</v>
      </c>
      <c r="E444" t="s">
        <v>449</v>
      </c>
      <c r="F444" t="s">
        <v>143</v>
      </c>
      <c r="G444" t="s">
        <v>47</v>
      </c>
      <c r="H444" s="9" t="s">
        <v>2889</v>
      </c>
      <c r="I444" s="9" t="s">
        <v>144</v>
      </c>
      <c r="J444" t="s">
        <v>2711</v>
      </c>
      <c r="K444" s="9" t="s">
        <v>2890</v>
      </c>
      <c r="L444" s="9" t="s">
        <v>2891</v>
      </c>
      <c r="M444" s="9" t="s">
        <v>2892</v>
      </c>
      <c r="N444" s="9" t="s">
        <v>2893</v>
      </c>
      <c r="O444" s="9" t="s">
        <v>2894</v>
      </c>
      <c r="P444" s="10">
        <v>31</v>
      </c>
    </row>
    <row r="445" spans="1:16" ht="409.6" x14ac:dyDescent="0.3">
      <c r="A445" t="s">
        <v>2444</v>
      </c>
      <c r="B445" t="s">
        <v>2832</v>
      </c>
      <c r="C445" t="s">
        <v>449</v>
      </c>
      <c r="D445" s="9" t="s">
        <v>2895</v>
      </c>
      <c r="E445" t="s">
        <v>694</v>
      </c>
      <c r="F445" t="s">
        <v>143</v>
      </c>
      <c r="G445" t="s">
        <v>47</v>
      </c>
      <c r="H445" s="9" t="s">
        <v>2896</v>
      </c>
      <c r="I445" s="9" t="s">
        <v>144</v>
      </c>
      <c r="J445" t="s">
        <v>2711</v>
      </c>
      <c r="K445" s="9" t="s">
        <v>2897</v>
      </c>
      <c r="L445" s="9" t="s">
        <v>2898</v>
      </c>
      <c r="M445" s="9" t="s">
        <v>2899</v>
      </c>
      <c r="N445" s="9" t="s">
        <v>2900</v>
      </c>
      <c r="O445" s="9" t="s">
        <v>2901</v>
      </c>
      <c r="P445" s="10">
        <v>31</v>
      </c>
    </row>
    <row r="446" spans="1:16" ht="273.60000000000002" x14ac:dyDescent="0.3">
      <c r="A446" t="s">
        <v>2444</v>
      </c>
      <c r="B446" t="s">
        <v>2832</v>
      </c>
      <c r="C446" t="s">
        <v>458</v>
      </c>
      <c r="D446" s="9" t="s">
        <v>2902</v>
      </c>
      <c r="E446" t="s">
        <v>869</v>
      </c>
      <c r="F446" t="s">
        <v>143</v>
      </c>
      <c r="G446" t="s">
        <v>47</v>
      </c>
      <c r="H446" s="9" t="s">
        <v>2889</v>
      </c>
      <c r="I446" s="9" t="s">
        <v>144</v>
      </c>
      <c r="J446" t="s">
        <v>2711</v>
      </c>
      <c r="K446" s="9" t="s">
        <v>2903</v>
      </c>
      <c r="L446" s="9" t="s">
        <v>2904</v>
      </c>
      <c r="M446" s="9" t="s">
        <v>2905</v>
      </c>
      <c r="N446" s="9" t="s">
        <v>2906</v>
      </c>
      <c r="O446" s="9" t="s">
        <v>2907</v>
      </c>
      <c r="P446" s="10">
        <v>31</v>
      </c>
    </row>
    <row r="447" spans="1:16" ht="230.4" x14ac:dyDescent="0.3">
      <c r="A447" t="s">
        <v>2444</v>
      </c>
      <c r="B447" t="s">
        <v>2832</v>
      </c>
      <c r="C447" t="s">
        <v>466</v>
      </c>
      <c r="D447" s="9" t="s">
        <v>2908</v>
      </c>
      <c r="E447" t="s">
        <v>466</v>
      </c>
      <c r="F447" t="s">
        <v>143</v>
      </c>
      <c r="G447" t="s">
        <v>47</v>
      </c>
      <c r="H447" s="9" t="s">
        <v>2889</v>
      </c>
      <c r="I447" s="9" t="s">
        <v>144</v>
      </c>
      <c r="J447" t="s">
        <v>2711</v>
      </c>
      <c r="K447" s="9" t="s">
        <v>2909</v>
      </c>
      <c r="L447" s="9" t="s">
        <v>2910</v>
      </c>
      <c r="M447" s="9" t="s">
        <v>2911</v>
      </c>
      <c r="N447" s="9" t="s">
        <v>2912</v>
      </c>
      <c r="O447" s="9" t="s">
        <v>2913</v>
      </c>
      <c r="P447" s="10">
        <v>31</v>
      </c>
    </row>
    <row r="448" spans="1:16" ht="409.6" x14ac:dyDescent="0.3">
      <c r="A448" t="s">
        <v>2444</v>
      </c>
      <c r="B448" t="s">
        <v>2832</v>
      </c>
      <c r="C448" t="s">
        <v>312</v>
      </c>
      <c r="D448" s="9" t="s">
        <v>2914</v>
      </c>
      <c r="E448" t="s">
        <v>2768</v>
      </c>
      <c r="F448" t="s">
        <v>143</v>
      </c>
      <c r="G448" t="s">
        <v>47</v>
      </c>
      <c r="H448" s="9" t="s">
        <v>2889</v>
      </c>
      <c r="I448" s="9" t="s">
        <v>144</v>
      </c>
      <c r="J448" t="s">
        <v>2711</v>
      </c>
      <c r="K448" s="9" t="s">
        <v>2915</v>
      </c>
      <c r="L448" s="9" t="s">
        <v>2916</v>
      </c>
      <c r="M448" s="9" t="s">
        <v>2917</v>
      </c>
      <c r="N448" s="9" t="s">
        <v>2918</v>
      </c>
      <c r="O448" s="9" t="s">
        <v>2919</v>
      </c>
      <c r="P448" s="10">
        <v>31</v>
      </c>
    </row>
    <row r="449" spans="1:16" ht="129.6" x14ac:dyDescent="0.3">
      <c r="A449" t="s">
        <v>2444</v>
      </c>
      <c r="B449" t="s">
        <v>2832</v>
      </c>
      <c r="C449" t="s">
        <v>590</v>
      </c>
      <c r="D449" s="9" t="s">
        <v>2920</v>
      </c>
      <c r="E449" t="s">
        <v>590</v>
      </c>
      <c r="F449" t="s">
        <v>143</v>
      </c>
      <c r="G449" t="s">
        <v>47</v>
      </c>
      <c r="H449" s="9" t="s">
        <v>2921</v>
      </c>
      <c r="I449" s="9" t="s">
        <v>614</v>
      </c>
      <c r="J449" t="s">
        <v>2675</v>
      </c>
      <c r="K449" s="9" t="s">
        <v>2922</v>
      </c>
      <c r="L449" s="9" t="s">
        <v>2923</v>
      </c>
      <c r="M449" s="9" t="s">
        <v>2924</v>
      </c>
      <c r="N449" s="9" t="s">
        <v>2925</v>
      </c>
      <c r="O449" s="9" t="s">
        <v>2926</v>
      </c>
      <c r="P449" s="10">
        <v>31</v>
      </c>
    </row>
    <row r="450" spans="1:16" ht="316.8" x14ac:dyDescent="0.3">
      <c r="A450" t="s">
        <v>2444</v>
      </c>
      <c r="B450" t="s">
        <v>2832</v>
      </c>
      <c r="C450" t="s">
        <v>215</v>
      </c>
      <c r="D450" s="9" t="s">
        <v>2927</v>
      </c>
      <c r="E450" t="s">
        <v>2928</v>
      </c>
      <c r="F450" t="s">
        <v>143</v>
      </c>
      <c r="G450" t="s">
        <v>47</v>
      </c>
      <c r="H450" s="9" t="s">
        <v>2929</v>
      </c>
      <c r="I450" s="9" t="s">
        <v>144</v>
      </c>
      <c r="J450" t="s">
        <v>2675</v>
      </c>
      <c r="K450" s="9" t="s">
        <v>2930</v>
      </c>
      <c r="L450" s="9" t="s">
        <v>2931</v>
      </c>
      <c r="M450" s="9" t="s">
        <v>2932</v>
      </c>
      <c r="N450" s="9" t="s">
        <v>2933</v>
      </c>
      <c r="O450" s="9" t="s">
        <v>2934</v>
      </c>
      <c r="P450" s="10">
        <v>31</v>
      </c>
    </row>
    <row r="451" spans="1:16" ht="172.8" x14ac:dyDescent="0.3">
      <c r="A451" t="s">
        <v>2444</v>
      </c>
      <c r="B451" t="s">
        <v>2832</v>
      </c>
      <c r="C451" t="s">
        <v>221</v>
      </c>
      <c r="D451" s="9" t="s">
        <v>2935</v>
      </c>
      <c r="E451" t="s">
        <v>1329</v>
      </c>
      <c r="F451" t="s">
        <v>143</v>
      </c>
      <c r="G451" t="s">
        <v>47</v>
      </c>
      <c r="H451" s="9" t="s">
        <v>671</v>
      </c>
      <c r="I451" s="9" t="s">
        <v>144</v>
      </c>
      <c r="J451" t="s">
        <v>2675</v>
      </c>
      <c r="K451" s="9" t="s">
        <v>2936</v>
      </c>
      <c r="L451" s="9" t="s">
        <v>2937</v>
      </c>
      <c r="M451" s="9" t="s">
        <v>2938</v>
      </c>
      <c r="N451" s="9" t="s">
        <v>2939</v>
      </c>
      <c r="O451" s="9" t="s">
        <v>2940</v>
      </c>
      <c r="P451" s="10">
        <v>31</v>
      </c>
    </row>
    <row r="452" spans="1:16" ht="158.4" x14ac:dyDescent="0.3">
      <c r="A452" t="s">
        <v>2444</v>
      </c>
      <c r="B452" t="s">
        <v>2832</v>
      </c>
      <c r="C452" t="s">
        <v>766</v>
      </c>
      <c r="D452" s="9" t="s">
        <v>2941</v>
      </c>
      <c r="E452" t="s">
        <v>1337</v>
      </c>
      <c r="F452" t="s">
        <v>143</v>
      </c>
      <c r="G452" t="s">
        <v>47</v>
      </c>
      <c r="H452" s="9" t="s">
        <v>2769</v>
      </c>
      <c r="I452" s="9" t="s">
        <v>144</v>
      </c>
      <c r="J452" t="s">
        <v>2675</v>
      </c>
      <c r="K452" s="9" t="s">
        <v>2942</v>
      </c>
      <c r="L452" s="9" t="s">
        <v>2943</v>
      </c>
      <c r="M452" s="9" t="s">
        <v>2944</v>
      </c>
      <c r="N452" s="9" t="s">
        <v>2945</v>
      </c>
      <c r="O452" s="9" t="s">
        <v>2946</v>
      </c>
      <c r="P452" s="10">
        <v>31</v>
      </c>
    </row>
    <row r="453" spans="1:16" ht="158.4" x14ac:dyDescent="0.3">
      <c r="A453" t="s">
        <v>2444</v>
      </c>
      <c r="B453" t="s">
        <v>2832</v>
      </c>
      <c r="C453" t="s">
        <v>989</v>
      </c>
      <c r="D453" s="9" t="s">
        <v>2947</v>
      </c>
      <c r="E453" t="s">
        <v>2948</v>
      </c>
      <c r="F453" t="s">
        <v>143</v>
      </c>
      <c r="G453" t="s">
        <v>47</v>
      </c>
      <c r="H453" s="9"/>
      <c r="I453" s="9" t="s">
        <v>144</v>
      </c>
      <c r="J453" t="s">
        <v>2675</v>
      </c>
      <c r="K453" s="9" t="s">
        <v>2949</v>
      </c>
      <c r="L453" s="9" t="s">
        <v>2950</v>
      </c>
      <c r="M453" s="9" t="s">
        <v>2951</v>
      </c>
      <c r="N453" s="9" t="s">
        <v>2952</v>
      </c>
      <c r="O453" s="9" t="s">
        <v>2953</v>
      </c>
      <c r="P453" s="10">
        <v>31</v>
      </c>
    </row>
    <row r="454" spans="1:16" ht="129.6" x14ac:dyDescent="0.3">
      <c r="A454" t="s">
        <v>2444</v>
      </c>
      <c r="B454" t="s">
        <v>2832</v>
      </c>
      <c r="C454" t="s">
        <v>773</v>
      </c>
      <c r="D454" s="9" t="s">
        <v>2954</v>
      </c>
      <c r="E454" t="s">
        <v>787</v>
      </c>
      <c r="F454" t="s">
        <v>143</v>
      </c>
      <c r="G454" t="s">
        <v>47</v>
      </c>
      <c r="H454" s="9" t="s">
        <v>2921</v>
      </c>
      <c r="I454" s="9" t="s">
        <v>144</v>
      </c>
      <c r="J454" t="s">
        <v>2675</v>
      </c>
      <c r="K454" s="9" t="s">
        <v>2955</v>
      </c>
      <c r="L454" s="9" t="s">
        <v>2956</v>
      </c>
      <c r="M454" s="9" t="s">
        <v>2957</v>
      </c>
      <c r="N454" s="9" t="s">
        <v>2958</v>
      </c>
      <c r="O454" s="9" t="s">
        <v>2959</v>
      </c>
      <c r="P454" s="10">
        <v>31</v>
      </c>
    </row>
    <row r="455" spans="1:16" ht="115.2" x14ac:dyDescent="0.3">
      <c r="A455" t="s">
        <v>2444</v>
      </c>
      <c r="B455" t="s">
        <v>2832</v>
      </c>
      <c r="C455" t="s">
        <v>597</v>
      </c>
      <c r="D455" s="9" t="s">
        <v>2960</v>
      </c>
      <c r="E455" t="s">
        <v>1361</v>
      </c>
      <c r="F455" t="s">
        <v>143</v>
      </c>
      <c r="G455" t="s">
        <v>47</v>
      </c>
      <c r="H455" s="9" t="s">
        <v>892</v>
      </c>
      <c r="I455" s="9" t="s">
        <v>106</v>
      </c>
      <c r="J455" t="s">
        <v>2675</v>
      </c>
      <c r="K455" s="9" t="s">
        <v>2961</v>
      </c>
      <c r="L455" s="9" t="s">
        <v>2962</v>
      </c>
      <c r="M455" s="9" t="s">
        <v>2963</v>
      </c>
      <c r="N455" s="9" t="s">
        <v>2964</v>
      </c>
      <c r="O455" s="9" t="s">
        <v>2965</v>
      </c>
      <c r="P455" s="10">
        <v>31</v>
      </c>
    </row>
    <row r="456" spans="1:16" ht="115.2" x14ac:dyDescent="0.3">
      <c r="A456" t="s">
        <v>2444</v>
      </c>
      <c r="B456" t="s">
        <v>2832</v>
      </c>
      <c r="C456" t="s">
        <v>787</v>
      </c>
      <c r="D456" s="9" t="s">
        <v>2966</v>
      </c>
      <c r="E456" t="s">
        <v>2967</v>
      </c>
      <c r="F456" t="s">
        <v>143</v>
      </c>
      <c r="G456" t="s">
        <v>47</v>
      </c>
      <c r="H456" s="9" t="s">
        <v>395</v>
      </c>
      <c r="I456" s="9" t="s">
        <v>106</v>
      </c>
      <c r="J456" t="s">
        <v>2675</v>
      </c>
      <c r="K456" s="9" t="s">
        <v>2968</v>
      </c>
      <c r="L456" s="9" t="s">
        <v>2969</v>
      </c>
      <c r="M456" s="9" t="s">
        <v>2970</v>
      </c>
      <c r="N456" s="9" t="s">
        <v>2971</v>
      </c>
      <c r="O456" s="9" t="s">
        <v>2972</v>
      </c>
      <c r="P456" s="10">
        <v>31</v>
      </c>
    </row>
    <row r="457" spans="1:16" ht="100.8" x14ac:dyDescent="0.3">
      <c r="A457" t="s">
        <v>2444</v>
      </c>
      <c r="B457" t="s">
        <v>2973</v>
      </c>
      <c r="C457" t="s">
        <v>66</v>
      </c>
      <c r="D457" s="9" t="s">
        <v>2974</v>
      </c>
      <c r="E457" t="s">
        <v>369</v>
      </c>
      <c r="F457" t="s">
        <v>143</v>
      </c>
      <c r="G457" t="s">
        <v>47</v>
      </c>
      <c r="H457" s="9" t="s">
        <v>2975</v>
      </c>
      <c r="I457" s="9" t="s">
        <v>59</v>
      </c>
      <c r="J457" t="s">
        <v>2468</v>
      </c>
      <c r="K457" s="9" t="s">
        <v>2976</v>
      </c>
      <c r="L457" s="9" t="s">
        <v>2977</v>
      </c>
      <c r="M457" s="9" t="s">
        <v>2978</v>
      </c>
      <c r="N457" s="9" t="s">
        <v>2979</v>
      </c>
      <c r="O457" s="9" t="s">
        <v>2980</v>
      </c>
      <c r="P457" s="10">
        <v>32</v>
      </c>
    </row>
    <row r="458" spans="1:16" ht="72" x14ac:dyDescent="0.3">
      <c r="A458" t="s">
        <v>2444</v>
      </c>
      <c r="B458" t="s">
        <v>2981</v>
      </c>
      <c r="C458" t="s">
        <v>369</v>
      </c>
      <c r="D458" s="9" t="s">
        <v>2982</v>
      </c>
      <c r="E458" t="s">
        <v>43</v>
      </c>
      <c r="F458" t="s">
        <v>116</v>
      </c>
      <c r="G458" t="s">
        <v>47</v>
      </c>
      <c r="H458" s="9"/>
      <c r="I458" s="9"/>
      <c r="K458" s="9" t="s">
        <v>2983</v>
      </c>
      <c r="L458" s="9"/>
      <c r="M458" s="9" t="s">
        <v>2984</v>
      </c>
      <c r="N458" s="9"/>
      <c r="O458" s="9" t="s">
        <v>2985</v>
      </c>
      <c r="P458" s="10">
        <v>33</v>
      </c>
    </row>
    <row r="459" spans="1:16" ht="409.6" x14ac:dyDescent="0.3">
      <c r="A459" t="s">
        <v>2444</v>
      </c>
      <c r="B459" t="s">
        <v>2981</v>
      </c>
      <c r="C459" t="s">
        <v>66</v>
      </c>
      <c r="D459" s="9" t="s">
        <v>2986</v>
      </c>
      <c r="E459" t="s">
        <v>557</v>
      </c>
      <c r="F459" t="s">
        <v>116</v>
      </c>
      <c r="G459" t="s">
        <v>47</v>
      </c>
      <c r="H459" s="9"/>
      <c r="I459" s="9"/>
      <c r="K459" s="9" t="s">
        <v>2987</v>
      </c>
      <c r="L459" s="9"/>
      <c r="M459" s="9" t="s">
        <v>2988</v>
      </c>
      <c r="N459" s="9" t="s">
        <v>2989</v>
      </c>
      <c r="O459" s="9" t="s">
        <v>2990</v>
      </c>
      <c r="P459" s="10">
        <v>33</v>
      </c>
    </row>
    <row r="460" spans="1:16" ht="409.6" x14ac:dyDescent="0.3">
      <c r="A460" t="s">
        <v>2444</v>
      </c>
      <c r="B460" t="s">
        <v>2981</v>
      </c>
      <c r="C460" t="s">
        <v>74</v>
      </c>
      <c r="D460" s="9" t="s">
        <v>2991</v>
      </c>
      <c r="E460" t="s">
        <v>1003</v>
      </c>
      <c r="F460" t="s">
        <v>116</v>
      </c>
      <c r="G460" t="s">
        <v>47</v>
      </c>
      <c r="H460" s="9"/>
      <c r="I460" s="9"/>
      <c r="K460" s="9" t="s">
        <v>2992</v>
      </c>
      <c r="L460" s="9"/>
      <c r="M460" s="9" t="s">
        <v>2993</v>
      </c>
      <c r="N460" s="9"/>
      <c r="O460" s="9" t="s">
        <v>2994</v>
      </c>
      <c r="P460" s="10">
        <v>33</v>
      </c>
    </row>
    <row r="461" spans="1:16" ht="259.2" x14ac:dyDescent="0.3">
      <c r="A461" t="s">
        <v>2444</v>
      </c>
      <c r="B461" t="s">
        <v>2981</v>
      </c>
      <c r="C461" t="s">
        <v>43</v>
      </c>
      <c r="D461" s="9" t="s">
        <v>2995</v>
      </c>
      <c r="E461" t="s">
        <v>651</v>
      </c>
      <c r="F461" t="s">
        <v>143</v>
      </c>
      <c r="G461" t="s">
        <v>47</v>
      </c>
      <c r="H461" s="9" t="s">
        <v>711</v>
      </c>
      <c r="I461" s="9" t="s">
        <v>106</v>
      </c>
      <c r="J461" t="s">
        <v>2468</v>
      </c>
      <c r="K461" s="9" t="s">
        <v>2996</v>
      </c>
      <c r="L461" s="9" t="s">
        <v>2997</v>
      </c>
      <c r="M461" s="9" t="s">
        <v>2998</v>
      </c>
      <c r="N461" s="9" t="s">
        <v>2999</v>
      </c>
      <c r="O461" s="9" t="s">
        <v>3000</v>
      </c>
      <c r="P461" s="10">
        <v>33</v>
      </c>
    </row>
    <row r="462" spans="1:16" ht="115.2" x14ac:dyDescent="0.3">
      <c r="A462" t="s">
        <v>2444</v>
      </c>
      <c r="B462" t="s">
        <v>2981</v>
      </c>
      <c r="C462" t="s">
        <v>68</v>
      </c>
      <c r="D462" s="9" t="s">
        <v>3001</v>
      </c>
      <c r="E462" t="s">
        <v>424</v>
      </c>
      <c r="F462" t="s">
        <v>143</v>
      </c>
      <c r="G462" t="s">
        <v>47</v>
      </c>
      <c r="H462" s="9" t="s">
        <v>711</v>
      </c>
      <c r="I462" s="9" t="s">
        <v>106</v>
      </c>
      <c r="J462" t="s">
        <v>2468</v>
      </c>
      <c r="K462" s="9" t="s">
        <v>3002</v>
      </c>
      <c r="L462" s="9" t="s">
        <v>3003</v>
      </c>
      <c r="M462" s="9" t="s">
        <v>3004</v>
      </c>
      <c r="N462" s="9" t="s">
        <v>3005</v>
      </c>
      <c r="O462" s="9" t="s">
        <v>3006</v>
      </c>
      <c r="P462" s="10">
        <v>33</v>
      </c>
    </row>
    <row r="463" spans="1:16" ht="409.6" x14ac:dyDescent="0.3">
      <c r="A463" t="s">
        <v>2444</v>
      </c>
      <c r="B463" t="s">
        <v>2981</v>
      </c>
      <c r="C463" t="s">
        <v>82</v>
      </c>
      <c r="D463" s="9" t="s">
        <v>3007</v>
      </c>
      <c r="E463" t="s">
        <v>775</v>
      </c>
      <c r="F463" t="s">
        <v>143</v>
      </c>
      <c r="G463" t="s">
        <v>47</v>
      </c>
      <c r="H463" s="9" t="s">
        <v>711</v>
      </c>
      <c r="I463" s="9" t="s">
        <v>106</v>
      </c>
      <c r="J463" t="s">
        <v>2468</v>
      </c>
      <c r="K463" s="9" t="s">
        <v>3008</v>
      </c>
      <c r="L463" s="9" t="s">
        <v>3009</v>
      </c>
      <c r="M463" s="9" t="s">
        <v>3010</v>
      </c>
      <c r="N463" s="9" t="s">
        <v>3011</v>
      </c>
      <c r="O463" s="9" t="s">
        <v>3012</v>
      </c>
      <c r="P463" s="10">
        <v>33</v>
      </c>
    </row>
    <row r="464" spans="1:16" ht="345.6" x14ac:dyDescent="0.3">
      <c r="A464" t="s">
        <v>2444</v>
      </c>
      <c r="B464" t="s">
        <v>2981</v>
      </c>
      <c r="C464" t="s">
        <v>55</v>
      </c>
      <c r="D464" s="9" t="s">
        <v>3013</v>
      </c>
      <c r="E464" t="s">
        <v>796</v>
      </c>
      <c r="F464" t="s">
        <v>143</v>
      </c>
      <c r="G464" t="s">
        <v>47</v>
      </c>
      <c r="H464" s="9" t="s">
        <v>711</v>
      </c>
      <c r="I464" s="9" t="s">
        <v>106</v>
      </c>
      <c r="J464" t="s">
        <v>2468</v>
      </c>
      <c r="K464" s="9" t="s">
        <v>3014</v>
      </c>
      <c r="L464" s="9" t="s">
        <v>3015</v>
      </c>
      <c r="M464" s="9" t="s">
        <v>3016</v>
      </c>
      <c r="N464" s="9" t="s">
        <v>3017</v>
      </c>
      <c r="O464" s="9" t="s">
        <v>3018</v>
      </c>
      <c r="P464" s="10">
        <v>33</v>
      </c>
    </row>
    <row r="465" spans="1:16" ht="259.2" x14ac:dyDescent="0.3">
      <c r="A465" t="s">
        <v>2444</v>
      </c>
      <c r="B465" t="s">
        <v>2981</v>
      </c>
      <c r="C465" t="s">
        <v>424</v>
      </c>
      <c r="D465" s="9" t="s">
        <v>3019</v>
      </c>
      <c r="E465" t="s">
        <v>679</v>
      </c>
      <c r="F465" t="s">
        <v>143</v>
      </c>
      <c r="G465" t="s">
        <v>47</v>
      </c>
      <c r="H465" s="9" t="s">
        <v>711</v>
      </c>
      <c r="I465" s="9" t="s">
        <v>106</v>
      </c>
      <c r="J465" t="s">
        <v>2468</v>
      </c>
      <c r="K465" s="9" t="s">
        <v>3020</v>
      </c>
      <c r="L465" s="9" t="s">
        <v>3021</v>
      </c>
      <c r="M465" s="9" t="s">
        <v>3022</v>
      </c>
      <c r="N465" s="9" t="s">
        <v>3023</v>
      </c>
      <c r="O465" s="9" t="s">
        <v>3024</v>
      </c>
      <c r="P465" s="10">
        <v>33</v>
      </c>
    </row>
    <row r="466" spans="1:16" ht="288" x14ac:dyDescent="0.3">
      <c r="A466" t="s">
        <v>2444</v>
      </c>
      <c r="B466" t="s">
        <v>2981</v>
      </c>
      <c r="C466" t="s">
        <v>433</v>
      </c>
      <c r="D466" s="9" t="s">
        <v>3025</v>
      </c>
      <c r="E466" t="s">
        <v>449</v>
      </c>
      <c r="F466" t="s">
        <v>143</v>
      </c>
      <c r="G466" t="s">
        <v>47</v>
      </c>
      <c r="H466" s="9" t="s">
        <v>711</v>
      </c>
      <c r="I466" s="9" t="s">
        <v>106</v>
      </c>
      <c r="J466" t="s">
        <v>2468</v>
      </c>
      <c r="K466" s="9" t="s">
        <v>3026</v>
      </c>
      <c r="L466" s="9" t="s">
        <v>3027</v>
      </c>
      <c r="M466" s="9" t="s">
        <v>3028</v>
      </c>
      <c r="N466" s="9" t="s">
        <v>3029</v>
      </c>
      <c r="O466" s="9" t="s">
        <v>3030</v>
      </c>
      <c r="P466" s="10">
        <v>33</v>
      </c>
    </row>
    <row r="467" spans="1:16" ht="144" x14ac:dyDescent="0.3">
      <c r="A467" t="s">
        <v>2444</v>
      </c>
      <c r="B467" t="s">
        <v>2981</v>
      </c>
      <c r="C467" t="s">
        <v>441</v>
      </c>
      <c r="D467" s="9" t="s">
        <v>3031</v>
      </c>
      <c r="E467" t="s">
        <v>694</v>
      </c>
      <c r="F467" t="s">
        <v>143</v>
      </c>
      <c r="G467" t="s">
        <v>47</v>
      </c>
      <c r="H467" s="9" t="s">
        <v>3032</v>
      </c>
      <c r="I467" s="9" t="s">
        <v>106</v>
      </c>
      <c r="J467" t="s">
        <v>2468</v>
      </c>
      <c r="K467" s="9" t="s">
        <v>3033</v>
      </c>
      <c r="L467" s="9" t="s">
        <v>3034</v>
      </c>
      <c r="M467" s="9" t="s">
        <v>3035</v>
      </c>
      <c r="N467" s="9" t="s">
        <v>3036</v>
      </c>
      <c r="O467" s="9" t="s">
        <v>3037</v>
      </c>
      <c r="P467" s="10">
        <v>33</v>
      </c>
    </row>
    <row r="468" spans="1:16" ht="187.2" x14ac:dyDescent="0.3">
      <c r="A468" t="s">
        <v>2444</v>
      </c>
      <c r="B468" t="s">
        <v>2981</v>
      </c>
      <c r="C468" t="s">
        <v>449</v>
      </c>
      <c r="D468" s="9" t="s">
        <v>3038</v>
      </c>
      <c r="E468" t="s">
        <v>458</v>
      </c>
      <c r="F468" t="s">
        <v>143</v>
      </c>
      <c r="G468" t="s">
        <v>47</v>
      </c>
      <c r="H468" s="9" t="s">
        <v>3039</v>
      </c>
      <c r="I468" s="9" t="s">
        <v>59</v>
      </c>
      <c r="J468" t="s">
        <v>2468</v>
      </c>
      <c r="K468" s="9" t="s">
        <v>3040</v>
      </c>
      <c r="L468" s="9" t="s">
        <v>3041</v>
      </c>
      <c r="M468" s="9" t="s">
        <v>3042</v>
      </c>
      <c r="N468" s="9" t="s">
        <v>3043</v>
      </c>
      <c r="O468" s="9" t="s">
        <v>3044</v>
      </c>
      <c r="P468" s="10">
        <v>33</v>
      </c>
    </row>
    <row r="469" spans="1:16" ht="409.6" x14ac:dyDescent="0.3">
      <c r="A469" t="s">
        <v>2444</v>
      </c>
      <c r="B469" t="s">
        <v>2981</v>
      </c>
      <c r="C469" t="s">
        <v>458</v>
      </c>
      <c r="D469" s="9" t="s">
        <v>3045</v>
      </c>
      <c r="E469" t="s">
        <v>869</v>
      </c>
      <c r="F469" t="s">
        <v>143</v>
      </c>
      <c r="G469" t="s">
        <v>47</v>
      </c>
      <c r="H469" s="9" t="s">
        <v>3046</v>
      </c>
      <c r="I469" s="9" t="s">
        <v>59</v>
      </c>
      <c r="J469" t="s">
        <v>2468</v>
      </c>
      <c r="K469" s="9" t="s">
        <v>3047</v>
      </c>
      <c r="L469" s="9" t="s">
        <v>3048</v>
      </c>
      <c r="M469" s="9" t="s">
        <v>3049</v>
      </c>
      <c r="N469" s="9" t="s">
        <v>3050</v>
      </c>
      <c r="O469" s="9" t="s">
        <v>3051</v>
      </c>
      <c r="P469" s="10">
        <v>33</v>
      </c>
    </row>
    <row r="470" spans="1:16" ht="201.6" x14ac:dyDescent="0.3">
      <c r="A470" t="s">
        <v>2444</v>
      </c>
      <c r="B470" t="s">
        <v>2981</v>
      </c>
      <c r="C470" t="s">
        <v>466</v>
      </c>
      <c r="D470" s="9" t="s">
        <v>3052</v>
      </c>
      <c r="E470" t="s">
        <v>466</v>
      </c>
      <c r="F470" t="s">
        <v>143</v>
      </c>
      <c r="G470" t="s">
        <v>47</v>
      </c>
      <c r="H470" s="9" t="s">
        <v>452</v>
      </c>
      <c r="I470" s="9" t="s">
        <v>59</v>
      </c>
      <c r="J470" t="s">
        <v>2468</v>
      </c>
      <c r="K470" s="9" t="s">
        <v>3053</v>
      </c>
      <c r="L470" s="9" t="s">
        <v>3054</v>
      </c>
      <c r="M470" s="9" t="s">
        <v>3055</v>
      </c>
      <c r="N470" s="9" t="s">
        <v>3056</v>
      </c>
      <c r="O470" s="9" t="s">
        <v>3057</v>
      </c>
      <c r="P470" s="10">
        <v>33</v>
      </c>
    </row>
    <row r="471" spans="1:16" ht="100.8" x14ac:dyDescent="0.3">
      <c r="A471" t="s">
        <v>2444</v>
      </c>
      <c r="B471" t="s">
        <v>2981</v>
      </c>
      <c r="C471" t="s">
        <v>312</v>
      </c>
      <c r="D471" s="9" t="s">
        <v>3058</v>
      </c>
      <c r="E471" t="s">
        <v>702</v>
      </c>
      <c r="F471" t="s">
        <v>143</v>
      </c>
      <c r="G471" t="s">
        <v>47</v>
      </c>
      <c r="H471" s="9"/>
      <c r="I471" s="9" t="s">
        <v>59</v>
      </c>
      <c r="J471" t="s">
        <v>2468</v>
      </c>
      <c r="K471" s="9" t="s">
        <v>3059</v>
      </c>
      <c r="L471" s="9" t="s">
        <v>3060</v>
      </c>
      <c r="M471" s="9" t="s">
        <v>3061</v>
      </c>
      <c r="N471" s="9" t="s">
        <v>3062</v>
      </c>
      <c r="O471" s="9" t="s">
        <v>3063</v>
      </c>
      <c r="P471" s="10">
        <v>33</v>
      </c>
    </row>
    <row r="472" spans="1:16" ht="172.8" x14ac:dyDescent="0.3">
      <c r="A472" t="s">
        <v>2444</v>
      </c>
      <c r="B472" t="s">
        <v>2981</v>
      </c>
      <c r="C472" t="s">
        <v>590</v>
      </c>
      <c r="D472" s="9" t="s">
        <v>3064</v>
      </c>
      <c r="E472" t="s">
        <v>312</v>
      </c>
      <c r="F472" t="s">
        <v>143</v>
      </c>
      <c r="G472" t="s">
        <v>47</v>
      </c>
      <c r="H472" s="9" t="s">
        <v>1177</v>
      </c>
      <c r="I472" s="9" t="s">
        <v>59</v>
      </c>
      <c r="J472" t="s">
        <v>2468</v>
      </c>
      <c r="K472" s="9" t="s">
        <v>3065</v>
      </c>
      <c r="L472" s="9" t="s">
        <v>3066</v>
      </c>
      <c r="M472" s="9" t="s">
        <v>3067</v>
      </c>
      <c r="N472" s="9" t="s">
        <v>3068</v>
      </c>
      <c r="O472" s="9" t="s">
        <v>3069</v>
      </c>
      <c r="P472" s="10">
        <v>33</v>
      </c>
    </row>
    <row r="473" spans="1:16" ht="144" x14ac:dyDescent="0.3">
      <c r="A473" t="s">
        <v>2444</v>
      </c>
      <c r="B473" t="s">
        <v>2981</v>
      </c>
      <c r="C473" t="s">
        <v>215</v>
      </c>
      <c r="D473" s="9" t="s">
        <v>3070</v>
      </c>
      <c r="E473" t="s">
        <v>312</v>
      </c>
      <c r="F473" t="s">
        <v>143</v>
      </c>
      <c r="G473" t="s">
        <v>47</v>
      </c>
      <c r="H473" s="9" t="s">
        <v>3071</v>
      </c>
      <c r="I473" s="9" t="s">
        <v>59</v>
      </c>
      <c r="J473" t="s">
        <v>2468</v>
      </c>
      <c r="K473" s="9" t="s">
        <v>3072</v>
      </c>
      <c r="L473" s="9" t="s">
        <v>3073</v>
      </c>
      <c r="M473" s="9" t="s">
        <v>3074</v>
      </c>
      <c r="N473" s="9" t="s">
        <v>3075</v>
      </c>
      <c r="O473" s="9" t="s">
        <v>3076</v>
      </c>
      <c r="P473" s="10">
        <v>33</v>
      </c>
    </row>
    <row r="474" spans="1:16" ht="172.8" x14ac:dyDescent="0.3">
      <c r="A474" t="s">
        <v>2444</v>
      </c>
      <c r="B474" t="s">
        <v>2981</v>
      </c>
      <c r="C474" t="s">
        <v>221</v>
      </c>
      <c r="D474" s="9" t="s">
        <v>3077</v>
      </c>
      <c r="E474" t="s">
        <v>927</v>
      </c>
      <c r="F474" t="s">
        <v>143</v>
      </c>
      <c r="G474" t="s">
        <v>47</v>
      </c>
      <c r="H474" s="9" t="s">
        <v>452</v>
      </c>
      <c r="I474" s="9" t="s">
        <v>59</v>
      </c>
      <c r="J474" t="s">
        <v>2468</v>
      </c>
      <c r="K474" s="9" t="s">
        <v>3078</v>
      </c>
      <c r="L474" s="9" t="s">
        <v>3079</v>
      </c>
      <c r="M474" s="9" t="s">
        <v>3080</v>
      </c>
      <c r="N474" s="9" t="s">
        <v>3081</v>
      </c>
      <c r="O474" s="9" t="s">
        <v>3082</v>
      </c>
      <c r="P474" s="10">
        <v>33</v>
      </c>
    </row>
    <row r="475" spans="1:16" ht="129.6" x14ac:dyDescent="0.3">
      <c r="A475" t="s">
        <v>2444</v>
      </c>
      <c r="B475" t="s">
        <v>2981</v>
      </c>
      <c r="C475" t="s">
        <v>766</v>
      </c>
      <c r="D475" s="9" t="s">
        <v>3083</v>
      </c>
      <c r="E475" t="s">
        <v>590</v>
      </c>
      <c r="F475" t="s">
        <v>143</v>
      </c>
      <c r="G475" t="s">
        <v>47</v>
      </c>
      <c r="H475" s="9" t="s">
        <v>3084</v>
      </c>
      <c r="I475" s="9" t="s">
        <v>59</v>
      </c>
      <c r="J475" t="s">
        <v>2468</v>
      </c>
      <c r="K475" s="9" t="s">
        <v>3085</v>
      </c>
      <c r="L475" s="9" t="s">
        <v>3086</v>
      </c>
      <c r="M475" s="9" t="s">
        <v>3087</v>
      </c>
      <c r="N475" s="9" t="s">
        <v>3088</v>
      </c>
      <c r="O475" s="9" t="s">
        <v>3089</v>
      </c>
      <c r="P475" s="10">
        <v>33</v>
      </c>
    </row>
    <row r="476" spans="1:16" ht="172.8" x14ac:dyDescent="0.3">
      <c r="A476" t="s">
        <v>2444</v>
      </c>
      <c r="B476" t="s">
        <v>2981</v>
      </c>
      <c r="C476" t="s">
        <v>989</v>
      </c>
      <c r="D476" s="9" t="s">
        <v>3090</v>
      </c>
      <c r="E476" t="s">
        <v>590</v>
      </c>
      <c r="F476" t="s">
        <v>143</v>
      </c>
      <c r="G476" t="s">
        <v>47</v>
      </c>
      <c r="H476" s="9" t="s">
        <v>3091</v>
      </c>
      <c r="I476" s="9" t="s">
        <v>59</v>
      </c>
      <c r="J476" t="s">
        <v>2468</v>
      </c>
      <c r="K476" s="9" t="s">
        <v>3092</v>
      </c>
      <c r="L476" s="9" t="s">
        <v>3093</v>
      </c>
      <c r="M476" s="9" t="s">
        <v>3094</v>
      </c>
      <c r="N476" s="9" t="s">
        <v>3095</v>
      </c>
      <c r="O476" s="9" t="s">
        <v>3096</v>
      </c>
      <c r="P476" s="10">
        <v>33</v>
      </c>
    </row>
    <row r="477" spans="1:16" ht="158.4" x14ac:dyDescent="0.3">
      <c r="A477" t="s">
        <v>2444</v>
      </c>
      <c r="B477" t="s">
        <v>2981</v>
      </c>
      <c r="C477" t="s">
        <v>773</v>
      </c>
      <c r="D477" s="9" t="s">
        <v>3097</v>
      </c>
      <c r="E477" t="s">
        <v>942</v>
      </c>
      <c r="F477" t="s">
        <v>143</v>
      </c>
      <c r="G477" t="s">
        <v>47</v>
      </c>
      <c r="H477" s="9" t="s">
        <v>3084</v>
      </c>
      <c r="I477" s="9" t="s">
        <v>59</v>
      </c>
      <c r="J477" t="s">
        <v>2468</v>
      </c>
      <c r="K477" s="9" t="s">
        <v>3098</v>
      </c>
      <c r="L477" s="9" t="s">
        <v>3099</v>
      </c>
      <c r="M477" s="9" t="s">
        <v>3100</v>
      </c>
      <c r="N477" s="9" t="s">
        <v>3101</v>
      </c>
      <c r="O477" s="9" t="s">
        <v>3102</v>
      </c>
      <c r="P477" s="10">
        <v>33</v>
      </c>
    </row>
    <row r="478" spans="1:16" ht="129.6" x14ac:dyDescent="0.3">
      <c r="A478" t="s">
        <v>2444</v>
      </c>
      <c r="B478" t="s">
        <v>2981</v>
      </c>
      <c r="C478" t="s">
        <v>597</v>
      </c>
      <c r="D478" s="9" t="s">
        <v>3103</v>
      </c>
      <c r="E478" t="s">
        <v>215</v>
      </c>
      <c r="F478" t="s">
        <v>143</v>
      </c>
      <c r="G478" t="s">
        <v>47</v>
      </c>
      <c r="H478" s="9" t="s">
        <v>3084</v>
      </c>
      <c r="I478" s="9" t="s">
        <v>59</v>
      </c>
      <c r="J478" t="s">
        <v>2468</v>
      </c>
      <c r="K478" s="9" t="s">
        <v>3104</v>
      </c>
      <c r="L478" s="9" t="s">
        <v>3105</v>
      </c>
      <c r="M478" s="9" t="s">
        <v>3106</v>
      </c>
      <c r="N478" s="9" t="s">
        <v>3107</v>
      </c>
      <c r="O478" s="9" t="s">
        <v>3108</v>
      </c>
      <c r="P478" s="10">
        <v>33</v>
      </c>
    </row>
    <row r="479" spans="1:16" ht="100.8" x14ac:dyDescent="0.3">
      <c r="A479" t="s">
        <v>2444</v>
      </c>
      <c r="B479" t="s">
        <v>2981</v>
      </c>
      <c r="C479" t="s">
        <v>787</v>
      </c>
      <c r="D479" s="9" t="s">
        <v>3109</v>
      </c>
      <c r="E479" t="s">
        <v>215</v>
      </c>
      <c r="F479" t="s">
        <v>143</v>
      </c>
      <c r="G479" t="s">
        <v>47</v>
      </c>
      <c r="H479" s="9"/>
      <c r="I479" s="9" t="s">
        <v>106</v>
      </c>
      <c r="J479" t="s">
        <v>2675</v>
      </c>
      <c r="K479" s="9" t="s">
        <v>3110</v>
      </c>
      <c r="L479" s="9" t="s">
        <v>3111</v>
      </c>
      <c r="M479" s="9" t="s">
        <v>3112</v>
      </c>
      <c r="N479" s="9"/>
      <c r="O479" s="9" t="s">
        <v>3113</v>
      </c>
      <c r="P479" s="10">
        <v>33</v>
      </c>
    </row>
    <row r="480" spans="1:16" ht="288" x14ac:dyDescent="0.3">
      <c r="A480" t="s">
        <v>2444</v>
      </c>
      <c r="B480" t="s">
        <v>2981</v>
      </c>
      <c r="C480" t="s">
        <v>604</v>
      </c>
      <c r="D480" s="9" t="s">
        <v>3114</v>
      </c>
      <c r="E480" t="s">
        <v>1313</v>
      </c>
      <c r="F480" t="s">
        <v>143</v>
      </c>
      <c r="G480" t="s">
        <v>47</v>
      </c>
      <c r="H480" s="9" t="s">
        <v>613</v>
      </c>
      <c r="I480" s="9" t="s">
        <v>106</v>
      </c>
      <c r="J480" t="s">
        <v>2675</v>
      </c>
      <c r="K480" s="9" t="s">
        <v>3115</v>
      </c>
      <c r="L480" s="9" t="s">
        <v>3116</v>
      </c>
      <c r="M480" s="9" t="s">
        <v>3117</v>
      </c>
      <c r="N480" s="9" t="s">
        <v>3118</v>
      </c>
      <c r="O480" s="9" t="s">
        <v>3119</v>
      </c>
      <c r="P480" s="10">
        <v>33</v>
      </c>
    </row>
    <row r="481" spans="1:16" ht="374.4" x14ac:dyDescent="0.3">
      <c r="A481" t="s">
        <v>2444</v>
      </c>
      <c r="B481" t="s">
        <v>2981</v>
      </c>
      <c r="C481" t="s">
        <v>611</v>
      </c>
      <c r="D481" s="9" t="s">
        <v>3120</v>
      </c>
      <c r="E481" t="s">
        <v>1321</v>
      </c>
      <c r="F481" t="s">
        <v>143</v>
      </c>
      <c r="G481" t="s">
        <v>47</v>
      </c>
      <c r="H481" s="9" t="s">
        <v>3084</v>
      </c>
      <c r="I481" s="9" t="s">
        <v>106</v>
      </c>
      <c r="J481" t="s">
        <v>2675</v>
      </c>
      <c r="K481" s="9" t="s">
        <v>3121</v>
      </c>
      <c r="L481" s="9" t="s">
        <v>3122</v>
      </c>
      <c r="M481" s="9" t="s">
        <v>3123</v>
      </c>
      <c r="N481" s="9" t="s">
        <v>3124</v>
      </c>
      <c r="O481" s="9" t="s">
        <v>3125</v>
      </c>
      <c r="P481" s="10">
        <v>33</v>
      </c>
    </row>
    <row r="482" spans="1:16" ht="172.8" x14ac:dyDescent="0.3">
      <c r="A482" t="s">
        <v>2444</v>
      </c>
      <c r="B482" t="s">
        <v>2981</v>
      </c>
      <c r="C482" t="s">
        <v>319</v>
      </c>
      <c r="D482" s="9" t="s">
        <v>3126</v>
      </c>
      <c r="E482" t="s">
        <v>1329</v>
      </c>
      <c r="F482" t="s">
        <v>143</v>
      </c>
      <c r="G482" t="s">
        <v>47</v>
      </c>
      <c r="H482" s="9" t="s">
        <v>613</v>
      </c>
      <c r="I482" s="9" t="s">
        <v>106</v>
      </c>
      <c r="J482" t="s">
        <v>2675</v>
      </c>
      <c r="K482" s="9" t="s">
        <v>3127</v>
      </c>
      <c r="L482" s="9" t="s">
        <v>3128</v>
      </c>
      <c r="M482" s="9" t="s">
        <v>3129</v>
      </c>
      <c r="N482" s="9" t="s">
        <v>3130</v>
      </c>
      <c r="O482" s="9" t="s">
        <v>3131</v>
      </c>
      <c r="P482" s="10">
        <v>33</v>
      </c>
    </row>
    <row r="483" spans="1:16" ht="388.8" x14ac:dyDescent="0.3">
      <c r="A483" t="s">
        <v>2444</v>
      </c>
      <c r="B483" t="s">
        <v>2981</v>
      </c>
      <c r="C483" t="s">
        <v>620</v>
      </c>
      <c r="D483" s="9" t="s">
        <v>3132</v>
      </c>
      <c r="E483" t="s">
        <v>989</v>
      </c>
      <c r="F483" t="s">
        <v>143</v>
      </c>
      <c r="G483" t="s">
        <v>47</v>
      </c>
      <c r="H483" s="9"/>
      <c r="I483" s="9" t="s">
        <v>106</v>
      </c>
      <c r="J483" t="s">
        <v>2675</v>
      </c>
      <c r="K483" s="9" t="s">
        <v>3133</v>
      </c>
      <c r="L483" s="9" t="s">
        <v>3134</v>
      </c>
      <c r="M483" s="9" t="s">
        <v>3135</v>
      </c>
      <c r="N483" s="9" t="s">
        <v>3136</v>
      </c>
      <c r="O483" s="9" t="s">
        <v>3137</v>
      </c>
      <c r="P483" s="10">
        <v>33</v>
      </c>
    </row>
    <row r="484" spans="1:16" ht="273.60000000000002" x14ac:dyDescent="0.3">
      <c r="A484" t="s">
        <v>2444</v>
      </c>
      <c r="B484" t="s">
        <v>2981</v>
      </c>
      <c r="C484" t="s">
        <v>809</v>
      </c>
      <c r="D484" s="9" t="s">
        <v>3138</v>
      </c>
      <c r="E484" t="s">
        <v>1337</v>
      </c>
      <c r="F484" t="s">
        <v>143</v>
      </c>
      <c r="G484" t="s">
        <v>47</v>
      </c>
      <c r="H484" s="9" t="s">
        <v>671</v>
      </c>
      <c r="I484" s="9" t="s">
        <v>106</v>
      </c>
      <c r="J484" t="s">
        <v>2675</v>
      </c>
      <c r="K484" s="9" t="s">
        <v>3139</v>
      </c>
      <c r="L484" s="9" t="s">
        <v>3140</v>
      </c>
      <c r="M484" s="9" t="s">
        <v>3141</v>
      </c>
      <c r="N484" s="9" t="s">
        <v>3142</v>
      </c>
      <c r="O484" s="9" t="s">
        <v>3143</v>
      </c>
      <c r="P484" s="10">
        <v>33</v>
      </c>
    </row>
    <row r="485" spans="1:16" ht="129.6" x14ac:dyDescent="0.3">
      <c r="A485" t="s">
        <v>2444</v>
      </c>
      <c r="B485" t="s">
        <v>2981</v>
      </c>
      <c r="C485" t="s">
        <v>816</v>
      </c>
      <c r="D485" s="9" t="s">
        <v>3144</v>
      </c>
      <c r="E485" t="s">
        <v>1345</v>
      </c>
      <c r="F485" t="s">
        <v>143</v>
      </c>
      <c r="G485" t="s">
        <v>47</v>
      </c>
      <c r="H485" s="9"/>
      <c r="I485" s="9" t="s">
        <v>59</v>
      </c>
      <c r="J485" t="s">
        <v>2468</v>
      </c>
      <c r="K485" s="9" t="s">
        <v>3145</v>
      </c>
      <c r="L485" s="9" t="s">
        <v>3146</v>
      </c>
      <c r="M485" s="9" t="s">
        <v>3147</v>
      </c>
      <c r="N485" s="9" t="s">
        <v>3148</v>
      </c>
      <c r="O485" s="9" t="s">
        <v>3149</v>
      </c>
      <c r="P485" s="10">
        <v>33</v>
      </c>
    </row>
    <row r="486" spans="1:16" ht="129.6" x14ac:dyDescent="0.3">
      <c r="A486" t="s">
        <v>2444</v>
      </c>
      <c r="B486" t="s">
        <v>2981</v>
      </c>
      <c r="C486" t="s">
        <v>1175</v>
      </c>
      <c r="D486" s="9" t="s">
        <v>3150</v>
      </c>
      <c r="E486" t="s">
        <v>1353</v>
      </c>
      <c r="F486" t="s">
        <v>143</v>
      </c>
      <c r="G486" t="s">
        <v>47</v>
      </c>
      <c r="H486" s="9"/>
      <c r="I486" s="9" t="s">
        <v>59</v>
      </c>
      <c r="J486" t="s">
        <v>2468</v>
      </c>
      <c r="K486" s="9" t="s">
        <v>3151</v>
      </c>
      <c r="L486" s="9" t="s">
        <v>3152</v>
      </c>
      <c r="M486" s="9" t="s">
        <v>3153</v>
      </c>
      <c r="N486" s="9" t="s">
        <v>3154</v>
      </c>
      <c r="O486" s="9" t="s">
        <v>3155</v>
      </c>
      <c r="P486" s="10">
        <v>33</v>
      </c>
    </row>
    <row r="487" spans="1:16" ht="100.8" x14ac:dyDescent="0.3">
      <c r="A487" t="s">
        <v>2444</v>
      </c>
      <c r="B487" t="s">
        <v>2981</v>
      </c>
      <c r="C487" t="s">
        <v>627</v>
      </c>
      <c r="D487" s="9" t="s">
        <v>3156</v>
      </c>
      <c r="E487" t="s">
        <v>1361</v>
      </c>
      <c r="F487" t="s">
        <v>143</v>
      </c>
      <c r="G487" t="s">
        <v>47</v>
      </c>
      <c r="H487" s="9"/>
      <c r="I487" s="9" t="s">
        <v>59</v>
      </c>
      <c r="J487" t="s">
        <v>2468</v>
      </c>
      <c r="K487" s="9" t="s">
        <v>3157</v>
      </c>
      <c r="L487" s="9" t="s">
        <v>3158</v>
      </c>
      <c r="M487" s="9" t="s">
        <v>3159</v>
      </c>
      <c r="N487" s="9" t="s">
        <v>3160</v>
      </c>
      <c r="O487" s="9" t="s">
        <v>3161</v>
      </c>
      <c r="P487" s="10">
        <v>33</v>
      </c>
    </row>
    <row r="488" spans="1:16" ht="72" x14ac:dyDescent="0.3">
      <c r="A488" t="s">
        <v>2444</v>
      </c>
      <c r="B488" t="s">
        <v>2981</v>
      </c>
      <c r="C488" t="s">
        <v>634</v>
      </c>
      <c r="D488" s="9" t="s">
        <v>3162</v>
      </c>
      <c r="E488" t="s">
        <v>604</v>
      </c>
      <c r="F488" t="s">
        <v>116</v>
      </c>
      <c r="G488" t="s">
        <v>47</v>
      </c>
      <c r="H488" s="9"/>
      <c r="I488" s="9"/>
      <c r="K488" s="9" t="s">
        <v>3163</v>
      </c>
      <c r="L488" s="9" t="s">
        <v>3164</v>
      </c>
      <c r="M488" s="9" t="s">
        <v>3165</v>
      </c>
      <c r="N488" s="9"/>
      <c r="O488" s="9" t="s">
        <v>3166</v>
      </c>
      <c r="P488" s="10">
        <v>33</v>
      </c>
    </row>
    <row r="489" spans="1:16" ht="129.6" x14ac:dyDescent="0.3">
      <c r="A489" t="s">
        <v>2444</v>
      </c>
      <c r="B489" t="s">
        <v>2981</v>
      </c>
      <c r="C489" t="s">
        <v>642</v>
      </c>
      <c r="D489" s="9" t="s">
        <v>3167</v>
      </c>
      <c r="E489" t="s">
        <v>583</v>
      </c>
      <c r="F489" t="s">
        <v>116</v>
      </c>
      <c r="G489" t="s">
        <v>47</v>
      </c>
      <c r="H489" s="9"/>
      <c r="I489" s="9"/>
      <c r="J489" t="s">
        <v>2468</v>
      </c>
      <c r="K489" s="9" t="s">
        <v>3168</v>
      </c>
      <c r="L489" s="9" t="s">
        <v>3169</v>
      </c>
      <c r="M489" s="9" t="s">
        <v>3170</v>
      </c>
      <c r="N489" s="9"/>
      <c r="O489" s="9" t="s">
        <v>3171</v>
      </c>
      <c r="P489" s="10">
        <v>33</v>
      </c>
    </row>
    <row r="490" spans="1:16" ht="100.8" x14ac:dyDescent="0.3">
      <c r="A490" t="s">
        <v>2444</v>
      </c>
      <c r="B490" t="s">
        <v>2981</v>
      </c>
      <c r="C490" t="s">
        <v>3172</v>
      </c>
      <c r="D490" s="9" t="s">
        <v>3173</v>
      </c>
      <c r="E490" t="s">
        <v>43</v>
      </c>
      <c r="F490" t="s">
        <v>69</v>
      </c>
      <c r="G490" t="s">
        <v>47</v>
      </c>
      <c r="H490" s="9"/>
      <c r="I490" s="9"/>
      <c r="K490" s="9" t="s">
        <v>3174</v>
      </c>
      <c r="L490" s="9"/>
      <c r="M490" s="9" t="s">
        <v>3175</v>
      </c>
      <c r="N490" s="9" t="s">
        <v>3176</v>
      </c>
      <c r="O490" s="9" t="s">
        <v>3177</v>
      </c>
      <c r="P490" s="10">
        <v>33</v>
      </c>
    </row>
    <row r="491" spans="1:16" ht="144" x14ac:dyDescent="0.3">
      <c r="A491" t="s">
        <v>2444</v>
      </c>
      <c r="B491" t="s">
        <v>3178</v>
      </c>
      <c r="C491" t="s">
        <v>369</v>
      </c>
      <c r="D491" s="9" t="s">
        <v>3179</v>
      </c>
      <c r="E491" t="s">
        <v>1003</v>
      </c>
      <c r="F491" t="s">
        <v>143</v>
      </c>
      <c r="G491" t="s">
        <v>47</v>
      </c>
      <c r="H491" s="9"/>
      <c r="I491" s="9" t="s">
        <v>307</v>
      </c>
      <c r="J491" t="s">
        <v>3180</v>
      </c>
      <c r="K491" s="9" t="s">
        <v>3181</v>
      </c>
      <c r="L491" s="9" t="s">
        <v>3182</v>
      </c>
      <c r="M491" s="9" t="s">
        <v>3183</v>
      </c>
      <c r="N491" s="9" t="s">
        <v>3184</v>
      </c>
      <c r="O491" s="9" t="s">
        <v>3185</v>
      </c>
      <c r="P491" s="10">
        <v>34</v>
      </c>
    </row>
    <row r="492" spans="1:16" ht="129.6" x14ac:dyDescent="0.3">
      <c r="A492" t="s">
        <v>2444</v>
      </c>
      <c r="B492" t="s">
        <v>3178</v>
      </c>
      <c r="C492" t="s">
        <v>66</v>
      </c>
      <c r="D492" s="9" t="s">
        <v>3186</v>
      </c>
      <c r="E492" t="s">
        <v>3187</v>
      </c>
      <c r="F492" t="s">
        <v>143</v>
      </c>
      <c r="G492" t="s">
        <v>47</v>
      </c>
      <c r="H492" s="9"/>
      <c r="I492" s="9" t="s">
        <v>2827</v>
      </c>
      <c r="J492" t="s">
        <v>3180</v>
      </c>
      <c r="K492" s="9" t="s">
        <v>3188</v>
      </c>
      <c r="L492" s="9" t="s">
        <v>3189</v>
      </c>
      <c r="M492" s="9" t="s">
        <v>3190</v>
      </c>
      <c r="N492" s="9" t="s">
        <v>3191</v>
      </c>
      <c r="O492" s="9" t="s">
        <v>3192</v>
      </c>
      <c r="P492" s="10">
        <v>34</v>
      </c>
    </row>
    <row r="493" spans="1:16" ht="158.4" x14ac:dyDescent="0.3">
      <c r="A493" t="s">
        <v>2444</v>
      </c>
      <c r="B493" t="s">
        <v>3178</v>
      </c>
      <c r="C493" t="s">
        <v>68</v>
      </c>
      <c r="D493" s="9" t="s">
        <v>3193</v>
      </c>
      <c r="E493" t="s">
        <v>3194</v>
      </c>
      <c r="F493" t="s">
        <v>143</v>
      </c>
      <c r="G493" t="s">
        <v>47</v>
      </c>
      <c r="H493" s="9" t="s">
        <v>1614</v>
      </c>
      <c r="I493" s="9" t="s">
        <v>59</v>
      </c>
      <c r="J493" t="s">
        <v>3180</v>
      </c>
      <c r="K493" s="9" t="s">
        <v>3195</v>
      </c>
      <c r="L493" s="9" t="s">
        <v>3196</v>
      </c>
      <c r="M493" s="9" t="s">
        <v>3197</v>
      </c>
      <c r="N493" s="9" t="s">
        <v>3198</v>
      </c>
      <c r="O493" s="9" t="s">
        <v>3199</v>
      </c>
      <c r="P493" s="10">
        <v>34</v>
      </c>
    </row>
    <row r="494" spans="1:16" ht="129.6" x14ac:dyDescent="0.3">
      <c r="A494" t="s">
        <v>2444</v>
      </c>
      <c r="B494" t="s">
        <v>3178</v>
      </c>
      <c r="C494" t="s">
        <v>82</v>
      </c>
      <c r="D494" s="9" t="s">
        <v>3200</v>
      </c>
      <c r="E494" t="s">
        <v>1353</v>
      </c>
      <c r="F494" t="s">
        <v>143</v>
      </c>
      <c r="G494" t="s">
        <v>47</v>
      </c>
      <c r="H494" s="9" t="s">
        <v>3201</v>
      </c>
      <c r="I494" s="9" t="s">
        <v>59</v>
      </c>
      <c r="J494" t="s">
        <v>3180</v>
      </c>
      <c r="K494" s="9" t="s">
        <v>3202</v>
      </c>
      <c r="L494" s="9" t="s">
        <v>3203</v>
      </c>
      <c r="M494" s="9" t="s">
        <v>3204</v>
      </c>
      <c r="N494" s="9" t="s">
        <v>3205</v>
      </c>
      <c r="O494" s="9" t="s">
        <v>3206</v>
      </c>
      <c r="P494" s="10">
        <v>34</v>
      </c>
    </row>
    <row r="495" spans="1:16" ht="144" x14ac:dyDescent="0.3">
      <c r="A495" t="s">
        <v>2444</v>
      </c>
      <c r="B495" t="s">
        <v>3178</v>
      </c>
      <c r="C495" t="s">
        <v>55</v>
      </c>
      <c r="D495" s="9" t="s">
        <v>3207</v>
      </c>
      <c r="E495" t="s">
        <v>3208</v>
      </c>
      <c r="F495" t="s">
        <v>143</v>
      </c>
      <c r="G495" t="s">
        <v>47</v>
      </c>
      <c r="H495" s="9" t="s">
        <v>3209</v>
      </c>
      <c r="I495" s="9" t="s">
        <v>59</v>
      </c>
      <c r="J495" t="s">
        <v>3180</v>
      </c>
      <c r="K495" s="9" t="s">
        <v>3210</v>
      </c>
      <c r="L495" s="9" t="s">
        <v>3211</v>
      </c>
      <c r="M495" s="9" t="s">
        <v>3212</v>
      </c>
      <c r="N495" s="9" t="s">
        <v>3213</v>
      </c>
      <c r="O495" s="9" t="s">
        <v>3214</v>
      </c>
      <c r="P495" s="10">
        <v>34</v>
      </c>
    </row>
    <row r="496" spans="1:16" ht="129.6" x14ac:dyDescent="0.3">
      <c r="A496" t="s">
        <v>2444</v>
      </c>
      <c r="B496" t="s">
        <v>3178</v>
      </c>
      <c r="C496" t="s">
        <v>424</v>
      </c>
      <c r="D496" s="9" t="s">
        <v>3215</v>
      </c>
      <c r="E496" t="s">
        <v>1385</v>
      </c>
      <c r="F496" t="s">
        <v>143</v>
      </c>
      <c r="G496" t="s">
        <v>47</v>
      </c>
      <c r="H496" s="9" t="s">
        <v>3201</v>
      </c>
      <c r="I496" s="9" t="s">
        <v>59</v>
      </c>
      <c r="J496" t="s">
        <v>3180</v>
      </c>
      <c r="K496" s="9" t="s">
        <v>3216</v>
      </c>
      <c r="L496" s="9" t="s">
        <v>3217</v>
      </c>
      <c r="M496" s="9" t="s">
        <v>3218</v>
      </c>
      <c r="N496" s="9" t="s">
        <v>3219</v>
      </c>
      <c r="O496" s="9" t="s">
        <v>3220</v>
      </c>
      <c r="P496" s="10">
        <v>34</v>
      </c>
    </row>
    <row r="497" spans="1:16" ht="273.60000000000002" x14ac:dyDescent="0.3">
      <c r="A497" t="s">
        <v>2444</v>
      </c>
      <c r="B497" t="s">
        <v>3178</v>
      </c>
      <c r="C497" t="s">
        <v>433</v>
      </c>
      <c r="D497" s="9" t="s">
        <v>3221</v>
      </c>
      <c r="E497" t="s">
        <v>3222</v>
      </c>
      <c r="F497" t="s">
        <v>143</v>
      </c>
      <c r="G497" t="s">
        <v>47</v>
      </c>
      <c r="H497" s="9" t="s">
        <v>3223</v>
      </c>
      <c r="I497" s="9" t="s">
        <v>59</v>
      </c>
      <c r="J497" t="s">
        <v>3180</v>
      </c>
      <c r="K497" s="9" t="s">
        <v>3224</v>
      </c>
      <c r="L497" s="9" t="s">
        <v>3225</v>
      </c>
      <c r="M497" s="9" t="s">
        <v>3226</v>
      </c>
      <c r="N497" s="9" t="s">
        <v>3227</v>
      </c>
      <c r="O497" s="9" t="s">
        <v>3228</v>
      </c>
      <c r="P497" s="10">
        <v>34</v>
      </c>
    </row>
    <row r="498" spans="1:16" ht="100.8" x14ac:dyDescent="0.3">
      <c r="A498" t="s">
        <v>2444</v>
      </c>
      <c r="B498" t="s">
        <v>3178</v>
      </c>
      <c r="C498" t="s">
        <v>441</v>
      </c>
      <c r="D498" s="9" t="s">
        <v>3229</v>
      </c>
      <c r="E498" t="s">
        <v>1411</v>
      </c>
      <c r="F498" t="s">
        <v>143</v>
      </c>
      <c r="G498" t="s">
        <v>47</v>
      </c>
      <c r="H498" s="9" t="s">
        <v>3230</v>
      </c>
      <c r="I498" s="9" t="s">
        <v>59</v>
      </c>
      <c r="J498" t="s">
        <v>3180</v>
      </c>
      <c r="K498" s="9" t="s">
        <v>3231</v>
      </c>
      <c r="L498" s="9" t="s">
        <v>3232</v>
      </c>
      <c r="M498" s="9" t="s">
        <v>3233</v>
      </c>
      <c r="N498" s="9" t="s">
        <v>3234</v>
      </c>
      <c r="O498" s="9" t="s">
        <v>3235</v>
      </c>
      <c r="P498" s="10">
        <v>34</v>
      </c>
    </row>
    <row r="499" spans="1:16" ht="144" x14ac:dyDescent="0.3">
      <c r="A499" t="s">
        <v>2444</v>
      </c>
      <c r="B499" t="s">
        <v>3178</v>
      </c>
      <c r="C499" t="s">
        <v>449</v>
      </c>
      <c r="D499" s="9" t="s">
        <v>3236</v>
      </c>
      <c r="E499" t="s">
        <v>3237</v>
      </c>
      <c r="F499" t="s">
        <v>143</v>
      </c>
      <c r="G499" t="s">
        <v>47</v>
      </c>
      <c r="H499" s="9" t="s">
        <v>3238</v>
      </c>
      <c r="I499" s="9" t="s">
        <v>59</v>
      </c>
      <c r="J499" t="s">
        <v>3180</v>
      </c>
      <c r="K499" s="9" t="s">
        <v>3239</v>
      </c>
      <c r="L499" s="9" t="s">
        <v>3240</v>
      </c>
      <c r="M499" s="9" t="s">
        <v>3241</v>
      </c>
      <c r="N499" s="9" t="s">
        <v>3242</v>
      </c>
      <c r="O499" s="9" t="s">
        <v>3243</v>
      </c>
      <c r="P499" s="10">
        <v>34</v>
      </c>
    </row>
    <row r="500" spans="1:16" ht="129.6" x14ac:dyDescent="0.3">
      <c r="A500" t="s">
        <v>2444</v>
      </c>
      <c r="B500" t="s">
        <v>3178</v>
      </c>
      <c r="C500" t="s">
        <v>458</v>
      </c>
      <c r="D500" s="9" t="s">
        <v>3244</v>
      </c>
      <c r="E500" t="s">
        <v>3245</v>
      </c>
      <c r="F500" t="s">
        <v>143</v>
      </c>
      <c r="G500" t="s">
        <v>47</v>
      </c>
      <c r="H500" s="9" t="s">
        <v>3238</v>
      </c>
      <c r="I500" s="9" t="s">
        <v>59</v>
      </c>
      <c r="J500" t="s">
        <v>3180</v>
      </c>
      <c r="K500" s="9" t="s">
        <v>3246</v>
      </c>
      <c r="L500" s="9" t="s">
        <v>3247</v>
      </c>
      <c r="M500" s="9" t="s">
        <v>3248</v>
      </c>
      <c r="N500" s="9" t="s">
        <v>3249</v>
      </c>
      <c r="O500" s="9" t="s">
        <v>3250</v>
      </c>
      <c r="P500" s="10">
        <v>34</v>
      </c>
    </row>
    <row r="501" spans="1:16" ht="230.4" x14ac:dyDescent="0.3">
      <c r="A501" t="s">
        <v>2444</v>
      </c>
      <c r="B501" t="s">
        <v>3178</v>
      </c>
      <c r="C501" t="s">
        <v>466</v>
      </c>
      <c r="D501" s="9" t="s">
        <v>3251</v>
      </c>
      <c r="E501" t="s">
        <v>3252</v>
      </c>
      <c r="F501" t="s">
        <v>143</v>
      </c>
      <c r="G501" t="s">
        <v>47</v>
      </c>
      <c r="H501" s="9" t="s">
        <v>3253</v>
      </c>
      <c r="I501" s="9" t="s">
        <v>144</v>
      </c>
      <c r="J501" t="s">
        <v>3180</v>
      </c>
      <c r="K501" s="9" t="s">
        <v>3254</v>
      </c>
      <c r="L501" s="9" t="s">
        <v>3255</v>
      </c>
      <c r="M501" s="9" t="s">
        <v>3256</v>
      </c>
      <c r="N501" s="9" t="s">
        <v>3257</v>
      </c>
      <c r="O501" s="9" t="s">
        <v>3258</v>
      </c>
      <c r="P501" s="10">
        <v>34</v>
      </c>
    </row>
    <row r="502" spans="1:16" ht="129.6" x14ac:dyDescent="0.3">
      <c r="A502" t="s">
        <v>2444</v>
      </c>
      <c r="B502" t="s">
        <v>3178</v>
      </c>
      <c r="C502" t="s">
        <v>312</v>
      </c>
      <c r="D502" s="9" t="s">
        <v>3259</v>
      </c>
      <c r="E502" t="s">
        <v>1476</v>
      </c>
      <c r="F502" t="s">
        <v>143</v>
      </c>
      <c r="G502" t="s">
        <v>47</v>
      </c>
      <c r="H502" s="9" t="s">
        <v>3253</v>
      </c>
      <c r="I502" s="9" t="s">
        <v>144</v>
      </c>
      <c r="J502" t="s">
        <v>3180</v>
      </c>
      <c r="K502" s="9" t="s">
        <v>3260</v>
      </c>
      <c r="L502" s="9" t="s">
        <v>3261</v>
      </c>
      <c r="M502" s="9" t="s">
        <v>3262</v>
      </c>
      <c r="N502" s="9" t="s">
        <v>3263</v>
      </c>
      <c r="O502" s="9" t="s">
        <v>3264</v>
      </c>
      <c r="P502" s="10">
        <v>34</v>
      </c>
    </row>
    <row r="503" spans="1:16" ht="100.8" x14ac:dyDescent="0.3">
      <c r="A503" t="s">
        <v>2444</v>
      </c>
      <c r="B503" t="s">
        <v>3178</v>
      </c>
      <c r="C503" t="s">
        <v>590</v>
      </c>
      <c r="D503" s="9" t="s">
        <v>3265</v>
      </c>
      <c r="E503" t="s">
        <v>3266</v>
      </c>
      <c r="F503" t="s">
        <v>143</v>
      </c>
      <c r="G503" t="s">
        <v>47</v>
      </c>
      <c r="H503" s="9" t="s">
        <v>3253</v>
      </c>
      <c r="I503" s="9" t="s">
        <v>144</v>
      </c>
      <c r="J503" t="s">
        <v>3180</v>
      </c>
      <c r="K503" s="9" t="s">
        <v>3267</v>
      </c>
      <c r="L503" s="9" t="s">
        <v>3268</v>
      </c>
      <c r="M503" s="9" t="s">
        <v>3269</v>
      </c>
      <c r="N503" s="9" t="s">
        <v>3270</v>
      </c>
      <c r="O503" s="9" t="s">
        <v>3271</v>
      </c>
      <c r="P503" s="10">
        <v>34</v>
      </c>
    </row>
    <row r="504" spans="1:16" ht="115.2" x14ac:dyDescent="0.3">
      <c r="A504" t="s">
        <v>2444</v>
      </c>
      <c r="B504" t="s">
        <v>3178</v>
      </c>
      <c r="C504" t="s">
        <v>215</v>
      </c>
      <c r="D504" s="9" t="s">
        <v>3272</v>
      </c>
      <c r="E504" t="s">
        <v>3273</v>
      </c>
      <c r="F504" t="s">
        <v>143</v>
      </c>
      <c r="G504" t="s">
        <v>47</v>
      </c>
      <c r="H504" s="9" t="s">
        <v>3253</v>
      </c>
      <c r="I504" s="9" t="s">
        <v>144</v>
      </c>
      <c r="J504" t="s">
        <v>3180</v>
      </c>
      <c r="K504" s="9" t="s">
        <v>3274</v>
      </c>
      <c r="L504" s="9" t="s">
        <v>3275</v>
      </c>
      <c r="M504" s="9" t="s">
        <v>3276</v>
      </c>
      <c r="N504" s="9" t="s">
        <v>3277</v>
      </c>
      <c r="O504" s="9" t="s">
        <v>3278</v>
      </c>
      <c r="P504" s="10">
        <v>34</v>
      </c>
    </row>
    <row r="505" spans="1:16" ht="86.4" x14ac:dyDescent="0.3">
      <c r="A505" t="s">
        <v>2444</v>
      </c>
      <c r="B505" t="s">
        <v>3178</v>
      </c>
      <c r="C505" t="s">
        <v>221</v>
      </c>
      <c r="D505" s="9" t="s">
        <v>3279</v>
      </c>
      <c r="E505" t="s">
        <v>3280</v>
      </c>
      <c r="F505" t="s">
        <v>143</v>
      </c>
      <c r="G505" t="s">
        <v>47</v>
      </c>
      <c r="H505" s="9" t="s">
        <v>3253</v>
      </c>
      <c r="I505" s="9" t="s">
        <v>307</v>
      </c>
      <c r="J505" t="s">
        <v>3180</v>
      </c>
      <c r="K505" s="9" t="s">
        <v>3281</v>
      </c>
      <c r="L505" s="9" t="s">
        <v>3282</v>
      </c>
      <c r="M505" s="9" t="s">
        <v>3283</v>
      </c>
      <c r="N505" s="9" t="s">
        <v>3284</v>
      </c>
      <c r="O505" s="9" t="s">
        <v>3285</v>
      </c>
      <c r="P505" s="10">
        <v>34</v>
      </c>
    </row>
    <row r="506" spans="1:16" ht="72" x14ac:dyDescent="0.3">
      <c r="A506" t="s">
        <v>2444</v>
      </c>
      <c r="B506" t="s">
        <v>3178</v>
      </c>
      <c r="C506" t="s">
        <v>766</v>
      </c>
      <c r="D506" s="9" t="s">
        <v>3286</v>
      </c>
      <c r="E506" t="s">
        <v>3287</v>
      </c>
      <c r="F506" t="s">
        <v>143</v>
      </c>
      <c r="G506" t="s">
        <v>47</v>
      </c>
      <c r="H506" s="9" t="s">
        <v>3253</v>
      </c>
      <c r="I506" s="9" t="s">
        <v>59</v>
      </c>
      <c r="J506" t="s">
        <v>3180</v>
      </c>
      <c r="K506" s="9" t="s">
        <v>3288</v>
      </c>
      <c r="L506" s="9" t="s">
        <v>3289</v>
      </c>
      <c r="M506" s="9" t="s">
        <v>3290</v>
      </c>
      <c r="N506" s="9"/>
      <c r="O506" s="9" t="s">
        <v>3291</v>
      </c>
      <c r="P506" s="10">
        <v>34</v>
      </c>
    </row>
    <row r="507" spans="1:16" ht="158.4" x14ac:dyDescent="0.3">
      <c r="A507" t="s">
        <v>2444</v>
      </c>
      <c r="B507" t="s">
        <v>3178</v>
      </c>
      <c r="C507" t="s">
        <v>989</v>
      </c>
      <c r="D507" s="9" t="s">
        <v>3292</v>
      </c>
      <c r="E507" t="s">
        <v>3293</v>
      </c>
      <c r="F507" t="s">
        <v>143</v>
      </c>
      <c r="G507" t="s">
        <v>47</v>
      </c>
      <c r="H507" s="9" t="s">
        <v>3294</v>
      </c>
      <c r="I507" s="9" t="s">
        <v>59</v>
      </c>
      <c r="J507" t="s">
        <v>3180</v>
      </c>
      <c r="K507" s="9" t="s">
        <v>3295</v>
      </c>
      <c r="L507" s="9" t="s">
        <v>3296</v>
      </c>
      <c r="M507" s="9" t="s">
        <v>3297</v>
      </c>
      <c r="N507" s="9" t="s">
        <v>3298</v>
      </c>
      <c r="O507" s="9" t="s">
        <v>3299</v>
      </c>
      <c r="P507" s="10">
        <v>34</v>
      </c>
    </row>
    <row r="508" spans="1:16" ht="158.4" x14ac:dyDescent="0.3">
      <c r="A508" t="s">
        <v>2444</v>
      </c>
      <c r="B508" t="s">
        <v>3178</v>
      </c>
      <c r="C508" t="s">
        <v>773</v>
      </c>
      <c r="D508" s="9" t="s">
        <v>3300</v>
      </c>
      <c r="E508" t="s">
        <v>3301</v>
      </c>
      <c r="F508" t="s">
        <v>143</v>
      </c>
      <c r="G508" t="s">
        <v>47</v>
      </c>
      <c r="H508" s="9" t="s">
        <v>3302</v>
      </c>
      <c r="I508" s="9" t="s">
        <v>59</v>
      </c>
      <c r="J508" t="s">
        <v>3180</v>
      </c>
      <c r="K508" s="9" t="s">
        <v>3303</v>
      </c>
      <c r="L508" s="9" t="s">
        <v>3304</v>
      </c>
      <c r="M508" s="9" t="s">
        <v>3305</v>
      </c>
      <c r="N508" s="9" t="s">
        <v>3306</v>
      </c>
      <c r="O508" s="9" t="s">
        <v>3307</v>
      </c>
      <c r="P508" s="10">
        <v>34</v>
      </c>
    </row>
    <row r="509" spans="1:16" ht="129.6" x14ac:dyDescent="0.3">
      <c r="A509" t="s">
        <v>2444</v>
      </c>
      <c r="B509" t="s">
        <v>3178</v>
      </c>
      <c r="C509" t="s">
        <v>597</v>
      </c>
      <c r="D509" s="9" t="s">
        <v>3308</v>
      </c>
      <c r="E509" t="s">
        <v>3309</v>
      </c>
      <c r="F509" t="s">
        <v>143</v>
      </c>
      <c r="G509" t="s">
        <v>47</v>
      </c>
      <c r="H509" s="9" t="s">
        <v>3302</v>
      </c>
      <c r="I509" s="9" t="s">
        <v>59</v>
      </c>
      <c r="J509" t="s">
        <v>3180</v>
      </c>
      <c r="K509" s="9" t="s">
        <v>3310</v>
      </c>
      <c r="L509" s="9" t="s">
        <v>3311</v>
      </c>
      <c r="M509" s="9" t="s">
        <v>3312</v>
      </c>
      <c r="N509" s="9" t="s">
        <v>3313</v>
      </c>
      <c r="O509" s="9" t="s">
        <v>3314</v>
      </c>
      <c r="P509" s="10">
        <v>34</v>
      </c>
    </row>
    <row r="510" spans="1:16" ht="144" x14ac:dyDescent="0.3">
      <c r="A510" t="s">
        <v>2444</v>
      </c>
      <c r="B510" t="s">
        <v>3178</v>
      </c>
      <c r="C510" t="s">
        <v>787</v>
      </c>
      <c r="D510" s="9" t="s">
        <v>3315</v>
      </c>
      <c r="E510" t="s">
        <v>3316</v>
      </c>
      <c r="F510" t="s">
        <v>143</v>
      </c>
      <c r="G510" t="s">
        <v>47</v>
      </c>
      <c r="H510" s="9" t="s">
        <v>3302</v>
      </c>
      <c r="I510" s="9" t="s">
        <v>59</v>
      </c>
      <c r="J510" t="s">
        <v>3180</v>
      </c>
      <c r="K510" s="9" t="s">
        <v>3317</v>
      </c>
      <c r="L510" s="9" t="s">
        <v>3318</v>
      </c>
      <c r="M510" s="9" t="s">
        <v>3319</v>
      </c>
      <c r="N510" s="9" t="s">
        <v>3320</v>
      </c>
      <c r="O510" s="9" t="s">
        <v>3321</v>
      </c>
      <c r="P510" s="10">
        <v>34</v>
      </c>
    </row>
    <row r="511" spans="1:16" ht="158.4" x14ac:dyDescent="0.3">
      <c r="A511" t="s">
        <v>2444</v>
      </c>
      <c r="B511" t="s">
        <v>3178</v>
      </c>
      <c r="C511" t="s">
        <v>604</v>
      </c>
      <c r="D511" s="9" t="s">
        <v>3322</v>
      </c>
      <c r="E511" t="s">
        <v>3323</v>
      </c>
      <c r="F511" t="s">
        <v>143</v>
      </c>
      <c r="G511" t="s">
        <v>47</v>
      </c>
      <c r="H511" s="9" t="s">
        <v>3324</v>
      </c>
      <c r="I511" s="9" t="s">
        <v>59</v>
      </c>
      <c r="J511" t="s">
        <v>3180</v>
      </c>
      <c r="K511" s="9" t="s">
        <v>3325</v>
      </c>
      <c r="L511" s="9" t="s">
        <v>3326</v>
      </c>
      <c r="M511" s="9" t="s">
        <v>3327</v>
      </c>
      <c r="N511" s="9" t="s">
        <v>3328</v>
      </c>
      <c r="O511" s="9" t="s">
        <v>3329</v>
      </c>
      <c r="P511" s="10">
        <v>34</v>
      </c>
    </row>
    <row r="512" spans="1:16" ht="129.6" x14ac:dyDescent="0.3">
      <c r="A512" t="s">
        <v>2444</v>
      </c>
      <c r="B512" t="s">
        <v>3178</v>
      </c>
      <c r="C512" t="s">
        <v>611</v>
      </c>
      <c r="D512" s="9" t="s">
        <v>3330</v>
      </c>
      <c r="E512" t="s">
        <v>3331</v>
      </c>
      <c r="F512" t="s">
        <v>46</v>
      </c>
      <c r="G512" t="s">
        <v>47</v>
      </c>
      <c r="H512" s="9" t="s">
        <v>59</v>
      </c>
      <c r="I512" s="9" t="s">
        <v>59</v>
      </c>
      <c r="J512" t="s">
        <v>3180</v>
      </c>
      <c r="K512" s="9" t="s">
        <v>3332</v>
      </c>
      <c r="L512" s="9" t="s">
        <v>3333</v>
      </c>
      <c r="M512" s="9" t="s">
        <v>3334</v>
      </c>
      <c r="N512" s="9" t="s">
        <v>3335</v>
      </c>
      <c r="O512" s="9" t="s">
        <v>3336</v>
      </c>
      <c r="P512" s="10">
        <v>34</v>
      </c>
    </row>
    <row r="513" spans="1:16" ht="100.8" x14ac:dyDescent="0.3">
      <c r="A513" t="s">
        <v>2444</v>
      </c>
      <c r="B513" t="s">
        <v>3178</v>
      </c>
      <c r="C513" t="s">
        <v>319</v>
      </c>
      <c r="D513" s="9" t="s">
        <v>3337</v>
      </c>
      <c r="E513" t="s">
        <v>3338</v>
      </c>
      <c r="F513" t="s">
        <v>143</v>
      </c>
      <c r="G513" t="s">
        <v>47</v>
      </c>
      <c r="H513" s="9" t="s">
        <v>3339</v>
      </c>
      <c r="I513" s="9" t="s">
        <v>59</v>
      </c>
      <c r="J513" t="s">
        <v>3180</v>
      </c>
      <c r="K513" s="9" t="s">
        <v>3340</v>
      </c>
      <c r="L513" s="9" t="s">
        <v>3341</v>
      </c>
      <c r="M513" s="9" t="s">
        <v>3342</v>
      </c>
      <c r="N513" s="9" t="s">
        <v>3343</v>
      </c>
      <c r="O513" s="9" t="s">
        <v>3344</v>
      </c>
      <c r="P513" s="10">
        <v>34</v>
      </c>
    </row>
    <row r="514" spans="1:16" ht="144" x14ac:dyDescent="0.3">
      <c r="A514" t="s">
        <v>2444</v>
      </c>
      <c r="B514" t="s">
        <v>3178</v>
      </c>
      <c r="C514" t="s">
        <v>3345</v>
      </c>
      <c r="D514" s="9" t="s">
        <v>3346</v>
      </c>
      <c r="E514" t="s">
        <v>3347</v>
      </c>
      <c r="F514" t="s">
        <v>143</v>
      </c>
      <c r="G514" t="s">
        <v>47</v>
      </c>
      <c r="H514" s="9" t="s">
        <v>3348</v>
      </c>
      <c r="I514" s="9" t="s">
        <v>144</v>
      </c>
      <c r="J514" t="s">
        <v>3180</v>
      </c>
      <c r="K514" s="9" t="s">
        <v>3349</v>
      </c>
      <c r="L514" s="9" t="s">
        <v>3350</v>
      </c>
      <c r="M514" s="9" t="s">
        <v>3351</v>
      </c>
      <c r="N514" s="9" t="s">
        <v>3352</v>
      </c>
      <c r="O514" s="9" t="s">
        <v>3353</v>
      </c>
      <c r="P514" s="10">
        <v>34</v>
      </c>
    </row>
    <row r="515" spans="1:16" ht="129.6" x14ac:dyDescent="0.3">
      <c r="A515" t="s">
        <v>2444</v>
      </c>
      <c r="B515" t="s">
        <v>3178</v>
      </c>
      <c r="C515" t="s">
        <v>3354</v>
      </c>
      <c r="D515" s="9" t="s">
        <v>3355</v>
      </c>
      <c r="E515" t="s">
        <v>3356</v>
      </c>
      <c r="F515" t="s">
        <v>143</v>
      </c>
      <c r="G515" t="s">
        <v>47</v>
      </c>
      <c r="H515" s="9" t="s">
        <v>3348</v>
      </c>
      <c r="I515" s="9" t="s">
        <v>144</v>
      </c>
      <c r="J515" t="s">
        <v>3180</v>
      </c>
      <c r="K515" s="9" t="s">
        <v>3357</v>
      </c>
      <c r="L515" s="9" t="s">
        <v>3358</v>
      </c>
      <c r="M515" s="9" t="s">
        <v>3359</v>
      </c>
      <c r="N515" s="9" t="s">
        <v>3360</v>
      </c>
      <c r="O515" s="9" t="s">
        <v>3361</v>
      </c>
      <c r="P515" s="10">
        <v>34</v>
      </c>
    </row>
    <row r="516" spans="1:16" ht="158.4" x14ac:dyDescent="0.3">
      <c r="A516" t="s">
        <v>2444</v>
      </c>
      <c r="B516" t="s">
        <v>3178</v>
      </c>
      <c r="C516" t="s">
        <v>3362</v>
      </c>
      <c r="D516" s="9" t="s">
        <v>3363</v>
      </c>
      <c r="E516" t="s">
        <v>3364</v>
      </c>
      <c r="F516" t="s">
        <v>143</v>
      </c>
      <c r="G516" t="s">
        <v>47</v>
      </c>
      <c r="H516" s="9" t="s">
        <v>3365</v>
      </c>
      <c r="I516" s="9" t="s">
        <v>144</v>
      </c>
      <c r="J516" t="s">
        <v>3180</v>
      </c>
      <c r="K516" s="9" t="s">
        <v>3366</v>
      </c>
      <c r="L516" s="9" t="s">
        <v>3367</v>
      </c>
      <c r="M516" s="9" t="s">
        <v>3368</v>
      </c>
      <c r="N516" s="9" t="s">
        <v>3369</v>
      </c>
      <c r="O516" s="9" t="s">
        <v>3370</v>
      </c>
      <c r="P516" s="10">
        <v>34</v>
      </c>
    </row>
    <row r="517" spans="1:16" ht="158.4" x14ac:dyDescent="0.3">
      <c r="A517" t="s">
        <v>2444</v>
      </c>
      <c r="B517" t="s">
        <v>3178</v>
      </c>
      <c r="C517" t="s">
        <v>3371</v>
      </c>
      <c r="D517" s="9" t="s">
        <v>3372</v>
      </c>
      <c r="E517" t="s">
        <v>3373</v>
      </c>
      <c r="F517" t="s">
        <v>143</v>
      </c>
      <c r="G517" t="s">
        <v>47</v>
      </c>
      <c r="H517" s="9"/>
      <c r="I517" s="9" t="s">
        <v>144</v>
      </c>
      <c r="J517" t="s">
        <v>3180</v>
      </c>
      <c r="K517" s="9" t="s">
        <v>3374</v>
      </c>
      <c r="L517" s="9" t="s">
        <v>3375</v>
      </c>
      <c r="M517" s="9" t="s">
        <v>3376</v>
      </c>
      <c r="N517" s="9" t="s">
        <v>3377</v>
      </c>
      <c r="O517" s="9" t="s">
        <v>3378</v>
      </c>
      <c r="P517" s="10">
        <v>34</v>
      </c>
    </row>
    <row r="518" spans="1:16" ht="129.6" x14ac:dyDescent="0.3">
      <c r="A518" t="s">
        <v>2444</v>
      </c>
      <c r="B518" t="s">
        <v>3178</v>
      </c>
      <c r="C518" t="s">
        <v>3379</v>
      </c>
      <c r="D518" s="9" t="s">
        <v>3380</v>
      </c>
      <c r="E518" t="s">
        <v>3381</v>
      </c>
      <c r="F518" t="s">
        <v>143</v>
      </c>
      <c r="G518" t="s">
        <v>47</v>
      </c>
      <c r="H518" s="9"/>
      <c r="I518" s="9" t="s">
        <v>59</v>
      </c>
      <c r="J518" t="s">
        <v>3180</v>
      </c>
      <c r="K518" s="9" t="s">
        <v>3382</v>
      </c>
      <c r="L518" s="9" t="s">
        <v>3383</v>
      </c>
      <c r="M518" s="9" t="s">
        <v>3384</v>
      </c>
      <c r="N518" s="9" t="s">
        <v>3385</v>
      </c>
      <c r="O518" s="9" t="s">
        <v>3386</v>
      </c>
      <c r="P518" s="10">
        <v>34</v>
      </c>
    </row>
    <row r="519" spans="1:16" ht="129.6" x14ac:dyDescent="0.3">
      <c r="A519" t="s">
        <v>2444</v>
      </c>
      <c r="B519" t="s">
        <v>3178</v>
      </c>
      <c r="C519" t="s">
        <v>3387</v>
      </c>
      <c r="D519" s="9" t="s">
        <v>3388</v>
      </c>
      <c r="E519" t="s">
        <v>3389</v>
      </c>
      <c r="F519" t="s">
        <v>143</v>
      </c>
      <c r="G519" t="s">
        <v>47</v>
      </c>
      <c r="H519" s="9"/>
      <c r="I519" s="9" t="s">
        <v>59</v>
      </c>
      <c r="J519" t="s">
        <v>3180</v>
      </c>
      <c r="K519" s="9" t="s">
        <v>3390</v>
      </c>
      <c r="L519" s="9" t="s">
        <v>3391</v>
      </c>
      <c r="M519" s="9" t="s">
        <v>3392</v>
      </c>
      <c r="N519" s="9" t="s">
        <v>3393</v>
      </c>
      <c r="O519" s="9" t="s">
        <v>3394</v>
      </c>
      <c r="P519" s="10">
        <v>34</v>
      </c>
    </row>
    <row r="520" spans="1:16" ht="144" x14ac:dyDescent="0.3">
      <c r="A520" t="s">
        <v>2444</v>
      </c>
      <c r="B520" t="s">
        <v>3178</v>
      </c>
      <c r="C520" t="s">
        <v>3395</v>
      </c>
      <c r="D520" s="9" t="s">
        <v>3396</v>
      </c>
      <c r="E520" t="s">
        <v>3397</v>
      </c>
      <c r="F520" t="s">
        <v>143</v>
      </c>
      <c r="G520" t="s">
        <v>47</v>
      </c>
      <c r="H520" s="9" t="s">
        <v>797</v>
      </c>
      <c r="I520" s="9" t="s">
        <v>144</v>
      </c>
      <c r="J520" t="s">
        <v>3180</v>
      </c>
      <c r="K520" s="9" t="s">
        <v>3398</v>
      </c>
      <c r="L520" s="9" t="s">
        <v>3399</v>
      </c>
      <c r="M520" s="9" t="s">
        <v>3400</v>
      </c>
      <c r="N520" s="9" t="s">
        <v>3401</v>
      </c>
      <c r="O520" s="9" t="s">
        <v>3402</v>
      </c>
      <c r="P520" s="10">
        <v>34</v>
      </c>
    </row>
    <row r="521" spans="1:16" ht="158.4" x14ac:dyDescent="0.3">
      <c r="A521" t="s">
        <v>2444</v>
      </c>
      <c r="B521" t="s">
        <v>3403</v>
      </c>
      <c r="C521" t="s">
        <v>369</v>
      </c>
      <c r="D521" s="9" t="s">
        <v>3404</v>
      </c>
      <c r="E521" t="s">
        <v>557</v>
      </c>
      <c r="F521" t="s">
        <v>143</v>
      </c>
      <c r="G521" t="s">
        <v>47</v>
      </c>
      <c r="H521" s="9"/>
      <c r="I521" s="9" t="s">
        <v>59</v>
      </c>
      <c r="J521" t="s">
        <v>3405</v>
      </c>
      <c r="K521" s="9" t="s">
        <v>3406</v>
      </c>
      <c r="L521" s="9" t="s">
        <v>3407</v>
      </c>
      <c r="M521" s="9" t="s">
        <v>3408</v>
      </c>
      <c r="N521" s="9" t="s">
        <v>3409</v>
      </c>
      <c r="O521" s="9" t="s">
        <v>3410</v>
      </c>
      <c r="P521" s="10">
        <v>26</v>
      </c>
    </row>
    <row r="522" spans="1:16" ht="86.4" x14ac:dyDescent="0.3">
      <c r="A522" t="s">
        <v>2444</v>
      </c>
      <c r="B522" t="s">
        <v>3403</v>
      </c>
      <c r="C522" t="s">
        <v>66</v>
      </c>
      <c r="D522" s="9" t="s">
        <v>3411</v>
      </c>
      <c r="E522" t="s">
        <v>66</v>
      </c>
      <c r="F522" t="s">
        <v>116</v>
      </c>
      <c r="G522" t="s">
        <v>47</v>
      </c>
      <c r="H522" s="9" t="s">
        <v>711</v>
      </c>
      <c r="I522" s="9"/>
      <c r="K522" s="9" t="s">
        <v>3412</v>
      </c>
      <c r="L522" s="9"/>
      <c r="M522" s="9" t="s">
        <v>3413</v>
      </c>
      <c r="N522" s="9"/>
      <c r="O522" s="9" t="s">
        <v>3414</v>
      </c>
      <c r="P522" s="10">
        <v>26</v>
      </c>
    </row>
    <row r="523" spans="1:16" ht="100.8" x14ac:dyDescent="0.3">
      <c r="A523" t="s">
        <v>2444</v>
      </c>
      <c r="B523" t="s">
        <v>3403</v>
      </c>
      <c r="C523" t="s">
        <v>74</v>
      </c>
      <c r="D523" s="9" t="s">
        <v>3415</v>
      </c>
      <c r="E523" t="s">
        <v>66</v>
      </c>
      <c r="F523" t="s">
        <v>143</v>
      </c>
      <c r="G523" t="s">
        <v>47</v>
      </c>
      <c r="H523" s="9" t="s">
        <v>711</v>
      </c>
      <c r="I523" s="9" t="s">
        <v>59</v>
      </c>
      <c r="J523" t="s">
        <v>3405</v>
      </c>
      <c r="K523" s="9" t="s">
        <v>3416</v>
      </c>
      <c r="L523" s="9" t="s">
        <v>3417</v>
      </c>
      <c r="M523" s="9" t="s">
        <v>3418</v>
      </c>
      <c r="N523" s="9" t="s">
        <v>3419</v>
      </c>
      <c r="O523" s="9" t="s">
        <v>3420</v>
      </c>
      <c r="P523" s="10">
        <v>26</v>
      </c>
    </row>
    <row r="524" spans="1:16" ht="72" x14ac:dyDescent="0.3">
      <c r="A524" t="s">
        <v>2444</v>
      </c>
      <c r="B524" t="s">
        <v>3403</v>
      </c>
      <c r="C524" t="s">
        <v>43</v>
      </c>
      <c r="D524" s="9" t="s">
        <v>3421</v>
      </c>
      <c r="E524" t="s">
        <v>566</v>
      </c>
      <c r="F524" t="s">
        <v>143</v>
      </c>
      <c r="G524" t="s">
        <v>47</v>
      </c>
      <c r="H524" s="9"/>
      <c r="I524" s="9" t="s">
        <v>59</v>
      </c>
      <c r="J524" t="s">
        <v>3405</v>
      </c>
      <c r="K524" s="9" t="s">
        <v>3422</v>
      </c>
      <c r="L524" s="9" t="s">
        <v>3423</v>
      </c>
      <c r="M524" s="9" t="s">
        <v>3424</v>
      </c>
      <c r="N524" s="9" t="s">
        <v>3425</v>
      </c>
      <c r="O524" s="9" t="s">
        <v>3426</v>
      </c>
      <c r="P524" s="10">
        <v>26</v>
      </c>
    </row>
    <row r="525" spans="1:16" ht="115.2" x14ac:dyDescent="0.3">
      <c r="A525" t="s">
        <v>2444</v>
      </c>
      <c r="B525" t="s">
        <v>3403</v>
      </c>
      <c r="C525" t="s">
        <v>68</v>
      </c>
      <c r="D525" s="9" t="s">
        <v>3427</v>
      </c>
      <c r="E525" t="s">
        <v>74</v>
      </c>
      <c r="F525" t="s">
        <v>143</v>
      </c>
      <c r="G525" t="s">
        <v>47</v>
      </c>
      <c r="H525" s="9"/>
      <c r="I525" s="9" t="s">
        <v>59</v>
      </c>
      <c r="J525" t="s">
        <v>3405</v>
      </c>
      <c r="K525" s="9" t="s">
        <v>3428</v>
      </c>
      <c r="L525" s="9" t="s">
        <v>3429</v>
      </c>
      <c r="M525" s="9" t="s">
        <v>3430</v>
      </c>
      <c r="N525" s="9" t="s">
        <v>3431</v>
      </c>
      <c r="O525" s="9" t="s">
        <v>3432</v>
      </c>
      <c r="P525" s="10">
        <v>26</v>
      </c>
    </row>
    <row r="526" spans="1:16" ht="57.6" x14ac:dyDescent="0.3">
      <c r="A526" t="s">
        <v>2444</v>
      </c>
      <c r="B526" t="s">
        <v>3403</v>
      </c>
      <c r="C526" t="s">
        <v>82</v>
      </c>
      <c r="D526" s="9" t="s">
        <v>3433</v>
      </c>
      <c r="E526" t="s">
        <v>74</v>
      </c>
      <c r="F526" t="s">
        <v>116</v>
      </c>
      <c r="G526" t="s">
        <v>47</v>
      </c>
      <c r="H526" s="9" t="s">
        <v>711</v>
      </c>
      <c r="I526" s="9"/>
      <c r="K526" s="9" t="s">
        <v>3434</v>
      </c>
      <c r="L526" s="9"/>
      <c r="M526" s="9" t="s">
        <v>3435</v>
      </c>
      <c r="N526" s="9"/>
      <c r="O526" s="9" t="s">
        <v>3436</v>
      </c>
      <c r="P526" s="10">
        <v>26</v>
      </c>
    </row>
    <row r="527" spans="1:16" ht="158.4" x14ac:dyDescent="0.3">
      <c r="A527" t="s">
        <v>2444</v>
      </c>
      <c r="B527" t="s">
        <v>3403</v>
      </c>
      <c r="C527" t="s">
        <v>55</v>
      </c>
      <c r="D527" s="9" t="s">
        <v>3437</v>
      </c>
      <c r="E527" t="s">
        <v>583</v>
      </c>
      <c r="F527" t="s">
        <v>143</v>
      </c>
      <c r="G527" t="s">
        <v>47</v>
      </c>
      <c r="H527" s="9" t="s">
        <v>3438</v>
      </c>
      <c r="I527" s="9" t="s">
        <v>106</v>
      </c>
      <c r="J527" t="s">
        <v>3405</v>
      </c>
      <c r="K527" s="9" t="s">
        <v>3439</v>
      </c>
      <c r="L527" s="9" t="s">
        <v>3440</v>
      </c>
      <c r="M527" s="9" t="s">
        <v>3441</v>
      </c>
      <c r="N527" s="9" t="s">
        <v>3442</v>
      </c>
      <c r="O527" s="9" t="s">
        <v>3443</v>
      </c>
      <c r="P527" s="10">
        <v>26</v>
      </c>
    </row>
    <row r="528" spans="1:16" ht="201.6" x14ac:dyDescent="0.3">
      <c r="A528" t="s">
        <v>2444</v>
      </c>
      <c r="B528" t="s">
        <v>3403</v>
      </c>
      <c r="C528" t="s">
        <v>433</v>
      </c>
      <c r="D528" s="9" t="s">
        <v>3444</v>
      </c>
      <c r="E528" t="s">
        <v>3445</v>
      </c>
      <c r="F528" t="s">
        <v>143</v>
      </c>
      <c r="G528" t="s">
        <v>47</v>
      </c>
      <c r="H528" s="9" t="s">
        <v>3446</v>
      </c>
      <c r="I528" s="9" t="s">
        <v>106</v>
      </c>
      <c r="J528" t="s">
        <v>3405</v>
      </c>
      <c r="K528" s="9" t="s">
        <v>3447</v>
      </c>
      <c r="L528" s="9" t="s">
        <v>3448</v>
      </c>
      <c r="M528" s="9" t="s">
        <v>3449</v>
      </c>
      <c r="N528" s="9" t="s">
        <v>3450</v>
      </c>
      <c r="O528" s="9" t="s">
        <v>3451</v>
      </c>
      <c r="P528" s="10">
        <v>26</v>
      </c>
    </row>
    <row r="529" spans="1:16" ht="86.4" x14ac:dyDescent="0.3">
      <c r="A529" t="s">
        <v>2444</v>
      </c>
      <c r="B529" t="s">
        <v>3403</v>
      </c>
      <c r="C529" t="s">
        <v>441</v>
      </c>
      <c r="D529" s="9" t="s">
        <v>3452</v>
      </c>
      <c r="E529" t="s">
        <v>82</v>
      </c>
      <c r="F529" t="s">
        <v>143</v>
      </c>
      <c r="G529" t="s">
        <v>47</v>
      </c>
      <c r="H529" s="9" t="s">
        <v>3453</v>
      </c>
      <c r="I529" s="9" t="s">
        <v>106</v>
      </c>
      <c r="J529" t="s">
        <v>3405</v>
      </c>
      <c r="K529" s="9" t="s">
        <v>3454</v>
      </c>
      <c r="L529" s="9" t="s">
        <v>3455</v>
      </c>
      <c r="M529" s="9" t="s">
        <v>3456</v>
      </c>
      <c r="N529" s="9" t="s">
        <v>3457</v>
      </c>
      <c r="O529" s="9" t="s">
        <v>3458</v>
      </c>
      <c r="P529" s="10">
        <v>26</v>
      </c>
    </row>
    <row r="530" spans="1:16" ht="86.4" x14ac:dyDescent="0.3">
      <c r="A530" t="s">
        <v>2444</v>
      </c>
      <c r="B530" t="s">
        <v>3403</v>
      </c>
      <c r="C530" t="s">
        <v>449</v>
      </c>
      <c r="D530" s="9" t="s">
        <v>3459</v>
      </c>
      <c r="E530" t="s">
        <v>1003</v>
      </c>
      <c r="F530" t="s">
        <v>143</v>
      </c>
      <c r="G530" t="s">
        <v>47</v>
      </c>
      <c r="H530" s="9" t="s">
        <v>153</v>
      </c>
      <c r="I530" s="9" t="s">
        <v>106</v>
      </c>
      <c r="J530" t="s">
        <v>3405</v>
      </c>
      <c r="K530" s="9" t="s">
        <v>3460</v>
      </c>
      <c r="L530" s="9" t="s">
        <v>3461</v>
      </c>
      <c r="M530" s="9" t="s">
        <v>3462</v>
      </c>
      <c r="N530" s="9" t="s">
        <v>3463</v>
      </c>
      <c r="O530" s="9" t="s">
        <v>3464</v>
      </c>
      <c r="P530" s="10">
        <v>26</v>
      </c>
    </row>
    <row r="531" spans="1:16" ht="57.6" x14ac:dyDescent="0.3">
      <c r="A531" t="s">
        <v>2444</v>
      </c>
      <c r="B531" t="s">
        <v>3403</v>
      </c>
      <c r="C531" t="s">
        <v>458</v>
      </c>
      <c r="D531" s="9" t="s">
        <v>3465</v>
      </c>
      <c r="E531" t="s">
        <v>55</v>
      </c>
      <c r="F531" t="s">
        <v>143</v>
      </c>
      <c r="G531" t="s">
        <v>47</v>
      </c>
      <c r="H531" s="9" t="s">
        <v>153</v>
      </c>
      <c r="I531" s="9" t="s">
        <v>106</v>
      </c>
      <c r="J531" t="s">
        <v>3405</v>
      </c>
      <c r="K531" s="9" t="s">
        <v>3466</v>
      </c>
      <c r="L531" s="9" t="s">
        <v>3467</v>
      </c>
      <c r="M531" s="9" t="s">
        <v>3468</v>
      </c>
      <c r="N531" s="9"/>
      <c r="O531" s="9" t="s">
        <v>3469</v>
      </c>
      <c r="P531" s="10">
        <v>26</v>
      </c>
    </row>
    <row r="532" spans="1:16" ht="57.6" x14ac:dyDescent="0.3">
      <c r="A532" t="s">
        <v>2444</v>
      </c>
      <c r="B532" t="s">
        <v>3403</v>
      </c>
      <c r="C532" t="s">
        <v>466</v>
      </c>
      <c r="D532" s="9" t="s">
        <v>3470</v>
      </c>
      <c r="E532" t="s">
        <v>55</v>
      </c>
      <c r="F532" t="s">
        <v>143</v>
      </c>
      <c r="G532" t="s">
        <v>47</v>
      </c>
      <c r="H532" s="9" t="s">
        <v>153</v>
      </c>
      <c r="I532" s="9" t="s">
        <v>106</v>
      </c>
      <c r="J532" t="s">
        <v>3405</v>
      </c>
      <c r="K532" s="9" t="s">
        <v>3471</v>
      </c>
      <c r="L532" s="9" t="s">
        <v>3472</v>
      </c>
      <c r="M532" s="9" t="s">
        <v>3473</v>
      </c>
      <c r="N532" s="9"/>
      <c r="O532" s="9" t="s">
        <v>3474</v>
      </c>
      <c r="P532" s="10">
        <v>26</v>
      </c>
    </row>
    <row r="533" spans="1:16" ht="115.2" x14ac:dyDescent="0.3">
      <c r="A533" t="s">
        <v>2444</v>
      </c>
      <c r="B533" t="s">
        <v>3403</v>
      </c>
      <c r="C533" t="s">
        <v>312</v>
      </c>
      <c r="D533" s="9" t="s">
        <v>3475</v>
      </c>
      <c r="E533" t="s">
        <v>55</v>
      </c>
      <c r="F533" t="s">
        <v>46</v>
      </c>
      <c r="G533" t="s">
        <v>47</v>
      </c>
      <c r="H533" s="9" t="s">
        <v>1177</v>
      </c>
      <c r="I533" s="9" t="s">
        <v>106</v>
      </c>
      <c r="J533" t="s">
        <v>3405</v>
      </c>
      <c r="K533" s="9" t="s">
        <v>3476</v>
      </c>
      <c r="L533" s="9" t="s">
        <v>3477</v>
      </c>
      <c r="M533" s="9" t="s">
        <v>3478</v>
      </c>
      <c r="N533" s="9" t="s">
        <v>3479</v>
      </c>
      <c r="O533" s="9" t="s">
        <v>3480</v>
      </c>
      <c r="P533" s="10">
        <v>26</v>
      </c>
    </row>
    <row r="534" spans="1:16" ht="100.8" x14ac:dyDescent="0.3">
      <c r="A534" t="s">
        <v>2444</v>
      </c>
      <c r="B534" t="s">
        <v>3403</v>
      </c>
      <c r="C534" t="s">
        <v>590</v>
      </c>
      <c r="D534" s="9" t="s">
        <v>3481</v>
      </c>
      <c r="E534" t="s">
        <v>55</v>
      </c>
      <c r="F534" t="s">
        <v>46</v>
      </c>
      <c r="G534" t="s">
        <v>47</v>
      </c>
      <c r="H534" s="9" t="s">
        <v>1177</v>
      </c>
      <c r="I534" s="9" t="s">
        <v>106</v>
      </c>
      <c r="J534" t="s">
        <v>3405</v>
      </c>
      <c r="K534" s="9" t="s">
        <v>3482</v>
      </c>
      <c r="L534" s="9" t="s">
        <v>3483</v>
      </c>
      <c r="M534" s="9" t="s">
        <v>3484</v>
      </c>
      <c r="N534" s="9" t="s">
        <v>3485</v>
      </c>
      <c r="O534" s="9" t="s">
        <v>3486</v>
      </c>
      <c r="P534" s="10">
        <v>26</v>
      </c>
    </row>
    <row r="535" spans="1:16" ht="187.2" x14ac:dyDescent="0.3">
      <c r="A535" t="s">
        <v>2444</v>
      </c>
      <c r="B535" t="s">
        <v>3403</v>
      </c>
      <c r="C535" t="s">
        <v>215</v>
      </c>
      <c r="D535" s="9" t="s">
        <v>3487</v>
      </c>
      <c r="E535" t="s">
        <v>651</v>
      </c>
      <c r="F535" t="s">
        <v>143</v>
      </c>
      <c r="G535" t="s">
        <v>47</v>
      </c>
      <c r="H535" s="9" t="s">
        <v>1177</v>
      </c>
      <c r="I535" s="9" t="s">
        <v>106</v>
      </c>
      <c r="J535" t="s">
        <v>3405</v>
      </c>
      <c r="K535" s="9" t="s">
        <v>3488</v>
      </c>
      <c r="L535" s="9" t="s">
        <v>3489</v>
      </c>
      <c r="M535" s="9" t="s">
        <v>3490</v>
      </c>
      <c r="N535" s="9" t="s">
        <v>3491</v>
      </c>
      <c r="O535" s="9" t="s">
        <v>3492</v>
      </c>
      <c r="P535" s="10">
        <v>26</v>
      </c>
    </row>
    <row r="536" spans="1:16" ht="86.4" x14ac:dyDescent="0.3">
      <c r="A536" t="s">
        <v>2444</v>
      </c>
      <c r="B536" t="s">
        <v>3403</v>
      </c>
      <c r="C536" t="s">
        <v>221</v>
      </c>
      <c r="D536" s="9" t="s">
        <v>3493</v>
      </c>
      <c r="E536" t="s">
        <v>424</v>
      </c>
      <c r="F536" t="s">
        <v>143</v>
      </c>
      <c r="G536" t="s">
        <v>47</v>
      </c>
      <c r="H536" s="9" t="s">
        <v>1177</v>
      </c>
      <c r="I536" s="9" t="s">
        <v>106</v>
      </c>
      <c r="J536" t="s">
        <v>3405</v>
      </c>
      <c r="K536" s="9" t="s">
        <v>3494</v>
      </c>
      <c r="L536" s="9" t="s">
        <v>3495</v>
      </c>
      <c r="M536" s="9" t="s">
        <v>3496</v>
      </c>
      <c r="N536" s="9" t="s">
        <v>3497</v>
      </c>
      <c r="O536" s="9" t="s">
        <v>3498</v>
      </c>
      <c r="P536" s="10">
        <v>26</v>
      </c>
    </row>
    <row r="537" spans="1:16" ht="129.6" x14ac:dyDescent="0.3">
      <c r="A537" t="s">
        <v>2444</v>
      </c>
      <c r="B537" t="s">
        <v>3403</v>
      </c>
      <c r="C537" t="s">
        <v>766</v>
      </c>
      <c r="D537" s="9" t="s">
        <v>3499</v>
      </c>
      <c r="E537" t="s">
        <v>424</v>
      </c>
      <c r="F537" t="s">
        <v>143</v>
      </c>
      <c r="G537" t="s">
        <v>47</v>
      </c>
      <c r="H537" s="9" t="s">
        <v>452</v>
      </c>
      <c r="I537" s="9" t="s">
        <v>106</v>
      </c>
      <c r="J537" t="s">
        <v>3405</v>
      </c>
      <c r="K537" s="9" t="s">
        <v>3500</v>
      </c>
      <c r="L537" s="9" t="s">
        <v>3501</v>
      </c>
      <c r="M537" s="9" t="s">
        <v>3502</v>
      </c>
      <c r="N537" s="9"/>
      <c r="O537" s="9" t="s">
        <v>3503</v>
      </c>
      <c r="P537" s="10">
        <v>26</v>
      </c>
    </row>
    <row r="538" spans="1:16" ht="86.4" x14ac:dyDescent="0.3">
      <c r="A538" t="s">
        <v>2444</v>
      </c>
      <c r="B538" t="s">
        <v>3403</v>
      </c>
      <c r="C538" t="s">
        <v>989</v>
      </c>
      <c r="D538" s="9" t="s">
        <v>3504</v>
      </c>
      <c r="E538" t="s">
        <v>424</v>
      </c>
      <c r="F538" t="s">
        <v>143</v>
      </c>
      <c r="G538" t="s">
        <v>47</v>
      </c>
      <c r="H538" s="9" t="s">
        <v>1177</v>
      </c>
      <c r="I538" s="9" t="s">
        <v>106</v>
      </c>
      <c r="J538" t="s">
        <v>3405</v>
      </c>
      <c r="K538" s="9" t="s">
        <v>3505</v>
      </c>
      <c r="L538" s="9" t="s">
        <v>3506</v>
      </c>
      <c r="M538" s="9" t="s">
        <v>3507</v>
      </c>
      <c r="N538" s="9" t="s">
        <v>3508</v>
      </c>
      <c r="O538" s="9" t="s">
        <v>3509</v>
      </c>
      <c r="P538" s="10">
        <v>26</v>
      </c>
    </row>
    <row r="539" spans="1:16" ht="100.8" x14ac:dyDescent="0.3">
      <c r="A539" t="s">
        <v>2444</v>
      </c>
      <c r="B539" t="s">
        <v>3403</v>
      </c>
      <c r="C539" t="s">
        <v>773</v>
      </c>
      <c r="D539" s="9" t="s">
        <v>3510</v>
      </c>
      <c r="E539" t="s">
        <v>775</v>
      </c>
      <c r="F539" t="s">
        <v>143</v>
      </c>
      <c r="G539" t="s">
        <v>47</v>
      </c>
      <c r="H539" s="9" t="s">
        <v>671</v>
      </c>
      <c r="I539" s="9" t="s">
        <v>106</v>
      </c>
      <c r="J539" t="s">
        <v>3405</v>
      </c>
      <c r="K539" s="9" t="s">
        <v>3511</v>
      </c>
      <c r="L539" s="9" t="s">
        <v>3512</v>
      </c>
      <c r="M539" s="9" t="s">
        <v>3513</v>
      </c>
      <c r="N539" s="9" t="s">
        <v>3514</v>
      </c>
      <c r="O539" s="9" t="s">
        <v>3515</v>
      </c>
      <c r="P539" s="10">
        <v>26</v>
      </c>
    </row>
    <row r="540" spans="1:16" ht="115.2" x14ac:dyDescent="0.3">
      <c r="A540" t="s">
        <v>2444</v>
      </c>
      <c r="B540" t="s">
        <v>3403</v>
      </c>
      <c r="C540" t="s">
        <v>597</v>
      </c>
      <c r="D540" s="9" t="s">
        <v>3516</v>
      </c>
      <c r="E540" t="s">
        <v>433</v>
      </c>
      <c r="F540" t="s">
        <v>143</v>
      </c>
      <c r="G540" t="s">
        <v>47</v>
      </c>
      <c r="H540" s="9"/>
      <c r="I540" s="9" t="s">
        <v>106</v>
      </c>
      <c r="J540" t="s">
        <v>3405</v>
      </c>
      <c r="K540" s="9" t="s">
        <v>3517</v>
      </c>
      <c r="L540" s="9" t="s">
        <v>3518</v>
      </c>
      <c r="M540" s="9" t="s">
        <v>3519</v>
      </c>
      <c r="N540" s="9" t="s">
        <v>3520</v>
      </c>
      <c r="O540" s="9" t="s">
        <v>3521</v>
      </c>
      <c r="P540" s="10">
        <v>26</v>
      </c>
    </row>
    <row r="541" spans="1:16" ht="288" x14ac:dyDescent="0.3">
      <c r="A541" t="s">
        <v>2444</v>
      </c>
      <c r="B541" t="s">
        <v>3403</v>
      </c>
      <c r="C541" t="s">
        <v>787</v>
      </c>
      <c r="D541" s="9" t="s">
        <v>3522</v>
      </c>
      <c r="E541" t="s">
        <v>796</v>
      </c>
      <c r="F541" t="s">
        <v>143</v>
      </c>
      <c r="G541" t="s">
        <v>47</v>
      </c>
      <c r="H541" s="9" t="s">
        <v>1509</v>
      </c>
      <c r="I541" s="9" t="s">
        <v>106</v>
      </c>
      <c r="J541" t="s">
        <v>3405</v>
      </c>
      <c r="K541" s="9" t="s">
        <v>3523</v>
      </c>
      <c r="L541" s="9" t="s">
        <v>3524</v>
      </c>
      <c r="M541" s="9" t="s">
        <v>3525</v>
      </c>
      <c r="N541" s="9" t="s">
        <v>3526</v>
      </c>
      <c r="O541" s="9" t="s">
        <v>3527</v>
      </c>
      <c r="P541" s="10">
        <v>26</v>
      </c>
    </row>
    <row r="542" spans="1:16" ht="86.4" x14ac:dyDescent="0.3">
      <c r="A542" t="s">
        <v>3528</v>
      </c>
      <c r="B542" t="s">
        <v>3529</v>
      </c>
      <c r="C542" t="s">
        <v>369</v>
      </c>
      <c r="D542" s="9" t="s">
        <v>3530</v>
      </c>
      <c r="E542" t="s">
        <v>3531</v>
      </c>
      <c r="F542" t="s">
        <v>116</v>
      </c>
      <c r="G542" t="s">
        <v>47</v>
      </c>
      <c r="H542" s="9" t="s">
        <v>711</v>
      </c>
      <c r="I542" s="9"/>
      <c r="K542" s="9" t="s">
        <v>3532</v>
      </c>
      <c r="L542" s="9"/>
      <c r="M542" s="9" t="s">
        <v>3533</v>
      </c>
      <c r="N542" s="9" t="s">
        <v>3534</v>
      </c>
      <c r="O542" s="9" t="s">
        <v>3535</v>
      </c>
      <c r="P542" s="10">
        <v>35</v>
      </c>
    </row>
    <row r="543" spans="1:16" ht="100.8" x14ac:dyDescent="0.3">
      <c r="A543" t="s">
        <v>3528</v>
      </c>
      <c r="B543" t="s">
        <v>3529</v>
      </c>
      <c r="C543" t="s">
        <v>66</v>
      </c>
      <c r="D543" s="9" t="s">
        <v>3536</v>
      </c>
      <c r="E543" t="s">
        <v>3537</v>
      </c>
      <c r="F543" t="s">
        <v>116</v>
      </c>
      <c r="G543" t="s">
        <v>47</v>
      </c>
      <c r="H543" s="9" t="s">
        <v>711</v>
      </c>
      <c r="I543" s="9"/>
      <c r="K543" s="9" t="s">
        <v>3538</v>
      </c>
      <c r="L543" s="9"/>
      <c r="M543" s="9" t="s">
        <v>3539</v>
      </c>
      <c r="N543" s="9" t="s">
        <v>3540</v>
      </c>
      <c r="O543" s="9" t="s">
        <v>3541</v>
      </c>
      <c r="P543" s="10">
        <v>35</v>
      </c>
    </row>
    <row r="544" spans="1:16" ht="115.2" x14ac:dyDescent="0.3">
      <c r="A544" t="s">
        <v>3528</v>
      </c>
      <c r="B544" t="s">
        <v>3529</v>
      </c>
      <c r="C544" t="s">
        <v>3542</v>
      </c>
      <c r="D544" s="9" t="s">
        <v>3543</v>
      </c>
      <c r="E544" t="s">
        <v>458</v>
      </c>
      <c r="F544" t="s">
        <v>143</v>
      </c>
      <c r="G544" t="s">
        <v>47</v>
      </c>
      <c r="H544" s="9" t="s">
        <v>3544</v>
      </c>
      <c r="I544" s="9" t="s">
        <v>3545</v>
      </c>
      <c r="K544" s="9" t="s">
        <v>3546</v>
      </c>
      <c r="L544" s="9" t="s">
        <v>3547</v>
      </c>
      <c r="M544" s="9" t="s">
        <v>3548</v>
      </c>
      <c r="N544" s="9" t="s">
        <v>3549</v>
      </c>
      <c r="O544" s="9" t="s">
        <v>3550</v>
      </c>
      <c r="P544" s="10">
        <v>35</v>
      </c>
    </row>
    <row r="545" spans="1:16" ht="187.2" x14ac:dyDescent="0.3">
      <c r="A545" t="s">
        <v>3528</v>
      </c>
      <c r="B545" t="s">
        <v>3529</v>
      </c>
      <c r="C545" t="s">
        <v>74</v>
      </c>
      <c r="D545" s="9" t="s">
        <v>3551</v>
      </c>
      <c r="E545" t="s">
        <v>869</v>
      </c>
      <c r="F545" t="s">
        <v>116</v>
      </c>
      <c r="G545" t="s">
        <v>47</v>
      </c>
      <c r="H545" s="9" t="s">
        <v>711</v>
      </c>
      <c r="I545" s="9"/>
      <c r="K545" s="9" t="s">
        <v>3552</v>
      </c>
      <c r="L545" s="9"/>
      <c r="M545" s="9" t="s">
        <v>3553</v>
      </c>
      <c r="N545" s="9" t="s">
        <v>3554</v>
      </c>
      <c r="O545" s="9" t="s">
        <v>3555</v>
      </c>
      <c r="P545" s="10">
        <v>35</v>
      </c>
    </row>
    <row r="546" spans="1:16" ht="129.6" x14ac:dyDescent="0.3">
      <c r="A546" t="s">
        <v>3528</v>
      </c>
      <c r="B546" t="s">
        <v>3529</v>
      </c>
      <c r="C546" t="s">
        <v>43</v>
      </c>
      <c r="D546" s="9" t="s">
        <v>3556</v>
      </c>
      <c r="E546" t="s">
        <v>702</v>
      </c>
      <c r="F546" t="s">
        <v>116</v>
      </c>
      <c r="G546" t="s">
        <v>47</v>
      </c>
      <c r="H546" s="9" t="s">
        <v>711</v>
      </c>
      <c r="I546" s="9"/>
      <c r="K546" s="9" t="s">
        <v>3557</v>
      </c>
      <c r="L546" s="9"/>
      <c r="M546" s="9" t="s">
        <v>3558</v>
      </c>
      <c r="N546" s="9" t="s">
        <v>3559</v>
      </c>
      <c r="O546" s="9" t="s">
        <v>3560</v>
      </c>
      <c r="P546" s="10">
        <v>35</v>
      </c>
    </row>
    <row r="547" spans="1:16" ht="115.2" x14ac:dyDescent="0.3">
      <c r="A547" t="s">
        <v>3528</v>
      </c>
      <c r="B547" t="s">
        <v>3529</v>
      </c>
      <c r="C547" t="s">
        <v>68</v>
      </c>
      <c r="D547" s="9" t="s">
        <v>3561</v>
      </c>
      <c r="E547" t="s">
        <v>927</v>
      </c>
      <c r="F547" t="s">
        <v>116</v>
      </c>
      <c r="G547" t="s">
        <v>47</v>
      </c>
      <c r="H547" s="9" t="s">
        <v>711</v>
      </c>
      <c r="I547" s="9"/>
      <c r="K547" s="9" t="s">
        <v>3562</v>
      </c>
      <c r="L547" s="9"/>
      <c r="M547" s="9" t="s">
        <v>3563</v>
      </c>
      <c r="N547" s="9" t="s">
        <v>3564</v>
      </c>
      <c r="O547" s="9" t="s">
        <v>3565</v>
      </c>
      <c r="P547" s="10">
        <v>35</v>
      </c>
    </row>
    <row r="548" spans="1:16" ht="129.6" x14ac:dyDescent="0.3">
      <c r="A548" t="s">
        <v>3528</v>
      </c>
      <c r="B548" t="s">
        <v>3529</v>
      </c>
      <c r="C548" t="s">
        <v>82</v>
      </c>
      <c r="D548" s="9" t="s">
        <v>3566</v>
      </c>
      <c r="E548" t="s">
        <v>942</v>
      </c>
      <c r="F548" t="s">
        <v>143</v>
      </c>
      <c r="G548" t="s">
        <v>47</v>
      </c>
      <c r="H548" s="9" t="s">
        <v>3567</v>
      </c>
      <c r="I548" s="9" t="s">
        <v>59</v>
      </c>
      <c r="J548" t="s">
        <v>3568</v>
      </c>
      <c r="K548" s="9" t="s">
        <v>3569</v>
      </c>
      <c r="L548" s="9" t="s">
        <v>3570</v>
      </c>
      <c r="M548" s="9" t="s">
        <v>3571</v>
      </c>
      <c r="N548" s="9" t="s">
        <v>3572</v>
      </c>
      <c r="O548" s="9" t="s">
        <v>3573</v>
      </c>
      <c r="P548" s="10">
        <v>35</v>
      </c>
    </row>
    <row r="549" spans="1:16" ht="115.2" x14ac:dyDescent="0.3">
      <c r="A549" t="s">
        <v>3528</v>
      </c>
      <c r="B549" t="s">
        <v>3529</v>
      </c>
      <c r="C549" t="s">
        <v>55</v>
      </c>
      <c r="D549" s="9" t="s">
        <v>3574</v>
      </c>
      <c r="E549" t="s">
        <v>1804</v>
      </c>
      <c r="F549" t="s">
        <v>143</v>
      </c>
      <c r="G549" t="s">
        <v>47</v>
      </c>
      <c r="H549" s="9" t="s">
        <v>3567</v>
      </c>
      <c r="I549" s="9" t="s">
        <v>59</v>
      </c>
      <c r="J549" t="s">
        <v>3568</v>
      </c>
      <c r="K549" s="9" t="s">
        <v>3575</v>
      </c>
      <c r="L549" s="9" t="s">
        <v>3576</v>
      </c>
      <c r="M549" s="9" t="s">
        <v>3577</v>
      </c>
      <c r="N549" s="9" t="s">
        <v>3578</v>
      </c>
      <c r="O549" s="9" t="s">
        <v>3579</v>
      </c>
      <c r="P549" s="10">
        <v>35</v>
      </c>
    </row>
    <row r="550" spans="1:16" ht="100.8" x14ac:dyDescent="0.3">
      <c r="A550" t="s">
        <v>3528</v>
      </c>
      <c r="B550" t="s">
        <v>3529</v>
      </c>
      <c r="C550" t="s">
        <v>424</v>
      </c>
      <c r="D550" s="9" t="s">
        <v>3580</v>
      </c>
      <c r="E550" t="s">
        <v>3581</v>
      </c>
      <c r="F550" t="s">
        <v>143</v>
      </c>
      <c r="G550" t="s">
        <v>47</v>
      </c>
      <c r="H550" s="9" t="s">
        <v>3567</v>
      </c>
      <c r="I550" s="9" t="s">
        <v>59</v>
      </c>
      <c r="K550" s="9" t="s">
        <v>3582</v>
      </c>
      <c r="L550" s="9" t="s">
        <v>3583</v>
      </c>
      <c r="M550" s="9" t="s">
        <v>3584</v>
      </c>
      <c r="N550" s="9" t="s">
        <v>3585</v>
      </c>
      <c r="O550" s="9" t="s">
        <v>3586</v>
      </c>
      <c r="P550" s="10">
        <v>35</v>
      </c>
    </row>
    <row r="551" spans="1:16" ht="129.6" x14ac:dyDescent="0.3">
      <c r="A551" t="s">
        <v>3528</v>
      </c>
      <c r="B551" t="s">
        <v>3529</v>
      </c>
      <c r="C551" t="s">
        <v>433</v>
      </c>
      <c r="D551" s="9" t="s">
        <v>3587</v>
      </c>
      <c r="E551" t="s">
        <v>3588</v>
      </c>
      <c r="F551" t="s">
        <v>143</v>
      </c>
      <c r="G551" t="s">
        <v>47</v>
      </c>
      <c r="H551" s="9" t="s">
        <v>3567</v>
      </c>
      <c r="I551" s="9" t="s">
        <v>59</v>
      </c>
      <c r="J551" t="s">
        <v>3568</v>
      </c>
      <c r="K551" s="9" t="s">
        <v>3589</v>
      </c>
      <c r="L551" s="9" t="s">
        <v>3590</v>
      </c>
      <c r="M551" s="9" t="s">
        <v>3591</v>
      </c>
      <c r="N551" s="9" t="s">
        <v>3592</v>
      </c>
      <c r="O551" s="9" t="s">
        <v>3593</v>
      </c>
      <c r="P551" s="10">
        <v>35</v>
      </c>
    </row>
    <row r="552" spans="1:16" ht="100.8" x14ac:dyDescent="0.3">
      <c r="A552" t="s">
        <v>3528</v>
      </c>
      <c r="B552" t="s">
        <v>3529</v>
      </c>
      <c r="C552" t="s">
        <v>441</v>
      </c>
      <c r="D552" s="9" t="s">
        <v>3594</v>
      </c>
      <c r="E552" t="s">
        <v>1385</v>
      </c>
      <c r="F552" t="s">
        <v>69</v>
      </c>
      <c r="G552" t="s">
        <v>47</v>
      </c>
      <c r="H552" s="9" t="s">
        <v>711</v>
      </c>
      <c r="I552" s="9"/>
      <c r="K552" s="9" t="s">
        <v>3595</v>
      </c>
      <c r="L552" s="9"/>
      <c r="M552" s="9" t="s">
        <v>3596</v>
      </c>
      <c r="N552" s="9" t="s">
        <v>3597</v>
      </c>
      <c r="O552" s="9" t="s">
        <v>3598</v>
      </c>
      <c r="P552" s="10">
        <v>35</v>
      </c>
    </row>
    <row r="553" spans="1:16" ht="115.2" x14ac:dyDescent="0.3">
      <c r="A553" t="s">
        <v>3528</v>
      </c>
      <c r="B553" t="s">
        <v>3529</v>
      </c>
      <c r="C553" t="s">
        <v>449</v>
      </c>
      <c r="D553" s="9" t="s">
        <v>3599</v>
      </c>
      <c r="E553" t="s">
        <v>3600</v>
      </c>
      <c r="F553" t="s">
        <v>143</v>
      </c>
      <c r="G553" t="s">
        <v>47</v>
      </c>
      <c r="H553" s="9"/>
      <c r="I553" s="9" t="s">
        <v>59</v>
      </c>
      <c r="J553" t="s">
        <v>3601</v>
      </c>
      <c r="K553" s="9" t="s">
        <v>3602</v>
      </c>
      <c r="L553" s="9" t="s">
        <v>3603</v>
      </c>
      <c r="M553" s="9" t="s">
        <v>3604</v>
      </c>
      <c r="N553" s="9" t="s">
        <v>3605</v>
      </c>
      <c r="O553" s="9" t="s">
        <v>3606</v>
      </c>
      <c r="P553" s="10">
        <v>35</v>
      </c>
    </row>
    <row r="554" spans="1:16" ht="100.8" x14ac:dyDescent="0.3">
      <c r="A554" t="s">
        <v>3528</v>
      </c>
      <c r="B554" t="s">
        <v>3529</v>
      </c>
      <c r="C554" t="s">
        <v>458</v>
      </c>
      <c r="D554" s="9" t="s">
        <v>3607</v>
      </c>
      <c r="E554" t="s">
        <v>3245</v>
      </c>
      <c r="F554" t="s">
        <v>143</v>
      </c>
      <c r="G554" t="s">
        <v>47</v>
      </c>
      <c r="H554" s="9"/>
      <c r="I554" s="9" t="s">
        <v>59</v>
      </c>
      <c r="J554" t="s">
        <v>3601</v>
      </c>
      <c r="K554" s="9" t="s">
        <v>3608</v>
      </c>
      <c r="L554" s="9" t="s">
        <v>3609</v>
      </c>
      <c r="M554" s="9" t="s">
        <v>3610</v>
      </c>
      <c r="N554" s="9"/>
      <c r="O554" s="9" t="s">
        <v>3611</v>
      </c>
      <c r="P554" s="10">
        <v>35</v>
      </c>
    </row>
    <row r="555" spans="1:16" ht="86.4" x14ac:dyDescent="0.3">
      <c r="A555" t="s">
        <v>3528</v>
      </c>
      <c r="B555" t="s">
        <v>3529</v>
      </c>
      <c r="C555" t="s">
        <v>466</v>
      </c>
      <c r="D555" s="9" t="s">
        <v>3612</v>
      </c>
      <c r="E555" t="s">
        <v>3613</v>
      </c>
      <c r="F555" t="s">
        <v>143</v>
      </c>
      <c r="G555" t="s">
        <v>47</v>
      </c>
      <c r="H555" s="9"/>
      <c r="I555" s="9" t="s">
        <v>59</v>
      </c>
      <c r="J555" t="s">
        <v>3601</v>
      </c>
      <c r="K555" s="9" t="s">
        <v>3614</v>
      </c>
      <c r="L555" s="9" t="s">
        <v>3615</v>
      </c>
      <c r="M555" s="9" t="s">
        <v>3616</v>
      </c>
      <c r="N555" s="9"/>
      <c r="O555" s="9" t="s">
        <v>3617</v>
      </c>
      <c r="P555" s="10">
        <v>35</v>
      </c>
    </row>
    <row r="556" spans="1:16" ht="72" x14ac:dyDescent="0.3">
      <c r="A556" t="s">
        <v>3528</v>
      </c>
      <c r="B556" t="s">
        <v>3529</v>
      </c>
      <c r="C556" t="s">
        <v>590</v>
      </c>
      <c r="D556" s="9" t="s">
        <v>3618</v>
      </c>
      <c r="E556" t="s">
        <v>657</v>
      </c>
      <c r="F556" t="s">
        <v>143</v>
      </c>
      <c r="G556" t="s">
        <v>47</v>
      </c>
      <c r="H556" s="9" t="s">
        <v>892</v>
      </c>
      <c r="I556" s="9" t="s">
        <v>59</v>
      </c>
      <c r="J556" t="s">
        <v>3619</v>
      </c>
      <c r="K556" s="9" t="s">
        <v>3620</v>
      </c>
      <c r="L556" s="9" t="s">
        <v>3621</v>
      </c>
      <c r="M556" s="9" t="s">
        <v>3622</v>
      </c>
      <c r="N556" s="9" t="s">
        <v>3623</v>
      </c>
      <c r="O556" s="9" t="s">
        <v>3624</v>
      </c>
      <c r="P556" s="10">
        <v>35</v>
      </c>
    </row>
    <row r="557" spans="1:16" ht="86.4" x14ac:dyDescent="0.3">
      <c r="A557" t="s">
        <v>3528</v>
      </c>
      <c r="B557" t="s">
        <v>3529</v>
      </c>
      <c r="C557" t="s">
        <v>215</v>
      </c>
      <c r="D557" s="9" t="s">
        <v>3625</v>
      </c>
      <c r="E557" t="s">
        <v>3252</v>
      </c>
      <c r="F557" t="s">
        <v>143</v>
      </c>
      <c r="G557" t="s">
        <v>47</v>
      </c>
      <c r="H557" s="9" t="s">
        <v>892</v>
      </c>
      <c r="I557" s="9" t="s">
        <v>59</v>
      </c>
      <c r="J557" t="s">
        <v>3619</v>
      </c>
      <c r="K557" s="9" t="s">
        <v>3626</v>
      </c>
      <c r="L557" s="9" t="s">
        <v>3627</v>
      </c>
      <c r="M557" s="9" t="s">
        <v>3628</v>
      </c>
      <c r="N557" s="9" t="s">
        <v>3629</v>
      </c>
      <c r="O557" s="9" t="s">
        <v>3630</v>
      </c>
      <c r="P557" s="10">
        <v>35</v>
      </c>
    </row>
    <row r="558" spans="1:16" ht="57.6" x14ac:dyDescent="0.3">
      <c r="A558" t="s">
        <v>3528</v>
      </c>
      <c r="B558" t="s">
        <v>3529</v>
      </c>
      <c r="C558" t="s">
        <v>221</v>
      </c>
      <c r="D558" s="9" t="s">
        <v>3631</v>
      </c>
      <c r="E558" t="s">
        <v>336</v>
      </c>
      <c r="F558" t="s">
        <v>143</v>
      </c>
      <c r="G558" t="s">
        <v>47</v>
      </c>
      <c r="H558" s="9" t="s">
        <v>892</v>
      </c>
      <c r="I558" s="9" t="s">
        <v>59</v>
      </c>
      <c r="J558" t="s">
        <v>3619</v>
      </c>
      <c r="K558" s="9" t="s">
        <v>3632</v>
      </c>
      <c r="L558" s="9" t="s">
        <v>3633</v>
      </c>
      <c r="M558" s="9" t="s">
        <v>3634</v>
      </c>
      <c r="N558" s="9"/>
      <c r="O558" s="9" t="s">
        <v>3635</v>
      </c>
      <c r="P558" s="10">
        <v>35</v>
      </c>
    </row>
    <row r="559" spans="1:16" ht="158.4" x14ac:dyDescent="0.3">
      <c r="A559" t="s">
        <v>3528</v>
      </c>
      <c r="B559" t="s">
        <v>3529</v>
      </c>
      <c r="C559" t="s">
        <v>766</v>
      </c>
      <c r="D559" s="9" t="s">
        <v>3636</v>
      </c>
      <c r="E559" t="s">
        <v>336</v>
      </c>
      <c r="F559" t="s">
        <v>143</v>
      </c>
      <c r="G559" t="s">
        <v>47</v>
      </c>
      <c r="H559" s="9"/>
      <c r="I559" s="9" t="s">
        <v>59</v>
      </c>
      <c r="J559" t="s">
        <v>3619</v>
      </c>
      <c r="K559" s="9" t="s">
        <v>3637</v>
      </c>
      <c r="L559" s="9" t="s">
        <v>3638</v>
      </c>
      <c r="M559" s="9" t="s">
        <v>3639</v>
      </c>
      <c r="N559" s="9" t="s">
        <v>3640</v>
      </c>
      <c r="O559" s="9" t="s">
        <v>3641</v>
      </c>
      <c r="P559" s="10">
        <v>35</v>
      </c>
    </row>
    <row r="560" spans="1:16" ht="115.2" x14ac:dyDescent="0.3">
      <c r="A560" t="s">
        <v>3528</v>
      </c>
      <c r="B560" t="s">
        <v>3529</v>
      </c>
      <c r="C560" t="s">
        <v>989</v>
      </c>
      <c r="D560" s="9" t="s">
        <v>3642</v>
      </c>
      <c r="E560" t="s">
        <v>1476</v>
      </c>
      <c r="F560" t="s">
        <v>143</v>
      </c>
      <c r="G560" t="s">
        <v>47</v>
      </c>
      <c r="H560" s="9" t="s">
        <v>59</v>
      </c>
      <c r="I560" s="9" t="s">
        <v>59</v>
      </c>
      <c r="J560" t="s">
        <v>3619</v>
      </c>
      <c r="K560" s="9" t="s">
        <v>3643</v>
      </c>
      <c r="L560" s="9" t="s">
        <v>3644</v>
      </c>
      <c r="M560" s="9" t="s">
        <v>3645</v>
      </c>
      <c r="N560" s="9" t="s">
        <v>3646</v>
      </c>
      <c r="O560" s="9" t="s">
        <v>3647</v>
      </c>
      <c r="P560" s="10">
        <v>35</v>
      </c>
    </row>
    <row r="561" spans="1:16" ht="129.6" x14ac:dyDescent="0.3">
      <c r="A561" t="s">
        <v>3528</v>
      </c>
      <c r="B561" t="s">
        <v>3529</v>
      </c>
      <c r="C561" t="s">
        <v>773</v>
      </c>
      <c r="D561" s="9" t="s">
        <v>3648</v>
      </c>
      <c r="E561" t="s">
        <v>1483</v>
      </c>
      <c r="F561" t="s">
        <v>143</v>
      </c>
      <c r="G561" t="s">
        <v>47</v>
      </c>
      <c r="H561" s="9" t="s">
        <v>59</v>
      </c>
      <c r="I561" s="9" t="s">
        <v>59</v>
      </c>
      <c r="J561" t="s">
        <v>3619</v>
      </c>
      <c r="K561" s="9" t="s">
        <v>3649</v>
      </c>
      <c r="L561" s="9" t="s">
        <v>3650</v>
      </c>
      <c r="M561" s="9" t="s">
        <v>3651</v>
      </c>
      <c r="N561" s="9" t="s">
        <v>3652</v>
      </c>
      <c r="O561" s="9" t="s">
        <v>3653</v>
      </c>
      <c r="P561" s="10">
        <v>35</v>
      </c>
    </row>
    <row r="562" spans="1:16" ht="129.6" x14ac:dyDescent="0.3">
      <c r="A562" t="s">
        <v>3528</v>
      </c>
      <c r="B562" t="s">
        <v>3529</v>
      </c>
      <c r="C562" t="s">
        <v>597</v>
      </c>
      <c r="D562" s="9" t="s">
        <v>3654</v>
      </c>
      <c r="E562" t="s">
        <v>1490</v>
      </c>
      <c r="F562" t="s">
        <v>143</v>
      </c>
      <c r="G562" t="s">
        <v>47</v>
      </c>
      <c r="H562" s="9" t="s">
        <v>59</v>
      </c>
      <c r="I562" s="9" t="s">
        <v>59</v>
      </c>
      <c r="J562" t="s">
        <v>3619</v>
      </c>
      <c r="K562" s="9" t="s">
        <v>3655</v>
      </c>
      <c r="L562" s="9" t="s">
        <v>3656</v>
      </c>
      <c r="M562" s="9" t="s">
        <v>3657</v>
      </c>
      <c r="N562" s="9" t="s">
        <v>3658</v>
      </c>
      <c r="O562" s="9" t="s">
        <v>3659</v>
      </c>
      <c r="P562" s="10">
        <v>35</v>
      </c>
    </row>
    <row r="563" spans="1:16" ht="187.2" x14ac:dyDescent="0.3">
      <c r="A563" t="s">
        <v>3528</v>
      </c>
      <c r="B563" t="s">
        <v>3529</v>
      </c>
      <c r="C563" t="s">
        <v>787</v>
      </c>
      <c r="D563" s="9" t="s">
        <v>3660</v>
      </c>
      <c r="E563" t="s">
        <v>860</v>
      </c>
      <c r="F563" t="s">
        <v>143</v>
      </c>
      <c r="G563" t="s">
        <v>47</v>
      </c>
      <c r="H563" s="9" t="s">
        <v>59</v>
      </c>
      <c r="I563" s="9" t="s">
        <v>59</v>
      </c>
      <c r="J563" t="s">
        <v>3619</v>
      </c>
      <c r="K563" s="9" t="s">
        <v>3661</v>
      </c>
      <c r="L563" s="9" t="s">
        <v>3662</v>
      </c>
      <c r="M563" s="9" t="s">
        <v>3663</v>
      </c>
      <c r="N563" s="9" t="s">
        <v>3664</v>
      </c>
      <c r="O563" s="9" t="s">
        <v>3665</v>
      </c>
      <c r="P563" s="10">
        <v>35</v>
      </c>
    </row>
    <row r="564" spans="1:16" ht="100.8" x14ac:dyDescent="0.3">
      <c r="A564" t="s">
        <v>3528</v>
      </c>
      <c r="B564" t="s">
        <v>3529</v>
      </c>
      <c r="C564" t="s">
        <v>604</v>
      </c>
      <c r="D564" s="9" t="s">
        <v>3666</v>
      </c>
      <c r="E564" t="s">
        <v>860</v>
      </c>
      <c r="F564" t="s">
        <v>143</v>
      </c>
      <c r="G564" t="s">
        <v>47</v>
      </c>
      <c r="H564" s="9" t="s">
        <v>59</v>
      </c>
      <c r="I564" s="9" t="s">
        <v>59</v>
      </c>
      <c r="J564" t="s">
        <v>3619</v>
      </c>
      <c r="K564" s="9" t="s">
        <v>3667</v>
      </c>
      <c r="L564" s="9" t="s">
        <v>3668</v>
      </c>
      <c r="M564" s="9" t="s">
        <v>3669</v>
      </c>
      <c r="N564" s="9" t="s">
        <v>3670</v>
      </c>
      <c r="O564" s="9" t="s">
        <v>3671</v>
      </c>
      <c r="P564" s="10">
        <v>35</v>
      </c>
    </row>
    <row r="565" spans="1:16" ht="172.8" x14ac:dyDescent="0.3">
      <c r="A565" t="s">
        <v>3528</v>
      </c>
      <c r="B565" t="s">
        <v>3529</v>
      </c>
      <c r="C565" t="s">
        <v>611</v>
      </c>
      <c r="D565" s="9" t="s">
        <v>3672</v>
      </c>
      <c r="E565" t="s">
        <v>3673</v>
      </c>
      <c r="F565" t="s">
        <v>143</v>
      </c>
      <c r="G565" t="s">
        <v>47</v>
      </c>
      <c r="H565" s="9"/>
      <c r="I565" s="9" t="s">
        <v>59</v>
      </c>
      <c r="J565" t="s">
        <v>3619</v>
      </c>
      <c r="K565" s="9" t="s">
        <v>3674</v>
      </c>
      <c r="L565" s="9" t="s">
        <v>3675</v>
      </c>
      <c r="M565" s="9" t="s">
        <v>3676</v>
      </c>
      <c r="N565" s="9" t="s">
        <v>3677</v>
      </c>
      <c r="O565" s="9" t="s">
        <v>3678</v>
      </c>
      <c r="P565" s="10">
        <v>35</v>
      </c>
    </row>
    <row r="566" spans="1:16" ht="100.8" x14ac:dyDescent="0.3">
      <c r="A566" t="s">
        <v>3528</v>
      </c>
      <c r="B566" t="s">
        <v>3529</v>
      </c>
      <c r="C566" t="s">
        <v>319</v>
      </c>
      <c r="D566" s="9" t="s">
        <v>3679</v>
      </c>
      <c r="E566" t="s">
        <v>352</v>
      </c>
      <c r="F566" t="s">
        <v>143</v>
      </c>
      <c r="G566" t="s">
        <v>47</v>
      </c>
      <c r="H566" s="9"/>
      <c r="I566" s="9" t="s">
        <v>59</v>
      </c>
      <c r="J566" t="s">
        <v>3619</v>
      </c>
      <c r="K566" s="9" t="s">
        <v>3680</v>
      </c>
      <c r="L566" s="9" t="s">
        <v>3681</v>
      </c>
      <c r="M566" s="9" t="s">
        <v>3682</v>
      </c>
      <c r="N566" s="9" t="s">
        <v>3683</v>
      </c>
      <c r="O566" s="9" t="s">
        <v>3684</v>
      </c>
      <c r="P566" s="10">
        <v>35</v>
      </c>
    </row>
    <row r="567" spans="1:16" ht="115.2" x14ac:dyDescent="0.3">
      <c r="A567" t="s">
        <v>3528</v>
      </c>
      <c r="B567" t="s">
        <v>3529</v>
      </c>
      <c r="C567" t="s">
        <v>620</v>
      </c>
      <c r="D567" s="9" t="s">
        <v>3685</v>
      </c>
      <c r="E567" t="s">
        <v>3287</v>
      </c>
      <c r="F567" t="s">
        <v>46</v>
      </c>
      <c r="G567" t="s">
        <v>47</v>
      </c>
      <c r="H567" s="9"/>
      <c r="I567" s="9" t="s">
        <v>59</v>
      </c>
      <c r="J567" t="s">
        <v>3619</v>
      </c>
      <c r="K567" s="9" t="s">
        <v>3686</v>
      </c>
      <c r="L567" s="9" t="s">
        <v>3687</v>
      </c>
      <c r="M567" s="9" t="s">
        <v>3688</v>
      </c>
      <c r="N567" s="9"/>
      <c r="O567" s="9" t="s">
        <v>3689</v>
      </c>
      <c r="P567" s="10">
        <v>35</v>
      </c>
    </row>
    <row r="568" spans="1:16" ht="129.6" x14ac:dyDescent="0.3">
      <c r="A568" t="s">
        <v>3528</v>
      </c>
      <c r="B568" t="s">
        <v>3529</v>
      </c>
      <c r="C568" t="s">
        <v>809</v>
      </c>
      <c r="D568" s="9" t="s">
        <v>3690</v>
      </c>
      <c r="E568" t="s">
        <v>875</v>
      </c>
      <c r="F568" t="s">
        <v>143</v>
      </c>
      <c r="G568" t="s">
        <v>47</v>
      </c>
      <c r="H568" s="9"/>
      <c r="I568" s="9" t="s">
        <v>59</v>
      </c>
      <c r="J568" t="s">
        <v>3619</v>
      </c>
      <c r="K568" s="9" t="s">
        <v>3691</v>
      </c>
      <c r="L568" s="9" t="s">
        <v>3692</v>
      </c>
      <c r="M568" s="9" t="s">
        <v>3693</v>
      </c>
      <c r="N568" s="9" t="s">
        <v>3694</v>
      </c>
      <c r="O568" s="9" t="s">
        <v>3695</v>
      </c>
      <c r="P568" s="10">
        <v>35</v>
      </c>
    </row>
    <row r="569" spans="1:16" ht="72" x14ac:dyDescent="0.3">
      <c r="A569" t="s">
        <v>3528</v>
      </c>
      <c r="B569" t="s">
        <v>3529</v>
      </c>
      <c r="C569" t="s">
        <v>816</v>
      </c>
      <c r="D569" s="9" t="s">
        <v>3696</v>
      </c>
      <c r="E569" t="s">
        <v>2073</v>
      </c>
      <c r="F569" t="s">
        <v>143</v>
      </c>
      <c r="G569" t="s">
        <v>47</v>
      </c>
      <c r="H569" s="9"/>
      <c r="I569" s="9" t="s">
        <v>59</v>
      </c>
      <c r="J569" t="s">
        <v>3619</v>
      </c>
      <c r="K569" s="9" t="s">
        <v>3697</v>
      </c>
      <c r="L569" s="9" t="s">
        <v>3698</v>
      </c>
      <c r="M569" s="9" t="s">
        <v>3699</v>
      </c>
      <c r="N569" s="9" t="s">
        <v>3700</v>
      </c>
      <c r="O569" s="9" t="s">
        <v>3701</v>
      </c>
      <c r="P569" s="10">
        <v>35</v>
      </c>
    </row>
    <row r="570" spans="1:16" ht="57.6" x14ac:dyDescent="0.3">
      <c r="A570" t="s">
        <v>3528</v>
      </c>
      <c r="B570" t="s">
        <v>3529</v>
      </c>
      <c r="C570" t="s">
        <v>1175</v>
      </c>
      <c r="D570" s="9" t="s">
        <v>3702</v>
      </c>
      <c r="E570" t="s">
        <v>2413</v>
      </c>
      <c r="F570" t="s">
        <v>46</v>
      </c>
      <c r="G570" t="s">
        <v>47</v>
      </c>
      <c r="H570" s="9"/>
      <c r="I570" s="9" t="s">
        <v>59</v>
      </c>
      <c r="J570" t="s">
        <v>3703</v>
      </c>
      <c r="K570" s="9" t="s">
        <v>3704</v>
      </c>
      <c r="L570" s="9" t="s">
        <v>3705</v>
      </c>
      <c r="M570" s="9" t="s">
        <v>3706</v>
      </c>
      <c r="N570" s="9"/>
      <c r="O570" s="9" t="s">
        <v>3707</v>
      </c>
      <c r="P570" s="10">
        <v>35</v>
      </c>
    </row>
    <row r="571" spans="1:16" ht="100.8" x14ac:dyDescent="0.3">
      <c r="A571" t="s">
        <v>3528</v>
      </c>
      <c r="B571" t="s">
        <v>3529</v>
      </c>
      <c r="C571" t="s">
        <v>627</v>
      </c>
      <c r="D571" s="9" t="s">
        <v>3708</v>
      </c>
      <c r="E571" t="s">
        <v>2413</v>
      </c>
      <c r="F571" t="s">
        <v>143</v>
      </c>
      <c r="G571" t="s">
        <v>47</v>
      </c>
      <c r="H571" s="9" t="s">
        <v>469</v>
      </c>
      <c r="I571" s="9" t="s">
        <v>106</v>
      </c>
      <c r="J571" t="s">
        <v>3619</v>
      </c>
      <c r="K571" s="9" t="s">
        <v>3709</v>
      </c>
      <c r="L571" s="9" t="s">
        <v>3710</v>
      </c>
      <c r="M571" s="9" t="s">
        <v>3711</v>
      </c>
      <c r="N571" s="9" t="s">
        <v>3712</v>
      </c>
      <c r="O571" s="9" t="s">
        <v>3713</v>
      </c>
      <c r="P571" s="10">
        <v>35</v>
      </c>
    </row>
    <row r="572" spans="1:16" ht="158.4" x14ac:dyDescent="0.3">
      <c r="A572" t="s">
        <v>3528</v>
      </c>
      <c r="B572" t="s">
        <v>3529</v>
      </c>
      <c r="C572" t="s">
        <v>634</v>
      </c>
      <c r="D572" s="9" t="s">
        <v>3714</v>
      </c>
      <c r="E572" t="s">
        <v>3715</v>
      </c>
      <c r="F572" t="s">
        <v>143</v>
      </c>
      <c r="G572" t="s">
        <v>47</v>
      </c>
      <c r="H572" s="9" t="s">
        <v>2710</v>
      </c>
      <c r="I572" s="9" t="s">
        <v>3716</v>
      </c>
      <c r="J572" t="s">
        <v>3619</v>
      </c>
      <c r="K572" s="9" t="s">
        <v>3717</v>
      </c>
      <c r="L572" s="9" t="s">
        <v>3718</v>
      </c>
      <c r="M572" s="9" t="s">
        <v>3719</v>
      </c>
      <c r="N572" s="9" t="s">
        <v>3720</v>
      </c>
      <c r="O572" s="9" t="s">
        <v>3721</v>
      </c>
      <c r="P572" s="10">
        <v>35</v>
      </c>
    </row>
    <row r="573" spans="1:16" ht="144" x14ac:dyDescent="0.3">
      <c r="A573" t="s">
        <v>3528</v>
      </c>
      <c r="B573" t="s">
        <v>3529</v>
      </c>
      <c r="C573" t="s">
        <v>642</v>
      </c>
      <c r="D573" s="9" t="s">
        <v>3722</v>
      </c>
      <c r="E573" t="s">
        <v>3723</v>
      </c>
      <c r="F573" t="s">
        <v>143</v>
      </c>
      <c r="G573" t="s">
        <v>47</v>
      </c>
      <c r="H573" s="9" t="s">
        <v>3724</v>
      </c>
      <c r="I573" s="9" t="s">
        <v>3716</v>
      </c>
      <c r="J573" t="s">
        <v>3619</v>
      </c>
      <c r="K573" s="9" t="s">
        <v>3725</v>
      </c>
      <c r="L573" s="9" t="s">
        <v>3726</v>
      </c>
      <c r="M573" s="9" t="s">
        <v>3727</v>
      </c>
      <c r="N573" s="9" t="s">
        <v>3728</v>
      </c>
      <c r="O573" s="9" t="s">
        <v>3729</v>
      </c>
      <c r="P573" s="10">
        <v>35</v>
      </c>
    </row>
    <row r="574" spans="1:16" ht="129.6" x14ac:dyDescent="0.3">
      <c r="A574" t="s">
        <v>3528</v>
      </c>
      <c r="B574" t="s">
        <v>3529</v>
      </c>
      <c r="C574" t="s">
        <v>649</v>
      </c>
      <c r="D574" s="9" t="s">
        <v>3730</v>
      </c>
      <c r="E574" t="s">
        <v>3731</v>
      </c>
      <c r="F574" t="s">
        <v>143</v>
      </c>
      <c r="G574" t="s">
        <v>47</v>
      </c>
      <c r="H574" s="9" t="s">
        <v>3732</v>
      </c>
      <c r="I574" s="9" t="s">
        <v>3716</v>
      </c>
      <c r="J574" t="s">
        <v>3619</v>
      </c>
      <c r="K574" s="9" t="s">
        <v>3733</v>
      </c>
      <c r="L574" s="9" t="s">
        <v>3734</v>
      </c>
      <c r="M574" s="9" t="s">
        <v>3735</v>
      </c>
      <c r="N574" s="9" t="s">
        <v>3736</v>
      </c>
      <c r="O574" s="9" t="s">
        <v>3737</v>
      </c>
      <c r="P574" s="10">
        <v>35</v>
      </c>
    </row>
    <row r="575" spans="1:16" ht="129.6" x14ac:dyDescent="0.3">
      <c r="A575" t="s">
        <v>3528</v>
      </c>
      <c r="B575" t="s">
        <v>3529</v>
      </c>
      <c r="C575" t="s">
        <v>657</v>
      </c>
      <c r="D575" s="9" t="s">
        <v>3738</v>
      </c>
      <c r="E575" t="s">
        <v>3739</v>
      </c>
      <c r="F575" t="s">
        <v>143</v>
      </c>
      <c r="G575" t="s">
        <v>47</v>
      </c>
      <c r="H575" s="9" t="s">
        <v>469</v>
      </c>
      <c r="I575" s="9" t="s">
        <v>3716</v>
      </c>
      <c r="J575" t="s">
        <v>3619</v>
      </c>
      <c r="K575" s="9" t="s">
        <v>3740</v>
      </c>
      <c r="L575" s="9" t="s">
        <v>3741</v>
      </c>
      <c r="M575" s="9" t="s">
        <v>3742</v>
      </c>
      <c r="N575" s="9" t="s">
        <v>3743</v>
      </c>
      <c r="O575" s="9" t="s">
        <v>3744</v>
      </c>
      <c r="P575" s="10">
        <v>35</v>
      </c>
    </row>
    <row r="576" spans="1:16" ht="129.6" x14ac:dyDescent="0.3">
      <c r="A576" t="s">
        <v>3528</v>
      </c>
      <c r="B576" t="s">
        <v>3529</v>
      </c>
      <c r="C576" t="s">
        <v>352</v>
      </c>
      <c r="D576" s="9" t="s">
        <v>3745</v>
      </c>
      <c r="E576" t="s">
        <v>3331</v>
      </c>
      <c r="F576" t="s">
        <v>143</v>
      </c>
      <c r="G576" t="s">
        <v>47</v>
      </c>
      <c r="H576" s="9" t="s">
        <v>488</v>
      </c>
      <c r="I576" s="9" t="s">
        <v>59</v>
      </c>
      <c r="J576" t="s">
        <v>3619</v>
      </c>
      <c r="K576" s="9" t="s">
        <v>3746</v>
      </c>
      <c r="L576" s="9" t="s">
        <v>3747</v>
      </c>
      <c r="M576" s="9" t="s">
        <v>3748</v>
      </c>
      <c r="N576" s="9" t="s">
        <v>3749</v>
      </c>
      <c r="O576" s="9" t="s">
        <v>3750</v>
      </c>
      <c r="P576" s="10">
        <v>35</v>
      </c>
    </row>
    <row r="577" spans="1:16" ht="115.2" x14ac:dyDescent="0.3">
      <c r="A577" t="s">
        <v>3528</v>
      </c>
      <c r="B577" t="s">
        <v>3529</v>
      </c>
      <c r="C577" t="s">
        <v>875</v>
      </c>
      <c r="D577" s="9" t="s">
        <v>3751</v>
      </c>
      <c r="E577" t="s">
        <v>3752</v>
      </c>
      <c r="F577" t="s">
        <v>143</v>
      </c>
      <c r="G577" t="s">
        <v>47</v>
      </c>
      <c r="H577" s="9" t="s">
        <v>59</v>
      </c>
      <c r="I577" s="9" t="s">
        <v>59</v>
      </c>
      <c r="J577" t="s">
        <v>3619</v>
      </c>
      <c r="K577" s="9" t="s">
        <v>3753</v>
      </c>
      <c r="L577" s="9" t="s">
        <v>3754</v>
      </c>
      <c r="M577" s="9" t="s">
        <v>3755</v>
      </c>
      <c r="N577" s="9" t="s">
        <v>3756</v>
      </c>
      <c r="O577" s="9" t="s">
        <v>3757</v>
      </c>
      <c r="P577" s="10">
        <v>35</v>
      </c>
    </row>
    <row r="578" spans="1:16" ht="86.4" x14ac:dyDescent="0.3">
      <c r="A578" t="s">
        <v>3528</v>
      </c>
      <c r="B578" t="s">
        <v>3529</v>
      </c>
      <c r="C578" t="s">
        <v>2413</v>
      </c>
      <c r="D578" s="9" t="s">
        <v>3758</v>
      </c>
      <c r="E578" t="s">
        <v>3759</v>
      </c>
      <c r="F578" t="s">
        <v>116</v>
      </c>
      <c r="G578" t="s">
        <v>47</v>
      </c>
      <c r="H578" s="9" t="s">
        <v>711</v>
      </c>
      <c r="I578" s="9"/>
      <c r="J578" t="s">
        <v>3703</v>
      </c>
      <c r="K578" s="9" t="s">
        <v>3760</v>
      </c>
      <c r="L578" s="9"/>
      <c r="M578" s="9" t="s">
        <v>3761</v>
      </c>
      <c r="N578" s="9" t="s">
        <v>3762</v>
      </c>
      <c r="O578" s="9" t="s">
        <v>3763</v>
      </c>
      <c r="P578" s="10">
        <v>35</v>
      </c>
    </row>
    <row r="579" spans="1:16" ht="144" x14ac:dyDescent="0.3">
      <c r="A579" t="s">
        <v>3528</v>
      </c>
      <c r="B579" t="s">
        <v>3529</v>
      </c>
      <c r="C579" t="s">
        <v>883</v>
      </c>
      <c r="D579" s="9" t="s">
        <v>3764</v>
      </c>
      <c r="E579" t="s">
        <v>3765</v>
      </c>
      <c r="F579" t="s">
        <v>116</v>
      </c>
      <c r="G579" t="s">
        <v>47</v>
      </c>
      <c r="H579" s="9"/>
      <c r="I579" s="9"/>
      <c r="J579" t="s">
        <v>3703</v>
      </c>
      <c r="K579" s="9" t="s">
        <v>3766</v>
      </c>
      <c r="L579" s="9"/>
      <c r="M579" s="9" t="s">
        <v>3767</v>
      </c>
      <c r="N579" s="9" t="s">
        <v>3768</v>
      </c>
      <c r="O579" s="9" t="s">
        <v>3769</v>
      </c>
      <c r="P579" s="10">
        <v>35</v>
      </c>
    </row>
    <row r="580" spans="1:16" ht="172.8" x14ac:dyDescent="0.3">
      <c r="A580" t="s">
        <v>3528</v>
      </c>
      <c r="B580" t="s">
        <v>3529</v>
      </c>
      <c r="C580" t="s">
        <v>360</v>
      </c>
      <c r="D580" s="9" t="s">
        <v>3770</v>
      </c>
      <c r="E580" t="s">
        <v>954</v>
      </c>
      <c r="F580" t="s">
        <v>116</v>
      </c>
      <c r="G580" t="s">
        <v>47</v>
      </c>
      <c r="H580" s="9" t="s">
        <v>671</v>
      </c>
      <c r="I580" s="9"/>
      <c r="J580" t="s">
        <v>3568</v>
      </c>
      <c r="K580" s="9" t="s">
        <v>3771</v>
      </c>
      <c r="L580" s="9"/>
      <c r="M580" s="9" t="s">
        <v>3772</v>
      </c>
      <c r="N580" s="9" t="s">
        <v>3773</v>
      </c>
      <c r="O580" s="9" t="s">
        <v>3774</v>
      </c>
      <c r="P580" s="10">
        <v>35</v>
      </c>
    </row>
    <row r="581" spans="1:16" ht="129.6" x14ac:dyDescent="0.3">
      <c r="A581" t="s">
        <v>3528</v>
      </c>
      <c r="B581" t="s">
        <v>3529</v>
      </c>
      <c r="C581" t="s">
        <v>890</v>
      </c>
      <c r="D581" s="9" t="s">
        <v>3775</v>
      </c>
      <c r="E581" t="s">
        <v>3776</v>
      </c>
      <c r="F581" t="s">
        <v>116</v>
      </c>
      <c r="G581" t="s">
        <v>47</v>
      </c>
      <c r="H581" s="9"/>
      <c r="I581" s="9"/>
      <c r="K581" s="9" t="s">
        <v>3777</v>
      </c>
      <c r="L581" s="9"/>
      <c r="M581" s="9" t="s">
        <v>3778</v>
      </c>
      <c r="N581" s="9" t="s">
        <v>3779</v>
      </c>
      <c r="O581" s="9" t="s">
        <v>3780</v>
      </c>
      <c r="P581" s="10">
        <v>35</v>
      </c>
    </row>
    <row r="582" spans="1:16" ht="187.2" x14ac:dyDescent="0.3">
      <c r="A582" t="s">
        <v>3528</v>
      </c>
      <c r="B582" t="s">
        <v>3529</v>
      </c>
      <c r="C582" t="s">
        <v>677</v>
      </c>
      <c r="D582" s="9" t="s">
        <v>3781</v>
      </c>
      <c r="E582" t="s">
        <v>3782</v>
      </c>
      <c r="F582" t="s">
        <v>116</v>
      </c>
      <c r="G582" t="s">
        <v>47</v>
      </c>
      <c r="H582" s="9"/>
      <c r="I582" s="9"/>
      <c r="K582" s="9" t="s">
        <v>3783</v>
      </c>
      <c r="L582" s="9"/>
      <c r="M582" s="9" t="s">
        <v>3784</v>
      </c>
      <c r="N582" s="9" t="s">
        <v>3785</v>
      </c>
      <c r="O582" s="9" t="s">
        <v>3786</v>
      </c>
      <c r="P582" s="10">
        <v>35</v>
      </c>
    </row>
    <row r="583" spans="1:16" ht="230.4" x14ac:dyDescent="0.3">
      <c r="A583" t="s">
        <v>3528</v>
      </c>
      <c r="B583" t="s">
        <v>3529</v>
      </c>
      <c r="C583" t="s">
        <v>905</v>
      </c>
      <c r="D583" s="9" t="s">
        <v>3787</v>
      </c>
      <c r="E583" t="s">
        <v>3782</v>
      </c>
      <c r="F583" t="s">
        <v>116</v>
      </c>
      <c r="G583" t="s">
        <v>47</v>
      </c>
      <c r="H583" s="9"/>
      <c r="I583" s="9"/>
      <c r="K583" s="9" t="s">
        <v>3788</v>
      </c>
      <c r="L583" s="9"/>
      <c r="M583" s="9" t="s">
        <v>3789</v>
      </c>
      <c r="N583" s="9" t="s">
        <v>3790</v>
      </c>
      <c r="O583" s="9" t="s">
        <v>3791</v>
      </c>
      <c r="P583" s="10">
        <v>35</v>
      </c>
    </row>
    <row r="584" spans="1:16" ht="115.2" x14ac:dyDescent="0.3">
      <c r="A584" t="s">
        <v>3528</v>
      </c>
      <c r="B584" t="s">
        <v>3529</v>
      </c>
      <c r="C584" t="s">
        <v>912</v>
      </c>
      <c r="D584" s="9" t="s">
        <v>3792</v>
      </c>
      <c r="E584" t="s">
        <v>3793</v>
      </c>
      <c r="F584" t="s">
        <v>143</v>
      </c>
      <c r="G584" t="s">
        <v>47</v>
      </c>
      <c r="H584" s="9" t="s">
        <v>3794</v>
      </c>
      <c r="I584" s="9" t="s">
        <v>59</v>
      </c>
      <c r="J584" t="s">
        <v>3795</v>
      </c>
      <c r="K584" s="9" t="s">
        <v>3796</v>
      </c>
      <c r="L584" s="9" t="s">
        <v>3797</v>
      </c>
      <c r="M584" s="9" t="s">
        <v>3798</v>
      </c>
      <c r="N584" s="9" t="s">
        <v>3799</v>
      </c>
      <c r="O584" s="9" t="s">
        <v>3800</v>
      </c>
      <c r="P584" s="10">
        <v>35</v>
      </c>
    </row>
    <row r="585" spans="1:16" ht="115.2" x14ac:dyDescent="0.3">
      <c r="A585" t="s">
        <v>3528</v>
      </c>
      <c r="B585" t="s">
        <v>3529</v>
      </c>
      <c r="C585" t="s">
        <v>685</v>
      </c>
      <c r="D585" s="9" t="s">
        <v>3801</v>
      </c>
      <c r="E585" t="s">
        <v>3802</v>
      </c>
      <c r="F585" t="s">
        <v>143</v>
      </c>
      <c r="G585" t="s">
        <v>47</v>
      </c>
      <c r="H585" s="9" t="s">
        <v>3794</v>
      </c>
      <c r="I585" s="9" t="s">
        <v>59</v>
      </c>
      <c r="K585" s="9" t="s">
        <v>3803</v>
      </c>
      <c r="L585" s="9" t="s">
        <v>3804</v>
      </c>
      <c r="M585" s="9" t="s">
        <v>3805</v>
      </c>
      <c r="N585" s="9" t="s">
        <v>3806</v>
      </c>
      <c r="O585" s="9" t="s">
        <v>3807</v>
      </c>
      <c r="P585" s="10">
        <v>35</v>
      </c>
    </row>
    <row r="586" spans="1:16" ht="86.4" x14ac:dyDescent="0.3">
      <c r="A586" t="s">
        <v>3528</v>
      </c>
      <c r="B586" t="s">
        <v>3529</v>
      </c>
      <c r="C586" t="s">
        <v>692</v>
      </c>
      <c r="D586" s="9" t="s">
        <v>3808</v>
      </c>
      <c r="E586" t="s">
        <v>3809</v>
      </c>
      <c r="F586" t="s">
        <v>143</v>
      </c>
      <c r="G586" t="s">
        <v>47</v>
      </c>
      <c r="H586" s="9"/>
      <c r="I586" s="9" t="s">
        <v>59</v>
      </c>
      <c r="J586" t="s">
        <v>3703</v>
      </c>
      <c r="K586" s="9" t="s">
        <v>3810</v>
      </c>
      <c r="L586" s="9" t="s">
        <v>3811</v>
      </c>
      <c r="M586" s="9" t="s">
        <v>3812</v>
      </c>
      <c r="N586" s="9" t="s">
        <v>3813</v>
      </c>
      <c r="O586" s="9" t="s">
        <v>3814</v>
      </c>
      <c r="P586" s="10">
        <v>35</v>
      </c>
    </row>
    <row r="587" spans="1:16" ht="115.2" x14ac:dyDescent="0.3">
      <c r="A587" t="s">
        <v>3528</v>
      </c>
      <c r="B587" t="s">
        <v>3529</v>
      </c>
      <c r="C587" t="s">
        <v>925</v>
      </c>
      <c r="D587" s="9" t="s">
        <v>3815</v>
      </c>
      <c r="E587" t="s">
        <v>2057</v>
      </c>
      <c r="F587" t="s">
        <v>143</v>
      </c>
      <c r="G587" t="s">
        <v>47</v>
      </c>
      <c r="H587" s="9"/>
      <c r="I587" s="9" t="s">
        <v>59</v>
      </c>
      <c r="K587" s="9" t="s">
        <v>3816</v>
      </c>
      <c r="L587" s="9" t="s">
        <v>3817</v>
      </c>
      <c r="M587" s="9" t="s">
        <v>3818</v>
      </c>
      <c r="N587" s="9" t="s">
        <v>3819</v>
      </c>
      <c r="O587" s="9" t="s">
        <v>3820</v>
      </c>
      <c r="P587" s="10">
        <v>35</v>
      </c>
    </row>
    <row r="588" spans="1:16" ht="230.4" x14ac:dyDescent="0.3">
      <c r="A588" t="s">
        <v>3528</v>
      </c>
      <c r="B588" t="s">
        <v>3529</v>
      </c>
      <c r="C588" t="s">
        <v>3821</v>
      </c>
      <c r="D588" s="9" t="s">
        <v>3822</v>
      </c>
      <c r="E588" t="s">
        <v>3823</v>
      </c>
      <c r="F588" t="s">
        <v>143</v>
      </c>
      <c r="G588" t="s">
        <v>47</v>
      </c>
      <c r="H588" s="9" t="s">
        <v>3794</v>
      </c>
      <c r="I588" s="9" t="s">
        <v>59</v>
      </c>
      <c r="J588" t="s">
        <v>3795</v>
      </c>
      <c r="K588" s="9" t="s">
        <v>3824</v>
      </c>
      <c r="L588" s="9" t="s">
        <v>3825</v>
      </c>
      <c r="M588" s="9" t="s">
        <v>3826</v>
      </c>
      <c r="N588" s="9" t="s">
        <v>3827</v>
      </c>
      <c r="O588" s="9" t="s">
        <v>3828</v>
      </c>
      <c r="P588" s="10">
        <v>35</v>
      </c>
    </row>
    <row r="589" spans="1:16" ht="100.8" x14ac:dyDescent="0.3">
      <c r="A589" t="s">
        <v>3528</v>
      </c>
      <c r="B589" t="s">
        <v>3529</v>
      </c>
      <c r="C589" t="s">
        <v>933</v>
      </c>
      <c r="D589" s="9" t="s">
        <v>3829</v>
      </c>
      <c r="E589" t="s">
        <v>3830</v>
      </c>
      <c r="F589" t="s">
        <v>143</v>
      </c>
      <c r="G589" t="s">
        <v>47</v>
      </c>
      <c r="H589" s="9"/>
      <c r="I589" s="9" t="s">
        <v>59</v>
      </c>
      <c r="K589" s="9" t="s">
        <v>3831</v>
      </c>
      <c r="L589" s="9" t="s">
        <v>3832</v>
      </c>
      <c r="M589" s="9" t="s">
        <v>3833</v>
      </c>
      <c r="N589" s="9" t="s">
        <v>3834</v>
      </c>
      <c r="O589" s="9" t="s">
        <v>3835</v>
      </c>
      <c r="P589" s="10">
        <v>35</v>
      </c>
    </row>
    <row r="590" spans="1:16" ht="403.2" x14ac:dyDescent="0.3">
      <c r="A590" t="s">
        <v>3528</v>
      </c>
      <c r="B590" t="s">
        <v>3836</v>
      </c>
      <c r="C590" t="s">
        <v>3837</v>
      </c>
      <c r="D590" s="9" t="s">
        <v>3838</v>
      </c>
      <c r="E590" t="s">
        <v>312</v>
      </c>
      <c r="F590" t="s">
        <v>143</v>
      </c>
      <c r="G590" t="s">
        <v>47</v>
      </c>
      <c r="H590" s="9" t="s">
        <v>3544</v>
      </c>
      <c r="I590" s="9" t="s">
        <v>144</v>
      </c>
      <c r="K590" s="9" t="s">
        <v>3839</v>
      </c>
      <c r="L590" s="9"/>
      <c r="M590" s="9" t="s">
        <v>3840</v>
      </c>
      <c r="N590" s="9" t="s">
        <v>3841</v>
      </c>
      <c r="O590" s="9" t="s">
        <v>3842</v>
      </c>
      <c r="P590" s="10">
        <v>36</v>
      </c>
    </row>
    <row r="591" spans="1:16" ht="409.6" x14ac:dyDescent="0.3">
      <c r="A591" t="s">
        <v>3528</v>
      </c>
      <c r="B591" t="s">
        <v>3836</v>
      </c>
      <c r="C591" t="s">
        <v>43</v>
      </c>
      <c r="D591" s="9" t="s">
        <v>3843</v>
      </c>
      <c r="E591" t="s">
        <v>1794</v>
      </c>
      <c r="F591" t="s">
        <v>143</v>
      </c>
      <c r="G591" t="s">
        <v>47</v>
      </c>
      <c r="H591" s="9" t="s">
        <v>3544</v>
      </c>
      <c r="I591" s="9" t="s">
        <v>144</v>
      </c>
      <c r="K591" s="9" t="s">
        <v>3844</v>
      </c>
      <c r="L591" s="9"/>
      <c r="M591" s="9" t="s">
        <v>3845</v>
      </c>
      <c r="N591" s="9" t="s">
        <v>3846</v>
      </c>
      <c r="O591" s="9" t="s">
        <v>3847</v>
      </c>
      <c r="P591" s="10">
        <v>36</v>
      </c>
    </row>
    <row r="592" spans="1:16" ht="244.8" x14ac:dyDescent="0.3">
      <c r="A592" t="s">
        <v>3528</v>
      </c>
      <c r="B592" t="s">
        <v>3836</v>
      </c>
      <c r="C592" t="s">
        <v>68</v>
      </c>
      <c r="D592" s="9" t="s">
        <v>3848</v>
      </c>
      <c r="E592" t="s">
        <v>1313</v>
      </c>
      <c r="F592" t="s">
        <v>143</v>
      </c>
      <c r="G592" t="s">
        <v>47</v>
      </c>
      <c r="H592" s="9" t="s">
        <v>3544</v>
      </c>
      <c r="I592" s="9" t="s">
        <v>144</v>
      </c>
      <c r="K592" s="9" t="s">
        <v>3849</v>
      </c>
      <c r="L592" s="9"/>
      <c r="M592" s="9" t="s">
        <v>3850</v>
      </c>
      <c r="N592" s="9" t="s">
        <v>3851</v>
      </c>
      <c r="O592" s="9" t="s">
        <v>3852</v>
      </c>
      <c r="P592" s="10">
        <v>36</v>
      </c>
    </row>
    <row r="593" spans="1:16" ht="409.6" x14ac:dyDescent="0.3">
      <c r="A593" t="s">
        <v>3528</v>
      </c>
      <c r="B593" t="s">
        <v>3836</v>
      </c>
      <c r="C593" t="s">
        <v>449</v>
      </c>
      <c r="D593" s="9" t="s">
        <v>3853</v>
      </c>
      <c r="E593" t="s">
        <v>3854</v>
      </c>
      <c r="F593" t="s">
        <v>143</v>
      </c>
      <c r="G593" t="s">
        <v>47</v>
      </c>
      <c r="H593" s="9" t="s">
        <v>3544</v>
      </c>
      <c r="I593" s="9" t="s">
        <v>144</v>
      </c>
      <c r="K593" s="9" t="s">
        <v>3855</v>
      </c>
      <c r="L593" s="9"/>
      <c r="M593" s="9" t="s">
        <v>3856</v>
      </c>
      <c r="N593" s="9" t="s">
        <v>3857</v>
      </c>
      <c r="O593" s="9" t="s">
        <v>3858</v>
      </c>
      <c r="P593" s="10">
        <v>36</v>
      </c>
    </row>
    <row r="594" spans="1:16" ht="172.8" x14ac:dyDescent="0.3">
      <c r="A594" t="s">
        <v>3528</v>
      </c>
      <c r="B594" t="s">
        <v>3836</v>
      </c>
      <c r="C594" t="s">
        <v>458</v>
      </c>
      <c r="D594" s="9" t="s">
        <v>3859</v>
      </c>
      <c r="E594" t="s">
        <v>74</v>
      </c>
      <c r="F594" t="s">
        <v>143</v>
      </c>
      <c r="G594" t="s">
        <v>47</v>
      </c>
      <c r="H594" s="9" t="s">
        <v>3860</v>
      </c>
      <c r="I594" s="9" t="s">
        <v>144</v>
      </c>
      <c r="J594" t="s">
        <v>3861</v>
      </c>
      <c r="K594" s="9" t="s">
        <v>3862</v>
      </c>
      <c r="L594" s="9" t="s">
        <v>3863</v>
      </c>
      <c r="M594" s="9" t="s">
        <v>3864</v>
      </c>
      <c r="N594" s="9" t="s">
        <v>3865</v>
      </c>
      <c r="O594" s="9" t="s">
        <v>3866</v>
      </c>
      <c r="P594" s="10">
        <v>36</v>
      </c>
    </row>
    <row r="595" spans="1:16" ht="100.8" x14ac:dyDescent="0.3">
      <c r="A595" t="s">
        <v>3528</v>
      </c>
      <c r="B595" t="s">
        <v>3836</v>
      </c>
      <c r="C595" t="s">
        <v>466</v>
      </c>
      <c r="D595" s="9" t="s">
        <v>3867</v>
      </c>
      <c r="E595" t="s">
        <v>74</v>
      </c>
      <c r="F595" t="s">
        <v>143</v>
      </c>
      <c r="G595" t="s">
        <v>47</v>
      </c>
      <c r="H595" s="9" t="s">
        <v>3868</v>
      </c>
      <c r="I595" s="9" t="s">
        <v>144</v>
      </c>
      <c r="J595" t="s">
        <v>19</v>
      </c>
      <c r="K595" s="9" t="s">
        <v>3869</v>
      </c>
      <c r="L595" s="9" t="s">
        <v>3870</v>
      </c>
      <c r="M595" s="9" t="s">
        <v>3871</v>
      </c>
      <c r="N595" s="9" t="s">
        <v>3872</v>
      </c>
      <c r="O595" s="9" t="s">
        <v>3873</v>
      </c>
      <c r="P595" s="10">
        <v>36</v>
      </c>
    </row>
    <row r="596" spans="1:16" ht="57.6" x14ac:dyDescent="0.3">
      <c r="A596" t="s">
        <v>3528</v>
      </c>
      <c r="B596" t="s">
        <v>3836</v>
      </c>
      <c r="C596" t="s">
        <v>215</v>
      </c>
      <c r="D596" s="9" t="s">
        <v>3874</v>
      </c>
      <c r="E596" t="s">
        <v>1394</v>
      </c>
      <c r="F596" t="s">
        <v>116</v>
      </c>
      <c r="G596" t="s">
        <v>47</v>
      </c>
      <c r="H596" s="9" t="s">
        <v>59</v>
      </c>
      <c r="I596" s="9" t="s">
        <v>59</v>
      </c>
      <c r="J596" t="s">
        <v>19</v>
      </c>
      <c r="K596" s="9" t="s">
        <v>3875</v>
      </c>
      <c r="L596" s="9" t="s">
        <v>3876</v>
      </c>
      <c r="M596" s="9" t="s">
        <v>3877</v>
      </c>
      <c r="N596" s="9"/>
      <c r="O596" s="9" t="s">
        <v>3878</v>
      </c>
      <c r="P596" s="10">
        <v>36</v>
      </c>
    </row>
    <row r="597" spans="1:16" ht="57.6" x14ac:dyDescent="0.3">
      <c r="A597" t="s">
        <v>3528</v>
      </c>
      <c r="B597" t="s">
        <v>3836</v>
      </c>
      <c r="C597" t="s">
        <v>221</v>
      </c>
      <c r="D597" s="9" t="s">
        <v>3879</v>
      </c>
      <c r="E597" t="s">
        <v>809</v>
      </c>
      <c r="F597" t="s">
        <v>116</v>
      </c>
      <c r="G597" t="s">
        <v>47</v>
      </c>
      <c r="H597" s="9" t="s">
        <v>3880</v>
      </c>
      <c r="I597" s="9" t="s">
        <v>59</v>
      </c>
      <c r="J597" t="s">
        <v>19</v>
      </c>
      <c r="K597" s="9" t="s">
        <v>3881</v>
      </c>
      <c r="L597" s="9" t="s">
        <v>3882</v>
      </c>
      <c r="M597" s="9" t="s">
        <v>3883</v>
      </c>
      <c r="N597" s="9"/>
      <c r="O597" s="9" t="s">
        <v>3884</v>
      </c>
      <c r="P597" s="10">
        <v>36</v>
      </c>
    </row>
    <row r="598" spans="1:16" ht="216" x14ac:dyDescent="0.3">
      <c r="A598" t="s">
        <v>3528</v>
      </c>
      <c r="B598" t="s">
        <v>3836</v>
      </c>
      <c r="C598" t="s">
        <v>766</v>
      </c>
      <c r="D598" s="9" t="s">
        <v>3885</v>
      </c>
      <c r="E598" t="s">
        <v>583</v>
      </c>
      <c r="F598" t="s">
        <v>143</v>
      </c>
      <c r="G598" t="s">
        <v>47</v>
      </c>
      <c r="H598" s="9" t="s">
        <v>59</v>
      </c>
      <c r="I598" s="9" t="s">
        <v>59</v>
      </c>
      <c r="J598" t="s">
        <v>19</v>
      </c>
      <c r="K598" s="9" t="s">
        <v>3886</v>
      </c>
      <c r="L598" s="9" t="s">
        <v>3887</v>
      </c>
      <c r="M598" s="9" t="s">
        <v>3888</v>
      </c>
      <c r="N598" s="9" t="s">
        <v>3889</v>
      </c>
      <c r="O598" s="9" t="s">
        <v>3890</v>
      </c>
      <c r="P598" s="10">
        <v>36</v>
      </c>
    </row>
    <row r="599" spans="1:16" ht="216" x14ac:dyDescent="0.3">
      <c r="A599" t="s">
        <v>3528</v>
      </c>
      <c r="B599" t="s">
        <v>3836</v>
      </c>
      <c r="C599" t="s">
        <v>773</v>
      </c>
      <c r="D599" s="9" t="s">
        <v>3891</v>
      </c>
      <c r="E599" t="s">
        <v>642</v>
      </c>
      <c r="F599" t="s">
        <v>143</v>
      </c>
      <c r="G599" t="s">
        <v>47</v>
      </c>
      <c r="H599" s="9"/>
      <c r="I599" s="9"/>
      <c r="J599" t="s">
        <v>19</v>
      </c>
      <c r="K599" s="9" t="s">
        <v>3892</v>
      </c>
      <c r="L599" s="9" t="s">
        <v>3893</v>
      </c>
      <c r="M599" s="9" t="s">
        <v>3894</v>
      </c>
      <c r="N599" s="9" t="s">
        <v>3895</v>
      </c>
      <c r="O599" s="9" t="s">
        <v>3896</v>
      </c>
      <c r="P599" s="10">
        <v>36</v>
      </c>
    </row>
    <row r="600" spans="1:16" ht="115.2" x14ac:dyDescent="0.3">
      <c r="A600" t="s">
        <v>3528</v>
      </c>
      <c r="B600" t="s">
        <v>3836</v>
      </c>
      <c r="C600" t="s">
        <v>787</v>
      </c>
      <c r="D600" s="9" t="s">
        <v>3897</v>
      </c>
      <c r="E600" t="s">
        <v>43</v>
      </c>
      <c r="F600" t="s">
        <v>143</v>
      </c>
      <c r="G600" t="s">
        <v>47</v>
      </c>
      <c r="H600" s="9"/>
      <c r="I600" s="9" t="s">
        <v>59</v>
      </c>
      <c r="J600" t="s">
        <v>3898</v>
      </c>
      <c r="K600" s="9" t="s">
        <v>3899</v>
      </c>
      <c r="L600" s="9" t="s">
        <v>3900</v>
      </c>
      <c r="M600" s="9" t="s">
        <v>3901</v>
      </c>
      <c r="N600" s="9" t="s">
        <v>3902</v>
      </c>
      <c r="O600" s="9" t="s">
        <v>3903</v>
      </c>
      <c r="P600" s="10">
        <v>36</v>
      </c>
    </row>
    <row r="601" spans="1:16" ht="129.6" x14ac:dyDescent="0.3">
      <c r="A601" t="s">
        <v>3528</v>
      </c>
      <c r="B601" t="s">
        <v>3836</v>
      </c>
      <c r="C601" t="s">
        <v>604</v>
      </c>
      <c r="D601" s="9" t="s">
        <v>3904</v>
      </c>
      <c r="E601" t="s">
        <v>336</v>
      </c>
      <c r="F601" t="s">
        <v>143</v>
      </c>
      <c r="G601" t="s">
        <v>47</v>
      </c>
      <c r="H601" s="9"/>
      <c r="I601" s="9" t="s">
        <v>59</v>
      </c>
      <c r="J601" t="s">
        <v>3898</v>
      </c>
      <c r="K601" s="9" t="s">
        <v>3905</v>
      </c>
      <c r="L601" s="9" t="s">
        <v>3906</v>
      </c>
      <c r="M601" s="9" t="s">
        <v>3907</v>
      </c>
      <c r="N601" s="9" t="s">
        <v>3908</v>
      </c>
      <c r="O601" s="9" t="s">
        <v>3909</v>
      </c>
      <c r="P601" s="10">
        <v>36</v>
      </c>
    </row>
    <row r="602" spans="1:16" ht="100.8" x14ac:dyDescent="0.3">
      <c r="A602" t="s">
        <v>3528</v>
      </c>
      <c r="B602" t="s">
        <v>3836</v>
      </c>
      <c r="C602" t="s">
        <v>611</v>
      </c>
      <c r="D602" s="9" t="s">
        <v>3910</v>
      </c>
      <c r="E602" t="s">
        <v>3911</v>
      </c>
      <c r="F602" t="s">
        <v>143</v>
      </c>
      <c r="G602" t="s">
        <v>47</v>
      </c>
      <c r="H602" s="9"/>
      <c r="I602" s="9" t="s">
        <v>59</v>
      </c>
      <c r="J602" t="s">
        <v>3898</v>
      </c>
      <c r="K602" s="9" t="s">
        <v>3912</v>
      </c>
      <c r="L602" s="9" t="s">
        <v>3913</v>
      </c>
      <c r="M602" s="9" t="s">
        <v>3914</v>
      </c>
      <c r="N602" s="9" t="s">
        <v>3915</v>
      </c>
      <c r="O602" s="9" t="s">
        <v>3916</v>
      </c>
      <c r="P602" s="10">
        <v>36</v>
      </c>
    </row>
    <row r="603" spans="1:16" ht="144" x14ac:dyDescent="0.3">
      <c r="A603" t="s">
        <v>3528</v>
      </c>
      <c r="B603" t="s">
        <v>3836</v>
      </c>
      <c r="C603" t="s">
        <v>319</v>
      </c>
      <c r="D603" s="9" t="s">
        <v>3917</v>
      </c>
      <c r="E603" t="s">
        <v>1490</v>
      </c>
      <c r="F603" t="s">
        <v>143</v>
      </c>
      <c r="G603" t="s">
        <v>47</v>
      </c>
      <c r="H603" s="9"/>
      <c r="I603" s="9" t="s">
        <v>59</v>
      </c>
      <c r="J603" t="s">
        <v>3898</v>
      </c>
      <c r="K603" s="9" t="s">
        <v>3918</v>
      </c>
      <c r="L603" s="9" t="s">
        <v>3919</v>
      </c>
      <c r="M603" s="9" t="s">
        <v>3920</v>
      </c>
      <c r="N603" s="9" t="s">
        <v>3921</v>
      </c>
      <c r="O603" s="9" t="s">
        <v>3922</v>
      </c>
      <c r="P603" s="10">
        <v>36</v>
      </c>
    </row>
    <row r="604" spans="1:16" ht="316.8" x14ac:dyDescent="0.3">
      <c r="A604" t="s">
        <v>3528</v>
      </c>
      <c r="B604" t="s">
        <v>3836</v>
      </c>
      <c r="C604" t="s">
        <v>620</v>
      </c>
      <c r="D604" s="9" t="s">
        <v>3923</v>
      </c>
      <c r="E604" t="s">
        <v>3273</v>
      </c>
      <c r="F604" t="s">
        <v>143</v>
      </c>
      <c r="G604" t="s">
        <v>47</v>
      </c>
      <c r="H604" s="9"/>
      <c r="I604" s="9" t="s">
        <v>59</v>
      </c>
      <c r="J604" t="s">
        <v>3898</v>
      </c>
      <c r="K604" s="9" t="s">
        <v>3924</v>
      </c>
      <c r="L604" s="9" t="s">
        <v>3925</v>
      </c>
      <c r="M604" s="9" t="s">
        <v>3926</v>
      </c>
      <c r="N604" s="9" t="s">
        <v>3927</v>
      </c>
      <c r="O604" s="9" t="s">
        <v>3928</v>
      </c>
      <c r="P604" s="10">
        <v>36</v>
      </c>
    </row>
    <row r="605" spans="1:16" ht="129.6" x14ac:dyDescent="0.3">
      <c r="A605" t="s">
        <v>3528</v>
      </c>
      <c r="B605" t="s">
        <v>3836</v>
      </c>
      <c r="C605" t="s">
        <v>816</v>
      </c>
      <c r="D605" s="9" t="s">
        <v>3929</v>
      </c>
      <c r="E605" t="s">
        <v>867</v>
      </c>
      <c r="F605" t="s">
        <v>143</v>
      </c>
      <c r="G605" t="s">
        <v>47</v>
      </c>
      <c r="H605" s="9"/>
      <c r="I605" s="9" t="s">
        <v>59</v>
      </c>
      <c r="J605" t="s">
        <v>3898</v>
      </c>
      <c r="K605" s="9" t="s">
        <v>3930</v>
      </c>
      <c r="L605" s="9" t="s">
        <v>3931</v>
      </c>
      <c r="M605" s="9" t="s">
        <v>3932</v>
      </c>
      <c r="N605" s="9" t="s">
        <v>3933</v>
      </c>
      <c r="O605" s="9" t="s">
        <v>3934</v>
      </c>
      <c r="P605" s="10">
        <v>36</v>
      </c>
    </row>
    <row r="606" spans="1:16" ht="409.6" x14ac:dyDescent="0.3">
      <c r="A606" t="s">
        <v>3528</v>
      </c>
      <c r="B606" t="s">
        <v>3836</v>
      </c>
      <c r="C606" t="s">
        <v>1175</v>
      </c>
      <c r="D606" s="9" t="s">
        <v>3935</v>
      </c>
      <c r="E606" t="s">
        <v>3936</v>
      </c>
      <c r="F606" t="s">
        <v>143</v>
      </c>
      <c r="G606" t="s">
        <v>47</v>
      </c>
      <c r="H606" s="9"/>
      <c r="I606" s="9" t="s">
        <v>59</v>
      </c>
      <c r="J606" t="s">
        <v>3898</v>
      </c>
      <c r="K606" s="9" t="s">
        <v>3937</v>
      </c>
      <c r="L606" s="9" t="s">
        <v>3938</v>
      </c>
      <c r="M606" s="9" t="s">
        <v>3939</v>
      </c>
      <c r="N606" s="9" t="s">
        <v>3940</v>
      </c>
      <c r="O606" s="9" t="s">
        <v>3941</v>
      </c>
      <c r="P606" s="10">
        <v>36</v>
      </c>
    </row>
    <row r="607" spans="1:16" ht="86.4" x14ac:dyDescent="0.3">
      <c r="A607" t="s">
        <v>3528</v>
      </c>
      <c r="B607" t="s">
        <v>3836</v>
      </c>
      <c r="C607" t="s">
        <v>627</v>
      </c>
      <c r="D607" s="9" t="s">
        <v>3942</v>
      </c>
      <c r="E607" t="s">
        <v>1039</v>
      </c>
      <c r="F607" t="s">
        <v>116</v>
      </c>
      <c r="G607" t="s">
        <v>47</v>
      </c>
      <c r="H607" s="9"/>
      <c r="I607" s="9"/>
      <c r="K607" s="9" t="s">
        <v>3943</v>
      </c>
      <c r="L607" s="9"/>
      <c r="M607" s="9" t="s">
        <v>3944</v>
      </c>
      <c r="N607" s="9"/>
      <c r="O607" s="9" t="s">
        <v>3945</v>
      </c>
      <c r="P607" s="10">
        <v>36</v>
      </c>
    </row>
    <row r="608" spans="1:16" ht="201.6" x14ac:dyDescent="0.3">
      <c r="A608" t="s">
        <v>3528</v>
      </c>
      <c r="B608" t="s">
        <v>3836</v>
      </c>
      <c r="C608" t="s">
        <v>3946</v>
      </c>
      <c r="D608" s="9" t="s">
        <v>3947</v>
      </c>
      <c r="E608" t="s">
        <v>3948</v>
      </c>
      <c r="F608" t="s">
        <v>143</v>
      </c>
      <c r="G608" t="s">
        <v>47</v>
      </c>
      <c r="H608" s="9" t="s">
        <v>3949</v>
      </c>
      <c r="I608" s="9" t="s">
        <v>144</v>
      </c>
      <c r="J608" t="s">
        <v>3898</v>
      </c>
      <c r="K608" s="9" t="s">
        <v>3950</v>
      </c>
      <c r="L608" s="9" t="s">
        <v>3951</v>
      </c>
      <c r="M608" s="9" t="s">
        <v>3952</v>
      </c>
      <c r="N608" s="9" t="s">
        <v>3953</v>
      </c>
      <c r="O608" s="9" t="s">
        <v>3954</v>
      </c>
      <c r="P608" s="10">
        <v>36</v>
      </c>
    </row>
    <row r="609" spans="1:16" ht="172.8" x14ac:dyDescent="0.3">
      <c r="A609" t="s">
        <v>3528</v>
      </c>
      <c r="B609" t="s">
        <v>3836</v>
      </c>
      <c r="C609" t="s">
        <v>3955</v>
      </c>
      <c r="D609" s="9" t="s">
        <v>3956</v>
      </c>
      <c r="E609" t="s">
        <v>3957</v>
      </c>
      <c r="F609" t="s">
        <v>143</v>
      </c>
      <c r="G609" t="s">
        <v>47</v>
      </c>
      <c r="H609" s="9" t="s">
        <v>1614</v>
      </c>
      <c r="I609" s="9" t="s">
        <v>144</v>
      </c>
      <c r="J609" t="s">
        <v>19</v>
      </c>
      <c r="K609" s="9" t="s">
        <v>3958</v>
      </c>
      <c r="L609" s="9" t="s">
        <v>3959</v>
      </c>
      <c r="M609" s="9" t="s">
        <v>3960</v>
      </c>
      <c r="N609" s="9" t="s">
        <v>3961</v>
      </c>
      <c r="O609" s="9" t="s">
        <v>3962</v>
      </c>
      <c r="P609" s="10">
        <v>36</v>
      </c>
    </row>
    <row r="610" spans="1:16" ht="86.4" x14ac:dyDescent="0.3">
      <c r="A610" t="s">
        <v>3528</v>
      </c>
      <c r="B610" t="s">
        <v>3836</v>
      </c>
      <c r="C610" t="s">
        <v>642</v>
      </c>
      <c r="D610" s="9" t="s">
        <v>3963</v>
      </c>
      <c r="E610" t="s">
        <v>76</v>
      </c>
      <c r="F610" t="s">
        <v>116</v>
      </c>
      <c r="G610" t="s">
        <v>47</v>
      </c>
      <c r="H610" s="9"/>
      <c r="I610" s="9"/>
      <c r="K610" s="9" t="s">
        <v>3964</v>
      </c>
      <c r="L610" s="9"/>
      <c r="M610" s="9" t="s">
        <v>3965</v>
      </c>
      <c r="N610" s="9"/>
      <c r="O610" s="9" t="s">
        <v>3966</v>
      </c>
      <c r="P610" s="10">
        <v>36</v>
      </c>
    </row>
    <row r="611" spans="1:16" ht="129.6" x14ac:dyDescent="0.3">
      <c r="A611" t="s">
        <v>3528</v>
      </c>
      <c r="B611" t="s">
        <v>3836</v>
      </c>
      <c r="C611" t="s">
        <v>3967</v>
      </c>
      <c r="D611" s="9" t="s">
        <v>3968</v>
      </c>
      <c r="E611" t="s">
        <v>3969</v>
      </c>
      <c r="F611" t="s">
        <v>143</v>
      </c>
      <c r="G611" t="s">
        <v>47</v>
      </c>
      <c r="H611" s="9" t="s">
        <v>2066</v>
      </c>
      <c r="I611" s="9" t="s">
        <v>59</v>
      </c>
      <c r="J611" t="s">
        <v>3898</v>
      </c>
      <c r="K611" s="9" t="s">
        <v>3970</v>
      </c>
      <c r="L611" s="9" t="s">
        <v>3971</v>
      </c>
      <c r="M611" s="9" t="s">
        <v>3972</v>
      </c>
      <c r="N611" s="9"/>
      <c r="O611" s="9" t="s">
        <v>3973</v>
      </c>
      <c r="P611" s="10">
        <v>36</v>
      </c>
    </row>
    <row r="612" spans="1:16" ht="201.6" x14ac:dyDescent="0.3">
      <c r="A612" t="s">
        <v>3528</v>
      </c>
      <c r="B612" t="s">
        <v>3836</v>
      </c>
      <c r="C612" t="s">
        <v>3974</v>
      </c>
      <c r="D612" s="9" t="s">
        <v>3975</v>
      </c>
      <c r="E612" t="s">
        <v>3976</v>
      </c>
      <c r="F612" t="s">
        <v>143</v>
      </c>
      <c r="G612" t="s">
        <v>47</v>
      </c>
      <c r="H612" s="9" t="s">
        <v>2066</v>
      </c>
      <c r="I612" s="9" t="s">
        <v>59</v>
      </c>
      <c r="J612" t="s">
        <v>3898</v>
      </c>
      <c r="K612" s="9" t="s">
        <v>3977</v>
      </c>
      <c r="L612" s="9" t="s">
        <v>3978</v>
      </c>
      <c r="M612" s="9" t="s">
        <v>3979</v>
      </c>
      <c r="N612" s="9" t="s">
        <v>3980</v>
      </c>
      <c r="O612" s="9" t="s">
        <v>3981</v>
      </c>
      <c r="P612" s="10">
        <v>36</v>
      </c>
    </row>
    <row r="613" spans="1:16" ht="100.8" x14ac:dyDescent="0.3">
      <c r="A613" t="s">
        <v>3528</v>
      </c>
      <c r="B613" t="s">
        <v>3836</v>
      </c>
      <c r="C613" t="s">
        <v>657</v>
      </c>
      <c r="D613" s="9" t="s">
        <v>3982</v>
      </c>
      <c r="E613" t="s">
        <v>3983</v>
      </c>
      <c r="F613" t="s">
        <v>143</v>
      </c>
      <c r="G613" t="s">
        <v>47</v>
      </c>
      <c r="H613" s="9" t="s">
        <v>2066</v>
      </c>
      <c r="I613" s="9" t="s">
        <v>59</v>
      </c>
      <c r="J613" t="s">
        <v>3898</v>
      </c>
      <c r="K613" s="9" t="s">
        <v>3984</v>
      </c>
      <c r="L613" s="9" t="s">
        <v>3985</v>
      </c>
      <c r="M613" s="9" t="s">
        <v>3986</v>
      </c>
      <c r="N613" s="9"/>
      <c r="O613" s="9" t="s">
        <v>3987</v>
      </c>
      <c r="P613" s="10">
        <v>36</v>
      </c>
    </row>
    <row r="614" spans="1:16" ht="230.4" x14ac:dyDescent="0.3">
      <c r="A614" t="s">
        <v>3528</v>
      </c>
      <c r="B614" t="s">
        <v>3836</v>
      </c>
      <c r="C614" t="s">
        <v>328</v>
      </c>
      <c r="D614" s="9" t="s">
        <v>3988</v>
      </c>
      <c r="E614" t="s">
        <v>3989</v>
      </c>
      <c r="F614" t="s">
        <v>143</v>
      </c>
      <c r="G614" t="s">
        <v>47</v>
      </c>
      <c r="H614" s="9"/>
      <c r="I614" s="9" t="s">
        <v>59</v>
      </c>
      <c r="J614" t="s">
        <v>3990</v>
      </c>
      <c r="K614" s="9" t="s">
        <v>3991</v>
      </c>
      <c r="L614" s="9" t="s">
        <v>3992</v>
      </c>
      <c r="M614" s="9" t="s">
        <v>3993</v>
      </c>
      <c r="N614" s="9" t="s">
        <v>3994</v>
      </c>
      <c r="O614" s="9" t="s">
        <v>3995</v>
      </c>
      <c r="P614" s="10">
        <v>36</v>
      </c>
    </row>
    <row r="615" spans="1:16" ht="100.8" x14ac:dyDescent="0.3">
      <c r="A615" t="s">
        <v>3528</v>
      </c>
      <c r="B615" t="s">
        <v>3836</v>
      </c>
      <c r="C615" t="s">
        <v>841</v>
      </c>
      <c r="D615" s="9" t="s">
        <v>3996</v>
      </c>
      <c r="E615" t="s">
        <v>3581</v>
      </c>
      <c r="F615" t="s">
        <v>143</v>
      </c>
      <c r="G615" t="s">
        <v>47</v>
      </c>
      <c r="H615" s="9"/>
      <c r="I615" s="9" t="s">
        <v>59</v>
      </c>
      <c r="J615" t="s">
        <v>3861</v>
      </c>
      <c r="K615" s="9" t="s">
        <v>3997</v>
      </c>
      <c r="L615" s="9" t="s">
        <v>3998</v>
      </c>
      <c r="M615" s="9" t="s">
        <v>3999</v>
      </c>
      <c r="N615" s="9" t="s">
        <v>4000</v>
      </c>
      <c r="O615" s="9" t="s">
        <v>4001</v>
      </c>
      <c r="P615" s="10">
        <v>36</v>
      </c>
    </row>
    <row r="616" spans="1:16" ht="86.4" x14ac:dyDescent="0.3">
      <c r="A616" t="s">
        <v>3528</v>
      </c>
      <c r="B616" t="s">
        <v>3836</v>
      </c>
      <c r="C616" t="s">
        <v>853</v>
      </c>
      <c r="D616" s="9" t="s">
        <v>4002</v>
      </c>
      <c r="E616" t="s">
        <v>1003</v>
      </c>
      <c r="F616" t="s">
        <v>69</v>
      </c>
      <c r="G616" t="s">
        <v>47</v>
      </c>
      <c r="H616" s="9"/>
      <c r="I616" s="9"/>
      <c r="K616" s="9" t="s">
        <v>4003</v>
      </c>
      <c r="L616" s="9"/>
      <c r="M616" s="9" t="s">
        <v>4004</v>
      </c>
      <c r="N616" s="9"/>
      <c r="O616" s="9" t="s">
        <v>4005</v>
      </c>
      <c r="P616" s="10">
        <v>36</v>
      </c>
    </row>
    <row r="617" spans="1:16" ht="57.6" x14ac:dyDescent="0.3">
      <c r="A617" t="s">
        <v>3528</v>
      </c>
      <c r="B617" t="s">
        <v>4006</v>
      </c>
      <c r="C617" t="s">
        <v>369</v>
      </c>
      <c r="D617" s="9" t="s">
        <v>4007</v>
      </c>
      <c r="E617" t="s">
        <v>82</v>
      </c>
      <c r="F617" t="s">
        <v>69</v>
      </c>
      <c r="G617" t="s">
        <v>47</v>
      </c>
      <c r="H617" s="9"/>
      <c r="I617" s="9"/>
      <c r="K617" s="9" t="s">
        <v>4008</v>
      </c>
      <c r="L617" s="9"/>
      <c r="M617" s="9" t="s">
        <v>4009</v>
      </c>
      <c r="N617" s="9"/>
      <c r="O617" s="9" t="s">
        <v>4010</v>
      </c>
      <c r="P617" s="10">
        <v>37</v>
      </c>
    </row>
    <row r="618" spans="1:16" ht="409.6" x14ac:dyDescent="0.3">
      <c r="A618" t="s">
        <v>3528</v>
      </c>
      <c r="B618" t="s">
        <v>4006</v>
      </c>
      <c r="C618" t="s">
        <v>66</v>
      </c>
      <c r="D618" s="9" t="s">
        <v>4011</v>
      </c>
      <c r="E618" t="s">
        <v>4012</v>
      </c>
      <c r="F618" t="s">
        <v>116</v>
      </c>
      <c r="G618" t="s">
        <v>47</v>
      </c>
      <c r="H618" s="9" t="s">
        <v>395</v>
      </c>
      <c r="I618" s="9" t="s">
        <v>289</v>
      </c>
      <c r="K618" s="9" t="s">
        <v>4013</v>
      </c>
      <c r="L618" s="9"/>
      <c r="M618" s="9" t="s">
        <v>4014</v>
      </c>
      <c r="N618" s="9" t="s">
        <v>4015</v>
      </c>
      <c r="O618" s="9" t="s">
        <v>4016</v>
      </c>
      <c r="P618" s="10">
        <v>37</v>
      </c>
    </row>
    <row r="619" spans="1:16" ht="409.6" x14ac:dyDescent="0.3">
      <c r="A619" t="s">
        <v>3528</v>
      </c>
      <c r="B619" t="s">
        <v>4006</v>
      </c>
      <c r="C619" t="s">
        <v>82</v>
      </c>
      <c r="D619" s="9" t="s">
        <v>4017</v>
      </c>
      <c r="E619" t="s">
        <v>441</v>
      </c>
      <c r="F619" t="s">
        <v>143</v>
      </c>
      <c r="G619" t="s">
        <v>47</v>
      </c>
      <c r="H619" s="9"/>
      <c r="I619" s="9"/>
      <c r="J619" t="s">
        <v>4018</v>
      </c>
      <c r="K619" s="9" t="s">
        <v>4019</v>
      </c>
      <c r="L619" s="9" t="s">
        <v>4020</v>
      </c>
      <c r="M619" s="9" t="s">
        <v>4021</v>
      </c>
      <c r="N619" s="9" t="s">
        <v>4022</v>
      </c>
      <c r="O619" s="9" t="s">
        <v>4023</v>
      </c>
      <c r="P619" s="10">
        <v>37</v>
      </c>
    </row>
    <row r="620" spans="1:16" ht="172.8" x14ac:dyDescent="0.3">
      <c r="A620" t="s">
        <v>3528</v>
      </c>
      <c r="B620" t="s">
        <v>4006</v>
      </c>
      <c r="C620" t="s">
        <v>55</v>
      </c>
      <c r="D620" s="9" t="s">
        <v>4024</v>
      </c>
      <c r="E620" t="s">
        <v>679</v>
      </c>
      <c r="F620" t="s">
        <v>143</v>
      </c>
      <c r="G620" t="s">
        <v>47</v>
      </c>
      <c r="H620" s="9"/>
      <c r="I620" s="9"/>
      <c r="K620" s="9" t="s">
        <v>4025</v>
      </c>
      <c r="L620" s="9" t="s">
        <v>4026</v>
      </c>
      <c r="M620" s="9" t="s">
        <v>4027</v>
      </c>
      <c r="N620" s="9" t="s">
        <v>4028</v>
      </c>
      <c r="O620" s="9" t="s">
        <v>4029</v>
      </c>
      <c r="P620" s="10">
        <v>37</v>
      </c>
    </row>
    <row r="621" spans="1:16" ht="216" x14ac:dyDescent="0.3">
      <c r="A621" t="s">
        <v>3528</v>
      </c>
      <c r="B621" t="s">
        <v>4006</v>
      </c>
      <c r="C621" t="s">
        <v>433</v>
      </c>
      <c r="D621" s="9" t="s">
        <v>4030</v>
      </c>
      <c r="E621" t="s">
        <v>694</v>
      </c>
      <c r="F621" t="s">
        <v>143</v>
      </c>
      <c r="G621" t="s">
        <v>47</v>
      </c>
      <c r="H621" s="9" t="s">
        <v>4031</v>
      </c>
      <c r="I621" s="9"/>
      <c r="J621" t="s">
        <v>4032</v>
      </c>
      <c r="K621" s="9" t="s">
        <v>4033</v>
      </c>
      <c r="L621" s="9" t="s">
        <v>4034</v>
      </c>
      <c r="M621" s="9" t="s">
        <v>4035</v>
      </c>
      <c r="N621" s="9" t="s">
        <v>4036</v>
      </c>
      <c r="O621" s="9" t="s">
        <v>4037</v>
      </c>
      <c r="P621" s="10">
        <v>37</v>
      </c>
    </row>
    <row r="622" spans="1:16" ht="115.2" x14ac:dyDescent="0.3">
      <c r="A622" t="s">
        <v>3528</v>
      </c>
      <c r="B622" t="s">
        <v>4006</v>
      </c>
      <c r="C622" t="s">
        <v>441</v>
      </c>
      <c r="D622" s="9" t="s">
        <v>4038</v>
      </c>
      <c r="E622" t="s">
        <v>458</v>
      </c>
      <c r="F622" t="s">
        <v>143</v>
      </c>
      <c r="G622" t="s">
        <v>47</v>
      </c>
      <c r="H622" s="9" t="s">
        <v>4039</v>
      </c>
      <c r="I622" s="9"/>
      <c r="J622" t="s">
        <v>4018</v>
      </c>
      <c r="K622" s="9" t="s">
        <v>4040</v>
      </c>
      <c r="L622" s="9" t="s">
        <v>4041</v>
      </c>
      <c r="M622" s="9" t="s">
        <v>4042</v>
      </c>
      <c r="N622" s="9" t="s">
        <v>4043</v>
      </c>
      <c r="O622" s="9" t="s">
        <v>4044</v>
      </c>
      <c r="P622" s="10">
        <v>37</v>
      </c>
    </row>
    <row r="623" spans="1:16" ht="100.8" x14ac:dyDescent="0.3">
      <c r="A623" t="s">
        <v>3528</v>
      </c>
      <c r="B623" t="s">
        <v>4006</v>
      </c>
      <c r="C623" t="s">
        <v>449</v>
      </c>
      <c r="D623" s="9" t="s">
        <v>4045</v>
      </c>
      <c r="E623" t="s">
        <v>458</v>
      </c>
      <c r="F623" t="s">
        <v>143</v>
      </c>
      <c r="G623" t="s">
        <v>47</v>
      </c>
      <c r="H623" s="9" t="s">
        <v>671</v>
      </c>
      <c r="I623" s="9"/>
      <c r="J623" t="s">
        <v>4046</v>
      </c>
      <c r="K623" s="9" t="s">
        <v>4047</v>
      </c>
      <c r="L623" s="9" t="s">
        <v>4048</v>
      </c>
      <c r="M623" s="9" t="s">
        <v>4049</v>
      </c>
      <c r="N623" s="9" t="s">
        <v>4050</v>
      </c>
      <c r="O623" s="9" t="s">
        <v>4051</v>
      </c>
      <c r="P623" s="10">
        <v>37</v>
      </c>
    </row>
    <row r="624" spans="1:16" ht="100.8" x14ac:dyDescent="0.3">
      <c r="A624" t="s">
        <v>3528</v>
      </c>
      <c r="B624" t="s">
        <v>4006</v>
      </c>
      <c r="C624" t="s">
        <v>458</v>
      </c>
      <c r="D624" s="9" t="s">
        <v>4052</v>
      </c>
      <c r="E624" t="s">
        <v>869</v>
      </c>
      <c r="F624" t="s">
        <v>143</v>
      </c>
      <c r="G624" t="s">
        <v>47</v>
      </c>
      <c r="H624" s="9" t="s">
        <v>452</v>
      </c>
      <c r="I624" s="9"/>
      <c r="K624" s="9" t="s">
        <v>4053</v>
      </c>
      <c r="L624" s="9" t="s">
        <v>4054</v>
      </c>
      <c r="M624" s="9" t="s">
        <v>4055</v>
      </c>
      <c r="N624" s="9" t="s">
        <v>4056</v>
      </c>
      <c r="O624" s="9" t="s">
        <v>4057</v>
      </c>
      <c r="P624" s="10">
        <v>37</v>
      </c>
    </row>
    <row r="625" spans="1:16" ht="144" x14ac:dyDescent="0.3">
      <c r="A625" t="s">
        <v>3528</v>
      </c>
      <c r="B625" t="s">
        <v>4006</v>
      </c>
      <c r="C625" t="s">
        <v>466</v>
      </c>
      <c r="D625" s="9" t="s">
        <v>4058</v>
      </c>
      <c r="E625" t="s">
        <v>702</v>
      </c>
      <c r="F625" t="s">
        <v>143</v>
      </c>
      <c r="G625" t="s">
        <v>47</v>
      </c>
      <c r="H625" s="9"/>
      <c r="I625" s="9" t="s">
        <v>106</v>
      </c>
      <c r="J625" t="s">
        <v>4032</v>
      </c>
      <c r="K625" s="9" t="s">
        <v>4059</v>
      </c>
      <c r="L625" s="9" t="s">
        <v>4060</v>
      </c>
      <c r="M625" s="9" t="s">
        <v>4061</v>
      </c>
      <c r="N625" s="9" t="s">
        <v>4062</v>
      </c>
      <c r="O625" s="9" t="s">
        <v>4063</v>
      </c>
      <c r="P625" s="10">
        <v>37</v>
      </c>
    </row>
    <row r="626" spans="1:16" ht="115.2" x14ac:dyDescent="0.3">
      <c r="A626" t="s">
        <v>3528</v>
      </c>
      <c r="B626" t="s">
        <v>4006</v>
      </c>
      <c r="C626" t="s">
        <v>312</v>
      </c>
      <c r="D626" s="9" t="s">
        <v>4064</v>
      </c>
      <c r="E626" t="s">
        <v>312</v>
      </c>
      <c r="F626" t="s">
        <v>143</v>
      </c>
      <c r="G626" t="s">
        <v>47</v>
      </c>
      <c r="H626" s="9" t="s">
        <v>4065</v>
      </c>
      <c r="I626" s="9" t="s">
        <v>106</v>
      </c>
      <c r="K626" s="9" t="s">
        <v>4066</v>
      </c>
      <c r="L626" s="9" t="s">
        <v>4067</v>
      </c>
      <c r="M626" s="9" t="s">
        <v>4068</v>
      </c>
      <c r="N626" s="9" t="s">
        <v>4069</v>
      </c>
      <c r="O626" s="9" t="s">
        <v>4070</v>
      </c>
      <c r="P626" s="10">
        <v>37</v>
      </c>
    </row>
    <row r="627" spans="1:16" ht="100.8" x14ac:dyDescent="0.3">
      <c r="A627" t="s">
        <v>3528</v>
      </c>
      <c r="B627" t="s">
        <v>4006</v>
      </c>
      <c r="C627" t="s">
        <v>590</v>
      </c>
      <c r="D627" s="9" t="s">
        <v>4071</v>
      </c>
      <c r="E627" t="s">
        <v>312</v>
      </c>
      <c r="F627" t="s">
        <v>143</v>
      </c>
      <c r="G627" t="s">
        <v>47</v>
      </c>
      <c r="H627" s="9" t="s">
        <v>4065</v>
      </c>
      <c r="I627" s="9" t="s">
        <v>106</v>
      </c>
      <c r="K627" s="9" t="s">
        <v>4072</v>
      </c>
      <c r="L627" s="9" t="s">
        <v>4073</v>
      </c>
      <c r="M627" s="9" t="s">
        <v>4074</v>
      </c>
      <c r="N627" s="9" t="s">
        <v>4075</v>
      </c>
      <c r="O627" s="9" t="s">
        <v>4076</v>
      </c>
      <c r="P627" s="10">
        <v>37</v>
      </c>
    </row>
    <row r="628" spans="1:16" ht="129.6" x14ac:dyDescent="0.3">
      <c r="A628" t="s">
        <v>3528</v>
      </c>
      <c r="B628" t="s">
        <v>4006</v>
      </c>
      <c r="C628" t="s">
        <v>215</v>
      </c>
      <c r="D628" s="9" t="s">
        <v>4077</v>
      </c>
      <c r="E628" t="s">
        <v>927</v>
      </c>
      <c r="F628" t="s">
        <v>143</v>
      </c>
      <c r="G628" t="s">
        <v>47</v>
      </c>
      <c r="H628" s="9" t="s">
        <v>452</v>
      </c>
      <c r="I628" s="9" t="s">
        <v>106</v>
      </c>
      <c r="K628" s="9" t="s">
        <v>4078</v>
      </c>
      <c r="L628" s="9" t="s">
        <v>4079</v>
      </c>
      <c r="M628" s="9" t="s">
        <v>4080</v>
      </c>
      <c r="N628" s="9" t="s">
        <v>4081</v>
      </c>
      <c r="O628" s="9" t="s">
        <v>4082</v>
      </c>
      <c r="P628" s="10">
        <v>37</v>
      </c>
    </row>
    <row r="629" spans="1:16" ht="144" x14ac:dyDescent="0.3">
      <c r="A629" t="s">
        <v>3528</v>
      </c>
      <c r="B629" t="s">
        <v>4006</v>
      </c>
      <c r="C629" t="s">
        <v>221</v>
      </c>
      <c r="D629" s="9" t="s">
        <v>4083</v>
      </c>
      <c r="E629" t="s">
        <v>590</v>
      </c>
      <c r="F629" t="s">
        <v>143</v>
      </c>
      <c r="G629" t="s">
        <v>47</v>
      </c>
      <c r="H629" s="9" t="s">
        <v>452</v>
      </c>
      <c r="I629" s="9" t="s">
        <v>106</v>
      </c>
      <c r="K629" s="9" t="s">
        <v>4084</v>
      </c>
      <c r="L629" s="9" t="s">
        <v>4085</v>
      </c>
      <c r="M629" s="9" t="s">
        <v>4086</v>
      </c>
      <c r="N629" s="9" t="s">
        <v>4087</v>
      </c>
      <c r="O629" s="9" t="s">
        <v>4088</v>
      </c>
      <c r="P629" s="10">
        <v>37</v>
      </c>
    </row>
    <row r="630" spans="1:16" ht="129.6" x14ac:dyDescent="0.3">
      <c r="A630" t="s">
        <v>3528</v>
      </c>
      <c r="B630" t="s">
        <v>4006</v>
      </c>
      <c r="C630" t="s">
        <v>766</v>
      </c>
      <c r="D630" s="9" t="s">
        <v>4089</v>
      </c>
      <c r="E630" t="s">
        <v>942</v>
      </c>
      <c r="F630" t="s">
        <v>143</v>
      </c>
      <c r="G630" t="s">
        <v>47</v>
      </c>
      <c r="H630" s="9" t="s">
        <v>4090</v>
      </c>
      <c r="I630" s="9" t="s">
        <v>106</v>
      </c>
      <c r="K630" s="9" t="s">
        <v>4091</v>
      </c>
      <c r="L630" s="9" t="s">
        <v>4092</v>
      </c>
      <c r="M630" s="9" t="s">
        <v>4093</v>
      </c>
      <c r="N630" s="9" t="s">
        <v>4094</v>
      </c>
      <c r="O630" s="9" t="s">
        <v>4095</v>
      </c>
      <c r="P630" s="10">
        <v>37</v>
      </c>
    </row>
    <row r="631" spans="1:16" ht="115.2" x14ac:dyDescent="0.3">
      <c r="A631" t="s">
        <v>3528</v>
      </c>
      <c r="B631" t="s">
        <v>4006</v>
      </c>
      <c r="C631" t="s">
        <v>989</v>
      </c>
      <c r="D631" s="9" t="s">
        <v>4096</v>
      </c>
      <c r="E631" t="s">
        <v>215</v>
      </c>
      <c r="F631" t="s">
        <v>116</v>
      </c>
      <c r="G631" t="s">
        <v>47</v>
      </c>
      <c r="H631" s="9" t="s">
        <v>4097</v>
      </c>
      <c r="I631" s="9" t="s">
        <v>106</v>
      </c>
      <c r="K631" s="9" t="s">
        <v>4098</v>
      </c>
      <c r="L631" s="9"/>
      <c r="M631" s="9" t="s">
        <v>4099</v>
      </c>
      <c r="N631" s="9" t="s">
        <v>4100</v>
      </c>
      <c r="O631" s="9" t="s">
        <v>4101</v>
      </c>
      <c r="P631" s="10">
        <v>37</v>
      </c>
    </row>
    <row r="632" spans="1:16" ht="115.2" x14ac:dyDescent="0.3">
      <c r="A632" t="s">
        <v>3528</v>
      </c>
      <c r="B632" t="s">
        <v>4006</v>
      </c>
      <c r="C632" t="s">
        <v>773</v>
      </c>
      <c r="D632" s="9" t="s">
        <v>4102</v>
      </c>
      <c r="E632" t="s">
        <v>1313</v>
      </c>
      <c r="F632" t="s">
        <v>143</v>
      </c>
      <c r="G632" t="s">
        <v>47</v>
      </c>
      <c r="H632" s="9" t="s">
        <v>452</v>
      </c>
      <c r="I632" s="9" t="s">
        <v>59</v>
      </c>
      <c r="K632" s="9" t="s">
        <v>4103</v>
      </c>
      <c r="L632" s="9"/>
      <c r="M632" s="9" t="s">
        <v>4104</v>
      </c>
      <c r="N632" s="9" t="s">
        <v>4105</v>
      </c>
      <c r="O632" s="9" t="s">
        <v>4106</v>
      </c>
      <c r="P632" s="10">
        <v>37</v>
      </c>
    </row>
    <row r="633" spans="1:16" ht="216" x14ac:dyDescent="0.3">
      <c r="A633" t="s">
        <v>3528</v>
      </c>
      <c r="B633" t="s">
        <v>4006</v>
      </c>
      <c r="C633" t="s">
        <v>597</v>
      </c>
      <c r="D633" s="9" t="s">
        <v>4107</v>
      </c>
      <c r="E633" t="s">
        <v>221</v>
      </c>
      <c r="F633" t="s">
        <v>143</v>
      </c>
      <c r="G633" t="s">
        <v>47</v>
      </c>
      <c r="H633" s="9" t="s">
        <v>452</v>
      </c>
      <c r="I633" s="9" t="s">
        <v>59</v>
      </c>
      <c r="K633" s="9" t="s">
        <v>4108</v>
      </c>
      <c r="L633" s="9"/>
      <c r="M633" s="9" t="s">
        <v>4109</v>
      </c>
      <c r="N633" s="9" t="s">
        <v>4110</v>
      </c>
      <c r="O633" s="9" t="s">
        <v>4111</v>
      </c>
      <c r="P633" s="10">
        <v>37</v>
      </c>
    </row>
    <row r="634" spans="1:16" ht="115.2" x14ac:dyDescent="0.3">
      <c r="A634" t="s">
        <v>3528</v>
      </c>
      <c r="B634" t="s">
        <v>4006</v>
      </c>
      <c r="C634" t="s">
        <v>787</v>
      </c>
      <c r="D634" s="9" t="s">
        <v>4112</v>
      </c>
      <c r="E634" t="s">
        <v>1321</v>
      </c>
      <c r="F634" t="s">
        <v>116</v>
      </c>
      <c r="G634" t="s">
        <v>47</v>
      </c>
      <c r="H634" s="9"/>
      <c r="I634" s="9" t="s">
        <v>106</v>
      </c>
      <c r="K634" s="9" t="s">
        <v>4113</v>
      </c>
      <c r="L634" s="9"/>
      <c r="M634" s="9" t="s">
        <v>4114</v>
      </c>
      <c r="N634" s="9" t="s">
        <v>4115</v>
      </c>
      <c r="O634" s="9" t="s">
        <v>4116</v>
      </c>
      <c r="P634" s="10">
        <v>37</v>
      </c>
    </row>
    <row r="635" spans="1:16" ht="144" x14ac:dyDescent="0.3">
      <c r="A635" t="s">
        <v>3528</v>
      </c>
      <c r="B635" t="s">
        <v>4006</v>
      </c>
      <c r="C635" t="s">
        <v>604</v>
      </c>
      <c r="D635" s="9" t="s">
        <v>4117</v>
      </c>
      <c r="E635" t="s">
        <v>766</v>
      </c>
      <c r="F635" t="s">
        <v>116</v>
      </c>
      <c r="G635" t="s">
        <v>47</v>
      </c>
      <c r="H635" s="9"/>
      <c r="I635" s="9" t="s">
        <v>106</v>
      </c>
      <c r="K635" s="9" t="s">
        <v>4118</v>
      </c>
      <c r="L635" s="9"/>
      <c r="M635" s="9" t="s">
        <v>4119</v>
      </c>
      <c r="N635" s="9"/>
      <c r="O635" s="9" t="s">
        <v>4120</v>
      </c>
      <c r="P635" s="10">
        <v>37</v>
      </c>
    </row>
    <row r="636" spans="1:16" ht="216" x14ac:dyDescent="0.3">
      <c r="A636" t="s">
        <v>3528</v>
      </c>
      <c r="B636" t="s">
        <v>4006</v>
      </c>
      <c r="C636" t="s">
        <v>611</v>
      </c>
      <c r="D636" s="9" t="s">
        <v>4121</v>
      </c>
      <c r="E636" t="s">
        <v>766</v>
      </c>
      <c r="F636" t="s">
        <v>143</v>
      </c>
      <c r="G636" t="s">
        <v>47</v>
      </c>
      <c r="H636" s="9"/>
      <c r="I636" s="9"/>
      <c r="K636" s="9" t="s">
        <v>4122</v>
      </c>
      <c r="L636" s="9"/>
      <c r="M636" s="9" t="s">
        <v>4123</v>
      </c>
      <c r="N636" s="9" t="s">
        <v>4124</v>
      </c>
      <c r="O636" s="9" t="s">
        <v>4125</v>
      </c>
      <c r="P636" s="10">
        <v>37</v>
      </c>
    </row>
    <row r="637" spans="1:16" ht="129.6" x14ac:dyDescent="0.3">
      <c r="A637" t="s">
        <v>3528</v>
      </c>
      <c r="B637" t="s">
        <v>4006</v>
      </c>
      <c r="C637" t="s">
        <v>319</v>
      </c>
      <c r="D637" s="9" t="s">
        <v>4126</v>
      </c>
      <c r="E637" t="s">
        <v>1329</v>
      </c>
      <c r="F637" t="s">
        <v>116</v>
      </c>
      <c r="G637" t="s">
        <v>47</v>
      </c>
      <c r="H637" s="9"/>
      <c r="I637" s="9" t="s">
        <v>106</v>
      </c>
      <c r="K637" s="9" t="s">
        <v>4127</v>
      </c>
      <c r="L637" s="9"/>
      <c r="M637" s="9" t="s">
        <v>4128</v>
      </c>
      <c r="N637" s="9" t="s">
        <v>4129</v>
      </c>
      <c r="O637" s="9" t="s">
        <v>4130</v>
      </c>
      <c r="P637" s="10">
        <v>37</v>
      </c>
    </row>
    <row r="638" spans="1:16" ht="129.6" x14ac:dyDescent="0.3">
      <c r="A638" t="s">
        <v>3528</v>
      </c>
      <c r="B638" t="s">
        <v>4006</v>
      </c>
      <c r="C638" t="s">
        <v>620</v>
      </c>
      <c r="D638" s="9" t="s">
        <v>4131</v>
      </c>
      <c r="E638" t="s">
        <v>989</v>
      </c>
      <c r="F638" t="s">
        <v>116</v>
      </c>
      <c r="G638" t="s">
        <v>47</v>
      </c>
      <c r="H638" s="9"/>
      <c r="I638" s="9" t="s">
        <v>106</v>
      </c>
      <c r="K638" s="9" t="s">
        <v>4132</v>
      </c>
      <c r="L638" s="9"/>
      <c r="M638" s="9" t="s">
        <v>4133</v>
      </c>
      <c r="N638" s="9" t="s">
        <v>4134</v>
      </c>
      <c r="O638" s="9" t="s">
        <v>4135</v>
      </c>
      <c r="P638" s="10">
        <v>37</v>
      </c>
    </row>
    <row r="639" spans="1:16" ht="144" x14ac:dyDescent="0.3">
      <c r="A639" t="s">
        <v>3528</v>
      </c>
      <c r="B639" t="s">
        <v>4006</v>
      </c>
      <c r="C639" t="s">
        <v>809</v>
      </c>
      <c r="D639" s="9" t="s">
        <v>4136</v>
      </c>
      <c r="E639" t="s">
        <v>1337</v>
      </c>
      <c r="F639" t="s">
        <v>116</v>
      </c>
      <c r="G639" t="s">
        <v>47</v>
      </c>
      <c r="H639" s="9"/>
      <c r="I639" s="9" t="s">
        <v>106</v>
      </c>
      <c r="K639" s="9" t="s">
        <v>4137</v>
      </c>
      <c r="L639" s="9"/>
      <c r="M639" s="9" t="s">
        <v>4138</v>
      </c>
      <c r="N639" s="9" t="s">
        <v>4139</v>
      </c>
      <c r="O639" s="9" t="s">
        <v>4140</v>
      </c>
      <c r="P639" s="10">
        <v>37</v>
      </c>
    </row>
    <row r="640" spans="1:16" ht="129.6" x14ac:dyDescent="0.3">
      <c r="A640" t="s">
        <v>3528</v>
      </c>
      <c r="B640" t="s">
        <v>4006</v>
      </c>
      <c r="C640" t="s">
        <v>816</v>
      </c>
      <c r="D640" s="9" t="s">
        <v>4141</v>
      </c>
      <c r="E640" t="s">
        <v>773</v>
      </c>
      <c r="F640" t="s">
        <v>116</v>
      </c>
      <c r="G640" t="s">
        <v>47</v>
      </c>
      <c r="H640" s="9"/>
      <c r="I640" s="9" t="s">
        <v>106</v>
      </c>
      <c r="K640" s="9" t="s">
        <v>4142</v>
      </c>
      <c r="L640" s="9"/>
      <c r="M640" s="9" t="s">
        <v>4143</v>
      </c>
      <c r="N640" s="9" t="s">
        <v>4144</v>
      </c>
      <c r="O640" s="9" t="s">
        <v>4145</v>
      </c>
      <c r="P640" s="10">
        <v>37</v>
      </c>
    </row>
    <row r="641" spans="1:16" ht="115.2" x14ac:dyDescent="0.3">
      <c r="A641" t="s">
        <v>3528</v>
      </c>
      <c r="B641" t="s">
        <v>4006</v>
      </c>
      <c r="C641" t="s">
        <v>1175</v>
      </c>
      <c r="D641" s="9" t="s">
        <v>4146</v>
      </c>
      <c r="E641" t="s">
        <v>773</v>
      </c>
      <c r="F641" t="s">
        <v>116</v>
      </c>
      <c r="G641" t="s">
        <v>47</v>
      </c>
      <c r="H641" s="9"/>
      <c r="I641" s="9" t="s">
        <v>106</v>
      </c>
      <c r="K641" s="9" t="s">
        <v>4147</v>
      </c>
      <c r="L641" s="9"/>
      <c r="M641" s="9" t="s">
        <v>4148</v>
      </c>
      <c r="N641" s="9" t="s">
        <v>4149</v>
      </c>
      <c r="O641" s="9" t="s">
        <v>4150</v>
      </c>
      <c r="P641" s="10">
        <v>37</v>
      </c>
    </row>
    <row r="642" spans="1:16" ht="144" x14ac:dyDescent="0.3">
      <c r="A642" t="s">
        <v>3528</v>
      </c>
      <c r="B642" t="s">
        <v>4006</v>
      </c>
      <c r="C642" t="s">
        <v>627</v>
      </c>
      <c r="D642" s="9" t="s">
        <v>4151</v>
      </c>
      <c r="E642" t="s">
        <v>773</v>
      </c>
      <c r="F642" t="s">
        <v>116</v>
      </c>
      <c r="G642" t="s">
        <v>47</v>
      </c>
      <c r="H642" s="9"/>
      <c r="I642" s="9" t="s">
        <v>106</v>
      </c>
      <c r="K642" s="9" t="s">
        <v>4152</v>
      </c>
      <c r="L642" s="9"/>
      <c r="M642" s="9" t="s">
        <v>4153</v>
      </c>
      <c r="N642" s="9" t="s">
        <v>4154</v>
      </c>
      <c r="O642" s="9" t="s">
        <v>4155</v>
      </c>
      <c r="P642" s="10">
        <v>37</v>
      </c>
    </row>
    <row r="643" spans="1:16" ht="115.2" x14ac:dyDescent="0.3">
      <c r="A643" t="s">
        <v>3528</v>
      </c>
      <c r="B643" t="s">
        <v>4006</v>
      </c>
      <c r="C643" t="s">
        <v>634</v>
      </c>
      <c r="D643" s="9" t="s">
        <v>4156</v>
      </c>
      <c r="E643" t="s">
        <v>773</v>
      </c>
      <c r="F643" t="s">
        <v>143</v>
      </c>
      <c r="G643" t="s">
        <v>47</v>
      </c>
      <c r="H643" s="9" t="s">
        <v>3230</v>
      </c>
      <c r="I643" s="9" t="s">
        <v>59</v>
      </c>
      <c r="K643" s="9" t="s">
        <v>4157</v>
      </c>
      <c r="L643" s="9"/>
      <c r="M643" s="9" t="s">
        <v>4158</v>
      </c>
      <c r="N643" s="9" t="s">
        <v>4159</v>
      </c>
      <c r="O643" s="9" t="s">
        <v>4160</v>
      </c>
      <c r="P643" s="10">
        <v>37</v>
      </c>
    </row>
    <row r="644" spans="1:16" ht="86.4" x14ac:dyDescent="0.3">
      <c r="A644" t="s">
        <v>3528</v>
      </c>
      <c r="B644" t="s">
        <v>4006</v>
      </c>
      <c r="C644" t="s">
        <v>642</v>
      </c>
      <c r="D644" s="9" t="s">
        <v>4161</v>
      </c>
      <c r="E644" t="s">
        <v>1345</v>
      </c>
      <c r="F644" t="s">
        <v>143</v>
      </c>
      <c r="G644" t="s">
        <v>47</v>
      </c>
      <c r="H644" s="9" t="s">
        <v>4162</v>
      </c>
      <c r="I644" s="9" t="s">
        <v>59</v>
      </c>
      <c r="K644" s="9" t="s">
        <v>4163</v>
      </c>
      <c r="L644" s="9"/>
      <c r="M644" s="9" t="s">
        <v>4164</v>
      </c>
      <c r="N644" s="9" t="s">
        <v>4165</v>
      </c>
      <c r="O644" s="9" t="s">
        <v>4166</v>
      </c>
      <c r="P644" s="10">
        <v>37</v>
      </c>
    </row>
    <row r="645" spans="1:16" ht="144" x14ac:dyDescent="0.3">
      <c r="A645" t="s">
        <v>3528</v>
      </c>
      <c r="B645" t="s">
        <v>4006</v>
      </c>
      <c r="C645" t="s">
        <v>649</v>
      </c>
      <c r="D645" s="9" t="s">
        <v>4167</v>
      </c>
      <c r="E645" t="s">
        <v>597</v>
      </c>
      <c r="F645" t="s">
        <v>143</v>
      </c>
      <c r="G645" t="s">
        <v>47</v>
      </c>
      <c r="H645" s="9" t="s">
        <v>892</v>
      </c>
      <c r="I645" s="9" t="s">
        <v>59</v>
      </c>
      <c r="K645" s="9" t="s">
        <v>4168</v>
      </c>
      <c r="L645" s="9"/>
      <c r="M645" s="9" t="s">
        <v>4169</v>
      </c>
      <c r="N645" s="9" t="s">
        <v>4170</v>
      </c>
      <c r="O645" s="9" t="s">
        <v>4171</v>
      </c>
      <c r="P645" s="10">
        <v>37</v>
      </c>
    </row>
    <row r="646" spans="1:16" ht="100.8" x14ac:dyDescent="0.3">
      <c r="A646" t="s">
        <v>3528</v>
      </c>
      <c r="B646" t="s">
        <v>4006</v>
      </c>
      <c r="C646" t="s">
        <v>657</v>
      </c>
      <c r="D646" s="9" t="s">
        <v>4172</v>
      </c>
      <c r="E646" t="s">
        <v>597</v>
      </c>
      <c r="F646" t="s">
        <v>143</v>
      </c>
      <c r="G646" t="s">
        <v>47</v>
      </c>
      <c r="H646" s="9" t="s">
        <v>4162</v>
      </c>
      <c r="I646" s="9" t="s">
        <v>59</v>
      </c>
      <c r="K646" s="9" t="s">
        <v>4173</v>
      </c>
      <c r="L646" s="9"/>
      <c r="M646" s="9" t="s">
        <v>4174</v>
      </c>
      <c r="N646" s="9" t="s">
        <v>4165</v>
      </c>
      <c r="O646" s="9" t="s">
        <v>4175</v>
      </c>
      <c r="P646" s="10">
        <v>37</v>
      </c>
    </row>
    <row r="647" spans="1:16" ht="144" x14ac:dyDescent="0.3">
      <c r="A647" t="s">
        <v>3528</v>
      </c>
      <c r="B647" t="s">
        <v>4006</v>
      </c>
      <c r="C647" t="s">
        <v>328</v>
      </c>
      <c r="D647" s="9" t="s">
        <v>4176</v>
      </c>
      <c r="E647" t="s">
        <v>597</v>
      </c>
      <c r="F647" t="s">
        <v>143</v>
      </c>
      <c r="G647" t="s">
        <v>47</v>
      </c>
      <c r="H647" s="9" t="s">
        <v>4162</v>
      </c>
      <c r="I647" s="9" t="s">
        <v>59</v>
      </c>
      <c r="K647" s="9" t="s">
        <v>4177</v>
      </c>
      <c r="L647" s="9"/>
      <c r="M647" s="9" t="s">
        <v>4178</v>
      </c>
      <c r="N647" s="9" t="s">
        <v>4165</v>
      </c>
      <c r="O647" s="9" t="s">
        <v>4179</v>
      </c>
      <c r="P647" s="10">
        <v>37</v>
      </c>
    </row>
    <row r="648" spans="1:16" ht="100.8" x14ac:dyDescent="0.3">
      <c r="A648" t="s">
        <v>3528</v>
      </c>
      <c r="B648" t="s">
        <v>4006</v>
      </c>
      <c r="C648" t="s">
        <v>841</v>
      </c>
      <c r="D648" s="9" t="s">
        <v>4180</v>
      </c>
      <c r="E648" t="s">
        <v>597</v>
      </c>
      <c r="F648" t="s">
        <v>143</v>
      </c>
      <c r="G648" t="s">
        <v>47</v>
      </c>
      <c r="H648" s="9" t="s">
        <v>4162</v>
      </c>
      <c r="I648" s="9" t="s">
        <v>59</v>
      </c>
      <c r="K648" s="9" t="s">
        <v>4181</v>
      </c>
      <c r="L648" s="9"/>
      <c r="M648" s="9" t="s">
        <v>4158</v>
      </c>
      <c r="N648" s="9" t="s">
        <v>4165</v>
      </c>
      <c r="O648" s="9" t="s">
        <v>4182</v>
      </c>
      <c r="P648" s="10">
        <v>37</v>
      </c>
    </row>
    <row r="649" spans="1:16" ht="144" x14ac:dyDescent="0.3">
      <c r="A649" t="s">
        <v>3528</v>
      </c>
      <c r="B649" t="s">
        <v>4006</v>
      </c>
      <c r="C649" t="s">
        <v>336</v>
      </c>
      <c r="D649" s="9" t="s">
        <v>4183</v>
      </c>
      <c r="E649" t="s">
        <v>597</v>
      </c>
      <c r="F649" t="s">
        <v>69</v>
      </c>
      <c r="G649" t="s">
        <v>47</v>
      </c>
      <c r="H649" s="9" t="s">
        <v>4184</v>
      </c>
      <c r="I649" s="9" t="s">
        <v>106</v>
      </c>
      <c r="K649" s="9" t="s">
        <v>4185</v>
      </c>
      <c r="L649" s="9"/>
      <c r="M649" s="9" t="s">
        <v>4186</v>
      </c>
      <c r="N649" s="9"/>
      <c r="O649" s="9" t="s">
        <v>4187</v>
      </c>
      <c r="P649" s="10">
        <v>37</v>
      </c>
    </row>
    <row r="650" spans="1:16" ht="129.6" x14ac:dyDescent="0.3">
      <c r="A650" t="s">
        <v>3528</v>
      </c>
      <c r="B650" t="s">
        <v>4006</v>
      </c>
      <c r="C650" t="s">
        <v>2374</v>
      </c>
      <c r="D650" s="9" t="s">
        <v>4188</v>
      </c>
      <c r="E650" t="s">
        <v>1353</v>
      </c>
      <c r="F650" t="s">
        <v>143</v>
      </c>
      <c r="G650" t="s">
        <v>47</v>
      </c>
      <c r="H650" s="9" t="s">
        <v>4189</v>
      </c>
      <c r="I650" s="9" t="s">
        <v>59</v>
      </c>
      <c r="K650" s="9" t="s">
        <v>4190</v>
      </c>
      <c r="L650" s="9"/>
      <c r="M650" s="9" t="s">
        <v>4191</v>
      </c>
      <c r="N650" s="9" t="s">
        <v>4192</v>
      </c>
      <c r="O650" s="9" t="s">
        <v>4193</v>
      </c>
      <c r="P650" s="10">
        <v>37</v>
      </c>
    </row>
    <row r="651" spans="1:16" ht="144" x14ac:dyDescent="0.3">
      <c r="A651" t="s">
        <v>3528</v>
      </c>
      <c r="B651" t="s">
        <v>4006</v>
      </c>
      <c r="C651" t="s">
        <v>853</v>
      </c>
      <c r="D651" s="9" t="s">
        <v>4194</v>
      </c>
      <c r="E651" t="s">
        <v>787</v>
      </c>
      <c r="F651" t="s">
        <v>143</v>
      </c>
      <c r="G651" t="s">
        <v>47</v>
      </c>
      <c r="H651" s="9" t="s">
        <v>4195</v>
      </c>
      <c r="I651" s="9" t="s">
        <v>59</v>
      </c>
      <c r="K651" s="9" t="s">
        <v>4196</v>
      </c>
      <c r="L651" s="9"/>
      <c r="M651" s="9" t="s">
        <v>4197</v>
      </c>
      <c r="N651" s="9"/>
      <c r="O651" s="9" t="s">
        <v>4198</v>
      </c>
      <c r="P651" s="10">
        <v>37</v>
      </c>
    </row>
    <row r="652" spans="1:16" ht="115.2" x14ac:dyDescent="0.3">
      <c r="A652" t="s">
        <v>3528</v>
      </c>
      <c r="B652" t="s">
        <v>4006</v>
      </c>
      <c r="C652" t="s">
        <v>860</v>
      </c>
      <c r="D652" s="9" t="s">
        <v>4199</v>
      </c>
      <c r="E652" t="s">
        <v>787</v>
      </c>
      <c r="F652" t="s">
        <v>143</v>
      </c>
      <c r="G652" t="s">
        <v>47</v>
      </c>
      <c r="H652" s="9" t="s">
        <v>4200</v>
      </c>
      <c r="I652" s="9" t="s">
        <v>106</v>
      </c>
      <c r="J652" t="s">
        <v>4018</v>
      </c>
      <c r="K652" s="9" t="s">
        <v>4201</v>
      </c>
      <c r="L652" s="9" t="s">
        <v>4202</v>
      </c>
      <c r="M652" s="9" t="s">
        <v>4203</v>
      </c>
      <c r="N652" s="9" t="s">
        <v>4204</v>
      </c>
      <c r="O652" s="9" t="s">
        <v>4205</v>
      </c>
      <c r="P652" s="10">
        <v>37</v>
      </c>
    </row>
    <row r="653" spans="1:16" ht="86.4" x14ac:dyDescent="0.3">
      <c r="A653" t="s">
        <v>3528</v>
      </c>
      <c r="B653" t="s">
        <v>4006</v>
      </c>
      <c r="C653" t="s">
        <v>345</v>
      </c>
      <c r="D653" s="9" t="s">
        <v>4206</v>
      </c>
      <c r="E653" t="s">
        <v>787</v>
      </c>
      <c r="F653" t="s">
        <v>143</v>
      </c>
      <c r="G653" t="s">
        <v>47</v>
      </c>
      <c r="H653" s="9" t="s">
        <v>395</v>
      </c>
      <c r="I653" s="9" t="s">
        <v>106</v>
      </c>
      <c r="K653" s="9" t="s">
        <v>4207</v>
      </c>
      <c r="L653" s="9"/>
      <c r="M653" s="9" t="s">
        <v>4208</v>
      </c>
      <c r="N653" s="9"/>
      <c r="O653" s="9" t="s">
        <v>4209</v>
      </c>
      <c r="P653" s="10">
        <v>37</v>
      </c>
    </row>
    <row r="654" spans="1:16" ht="100.8" x14ac:dyDescent="0.3">
      <c r="A654" t="s">
        <v>3528</v>
      </c>
      <c r="B654" t="s">
        <v>4006</v>
      </c>
      <c r="C654" t="s">
        <v>867</v>
      </c>
      <c r="D654" s="9" t="s">
        <v>4210</v>
      </c>
      <c r="E654" t="s">
        <v>1361</v>
      </c>
      <c r="F654" t="s">
        <v>143</v>
      </c>
      <c r="G654" t="s">
        <v>47</v>
      </c>
      <c r="H654" s="9" t="s">
        <v>4211</v>
      </c>
      <c r="I654" s="9" t="s">
        <v>106</v>
      </c>
      <c r="K654" s="9" t="s">
        <v>4212</v>
      </c>
      <c r="L654" s="9"/>
      <c r="M654" s="9" t="s">
        <v>4213</v>
      </c>
      <c r="N654" s="9" t="s">
        <v>4214</v>
      </c>
      <c r="O654" s="9" t="s">
        <v>4215</v>
      </c>
      <c r="P654" s="10">
        <v>37</v>
      </c>
    </row>
    <row r="655" spans="1:16" ht="230.4" x14ac:dyDescent="0.3">
      <c r="A655" t="s">
        <v>3528</v>
      </c>
      <c r="B655" t="s">
        <v>4006</v>
      </c>
      <c r="C655" t="s">
        <v>352</v>
      </c>
      <c r="D655" s="9" t="s">
        <v>4216</v>
      </c>
      <c r="E655" t="s">
        <v>604</v>
      </c>
      <c r="F655" t="s">
        <v>143</v>
      </c>
      <c r="G655" t="s">
        <v>47</v>
      </c>
      <c r="H655" s="9" t="s">
        <v>2896</v>
      </c>
      <c r="I655" s="9" t="s">
        <v>614</v>
      </c>
      <c r="K655" s="9" t="s">
        <v>4217</v>
      </c>
      <c r="L655" s="9"/>
      <c r="M655" s="9" t="s">
        <v>4218</v>
      </c>
      <c r="N655" s="9" t="s">
        <v>4219</v>
      </c>
      <c r="O655" s="9" t="s">
        <v>4220</v>
      </c>
      <c r="P655" s="10">
        <v>37</v>
      </c>
    </row>
    <row r="656" spans="1:16" ht="72" x14ac:dyDescent="0.3">
      <c r="A656" t="s">
        <v>3528</v>
      </c>
      <c r="B656" t="s">
        <v>4006</v>
      </c>
      <c r="C656" t="s">
        <v>875</v>
      </c>
      <c r="D656" s="9" t="s">
        <v>4221</v>
      </c>
      <c r="E656" t="s">
        <v>604</v>
      </c>
      <c r="F656" t="s">
        <v>143</v>
      </c>
      <c r="G656" t="s">
        <v>47</v>
      </c>
      <c r="H656" s="9" t="s">
        <v>2896</v>
      </c>
      <c r="I656" s="9" t="s">
        <v>59</v>
      </c>
      <c r="K656" s="9" t="s">
        <v>4222</v>
      </c>
      <c r="L656" s="9"/>
      <c r="M656" s="9" t="s">
        <v>4223</v>
      </c>
      <c r="N656" s="9" t="s">
        <v>4224</v>
      </c>
      <c r="O656" s="9" t="s">
        <v>4225</v>
      </c>
      <c r="P656" s="10">
        <v>37</v>
      </c>
    </row>
    <row r="657" spans="1:16" ht="115.2" x14ac:dyDescent="0.3">
      <c r="A657" t="s">
        <v>3528</v>
      </c>
      <c r="B657" t="s">
        <v>4006</v>
      </c>
      <c r="C657" t="s">
        <v>2413</v>
      </c>
      <c r="D657" s="9" t="s">
        <v>4226</v>
      </c>
      <c r="E657" t="s">
        <v>604</v>
      </c>
      <c r="F657" t="s">
        <v>143</v>
      </c>
      <c r="G657" t="s">
        <v>47</v>
      </c>
      <c r="H657" s="9" t="s">
        <v>2896</v>
      </c>
      <c r="I657" s="9" t="s">
        <v>59</v>
      </c>
      <c r="K657" s="9" t="s">
        <v>4227</v>
      </c>
      <c r="L657" s="9"/>
      <c r="M657" s="9" t="s">
        <v>4228</v>
      </c>
      <c r="N657" s="9" t="s">
        <v>4229</v>
      </c>
      <c r="O657" s="9" t="s">
        <v>4230</v>
      </c>
      <c r="P657" s="10">
        <v>37</v>
      </c>
    </row>
    <row r="658" spans="1:16" ht="86.4" x14ac:dyDescent="0.3">
      <c r="A658" t="s">
        <v>3528</v>
      </c>
      <c r="B658" t="s">
        <v>4006</v>
      </c>
      <c r="C658" t="s">
        <v>883</v>
      </c>
      <c r="D658" s="9" t="s">
        <v>4231</v>
      </c>
      <c r="E658" t="s">
        <v>1370</v>
      </c>
      <c r="F658" t="s">
        <v>143</v>
      </c>
      <c r="G658" t="s">
        <v>47</v>
      </c>
      <c r="H658" s="9" t="s">
        <v>2896</v>
      </c>
      <c r="I658" s="9" t="s">
        <v>59</v>
      </c>
      <c r="K658" s="9" t="s">
        <v>4232</v>
      </c>
      <c r="L658" s="9"/>
      <c r="M658" s="9" t="s">
        <v>4233</v>
      </c>
      <c r="N658" s="9" t="s">
        <v>4234</v>
      </c>
      <c r="O658" s="9" t="s">
        <v>4235</v>
      </c>
      <c r="P658" s="10">
        <v>37</v>
      </c>
    </row>
    <row r="659" spans="1:16" ht="100.8" x14ac:dyDescent="0.3">
      <c r="A659" t="s">
        <v>3528</v>
      </c>
      <c r="B659" t="s">
        <v>4006</v>
      </c>
      <c r="C659" t="s">
        <v>360</v>
      </c>
      <c r="D659" s="9" t="s">
        <v>4236</v>
      </c>
      <c r="E659" t="s">
        <v>611</v>
      </c>
      <c r="F659" t="s">
        <v>143</v>
      </c>
      <c r="G659" t="s">
        <v>47</v>
      </c>
      <c r="H659" s="9" t="s">
        <v>2896</v>
      </c>
      <c r="I659" s="9" t="s">
        <v>59</v>
      </c>
      <c r="K659" s="9" t="s">
        <v>4237</v>
      </c>
      <c r="L659" s="9"/>
      <c r="M659" s="9" t="s">
        <v>4238</v>
      </c>
      <c r="N659" s="9" t="s">
        <v>4239</v>
      </c>
      <c r="O659" s="9" t="s">
        <v>4240</v>
      </c>
      <c r="P659" s="10">
        <v>37</v>
      </c>
    </row>
    <row r="660" spans="1:16" ht="172.8" x14ac:dyDescent="0.3">
      <c r="A660" t="s">
        <v>3528</v>
      </c>
      <c r="B660" t="s">
        <v>4006</v>
      </c>
      <c r="C660" t="s">
        <v>890</v>
      </c>
      <c r="D660" s="9" t="s">
        <v>4241</v>
      </c>
      <c r="E660" t="s">
        <v>1378</v>
      </c>
      <c r="F660" t="s">
        <v>143</v>
      </c>
      <c r="G660" t="s">
        <v>47</v>
      </c>
      <c r="H660" s="9" t="s">
        <v>2896</v>
      </c>
      <c r="I660" s="9" t="s">
        <v>59</v>
      </c>
      <c r="K660" s="9" t="s">
        <v>4242</v>
      </c>
      <c r="L660" s="9"/>
      <c r="M660" s="9" t="s">
        <v>4243</v>
      </c>
      <c r="N660" s="9" t="s">
        <v>4244</v>
      </c>
      <c r="O660" s="9" t="s">
        <v>4245</v>
      </c>
      <c r="P660" s="10">
        <v>37</v>
      </c>
    </row>
    <row r="661" spans="1:16" ht="144" x14ac:dyDescent="0.3">
      <c r="A661" t="s">
        <v>3528</v>
      </c>
      <c r="B661" t="s">
        <v>4006</v>
      </c>
      <c r="C661" t="s">
        <v>677</v>
      </c>
      <c r="D661" s="9" t="s">
        <v>4246</v>
      </c>
      <c r="E661" t="s">
        <v>1385</v>
      </c>
      <c r="F661" t="s">
        <v>46</v>
      </c>
      <c r="G661" t="s">
        <v>47</v>
      </c>
      <c r="H661" s="9" t="s">
        <v>4247</v>
      </c>
      <c r="I661" s="9" t="s">
        <v>106</v>
      </c>
      <c r="J661" t="s">
        <v>4248</v>
      </c>
      <c r="K661" s="9" t="s">
        <v>4249</v>
      </c>
      <c r="L661" s="9" t="s">
        <v>4250</v>
      </c>
      <c r="M661" s="9" t="s">
        <v>4251</v>
      </c>
      <c r="N661" s="9" t="s">
        <v>4252</v>
      </c>
      <c r="O661" s="9" t="s">
        <v>4253</v>
      </c>
      <c r="P661" s="10">
        <v>37</v>
      </c>
    </row>
    <row r="662" spans="1:16" ht="158.4" x14ac:dyDescent="0.3">
      <c r="A662" t="s">
        <v>3528</v>
      </c>
      <c r="B662" t="s">
        <v>4006</v>
      </c>
      <c r="C662" t="s">
        <v>905</v>
      </c>
      <c r="D662" s="9" t="s">
        <v>4254</v>
      </c>
      <c r="E662" t="s">
        <v>620</v>
      </c>
      <c r="F662" t="s">
        <v>46</v>
      </c>
      <c r="G662" t="s">
        <v>47</v>
      </c>
      <c r="H662" s="9" t="s">
        <v>3880</v>
      </c>
      <c r="I662" s="9" t="s">
        <v>106</v>
      </c>
      <c r="J662" t="s">
        <v>479</v>
      </c>
      <c r="K662" s="9" t="s">
        <v>4255</v>
      </c>
      <c r="L662" s="9" t="s">
        <v>4256</v>
      </c>
      <c r="M662" s="9" t="s">
        <v>4257</v>
      </c>
      <c r="N662" s="9" t="s">
        <v>4258</v>
      </c>
      <c r="O662" s="9" t="s">
        <v>4259</v>
      </c>
      <c r="P662" s="10">
        <v>37</v>
      </c>
    </row>
    <row r="663" spans="1:16" ht="259.2" x14ac:dyDescent="0.3">
      <c r="A663" t="s">
        <v>3528</v>
      </c>
      <c r="B663" t="s">
        <v>4006</v>
      </c>
      <c r="C663" t="s">
        <v>912</v>
      </c>
      <c r="D663" s="9" t="s">
        <v>4260</v>
      </c>
      <c r="E663" t="s">
        <v>1394</v>
      </c>
      <c r="F663" t="s">
        <v>46</v>
      </c>
      <c r="G663" t="s">
        <v>47</v>
      </c>
      <c r="H663" s="9"/>
      <c r="I663" s="9" t="s">
        <v>106</v>
      </c>
      <c r="J663" t="s">
        <v>4248</v>
      </c>
      <c r="K663" s="9" t="s">
        <v>4261</v>
      </c>
      <c r="L663" s="9" t="s">
        <v>4262</v>
      </c>
      <c r="M663" s="9" t="s">
        <v>4263</v>
      </c>
      <c r="N663" s="9" t="s">
        <v>4264</v>
      </c>
      <c r="O663" s="9" t="s">
        <v>4265</v>
      </c>
      <c r="P663" s="10">
        <v>37</v>
      </c>
    </row>
    <row r="664" spans="1:16" ht="259.2" x14ac:dyDescent="0.3">
      <c r="A664" t="s">
        <v>3528</v>
      </c>
      <c r="B664" t="s">
        <v>4006</v>
      </c>
      <c r="C664" t="s">
        <v>685</v>
      </c>
      <c r="D664" s="9" t="s">
        <v>4266</v>
      </c>
      <c r="E664" t="s">
        <v>1402</v>
      </c>
      <c r="F664" t="s">
        <v>46</v>
      </c>
      <c r="G664" t="s">
        <v>47</v>
      </c>
      <c r="H664" s="9"/>
      <c r="I664" s="9" t="s">
        <v>106</v>
      </c>
      <c r="J664" t="s">
        <v>479</v>
      </c>
      <c r="K664" s="9" t="s">
        <v>4267</v>
      </c>
      <c r="L664" s="9" t="s">
        <v>4268</v>
      </c>
      <c r="M664" s="9" t="s">
        <v>4269</v>
      </c>
      <c r="N664" s="9" t="s">
        <v>4270</v>
      </c>
      <c r="O664" s="9" t="s">
        <v>4271</v>
      </c>
      <c r="P664" s="10">
        <v>37</v>
      </c>
    </row>
    <row r="665" spans="1:16" ht="230.4" x14ac:dyDescent="0.3">
      <c r="A665" t="s">
        <v>3528</v>
      </c>
      <c r="B665" t="s">
        <v>4006</v>
      </c>
      <c r="C665" t="s">
        <v>692</v>
      </c>
      <c r="D665" s="9" t="s">
        <v>4272</v>
      </c>
      <c r="E665" t="s">
        <v>1411</v>
      </c>
      <c r="F665" t="s">
        <v>46</v>
      </c>
      <c r="G665" t="s">
        <v>47</v>
      </c>
      <c r="H665" s="9"/>
      <c r="I665" s="9" t="s">
        <v>106</v>
      </c>
      <c r="J665" t="s">
        <v>479</v>
      </c>
      <c r="K665" s="9" t="s">
        <v>4273</v>
      </c>
      <c r="L665" s="9" t="s">
        <v>4274</v>
      </c>
      <c r="M665" s="9" t="s">
        <v>4275</v>
      </c>
      <c r="N665" s="9" t="s">
        <v>4276</v>
      </c>
      <c r="O665" s="9" t="s">
        <v>4277</v>
      </c>
      <c r="P665" s="10">
        <v>37</v>
      </c>
    </row>
    <row r="666" spans="1:16" ht="86.4" x14ac:dyDescent="0.3">
      <c r="A666" t="s">
        <v>3528</v>
      </c>
      <c r="B666" t="s">
        <v>4006</v>
      </c>
      <c r="C666" t="s">
        <v>925</v>
      </c>
      <c r="D666" s="9" t="s">
        <v>4278</v>
      </c>
      <c r="E666" t="s">
        <v>1419</v>
      </c>
      <c r="F666" t="s">
        <v>116</v>
      </c>
      <c r="G666" t="s">
        <v>47</v>
      </c>
      <c r="H666" s="9"/>
      <c r="I666" s="9"/>
      <c r="J666" t="s">
        <v>479</v>
      </c>
      <c r="K666" s="9" t="s">
        <v>4279</v>
      </c>
      <c r="L666" s="9" t="s">
        <v>4280</v>
      </c>
      <c r="M666" s="9" t="s">
        <v>4281</v>
      </c>
      <c r="N666" s="9" t="s">
        <v>4282</v>
      </c>
      <c r="O666" s="9" t="s">
        <v>4283</v>
      </c>
      <c r="P666" s="10">
        <v>37</v>
      </c>
    </row>
    <row r="667" spans="1:16" ht="100.8" x14ac:dyDescent="0.3">
      <c r="A667" t="s">
        <v>3528</v>
      </c>
      <c r="B667" t="s">
        <v>4006</v>
      </c>
      <c r="C667" t="s">
        <v>3821</v>
      </c>
      <c r="D667" s="9" t="s">
        <v>4284</v>
      </c>
      <c r="E667" t="s">
        <v>627</v>
      </c>
      <c r="F667" t="s">
        <v>69</v>
      </c>
      <c r="G667" t="s">
        <v>47</v>
      </c>
      <c r="H667" s="9"/>
      <c r="I667" s="9"/>
      <c r="K667" s="9" t="s">
        <v>4285</v>
      </c>
      <c r="L667" s="9"/>
      <c r="M667" s="9" t="s">
        <v>4286</v>
      </c>
      <c r="N667" s="9"/>
      <c r="O667" s="9" t="s">
        <v>4287</v>
      </c>
      <c r="P667" s="10">
        <v>37</v>
      </c>
    </row>
    <row r="668" spans="1:16" ht="129.6" x14ac:dyDescent="0.3">
      <c r="A668" t="s">
        <v>3528</v>
      </c>
      <c r="B668" t="s">
        <v>4006</v>
      </c>
      <c r="C668" t="s">
        <v>933</v>
      </c>
      <c r="D668" s="9" t="s">
        <v>4288</v>
      </c>
      <c r="E668" t="s">
        <v>627</v>
      </c>
      <c r="F668" t="s">
        <v>69</v>
      </c>
      <c r="G668" t="s">
        <v>47</v>
      </c>
      <c r="H668" s="9"/>
      <c r="I668" s="9"/>
      <c r="K668" s="9" t="s">
        <v>4289</v>
      </c>
      <c r="L668" s="9"/>
      <c r="M668" s="9" t="s">
        <v>4290</v>
      </c>
      <c r="N668" s="9" t="s">
        <v>4291</v>
      </c>
      <c r="O668" s="9" t="s">
        <v>4292</v>
      </c>
      <c r="P668" s="10">
        <v>37</v>
      </c>
    </row>
    <row r="669" spans="1:16" ht="172.8" x14ac:dyDescent="0.3">
      <c r="A669" t="s">
        <v>3528</v>
      </c>
      <c r="B669" t="s">
        <v>4006</v>
      </c>
      <c r="C669" t="s">
        <v>2121</v>
      </c>
      <c r="D669" s="9" t="s">
        <v>4293</v>
      </c>
      <c r="E669" t="s">
        <v>1427</v>
      </c>
      <c r="F669" t="s">
        <v>143</v>
      </c>
      <c r="G669" t="s">
        <v>47</v>
      </c>
      <c r="H669" s="9" t="s">
        <v>469</v>
      </c>
      <c r="I669" s="9" t="s">
        <v>106</v>
      </c>
      <c r="J669" t="s">
        <v>4294</v>
      </c>
      <c r="K669" s="9" t="s">
        <v>4295</v>
      </c>
      <c r="L669" s="9" t="s">
        <v>4296</v>
      </c>
      <c r="M669" s="9" t="s">
        <v>4297</v>
      </c>
      <c r="N669" s="9" t="s">
        <v>4298</v>
      </c>
      <c r="O669" s="9" t="s">
        <v>4299</v>
      </c>
      <c r="P669" s="10">
        <v>37</v>
      </c>
    </row>
    <row r="670" spans="1:16" ht="129.6" x14ac:dyDescent="0.3">
      <c r="A670" t="s">
        <v>3528</v>
      </c>
      <c r="B670" t="s">
        <v>4006</v>
      </c>
      <c r="C670" t="s">
        <v>4300</v>
      </c>
      <c r="D670" s="9" t="s">
        <v>4301</v>
      </c>
      <c r="E670" t="s">
        <v>634</v>
      </c>
      <c r="F670" t="s">
        <v>143</v>
      </c>
      <c r="G670" t="s">
        <v>47</v>
      </c>
      <c r="H670" s="9" t="s">
        <v>469</v>
      </c>
      <c r="I670" s="9" t="s">
        <v>106</v>
      </c>
      <c r="J670" t="s">
        <v>4294</v>
      </c>
      <c r="K670" s="9" t="s">
        <v>4302</v>
      </c>
      <c r="L670" s="9" t="s">
        <v>4303</v>
      </c>
      <c r="M670" s="9" t="s">
        <v>4304</v>
      </c>
      <c r="N670" s="9" t="s">
        <v>4305</v>
      </c>
      <c r="O670" s="9" t="s">
        <v>4306</v>
      </c>
      <c r="P670" s="10">
        <v>37</v>
      </c>
    </row>
    <row r="671" spans="1:16" ht="115.2" x14ac:dyDescent="0.3">
      <c r="A671" t="s">
        <v>3528</v>
      </c>
      <c r="B671" t="s">
        <v>4006</v>
      </c>
      <c r="C671" t="s">
        <v>4307</v>
      </c>
      <c r="D671" s="9" t="s">
        <v>4308</v>
      </c>
      <c r="E671" t="s">
        <v>634</v>
      </c>
      <c r="F671" t="s">
        <v>143</v>
      </c>
      <c r="G671" t="s">
        <v>47</v>
      </c>
      <c r="H671" s="9" t="s">
        <v>789</v>
      </c>
      <c r="I671" s="9" t="s">
        <v>106</v>
      </c>
      <c r="J671" t="s">
        <v>4294</v>
      </c>
      <c r="K671" s="9" t="s">
        <v>4309</v>
      </c>
      <c r="L671" s="9" t="s">
        <v>4310</v>
      </c>
      <c r="M671" s="9" t="s">
        <v>4311</v>
      </c>
      <c r="N671" s="9" t="s">
        <v>4312</v>
      </c>
      <c r="O671" s="9" t="s">
        <v>4313</v>
      </c>
      <c r="P671" s="10">
        <v>37</v>
      </c>
    </row>
    <row r="672" spans="1:16" ht="129.6" x14ac:dyDescent="0.3">
      <c r="A672" t="s">
        <v>3528</v>
      </c>
      <c r="B672" t="s">
        <v>4006</v>
      </c>
      <c r="C672" t="s">
        <v>940</v>
      </c>
      <c r="D672" s="9" t="s">
        <v>4314</v>
      </c>
      <c r="E672" t="s">
        <v>1435</v>
      </c>
      <c r="F672" t="s">
        <v>143</v>
      </c>
      <c r="G672" t="s">
        <v>47</v>
      </c>
      <c r="H672" s="9" t="s">
        <v>469</v>
      </c>
      <c r="I672" s="9" t="s">
        <v>106</v>
      </c>
      <c r="J672" t="s">
        <v>4294</v>
      </c>
      <c r="K672" s="9" t="s">
        <v>4315</v>
      </c>
      <c r="L672" s="9" t="s">
        <v>4316</v>
      </c>
      <c r="M672" s="9" t="s">
        <v>4317</v>
      </c>
      <c r="N672" s="9"/>
      <c r="O672" s="9" t="s">
        <v>4318</v>
      </c>
      <c r="P672" s="10">
        <v>37</v>
      </c>
    </row>
    <row r="673" spans="1:16" ht="144" x14ac:dyDescent="0.3">
      <c r="A673" t="s">
        <v>3528</v>
      </c>
      <c r="B673" t="s">
        <v>4006</v>
      </c>
      <c r="C673" t="s">
        <v>700</v>
      </c>
      <c r="D673" s="9" t="s">
        <v>4319</v>
      </c>
      <c r="E673" t="s">
        <v>1443</v>
      </c>
      <c r="F673" t="s">
        <v>46</v>
      </c>
      <c r="G673" t="s">
        <v>47</v>
      </c>
      <c r="H673" s="9" t="s">
        <v>1842</v>
      </c>
      <c r="I673" s="9" t="s">
        <v>106</v>
      </c>
      <c r="J673" t="s">
        <v>4294</v>
      </c>
      <c r="K673" s="9" t="s">
        <v>4320</v>
      </c>
      <c r="L673" s="9" t="s">
        <v>4321</v>
      </c>
      <c r="M673" s="9" t="s">
        <v>4322</v>
      </c>
      <c r="N673" s="9" t="s">
        <v>4323</v>
      </c>
      <c r="O673" s="9" t="s">
        <v>4324</v>
      </c>
      <c r="P673" s="10">
        <v>37</v>
      </c>
    </row>
    <row r="674" spans="1:16" ht="144" x14ac:dyDescent="0.3">
      <c r="A674" t="s">
        <v>3528</v>
      </c>
      <c r="B674" t="s">
        <v>4006</v>
      </c>
      <c r="C674" t="s">
        <v>3759</v>
      </c>
      <c r="D674" s="9" t="s">
        <v>4325</v>
      </c>
      <c r="E674" t="s">
        <v>649</v>
      </c>
      <c r="F674" t="s">
        <v>116</v>
      </c>
      <c r="G674" t="s">
        <v>47</v>
      </c>
      <c r="H674" s="9" t="s">
        <v>488</v>
      </c>
      <c r="I674" s="9" t="s">
        <v>106</v>
      </c>
      <c r="J674" t="s">
        <v>4326</v>
      </c>
      <c r="K674" s="9" t="s">
        <v>4327</v>
      </c>
      <c r="L674" s="9" t="s">
        <v>4328</v>
      </c>
      <c r="M674" s="9" t="s">
        <v>4329</v>
      </c>
      <c r="N674" s="9" t="s">
        <v>4330</v>
      </c>
      <c r="O674" s="9" t="s">
        <v>4331</v>
      </c>
      <c r="P674" s="10">
        <v>37</v>
      </c>
    </row>
    <row r="675" spans="1:16" ht="115.2" x14ac:dyDescent="0.3">
      <c r="A675" t="s">
        <v>3528</v>
      </c>
      <c r="B675" t="s">
        <v>4006</v>
      </c>
      <c r="C675" t="s">
        <v>954</v>
      </c>
      <c r="D675" s="9" t="s">
        <v>4332</v>
      </c>
      <c r="E675" t="s">
        <v>649</v>
      </c>
      <c r="F675" t="s">
        <v>116</v>
      </c>
      <c r="G675" t="s">
        <v>47</v>
      </c>
      <c r="H675" s="9" t="s">
        <v>488</v>
      </c>
      <c r="I675" s="9" t="s">
        <v>106</v>
      </c>
      <c r="J675" t="s">
        <v>4294</v>
      </c>
      <c r="K675" s="9" t="s">
        <v>4333</v>
      </c>
      <c r="L675" s="9" t="s">
        <v>4334</v>
      </c>
      <c r="M675" s="9" t="s">
        <v>4335</v>
      </c>
      <c r="N675" s="9" t="s">
        <v>4336</v>
      </c>
      <c r="O675" s="9" t="s">
        <v>4337</v>
      </c>
      <c r="P675" s="10">
        <v>37</v>
      </c>
    </row>
    <row r="676" spans="1:16" ht="115.2" x14ac:dyDescent="0.3">
      <c r="A676" t="s">
        <v>3528</v>
      </c>
      <c r="B676" t="s">
        <v>4006</v>
      </c>
      <c r="C676" t="s">
        <v>3782</v>
      </c>
      <c r="D676" s="9" t="s">
        <v>4338</v>
      </c>
      <c r="E676" t="s">
        <v>1449</v>
      </c>
      <c r="F676" t="s">
        <v>116</v>
      </c>
      <c r="G676" t="s">
        <v>47</v>
      </c>
      <c r="H676" s="9" t="s">
        <v>488</v>
      </c>
      <c r="I676" s="9" t="s">
        <v>106</v>
      </c>
      <c r="J676" t="s">
        <v>4294</v>
      </c>
      <c r="K676" s="9" t="s">
        <v>4339</v>
      </c>
      <c r="L676" s="9" t="s">
        <v>4340</v>
      </c>
      <c r="M676" s="9" t="s">
        <v>4341</v>
      </c>
      <c r="N676" s="9" t="s">
        <v>4342</v>
      </c>
      <c r="O676" s="9" t="s">
        <v>4343</v>
      </c>
      <c r="P676" s="10">
        <v>37</v>
      </c>
    </row>
    <row r="677" spans="1:16" ht="230.4" x14ac:dyDescent="0.3">
      <c r="A677" t="s">
        <v>3528</v>
      </c>
      <c r="B677" t="s">
        <v>4006</v>
      </c>
      <c r="C677" t="s">
        <v>3802</v>
      </c>
      <c r="D677" s="9" t="s">
        <v>4344</v>
      </c>
      <c r="E677" t="s">
        <v>657</v>
      </c>
      <c r="F677" t="s">
        <v>116</v>
      </c>
      <c r="G677" t="s">
        <v>47</v>
      </c>
      <c r="H677" s="9" t="s">
        <v>488</v>
      </c>
      <c r="I677" s="9" t="s">
        <v>106</v>
      </c>
      <c r="J677" t="s">
        <v>4294</v>
      </c>
      <c r="K677" s="9" t="s">
        <v>4345</v>
      </c>
      <c r="L677" s="9" t="s">
        <v>4346</v>
      </c>
      <c r="M677" s="9" t="s">
        <v>4347</v>
      </c>
      <c r="N677" s="9" t="s">
        <v>4348</v>
      </c>
      <c r="O677" s="9" t="s">
        <v>4349</v>
      </c>
      <c r="P677" s="10">
        <v>37</v>
      </c>
    </row>
    <row r="678" spans="1:16" ht="244.8" x14ac:dyDescent="0.3">
      <c r="A678" t="s">
        <v>3528</v>
      </c>
      <c r="B678" t="s">
        <v>4006</v>
      </c>
      <c r="C678" t="s">
        <v>2057</v>
      </c>
      <c r="D678" s="9" t="s">
        <v>4350</v>
      </c>
      <c r="E678" t="s">
        <v>1456</v>
      </c>
      <c r="F678" t="s">
        <v>116</v>
      </c>
      <c r="G678" t="s">
        <v>47</v>
      </c>
      <c r="H678" s="9"/>
      <c r="I678" s="9" t="s">
        <v>106</v>
      </c>
      <c r="K678" s="9" t="s">
        <v>4351</v>
      </c>
      <c r="L678" s="9" t="s">
        <v>4352</v>
      </c>
      <c r="M678" s="9" t="s">
        <v>4353</v>
      </c>
      <c r="N678" s="9" t="s">
        <v>4354</v>
      </c>
      <c r="O678" s="9" t="s">
        <v>4355</v>
      </c>
      <c r="P678" s="10">
        <v>37</v>
      </c>
    </row>
    <row r="679" spans="1:16" ht="86.4" x14ac:dyDescent="0.3">
      <c r="A679" t="s">
        <v>3528</v>
      </c>
      <c r="B679" t="s">
        <v>4006</v>
      </c>
      <c r="C679" t="s">
        <v>4356</v>
      </c>
      <c r="D679" s="9" t="s">
        <v>4357</v>
      </c>
      <c r="E679" t="s">
        <v>328</v>
      </c>
      <c r="F679" t="s">
        <v>69</v>
      </c>
      <c r="G679" t="s">
        <v>47</v>
      </c>
      <c r="H679" s="9"/>
      <c r="I679" s="9"/>
      <c r="K679" s="9" t="s">
        <v>4358</v>
      </c>
      <c r="L679" s="9"/>
      <c r="M679" s="9" t="s">
        <v>4359</v>
      </c>
      <c r="N679" s="9"/>
      <c r="O679" s="9" t="s">
        <v>4360</v>
      </c>
      <c r="P679" s="10">
        <v>37</v>
      </c>
    </row>
    <row r="680" spans="1:16" ht="72" x14ac:dyDescent="0.3">
      <c r="A680" t="s">
        <v>3528</v>
      </c>
      <c r="B680" t="s">
        <v>4006</v>
      </c>
      <c r="C680" t="s">
        <v>2115</v>
      </c>
      <c r="D680" s="9" t="s">
        <v>4361</v>
      </c>
      <c r="E680" t="s">
        <v>328</v>
      </c>
      <c r="F680" t="s">
        <v>69</v>
      </c>
      <c r="G680" t="s">
        <v>47</v>
      </c>
      <c r="H680" s="9"/>
      <c r="I680" s="9"/>
      <c r="K680" s="9" t="s">
        <v>4362</v>
      </c>
      <c r="L680" s="9"/>
      <c r="M680" s="9" t="s">
        <v>4363</v>
      </c>
      <c r="N680" s="9"/>
      <c r="O680" s="9" t="s">
        <v>4364</v>
      </c>
      <c r="P680" s="10">
        <v>37</v>
      </c>
    </row>
    <row r="681" spans="1:16" ht="259.2" x14ac:dyDescent="0.3">
      <c r="A681" t="s">
        <v>3528</v>
      </c>
      <c r="B681" t="s">
        <v>4006</v>
      </c>
      <c r="C681" t="s">
        <v>4365</v>
      </c>
      <c r="D681" s="9" t="s">
        <v>4366</v>
      </c>
      <c r="E681" t="s">
        <v>76</v>
      </c>
      <c r="F681" t="s">
        <v>69</v>
      </c>
      <c r="G681" t="s">
        <v>47</v>
      </c>
      <c r="H681" s="9" t="s">
        <v>395</v>
      </c>
      <c r="I681" s="9"/>
      <c r="J681" t="s">
        <v>3861</v>
      </c>
      <c r="K681" s="9" t="s">
        <v>4367</v>
      </c>
      <c r="L681" s="9"/>
      <c r="M681" s="9" t="s">
        <v>4368</v>
      </c>
      <c r="N681" s="9" t="s">
        <v>4369</v>
      </c>
      <c r="O681" s="9" t="s">
        <v>4370</v>
      </c>
      <c r="P681" s="10">
        <v>37</v>
      </c>
    </row>
    <row r="682" spans="1:16" ht="144" x14ac:dyDescent="0.3">
      <c r="A682" t="s">
        <v>3528</v>
      </c>
      <c r="B682" t="s">
        <v>4371</v>
      </c>
      <c r="C682" t="s">
        <v>66</v>
      </c>
      <c r="D682" s="9" t="s">
        <v>4372</v>
      </c>
      <c r="E682" t="s">
        <v>66</v>
      </c>
      <c r="F682" t="s">
        <v>143</v>
      </c>
      <c r="G682" t="s">
        <v>47</v>
      </c>
      <c r="H682" s="9" t="s">
        <v>711</v>
      </c>
      <c r="I682" s="9" t="s">
        <v>59</v>
      </c>
      <c r="J682" t="s">
        <v>4373</v>
      </c>
      <c r="K682" s="9" t="s">
        <v>4374</v>
      </c>
      <c r="L682" s="9" t="s">
        <v>4375</v>
      </c>
      <c r="M682" s="9" t="s">
        <v>4376</v>
      </c>
      <c r="N682" s="9" t="s">
        <v>4377</v>
      </c>
      <c r="O682" s="9" t="s">
        <v>4378</v>
      </c>
      <c r="P682" s="10">
        <v>38</v>
      </c>
    </row>
    <row r="683" spans="1:16" ht="409.6" x14ac:dyDescent="0.3">
      <c r="A683" t="s">
        <v>3528</v>
      </c>
      <c r="B683" t="s">
        <v>4371</v>
      </c>
      <c r="C683" t="s">
        <v>74</v>
      </c>
      <c r="D683" s="9" t="s">
        <v>4379</v>
      </c>
      <c r="E683" t="s">
        <v>4380</v>
      </c>
      <c r="F683" t="s">
        <v>143</v>
      </c>
      <c r="G683" t="s">
        <v>47</v>
      </c>
      <c r="H683" s="9" t="s">
        <v>1177</v>
      </c>
      <c r="I683" s="9" t="s">
        <v>59</v>
      </c>
      <c r="J683" t="s">
        <v>4373</v>
      </c>
      <c r="K683" s="9" t="s">
        <v>4381</v>
      </c>
      <c r="L683" s="9" t="s">
        <v>4382</v>
      </c>
      <c r="M683" s="9" t="s">
        <v>4383</v>
      </c>
      <c r="N683" s="9" t="s">
        <v>4384</v>
      </c>
      <c r="O683" s="9" t="s">
        <v>4385</v>
      </c>
      <c r="P683" s="10">
        <v>38</v>
      </c>
    </row>
    <row r="684" spans="1:16" ht="201.6" x14ac:dyDescent="0.3">
      <c r="A684" t="s">
        <v>3528</v>
      </c>
      <c r="B684" t="s">
        <v>4371</v>
      </c>
      <c r="C684" t="s">
        <v>4386</v>
      </c>
      <c r="D684" s="9" t="s">
        <v>4387</v>
      </c>
      <c r="E684" t="s">
        <v>1841</v>
      </c>
      <c r="F684" t="s">
        <v>143</v>
      </c>
      <c r="G684" t="s">
        <v>47</v>
      </c>
      <c r="H684" s="9" t="s">
        <v>4388</v>
      </c>
      <c r="I684" s="9" t="s">
        <v>59</v>
      </c>
      <c r="J684" t="s">
        <v>3619</v>
      </c>
      <c r="K684" s="9" t="s">
        <v>4389</v>
      </c>
      <c r="L684" s="9" t="s">
        <v>4390</v>
      </c>
      <c r="M684" s="9" t="s">
        <v>4391</v>
      </c>
      <c r="N684" s="9" t="s">
        <v>4392</v>
      </c>
      <c r="O684" s="9" t="s">
        <v>4393</v>
      </c>
      <c r="P684" s="10">
        <v>38</v>
      </c>
    </row>
    <row r="685" spans="1:16" ht="144" x14ac:dyDescent="0.3">
      <c r="A685" t="s">
        <v>3528</v>
      </c>
      <c r="B685" t="s">
        <v>4394</v>
      </c>
      <c r="C685" t="s">
        <v>66</v>
      </c>
      <c r="D685" s="9" t="s">
        <v>4395</v>
      </c>
      <c r="E685" t="s">
        <v>66</v>
      </c>
      <c r="F685" t="s">
        <v>143</v>
      </c>
      <c r="G685" t="s">
        <v>47</v>
      </c>
      <c r="H685" s="9" t="s">
        <v>4396</v>
      </c>
      <c r="I685" s="9" t="s">
        <v>144</v>
      </c>
      <c r="J685" t="s">
        <v>4373</v>
      </c>
      <c r="K685" s="9" t="s">
        <v>4397</v>
      </c>
      <c r="L685" s="9" t="s">
        <v>4398</v>
      </c>
      <c r="M685" s="9" t="s">
        <v>4399</v>
      </c>
      <c r="N685" s="9" t="s">
        <v>4400</v>
      </c>
      <c r="O685" s="9" t="s">
        <v>4401</v>
      </c>
      <c r="P685" s="10">
        <v>39</v>
      </c>
    </row>
    <row r="686" spans="1:16" ht="129.6" x14ac:dyDescent="0.3">
      <c r="A686" t="s">
        <v>3528</v>
      </c>
      <c r="B686" t="s">
        <v>4394</v>
      </c>
      <c r="C686" t="s">
        <v>74</v>
      </c>
      <c r="D686" s="9" t="s">
        <v>4402</v>
      </c>
      <c r="E686" t="s">
        <v>66</v>
      </c>
      <c r="F686" t="s">
        <v>143</v>
      </c>
      <c r="G686" t="s">
        <v>47</v>
      </c>
      <c r="H686" s="9" t="s">
        <v>4396</v>
      </c>
      <c r="I686" s="9" t="s">
        <v>144</v>
      </c>
      <c r="J686" t="s">
        <v>4373</v>
      </c>
      <c r="K686" s="9" t="s">
        <v>4403</v>
      </c>
      <c r="L686" s="9" t="s">
        <v>4404</v>
      </c>
      <c r="M686" s="9" t="s">
        <v>4405</v>
      </c>
      <c r="N686" s="9" t="s">
        <v>4406</v>
      </c>
      <c r="O686" s="9" t="s">
        <v>4407</v>
      </c>
      <c r="P686" s="10">
        <v>39</v>
      </c>
    </row>
    <row r="687" spans="1:16" ht="115.2" x14ac:dyDescent="0.3">
      <c r="A687" t="s">
        <v>3528</v>
      </c>
      <c r="B687" t="s">
        <v>4394</v>
      </c>
      <c r="C687" t="s">
        <v>43</v>
      </c>
      <c r="D687" s="9" t="s">
        <v>4408</v>
      </c>
      <c r="E687" t="s">
        <v>4409</v>
      </c>
      <c r="F687" t="s">
        <v>143</v>
      </c>
      <c r="G687" t="s">
        <v>47</v>
      </c>
      <c r="H687" s="9" t="s">
        <v>4410</v>
      </c>
      <c r="I687" s="9" t="s">
        <v>144</v>
      </c>
      <c r="J687" t="s">
        <v>4373</v>
      </c>
      <c r="K687" s="9" t="s">
        <v>4411</v>
      </c>
      <c r="L687" s="9" t="s">
        <v>4412</v>
      </c>
      <c r="M687" s="9" t="s">
        <v>4413</v>
      </c>
      <c r="N687" s="9" t="s">
        <v>4414</v>
      </c>
      <c r="O687" s="9" t="s">
        <v>4415</v>
      </c>
      <c r="P687" s="10">
        <v>39</v>
      </c>
    </row>
    <row r="688" spans="1:16" ht="409.6" x14ac:dyDescent="0.3">
      <c r="A688" t="s">
        <v>3528</v>
      </c>
      <c r="B688" t="s">
        <v>4394</v>
      </c>
      <c r="C688" t="s">
        <v>4416</v>
      </c>
      <c r="D688" s="9" t="s">
        <v>4417</v>
      </c>
      <c r="E688" t="s">
        <v>4418</v>
      </c>
      <c r="F688" t="s">
        <v>143</v>
      </c>
      <c r="G688" t="s">
        <v>47</v>
      </c>
      <c r="H688" s="9" t="s">
        <v>1143</v>
      </c>
      <c r="I688" s="9" t="s">
        <v>59</v>
      </c>
      <c r="J688" t="s">
        <v>4419</v>
      </c>
      <c r="K688" s="9" t="s">
        <v>4420</v>
      </c>
      <c r="L688" s="9" t="s">
        <v>4421</v>
      </c>
      <c r="M688" s="9" t="s">
        <v>4422</v>
      </c>
      <c r="N688" s="9" t="s">
        <v>4423</v>
      </c>
      <c r="O688" s="9" t="s">
        <v>4424</v>
      </c>
      <c r="P688" s="10">
        <v>39</v>
      </c>
    </row>
    <row r="689" spans="1:16" ht="187.2" x14ac:dyDescent="0.3">
      <c r="A689" t="s">
        <v>3528</v>
      </c>
      <c r="B689" t="s">
        <v>4394</v>
      </c>
      <c r="C689" t="s">
        <v>4425</v>
      </c>
      <c r="D689" s="9" t="s">
        <v>4426</v>
      </c>
      <c r="E689" t="s">
        <v>4427</v>
      </c>
      <c r="F689" t="s">
        <v>143</v>
      </c>
      <c r="G689" t="s">
        <v>47</v>
      </c>
      <c r="H689" s="9" t="s">
        <v>671</v>
      </c>
      <c r="I689" s="9" t="s">
        <v>59</v>
      </c>
      <c r="J689" t="s">
        <v>4419</v>
      </c>
      <c r="K689" s="9" t="s">
        <v>4428</v>
      </c>
      <c r="L689" s="9" t="s">
        <v>4429</v>
      </c>
      <c r="M689" s="9" t="s">
        <v>4430</v>
      </c>
      <c r="N689" s="9" t="s">
        <v>4431</v>
      </c>
      <c r="O689" s="9" t="s">
        <v>4432</v>
      </c>
      <c r="P689" s="10">
        <v>39</v>
      </c>
    </row>
    <row r="690" spans="1:16" ht="172.8" x14ac:dyDescent="0.3">
      <c r="A690" t="s">
        <v>3528</v>
      </c>
      <c r="B690" t="s">
        <v>4394</v>
      </c>
      <c r="C690" t="s">
        <v>4433</v>
      </c>
      <c r="D690" s="9" t="s">
        <v>4434</v>
      </c>
      <c r="E690" t="s">
        <v>2812</v>
      </c>
      <c r="F690" t="s">
        <v>143</v>
      </c>
      <c r="G690" t="s">
        <v>47</v>
      </c>
      <c r="H690" s="9" t="s">
        <v>671</v>
      </c>
      <c r="I690" s="9" t="s">
        <v>59</v>
      </c>
      <c r="J690" t="s">
        <v>4373</v>
      </c>
      <c r="K690" s="9" t="s">
        <v>4435</v>
      </c>
      <c r="L690" s="9" t="s">
        <v>4436</v>
      </c>
      <c r="M690" s="9" t="s">
        <v>4437</v>
      </c>
      <c r="N690" s="9" t="s">
        <v>4438</v>
      </c>
      <c r="O690" s="9" t="s">
        <v>4439</v>
      </c>
      <c r="P690" s="10">
        <v>39</v>
      </c>
    </row>
    <row r="691" spans="1:16" ht="100.8" x14ac:dyDescent="0.3">
      <c r="A691" t="s">
        <v>3528</v>
      </c>
      <c r="B691" t="s">
        <v>4440</v>
      </c>
      <c r="C691" t="s">
        <v>369</v>
      </c>
      <c r="D691" s="9" t="s">
        <v>4441</v>
      </c>
      <c r="E691" t="s">
        <v>74</v>
      </c>
      <c r="F691" t="s">
        <v>69</v>
      </c>
      <c r="G691" t="s">
        <v>47</v>
      </c>
      <c r="H691" s="9"/>
      <c r="I691" s="9"/>
      <c r="K691" s="9" t="s">
        <v>4442</v>
      </c>
      <c r="L691" s="9"/>
      <c r="M691" s="9" t="s">
        <v>4443</v>
      </c>
      <c r="N691" s="9"/>
      <c r="O691" s="9" t="s">
        <v>4444</v>
      </c>
      <c r="P691" s="10">
        <v>42</v>
      </c>
    </row>
    <row r="692" spans="1:16" ht="129.6" x14ac:dyDescent="0.3">
      <c r="A692" t="s">
        <v>3528</v>
      </c>
      <c r="B692" t="s">
        <v>4440</v>
      </c>
      <c r="C692" t="s">
        <v>66</v>
      </c>
      <c r="D692" s="9" t="s">
        <v>4011</v>
      </c>
      <c r="E692" t="s">
        <v>74</v>
      </c>
      <c r="F692" t="s">
        <v>69</v>
      </c>
      <c r="G692" t="s">
        <v>47</v>
      </c>
      <c r="H692" s="9"/>
      <c r="I692" s="9"/>
      <c r="K692" s="9" t="s">
        <v>4445</v>
      </c>
      <c r="L692" s="9"/>
      <c r="M692" s="9" t="s">
        <v>4446</v>
      </c>
      <c r="N692" s="9" t="s">
        <v>4447</v>
      </c>
      <c r="O692" s="9" t="s">
        <v>4448</v>
      </c>
      <c r="P692" s="10">
        <v>42</v>
      </c>
    </row>
    <row r="693" spans="1:16" ht="259.2" x14ac:dyDescent="0.3">
      <c r="A693" t="s">
        <v>3528</v>
      </c>
      <c r="B693" t="s">
        <v>4440</v>
      </c>
      <c r="C693" t="s">
        <v>43</v>
      </c>
      <c r="D693" s="9" t="s">
        <v>4449</v>
      </c>
      <c r="E693" t="s">
        <v>43</v>
      </c>
      <c r="F693" t="s">
        <v>69</v>
      </c>
      <c r="G693" t="s">
        <v>47</v>
      </c>
      <c r="H693" s="9"/>
      <c r="I693" s="9"/>
      <c r="K693" s="9" t="s">
        <v>4450</v>
      </c>
      <c r="L693" s="9"/>
      <c r="M693" s="9" t="s">
        <v>4451</v>
      </c>
      <c r="N693" s="9" t="s">
        <v>4452</v>
      </c>
      <c r="O693" s="9" t="s">
        <v>4453</v>
      </c>
      <c r="P693" s="10">
        <v>42</v>
      </c>
    </row>
    <row r="694" spans="1:16" ht="115.2" x14ac:dyDescent="0.3">
      <c r="A694" t="s">
        <v>3528</v>
      </c>
      <c r="B694" t="s">
        <v>4440</v>
      </c>
      <c r="C694" t="s">
        <v>68</v>
      </c>
      <c r="D694" s="9" t="s">
        <v>4454</v>
      </c>
      <c r="E694" t="s">
        <v>43</v>
      </c>
      <c r="F694" t="s">
        <v>69</v>
      </c>
      <c r="G694" t="s">
        <v>47</v>
      </c>
      <c r="H694" s="9"/>
      <c r="I694" s="9"/>
      <c r="K694" s="9" t="s">
        <v>4455</v>
      </c>
      <c r="L694" s="9"/>
      <c r="M694" s="9" t="s">
        <v>4456</v>
      </c>
      <c r="N694" s="9" t="s">
        <v>4457</v>
      </c>
      <c r="O694" s="9" t="s">
        <v>4458</v>
      </c>
      <c r="P694" s="10">
        <v>42</v>
      </c>
    </row>
    <row r="695" spans="1:16" ht="345.6" x14ac:dyDescent="0.3">
      <c r="A695" t="s">
        <v>3528</v>
      </c>
      <c r="B695" t="s">
        <v>4440</v>
      </c>
      <c r="C695" t="s">
        <v>82</v>
      </c>
      <c r="D695" s="9" t="s">
        <v>4459</v>
      </c>
      <c r="E695" t="s">
        <v>1039</v>
      </c>
      <c r="F695" t="s">
        <v>116</v>
      </c>
      <c r="G695" t="s">
        <v>47</v>
      </c>
      <c r="H695" s="9"/>
      <c r="I695" s="9"/>
      <c r="K695" s="9" t="s">
        <v>4460</v>
      </c>
      <c r="L695" s="9"/>
      <c r="M695" s="9" t="s">
        <v>4461</v>
      </c>
      <c r="N695" s="9" t="s">
        <v>4462</v>
      </c>
      <c r="O695" s="9" t="s">
        <v>4463</v>
      </c>
      <c r="P695" s="10">
        <v>42</v>
      </c>
    </row>
    <row r="696" spans="1:16" ht="216" x14ac:dyDescent="0.3">
      <c r="A696" t="s">
        <v>3528</v>
      </c>
      <c r="B696" t="s">
        <v>4440</v>
      </c>
      <c r="C696" t="s">
        <v>55</v>
      </c>
      <c r="D696" s="9" t="s">
        <v>4464</v>
      </c>
      <c r="E696" t="s">
        <v>68</v>
      </c>
      <c r="F696" t="s">
        <v>69</v>
      </c>
      <c r="G696" t="s">
        <v>47</v>
      </c>
      <c r="H696" s="9"/>
      <c r="I696" s="9"/>
      <c r="J696" t="s">
        <v>4465</v>
      </c>
      <c r="K696" s="9" t="s">
        <v>4466</v>
      </c>
      <c r="L696" s="9"/>
      <c r="M696" s="9" t="s">
        <v>4467</v>
      </c>
      <c r="N696" s="9" t="s">
        <v>4468</v>
      </c>
      <c r="O696" s="9" t="s">
        <v>4469</v>
      </c>
      <c r="P696" s="10">
        <v>42</v>
      </c>
    </row>
    <row r="697" spans="1:16" ht="187.2" x14ac:dyDescent="0.3">
      <c r="A697" t="s">
        <v>3528</v>
      </c>
      <c r="B697" t="s">
        <v>4440</v>
      </c>
      <c r="C697" t="s">
        <v>424</v>
      </c>
      <c r="D697" s="9" t="s">
        <v>4470</v>
      </c>
      <c r="E697" t="s">
        <v>68</v>
      </c>
      <c r="F697" t="s">
        <v>69</v>
      </c>
      <c r="G697" t="s">
        <v>47</v>
      </c>
      <c r="H697" s="9"/>
      <c r="I697" s="9"/>
      <c r="J697" t="s">
        <v>4465</v>
      </c>
      <c r="K697" s="9" t="s">
        <v>4471</v>
      </c>
      <c r="L697" s="9"/>
      <c r="M697" s="9" t="s">
        <v>4472</v>
      </c>
      <c r="N697" s="9" t="s">
        <v>4473</v>
      </c>
      <c r="O697" s="9" t="s">
        <v>4474</v>
      </c>
      <c r="P697" s="10">
        <v>42</v>
      </c>
    </row>
    <row r="698" spans="1:16" ht="244.8" x14ac:dyDescent="0.3">
      <c r="A698" t="s">
        <v>3528</v>
      </c>
      <c r="B698" t="s">
        <v>4440</v>
      </c>
      <c r="C698" t="s">
        <v>433</v>
      </c>
      <c r="D698" s="9" t="s">
        <v>4475</v>
      </c>
      <c r="E698" t="s">
        <v>76</v>
      </c>
      <c r="F698" t="s">
        <v>69</v>
      </c>
      <c r="G698" t="s">
        <v>47</v>
      </c>
      <c r="H698" s="9"/>
      <c r="I698" s="9"/>
      <c r="J698" t="s">
        <v>4465</v>
      </c>
      <c r="K698" s="9" t="s">
        <v>4476</v>
      </c>
      <c r="L698" s="9"/>
      <c r="M698" s="9" t="s">
        <v>4477</v>
      </c>
      <c r="N698" s="9" t="s">
        <v>4478</v>
      </c>
      <c r="O698" s="9" t="s">
        <v>4479</v>
      </c>
      <c r="P698" s="10">
        <v>42</v>
      </c>
    </row>
    <row r="699" spans="1:16" ht="86.4" x14ac:dyDescent="0.3">
      <c r="A699" t="s">
        <v>3528</v>
      </c>
      <c r="B699" t="s">
        <v>4440</v>
      </c>
      <c r="C699" t="s">
        <v>441</v>
      </c>
      <c r="D699" s="9" t="s">
        <v>4480</v>
      </c>
      <c r="E699" t="s">
        <v>82</v>
      </c>
      <c r="F699" t="s">
        <v>69</v>
      </c>
      <c r="G699" t="s">
        <v>47</v>
      </c>
      <c r="H699" s="9"/>
      <c r="I699" s="9"/>
      <c r="J699" t="s">
        <v>4465</v>
      </c>
      <c r="K699" s="9" t="s">
        <v>4481</v>
      </c>
      <c r="L699" s="9"/>
      <c r="M699" s="9" t="s">
        <v>4482</v>
      </c>
      <c r="N699" s="9" t="s">
        <v>4483</v>
      </c>
      <c r="O699" s="9" t="s">
        <v>4484</v>
      </c>
      <c r="P699" s="10">
        <v>42</v>
      </c>
    </row>
    <row r="700" spans="1:16" ht="288" x14ac:dyDescent="0.3">
      <c r="A700" t="s">
        <v>3528</v>
      </c>
      <c r="B700" t="s">
        <v>4440</v>
      </c>
      <c r="C700" t="s">
        <v>449</v>
      </c>
      <c r="D700" s="9" t="s">
        <v>4485</v>
      </c>
      <c r="E700" t="s">
        <v>82</v>
      </c>
      <c r="F700" t="s">
        <v>69</v>
      </c>
      <c r="G700" t="s">
        <v>47</v>
      </c>
      <c r="H700" s="9"/>
      <c r="I700" s="9"/>
      <c r="J700" t="s">
        <v>4465</v>
      </c>
      <c r="K700" s="9" t="s">
        <v>4486</v>
      </c>
      <c r="L700" s="9"/>
      <c r="M700" s="9" t="s">
        <v>4487</v>
      </c>
      <c r="N700" s="9" t="s">
        <v>4488</v>
      </c>
      <c r="O700" s="9" t="s">
        <v>4489</v>
      </c>
      <c r="P700" s="10">
        <v>42</v>
      </c>
    </row>
    <row r="701" spans="1:16" ht="230.4" x14ac:dyDescent="0.3">
      <c r="A701" t="s">
        <v>3528</v>
      </c>
      <c r="B701" t="s">
        <v>4440</v>
      </c>
      <c r="C701" t="s">
        <v>458</v>
      </c>
      <c r="D701" s="9" t="s">
        <v>4490</v>
      </c>
      <c r="E701" t="s">
        <v>1003</v>
      </c>
      <c r="F701" t="s">
        <v>69</v>
      </c>
      <c r="G701" t="s">
        <v>47</v>
      </c>
      <c r="H701" s="9"/>
      <c r="I701" s="9"/>
      <c r="J701" t="s">
        <v>4465</v>
      </c>
      <c r="K701" s="9" t="s">
        <v>4491</v>
      </c>
      <c r="L701" s="9"/>
      <c r="M701" s="9" t="s">
        <v>4492</v>
      </c>
      <c r="N701" s="9" t="s">
        <v>4493</v>
      </c>
      <c r="O701" s="9" t="s">
        <v>4494</v>
      </c>
      <c r="P701" s="10">
        <v>42</v>
      </c>
    </row>
    <row r="702" spans="1:16" ht="187.2" x14ac:dyDescent="0.3">
      <c r="A702" t="s">
        <v>3528</v>
      </c>
      <c r="B702" t="s">
        <v>4440</v>
      </c>
      <c r="C702" t="s">
        <v>466</v>
      </c>
      <c r="D702" s="9" t="s">
        <v>4495</v>
      </c>
      <c r="E702" t="s">
        <v>55</v>
      </c>
      <c r="F702" t="s">
        <v>116</v>
      </c>
      <c r="G702" t="s">
        <v>47</v>
      </c>
      <c r="H702" s="9"/>
      <c r="I702" s="9"/>
      <c r="J702" t="s">
        <v>4465</v>
      </c>
      <c r="K702" s="9" t="s">
        <v>4496</v>
      </c>
      <c r="L702" s="9"/>
      <c r="M702" s="9" t="s">
        <v>4497</v>
      </c>
      <c r="N702" s="9" t="s">
        <v>4498</v>
      </c>
      <c r="O702" s="9" t="s">
        <v>4499</v>
      </c>
      <c r="P702" s="10">
        <v>42</v>
      </c>
    </row>
    <row r="703" spans="1:16" ht="144" x14ac:dyDescent="0.3">
      <c r="A703" t="s">
        <v>3528</v>
      </c>
      <c r="B703" t="s">
        <v>4440</v>
      </c>
      <c r="C703" t="s">
        <v>312</v>
      </c>
      <c r="D703" s="9" t="s">
        <v>4500</v>
      </c>
      <c r="E703" t="s">
        <v>651</v>
      </c>
      <c r="F703" t="s">
        <v>116</v>
      </c>
      <c r="G703" t="s">
        <v>47</v>
      </c>
      <c r="H703" s="9"/>
      <c r="I703" s="9"/>
      <c r="J703" t="s">
        <v>4465</v>
      </c>
      <c r="K703" s="9" t="s">
        <v>4501</v>
      </c>
      <c r="L703" s="9"/>
      <c r="M703" s="9" t="s">
        <v>4502</v>
      </c>
      <c r="N703" s="9" t="s">
        <v>4503</v>
      </c>
      <c r="O703" s="9" t="s">
        <v>4504</v>
      </c>
      <c r="P703" s="10">
        <v>42</v>
      </c>
    </row>
    <row r="704" spans="1:16" ht="374.4" x14ac:dyDescent="0.3">
      <c r="A704" t="s">
        <v>3528</v>
      </c>
      <c r="B704" t="s">
        <v>4440</v>
      </c>
      <c r="C704" t="s">
        <v>590</v>
      </c>
      <c r="D704" s="9" t="s">
        <v>4505</v>
      </c>
      <c r="E704" t="s">
        <v>424</v>
      </c>
      <c r="F704" t="s">
        <v>69</v>
      </c>
      <c r="G704" t="s">
        <v>47</v>
      </c>
      <c r="H704" s="9"/>
      <c r="I704" s="9"/>
      <c r="J704" t="s">
        <v>4465</v>
      </c>
      <c r="K704" s="9" t="s">
        <v>4506</v>
      </c>
      <c r="L704" s="9"/>
      <c r="M704" s="9" t="s">
        <v>4507</v>
      </c>
      <c r="N704" s="9" t="s">
        <v>4508</v>
      </c>
      <c r="O704" s="9" t="s">
        <v>4509</v>
      </c>
      <c r="P704" s="10">
        <v>42</v>
      </c>
    </row>
    <row r="705" spans="1:16" ht="86.4" x14ac:dyDescent="0.3">
      <c r="A705" t="s">
        <v>3528</v>
      </c>
      <c r="B705" t="s">
        <v>4440</v>
      </c>
      <c r="C705" t="s">
        <v>215</v>
      </c>
      <c r="D705" s="9" t="s">
        <v>4510</v>
      </c>
      <c r="E705" t="s">
        <v>775</v>
      </c>
      <c r="F705" t="s">
        <v>69</v>
      </c>
      <c r="G705" t="s">
        <v>47</v>
      </c>
      <c r="H705" s="9"/>
      <c r="I705" s="9"/>
      <c r="J705" t="s">
        <v>4465</v>
      </c>
      <c r="K705" s="9" t="s">
        <v>4511</v>
      </c>
      <c r="L705" s="9"/>
      <c r="M705" s="9" t="s">
        <v>4512</v>
      </c>
      <c r="N705" s="9" t="s">
        <v>4513</v>
      </c>
      <c r="O705" s="9" t="s">
        <v>4514</v>
      </c>
      <c r="P705" s="10">
        <v>42</v>
      </c>
    </row>
    <row r="706" spans="1:16" ht="100.8" x14ac:dyDescent="0.3">
      <c r="A706" t="s">
        <v>3528</v>
      </c>
      <c r="B706" t="s">
        <v>4440</v>
      </c>
      <c r="C706" t="s">
        <v>221</v>
      </c>
      <c r="D706" s="9" t="s">
        <v>4515</v>
      </c>
      <c r="E706" t="s">
        <v>433</v>
      </c>
      <c r="F706" t="s">
        <v>69</v>
      </c>
      <c r="G706" t="s">
        <v>47</v>
      </c>
      <c r="H706" s="9"/>
      <c r="I706" s="9"/>
      <c r="J706" t="s">
        <v>4465</v>
      </c>
      <c r="K706" s="9" t="s">
        <v>4516</v>
      </c>
      <c r="L706" s="9"/>
      <c r="M706" s="9" t="s">
        <v>4517</v>
      </c>
      <c r="N706" s="9" t="s">
        <v>4518</v>
      </c>
      <c r="O706" s="9" t="s">
        <v>4519</v>
      </c>
      <c r="P706" s="10">
        <v>42</v>
      </c>
    </row>
    <row r="707" spans="1:16" ht="144" x14ac:dyDescent="0.3">
      <c r="A707" t="s">
        <v>3528</v>
      </c>
      <c r="B707" t="s">
        <v>4440</v>
      </c>
      <c r="C707" t="s">
        <v>766</v>
      </c>
      <c r="D707" s="9" t="s">
        <v>4520</v>
      </c>
      <c r="E707" t="s">
        <v>433</v>
      </c>
      <c r="F707" t="s">
        <v>69</v>
      </c>
      <c r="G707" t="s">
        <v>47</v>
      </c>
      <c r="H707" s="9"/>
      <c r="I707" s="9"/>
      <c r="J707" t="s">
        <v>4465</v>
      </c>
      <c r="K707" s="9" t="s">
        <v>4521</v>
      </c>
      <c r="L707" s="9"/>
      <c r="M707" s="9" t="s">
        <v>4522</v>
      </c>
      <c r="N707" s="9" t="s">
        <v>4523</v>
      </c>
      <c r="O707" s="9" t="s">
        <v>4524</v>
      </c>
      <c r="P707" s="10">
        <v>42</v>
      </c>
    </row>
    <row r="708" spans="1:16" ht="86.4" x14ac:dyDescent="0.3">
      <c r="A708" t="s">
        <v>3528</v>
      </c>
      <c r="B708" t="s">
        <v>4440</v>
      </c>
      <c r="C708" t="s">
        <v>989</v>
      </c>
      <c r="D708" s="9" t="s">
        <v>4525</v>
      </c>
      <c r="E708" t="s">
        <v>433</v>
      </c>
      <c r="F708" t="s">
        <v>46</v>
      </c>
      <c r="G708" t="s">
        <v>47</v>
      </c>
      <c r="H708" s="9"/>
      <c r="I708" s="9"/>
      <c r="J708" t="s">
        <v>3568</v>
      </c>
      <c r="K708" s="9" t="s">
        <v>4526</v>
      </c>
      <c r="L708" s="9" t="s">
        <v>4527</v>
      </c>
      <c r="M708" s="9" t="s">
        <v>4528</v>
      </c>
      <c r="N708" s="9"/>
      <c r="O708" s="9" t="s">
        <v>4529</v>
      </c>
      <c r="P708" s="10">
        <v>42</v>
      </c>
    </row>
    <row r="709" spans="1:16" ht="115.2" x14ac:dyDescent="0.3">
      <c r="A709" t="s">
        <v>3528</v>
      </c>
      <c r="B709" t="s">
        <v>4440</v>
      </c>
      <c r="C709" t="s">
        <v>773</v>
      </c>
      <c r="D709" s="9" t="s">
        <v>4530</v>
      </c>
      <c r="E709" t="s">
        <v>796</v>
      </c>
      <c r="F709" t="s">
        <v>143</v>
      </c>
      <c r="G709" t="s">
        <v>47</v>
      </c>
      <c r="H709" s="9"/>
      <c r="I709" s="9"/>
      <c r="J709" t="s">
        <v>4465</v>
      </c>
      <c r="K709" s="9" t="s">
        <v>4531</v>
      </c>
      <c r="L709" s="9" t="s">
        <v>4532</v>
      </c>
      <c r="M709" s="9" t="s">
        <v>4533</v>
      </c>
      <c r="N709" s="9" t="s">
        <v>4534</v>
      </c>
      <c r="O709" s="9" t="s">
        <v>4535</v>
      </c>
      <c r="P709" s="10">
        <v>42</v>
      </c>
    </row>
    <row r="710" spans="1:16" ht="100.8" x14ac:dyDescent="0.3">
      <c r="A710" t="s">
        <v>3528</v>
      </c>
      <c r="B710" t="s">
        <v>4440</v>
      </c>
      <c r="C710" t="s">
        <v>597</v>
      </c>
      <c r="D710" s="9" t="s">
        <v>4536</v>
      </c>
      <c r="E710" t="s">
        <v>4537</v>
      </c>
      <c r="F710" t="s">
        <v>143</v>
      </c>
      <c r="G710" t="s">
        <v>47</v>
      </c>
      <c r="H710" s="9"/>
      <c r="I710" s="9"/>
      <c r="J710" t="s">
        <v>4465</v>
      </c>
      <c r="K710" s="9" t="s">
        <v>4538</v>
      </c>
      <c r="L710" s="9" t="s">
        <v>4539</v>
      </c>
      <c r="M710" s="9" t="s">
        <v>4540</v>
      </c>
      <c r="N710" s="9" t="s">
        <v>4541</v>
      </c>
      <c r="O710" s="9" t="s">
        <v>4542</v>
      </c>
      <c r="P710" s="10">
        <v>42</v>
      </c>
    </row>
    <row r="711" spans="1:16" ht="72" x14ac:dyDescent="0.3">
      <c r="A711" t="s">
        <v>3528</v>
      </c>
      <c r="B711" t="s">
        <v>4543</v>
      </c>
      <c r="C711" t="s">
        <v>369</v>
      </c>
      <c r="D711" s="9" t="s">
        <v>4441</v>
      </c>
      <c r="E711" t="s">
        <v>66</v>
      </c>
      <c r="F711" t="s">
        <v>69</v>
      </c>
      <c r="G711" t="s">
        <v>47</v>
      </c>
      <c r="H711" s="9"/>
      <c r="I711" s="9"/>
      <c r="K711" s="9" t="s">
        <v>4544</v>
      </c>
      <c r="L711" s="9"/>
      <c r="M711" s="9" t="s">
        <v>4545</v>
      </c>
      <c r="N711" s="9"/>
      <c r="O711" s="9" t="s">
        <v>4546</v>
      </c>
      <c r="P711" s="10">
        <v>43</v>
      </c>
    </row>
    <row r="712" spans="1:16" ht="86.4" x14ac:dyDescent="0.3">
      <c r="A712" t="s">
        <v>3528</v>
      </c>
      <c r="B712" t="s">
        <v>4543</v>
      </c>
      <c r="C712" t="s">
        <v>66</v>
      </c>
      <c r="D712" s="9" t="s">
        <v>4547</v>
      </c>
      <c r="E712" t="s">
        <v>66</v>
      </c>
      <c r="F712" t="s">
        <v>69</v>
      </c>
      <c r="G712" t="s">
        <v>47</v>
      </c>
      <c r="H712" s="9"/>
      <c r="I712" s="9"/>
      <c r="K712" s="9" t="s">
        <v>4548</v>
      </c>
      <c r="L712" s="9"/>
      <c r="M712" s="9" t="s">
        <v>4549</v>
      </c>
      <c r="N712" s="9"/>
      <c r="O712" s="9" t="s">
        <v>4550</v>
      </c>
      <c r="P712" s="10">
        <v>43</v>
      </c>
    </row>
    <row r="713" spans="1:16" ht="86.4" x14ac:dyDescent="0.3">
      <c r="A713" t="s">
        <v>3528</v>
      </c>
      <c r="B713" t="s">
        <v>4543</v>
      </c>
      <c r="C713" t="s">
        <v>74</v>
      </c>
      <c r="D713" s="9" t="s">
        <v>4551</v>
      </c>
      <c r="E713" t="s">
        <v>66</v>
      </c>
      <c r="F713" t="s">
        <v>69</v>
      </c>
      <c r="G713" t="s">
        <v>47</v>
      </c>
      <c r="H713" s="9"/>
      <c r="I713" s="9"/>
      <c r="K713" s="9" t="s">
        <v>4552</v>
      </c>
      <c r="L713" s="9"/>
      <c r="M713" s="9" t="s">
        <v>4553</v>
      </c>
      <c r="N713" s="9" t="s">
        <v>4554</v>
      </c>
      <c r="O713" s="9" t="s">
        <v>4555</v>
      </c>
      <c r="P713" s="10">
        <v>43</v>
      </c>
    </row>
    <row r="714" spans="1:16" ht="187.2" x14ac:dyDescent="0.3">
      <c r="A714" t="s">
        <v>3528</v>
      </c>
      <c r="B714" t="s">
        <v>4543</v>
      </c>
      <c r="C714" t="s">
        <v>43</v>
      </c>
      <c r="D714" s="9" t="s">
        <v>4556</v>
      </c>
      <c r="E714" t="s">
        <v>566</v>
      </c>
      <c r="F714" t="s">
        <v>69</v>
      </c>
      <c r="G714" t="s">
        <v>47</v>
      </c>
      <c r="H714" s="9"/>
      <c r="I714" s="9"/>
      <c r="K714" s="9" t="s">
        <v>4557</v>
      </c>
      <c r="L714" s="9"/>
      <c r="M714" s="9" t="s">
        <v>4558</v>
      </c>
      <c r="N714" s="9" t="s">
        <v>4559</v>
      </c>
      <c r="O714" s="9" t="s">
        <v>4560</v>
      </c>
      <c r="P714" s="10">
        <v>43</v>
      </c>
    </row>
    <row r="715" spans="1:16" ht="172.8" x14ac:dyDescent="0.3">
      <c r="A715" t="s">
        <v>3528</v>
      </c>
      <c r="B715" t="s">
        <v>4543</v>
      </c>
      <c r="C715" t="s">
        <v>68</v>
      </c>
      <c r="D715" s="9" t="s">
        <v>4561</v>
      </c>
      <c r="E715" t="s">
        <v>74</v>
      </c>
      <c r="F715" t="s">
        <v>69</v>
      </c>
      <c r="G715" t="s">
        <v>47</v>
      </c>
      <c r="H715" s="9"/>
      <c r="I715" s="9"/>
      <c r="K715" s="9" t="s">
        <v>4562</v>
      </c>
      <c r="L715" s="9"/>
      <c r="M715" s="9" t="s">
        <v>4563</v>
      </c>
      <c r="N715" s="9" t="s">
        <v>4564</v>
      </c>
      <c r="O715" s="9" t="s">
        <v>4565</v>
      </c>
      <c r="P715" s="10">
        <v>43</v>
      </c>
    </row>
    <row r="716" spans="1:16" ht="230.4" x14ac:dyDescent="0.3">
      <c r="A716" t="s">
        <v>3528</v>
      </c>
      <c r="B716" t="s">
        <v>4543</v>
      </c>
      <c r="C716" t="s">
        <v>82</v>
      </c>
      <c r="D716" s="9" t="s">
        <v>4566</v>
      </c>
      <c r="E716" t="s">
        <v>583</v>
      </c>
      <c r="F716" t="s">
        <v>69</v>
      </c>
      <c r="G716" t="s">
        <v>47</v>
      </c>
      <c r="H716" s="9"/>
      <c r="I716" s="9"/>
      <c r="K716" s="9" t="s">
        <v>4567</v>
      </c>
      <c r="L716" s="9"/>
      <c r="M716" s="9" t="s">
        <v>4568</v>
      </c>
      <c r="N716" s="9" t="s">
        <v>4569</v>
      </c>
      <c r="O716" s="9" t="s">
        <v>4570</v>
      </c>
      <c r="P716" s="10">
        <v>43</v>
      </c>
    </row>
    <row r="717" spans="1:16" ht="100.8" x14ac:dyDescent="0.3">
      <c r="A717" t="s">
        <v>3528</v>
      </c>
      <c r="B717" t="s">
        <v>4543</v>
      </c>
      <c r="C717" t="s">
        <v>424</v>
      </c>
      <c r="D717" s="9" t="s">
        <v>4571</v>
      </c>
      <c r="E717" t="s">
        <v>43</v>
      </c>
      <c r="F717" t="s">
        <v>116</v>
      </c>
      <c r="G717" t="s">
        <v>47</v>
      </c>
      <c r="H717" s="9"/>
      <c r="I717" s="9" t="s">
        <v>106</v>
      </c>
      <c r="J717" t="s">
        <v>4465</v>
      </c>
      <c r="K717" s="9" t="s">
        <v>4572</v>
      </c>
      <c r="L717" s="9"/>
      <c r="M717" s="9" t="s">
        <v>4573</v>
      </c>
      <c r="N717" s="9" t="s">
        <v>4574</v>
      </c>
      <c r="O717" s="9" t="s">
        <v>4575</v>
      </c>
      <c r="P717" s="10">
        <v>43</v>
      </c>
    </row>
    <row r="718" spans="1:16" ht="72" x14ac:dyDescent="0.3">
      <c r="A718" t="s">
        <v>3528</v>
      </c>
      <c r="B718" t="s">
        <v>4543</v>
      </c>
      <c r="C718" t="s">
        <v>433</v>
      </c>
      <c r="D718" s="9" t="s">
        <v>4576</v>
      </c>
      <c r="E718" t="s">
        <v>43</v>
      </c>
      <c r="F718" t="s">
        <v>116</v>
      </c>
      <c r="G718" t="s">
        <v>47</v>
      </c>
      <c r="H718" s="9"/>
      <c r="I718" s="9" t="s">
        <v>106</v>
      </c>
      <c r="J718" t="s">
        <v>4465</v>
      </c>
      <c r="K718" s="9" t="s">
        <v>4577</v>
      </c>
      <c r="L718" s="9"/>
      <c r="M718" s="9" t="s">
        <v>4578</v>
      </c>
      <c r="N718" s="9"/>
      <c r="O718" s="9" t="s">
        <v>4579</v>
      </c>
      <c r="P718" s="10">
        <v>43</v>
      </c>
    </row>
    <row r="719" spans="1:16" ht="100.8" x14ac:dyDescent="0.3">
      <c r="A719" t="s">
        <v>3528</v>
      </c>
      <c r="B719" t="s">
        <v>4543</v>
      </c>
      <c r="C719" t="s">
        <v>441</v>
      </c>
      <c r="D719" s="9" t="s">
        <v>4580</v>
      </c>
      <c r="E719" t="s">
        <v>43</v>
      </c>
      <c r="F719" t="s">
        <v>116</v>
      </c>
      <c r="G719" t="s">
        <v>47</v>
      </c>
      <c r="H719" s="9"/>
      <c r="I719" s="9" t="s">
        <v>106</v>
      </c>
      <c r="J719" t="s">
        <v>4465</v>
      </c>
      <c r="K719" s="9" t="s">
        <v>4581</v>
      </c>
      <c r="L719" s="9"/>
      <c r="M719" s="9" t="s">
        <v>4582</v>
      </c>
      <c r="N719" s="9" t="s">
        <v>4583</v>
      </c>
      <c r="O719" s="9" t="s">
        <v>4584</v>
      </c>
      <c r="P719" s="10">
        <v>43</v>
      </c>
    </row>
    <row r="720" spans="1:16" ht="86.4" x14ac:dyDescent="0.3">
      <c r="A720" t="s">
        <v>3528</v>
      </c>
      <c r="B720" t="s">
        <v>4543</v>
      </c>
      <c r="C720" t="s">
        <v>449</v>
      </c>
      <c r="D720" s="9" t="s">
        <v>4585</v>
      </c>
      <c r="E720" t="s">
        <v>1039</v>
      </c>
      <c r="F720" t="s">
        <v>116</v>
      </c>
      <c r="G720" t="s">
        <v>47</v>
      </c>
      <c r="H720" s="9"/>
      <c r="I720" s="9" t="s">
        <v>106</v>
      </c>
      <c r="J720" t="s">
        <v>4465</v>
      </c>
      <c r="K720" s="9" t="s">
        <v>4586</v>
      </c>
      <c r="L720" s="9"/>
      <c r="M720" s="9" t="s">
        <v>4587</v>
      </c>
      <c r="N720" s="9" t="s">
        <v>4588</v>
      </c>
      <c r="O720" s="9" t="s">
        <v>4589</v>
      </c>
      <c r="P720" s="10">
        <v>43</v>
      </c>
    </row>
    <row r="721" spans="1:16" ht="72" x14ac:dyDescent="0.3">
      <c r="A721" t="s">
        <v>3528</v>
      </c>
      <c r="B721" t="s">
        <v>4543</v>
      </c>
      <c r="C721" t="s">
        <v>458</v>
      </c>
      <c r="D721" s="9" t="s">
        <v>4590</v>
      </c>
      <c r="E721" t="s">
        <v>68</v>
      </c>
      <c r="F721" t="s">
        <v>116</v>
      </c>
      <c r="G721" t="s">
        <v>47</v>
      </c>
      <c r="H721" s="9" t="s">
        <v>271</v>
      </c>
      <c r="I721" s="9"/>
      <c r="K721" s="9" t="s">
        <v>4591</v>
      </c>
      <c r="L721" s="9" t="s">
        <v>4592</v>
      </c>
      <c r="M721" s="9" t="s">
        <v>4593</v>
      </c>
      <c r="N721" s="9"/>
      <c r="O721" s="9" t="s">
        <v>4594</v>
      </c>
      <c r="P721" s="10">
        <v>43</v>
      </c>
    </row>
    <row r="722" spans="1:16" ht="100.8" x14ac:dyDescent="0.3">
      <c r="A722" t="s">
        <v>3528</v>
      </c>
      <c r="B722" t="s">
        <v>4543</v>
      </c>
      <c r="C722" t="s">
        <v>466</v>
      </c>
      <c r="D722" s="9" t="s">
        <v>4595</v>
      </c>
      <c r="E722" t="s">
        <v>76</v>
      </c>
      <c r="F722" t="s">
        <v>116</v>
      </c>
      <c r="G722" t="s">
        <v>47</v>
      </c>
      <c r="H722" s="9"/>
      <c r="I722" s="9" t="s">
        <v>106</v>
      </c>
      <c r="K722" s="9" t="s">
        <v>4596</v>
      </c>
      <c r="L722" s="9"/>
      <c r="M722" s="9" t="s">
        <v>4597</v>
      </c>
      <c r="N722" s="9" t="s">
        <v>4598</v>
      </c>
      <c r="O722" s="9" t="s">
        <v>4599</v>
      </c>
      <c r="P722" s="10">
        <v>43</v>
      </c>
    </row>
    <row r="723" spans="1:16" ht="187.2" x14ac:dyDescent="0.3">
      <c r="A723" t="s">
        <v>3528</v>
      </c>
      <c r="B723" t="s">
        <v>4543</v>
      </c>
      <c r="C723" t="s">
        <v>312</v>
      </c>
      <c r="D723" s="9" t="s">
        <v>4600</v>
      </c>
      <c r="E723" t="s">
        <v>82</v>
      </c>
      <c r="F723" t="s">
        <v>46</v>
      </c>
      <c r="G723" t="s">
        <v>47</v>
      </c>
      <c r="H723" s="9" t="s">
        <v>789</v>
      </c>
      <c r="I723" s="9" t="s">
        <v>106</v>
      </c>
      <c r="J723" t="s">
        <v>4465</v>
      </c>
      <c r="K723" s="9" t="s">
        <v>4601</v>
      </c>
      <c r="L723" s="9" t="s">
        <v>4602</v>
      </c>
      <c r="M723" s="9" t="s">
        <v>4603</v>
      </c>
      <c r="N723" s="9" t="s">
        <v>4604</v>
      </c>
      <c r="O723" s="9" t="s">
        <v>4605</v>
      </c>
      <c r="P723" s="10">
        <v>43</v>
      </c>
    </row>
    <row r="724" spans="1:16" ht="201.6" x14ac:dyDescent="0.3">
      <c r="A724" t="s">
        <v>3528</v>
      </c>
      <c r="B724" t="s">
        <v>4543</v>
      </c>
      <c r="C724" t="s">
        <v>590</v>
      </c>
      <c r="D724" s="9" t="s">
        <v>4606</v>
      </c>
      <c r="E724" t="s">
        <v>82</v>
      </c>
      <c r="F724" t="s">
        <v>46</v>
      </c>
      <c r="G724" t="s">
        <v>47</v>
      </c>
      <c r="H724" s="9" t="s">
        <v>797</v>
      </c>
      <c r="I724" s="9" t="s">
        <v>106</v>
      </c>
      <c r="J724" t="s">
        <v>4465</v>
      </c>
      <c r="K724" s="9" t="s">
        <v>4607</v>
      </c>
      <c r="L724" s="9" t="s">
        <v>4608</v>
      </c>
      <c r="M724" s="9" t="s">
        <v>4609</v>
      </c>
      <c r="N724" s="9" t="s">
        <v>4610</v>
      </c>
      <c r="O724" s="9" t="s">
        <v>4611</v>
      </c>
      <c r="P724" s="10">
        <v>43</v>
      </c>
    </row>
    <row r="725" spans="1:16" ht="216" x14ac:dyDescent="0.3">
      <c r="A725" t="s">
        <v>3528</v>
      </c>
      <c r="B725" t="s">
        <v>4543</v>
      </c>
      <c r="C725" t="s">
        <v>215</v>
      </c>
      <c r="D725" s="9" t="s">
        <v>4612</v>
      </c>
      <c r="E725" t="s">
        <v>82</v>
      </c>
      <c r="F725" t="s">
        <v>46</v>
      </c>
      <c r="G725" t="s">
        <v>47</v>
      </c>
      <c r="H725" s="9" t="s">
        <v>797</v>
      </c>
      <c r="I725" s="9" t="s">
        <v>106</v>
      </c>
      <c r="J725" t="s">
        <v>4465</v>
      </c>
      <c r="K725" s="9" t="s">
        <v>4613</v>
      </c>
      <c r="L725" s="9" t="s">
        <v>4614</v>
      </c>
      <c r="M725" s="9" t="s">
        <v>4615</v>
      </c>
      <c r="N725" s="9" t="s">
        <v>4616</v>
      </c>
      <c r="O725" s="9" t="s">
        <v>4617</v>
      </c>
      <c r="P725" s="10">
        <v>43</v>
      </c>
    </row>
    <row r="726" spans="1:16" ht="129.6" x14ac:dyDescent="0.3">
      <c r="A726" t="s">
        <v>3528</v>
      </c>
      <c r="B726" t="s">
        <v>4543</v>
      </c>
      <c r="C726" t="s">
        <v>766</v>
      </c>
      <c r="D726" s="9" t="s">
        <v>4618</v>
      </c>
      <c r="E726" t="s">
        <v>4619</v>
      </c>
      <c r="F726" t="s">
        <v>46</v>
      </c>
      <c r="G726" t="s">
        <v>47</v>
      </c>
      <c r="H726" s="9" t="s">
        <v>797</v>
      </c>
      <c r="I726" s="9" t="s">
        <v>106</v>
      </c>
      <c r="J726" t="s">
        <v>4465</v>
      </c>
      <c r="K726" s="9" t="s">
        <v>4620</v>
      </c>
      <c r="L726" s="9" t="s">
        <v>4621</v>
      </c>
      <c r="M726" s="9" t="s">
        <v>4622</v>
      </c>
      <c r="N726" s="9" t="s">
        <v>4623</v>
      </c>
      <c r="O726" s="9" t="s">
        <v>4624</v>
      </c>
      <c r="P726" s="10">
        <v>43</v>
      </c>
    </row>
    <row r="727" spans="1:16" ht="100.8" x14ac:dyDescent="0.3">
      <c r="A727" t="s">
        <v>3528</v>
      </c>
      <c r="B727" t="s">
        <v>4625</v>
      </c>
      <c r="C727" t="s">
        <v>369</v>
      </c>
      <c r="D727" s="9" t="s">
        <v>4626</v>
      </c>
      <c r="E727" t="s">
        <v>215</v>
      </c>
      <c r="F727" t="s">
        <v>143</v>
      </c>
      <c r="G727" t="s">
        <v>47</v>
      </c>
      <c r="H727" s="9"/>
      <c r="I727" s="9" t="s">
        <v>4627</v>
      </c>
      <c r="J727" t="s">
        <v>4628</v>
      </c>
      <c r="K727" s="9" t="s">
        <v>4629</v>
      </c>
      <c r="L727" s="9" t="s">
        <v>4630</v>
      </c>
      <c r="M727" s="9" t="s">
        <v>4631</v>
      </c>
      <c r="N727" s="9" t="s">
        <v>4632</v>
      </c>
      <c r="O727" s="9" t="s">
        <v>4633</v>
      </c>
      <c r="P727" s="10">
        <v>40</v>
      </c>
    </row>
    <row r="728" spans="1:16" ht="129.6" x14ac:dyDescent="0.3">
      <c r="A728" t="s">
        <v>3528</v>
      </c>
      <c r="B728" t="s">
        <v>4625</v>
      </c>
      <c r="C728" t="s">
        <v>66</v>
      </c>
      <c r="D728" s="9" t="s">
        <v>4634</v>
      </c>
      <c r="E728" t="s">
        <v>76</v>
      </c>
      <c r="F728" t="s">
        <v>143</v>
      </c>
      <c r="G728" t="s">
        <v>47</v>
      </c>
      <c r="H728" s="9" t="s">
        <v>2570</v>
      </c>
      <c r="I728" s="9" t="s">
        <v>59</v>
      </c>
      <c r="J728" t="s">
        <v>4628</v>
      </c>
      <c r="K728" s="9" t="s">
        <v>4635</v>
      </c>
      <c r="L728" s="9" t="s">
        <v>4636</v>
      </c>
      <c r="M728" s="9" t="s">
        <v>4637</v>
      </c>
      <c r="N728" s="9" t="s">
        <v>4638</v>
      </c>
      <c r="O728" s="9" t="s">
        <v>4639</v>
      </c>
      <c r="P728" s="10">
        <v>40</v>
      </c>
    </row>
    <row r="729" spans="1:16" ht="100.8" x14ac:dyDescent="0.3">
      <c r="A729" t="s">
        <v>3528</v>
      </c>
      <c r="B729" t="s">
        <v>4625</v>
      </c>
      <c r="C729" t="s">
        <v>74</v>
      </c>
      <c r="D729" s="9" t="s">
        <v>4640</v>
      </c>
      <c r="E729" t="s">
        <v>82</v>
      </c>
      <c r="F729" t="s">
        <v>143</v>
      </c>
      <c r="G729" t="s">
        <v>47</v>
      </c>
      <c r="H729" s="9" t="s">
        <v>59</v>
      </c>
      <c r="I729" s="9" t="s">
        <v>59</v>
      </c>
      <c r="J729" t="s">
        <v>4628</v>
      </c>
      <c r="K729" s="9" t="s">
        <v>4641</v>
      </c>
      <c r="L729" s="9" t="s">
        <v>4642</v>
      </c>
      <c r="M729" s="9" t="s">
        <v>4643</v>
      </c>
      <c r="N729" s="9" t="s">
        <v>4644</v>
      </c>
      <c r="O729" s="9" t="s">
        <v>4645</v>
      </c>
      <c r="P729" s="10">
        <v>40</v>
      </c>
    </row>
    <row r="730" spans="1:16" ht="86.4" x14ac:dyDescent="0.3">
      <c r="A730" t="s">
        <v>3528</v>
      </c>
      <c r="B730" t="s">
        <v>4625</v>
      </c>
      <c r="C730" t="s">
        <v>43</v>
      </c>
      <c r="D730" s="9" t="s">
        <v>4646</v>
      </c>
      <c r="E730" t="s">
        <v>82</v>
      </c>
      <c r="F730" t="s">
        <v>143</v>
      </c>
      <c r="G730" t="s">
        <v>47</v>
      </c>
      <c r="H730" s="9" t="s">
        <v>4647</v>
      </c>
      <c r="I730" s="9" t="s">
        <v>59</v>
      </c>
      <c r="J730" t="s">
        <v>4628</v>
      </c>
      <c r="K730" s="9" t="s">
        <v>4648</v>
      </c>
      <c r="L730" s="9" t="s">
        <v>4649</v>
      </c>
      <c r="M730" s="9" t="s">
        <v>4650</v>
      </c>
      <c r="N730" s="9" t="s">
        <v>4651</v>
      </c>
      <c r="O730" s="9" t="s">
        <v>4652</v>
      </c>
      <c r="P730" s="10">
        <v>40</v>
      </c>
    </row>
    <row r="731" spans="1:16" ht="86.4" x14ac:dyDescent="0.3">
      <c r="A731" t="s">
        <v>3528</v>
      </c>
      <c r="B731" t="s">
        <v>4625</v>
      </c>
      <c r="C731" t="s">
        <v>68</v>
      </c>
      <c r="D731" s="9" t="s">
        <v>4653</v>
      </c>
      <c r="E731" t="s">
        <v>82</v>
      </c>
      <c r="F731" t="s">
        <v>143</v>
      </c>
      <c r="G731" t="s">
        <v>47</v>
      </c>
      <c r="H731" s="9" t="s">
        <v>469</v>
      </c>
      <c r="I731" s="9" t="s">
        <v>59</v>
      </c>
      <c r="J731" t="s">
        <v>4628</v>
      </c>
      <c r="K731" s="9" t="s">
        <v>4654</v>
      </c>
      <c r="L731" s="9" t="s">
        <v>4655</v>
      </c>
      <c r="M731" s="9" t="s">
        <v>4656</v>
      </c>
      <c r="N731" s="9" t="s">
        <v>4657</v>
      </c>
      <c r="O731" s="9" t="s">
        <v>4658</v>
      </c>
      <c r="P731" s="10">
        <v>40</v>
      </c>
    </row>
    <row r="732" spans="1:16" ht="100.8" x14ac:dyDescent="0.3">
      <c r="A732" t="s">
        <v>3528</v>
      </c>
      <c r="B732" t="s">
        <v>4625</v>
      </c>
      <c r="C732" t="s">
        <v>82</v>
      </c>
      <c r="D732" s="9" t="s">
        <v>4659</v>
      </c>
      <c r="E732" t="s">
        <v>82</v>
      </c>
      <c r="F732" t="s">
        <v>143</v>
      </c>
      <c r="G732" t="s">
        <v>47</v>
      </c>
      <c r="H732" s="9" t="s">
        <v>469</v>
      </c>
      <c r="I732" s="9" t="s">
        <v>59</v>
      </c>
      <c r="J732" t="s">
        <v>4628</v>
      </c>
      <c r="K732" s="9" t="s">
        <v>4660</v>
      </c>
      <c r="L732" s="9" t="s">
        <v>4661</v>
      </c>
      <c r="M732" s="9" t="s">
        <v>4662</v>
      </c>
      <c r="N732" s="9" t="s">
        <v>4663</v>
      </c>
      <c r="O732" s="9" t="s">
        <v>4664</v>
      </c>
      <c r="P732" s="10">
        <v>40</v>
      </c>
    </row>
    <row r="733" spans="1:16" ht="100.8" x14ac:dyDescent="0.3">
      <c r="A733" t="s">
        <v>3528</v>
      </c>
      <c r="B733" t="s">
        <v>4625</v>
      </c>
      <c r="C733" t="s">
        <v>55</v>
      </c>
      <c r="D733" s="9" t="s">
        <v>4665</v>
      </c>
      <c r="E733" t="s">
        <v>1003</v>
      </c>
      <c r="F733" t="s">
        <v>143</v>
      </c>
      <c r="G733" t="s">
        <v>47</v>
      </c>
      <c r="H733" s="9" t="s">
        <v>59</v>
      </c>
      <c r="I733" s="9" t="s">
        <v>59</v>
      </c>
      <c r="J733" t="s">
        <v>4628</v>
      </c>
      <c r="K733" s="9" t="s">
        <v>4666</v>
      </c>
      <c r="L733" s="9" t="s">
        <v>4667</v>
      </c>
      <c r="M733" s="9" t="s">
        <v>4668</v>
      </c>
      <c r="N733" s="9" t="s">
        <v>4669</v>
      </c>
      <c r="O733" s="9" t="s">
        <v>4670</v>
      </c>
      <c r="P733" s="10">
        <v>40</v>
      </c>
    </row>
    <row r="734" spans="1:16" ht="144" x14ac:dyDescent="0.3">
      <c r="A734" t="s">
        <v>3528</v>
      </c>
      <c r="B734" t="s">
        <v>4625</v>
      </c>
      <c r="C734" t="s">
        <v>424</v>
      </c>
      <c r="D734" s="9" t="s">
        <v>4671</v>
      </c>
      <c r="E734" t="s">
        <v>55</v>
      </c>
      <c r="F734" t="s">
        <v>46</v>
      </c>
      <c r="G734" t="s">
        <v>47</v>
      </c>
      <c r="H734" s="9" t="s">
        <v>711</v>
      </c>
      <c r="I734" s="9"/>
      <c r="J734" t="s">
        <v>4672</v>
      </c>
      <c r="K734" s="9" t="s">
        <v>4673</v>
      </c>
      <c r="L734" s="9" t="s">
        <v>4674</v>
      </c>
      <c r="M734" s="9" t="s">
        <v>4675</v>
      </c>
      <c r="N734" s="9" t="s">
        <v>4676</v>
      </c>
      <c r="O734" s="9" t="s">
        <v>4677</v>
      </c>
      <c r="P734" s="10">
        <v>40</v>
      </c>
    </row>
    <row r="735" spans="1:16" ht="201.6" x14ac:dyDescent="0.3">
      <c r="A735" t="s">
        <v>3528</v>
      </c>
      <c r="B735" t="s">
        <v>4625</v>
      </c>
      <c r="C735" t="s">
        <v>433</v>
      </c>
      <c r="D735" s="9" t="s">
        <v>4678</v>
      </c>
      <c r="E735" t="s">
        <v>55</v>
      </c>
      <c r="F735" t="s">
        <v>143</v>
      </c>
      <c r="G735" t="s">
        <v>47</v>
      </c>
      <c r="H735" s="9" t="s">
        <v>711</v>
      </c>
      <c r="I735" s="9" t="s">
        <v>59</v>
      </c>
      <c r="J735" t="s">
        <v>4672</v>
      </c>
      <c r="K735" s="9" t="s">
        <v>4679</v>
      </c>
      <c r="L735" s="9" t="s">
        <v>4680</v>
      </c>
      <c r="M735" s="9" t="s">
        <v>4681</v>
      </c>
      <c r="N735" s="9" t="s">
        <v>4682</v>
      </c>
      <c r="O735" s="9" t="s">
        <v>4683</v>
      </c>
      <c r="P735" s="10">
        <v>40</v>
      </c>
    </row>
    <row r="736" spans="1:16" ht="129.6" x14ac:dyDescent="0.3">
      <c r="A736" t="s">
        <v>3528</v>
      </c>
      <c r="B736" t="s">
        <v>4625</v>
      </c>
      <c r="C736" t="s">
        <v>441</v>
      </c>
      <c r="D736" s="9" t="s">
        <v>4684</v>
      </c>
      <c r="E736" t="s">
        <v>55</v>
      </c>
      <c r="F736" t="s">
        <v>143</v>
      </c>
      <c r="G736" t="s">
        <v>47</v>
      </c>
      <c r="H736" s="9" t="s">
        <v>711</v>
      </c>
      <c r="I736" s="9" t="s">
        <v>59</v>
      </c>
      <c r="J736" t="s">
        <v>4672</v>
      </c>
      <c r="K736" s="9" t="s">
        <v>4685</v>
      </c>
      <c r="L736" s="9" t="s">
        <v>4686</v>
      </c>
      <c r="M736" s="9" t="s">
        <v>4687</v>
      </c>
      <c r="N736" s="9" t="s">
        <v>4688</v>
      </c>
      <c r="O736" s="9" t="s">
        <v>4689</v>
      </c>
      <c r="P736" s="10">
        <v>40</v>
      </c>
    </row>
    <row r="737" spans="1:16" ht="86.4" x14ac:dyDescent="0.3">
      <c r="A737" t="s">
        <v>3528</v>
      </c>
      <c r="B737" t="s">
        <v>4625</v>
      </c>
      <c r="C737" t="s">
        <v>449</v>
      </c>
      <c r="D737" s="9" t="s">
        <v>4690</v>
      </c>
      <c r="E737" t="s">
        <v>55</v>
      </c>
      <c r="F737" t="s">
        <v>143</v>
      </c>
      <c r="G737" t="s">
        <v>47</v>
      </c>
      <c r="H737" s="9" t="s">
        <v>711</v>
      </c>
      <c r="I737" s="9" t="s">
        <v>59</v>
      </c>
      <c r="J737" t="s">
        <v>4672</v>
      </c>
      <c r="K737" s="9" t="s">
        <v>4691</v>
      </c>
      <c r="L737" s="9" t="s">
        <v>4692</v>
      </c>
      <c r="M737" s="9" t="s">
        <v>4693</v>
      </c>
      <c r="N737" s="9" t="s">
        <v>4694</v>
      </c>
      <c r="O737" s="9" t="s">
        <v>4695</v>
      </c>
      <c r="P737" s="10">
        <v>40</v>
      </c>
    </row>
    <row r="738" spans="1:16" ht="86.4" x14ac:dyDescent="0.3">
      <c r="A738" t="s">
        <v>3528</v>
      </c>
      <c r="B738" t="s">
        <v>4625</v>
      </c>
      <c r="C738" t="s">
        <v>458</v>
      </c>
      <c r="D738" s="9" t="s">
        <v>4696</v>
      </c>
      <c r="E738" t="s">
        <v>651</v>
      </c>
      <c r="F738" t="s">
        <v>143</v>
      </c>
      <c r="G738" t="s">
        <v>47</v>
      </c>
      <c r="H738" s="9" t="s">
        <v>711</v>
      </c>
      <c r="I738" s="9" t="s">
        <v>59</v>
      </c>
      <c r="J738" t="s">
        <v>4672</v>
      </c>
      <c r="K738" s="9" t="s">
        <v>4697</v>
      </c>
      <c r="L738" s="9" t="s">
        <v>4698</v>
      </c>
      <c r="M738" s="9" t="s">
        <v>4699</v>
      </c>
      <c r="N738" s="9"/>
      <c r="O738" s="9" t="s">
        <v>4700</v>
      </c>
      <c r="P738" s="10">
        <v>40</v>
      </c>
    </row>
    <row r="739" spans="1:16" ht="158.4" x14ac:dyDescent="0.3">
      <c r="A739" t="s">
        <v>3528</v>
      </c>
      <c r="B739" t="s">
        <v>4625</v>
      </c>
      <c r="C739" t="s">
        <v>466</v>
      </c>
      <c r="D739" s="9" t="s">
        <v>4701</v>
      </c>
      <c r="E739" t="s">
        <v>424</v>
      </c>
      <c r="F739" t="s">
        <v>143</v>
      </c>
      <c r="G739" t="s">
        <v>47</v>
      </c>
      <c r="H739" s="9" t="s">
        <v>711</v>
      </c>
      <c r="I739" s="9" t="s">
        <v>59</v>
      </c>
      <c r="J739" t="s">
        <v>4702</v>
      </c>
      <c r="K739" s="9" t="s">
        <v>4703</v>
      </c>
      <c r="L739" s="9" t="s">
        <v>4704</v>
      </c>
      <c r="M739" s="9" t="s">
        <v>4705</v>
      </c>
      <c r="N739" s="9" t="s">
        <v>4706</v>
      </c>
      <c r="O739" s="9" t="s">
        <v>4707</v>
      </c>
      <c r="P739" s="10">
        <v>40</v>
      </c>
    </row>
    <row r="740" spans="1:16" ht="129.6" x14ac:dyDescent="0.3">
      <c r="A740" t="s">
        <v>3528</v>
      </c>
      <c r="B740" t="s">
        <v>4625</v>
      </c>
      <c r="C740" t="s">
        <v>312</v>
      </c>
      <c r="D740" s="9" t="s">
        <v>4708</v>
      </c>
      <c r="E740" t="s">
        <v>775</v>
      </c>
      <c r="F740" t="s">
        <v>143</v>
      </c>
      <c r="G740" t="s">
        <v>47</v>
      </c>
      <c r="H740" s="9" t="s">
        <v>711</v>
      </c>
      <c r="I740" s="9" t="s">
        <v>59</v>
      </c>
      <c r="J740" t="s">
        <v>4702</v>
      </c>
      <c r="K740" s="9" t="s">
        <v>4709</v>
      </c>
      <c r="L740" s="9" t="s">
        <v>4710</v>
      </c>
      <c r="M740" s="9" t="s">
        <v>4711</v>
      </c>
      <c r="N740" s="9" t="s">
        <v>4712</v>
      </c>
      <c r="O740" s="9" t="s">
        <v>4713</v>
      </c>
      <c r="P740" s="10">
        <v>40</v>
      </c>
    </row>
    <row r="741" spans="1:16" ht="129.6" x14ac:dyDescent="0.3">
      <c r="A741" t="s">
        <v>3528</v>
      </c>
      <c r="B741" t="s">
        <v>4625</v>
      </c>
      <c r="C741" t="s">
        <v>590</v>
      </c>
      <c r="D741" s="9" t="s">
        <v>4714</v>
      </c>
      <c r="E741" t="s">
        <v>433</v>
      </c>
      <c r="F741" t="s">
        <v>143</v>
      </c>
      <c r="G741" t="s">
        <v>47</v>
      </c>
      <c r="H741" s="9" t="s">
        <v>711</v>
      </c>
      <c r="I741" s="9" t="s">
        <v>59</v>
      </c>
      <c r="J741" t="s">
        <v>4702</v>
      </c>
      <c r="K741" s="9" t="s">
        <v>4715</v>
      </c>
      <c r="L741" s="9" t="s">
        <v>4716</v>
      </c>
      <c r="M741" s="9" t="s">
        <v>4717</v>
      </c>
      <c r="N741" s="9" t="s">
        <v>4718</v>
      </c>
      <c r="O741" s="9" t="s">
        <v>4719</v>
      </c>
      <c r="P741" s="10">
        <v>40</v>
      </c>
    </row>
    <row r="742" spans="1:16" ht="72" x14ac:dyDescent="0.3">
      <c r="A742" t="s">
        <v>3528</v>
      </c>
      <c r="B742" t="s">
        <v>4625</v>
      </c>
      <c r="C742" t="s">
        <v>215</v>
      </c>
      <c r="D742" s="9" t="s">
        <v>4720</v>
      </c>
      <c r="E742" t="s">
        <v>433</v>
      </c>
      <c r="F742" t="s">
        <v>46</v>
      </c>
      <c r="G742" t="s">
        <v>47</v>
      </c>
      <c r="H742" s="9" t="s">
        <v>711</v>
      </c>
      <c r="I742" s="9" t="s">
        <v>4627</v>
      </c>
      <c r="J742" t="s">
        <v>4702</v>
      </c>
      <c r="K742" s="9" t="s">
        <v>4721</v>
      </c>
      <c r="L742" s="9" t="s">
        <v>4722</v>
      </c>
      <c r="M742" s="9" t="s">
        <v>4723</v>
      </c>
      <c r="N742" s="9" t="s">
        <v>4724</v>
      </c>
      <c r="O742" s="9" t="s">
        <v>4725</v>
      </c>
      <c r="P742" s="10">
        <v>40</v>
      </c>
    </row>
    <row r="743" spans="1:16" ht="115.2" x14ac:dyDescent="0.3">
      <c r="A743" t="s">
        <v>3528</v>
      </c>
      <c r="B743" t="s">
        <v>4625</v>
      </c>
      <c r="C743" t="s">
        <v>221</v>
      </c>
      <c r="D743" s="9" t="s">
        <v>4726</v>
      </c>
      <c r="E743" t="s">
        <v>796</v>
      </c>
      <c r="F743" t="s">
        <v>143</v>
      </c>
      <c r="G743" t="s">
        <v>47</v>
      </c>
      <c r="H743" s="9" t="s">
        <v>711</v>
      </c>
      <c r="I743" s="9" t="s">
        <v>59</v>
      </c>
      <c r="J743" t="s">
        <v>4702</v>
      </c>
      <c r="K743" s="9" t="s">
        <v>4727</v>
      </c>
      <c r="L743" s="9" t="s">
        <v>4728</v>
      </c>
      <c r="M743" s="9" t="s">
        <v>4729</v>
      </c>
      <c r="N743" s="9" t="s">
        <v>4730</v>
      </c>
      <c r="O743" s="9" t="s">
        <v>4731</v>
      </c>
      <c r="P743" s="10">
        <v>40</v>
      </c>
    </row>
    <row r="744" spans="1:16" ht="100.8" x14ac:dyDescent="0.3">
      <c r="A744" t="s">
        <v>3528</v>
      </c>
      <c r="B744" t="s">
        <v>4625</v>
      </c>
      <c r="C744" t="s">
        <v>766</v>
      </c>
      <c r="D744" s="9" t="s">
        <v>4732</v>
      </c>
      <c r="E744" t="s">
        <v>441</v>
      </c>
      <c r="F744" t="s">
        <v>143</v>
      </c>
      <c r="G744" t="s">
        <v>47</v>
      </c>
      <c r="H744" s="9" t="s">
        <v>711</v>
      </c>
      <c r="I744" s="9" t="s">
        <v>59</v>
      </c>
      <c r="J744" t="s">
        <v>4702</v>
      </c>
      <c r="K744" s="9" t="s">
        <v>4733</v>
      </c>
      <c r="L744" s="9" t="s">
        <v>4734</v>
      </c>
      <c r="M744" s="9" t="s">
        <v>4735</v>
      </c>
      <c r="N744" s="9" t="s">
        <v>4736</v>
      </c>
      <c r="O744" s="9" t="s">
        <v>4737</v>
      </c>
      <c r="P744" s="10">
        <v>40</v>
      </c>
    </row>
    <row r="745" spans="1:16" ht="100.8" x14ac:dyDescent="0.3">
      <c r="A745" t="s">
        <v>3528</v>
      </c>
      <c r="B745" t="s">
        <v>4625</v>
      </c>
      <c r="C745" t="s">
        <v>989</v>
      </c>
      <c r="D745" s="9" t="s">
        <v>4738</v>
      </c>
      <c r="E745" t="s">
        <v>441</v>
      </c>
      <c r="F745" t="s">
        <v>143</v>
      </c>
      <c r="G745" t="s">
        <v>47</v>
      </c>
      <c r="H745" s="9" t="s">
        <v>4739</v>
      </c>
      <c r="I745" s="9" t="s">
        <v>4627</v>
      </c>
      <c r="J745" t="s">
        <v>4740</v>
      </c>
      <c r="K745" s="9" t="s">
        <v>4741</v>
      </c>
      <c r="L745" s="9" t="s">
        <v>4742</v>
      </c>
      <c r="M745" s="9" t="s">
        <v>4743</v>
      </c>
      <c r="N745" s="9" t="s">
        <v>4744</v>
      </c>
      <c r="O745" s="9" t="s">
        <v>4745</v>
      </c>
      <c r="P745" s="10">
        <v>40</v>
      </c>
    </row>
    <row r="746" spans="1:16" ht="187.2" x14ac:dyDescent="0.3">
      <c r="A746" t="s">
        <v>3528</v>
      </c>
      <c r="B746" t="s">
        <v>4625</v>
      </c>
      <c r="C746" t="s">
        <v>773</v>
      </c>
      <c r="D746" s="9" t="s">
        <v>4746</v>
      </c>
      <c r="E746" t="s">
        <v>679</v>
      </c>
      <c r="F746" t="s">
        <v>143</v>
      </c>
      <c r="G746" t="s">
        <v>47</v>
      </c>
      <c r="H746" s="9" t="s">
        <v>4747</v>
      </c>
      <c r="I746" s="9" t="s">
        <v>4627</v>
      </c>
      <c r="J746" t="s">
        <v>4740</v>
      </c>
      <c r="K746" s="9" t="s">
        <v>4748</v>
      </c>
      <c r="L746" s="9" t="s">
        <v>4749</v>
      </c>
      <c r="M746" s="9" t="s">
        <v>4750</v>
      </c>
      <c r="N746" s="9" t="s">
        <v>4751</v>
      </c>
      <c r="O746" s="9" t="s">
        <v>4752</v>
      </c>
      <c r="P746" s="10">
        <v>40</v>
      </c>
    </row>
    <row r="747" spans="1:16" ht="86.4" x14ac:dyDescent="0.3">
      <c r="A747" t="s">
        <v>3528</v>
      </c>
      <c r="B747" t="s">
        <v>4625</v>
      </c>
      <c r="C747" t="s">
        <v>597</v>
      </c>
      <c r="D747" s="9" t="s">
        <v>4753</v>
      </c>
      <c r="E747" t="s">
        <v>449</v>
      </c>
      <c r="F747" t="s">
        <v>143</v>
      </c>
      <c r="G747" t="s">
        <v>47</v>
      </c>
      <c r="H747" s="9" t="s">
        <v>59</v>
      </c>
      <c r="I747" s="9" t="s">
        <v>4627</v>
      </c>
      <c r="J747" t="s">
        <v>4740</v>
      </c>
      <c r="K747" s="9" t="s">
        <v>4754</v>
      </c>
      <c r="L747" s="9" t="s">
        <v>4755</v>
      </c>
      <c r="M747" s="9" t="s">
        <v>4756</v>
      </c>
      <c r="N747" s="9"/>
      <c r="O747" s="9" t="s">
        <v>4757</v>
      </c>
      <c r="P747" s="10">
        <v>40</v>
      </c>
    </row>
    <row r="748" spans="1:16" ht="115.2" x14ac:dyDescent="0.3">
      <c r="A748" t="s">
        <v>3528</v>
      </c>
      <c r="B748" t="s">
        <v>4625</v>
      </c>
      <c r="C748" t="s">
        <v>787</v>
      </c>
      <c r="D748" s="9" t="s">
        <v>4758</v>
      </c>
      <c r="E748" t="s">
        <v>449</v>
      </c>
      <c r="F748" t="s">
        <v>143</v>
      </c>
      <c r="G748" t="s">
        <v>47</v>
      </c>
      <c r="H748" s="9"/>
      <c r="I748" s="9" t="s">
        <v>4627</v>
      </c>
      <c r="J748" t="s">
        <v>4740</v>
      </c>
      <c r="K748" s="9" t="s">
        <v>4759</v>
      </c>
      <c r="L748" s="9" t="s">
        <v>4760</v>
      </c>
      <c r="M748" s="9" t="s">
        <v>4761</v>
      </c>
      <c r="N748" s="9" t="s">
        <v>4762</v>
      </c>
      <c r="O748" s="9" t="s">
        <v>4763</v>
      </c>
      <c r="P748" s="10">
        <v>40</v>
      </c>
    </row>
    <row r="749" spans="1:16" ht="129.6" x14ac:dyDescent="0.3">
      <c r="A749" t="s">
        <v>3528</v>
      </c>
      <c r="B749" t="s">
        <v>4625</v>
      </c>
      <c r="C749" t="s">
        <v>604</v>
      </c>
      <c r="D749" s="9" t="s">
        <v>4764</v>
      </c>
      <c r="E749" t="s">
        <v>449</v>
      </c>
      <c r="F749" t="s">
        <v>143</v>
      </c>
      <c r="G749" t="s">
        <v>47</v>
      </c>
      <c r="H749" s="9"/>
      <c r="I749" s="9" t="s">
        <v>4627</v>
      </c>
      <c r="J749" t="s">
        <v>4740</v>
      </c>
      <c r="K749" s="9" t="s">
        <v>4765</v>
      </c>
      <c r="L749" s="9" t="s">
        <v>4766</v>
      </c>
      <c r="M749" s="9" t="s">
        <v>4767</v>
      </c>
      <c r="N749" s="9" t="s">
        <v>4768</v>
      </c>
      <c r="O749" s="9" t="s">
        <v>4769</v>
      </c>
      <c r="P749" s="10">
        <v>40</v>
      </c>
    </row>
    <row r="750" spans="1:16" ht="172.8" x14ac:dyDescent="0.3">
      <c r="A750" t="s">
        <v>3528</v>
      </c>
      <c r="B750" t="s">
        <v>4625</v>
      </c>
      <c r="C750" t="s">
        <v>611</v>
      </c>
      <c r="D750" s="9" t="s">
        <v>4770</v>
      </c>
      <c r="E750" t="s">
        <v>4771</v>
      </c>
      <c r="F750" t="s">
        <v>143</v>
      </c>
      <c r="G750" t="s">
        <v>47</v>
      </c>
      <c r="H750" s="9" t="s">
        <v>59</v>
      </c>
      <c r="I750" s="9" t="s">
        <v>59</v>
      </c>
      <c r="J750" t="s">
        <v>4740</v>
      </c>
      <c r="K750" s="9" t="s">
        <v>4772</v>
      </c>
      <c r="L750" s="9" t="s">
        <v>4773</v>
      </c>
      <c r="M750" s="9" t="s">
        <v>4774</v>
      </c>
      <c r="N750" s="9" t="s">
        <v>4775</v>
      </c>
      <c r="O750" s="9" t="s">
        <v>4776</v>
      </c>
      <c r="P750" s="10">
        <v>40</v>
      </c>
    </row>
    <row r="751" spans="1:16" ht="115.2" x14ac:dyDescent="0.3">
      <c r="A751" t="s">
        <v>3528</v>
      </c>
      <c r="B751" t="s">
        <v>4625</v>
      </c>
      <c r="C751" t="s">
        <v>620</v>
      </c>
      <c r="D751" s="9" t="s">
        <v>4777</v>
      </c>
      <c r="E751" t="s">
        <v>466</v>
      </c>
      <c r="F751" t="s">
        <v>143</v>
      </c>
      <c r="G751" t="s">
        <v>47</v>
      </c>
      <c r="H751" s="9"/>
      <c r="I751" s="9" t="s">
        <v>59</v>
      </c>
      <c r="J751" t="s">
        <v>4672</v>
      </c>
      <c r="K751" s="9" t="s">
        <v>4778</v>
      </c>
      <c r="L751" s="9" t="s">
        <v>4779</v>
      </c>
      <c r="M751" s="9" t="s">
        <v>4780</v>
      </c>
      <c r="N751" s="9" t="s">
        <v>4781</v>
      </c>
      <c r="O751" s="9" t="s">
        <v>4782</v>
      </c>
      <c r="P751" s="10">
        <v>40</v>
      </c>
    </row>
    <row r="752" spans="1:16" ht="100.8" x14ac:dyDescent="0.3">
      <c r="A752" t="s">
        <v>3528</v>
      </c>
      <c r="B752" t="s">
        <v>4625</v>
      </c>
      <c r="C752" t="s">
        <v>809</v>
      </c>
      <c r="D752" s="9" t="s">
        <v>4783</v>
      </c>
      <c r="E752" t="s">
        <v>466</v>
      </c>
      <c r="F752" t="s">
        <v>143</v>
      </c>
      <c r="G752" t="s">
        <v>47</v>
      </c>
      <c r="H752" s="9"/>
      <c r="I752" s="9" t="s">
        <v>59</v>
      </c>
      <c r="J752" t="s">
        <v>4672</v>
      </c>
      <c r="K752" s="9" t="s">
        <v>4784</v>
      </c>
      <c r="L752" s="9" t="s">
        <v>4785</v>
      </c>
      <c r="M752" s="9" t="s">
        <v>4786</v>
      </c>
      <c r="N752" s="9" t="s">
        <v>4787</v>
      </c>
      <c r="O752" s="9" t="s">
        <v>4788</v>
      </c>
      <c r="P752" s="10">
        <v>40</v>
      </c>
    </row>
    <row r="753" spans="1:16" ht="100.8" x14ac:dyDescent="0.3">
      <c r="A753" t="s">
        <v>3528</v>
      </c>
      <c r="B753" t="s">
        <v>4625</v>
      </c>
      <c r="C753" t="s">
        <v>816</v>
      </c>
      <c r="D753" s="9" t="s">
        <v>4789</v>
      </c>
      <c r="E753" t="s">
        <v>466</v>
      </c>
      <c r="F753" t="s">
        <v>143</v>
      </c>
      <c r="G753" t="s">
        <v>47</v>
      </c>
      <c r="H753" s="9"/>
      <c r="I753" s="9" t="s">
        <v>59</v>
      </c>
      <c r="J753" t="s">
        <v>4672</v>
      </c>
      <c r="K753" s="9" t="s">
        <v>4790</v>
      </c>
      <c r="L753" s="9" t="s">
        <v>4791</v>
      </c>
      <c r="M753" s="9" t="s">
        <v>4792</v>
      </c>
      <c r="N753" s="9" t="s">
        <v>4793</v>
      </c>
      <c r="O753" s="9" t="s">
        <v>4794</v>
      </c>
      <c r="P753" s="10">
        <v>40</v>
      </c>
    </row>
    <row r="754" spans="1:16" ht="86.4" x14ac:dyDescent="0.3">
      <c r="A754" t="s">
        <v>3528</v>
      </c>
      <c r="B754" t="s">
        <v>4625</v>
      </c>
      <c r="C754" t="s">
        <v>1175</v>
      </c>
      <c r="D754" s="9" t="s">
        <v>4795</v>
      </c>
      <c r="E754" t="s">
        <v>466</v>
      </c>
      <c r="F754" t="s">
        <v>143</v>
      </c>
      <c r="G754" t="s">
        <v>47</v>
      </c>
      <c r="H754" s="9"/>
      <c r="I754" s="9" t="s">
        <v>59</v>
      </c>
      <c r="J754" t="s">
        <v>4672</v>
      </c>
      <c r="K754" s="9" t="s">
        <v>4796</v>
      </c>
      <c r="L754" s="9" t="s">
        <v>4797</v>
      </c>
      <c r="M754" s="9" t="s">
        <v>4798</v>
      </c>
      <c r="N754" s="9" t="s">
        <v>4799</v>
      </c>
      <c r="O754" s="9" t="s">
        <v>4800</v>
      </c>
      <c r="P754" s="10">
        <v>40</v>
      </c>
    </row>
    <row r="755" spans="1:16" ht="187.2" x14ac:dyDescent="0.3">
      <c r="A755" t="s">
        <v>3528</v>
      </c>
      <c r="B755" t="s">
        <v>4625</v>
      </c>
      <c r="C755" t="s">
        <v>627</v>
      </c>
      <c r="D755" s="9" t="s">
        <v>4801</v>
      </c>
      <c r="E755" t="s">
        <v>702</v>
      </c>
      <c r="F755" t="s">
        <v>143</v>
      </c>
      <c r="G755" t="s">
        <v>47</v>
      </c>
      <c r="H755" s="9"/>
      <c r="I755" s="9" t="s">
        <v>59</v>
      </c>
      <c r="J755" t="s">
        <v>4672</v>
      </c>
      <c r="K755" s="9" t="s">
        <v>4802</v>
      </c>
      <c r="L755" s="9" t="s">
        <v>4803</v>
      </c>
      <c r="M755" s="9" t="s">
        <v>4804</v>
      </c>
      <c r="N755" s="9" t="s">
        <v>4805</v>
      </c>
      <c r="O755" s="9" t="s">
        <v>4806</v>
      </c>
      <c r="P755" s="10">
        <v>40</v>
      </c>
    </row>
    <row r="756" spans="1:16" ht="72" x14ac:dyDescent="0.3">
      <c r="A756" t="s">
        <v>3528</v>
      </c>
      <c r="B756" t="s">
        <v>4625</v>
      </c>
      <c r="C756" t="s">
        <v>634</v>
      </c>
      <c r="D756" s="9" t="s">
        <v>4807</v>
      </c>
      <c r="E756" t="s">
        <v>312</v>
      </c>
      <c r="F756" t="s">
        <v>143</v>
      </c>
      <c r="G756" t="s">
        <v>47</v>
      </c>
      <c r="H756" s="9" t="s">
        <v>59</v>
      </c>
      <c r="I756" s="9" t="s">
        <v>59</v>
      </c>
      <c r="J756" t="s">
        <v>4672</v>
      </c>
      <c r="K756" s="9" t="s">
        <v>4808</v>
      </c>
      <c r="L756" s="9" t="s">
        <v>4809</v>
      </c>
      <c r="M756" s="9" t="s">
        <v>4810</v>
      </c>
      <c r="N756" s="9" t="s">
        <v>4811</v>
      </c>
      <c r="O756" s="9" t="s">
        <v>4812</v>
      </c>
      <c r="P756" s="10">
        <v>40</v>
      </c>
    </row>
    <row r="757" spans="1:16" ht="129.6" x14ac:dyDescent="0.3">
      <c r="A757" t="s">
        <v>3528</v>
      </c>
      <c r="B757" t="s">
        <v>4625</v>
      </c>
      <c r="C757" t="s">
        <v>657</v>
      </c>
      <c r="D757" s="9" t="s">
        <v>4813</v>
      </c>
      <c r="E757" t="s">
        <v>312</v>
      </c>
      <c r="F757" t="s">
        <v>143</v>
      </c>
      <c r="G757" t="s">
        <v>47</v>
      </c>
      <c r="H757" s="9" t="s">
        <v>4814</v>
      </c>
      <c r="I757" s="9" t="s">
        <v>4627</v>
      </c>
      <c r="J757" t="s">
        <v>4628</v>
      </c>
      <c r="K757" s="9" t="s">
        <v>4815</v>
      </c>
      <c r="L757" s="9" t="s">
        <v>4816</v>
      </c>
      <c r="M757" s="9" t="s">
        <v>4817</v>
      </c>
      <c r="N757" s="9" t="s">
        <v>4818</v>
      </c>
      <c r="O757" s="9" t="s">
        <v>4819</v>
      </c>
      <c r="P757" s="10">
        <v>40</v>
      </c>
    </row>
    <row r="758" spans="1:16" ht="100.8" x14ac:dyDescent="0.3">
      <c r="A758" t="s">
        <v>3528</v>
      </c>
      <c r="B758" t="s">
        <v>4625</v>
      </c>
      <c r="C758" t="s">
        <v>328</v>
      </c>
      <c r="D758" s="9" t="s">
        <v>4820</v>
      </c>
      <c r="E758" t="s">
        <v>927</v>
      </c>
      <c r="F758" t="s">
        <v>143</v>
      </c>
      <c r="G758" t="s">
        <v>47</v>
      </c>
      <c r="H758" s="9" t="s">
        <v>153</v>
      </c>
      <c r="I758" s="9" t="s">
        <v>4627</v>
      </c>
      <c r="J758" t="s">
        <v>4628</v>
      </c>
      <c r="K758" s="9" t="s">
        <v>4821</v>
      </c>
      <c r="L758" s="9" t="s">
        <v>4822</v>
      </c>
      <c r="M758" s="9" t="s">
        <v>4823</v>
      </c>
      <c r="N758" s="9" t="s">
        <v>4824</v>
      </c>
      <c r="O758" s="9" t="s">
        <v>4825</v>
      </c>
      <c r="P758" s="10">
        <v>40</v>
      </c>
    </row>
    <row r="759" spans="1:16" ht="115.2" x14ac:dyDescent="0.3">
      <c r="A759" t="s">
        <v>3528</v>
      </c>
      <c r="B759" t="s">
        <v>4625</v>
      </c>
      <c r="C759" t="s">
        <v>841</v>
      </c>
      <c r="D759" s="9" t="s">
        <v>4826</v>
      </c>
      <c r="E759" t="s">
        <v>590</v>
      </c>
      <c r="F759" t="s">
        <v>143</v>
      </c>
      <c r="G759" t="s">
        <v>47</v>
      </c>
      <c r="H759" s="9"/>
      <c r="I759" s="9"/>
      <c r="J759" t="s">
        <v>4628</v>
      </c>
      <c r="K759" s="9" t="s">
        <v>4827</v>
      </c>
      <c r="L759" s="9" t="s">
        <v>4828</v>
      </c>
      <c r="M759" s="9" t="s">
        <v>4829</v>
      </c>
      <c r="N759" s="9" t="s">
        <v>4830</v>
      </c>
      <c r="O759" s="9" t="s">
        <v>4831</v>
      </c>
      <c r="P759" s="10">
        <v>40</v>
      </c>
    </row>
    <row r="760" spans="1:16" ht="100.8" x14ac:dyDescent="0.3">
      <c r="A760" t="s">
        <v>3528</v>
      </c>
      <c r="B760" t="s">
        <v>4625</v>
      </c>
      <c r="C760" t="s">
        <v>336</v>
      </c>
      <c r="D760" s="9" t="s">
        <v>4832</v>
      </c>
      <c r="E760" t="s">
        <v>590</v>
      </c>
      <c r="F760" t="s">
        <v>143</v>
      </c>
      <c r="G760" t="s">
        <v>47</v>
      </c>
      <c r="H760" s="9"/>
      <c r="I760" s="9"/>
      <c r="J760" t="s">
        <v>4628</v>
      </c>
      <c r="K760" s="9" t="s">
        <v>4833</v>
      </c>
      <c r="L760" s="9" t="s">
        <v>4834</v>
      </c>
      <c r="M760" s="9" t="s">
        <v>4835</v>
      </c>
      <c r="N760" s="9" t="s">
        <v>4836</v>
      </c>
      <c r="O760" s="9" t="s">
        <v>4837</v>
      </c>
      <c r="P760" s="10">
        <v>40</v>
      </c>
    </row>
    <row r="761" spans="1:16" ht="72" x14ac:dyDescent="0.3">
      <c r="A761" t="s">
        <v>3528</v>
      </c>
      <c r="B761" t="s">
        <v>4625</v>
      </c>
      <c r="C761" t="s">
        <v>2374</v>
      </c>
      <c r="D761" s="9" t="s">
        <v>4838</v>
      </c>
      <c r="E761" t="s">
        <v>1039</v>
      </c>
      <c r="F761" t="s">
        <v>116</v>
      </c>
      <c r="G761" t="s">
        <v>47</v>
      </c>
      <c r="H761" s="9"/>
      <c r="I761" s="9"/>
      <c r="J761" t="s">
        <v>4628</v>
      </c>
      <c r="K761" s="9" t="s">
        <v>4839</v>
      </c>
      <c r="L761" s="9" t="s">
        <v>4840</v>
      </c>
      <c r="M761" s="9" t="s">
        <v>4841</v>
      </c>
      <c r="N761" s="9"/>
      <c r="O761" s="9" t="s">
        <v>4842</v>
      </c>
      <c r="P761" s="10">
        <v>40</v>
      </c>
    </row>
    <row r="762" spans="1:16" ht="144" x14ac:dyDescent="0.3">
      <c r="A762" t="s">
        <v>3528</v>
      </c>
      <c r="B762" t="s">
        <v>4843</v>
      </c>
      <c r="C762" t="s">
        <v>369</v>
      </c>
      <c r="D762" s="9" t="s">
        <v>4844</v>
      </c>
      <c r="E762" t="s">
        <v>3731</v>
      </c>
      <c r="F762" t="s">
        <v>143</v>
      </c>
      <c r="G762" t="s">
        <v>47</v>
      </c>
      <c r="H762" s="9"/>
      <c r="I762" s="9" t="s">
        <v>59</v>
      </c>
      <c r="K762" s="9" t="s">
        <v>4845</v>
      </c>
      <c r="L762" s="9"/>
      <c r="M762" s="9" t="s">
        <v>4846</v>
      </c>
      <c r="N762" s="9" t="s">
        <v>4847</v>
      </c>
      <c r="O762" s="9" t="s">
        <v>4848</v>
      </c>
      <c r="P762" s="10">
        <v>41</v>
      </c>
    </row>
    <row r="763" spans="1:16" ht="129.6" x14ac:dyDescent="0.3">
      <c r="A763" t="s">
        <v>3528</v>
      </c>
      <c r="B763" t="s">
        <v>4843</v>
      </c>
      <c r="C763" t="s">
        <v>66</v>
      </c>
      <c r="D763" s="9" t="s">
        <v>4849</v>
      </c>
      <c r="E763" t="s">
        <v>74</v>
      </c>
      <c r="F763" t="s">
        <v>143</v>
      </c>
      <c r="G763" t="s">
        <v>47</v>
      </c>
      <c r="H763" s="9" t="s">
        <v>59</v>
      </c>
      <c r="I763" s="9" t="s">
        <v>59</v>
      </c>
      <c r="J763" t="s">
        <v>4850</v>
      </c>
      <c r="K763" s="9" t="s">
        <v>4851</v>
      </c>
      <c r="L763" s="9" t="s">
        <v>4852</v>
      </c>
      <c r="M763" s="9" t="s">
        <v>4853</v>
      </c>
      <c r="N763" s="9" t="s">
        <v>4854</v>
      </c>
      <c r="O763" s="9" t="s">
        <v>4855</v>
      </c>
      <c r="P763" s="10">
        <v>41</v>
      </c>
    </row>
    <row r="764" spans="1:16" ht="201.6" x14ac:dyDescent="0.3">
      <c r="A764" t="s">
        <v>3528</v>
      </c>
      <c r="B764" t="s">
        <v>4843</v>
      </c>
      <c r="C764" t="s">
        <v>74</v>
      </c>
      <c r="D764" s="9" t="s">
        <v>4856</v>
      </c>
      <c r="E764" t="s">
        <v>433</v>
      </c>
      <c r="F764" t="s">
        <v>143</v>
      </c>
      <c r="G764" t="s">
        <v>47</v>
      </c>
      <c r="H764" s="9" t="s">
        <v>59</v>
      </c>
      <c r="I764" s="9" t="s">
        <v>59</v>
      </c>
      <c r="J764" t="s">
        <v>4850</v>
      </c>
      <c r="K764" s="9" t="s">
        <v>4857</v>
      </c>
      <c r="L764" s="9" t="s">
        <v>4858</v>
      </c>
      <c r="M764" s="9" t="s">
        <v>4859</v>
      </c>
      <c r="N764" s="9" t="s">
        <v>4860</v>
      </c>
      <c r="O764" s="9" t="s">
        <v>4861</v>
      </c>
      <c r="P764" s="10">
        <v>41</v>
      </c>
    </row>
    <row r="765" spans="1:16" ht="360" x14ac:dyDescent="0.3">
      <c r="A765" t="s">
        <v>3528</v>
      </c>
      <c r="B765" t="s">
        <v>4843</v>
      </c>
      <c r="C765" t="s">
        <v>43</v>
      </c>
      <c r="D765" s="9" t="s">
        <v>4862</v>
      </c>
      <c r="E765" t="s">
        <v>796</v>
      </c>
      <c r="F765" t="s">
        <v>143</v>
      </c>
      <c r="G765" t="s">
        <v>47</v>
      </c>
      <c r="H765" s="9" t="s">
        <v>59</v>
      </c>
      <c r="I765" s="9" t="s">
        <v>59</v>
      </c>
      <c r="J765" t="s">
        <v>4850</v>
      </c>
      <c r="K765" s="9" t="s">
        <v>4863</v>
      </c>
      <c r="L765" s="9" t="s">
        <v>4864</v>
      </c>
      <c r="M765" s="9" t="s">
        <v>4865</v>
      </c>
      <c r="N765" s="9" t="s">
        <v>4866</v>
      </c>
      <c r="O765" s="9" t="s">
        <v>4867</v>
      </c>
      <c r="P765" s="10">
        <v>41</v>
      </c>
    </row>
    <row r="766" spans="1:16" ht="172.8" x14ac:dyDescent="0.3">
      <c r="A766" t="s">
        <v>3528</v>
      </c>
      <c r="B766" t="s">
        <v>4843</v>
      </c>
      <c r="C766" t="s">
        <v>68</v>
      </c>
      <c r="D766" s="9" t="s">
        <v>4868</v>
      </c>
      <c r="E766" t="s">
        <v>441</v>
      </c>
      <c r="F766" t="s">
        <v>143</v>
      </c>
      <c r="G766" t="s">
        <v>47</v>
      </c>
      <c r="H766" s="9" t="s">
        <v>4869</v>
      </c>
      <c r="I766" s="9" t="s">
        <v>59</v>
      </c>
      <c r="K766" s="9" t="s">
        <v>4870</v>
      </c>
      <c r="L766" s="9"/>
      <c r="M766" s="9" t="s">
        <v>4871</v>
      </c>
      <c r="N766" s="9" t="s">
        <v>4872</v>
      </c>
      <c r="O766" s="9" t="s">
        <v>4873</v>
      </c>
      <c r="P766" s="10">
        <v>41</v>
      </c>
    </row>
    <row r="767" spans="1:16" ht="172.8" x14ac:dyDescent="0.3">
      <c r="A767" t="s">
        <v>3528</v>
      </c>
      <c r="B767" t="s">
        <v>4843</v>
      </c>
      <c r="C767" t="s">
        <v>82</v>
      </c>
      <c r="D767" s="9" t="s">
        <v>4874</v>
      </c>
      <c r="E767" t="s">
        <v>679</v>
      </c>
      <c r="F767" t="s">
        <v>143</v>
      </c>
      <c r="G767" t="s">
        <v>47</v>
      </c>
      <c r="H767" s="9" t="s">
        <v>711</v>
      </c>
      <c r="I767" s="9" t="s">
        <v>59</v>
      </c>
      <c r="J767" t="s">
        <v>19</v>
      </c>
      <c r="K767" s="9" t="s">
        <v>4875</v>
      </c>
      <c r="L767" s="9" t="s">
        <v>4876</v>
      </c>
      <c r="M767" s="9" t="s">
        <v>4877</v>
      </c>
      <c r="N767" s="9" t="s">
        <v>4878</v>
      </c>
      <c r="O767" s="9" t="s">
        <v>4879</v>
      </c>
      <c r="P767" s="10">
        <v>41</v>
      </c>
    </row>
    <row r="768" spans="1:16" ht="115.2" x14ac:dyDescent="0.3">
      <c r="A768" t="s">
        <v>3528</v>
      </c>
      <c r="B768" t="s">
        <v>4843</v>
      </c>
      <c r="C768" t="s">
        <v>55</v>
      </c>
      <c r="D768" s="9" t="s">
        <v>4880</v>
      </c>
      <c r="E768" t="s">
        <v>694</v>
      </c>
      <c r="F768" t="s">
        <v>143</v>
      </c>
      <c r="G768" t="s">
        <v>47</v>
      </c>
      <c r="H768" s="9"/>
      <c r="I768" s="9" t="s">
        <v>59</v>
      </c>
      <c r="J768" t="s">
        <v>19</v>
      </c>
      <c r="K768" s="9" t="s">
        <v>4881</v>
      </c>
      <c r="L768" s="9" t="s">
        <v>4882</v>
      </c>
      <c r="M768" s="9" t="s">
        <v>4883</v>
      </c>
      <c r="N768" s="9" t="s">
        <v>4884</v>
      </c>
      <c r="O768" s="9" t="s">
        <v>4885</v>
      </c>
      <c r="P768" s="10">
        <v>41</v>
      </c>
    </row>
    <row r="769" spans="1:16" ht="100.8" x14ac:dyDescent="0.3">
      <c r="A769" t="s">
        <v>3528</v>
      </c>
      <c r="B769" t="s">
        <v>4843</v>
      </c>
      <c r="C769" t="s">
        <v>424</v>
      </c>
      <c r="D769" s="9" t="s">
        <v>4886</v>
      </c>
      <c r="E769" t="s">
        <v>458</v>
      </c>
      <c r="F769" t="s">
        <v>143</v>
      </c>
      <c r="G769" t="s">
        <v>47</v>
      </c>
      <c r="H769" s="9"/>
      <c r="I769" s="9" t="s">
        <v>59</v>
      </c>
      <c r="J769" t="s">
        <v>19</v>
      </c>
      <c r="K769" s="9" t="s">
        <v>4887</v>
      </c>
      <c r="L769" s="9" t="s">
        <v>4888</v>
      </c>
      <c r="M769" s="9" t="s">
        <v>4889</v>
      </c>
      <c r="N769" s="9" t="s">
        <v>4890</v>
      </c>
      <c r="O769" s="9" t="s">
        <v>4891</v>
      </c>
      <c r="P769" s="10">
        <v>41</v>
      </c>
    </row>
    <row r="770" spans="1:16" ht="129.6" x14ac:dyDescent="0.3">
      <c r="A770" t="s">
        <v>3528</v>
      </c>
      <c r="B770" t="s">
        <v>4843</v>
      </c>
      <c r="C770" t="s">
        <v>433</v>
      </c>
      <c r="D770" s="9" t="s">
        <v>4892</v>
      </c>
      <c r="E770" t="s">
        <v>869</v>
      </c>
      <c r="F770" t="s">
        <v>143</v>
      </c>
      <c r="G770" t="s">
        <v>47</v>
      </c>
      <c r="H770" s="9"/>
      <c r="I770" s="9" t="s">
        <v>59</v>
      </c>
      <c r="J770" t="s">
        <v>19</v>
      </c>
      <c r="K770" s="9" t="s">
        <v>4893</v>
      </c>
      <c r="L770" s="9" t="s">
        <v>4894</v>
      </c>
      <c r="M770" s="9" t="s">
        <v>4895</v>
      </c>
      <c r="N770" s="9" t="s">
        <v>4896</v>
      </c>
      <c r="O770" s="9" t="s">
        <v>4897</v>
      </c>
      <c r="P770" s="10">
        <v>41</v>
      </c>
    </row>
    <row r="771" spans="1:16" ht="129.6" x14ac:dyDescent="0.3">
      <c r="A771" t="s">
        <v>3528</v>
      </c>
      <c r="B771" t="s">
        <v>4843</v>
      </c>
      <c r="C771" t="s">
        <v>441</v>
      </c>
      <c r="D771" s="9" t="s">
        <v>4898</v>
      </c>
      <c r="E771" t="s">
        <v>702</v>
      </c>
      <c r="F771" t="s">
        <v>143</v>
      </c>
      <c r="G771" t="s">
        <v>47</v>
      </c>
      <c r="H771" s="9" t="s">
        <v>3880</v>
      </c>
      <c r="I771" s="9" t="s">
        <v>59</v>
      </c>
      <c r="J771" t="s">
        <v>19</v>
      </c>
      <c r="K771" s="9" t="s">
        <v>4899</v>
      </c>
      <c r="L771" s="9" t="s">
        <v>4900</v>
      </c>
      <c r="M771" s="9" t="s">
        <v>4901</v>
      </c>
      <c r="N771" s="9" t="s">
        <v>4902</v>
      </c>
      <c r="O771" s="9" t="s">
        <v>4903</v>
      </c>
      <c r="P771" s="10">
        <v>41</v>
      </c>
    </row>
    <row r="772" spans="1:16" ht="115.2" x14ac:dyDescent="0.3">
      <c r="A772" t="s">
        <v>3528</v>
      </c>
      <c r="B772" t="s">
        <v>4843</v>
      </c>
      <c r="C772" t="s">
        <v>458</v>
      </c>
      <c r="D772" s="9" t="s">
        <v>4904</v>
      </c>
      <c r="E772" t="s">
        <v>927</v>
      </c>
      <c r="F772" t="s">
        <v>143</v>
      </c>
      <c r="G772" t="s">
        <v>47</v>
      </c>
      <c r="H772" s="9"/>
      <c r="I772" s="9" t="s">
        <v>59</v>
      </c>
      <c r="J772" t="s">
        <v>19</v>
      </c>
      <c r="K772" s="9" t="s">
        <v>4905</v>
      </c>
      <c r="L772" s="9" t="s">
        <v>4906</v>
      </c>
      <c r="M772" s="9" t="s">
        <v>4907</v>
      </c>
      <c r="N772" s="9" t="s">
        <v>4908</v>
      </c>
      <c r="O772" s="9" t="s">
        <v>4909</v>
      </c>
      <c r="P772" s="10">
        <v>41</v>
      </c>
    </row>
    <row r="773" spans="1:16" ht="100.8" x14ac:dyDescent="0.3">
      <c r="A773" t="s">
        <v>3528</v>
      </c>
      <c r="B773" t="s">
        <v>4843</v>
      </c>
      <c r="C773" t="s">
        <v>466</v>
      </c>
      <c r="D773" s="9" t="s">
        <v>4910</v>
      </c>
      <c r="E773" t="s">
        <v>942</v>
      </c>
      <c r="F773" t="s">
        <v>143</v>
      </c>
      <c r="G773" t="s">
        <v>47</v>
      </c>
      <c r="H773" s="9"/>
      <c r="I773" s="9" t="s">
        <v>59</v>
      </c>
      <c r="K773" s="9" t="s">
        <v>4911</v>
      </c>
      <c r="L773" s="9"/>
      <c r="M773" s="9" t="s">
        <v>4912</v>
      </c>
      <c r="N773" s="9"/>
      <c r="O773" s="9" t="s">
        <v>4913</v>
      </c>
      <c r="P773" s="10">
        <v>41</v>
      </c>
    </row>
    <row r="774" spans="1:16" ht="144" x14ac:dyDescent="0.3">
      <c r="A774" t="s">
        <v>3528</v>
      </c>
      <c r="B774" t="s">
        <v>4843</v>
      </c>
      <c r="C774" t="s">
        <v>312</v>
      </c>
      <c r="D774" s="9" t="s">
        <v>4914</v>
      </c>
      <c r="E774" t="s">
        <v>677</v>
      </c>
      <c r="F774" t="s">
        <v>143</v>
      </c>
      <c r="G774" t="s">
        <v>47</v>
      </c>
      <c r="H774" s="9"/>
      <c r="I774" s="9" t="s">
        <v>59</v>
      </c>
      <c r="K774" s="9" t="s">
        <v>4915</v>
      </c>
      <c r="L774" s="9"/>
      <c r="M774" s="9" t="s">
        <v>4916</v>
      </c>
      <c r="N774" s="9" t="s">
        <v>4917</v>
      </c>
      <c r="O774" s="9" t="s">
        <v>4918</v>
      </c>
      <c r="P774" s="10">
        <v>41</v>
      </c>
    </row>
    <row r="775" spans="1:16" ht="409.6" x14ac:dyDescent="0.3">
      <c r="A775" t="s">
        <v>3528</v>
      </c>
      <c r="B775" t="s">
        <v>4843</v>
      </c>
      <c r="C775" t="s">
        <v>590</v>
      </c>
      <c r="D775" s="9" t="s">
        <v>4919</v>
      </c>
      <c r="E775" t="s">
        <v>1313</v>
      </c>
      <c r="F775" t="s">
        <v>143</v>
      </c>
      <c r="G775" t="s">
        <v>47</v>
      </c>
      <c r="H775" s="9" t="s">
        <v>4920</v>
      </c>
      <c r="I775" s="9" t="s">
        <v>144</v>
      </c>
      <c r="J775" t="s">
        <v>19</v>
      </c>
      <c r="K775" s="9" t="s">
        <v>4921</v>
      </c>
      <c r="L775" s="9" t="s">
        <v>4922</v>
      </c>
      <c r="M775" s="9" t="s">
        <v>4923</v>
      </c>
      <c r="N775" s="9" t="s">
        <v>4924</v>
      </c>
      <c r="O775" s="9" t="s">
        <v>4925</v>
      </c>
      <c r="P775" s="10">
        <v>41</v>
      </c>
    </row>
    <row r="776" spans="1:16" ht="129.6" x14ac:dyDescent="0.3">
      <c r="A776" t="s">
        <v>3528</v>
      </c>
      <c r="B776" t="s">
        <v>4843</v>
      </c>
      <c r="C776" t="s">
        <v>215</v>
      </c>
      <c r="D776" s="9" t="s">
        <v>4926</v>
      </c>
      <c r="E776" t="s">
        <v>1321</v>
      </c>
      <c r="F776" t="s">
        <v>143</v>
      </c>
      <c r="G776" t="s">
        <v>47</v>
      </c>
      <c r="H776" s="9" t="s">
        <v>4927</v>
      </c>
      <c r="I776" s="9" t="s">
        <v>59</v>
      </c>
      <c r="J776" t="s">
        <v>19</v>
      </c>
      <c r="K776" s="9" t="s">
        <v>4928</v>
      </c>
      <c r="L776" s="9" t="s">
        <v>4929</v>
      </c>
      <c r="M776" s="9" t="s">
        <v>4930</v>
      </c>
      <c r="N776" s="9" t="s">
        <v>4931</v>
      </c>
      <c r="O776" s="9" t="s">
        <v>4932</v>
      </c>
      <c r="P776" s="10">
        <v>41</v>
      </c>
    </row>
    <row r="777" spans="1:16" ht="409.6" x14ac:dyDescent="0.3">
      <c r="A777" t="s">
        <v>3528</v>
      </c>
      <c r="B777" t="s">
        <v>4843</v>
      </c>
      <c r="C777" t="s">
        <v>221</v>
      </c>
      <c r="D777" s="9" t="s">
        <v>4933</v>
      </c>
      <c r="E777" t="s">
        <v>766</v>
      </c>
      <c r="F777" t="s">
        <v>143</v>
      </c>
      <c r="G777" t="s">
        <v>47</v>
      </c>
      <c r="H777" s="9" t="s">
        <v>4927</v>
      </c>
      <c r="I777" s="9" t="s">
        <v>59</v>
      </c>
      <c r="J777" t="s">
        <v>19</v>
      </c>
      <c r="K777" s="9" t="s">
        <v>4934</v>
      </c>
      <c r="L777" s="9" t="s">
        <v>4935</v>
      </c>
      <c r="M777" s="9" t="s">
        <v>4936</v>
      </c>
      <c r="N777" s="9" t="s">
        <v>4937</v>
      </c>
      <c r="O777" s="9" t="s">
        <v>4938</v>
      </c>
      <c r="P777" s="10">
        <v>41</v>
      </c>
    </row>
    <row r="778" spans="1:16" ht="288" x14ac:dyDescent="0.3">
      <c r="A778" t="s">
        <v>3528</v>
      </c>
      <c r="B778" t="s">
        <v>4843</v>
      </c>
      <c r="C778" t="s">
        <v>773</v>
      </c>
      <c r="D778" s="9" t="s">
        <v>4939</v>
      </c>
      <c r="E778" t="s">
        <v>773</v>
      </c>
      <c r="F778" t="s">
        <v>143</v>
      </c>
      <c r="G778" t="s">
        <v>47</v>
      </c>
      <c r="H778" s="9" t="s">
        <v>613</v>
      </c>
      <c r="I778" s="9" t="s">
        <v>59</v>
      </c>
      <c r="J778" t="s">
        <v>19</v>
      </c>
      <c r="K778" s="9" t="s">
        <v>4940</v>
      </c>
      <c r="L778" s="9" t="s">
        <v>4941</v>
      </c>
      <c r="M778" s="9" t="s">
        <v>4942</v>
      </c>
      <c r="N778" s="9" t="s">
        <v>4943</v>
      </c>
      <c r="O778" s="9" t="s">
        <v>4944</v>
      </c>
      <c r="P778" s="10">
        <v>41</v>
      </c>
    </row>
    <row r="779" spans="1:16" ht="158.4" x14ac:dyDescent="0.3">
      <c r="A779" t="s">
        <v>3528</v>
      </c>
      <c r="B779" t="s">
        <v>4843</v>
      </c>
      <c r="C779" t="s">
        <v>597</v>
      </c>
      <c r="D779" s="9" t="s">
        <v>4945</v>
      </c>
      <c r="E779" t="s">
        <v>773</v>
      </c>
      <c r="F779" t="s">
        <v>143</v>
      </c>
      <c r="G779" t="s">
        <v>47</v>
      </c>
      <c r="H779" s="9" t="s">
        <v>59</v>
      </c>
      <c r="I779" s="9" t="s">
        <v>59</v>
      </c>
      <c r="J779" t="s">
        <v>19</v>
      </c>
      <c r="K779" s="9" t="s">
        <v>4946</v>
      </c>
      <c r="L779" s="9" t="s">
        <v>4947</v>
      </c>
      <c r="M779" s="9" t="s">
        <v>4948</v>
      </c>
      <c r="N779" s="9" t="s">
        <v>4949</v>
      </c>
      <c r="O779" s="9" t="s">
        <v>4950</v>
      </c>
      <c r="P779" s="10">
        <v>41</v>
      </c>
    </row>
    <row r="780" spans="1:16" ht="172.8" x14ac:dyDescent="0.3">
      <c r="A780" t="s">
        <v>3528</v>
      </c>
      <c r="B780" t="s">
        <v>4843</v>
      </c>
      <c r="C780" t="s">
        <v>787</v>
      </c>
      <c r="D780" s="9" t="s">
        <v>4951</v>
      </c>
      <c r="E780" t="s">
        <v>1345</v>
      </c>
      <c r="F780" t="s">
        <v>143</v>
      </c>
      <c r="G780" t="s">
        <v>47</v>
      </c>
      <c r="H780" s="9"/>
      <c r="I780" s="9" t="s">
        <v>59</v>
      </c>
      <c r="J780" t="s">
        <v>19</v>
      </c>
      <c r="K780" s="9" t="s">
        <v>4952</v>
      </c>
      <c r="L780" s="9" t="s">
        <v>4953</v>
      </c>
      <c r="M780" s="9" t="s">
        <v>4954</v>
      </c>
      <c r="N780" s="9" t="s">
        <v>4955</v>
      </c>
      <c r="O780" s="9" t="s">
        <v>4956</v>
      </c>
      <c r="P780" s="10">
        <v>41</v>
      </c>
    </row>
    <row r="781" spans="1:16" ht="216" x14ac:dyDescent="0.3">
      <c r="A781" t="s">
        <v>3528</v>
      </c>
      <c r="B781" t="s">
        <v>4843</v>
      </c>
      <c r="C781" t="s">
        <v>604</v>
      </c>
      <c r="D781" s="9" t="s">
        <v>4957</v>
      </c>
      <c r="E781" t="s">
        <v>1353</v>
      </c>
      <c r="F781" t="s">
        <v>143</v>
      </c>
      <c r="G781" t="s">
        <v>47</v>
      </c>
      <c r="H781" s="9"/>
      <c r="I781" s="9" t="s">
        <v>59</v>
      </c>
      <c r="J781" t="s">
        <v>19</v>
      </c>
      <c r="K781" s="9" t="s">
        <v>4958</v>
      </c>
      <c r="L781" s="9" t="s">
        <v>4959</v>
      </c>
      <c r="M781" s="9" t="s">
        <v>4960</v>
      </c>
      <c r="N781" s="9" t="s">
        <v>4961</v>
      </c>
      <c r="O781" s="9" t="s">
        <v>4962</v>
      </c>
      <c r="P781" s="10">
        <v>41</v>
      </c>
    </row>
    <row r="782" spans="1:16" ht="288" x14ac:dyDescent="0.3">
      <c r="A782" t="s">
        <v>3528</v>
      </c>
      <c r="B782" t="s">
        <v>4843</v>
      </c>
      <c r="C782" t="s">
        <v>611</v>
      </c>
      <c r="D782" s="9" t="s">
        <v>4963</v>
      </c>
      <c r="E782" t="s">
        <v>787</v>
      </c>
      <c r="F782" t="s">
        <v>143</v>
      </c>
      <c r="G782" t="s">
        <v>47</v>
      </c>
      <c r="H782" s="9"/>
      <c r="I782" s="9" t="s">
        <v>59</v>
      </c>
      <c r="J782" t="s">
        <v>19</v>
      </c>
      <c r="K782" s="9" t="s">
        <v>4964</v>
      </c>
      <c r="L782" s="9" t="s">
        <v>4965</v>
      </c>
      <c r="M782" s="9" t="s">
        <v>4966</v>
      </c>
      <c r="N782" s="9" t="s">
        <v>4967</v>
      </c>
      <c r="O782" s="9" t="s">
        <v>4968</v>
      </c>
      <c r="P782" s="10">
        <v>41</v>
      </c>
    </row>
    <row r="783" spans="1:16" ht="115.2" x14ac:dyDescent="0.3">
      <c r="A783" t="s">
        <v>3528</v>
      </c>
      <c r="B783" t="s">
        <v>4843</v>
      </c>
      <c r="C783" t="s">
        <v>319</v>
      </c>
      <c r="D783" s="9" t="s">
        <v>4969</v>
      </c>
      <c r="E783" t="s">
        <v>1361</v>
      </c>
      <c r="F783" t="s">
        <v>143</v>
      </c>
      <c r="G783" t="s">
        <v>47</v>
      </c>
      <c r="H783" s="9"/>
      <c r="I783" s="9" t="s">
        <v>59</v>
      </c>
      <c r="J783" t="s">
        <v>19</v>
      </c>
      <c r="K783" s="9" t="s">
        <v>4970</v>
      </c>
      <c r="L783" s="9" t="s">
        <v>4971</v>
      </c>
      <c r="M783" s="9" t="s">
        <v>4972</v>
      </c>
      <c r="N783" s="9" t="s">
        <v>4973</v>
      </c>
      <c r="O783" s="9" t="s">
        <v>4974</v>
      </c>
      <c r="P783" s="10">
        <v>41</v>
      </c>
    </row>
    <row r="784" spans="1:16" ht="115.2" x14ac:dyDescent="0.3">
      <c r="A784" t="s">
        <v>3528</v>
      </c>
      <c r="B784" t="s">
        <v>4843</v>
      </c>
      <c r="C784" t="s">
        <v>809</v>
      </c>
      <c r="D784" s="9" t="s">
        <v>4975</v>
      </c>
      <c r="E784" t="s">
        <v>604</v>
      </c>
      <c r="F784" t="s">
        <v>143</v>
      </c>
      <c r="G784" t="s">
        <v>47</v>
      </c>
      <c r="H784" s="9" t="s">
        <v>59</v>
      </c>
      <c r="I784" s="9" t="s">
        <v>59</v>
      </c>
      <c r="J784" t="s">
        <v>19</v>
      </c>
      <c r="K784" s="9" t="s">
        <v>4976</v>
      </c>
      <c r="L784" s="9" t="s">
        <v>4977</v>
      </c>
      <c r="M784" s="9" t="s">
        <v>4978</v>
      </c>
      <c r="N784" s="9" t="s">
        <v>4979</v>
      </c>
      <c r="O784" s="9" t="s">
        <v>4980</v>
      </c>
      <c r="P784" s="10">
        <v>41</v>
      </c>
    </row>
    <row r="785" spans="1:16" ht="86.4" x14ac:dyDescent="0.3">
      <c r="A785" t="s">
        <v>3528</v>
      </c>
      <c r="B785" t="s">
        <v>4843</v>
      </c>
      <c r="C785" t="s">
        <v>816</v>
      </c>
      <c r="D785" s="9" t="s">
        <v>4981</v>
      </c>
      <c r="E785" t="s">
        <v>1370</v>
      </c>
      <c r="F785" t="s">
        <v>143</v>
      </c>
      <c r="G785" t="s">
        <v>47</v>
      </c>
      <c r="H785" s="9"/>
      <c r="I785" s="9" t="s">
        <v>59</v>
      </c>
      <c r="J785" t="s">
        <v>19</v>
      </c>
      <c r="K785" s="9" t="s">
        <v>4982</v>
      </c>
      <c r="L785" s="9" t="s">
        <v>4983</v>
      </c>
      <c r="M785" s="9" t="s">
        <v>4984</v>
      </c>
      <c r="N785" s="9" t="s">
        <v>4985</v>
      </c>
      <c r="O785" s="9" t="s">
        <v>4986</v>
      </c>
      <c r="P785" s="10">
        <v>41</v>
      </c>
    </row>
    <row r="786" spans="1:16" ht="409.6" x14ac:dyDescent="0.3">
      <c r="A786" t="s">
        <v>3528</v>
      </c>
      <c r="B786" t="s">
        <v>4843</v>
      </c>
      <c r="C786" t="s">
        <v>1175</v>
      </c>
      <c r="D786" s="9" t="s">
        <v>4987</v>
      </c>
      <c r="E786" t="s">
        <v>1378</v>
      </c>
      <c r="F786" t="s">
        <v>143</v>
      </c>
      <c r="G786" t="s">
        <v>47</v>
      </c>
      <c r="H786" s="9"/>
      <c r="I786" s="9" t="s">
        <v>59</v>
      </c>
      <c r="J786" t="s">
        <v>19</v>
      </c>
      <c r="K786" s="9" t="s">
        <v>4988</v>
      </c>
      <c r="L786" s="9" t="s">
        <v>4989</v>
      </c>
      <c r="M786" s="9" t="s">
        <v>4990</v>
      </c>
      <c r="N786" s="9" t="s">
        <v>4991</v>
      </c>
      <c r="O786" s="9" t="s">
        <v>4992</v>
      </c>
      <c r="P786" s="10">
        <v>41</v>
      </c>
    </row>
    <row r="787" spans="1:16" ht="144" x14ac:dyDescent="0.3">
      <c r="A787" t="s">
        <v>3528</v>
      </c>
      <c r="B787" t="s">
        <v>4843</v>
      </c>
      <c r="C787" t="s">
        <v>627</v>
      </c>
      <c r="D787" s="9" t="s">
        <v>4993</v>
      </c>
      <c r="E787" t="s">
        <v>319</v>
      </c>
      <c r="F787" t="s">
        <v>143</v>
      </c>
      <c r="G787" t="s">
        <v>47</v>
      </c>
      <c r="H787" s="9"/>
      <c r="I787" s="9" t="s">
        <v>59</v>
      </c>
      <c r="J787" t="s">
        <v>19</v>
      </c>
      <c r="K787" s="9" t="s">
        <v>4994</v>
      </c>
      <c r="L787" s="9" t="s">
        <v>4995</v>
      </c>
      <c r="M787" s="9" t="s">
        <v>4996</v>
      </c>
      <c r="N787" s="9" t="s">
        <v>4997</v>
      </c>
      <c r="O787" s="9" t="s">
        <v>4998</v>
      </c>
      <c r="P787" s="10">
        <v>41</v>
      </c>
    </row>
    <row r="788" spans="1:16" ht="409.6" x14ac:dyDescent="0.3">
      <c r="A788" t="s">
        <v>3528</v>
      </c>
      <c r="B788" t="s">
        <v>4843</v>
      </c>
      <c r="C788" t="s">
        <v>634</v>
      </c>
      <c r="D788" s="9" t="s">
        <v>4999</v>
      </c>
      <c r="E788" t="s">
        <v>5000</v>
      </c>
      <c r="F788" t="s">
        <v>143</v>
      </c>
      <c r="G788" t="s">
        <v>47</v>
      </c>
      <c r="H788" s="9" t="s">
        <v>5001</v>
      </c>
      <c r="I788" s="9" t="s">
        <v>59</v>
      </c>
      <c r="J788" t="s">
        <v>19</v>
      </c>
      <c r="K788" s="9" t="s">
        <v>5002</v>
      </c>
      <c r="L788" s="9" t="s">
        <v>5003</v>
      </c>
      <c r="M788" s="9" t="s">
        <v>5004</v>
      </c>
      <c r="N788" s="9" t="s">
        <v>5005</v>
      </c>
      <c r="O788" s="9" t="s">
        <v>5006</v>
      </c>
      <c r="P788" s="10">
        <v>41</v>
      </c>
    </row>
    <row r="789" spans="1:16" ht="403.2" x14ac:dyDescent="0.3">
      <c r="A789" t="s">
        <v>3528</v>
      </c>
      <c r="B789" t="s">
        <v>4843</v>
      </c>
      <c r="C789" t="s">
        <v>642</v>
      </c>
      <c r="D789" s="9" t="s">
        <v>5007</v>
      </c>
      <c r="E789" t="s">
        <v>809</v>
      </c>
      <c r="F789" t="s">
        <v>143</v>
      </c>
      <c r="G789" t="s">
        <v>47</v>
      </c>
      <c r="H789" s="9"/>
      <c r="I789" s="9" t="s">
        <v>59</v>
      </c>
      <c r="J789" t="s">
        <v>19</v>
      </c>
      <c r="K789" s="9" t="s">
        <v>5008</v>
      </c>
      <c r="L789" s="9" t="s">
        <v>5009</v>
      </c>
      <c r="M789" s="9" t="s">
        <v>5010</v>
      </c>
      <c r="N789" s="9" t="s">
        <v>5011</v>
      </c>
      <c r="O789" s="9" t="s">
        <v>5012</v>
      </c>
      <c r="P789" s="10">
        <v>41</v>
      </c>
    </row>
    <row r="790" spans="1:16" ht="129.6" x14ac:dyDescent="0.3">
      <c r="A790" t="s">
        <v>3528</v>
      </c>
      <c r="B790" t="s">
        <v>4843</v>
      </c>
      <c r="C790" t="s">
        <v>657</v>
      </c>
      <c r="D790" s="9" t="s">
        <v>5013</v>
      </c>
      <c r="E790" t="s">
        <v>1411</v>
      </c>
      <c r="F790" t="s">
        <v>143</v>
      </c>
      <c r="G790" t="s">
        <v>47</v>
      </c>
      <c r="H790" s="9" t="s">
        <v>5014</v>
      </c>
      <c r="I790" s="9" t="s">
        <v>59</v>
      </c>
      <c r="J790" t="s">
        <v>19</v>
      </c>
      <c r="K790" s="9" t="s">
        <v>5015</v>
      </c>
      <c r="L790" s="9" t="s">
        <v>5016</v>
      </c>
      <c r="M790" s="9" t="s">
        <v>5017</v>
      </c>
      <c r="N790" s="9" t="s">
        <v>5018</v>
      </c>
      <c r="O790" s="9" t="s">
        <v>5019</v>
      </c>
      <c r="P790" s="10">
        <v>41</v>
      </c>
    </row>
    <row r="791" spans="1:16" ht="129.6" x14ac:dyDescent="0.3">
      <c r="A791" t="s">
        <v>3528</v>
      </c>
      <c r="B791" t="s">
        <v>4843</v>
      </c>
      <c r="C791" t="s">
        <v>328</v>
      </c>
      <c r="D791" s="9" t="s">
        <v>5020</v>
      </c>
      <c r="E791" t="s">
        <v>1419</v>
      </c>
      <c r="F791" t="s">
        <v>143</v>
      </c>
      <c r="G791" t="s">
        <v>47</v>
      </c>
      <c r="H791" s="9" t="s">
        <v>5014</v>
      </c>
      <c r="I791" s="9" t="s">
        <v>59</v>
      </c>
      <c r="J791" t="s">
        <v>19</v>
      </c>
      <c r="K791" s="9" t="s">
        <v>5021</v>
      </c>
      <c r="L791" s="9" t="s">
        <v>5022</v>
      </c>
      <c r="M791" s="9" t="s">
        <v>5023</v>
      </c>
      <c r="N791" s="9" t="s">
        <v>5024</v>
      </c>
      <c r="O791" s="9" t="s">
        <v>5025</v>
      </c>
      <c r="P791" s="10">
        <v>41</v>
      </c>
    </row>
    <row r="792" spans="1:16" ht="115.2" x14ac:dyDescent="0.3">
      <c r="A792" t="s">
        <v>3528</v>
      </c>
      <c r="B792" t="s">
        <v>4843</v>
      </c>
      <c r="C792" t="s">
        <v>841</v>
      </c>
      <c r="D792" s="9" t="s">
        <v>5026</v>
      </c>
      <c r="E792" t="s">
        <v>627</v>
      </c>
      <c r="F792" t="s">
        <v>143</v>
      </c>
      <c r="G792" t="s">
        <v>47</v>
      </c>
      <c r="H792" s="9" t="s">
        <v>5014</v>
      </c>
      <c r="I792" s="9" t="s">
        <v>59</v>
      </c>
      <c r="J792" t="s">
        <v>19</v>
      </c>
      <c r="K792" s="9" t="s">
        <v>5027</v>
      </c>
      <c r="L792" s="9" t="s">
        <v>5028</v>
      </c>
      <c r="M792" s="9" t="s">
        <v>5029</v>
      </c>
      <c r="N792" s="9" t="s">
        <v>5030</v>
      </c>
      <c r="O792" s="9" t="s">
        <v>5031</v>
      </c>
      <c r="P792" s="10">
        <v>41</v>
      </c>
    </row>
    <row r="793" spans="1:16" ht="86.4" x14ac:dyDescent="0.3">
      <c r="A793" t="s">
        <v>3528</v>
      </c>
      <c r="B793" t="s">
        <v>4843</v>
      </c>
      <c r="C793" t="s">
        <v>336</v>
      </c>
      <c r="D793" s="9" t="s">
        <v>5032</v>
      </c>
      <c r="E793" t="s">
        <v>627</v>
      </c>
      <c r="F793" t="s">
        <v>143</v>
      </c>
      <c r="G793" t="s">
        <v>47</v>
      </c>
      <c r="H793" s="9" t="s">
        <v>5014</v>
      </c>
      <c r="I793" s="9" t="s">
        <v>59</v>
      </c>
      <c r="J793" t="s">
        <v>19</v>
      </c>
      <c r="K793" s="9" t="s">
        <v>5033</v>
      </c>
      <c r="L793" s="9" t="s">
        <v>5034</v>
      </c>
      <c r="M793" s="9" t="s">
        <v>5035</v>
      </c>
      <c r="N793" s="9" t="s">
        <v>5036</v>
      </c>
      <c r="O793" s="9" t="s">
        <v>5037</v>
      </c>
      <c r="P793" s="10">
        <v>41</v>
      </c>
    </row>
    <row r="794" spans="1:16" ht="100.8" x14ac:dyDescent="0.3">
      <c r="A794" t="s">
        <v>3528</v>
      </c>
      <c r="B794" t="s">
        <v>4843</v>
      </c>
      <c r="C794" t="s">
        <v>2374</v>
      </c>
      <c r="D794" s="9" t="s">
        <v>5038</v>
      </c>
      <c r="E794" t="s">
        <v>1427</v>
      </c>
      <c r="F794" t="s">
        <v>143</v>
      </c>
      <c r="G794" t="s">
        <v>47</v>
      </c>
      <c r="H794" s="9" t="s">
        <v>5014</v>
      </c>
      <c r="I794" s="9" t="s">
        <v>59</v>
      </c>
      <c r="J794" t="s">
        <v>19</v>
      </c>
      <c r="K794" s="9" t="s">
        <v>5039</v>
      </c>
      <c r="L794" s="9" t="s">
        <v>5040</v>
      </c>
      <c r="M794" s="9" t="s">
        <v>5041</v>
      </c>
      <c r="N794" s="9" t="s">
        <v>5042</v>
      </c>
      <c r="O794" s="9" t="s">
        <v>5043</v>
      </c>
      <c r="P794" s="10">
        <v>41</v>
      </c>
    </row>
    <row r="795" spans="1:16" ht="115.2" x14ac:dyDescent="0.3">
      <c r="A795" t="s">
        <v>3528</v>
      </c>
      <c r="B795" t="s">
        <v>4843</v>
      </c>
      <c r="C795" t="s">
        <v>853</v>
      </c>
      <c r="D795" s="9" t="s">
        <v>5044</v>
      </c>
      <c r="E795" t="s">
        <v>1435</v>
      </c>
      <c r="F795" t="s">
        <v>143</v>
      </c>
      <c r="G795" t="s">
        <v>47</v>
      </c>
      <c r="H795" s="9" t="s">
        <v>5014</v>
      </c>
      <c r="I795" s="9" t="s">
        <v>59</v>
      </c>
      <c r="J795" t="s">
        <v>19</v>
      </c>
      <c r="K795" s="9" t="s">
        <v>5045</v>
      </c>
      <c r="L795" s="9" t="s">
        <v>5046</v>
      </c>
      <c r="M795" s="9" t="s">
        <v>5047</v>
      </c>
      <c r="N795" s="9" t="s">
        <v>5048</v>
      </c>
      <c r="O795" s="9" t="s">
        <v>5049</v>
      </c>
      <c r="P795" s="10">
        <v>41</v>
      </c>
    </row>
    <row r="796" spans="1:16" ht="129.6" x14ac:dyDescent="0.3">
      <c r="A796" t="s">
        <v>3528</v>
      </c>
      <c r="B796" t="s">
        <v>4843</v>
      </c>
      <c r="C796" t="s">
        <v>860</v>
      </c>
      <c r="D796" s="9" t="s">
        <v>5050</v>
      </c>
      <c r="E796" t="s">
        <v>642</v>
      </c>
      <c r="F796" t="s">
        <v>143</v>
      </c>
      <c r="G796" t="s">
        <v>47</v>
      </c>
      <c r="H796" s="9" t="s">
        <v>5051</v>
      </c>
      <c r="I796" s="9" t="s">
        <v>59</v>
      </c>
      <c r="J796" t="s">
        <v>4672</v>
      </c>
      <c r="K796" s="9" t="s">
        <v>5052</v>
      </c>
      <c r="L796" s="9" t="s">
        <v>5053</v>
      </c>
      <c r="M796" s="9" t="s">
        <v>5054</v>
      </c>
      <c r="N796" s="9" t="s">
        <v>5055</v>
      </c>
      <c r="O796" s="9" t="s">
        <v>5056</v>
      </c>
      <c r="P796" s="10">
        <v>41</v>
      </c>
    </row>
    <row r="797" spans="1:16" ht="100.8" x14ac:dyDescent="0.3">
      <c r="A797" t="s">
        <v>3528</v>
      </c>
      <c r="B797" t="s">
        <v>4843</v>
      </c>
      <c r="C797" t="s">
        <v>345</v>
      </c>
      <c r="D797" s="9" t="s">
        <v>5057</v>
      </c>
      <c r="E797" t="s">
        <v>642</v>
      </c>
      <c r="F797" t="s">
        <v>143</v>
      </c>
      <c r="G797" t="s">
        <v>47</v>
      </c>
      <c r="H797" s="9" t="s">
        <v>5051</v>
      </c>
      <c r="I797" s="9" t="s">
        <v>59</v>
      </c>
      <c r="J797" t="s">
        <v>4672</v>
      </c>
      <c r="K797" s="9" t="s">
        <v>5058</v>
      </c>
      <c r="L797" s="9" t="s">
        <v>5059</v>
      </c>
      <c r="M797" s="9" t="s">
        <v>5060</v>
      </c>
      <c r="N797" s="9" t="s">
        <v>5061</v>
      </c>
      <c r="O797" s="9" t="s">
        <v>5062</v>
      </c>
      <c r="P797" s="10">
        <v>41</v>
      </c>
    </row>
    <row r="798" spans="1:16" ht="144" x14ac:dyDescent="0.3">
      <c r="A798" t="s">
        <v>3528</v>
      </c>
      <c r="B798" t="s">
        <v>4843</v>
      </c>
      <c r="C798" t="s">
        <v>352</v>
      </c>
      <c r="D798" s="9" t="s">
        <v>5063</v>
      </c>
      <c r="E798" t="s">
        <v>642</v>
      </c>
      <c r="F798" t="s">
        <v>143</v>
      </c>
      <c r="G798" t="s">
        <v>47</v>
      </c>
      <c r="H798" s="9" t="s">
        <v>5064</v>
      </c>
      <c r="I798" s="9" t="s">
        <v>59</v>
      </c>
      <c r="J798" t="s">
        <v>4672</v>
      </c>
      <c r="K798" s="9" t="s">
        <v>5065</v>
      </c>
      <c r="L798" s="9" t="s">
        <v>5066</v>
      </c>
      <c r="M798" s="9" t="s">
        <v>5067</v>
      </c>
      <c r="N798" s="9" t="s">
        <v>5068</v>
      </c>
      <c r="O798" s="9" t="s">
        <v>5069</v>
      </c>
      <c r="P798" s="10">
        <v>41</v>
      </c>
    </row>
    <row r="799" spans="1:16" ht="144" x14ac:dyDescent="0.3">
      <c r="A799" t="s">
        <v>3528</v>
      </c>
      <c r="B799" t="s">
        <v>4843</v>
      </c>
      <c r="C799" t="s">
        <v>875</v>
      </c>
      <c r="D799" s="9" t="s">
        <v>5070</v>
      </c>
      <c r="E799" t="s">
        <v>1443</v>
      </c>
      <c r="F799" t="s">
        <v>143</v>
      </c>
      <c r="G799" t="s">
        <v>47</v>
      </c>
      <c r="H799" s="9" t="s">
        <v>4647</v>
      </c>
      <c r="I799" s="9" t="s">
        <v>59</v>
      </c>
      <c r="J799" t="s">
        <v>4672</v>
      </c>
      <c r="K799" s="9" t="s">
        <v>5071</v>
      </c>
      <c r="L799" s="9" t="s">
        <v>5072</v>
      </c>
      <c r="M799" s="9" t="s">
        <v>5073</v>
      </c>
      <c r="N799" s="9" t="s">
        <v>5074</v>
      </c>
      <c r="O799" s="9" t="s">
        <v>5075</v>
      </c>
      <c r="P799" s="10">
        <v>41</v>
      </c>
    </row>
    <row r="800" spans="1:16" ht="129.6" x14ac:dyDescent="0.3">
      <c r="A800" t="s">
        <v>3528</v>
      </c>
      <c r="B800" t="s">
        <v>4843</v>
      </c>
      <c r="C800" t="s">
        <v>2413</v>
      </c>
      <c r="D800" s="9" t="s">
        <v>5076</v>
      </c>
      <c r="E800" t="s">
        <v>649</v>
      </c>
      <c r="F800" t="s">
        <v>143</v>
      </c>
      <c r="G800" t="s">
        <v>47</v>
      </c>
      <c r="H800" s="9" t="s">
        <v>5077</v>
      </c>
      <c r="I800" s="9" t="s">
        <v>59</v>
      </c>
      <c r="J800" t="s">
        <v>4672</v>
      </c>
      <c r="K800" s="9" t="s">
        <v>5078</v>
      </c>
      <c r="L800" s="9" t="s">
        <v>5079</v>
      </c>
      <c r="M800" s="9" t="s">
        <v>5080</v>
      </c>
      <c r="N800" s="9" t="s">
        <v>5081</v>
      </c>
      <c r="O800" s="9" t="s">
        <v>5082</v>
      </c>
      <c r="P800" s="10">
        <v>41</v>
      </c>
    </row>
    <row r="801" spans="1:16" ht="158.4" x14ac:dyDescent="0.3">
      <c r="A801" t="s">
        <v>3528</v>
      </c>
      <c r="B801" t="s">
        <v>4843</v>
      </c>
      <c r="C801" t="s">
        <v>883</v>
      </c>
      <c r="D801" s="9" t="s">
        <v>5083</v>
      </c>
      <c r="E801" t="s">
        <v>1449</v>
      </c>
      <c r="F801" t="s">
        <v>143</v>
      </c>
      <c r="G801" t="s">
        <v>47</v>
      </c>
      <c r="H801" s="9" t="s">
        <v>5064</v>
      </c>
      <c r="I801" s="9" t="s">
        <v>59</v>
      </c>
      <c r="J801" t="s">
        <v>4672</v>
      </c>
      <c r="K801" s="9" t="s">
        <v>5084</v>
      </c>
      <c r="L801" s="9" t="s">
        <v>5085</v>
      </c>
      <c r="M801" s="9" t="s">
        <v>5086</v>
      </c>
      <c r="N801" s="9" t="s">
        <v>5087</v>
      </c>
      <c r="O801" s="9" t="s">
        <v>5088</v>
      </c>
      <c r="P801" s="10">
        <v>41</v>
      </c>
    </row>
    <row r="802" spans="1:16" ht="144" x14ac:dyDescent="0.3">
      <c r="A802" t="s">
        <v>3528</v>
      </c>
      <c r="B802" t="s">
        <v>4843</v>
      </c>
      <c r="C802" t="s">
        <v>890</v>
      </c>
      <c r="D802" s="9" t="s">
        <v>5089</v>
      </c>
      <c r="E802" t="s">
        <v>657</v>
      </c>
      <c r="F802" t="s">
        <v>143</v>
      </c>
      <c r="G802" t="s">
        <v>47</v>
      </c>
      <c r="H802" s="9" t="s">
        <v>5090</v>
      </c>
      <c r="I802" s="9" t="s">
        <v>59</v>
      </c>
      <c r="J802" t="s">
        <v>3898</v>
      </c>
      <c r="K802" s="9" t="s">
        <v>5091</v>
      </c>
      <c r="L802" s="9" t="s">
        <v>5092</v>
      </c>
      <c r="M802" s="9" t="s">
        <v>5093</v>
      </c>
      <c r="N802" s="9" t="s">
        <v>5094</v>
      </c>
      <c r="O802" s="9" t="s">
        <v>5095</v>
      </c>
      <c r="P802" s="10">
        <v>41</v>
      </c>
    </row>
    <row r="803" spans="1:16" ht="86.4" x14ac:dyDescent="0.3">
      <c r="A803" t="s">
        <v>3528</v>
      </c>
      <c r="B803" t="s">
        <v>4843</v>
      </c>
      <c r="C803" t="s">
        <v>677</v>
      </c>
      <c r="D803" s="9" t="s">
        <v>5096</v>
      </c>
      <c r="E803" t="s">
        <v>1456</v>
      </c>
      <c r="F803" t="s">
        <v>143</v>
      </c>
      <c r="G803" t="s">
        <v>47</v>
      </c>
      <c r="H803" s="9" t="s">
        <v>5064</v>
      </c>
      <c r="I803" s="9" t="s">
        <v>59</v>
      </c>
      <c r="J803" t="s">
        <v>3898</v>
      </c>
      <c r="K803" s="9" t="s">
        <v>5097</v>
      </c>
      <c r="L803" s="9" t="s">
        <v>5098</v>
      </c>
      <c r="M803" s="9" t="s">
        <v>5099</v>
      </c>
      <c r="N803" s="9" t="s">
        <v>5100</v>
      </c>
      <c r="O803" s="9" t="s">
        <v>5101</v>
      </c>
      <c r="P803" s="10">
        <v>41</v>
      </c>
    </row>
    <row r="804" spans="1:16" ht="216" x14ac:dyDescent="0.3">
      <c r="A804" t="s">
        <v>3528</v>
      </c>
      <c r="B804" t="s">
        <v>4843</v>
      </c>
      <c r="C804" t="s">
        <v>905</v>
      </c>
      <c r="D804" s="9" t="s">
        <v>5102</v>
      </c>
      <c r="E804" t="s">
        <v>328</v>
      </c>
      <c r="F804" t="s">
        <v>143</v>
      </c>
      <c r="G804" t="s">
        <v>47</v>
      </c>
      <c r="H804" s="9" t="s">
        <v>5064</v>
      </c>
      <c r="I804" s="9" t="s">
        <v>59</v>
      </c>
      <c r="J804" t="s">
        <v>3898</v>
      </c>
      <c r="K804" s="9" t="s">
        <v>5103</v>
      </c>
      <c r="L804" s="9" t="s">
        <v>5104</v>
      </c>
      <c r="M804" s="9" t="s">
        <v>5105</v>
      </c>
      <c r="N804" s="9" t="s">
        <v>5106</v>
      </c>
      <c r="O804" s="9" t="s">
        <v>5107</v>
      </c>
      <c r="P804" s="10">
        <v>41</v>
      </c>
    </row>
    <row r="805" spans="1:16" ht="144" x14ac:dyDescent="0.3">
      <c r="A805" t="s">
        <v>3528</v>
      </c>
      <c r="B805" t="s">
        <v>4843</v>
      </c>
      <c r="C805" t="s">
        <v>912</v>
      </c>
      <c r="D805" s="9" t="s">
        <v>5108</v>
      </c>
      <c r="E805" t="s">
        <v>43</v>
      </c>
      <c r="F805" t="s">
        <v>143</v>
      </c>
      <c r="G805" t="s">
        <v>47</v>
      </c>
      <c r="H805" s="9"/>
      <c r="I805" s="9" t="s">
        <v>59</v>
      </c>
      <c r="J805" t="s">
        <v>19</v>
      </c>
      <c r="K805" s="9" t="s">
        <v>5109</v>
      </c>
      <c r="L805" s="9"/>
      <c r="M805" s="9" t="s">
        <v>5110</v>
      </c>
      <c r="N805" s="9" t="s">
        <v>5111</v>
      </c>
      <c r="O805" s="9" t="s">
        <v>5112</v>
      </c>
      <c r="P805" s="10">
        <v>41</v>
      </c>
    </row>
    <row r="806" spans="1:16" ht="100.8" x14ac:dyDescent="0.3">
      <c r="A806" t="s">
        <v>3528</v>
      </c>
      <c r="B806" t="s">
        <v>4843</v>
      </c>
      <c r="C806" t="s">
        <v>685</v>
      </c>
      <c r="D806" s="9" t="s">
        <v>5113</v>
      </c>
      <c r="E806" t="s">
        <v>1470</v>
      </c>
      <c r="F806" t="s">
        <v>143</v>
      </c>
      <c r="G806" t="s">
        <v>47</v>
      </c>
      <c r="H806" s="9"/>
      <c r="I806" s="9" t="s">
        <v>59</v>
      </c>
      <c r="J806" t="s">
        <v>19</v>
      </c>
      <c r="K806" s="9" t="s">
        <v>5114</v>
      </c>
      <c r="L806" s="9"/>
      <c r="M806" s="9" t="s">
        <v>5115</v>
      </c>
      <c r="N806" s="9" t="s">
        <v>5116</v>
      </c>
      <c r="O806" s="9" t="s">
        <v>5117</v>
      </c>
      <c r="P806" s="10">
        <v>41</v>
      </c>
    </row>
    <row r="807" spans="1:16" ht="72" x14ac:dyDescent="0.3">
      <c r="A807" t="s">
        <v>3528</v>
      </c>
      <c r="B807" t="s">
        <v>4843</v>
      </c>
      <c r="C807" t="s">
        <v>692</v>
      </c>
      <c r="D807" s="9" t="s">
        <v>5118</v>
      </c>
      <c r="E807" t="s">
        <v>1476</v>
      </c>
      <c r="F807" t="s">
        <v>143</v>
      </c>
      <c r="G807" t="s">
        <v>47</v>
      </c>
      <c r="H807" s="9"/>
      <c r="I807" s="9"/>
      <c r="J807" t="s">
        <v>19</v>
      </c>
      <c r="K807" s="9" t="s">
        <v>5119</v>
      </c>
      <c r="L807" s="9"/>
      <c r="M807" s="9" t="s">
        <v>5120</v>
      </c>
      <c r="N807" s="9" t="s">
        <v>5121</v>
      </c>
      <c r="O807" s="9" t="s">
        <v>5122</v>
      </c>
      <c r="P807" s="10">
        <v>41</v>
      </c>
    </row>
    <row r="808" spans="1:16" ht="115.2" x14ac:dyDescent="0.3">
      <c r="A808" t="s">
        <v>3528</v>
      </c>
      <c r="B808" t="s">
        <v>4843</v>
      </c>
      <c r="C808" t="s">
        <v>925</v>
      </c>
      <c r="D808" s="9" t="s">
        <v>5123</v>
      </c>
      <c r="E808" t="s">
        <v>2374</v>
      </c>
      <c r="F808" t="s">
        <v>116</v>
      </c>
      <c r="G808" t="s">
        <v>47</v>
      </c>
      <c r="H808" s="9" t="s">
        <v>5124</v>
      </c>
      <c r="I808" s="9" t="s">
        <v>106</v>
      </c>
      <c r="J808" t="s">
        <v>19</v>
      </c>
      <c r="K808" s="9" t="s">
        <v>5125</v>
      </c>
      <c r="L808" s="9"/>
      <c r="M808" s="9" t="s">
        <v>5126</v>
      </c>
      <c r="N808" s="9"/>
      <c r="O808" s="9" t="s">
        <v>5127</v>
      </c>
      <c r="P808" s="10">
        <v>41</v>
      </c>
    </row>
    <row r="809" spans="1:16" ht="100.8" x14ac:dyDescent="0.3">
      <c r="A809" t="s">
        <v>3528</v>
      </c>
      <c r="B809" t="s">
        <v>4843</v>
      </c>
      <c r="C809" t="s">
        <v>3821</v>
      </c>
      <c r="D809" s="9" t="s">
        <v>5128</v>
      </c>
      <c r="E809" t="s">
        <v>1483</v>
      </c>
      <c r="F809" t="s">
        <v>116</v>
      </c>
      <c r="G809" t="s">
        <v>47</v>
      </c>
      <c r="H809" s="9" t="s">
        <v>5124</v>
      </c>
      <c r="I809" s="9" t="s">
        <v>106</v>
      </c>
      <c r="K809" s="9" t="s">
        <v>5129</v>
      </c>
      <c r="L809" s="9"/>
      <c r="M809" s="9" t="s">
        <v>5130</v>
      </c>
      <c r="N809" s="9"/>
      <c r="O809" s="9" t="s">
        <v>5131</v>
      </c>
      <c r="P809" s="10">
        <v>41</v>
      </c>
    </row>
    <row r="810" spans="1:16" ht="201.6" x14ac:dyDescent="0.3">
      <c r="A810" t="s">
        <v>3528</v>
      </c>
      <c r="B810" t="s">
        <v>4843</v>
      </c>
      <c r="C810" t="s">
        <v>2121</v>
      </c>
      <c r="D810" s="9" t="s">
        <v>5132</v>
      </c>
      <c r="E810" t="s">
        <v>853</v>
      </c>
      <c r="F810" t="s">
        <v>143</v>
      </c>
      <c r="G810" t="s">
        <v>47</v>
      </c>
      <c r="H810" s="9" t="s">
        <v>5124</v>
      </c>
      <c r="I810" s="9" t="s">
        <v>59</v>
      </c>
      <c r="J810" t="s">
        <v>19</v>
      </c>
      <c r="K810" s="9" t="s">
        <v>5133</v>
      </c>
      <c r="L810" s="9"/>
      <c r="M810" s="9" t="s">
        <v>5134</v>
      </c>
      <c r="N810" s="9" t="s">
        <v>5135</v>
      </c>
      <c r="O810" s="9" t="s">
        <v>5136</v>
      </c>
      <c r="P810" s="10">
        <v>41</v>
      </c>
    </row>
    <row r="811" spans="1:16" ht="172.8" x14ac:dyDescent="0.3">
      <c r="A811" t="s">
        <v>3528</v>
      </c>
      <c r="B811" t="s">
        <v>4843</v>
      </c>
      <c r="C811" t="s">
        <v>4307</v>
      </c>
      <c r="D811" s="9" t="s">
        <v>5137</v>
      </c>
      <c r="E811" t="s">
        <v>860</v>
      </c>
      <c r="F811" t="s">
        <v>143</v>
      </c>
      <c r="G811" t="s">
        <v>47</v>
      </c>
      <c r="H811" s="9" t="s">
        <v>5138</v>
      </c>
      <c r="I811" s="9" t="s">
        <v>59</v>
      </c>
      <c r="J811" t="s">
        <v>19</v>
      </c>
      <c r="K811" s="9" t="s">
        <v>5139</v>
      </c>
      <c r="L811" s="9"/>
      <c r="M811" s="9" t="s">
        <v>5140</v>
      </c>
      <c r="N811" s="9" t="s">
        <v>5141</v>
      </c>
      <c r="O811" s="9" t="s">
        <v>5142</v>
      </c>
      <c r="P811" s="10">
        <v>41</v>
      </c>
    </row>
    <row r="812" spans="1:16" ht="409.6" x14ac:dyDescent="0.3">
      <c r="A812" t="s">
        <v>3528</v>
      </c>
      <c r="B812" t="s">
        <v>4843</v>
      </c>
      <c r="C812" t="s">
        <v>700</v>
      </c>
      <c r="D812" s="9" t="s">
        <v>5143</v>
      </c>
      <c r="E812" t="s">
        <v>1899</v>
      </c>
      <c r="F812" t="s">
        <v>143</v>
      </c>
      <c r="G812" t="s">
        <v>47</v>
      </c>
      <c r="H812" s="9" t="s">
        <v>5124</v>
      </c>
      <c r="I812" s="9" t="s">
        <v>59</v>
      </c>
      <c r="J812" t="s">
        <v>19</v>
      </c>
      <c r="K812" s="9" t="s">
        <v>5144</v>
      </c>
      <c r="L812" s="9"/>
      <c r="M812" s="9" t="s">
        <v>5145</v>
      </c>
      <c r="N812" s="9" t="s">
        <v>5146</v>
      </c>
      <c r="O812" s="9" t="s">
        <v>5147</v>
      </c>
      <c r="P812" s="10">
        <v>41</v>
      </c>
    </row>
    <row r="813" spans="1:16" ht="172.8" x14ac:dyDescent="0.3">
      <c r="A813" t="s">
        <v>3528</v>
      </c>
      <c r="B813" t="s">
        <v>4843</v>
      </c>
      <c r="C813" t="s">
        <v>954</v>
      </c>
      <c r="D813" s="9" t="s">
        <v>5148</v>
      </c>
      <c r="E813" t="s">
        <v>5149</v>
      </c>
      <c r="F813" t="s">
        <v>143</v>
      </c>
      <c r="G813" t="s">
        <v>47</v>
      </c>
      <c r="H813" s="9" t="s">
        <v>5124</v>
      </c>
      <c r="I813" s="9" t="s">
        <v>59</v>
      </c>
      <c r="J813" t="s">
        <v>19</v>
      </c>
      <c r="K813" s="9" t="s">
        <v>5150</v>
      </c>
      <c r="L813" s="9"/>
      <c r="M813" s="9" t="s">
        <v>5151</v>
      </c>
      <c r="N813" s="9" t="s">
        <v>5152</v>
      </c>
      <c r="O813" s="9" t="s">
        <v>5153</v>
      </c>
      <c r="P813" s="10">
        <v>41</v>
      </c>
    </row>
    <row r="814" spans="1:16" ht="100.8" x14ac:dyDescent="0.3">
      <c r="A814" t="s">
        <v>3528</v>
      </c>
      <c r="B814" t="s">
        <v>4843</v>
      </c>
      <c r="C814" t="s">
        <v>3782</v>
      </c>
      <c r="D814" s="9" t="s">
        <v>5154</v>
      </c>
      <c r="E814" t="s">
        <v>867</v>
      </c>
      <c r="F814" t="s">
        <v>143</v>
      </c>
      <c r="G814" t="s">
        <v>47</v>
      </c>
      <c r="H814" s="9"/>
      <c r="I814" s="9" t="s">
        <v>59</v>
      </c>
      <c r="J814" t="s">
        <v>19</v>
      </c>
      <c r="K814" s="9" t="s">
        <v>5155</v>
      </c>
      <c r="L814" s="9" t="s">
        <v>5156</v>
      </c>
      <c r="M814" s="9" t="s">
        <v>5157</v>
      </c>
      <c r="N814" s="9" t="s">
        <v>5158</v>
      </c>
      <c r="O814" s="9" t="s">
        <v>5159</v>
      </c>
      <c r="P814" s="10">
        <v>41</v>
      </c>
    </row>
    <row r="815" spans="1:16" ht="100.8" x14ac:dyDescent="0.3">
      <c r="A815" t="s">
        <v>3528</v>
      </c>
      <c r="B815" t="s">
        <v>4843</v>
      </c>
      <c r="C815" t="s">
        <v>3802</v>
      </c>
      <c r="D815" s="9" t="s">
        <v>5160</v>
      </c>
      <c r="E815" t="s">
        <v>3280</v>
      </c>
      <c r="F815" t="s">
        <v>143</v>
      </c>
      <c r="G815" t="s">
        <v>47</v>
      </c>
      <c r="H815" s="9"/>
      <c r="I815" s="9" t="s">
        <v>59</v>
      </c>
      <c r="J815" t="s">
        <v>19</v>
      </c>
      <c r="K815" s="9" t="s">
        <v>5161</v>
      </c>
      <c r="L815" s="9" t="s">
        <v>5162</v>
      </c>
      <c r="M815" s="9" t="s">
        <v>5163</v>
      </c>
      <c r="N815" s="9" t="s">
        <v>5164</v>
      </c>
      <c r="O815" s="9" t="s">
        <v>5165</v>
      </c>
      <c r="P815" s="10">
        <v>41</v>
      </c>
    </row>
    <row r="816" spans="1:16" ht="72" x14ac:dyDescent="0.3">
      <c r="A816" t="s">
        <v>3528</v>
      </c>
      <c r="B816" t="s">
        <v>4843</v>
      </c>
      <c r="C816" t="s">
        <v>2115</v>
      </c>
      <c r="D816" s="9" t="s">
        <v>5166</v>
      </c>
      <c r="E816" t="s">
        <v>352</v>
      </c>
      <c r="F816" t="s">
        <v>143</v>
      </c>
      <c r="G816" t="s">
        <v>47</v>
      </c>
      <c r="H816" s="9"/>
      <c r="I816" s="9" t="s">
        <v>59</v>
      </c>
      <c r="J816" t="s">
        <v>19</v>
      </c>
      <c r="K816" s="9" t="s">
        <v>5167</v>
      </c>
      <c r="L816" s="9" t="s">
        <v>5168</v>
      </c>
      <c r="M816" s="9" t="s">
        <v>5169</v>
      </c>
      <c r="N816" s="9"/>
      <c r="O816" s="9" t="s">
        <v>5170</v>
      </c>
      <c r="P816" s="10">
        <v>41</v>
      </c>
    </row>
    <row r="817" spans="1:16" ht="115.2" x14ac:dyDescent="0.3">
      <c r="A817" t="s">
        <v>3528</v>
      </c>
      <c r="B817" t="s">
        <v>4843</v>
      </c>
      <c r="C817" t="s">
        <v>5171</v>
      </c>
      <c r="D817" s="9" t="s">
        <v>5172</v>
      </c>
      <c r="E817" t="s">
        <v>352</v>
      </c>
      <c r="F817" t="s">
        <v>143</v>
      </c>
      <c r="G817" t="s">
        <v>47</v>
      </c>
      <c r="H817" s="9"/>
      <c r="I817" s="9" t="s">
        <v>59</v>
      </c>
      <c r="J817" t="s">
        <v>19</v>
      </c>
      <c r="K817" s="9" t="s">
        <v>5173</v>
      </c>
      <c r="L817" s="9" t="s">
        <v>5174</v>
      </c>
      <c r="M817" s="9" t="s">
        <v>5175</v>
      </c>
      <c r="N817" s="9"/>
      <c r="O817" s="9" t="s">
        <v>5176</v>
      </c>
      <c r="P817" s="10">
        <v>41</v>
      </c>
    </row>
    <row r="818" spans="1:16" ht="129.6" x14ac:dyDescent="0.3">
      <c r="A818" t="s">
        <v>3528</v>
      </c>
      <c r="B818" t="s">
        <v>4843</v>
      </c>
      <c r="C818" t="s">
        <v>5177</v>
      </c>
      <c r="D818" s="9" t="s">
        <v>5178</v>
      </c>
      <c r="E818" t="s">
        <v>3287</v>
      </c>
      <c r="F818" t="s">
        <v>143</v>
      </c>
      <c r="G818" t="s">
        <v>47</v>
      </c>
      <c r="H818" s="9"/>
      <c r="I818" s="9" t="s">
        <v>59</v>
      </c>
      <c r="J818" t="s">
        <v>19</v>
      </c>
      <c r="K818" s="9" t="s">
        <v>5179</v>
      </c>
      <c r="L818" s="9" t="s">
        <v>5180</v>
      </c>
      <c r="M818" s="9" t="s">
        <v>5181</v>
      </c>
      <c r="N818" s="9" t="s">
        <v>5182</v>
      </c>
      <c r="O818" s="9" t="s">
        <v>5183</v>
      </c>
      <c r="P818" s="10">
        <v>41</v>
      </c>
    </row>
    <row r="819" spans="1:16" ht="72" x14ac:dyDescent="0.3">
      <c r="A819" t="s">
        <v>3528</v>
      </c>
      <c r="B819" t="s">
        <v>4843</v>
      </c>
      <c r="C819" t="s">
        <v>5184</v>
      </c>
      <c r="D819" s="9" t="s">
        <v>5185</v>
      </c>
      <c r="E819" t="s">
        <v>875</v>
      </c>
      <c r="F819" t="s">
        <v>143</v>
      </c>
      <c r="G819" t="s">
        <v>47</v>
      </c>
      <c r="H819" s="9"/>
      <c r="I819" s="9" t="s">
        <v>59</v>
      </c>
      <c r="J819" t="s">
        <v>5186</v>
      </c>
      <c r="K819" s="9" t="s">
        <v>5187</v>
      </c>
      <c r="L819" s="9" t="s">
        <v>5188</v>
      </c>
      <c r="M819" s="9" t="s">
        <v>5189</v>
      </c>
      <c r="N819" s="9" t="s">
        <v>5190</v>
      </c>
      <c r="O819" s="9" t="s">
        <v>5191</v>
      </c>
      <c r="P819" s="10">
        <v>41</v>
      </c>
    </row>
    <row r="820" spans="1:16" ht="144" x14ac:dyDescent="0.3">
      <c r="A820" t="s">
        <v>3528</v>
      </c>
      <c r="B820" t="s">
        <v>4843</v>
      </c>
      <c r="C820" t="s">
        <v>5192</v>
      </c>
      <c r="D820" s="9" t="s">
        <v>5193</v>
      </c>
      <c r="E820" t="s">
        <v>875</v>
      </c>
      <c r="F820" t="s">
        <v>143</v>
      </c>
      <c r="G820" t="s">
        <v>47</v>
      </c>
      <c r="H820" s="9" t="s">
        <v>5194</v>
      </c>
      <c r="I820" s="9" t="s">
        <v>59</v>
      </c>
      <c r="J820" t="s">
        <v>5195</v>
      </c>
      <c r="K820" s="9" t="s">
        <v>5196</v>
      </c>
      <c r="L820" s="9" t="s">
        <v>5197</v>
      </c>
      <c r="M820" s="9" t="s">
        <v>5198</v>
      </c>
      <c r="N820" s="9" t="s">
        <v>5199</v>
      </c>
      <c r="O820" s="9" t="s">
        <v>5200</v>
      </c>
      <c r="P820" s="10">
        <v>41</v>
      </c>
    </row>
    <row r="821" spans="1:16" ht="144" x14ac:dyDescent="0.3">
      <c r="A821" t="s">
        <v>3528</v>
      </c>
      <c r="B821" t="s">
        <v>4843</v>
      </c>
      <c r="C821" t="s">
        <v>5201</v>
      </c>
      <c r="D821" s="9" t="s">
        <v>5202</v>
      </c>
      <c r="E821" t="s">
        <v>2073</v>
      </c>
      <c r="F821" t="s">
        <v>143</v>
      </c>
      <c r="G821" t="s">
        <v>47</v>
      </c>
      <c r="H821" s="9" t="s">
        <v>5194</v>
      </c>
      <c r="I821" s="9" t="s">
        <v>59</v>
      </c>
      <c r="J821" t="s">
        <v>5203</v>
      </c>
      <c r="K821" s="9" t="s">
        <v>5204</v>
      </c>
      <c r="L821" s="9" t="s">
        <v>5205</v>
      </c>
      <c r="M821" s="9" t="s">
        <v>5206</v>
      </c>
      <c r="N821" s="9" t="s">
        <v>5207</v>
      </c>
      <c r="O821" s="9" t="s">
        <v>5208</v>
      </c>
      <c r="P821" s="10">
        <v>41</v>
      </c>
    </row>
    <row r="822" spans="1:16" ht="172.8" x14ac:dyDescent="0.3">
      <c r="A822" t="s">
        <v>3528</v>
      </c>
      <c r="B822" t="s">
        <v>4843</v>
      </c>
      <c r="C822" t="s">
        <v>5209</v>
      </c>
      <c r="D822" s="9" t="s">
        <v>5210</v>
      </c>
      <c r="E822" t="s">
        <v>5211</v>
      </c>
      <c r="F822" t="s">
        <v>143</v>
      </c>
      <c r="G822" t="s">
        <v>47</v>
      </c>
      <c r="H822" s="9" t="s">
        <v>5194</v>
      </c>
      <c r="I822" s="9" t="s">
        <v>59</v>
      </c>
      <c r="J822" t="s">
        <v>3898</v>
      </c>
      <c r="K822" s="9" t="s">
        <v>5212</v>
      </c>
      <c r="L822" s="9" t="s">
        <v>5213</v>
      </c>
      <c r="M822" s="9" t="s">
        <v>5214</v>
      </c>
      <c r="N822" s="9" t="s">
        <v>5215</v>
      </c>
      <c r="O822" s="9" t="s">
        <v>5216</v>
      </c>
      <c r="P822" s="10">
        <v>41</v>
      </c>
    </row>
    <row r="823" spans="1:16" ht="158.4" x14ac:dyDescent="0.3">
      <c r="A823" t="s">
        <v>3528</v>
      </c>
      <c r="B823" t="s">
        <v>4843</v>
      </c>
      <c r="C823" t="s">
        <v>5217</v>
      </c>
      <c r="D823" s="9" t="s">
        <v>5218</v>
      </c>
      <c r="E823" t="s">
        <v>883</v>
      </c>
      <c r="F823" t="s">
        <v>143</v>
      </c>
      <c r="G823" t="s">
        <v>47</v>
      </c>
      <c r="H823" s="9" t="s">
        <v>5194</v>
      </c>
      <c r="I823" s="9" t="s">
        <v>59</v>
      </c>
      <c r="K823" s="9" t="s">
        <v>5219</v>
      </c>
      <c r="L823" s="9" t="s">
        <v>5220</v>
      </c>
      <c r="M823" s="9" t="s">
        <v>5221</v>
      </c>
      <c r="N823" s="9"/>
      <c r="O823" s="9" t="s">
        <v>5222</v>
      </c>
      <c r="P823" s="10">
        <v>41</v>
      </c>
    </row>
    <row r="824" spans="1:16" ht="144" x14ac:dyDescent="0.3">
      <c r="A824" t="s">
        <v>3528</v>
      </c>
      <c r="B824" t="s">
        <v>4843</v>
      </c>
      <c r="C824" t="s">
        <v>5223</v>
      </c>
      <c r="D824" s="9" t="s">
        <v>5224</v>
      </c>
      <c r="E824" t="s">
        <v>883</v>
      </c>
      <c r="F824" t="s">
        <v>143</v>
      </c>
      <c r="G824" t="s">
        <v>47</v>
      </c>
      <c r="H824" s="9" t="s">
        <v>5194</v>
      </c>
      <c r="I824" s="9" t="s">
        <v>59</v>
      </c>
      <c r="K824" s="9" t="s">
        <v>5225</v>
      </c>
      <c r="L824" s="9" t="s">
        <v>5226</v>
      </c>
      <c r="M824" s="9" t="s">
        <v>5227</v>
      </c>
      <c r="N824" s="9"/>
      <c r="O824" s="9" t="s">
        <v>5228</v>
      </c>
      <c r="P824" s="10">
        <v>41</v>
      </c>
    </row>
    <row r="825" spans="1:16" ht="115.2" x14ac:dyDescent="0.3">
      <c r="A825" t="s">
        <v>3528</v>
      </c>
      <c r="B825" t="s">
        <v>4843</v>
      </c>
      <c r="C825" t="s">
        <v>5229</v>
      </c>
      <c r="D825" s="9" t="s">
        <v>5230</v>
      </c>
      <c r="E825" t="s">
        <v>5231</v>
      </c>
      <c r="F825" t="s">
        <v>143</v>
      </c>
      <c r="G825" t="s">
        <v>47</v>
      </c>
      <c r="H825" s="9" t="s">
        <v>5232</v>
      </c>
      <c r="I825" s="9" t="s">
        <v>59</v>
      </c>
      <c r="J825" t="s">
        <v>3898</v>
      </c>
      <c r="K825" s="9" t="s">
        <v>5233</v>
      </c>
      <c r="L825" s="9" t="s">
        <v>5234</v>
      </c>
      <c r="M825" s="9" t="s">
        <v>5235</v>
      </c>
      <c r="N825" s="9" t="s">
        <v>5236</v>
      </c>
      <c r="O825" s="9" t="s">
        <v>5237</v>
      </c>
      <c r="P825" s="10">
        <v>41</v>
      </c>
    </row>
    <row r="826" spans="1:16" ht="172.8" x14ac:dyDescent="0.3">
      <c r="A826" t="s">
        <v>3528</v>
      </c>
      <c r="B826" t="s">
        <v>4843</v>
      </c>
      <c r="C826" t="s">
        <v>5238</v>
      </c>
      <c r="D826" s="9" t="s">
        <v>5239</v>
      </c>
      <c r="E826" t="s">
        <v>5240</v>
      </c>
      <c r="F826" t="s">
        <v>143</v>
      </c>
      <c r="G826" t="s">
        <v>47</v>
      </c>
      <c r="H826" s="9"/>
      <c r="I826" s="9" t="s">
        <v>59</v>
      </c>
      <c r="K826" s="9" t="s">
        <v>5241</v>
      </c>
      <c r="L826" s="9"/>
      <c r="M826" s="9" t="s">
        <v>5242</v>
      </c>
      <c r="N826" s="9" t="s">
        <v>5243</v>
      </c>
      <c r="O826" s="9" t="s">
        <v>5244</v>
      </c>
      <c r="P826" s="10">
        <v>41</v>
      </c>
    </row>
    <row r="827" spans="1:16" ht="144" x14ac:dyDescent="0.3">
      <c r="A827" t="s">
        <v>3528</v>
      </c>
      <c r="B827" t="s">
        <v>5245</v>
      </c>
      <c r="C827" t="s">
        <v>74</v>
      </c>
      <c r="D827" s="9" t="s">
        <v>5246</v>
      </c>
      <c r="E827" t="s">
        <v>433</v>
      </c>
      <c r="F827" t="s">
        <v>69</v>
      </c>
      <c r="G827" t="s">
        <v>47</v>
      </c>
      <c r="H827" s="9"/>
      <c r="I827" s="9" t="s">
        <v>106</v>
      </c>
      <c r="K827" s="9" t="s">
        <v>5247</v>
      </c>
      <c r="L827" s="9"/>
      <c r="M827" s="9" t="s">
        <v>5248</v>
      </c>
      <c r="N827" s="9" t="s">
        <v>5249</v>
      </c>
      <c r="O827" s="9" t="s">
        <v>5250</v>
      </c>
      <c r="P827" s="10">
        <v>44</v>
      </c>
    </row>
    <row r="828" spans="1:16" ht="172.8" x14ac:dyDescent="0.3">
      <c r="A828" t="s">
        <v>3528</v>
      </c>
      <c r="B828" t="s">
        <v>5245</v>
      </c>
      <c r="C828" t="s">
        <v>43</v>
      </c>
      <c r="D828" s="9" t="s">
        <v>5251</v>
      </c>
      <c r="E828" t="s">
        <v>66</v>
      </c>
      <c r="F828" t="s">
        <v>69</v>
      </c>
      <c r="G828" t="s">
        <v>47</v>
      </c>
      <c r="H828" s="9"/>
      <c r="I828" s="9" t="s">
        <v>106</v>
      </c>
      <c r="K828" s="9" t="s">
        <v>5252</v>
      </c>
      <c r="L828" s="9"/>
      <c r="M828" s="9" t="s">
        <v>5253</v>
      </c>
      <c r="N828" s="9" t="s">
        <v>5254</v>
      </c>
      <c r="O828" s="9" t="s">
        <v>5255</v>
      </c>
      <c r="P828" s="10">
        <v>44</v>
      </c>
    </row>
    <row r="829" spans="1:16" ht="288" x14ac:dyDescent="0.3">
      <c r="A829" t="s">
        <v>3528</v>
      </c>
      <c r="B829" t="s">
        <v>5245</v>
      </c>
      <c r="C829" t="s">
        <v>68</v>
      </c>
      <c r="D829" s="9" t="s">
        <v>5256</v>
      </c>
      <c r="E829" t="s">
        <v>441</v>
      </c>
      <c r="F829" t="s">
        <v>69</v>
      </c>
      <c r="G829" t="s">
        <v>47</v>
      </c>
      <c r="H829" s="9"/>
      <c r="I829" s="9" t="s">
        <v>106</v>
      </c>
      <c r="K829" s="9" t="s">
        <v>5257</v>
      </c>
      <c r="L829" s="9"/>
      <c r="M829" s="9" t="s">
        <v>5258</v>
      </c>
      <c r="N829" s="9" t="s">
        <v>5259</v>
      </c>
      <c r="O829" s="9" t="s">
        <v>5260</v>
      </c>
      <c r="P829" s="10">
        <v>44</v>
      </c>
    </row>
    <row r="830" spans="1:16" ht="316.8" x14ac:dyDescent="0.3">
      <c r="A830" t="s">
        <v>3528</v>
      </c>
      <c r="B830" t="s">
        <v>5245</v>
      </c>
      <c r="C830" t="s">
        <v>82</v>
      </c>
      <c r="D830" s="9" t="s">
        <v>5261</v>
      </c>
      <c r="E830" t="s">
        <v>679</v>
      </c>
      <c r="F830" t="s">
        <v>69</v>
      </c>
      <c r="G830" t="s">
        <v>47</v>
      </c>
      <c r="H830" s="9"/>
      <c r="I830" s="9" t="s">
        <v>106</v>
      </c>
      <c r="K830" s="9" t="s">
        <v>5262</v>
      </c>
      <c r="L830" s="9"/>
      <c r="M830" s="9" t="s">
        <v>5263</v>
      </c>
      <c r="N830" s="9" t="s">
        <v>5264</v>
      </c>
      <c r="O830" s="9" t="s">
        <v>5265</v>
      </c>
      <c r="P830" s="10">
        <v>44</v>
      </c>
    </row>
    <row r="831" spans="1:16" ht="158.4" x14ac:dyDescent="0.3">
      <c r="A831" t="s">
        <v>3528</v>
      </c>
      <c r="B831" t="s">
        <v>5245</v>
      </c>
      <c r="C831" t="s">
        <v>55</v>
      </c>
      <c r="D831" s="9" t="s">
        <v>5266</v>
      </c>
      <c r="E831" t="s">
        <v>449</v>
      </c>
      <c r="F831" t="s">
        <v>69</v>
      </c>
      <c r="G831" t="s">
        <v>47</v>
      </c>
      <c r="H831" s="9"/>
      <c r="I831" s="9" t="s">
        <v>106</v>
      </c>
      <c r="K831" s="9" t="s">
        <v>5267</v>
      </c>
      <c r="L831" s="9"/>
      <c r="M831" s="9" t="s">
        <v>5268</v>
      </c>
      <c r="N831" s="9" t="s">
        <v>5269</v>
      </c>
      <c r="O831" s="9" t="s">
        <v>5270</v>
      </c>
      <c r="P831" s="10">
        <v>44</v>
      </c>
    </row>
    <row r="832" spans="1:16" ht="409.6" x14ac:dyDescent="0.3">
      <c r="A832" t="s">
        <v>3528</v>
      </c>
      <c r="B832" t="s">
        <v>5245</v>
      </c>
      <c r="C832" t="s">
        <v>424</v>
      </c>
      <c r="D832" s="9" t="s">
        <v>5271</v>
      </c>
      <c r="E832" t="s">
        <v>694</v>
      </c>
      <c r="F832" t="s">
        <v>116</v>
      </c>
      <c r="G832" t="s">
        <v>47</v>
      </c>
      <c r="H832" s="9"/>
      <c r="I832" s="9" t="s">
        <v>106</v>
      </c>
      <c r="K832" s="9" t="s">
        <v>5272</v>
      </c>
      <c r="L832" s="9"/>
      <c r="M832" s="9" t="s">
        <v>5273</v>
      </c>
      <c r="N832" s="9" t="s">
        <v>5274</v>
      </c>
      <c r="O832" s="9" t="s">
        <v>5275</v>
      </c>
      <c r="P832" s="10">
        <v>44</v>
      </c>
    </row>
    <row r="833" spans="1:16" ht="244.8" x14ac:dyDescent="0.3">
      <c r="A833" t="s">
        <v>3528</v>
      </c>
      <c r="B833" t="s">
        <v>5245</v>
      </c>
      <c r="C833" t="s">
        <v>433</v>
      </c>
      <c r="D833" s="9" t="s">
        <v>5276</v>
      </c>
      <c r="E833" t="s">
        <v>869</v>
      </c>
      <c r="F833" t="s">
        <v>46</v>
      </c>
      <c r="G833" t="s">
        <v>47</v>
      </c>
      <c r="H833" s="9"/>
      <c r="I833" s="9" t="s">
        <v>106</v>
      </c>
      <c r="J833" t="s">
        <v>4465</v>
      </c>
      <c r="K833" s="9" t="s">
        <v>5277</v>
      </c>
      <c r="L833" s="9" t="s">
        <v>5278</v>
      </c>
      <c r="M833" s="9" t="s">
        <v>5279</v>
      </c>
      <c r="N833" s="9" t="s">
        <v>5280</v>
      </c>
      <c r="O833" s="9" t="s">
        <v>5281</v>
      </c>
      <c r="P833" s="10">
        <v>44</v>
      </c>
    </row>
    <row r="834" spans="1:16" ht="86.4" x14ac:dyDescent="0.3">
      <c r="A834" t="s">
        <v>3528</v>
      </c>
      <c r="B834" t="s">
        <v>5245</v>
      </c>
      <c r="C834" t="s">
        <v>441</v>
      </c>
      <c r="D834" s="9" t="s">
        <v>5282</v>
      </c>
      <c r="E834" t="s">
        <v>466</v>
      </c>
      <c r="F834" t="s">
        <v>116</v>
      </c>
      <c r="G834" t="s">
        <v>47</v>
      </c>
      <c r="H834" s="9"/>
      <c r="I834" s="9" t="s">
        <v>106</v>
      </c>
      <c r="J834" t="s">
        <v>4465</v>
      </c>
      <c r="K834" s="9" t="s">
        <v>5283</v>
      </c>
      <c r="L834" s="9" t="s">
        <v>5284</v>
      </c>
      <c r="M834" s="9" t="s">
        <v>5285</v>
      </c>
      <c r="N834" s="9"/>
      <c r="O834" s="9" t="s">
        <v>5286</v>
      </c>
      <c r="P834" s="10">
        <v>44</v>
      </c>
    </row>
    <row r="835" spans="1:16" ht="158.4" x14ac:dyDescent="0.3">
      <c r="A835" t="s">
        <v>3528</v>
      </c>
      <c r="B835" t="s">
        <v>5245</v>
      </c>
      <c r="C835" t="s">
        <v>449</v>
      </c>
      <c r="D835" s="9" t="s">
        <v>5287</v>
      </c>
      <c r="E835" t="s">
        <v>702</v>
      </c>
      <c r="F835" t="s">
        <v>116</v>
      </c>
      <c r="G835" t="s">
        <v>47</v>
      </c>
      <c r="H835" s="9"/>
      <c r="I835" s="9" t="s">
        <v>106</v>
      </c>
      <c r="K835" s="9" t="s">
        <v>5288</v>
      </c>
      <c r="L835" s="9" t="s">
        <v>5289</v>
      </c>
      <c r="M835" s="9" t="s">
        <v>5290</v>
      </c>
      <c r="N835" s="9" t="s">
        <v>5291</v>
      </c>
      <c r="O835" s="9" t="s">
        <v>5292</v>
      </c>
      <c r="P835" s="10">
        <v>44</v>
      </c>
    </row>
    <row r="836" spans="1:16" ht="216" x14ac:dyDescent="0.3">
      <c r="A836" t="s">
        <v>3528</v>
      </c>
      <c r="B836" t="s">
        <v>5245</v>
      </c>
      <c r="C836" t="s">
        <v>458</v>
      </c>
      <c r="D836" s="9" t="s">
        <v>5293</v>
      </c>
      <c r="E836" t="s">
        <v>312</v>
      </c>
      <c r="F836" t="s">
        <v>116</v>
      </c>
      <c r="G836" t="s">
        <v>47</v>
      </c>
      <c r="H836" s="9"/>
      <c r="I836" s="9" t="s">
        <v>106</v>
      </c>
      <c r="J836" t="s">
        <v>5294</v>
      </c>
      <c r="K836" s="9" t="s">
        <v>5295</v>
      </c>
      <c r="L836" s="9" t="s">
        <v>5296</v>
      </c>
      <c r="M836" s="9" t="s">
        <v>5297</v>
      </c>
      <c r="N836" s="9" t="s">
        <v>5298</v>
      </c>
      <c r="O836" s="9" t="s">
        <v>5299</v>
      </c>
      <c r="P836" s="10">
        <v>44</v>
      </c>
    </row>
    <row r="837" spans="1:16" ht="72" x14ac:dyDescent="0.3">
      <c r="A837" t="s">
        <v>3528</v>
      </c>
      <c r="B837" t="s">
        <v>5245</v>
      </c>
      <c r="C837" t="s">
        <v>466</v>
      </c>
      <c r="D837" s="9" t="s">
        <v>5300</v>
      </c>
      <c r="E837" t="s">
        <v>312</v>
      </c>
      <c r="F837" t="s">
        <v>116</v>
      </c>
      <c r="G837" t="s">
        <v>47</v>
      </c>
      <c r="H837" s="9"/>
      <c r="I837" s="9" t="s">
        <v>106</v>
      </c>
      <c r="J837" t="s">
        <v>4465</v>
      </c>
      <c r="K837" s="9" t="s">
        <v>5301</v>
      </c>
      <c r="L837" s="9" t="s">
        <v>5302</v>
      </c>
      <c r="M837" s="9" t="s">
        <v>5303</v>
      </c>
      <c r="N837" s="9"/>
      <c r="O837" s="9" t="s">
        <v>5304</v>
      </c>
      <c r="P837" s="10">
        <v>44</v>
      </c>
    </row>
    <row r="838" spans="1:16" ht="86.4" x14ac:dyDescent="0.3">
      <c r="A838" t="s">
        <v>3528</v>
      </c>
      <c r="B838" t="s">
        <v>5245</v>
      </c>
      <c r="C838" t="s">
        <v>215</v>
      </c>
      <c r="D838" s="9" t="s">
        <v>5305</v>
      </c>
      <c r="E838" t="s">
        <v>927</v>
      </c>
      <c r="F838" t="s">
        <v>116</v>
      </c>
      <c r="G838" t="s">
        <v>47</v>
      </c>
      <c r="H838" s="9"/>
      <c r="I838" s="9" t="s">
        <v>106</v>
      </c>
      <c r="J838" t="s">
        <v>4465</v>
      </c>
      <c r="K838" s="9" t="s">
        <v>5306</v>
      </c>
      <c r="L838" s="9" t="s">
        <v>5307</v>
      </c>
      <c r="M838" s="9" t="s">
        <v>5308</v>
      </c>
      <c r="N838" s="9"/>
      <c r="O838" s="9" t="s">
        <v>5309</v>
      </c>
      <c r="P838" s="10">
        <v>44</v>
      </c>
    </row>
    <row r="839" spans="1:16" ht="86.4" x14ac:dyDescent="0.3">
      <c r="A839" t="s">
        <v>3528</v>
      </c>
      <c r="B839" t="s">
        <v>5245</v>
      </c>
      <c r="C839" t="s">
        <v>221</v>
      </c>
      <c r="D839" s="9" t="s">
        <v>5310</v>
      </c>
      <c r="E839" t="s">
        <v>590</v>
      </c>
      <c r="F839" t="s">
        <v>116</v>
      </c>
      <c r="G839" t="s">
        <v>47</v>
      </c>
      <c r="H839" s="9" t="s">
        <v>711</v>
      </c>
      <c r="I839" s="9" t="s">
        <v>106</v>
      </c>
      <c r="J839" t="s">
        <v>4465</v>
      </c>
      <c r="K839" s="9" t="s">
        <v>5311</v>
      </c>
      <c r="L839" s="9" t="s">
        <v>5312</v>
      </c>
      <c r="M839" s="9" t="s">
        <v>5313</v>
      </c>
      <c r="N839" s="9"/>
      <c r="O839" s="9" t="s">
        <v>5314</v>
      </c>
      <c r="P839" s="10">
        <v>44</v>
      </c>
    </row>
    <row r="840" spans="1:16" ht="158.4" x14ac:dyDescent="0.3">
      <c r="A840" t="s">
        <v>3528</v>
      </c>
      <c r="B840" t="s">
        <v>5245</v>
      </c>
      <c r="C840" t="s">
        <v>766</v>
      </c>
      <c r="D840" s="9" t="s">
        <v>5315</v>
      </c>
      <c r="E840" t="s">
        <v>590</v>
      </c>
      <c r="F840" t="s">
        <v>46</v>
      </c>
      <c r="G840" t="s">
        <v>47</v>
      </c>
      <c r="H840" s="9" t="s">
        <v>395</v>
      </c>
      <c r="I840" s="9" t="s">
        <v>106</v>
      </c>
      <c r="J840" t="s">
        <v>4465</v>
      </c>
      <c r="K840" s="9" t="s">
        <v>5316</v>
      </c>
      <c r="L840" s="9" t="s">
        <v>5317</v>
      </c>
      <c r="M840" s="9" t="s">
        <v>5318</v>
      </c>
      <c r="N840" s="9" t="s">
        <v>5319</v>
      </c>
      <c r="O840" s="9" t="s">
        <v>5320</v>
      </c>
      <c r="P840" s="10">
        <v>44</v>
      </c>
    </row>
    <row r="841" spans="1:16" ht="244.8" x14ac:dyDescent="0.3">
      <c r="A841" t="s">
        <v>3528</v>
      </c>
      <c r="B841" t="s">
        <v>5245</v>
      </c>
      <c r="C841" t="s">
        <v>989</v>
      </c>
      <c r="D841" s="9" t="s">
        <v>5321</v>
      </c>
      <c r="E841" t="s">
        <v>942</v>
      </c>
      <c r="F841" t="s">
        <v>46</v>
      </c>
      <c r="G841" t="s">
        <v>47</v>
      </c>
      <c r="H841" s="9" t="s">
        <v>613</v>
      </c>
      <c r="I841" s="9" t="s">
        <v>106</v>
      </c>
      <c r="J841" t="s">
        <v>4465</v>
      </c>
      <c r="K841" s="9" t="s">
        <v>5322</v>
      </c>
      <c r="L841" s="9" t="s">
        <v>5323</v>
      </c>
      <c r="M841" s="9" t="s">
        <v>5324</v>
      </c>
      <c r="N841" s="9" t="s">
        <v>5325</v>
      </c>
      <c r="O841" s="9" t="s">
        <v>5326</v>
      </c>
      <c r="P841" s="10">
        <v>44</v>
      </c>
    </row>
    <row r="842" spans="1:16" ht="86.4" x14ac:dyDescent="0.3">
      <c r="A842" t="s">
        <v>3528</v>
      </c>
      <c r="B842" t="s">
        <v>5245</v>
      </c>
      <c r="C842" t="s">
        <v>773</v>
      </c>
      <c r="D842" s="9" t="s">
        <v>5327</v>
      </c>
      <c r="E842" t="s">
        <v>215</v>
      </c>
      <c r="F842" t="s">
        <v>116</v>
      </c>
      <c r="G842" t="s">
        <v>47</v>
      </c>
      <c r="H842" s="9" t="s">
        <v>395</v>
      </c>
      <c r="I842" s="9" t="s">
        <v>106</v>
      </c>
      <c r="J842" t="s">
        <v>4465</v>
      </c>
      <c r="K842" s="9" t="s">
        <v>5328</v>
      </c>
      <c r="L842" s="9" t="s">
        <v>5329</v>
      </c>
      <c r="M842" s="9" t="s">
        <v>5330</v>
      </c>
      <c r="N842" s="9" t="s">
        <v>5331</v>
      </c>
      <c r="O842" s="9" t="s">
        <v>5332</v>
      </c>
      <c r="P842" s="10">
        <v>44</v>
      </c>
    </row>
    <row r="843" spans="1:16" ht="144" x14ac:dyDescent="0.3">
      <c r="A843" t="s">
        <v>3528</v>
      </c>
      <c r="B843" t="s">
        <v>5245</v>
      </c>
      <c r="C843" t="s">
        <v>597</v>
      </c>
      <c r="D843" s="9" t="s">
        <v>5333</v>
      </c>
      <c r="E843" t="s">
        <v>566</v>
      </c>
      <c r="F843" t="s">
        <v>116</v>
      </c>
      <c r="G843" t="s">
        <v>47</v>
      </c>
      <c r="H843" s="9" t="s">
        <v>5334</v>
      </c>
      <c r="I843" s="9" t="s">
        <v>106</v>
      </c>
      <c r="J843" t="s">
        <v>4465</v>
      </c>
      <c r="K843" s="9" t="s">
        <v>5335</v>
      </c>
      <c r="L843" s="9" t="s">
        <v>5336</v>
      </c>
      <c r="M843" s="9" t="s">
        <v>5337</v>
      </c>
      <c r="N843" s="9" t="s">
        <v>5338</v>
      </c>
      <c r="O843" s="9" t="s">
        <v>5339</v>
      </c>
      <c r="P843" s="10">
        <v>44</v>
      </c>
    </row>
    <row r="844" spans="1:16" ht="100.8" x14ac:dyDescent="0.3">
      <c r="A844" t="s">
        <v>3528</v>
      </c>
      <c r="B844" t="s">
        <v>5245</v>
      </c>
      <c r="C844" t="s">
        <v>787</v>
      </c>
      <c r="D844" s="9" t="s">
        <v>5340</v>
      </c>
      <c r="E844" t="s">
        <v>1313</v>
      </c>
      <c r="F844" t="s">
        <v>116</v>
      </c>
      <c r="G844" t="s">
        <v>47</v>
      </c>
      <c r="H844" s="9" t="s">
        <v>5334</v>
      </c>
      <c r="I844" s="9" t="s">
        <v>106</v>
      </c>
      <c r="J844" t="s">
        <v>4465</v>
      </c>
      <c r="K844" s="9" t="s">
        <v>5341</v>
      </c>
      <c r="L844" s="9" t="s">
        <v>5342</v>
      </c>
      <c r="M844" s="9" t="s">
        <v>5343</v>
      </c>
      <c r="N844" s="9" t="s">
        <v>5344</v>
      </c>
      <c r="O844" s="9" t="s">
        <v>5345</v>
      </c>
      <c r="P844" s="10">
        <v>44</v>
      </c>
    </row>
    <row r="845" spans="1:16" ht="187.2" x14ac:dyDescent="0.3">
      <c r="A845" t="s">
        <v>3528</v>
      </c>
      <c r="B845" t="s">
        <v>5245</v>
      </c>
      <c r="C845" t="s">
        <v>611</v>
      </c>
      <c r="D845" s="9" t="s">
        <v>5346</v>
      </c>
      <c r="E845" t="s">
        <v>74</v>
      </c>
      <c r="F845" t="s">
        <v>46</v>
      </c>
      <c r="G845" t="s">
        <v>47</v>
      </c>
      <c r="H845" s="9" t="s">
        <v>711</v>
      </c>
      <c r="I845" s="9" t="s">
        <v>106</v>
      </c>
      <c r="J845" t="s">
        <v>4465</v>
      </c>
      <c r="K845" s="9" t="s">
        <v>5347</v>
      </c>
      <c r="L845" s="9" t="s">
        <v>5348</v>
      </c>
      <c r="M845" s="9" t="s">
        <v>5349</v>
      </c>
      <c r="N845" s="9" t="s">
        <v>5350</v>
      </c>
      <c r="O845" s="9" t="s">
        <v>5351</v>
      </c>
      <c r="P845" s="10">
        <v>44</v>
      </c>
    </row>
    <row r="846" spans="1:16" ht="302.39999999999998" x14ac:dyDescent="0.3">
      <c r="A846" t="s">
        <v>3528</v>
      </c>
      <c r="B846" t="s">
        <v>5245</v>
      </c>
      <c r="C846" t="s">
        <v>319</v>
      </c>
      <c r="D846" s="9" t="s">
        <v>5352</v>
      </c>
      <c r="E846" t="s">
        <v>74</v>
      </c>
      <c r="F846" t="s">
        <v>143</v>
      </c>
      <c r="G846" t="s">
        <v>47</v>
      </c>
      <c r="H846" s="9" t="s">
        <v>613</v>
      </c>
      <c r="I846" s="9" t="s">
        <v>106</v>
      </c>
      <c r="J846" t="s">
        <v>4465</v>
      </c>
      <c r="K846" s="9" t="s">
        <v>5353</v>
      </c>
      <c r="L846" s="9" t="s">
        <v>5354</v>
      </c>
      <c r="M846" s="9" t="s">
        <v>5355</v>
      </c>
      <c r="N846" s="9" t="s">
        <v>5356</v>
      </c>
      <c r="O846" s="9" t="s">
        <v>5357</v>
      </c>
      <c r="P846" s="10">
        <v>44</v>
      </c>
    </row>
    <row r="847" spans="1:16" ht="100.8" x14ac:dyDescent="0.3">
      <c r="A847" t="s">
        <v>3528</v>
      </c>
      <c r="B847" t="s">
        <v>5245</v>
      </c>
      <c r="C847" t="s">
        <v>620</v>
      </c>
      <c r="D847" s="9" t="s">
        <v>5358</v>
      </c>
      <c r="E847" t="s">
        <v>74</v>
      </c>
      <c r="F847" t="s">
        <v>143</v>
      </c>
      <c r="G847" t="s">
        <v>47</v>
      </c>
      <c r="H847" s="9"/>
      <c r="I847" s="9" t="s">
        <v>106</v>
      </c>
      <c r="J847" t="s">
        <v>4465</v>
      </c>
      <c r="K847" s="9" t="s">
        <v>5359</v>
      </c>
      <c r="L847" s="9" t="s">
        <v>5360</v>
      </c>
      <c r="M847" s="9" t="s">
        <v>5361</v>
      </c>
      <c r="N847" s="9" t="s">
        <v>5362</v>
      </c>
      <c r="O847" s="9" t="s">
        <v>5363</v>
      </c>
      <c r="P847" s="10">
        <v>44</v>
      </c>
    </row>
    <row r="848" spans="1:16" ht="100.8" x14ac:dyDescent="0.3">
      <c r="A848" t="s">
        <v>3528</v>
      </c>
      <c r="B848" t="s">
        <v>5245</v>
      </c>
      <c r="C848" t="s">
        <v>809</v>
      </c>
      <c r="D848" s="9" t="s">
        <v>5364</v>
      </c>
      <c r="E848" t="s">
        <v>74</v>
      </c>
      <c r="F848" t="s">
        <v>116</v>
      </c>
      <c r="G848" t="s">
        <v>47</v>
      </c>
      <c r="H848" s="9"/>
      <c r="I848" s="9" t="s">
        <v>106</v>
      </c>
      <c r="J848" t="s">
        <v>4465</v>
      </c>
      <c r="K848" s="9" t="s">
        <v>5365</v>
      </c>
      <c r="L848" s="9" t="s">
        <v>5366</v>
      </c>
      <c r="M848" s="9" t="s">
        <v>5367</v>
      </c>
      <c r="N848" s="9" t="s">
        <v>5368</v>
      </c>
      <c r="O848" s="9" t="s">
        <v>5369</v>
      </c>
      <c r="P848" s="10">
        <v>44</v>
      </c>
    </row>
    <row r="849" spans="1:16" ht="288" x14ac:dyDescent="0.3">
      <c r="A849" t="s">
        <v>3528</v>
      </c>
      <c r="B849" t="s">
        <v>5245</v>
      </c>
      <c r="C849" t="s">
        <v>816</v>
      </c>
      <c r="D849" s="9" t="s">
        <v>5370</v>
      </c>
      <c r="E849" t="s">
        <v>74</v>
      </c>
      <c r="F849" t="s">
        <v>143</v>
      </c>
      <c r="G849" t="s">
        <v>47</v>
      </c>
      <c r="H849" s="9" t="s">
        <v>797</v>
      </c>
      <c r="I849" s="9" t="s">
        <v>106</v>
      </c>
      <c r="J849" t="s">
        <v>4465</v>
      </c>
      <c r="K849" s="9" t="s">
        <v>5371</v>
      </c>
      <c r="L849" s="9" t="s">
        <v>5372</v>
      </c>
      <c r="M849" s="9" t="s">
        <v>5373</v>
      </c>
      <c r="N849" s="9" t="s">
        <v>5374</v>
      </c>
      <c r="O849" s="9" t="s">
        <v>5375</v>
      </c>
      <c r="P849" s="10">
        <v>44</v>
      </c>
    </row>
    <row r="850" spans="1:16" ht="259.2" x14ac:dyDescent="0.3">
      <c r="A850" t="s">
        <v>3528</v>
      </c>
      <c r="B850" t="s">
        <v>5245</v>
      </c>
      <c r="C850" t="s">
        <v>1175</v>
      </c>
      <c r="D850" s="9" t="s">
        <v>5376</v>
      </c>
      <c r="E850" t="s">
        <v>773</v>
      </c>
      <c r="F850" t="s">
        <v>143</v>
      </c>
      <c r="G850" t="s">
        <v>47</v>
      </c>
      <c r="H850" s="9" t="s">
        <v>452</v>
      </c>
      <c r="I850" s="9" t="s">
        <v>106</v>
      </c>
      <c r="J850" t="s">
        <v>4465</v>
      </c>
      <c r="K850" s="9" t="s">
        <v>5377</v>
      </c>
      <c r="L850" s="9" t="s">
        <v>5378</v>
      </c>
      <c r="M850" s="9" t="s">
        <v>5379</v>
      </c>
      <c r="N850" s="9" t="s">
        <v>5380</v>
      </c>
      <c r="O850" s="9" t="s">
        <v>5381</v>
      </c>
      <c r="P850" s="10">
        <v>44</v>
      </c>
    </row>
    <row r="851" spans="1:16" ht="360" x14ac:dyDescent="0.3">
      <c r="A851" t="s">
        <v>3528</v>
      </c>
      <c r="B851" t="s">
        <v>5245</v>
      </c>
      <c r="C851" t="s">
        <v>627</v>
      </c>
      <c r="D851" s="9" t="s">
        <v>5382</v>
      </c>
      <c r="E851" t="s">
        <v>74</v>
      </c>
      <c r="F851" t="s">
        <v>143</v>
      </c>
      <c r="G851" t="s">
        <v>47</v>
      </c>
      <c r="H851" s="9" t="s">
        <v>5383</v>
      </c>
      <c r="I851" s="9" t="s">
        <v>106</v>
      </c>
      <c r="J851" t="s">
        <v>5384</v>
      </c>
      <c r="K851" s="9" t="s">
        <v>5385</v>
      </c>
      <c r="L851" s="9" t="s">
        <v>5386</v>
      </c>
      <c r="M851" s="9" t="s">
        <v>5387</v>
      </c>
      <c r="N851" s="9" t="s">
        <v>5388</v>
      </c>
      <c r="O851" s="9" t="s">
        <v>5389</v>
      </c>
      <c r="P851" s="10">
        <v>44</v>
      </c>
    </row>
    <row r="852" spans="1:16" ht="129.6" x14ac:dyDescent="0.3">
      <c r="A852" t="s">
        <v>3528</v>
      </c>
      <c r="B852" t="s">
        <v>5245</v>
      </c>
      <c r="C852" t="s">
        <v>634</v>
      </c>
      <c r="D852" s="9" t="s">
        <v>5390</v>
      </c>
      <c r="E852" t="s">
        <v>74</v>
      </c>
      <c r="F852" t="s">
        <v>143</v>
      </c>
      <c r="G852" t="s">
        <v>47</v>
      </c>
      <c r="H852" s="9"/>
      <c r="I852" s="9" t="s">
        <v>106</v>
      </c>
      <c r="J852" t="s">
        <v>4465</v>
      </c>
      <c r="K852" s="9" t="s">
        <v>5391</v>
      </c>
      <c r="L852" s="9" t="s">
        <v>5392</v>
      </c>
      <c r="M852" s="9" t="s">
        <v>5393</v>
      </c>
      <c r="N852" s="9" t="s">
        <v>5394</v>
      </c>
      <c r="O852" s="9" t="s">
        <v>5395</v>
      </c>
      <c r="P852" s="10">
        <v>44</v>
      </c>
    </row>
    <row r="853" spans="1:16" ht="100.8" x14ac:dyDescent="0.3">
      <c r="A853" t="s">
        <v>3528</v>
      </c>
      <c r="B853" t="s">
        <v>5245</v>
      </c>
      <c r="C853" t="s">
        <v>642</v>
      </c>
      <c r="D853" s="9" t="s">
        <v>5396</v>
      </c>
      <c r="E853" t="s">
        <v>1361</v>
      </c>
      <c r="F853" t="s">
        <v>143</v>
      </c>
      <c r="G853" t="s">
        <v>47</v>
      </c>
      <c r="H853" s="9" t="s">
        <v>306</v>
      </c>
      <c r="I853" s="9" t="s">
        <v>106</v>
      </c>
      <c r="J853" t="s">
        <v>5384</v>
      </c>
      <c r="K853" s="9" t="s">
        <v>5397</v>
      </c>
      <c r="L853" s="9" t="s">
        <v>5398</v>
      </c>
      <c r="M853" s="9" t="s">
        <v>5399</v>
      </c>
      <c r="N853" s="9" t="s">
        <v>5400</v>
      </c>
      <c r="O853" s="9" t="s">
        <v>5401</v>
      </c>
      <c r="P853" s="10">
        <v>44</v>
      </c>
    </row>
    <row r="854" spans="1:16" ht="100.8" x14ac:dyDescent="0.3">
      <c r="A854" t="s">
        <v>3528</v>
      </c>
      <c r="B854" t="s">
        <v>5245</v>
      </c>
      <c r="C854" t="s">
        <v>649</v>
      </c>
      <c r="D854" s="9" t="s">
        <v>5402</v>
      </c>
      <c r="E854" t="s">
        <v>74</v>
      </c>
      <c r="F854" t="s">
        <v>46</v>
      </c>
      <c r="G854" t="s">
        <v>47</v>
      </c>
      <c r="H854" s="9" t="s">
        <v>5403</v>
      </c>
      <c r="I854" s="9" t="s">
        <v>5404</v>
      </c>
      <c r="J854" t="s">
        <v>4465</v>
      </c>
      <c r="K854" s="9" t="s">
        <v>5405</v>
      </c>
      <c r="L854" s="9" t="s">
        <v>5406</v>
      </c>
      <c r="M854" s="9" t="s">
        <v>5407</v>
      </c>
      <c r="N854" s="9" t="s">
        <v>5408</v>
      </c>
      <c r="O854" s="9" t="s">
        <v>5409</v>
      </c>
      <c r="P854" s="10">
        <v>44</v>
      </c>
    </row>
    <row r="855" spans="1:16" ht="230.4" x14ac:dyDescent="0.3">
      <c r="A855" t="s">
        <v>3528</v>
      </c>
      <c r="B855" t="s">
        <v>5245</v>
      </c>
      <c r="C855" t="s">
        <v>657</v>
      </c>
      <c r="D855" s="9" t="s">
        <v>5410</v>
      </c>
      <c r="E855" t="s">
        <v>1370</v>
      </c>
      <c r="F855" t="s">
        <v>143</v>
      </c>
      <c r="G855" t="s">
        <v>47</v>
      </c>
      <c r="H855" s="9" t="s">
        <v>797</v>
      </c>
      <c r="I855" s="9" t="s">
        <v>106</v>
      </c>
      <c r="J855" t="s">
        <v>5384</v>
      </c>
      <c r="K855" s="9" t="s">
        <v>5411</v>
      </c>
      <c r="L855" s="9" t="s">
        <v>5412</v>
      </c>
      <c r="M855" s="9" t="s">
        <v>5413</v>
      </c>
      <c r="N855" s="9" t="s">
        <v>5414</v>
      </c>
      <c r="O855" s="9" t="s">
        <v>5415</v>
      </c>
      <c r="P855" s="10">
        <v>44</v>
      </c>
    </row>
    <row r="856" spans="1:16" ht="115.2" x14ac:dyDescent="0.3">
      <c r="A856" t="s">
        <v>3528</v>
      </c>
      <c r="B856" t="s">
        <v>5245</v>
      </c>
      <c r="C856" t="s">
        <v>328</v>
      </c>
      <c r="D856" s="9" t="s">
        <v>5416</v>
      </c>
      <c r="E856" t="s">
        <v>1378</v>
      </c>
      <c r="F856" t="s">
        <v>143</v>
      </c>
      <c r="G856" t="s">
        <v>47</v>
      </c>
      <c r="H856" s="9"/>
      <c r="I856" s="9" t="s">
        <v>106</v>
      </c>
      <c r="J856" t="s">
        <v>4465</v>
      </c>
      <c r="K856" s="9" t="s">
        <v>5417</v>
      </c>
      <c r="L856" s="9" t="s">
        <v>5418</v>
      </c>
      <c r="M856" s="9" t="s">
        <v>5419</v>
      </c>
      <c r="N856" s="9" t="s">
        <v>5420</v>
      </c>
      <c r="O856" s="9" t="s">
        <v>5421</v>
      </c>
      <c r="P856" s="10">
        <v>44</v>
      </c>
    </row>
    <row r="857" spans="1:16" ht="86.4" x14ac:dyDescent="0.3">
      <c r="A857" t="s">
        <v>3528</v>
      </c>
      <c r="B857" t="s">
        <v>5245</v>
      </c>
      <c r="C857" t="s">
        <v>841</v>
      </c>
      <c r="D857" s="9" t="s">
        <v>5422</v>
      </c>
      <c r="E857" t="s">
        <v>319</v>
      </c>
      <c r="F857" t="s">
        <v>46</v>
      </c>
      <c r="G857" t="s">
        <v>47</v>
      </c>
      <c r="H857" s="9" t="s">
        <v>488</v>
      </c>
      <c r="I857" s="9" t="s">
        <v>106</v>
      </c>
      <c r="K857" s="9" t="s">
        <v>5423</v>
      </c>
      <c r="L857" s="9" t="s">
        <v>5424</v>
      </c>
      <c r="M857" s="9" t="s">
        <v>5425</v>
      </c>
      <c r="N857" s="9" t="s">
        <v>5426</v>
      </c>
      <c r="O857" s="9" t="s">
        <v>5427</v>
      </c>
      <c r="P857" s="10">
        <v>44</v>
      </c>
    </row>
    <row r="858" spans="1:16" ht="100.8" x14ac:dyDescent="0.3">
      <c r="A858" t="s">
        <v>3528</v>
      </c>
      <c r="B858" t="s">
        <v>5245</v>
      </c>
      <c r="C858" t="s">
        <v>336</v>
      </c>
      <c r="D858" s="9" t="s">
        <v>5428</v>
      </c>
      <c r="E858" t="s">
        <v>1385</v>
      </c>
      <c r="F858" t="s">
        <v>143</v>
      </c>
      <c r="G858" t="s">
        <v>47</v>
      </c>
      <c r="H858" s="9"/>
      <c r="I858" s="9" t="s">
        <v>106</v>
      </c>
      <c r="J858" t="s">
        <v>3861</v>
      </c>
      <c r="K858" s="9" t="s">
        <v>5429</v>
      </c>
      <c r="L858" s="9" t="s">
        <v>5430</v>
      </c>
      <c r="M858" s="9" t="s">
        <v>5431</v>
      </c>
      <c r="N858" s="9" t="s">
        <v>5432</v>
      </c>
      <c r="O858" s="9" t="s">
        <v>5433</v>
      </c>
      <c r="P858" s="10">
        <v>44</v>
      </c>
    </row>
    <row r="859" spans="1:16" ht="129.6" x14ac:dyDescent="0.3">
      <c r="A859" t="s">
        <v>3528</v>
      </c>
      <c r="B859" t="s">
        <v>5245</v>
      </c>
      <c r="C859" t="s">
        <v>2374</v>
      </c>
      <c r="D859" s="9" t="s">
        <v>5434</v>
      </c>
      <c r="E859" t="s">
        <v>620</v>
      </c>
      <c r="F859" t="s">
        <v>46</v>
      </c>
      <c r="G859" t="s">
        <v>47</v>
      </c>
      <c r="H859" s="9"/>
      <c r="I859" s="9" t="s">
        <v>106</v>
      </c>
      <c r="J859" t="s">
        <v>4465</v>
      </c>
      <c r="K859" s="9" t="s">
        <v>5435</v>
      </c>
      <c r="L859" s="9" t="s">
        <v>5436</v>
      </c>
      <c r="M859" s="9" t="s">
        <v>5437</v>
      </c>
      <c r="N859" s="9" t="s">
        <v>5438</v>
      </c>
      <c r="O859" s="9" t="s">
        <v>5439</v>
      </c>
      <c r="P859" s="10">
        <v>44</v>
      </c>
    </row>
    <row r="860" spans="1:16" ht="115.2" x14ac:dyDescent="0.3">
      <c r="A860" t="s">
        <v>3528</v>
      </c>
      <c r="B860" t="s">
        <v>5245</v>
      </c>
      <c r="C860" t="s">
        <v>853</v>
      </c>
      <c r="D860" s="9" t="s">
        <v>5440</v>
      </c>
      <c r="E860" t="s">
        <v>74</v>
      </c>
      <c r="F860" t="s">
        <v>143</v>
      </c>
      <c r="G860" t="s">
        <v>47</v>
      </c>
      <c r="H860" s="9" t="s">
        <v>5441</v>
      </c>
      <c r="I860" s="9" t="s">
        <v>106</v>
      </c>
      <c r="K860" s="9" t="s">
        <v>5442</v>
      </c>
      <c r="L860" s="9" t="s">
        <v>5443</v>
      </c>
      <c r="M860" s="9" t="s">
        <v>5444</v>
      </c>
      <c r="N860" s="9" t="s">
        <v>5445</v>
      </c>
      <c r="O860" s="9" t="s">
        <v>5446</v>
      </c>
      <c r="P860" s="10">
        <v>44</v>
      </c>
    </row>
    <row r="861" spans="1:16" ht="115.2" x14ac:dyDescent="0.3">
      <c r="A861" t="s">
        <v>3528</v>
      </c>
      <c r="B861" t="s">
        <v>5245</v>
      </c>
      <c r="C861" t="s">
        <v>860</v>
      </c>
      <c r="D861" s="9" t="s">
        <v>5447</v>
      </c>
      <c r="E861" t="s">
        <v>809</v>
      </c>
      <c r="F861" t="s">
        <v>143</v>
      </c>
      <c r="G861" t="s">
        <v>47</v>
      </c>
      <c r="H861" s="9"/>
      <c r="I861" s="9" t="s">
        <v>106</v>
      </c>
      <c r="K861" s="9" t="s">
        <v>5448</v>
      </c>
      <c r="L861" s="9" t="s">
        <v>5449</v>
      </c>
      <c r="M861" s="9" t="s">
        <v>5450</v>
      </c>
      <c r="N861" s="9" t="s">
        <v>5451</v>
      </c>
      <c r="O861" s="9" t="s">
        <v>5452</v>
      </c>
      <c r="P861" s="10">
        <v>44</v>
      </c>
    </row>
    <row r="862" spans="1:16" ht="144" x14ac:dyDescent="0.3">
      <c r="A862" t="s">
        <v>3528</v>
      </c>
      <c r="B862" t="s">
        <v>5245</v>
      </c>
      <c r="C862" t="s">
        <v>345</v>
      </c>
      <c r="D862" s="9" t="s">
        <v>5453</v>
      </c>
      <c r="E862" t="s">
        <v>74</v>
      </c>
      <c r="F862" t="s">
        <v>143</v>
      </c>
      <c r="G862" t="s">
        <v>47</v>
      </c>
      <c r="H862" s="9" t="s">
        <v>3071</v>
      </c>
      <c r="I862" s="9" t="s">
        <v>106</v>
      </c>
      <c r="K862" s="9" t="s">
        <v>5454</v>
      </c>
      <c r="L862" s="9" t="s">
        <v>5455</v>
      </c>
      <c r="M862" s="9" t="s">
        <v>5456</v>
      </c>
      <c r="N862" s="9" t="s">
        <v>5457</v>
      </c>
      <c r="O862" s="9" t="s">
        <v>5458</v>
      </c>
      <c r="P862" s="10">
        <v>44</v>
      </c>
    </row>
    <row r="863" spans="1:16" ht="144" x14ac:dyDescent="0.3">
      <c r="A863" t="s">
        <v>3528</v>
      </c>
      <c r="B863" t="s">
        <v>5245</v>
      </c>
      <c r="C863" t="s">
        <v>867</v>
      </c>
      <c r="D863" s="9" t="s">
        <v>5459</v>
      </c>
      <c r="E863" t="s">
        <v>1411</v>
      </c>
      <c r="F863" t="s">
        <v>143</v>
      </c>
      <c r="G863" t="s">
        <v>47</v>
      </c>
      <c r="H863" s="9" t="s">
        <v>4039</v>
      </c>
      <c r="I863" s="9" t="s">
        <v>106</v>
      </c>
      <c r="J863" t="s">
        <v>4465</v>
      </c>
      <c r="K863" s="9" t="s">
        <v>5460</v>
      </c>
      <c r="L863" s="9" t="s">
        <v>5461</v>
      </c>
      <c r="M863" s="9" t="s">
        <v>5462</v>
      </c>
      <c r="N863" s="9" t="s">
        <v>5463</v>
      </c>
      <c r="O863" s="9" t="s">
        <v>5464</v>
      </c>
      <c r="P863" s="10">
        <v>44</v>
      </c>
    </row>
    <row r="864" spans="1:16" ht="158.4" x14ac:dyDescent="0.3">
      <c r="A864" t="s">
        <v>3528</v>
      </c>
      <c r="B864" t="s">
        <v>5245</v>
      </c>
      <c r="C864" t="s">
        <v>352</v>
      </c>
      <c r="D864" s="9" t="s">
        <v>5465</v>
      </c>
      <c r="E864" t="s">
        <v>74</v>
      </c>
      <c r="F864" t="s">
        <v>143</v>
      </c>
      <c r="G864" t="s">
        <v>47</v>
      </c>
      <c r="H864" s="9" t="s">
        <v>5466</v>
      </c>
      <c r="I864" s="9" t="s">
        <v>106</v>
      </c>
      <c r="J864" t="s">
        <v>4465</v>
      </c>
      <c r="K864" s="9" t="s">
        <v>5467</v>
      </c>
      <c r="L864" s="9" t="s">
        <v>5468</v>
      </c>
      <c r="M864" s="9" t="s">
        <v>5469</v>
      </c>
      <c r="N864" s="9" t="s">
        <v>5470</v>
      </c>
      <c r="O864" s="9" t="s">
        <v>5471</v>
      </c>
      <c r="P864" s="10">
        <v>44</v>
      </c>
    </row>
    <row r="865" spans="1:16" ht="57.6" x14ac:dyDescent="0.3">
      <c r="A865" t="s">
        <v>3528</v>
      </c>
      <c r="B865" t="s">
        <v>5245</v>
      </c>
      <c r="C865" t="s">
        <v>875</v>
      </c>
      <c r="D865" s="9" t="s">
        <v>5472</v>
      </c>
      <c r="E865" t="s">
        <v>74</v>
      </c>
      <c r="F865" t="s">
        <v>143</v>
      </c>
      <c r="G865" t="s">
        <v>47</v>
      </c>
      <c r="H865" s="9" t="s">
        <v>271</v>
      </c>
      <c r="I865" s="9" t="s">
        <v>271</v>
      </c>
      <c r="K865" s="9" t="s">
        <v>5473</v>
      </c>
      <c r="L865" s="9" t="s">
        <v>5474</v>
      </c>
      <c r="M865" s="9" t="s">
        <v>5475</v>
      </c>
      <c r="N865" s="9"/>
      <c r="O865" s="9" t="s">
        <v>5476</v>
      </c>
      <c r="P865" s="10">
        <v>44</v>
      </c>
    </row>
    <row r="866" spans="1:16" ht="302.39999999999998" x14ac:dyDescent="0.3">
      <c r="A866" t="s">
        <v>3528</v>
      </c>
      <c r="B866" t="s">
        <v>5245</v>
      </c>
      <c r="C866" t="s">
        <v>2413</v>
      </c>
      <c r="D866" s="9" t="s">
        <v>5477</v>
      </c>
      <c r="E866" t="s">
        <v>74</v>
      </c>
      <c r="F866" t="s">
        <v>143</v>
      </c>
      <c r="G866" t="s">
        <v>47</v>
      </c>
      <c r="H866" s="9" t="s">
        <v>271</v>
      </c>
      <c r="I866" s="9" t="s">
        <v>271</v>
      </c>
      <c r="K866" s="9" t="s">
        <v>5478</v>
      </c>
      <c r="L866" s="9" t="s">
        <v>5479</v>
      </c>
      <c r="M866" s="9" t="s">
        <v>5480</v>
      </c>
      <c r="N866" s="9" t="s">
        <v>5481</v>
      </c>
      <c r="O866" s="9" t="s">
        <v>5482</v>
      </c>
      <c r="P866" s="10">
        <v>44</v>
      </c>
    </row>
    <row r="867" spans="1:16" ht="72" x14ac:dyDescent="0.3">
      <c r="A867" t="s">
        <v>3528</v>
      </c>
      <c r="B867" t="s">
        <v>5245</v>
      </c>
      <c r="C867" t="s">
        <v>883</v>
      </c>
      <c r="D867" s="9" t="s">
        <v>5483</v>
      </c>
      <c r="E867" t="s">
        <v>74</v>
      </c>
      <c r="F867" t="s">
        <v>143</v>
      </c>
      <c r="G867" t="s">
        <v>47</v>
      </c>
      <c r="H867" s="9" t="s">
        <v>271</v>
      </c>
      <c r="I867" s="9" t="s">
        <v>5484</v>
      </c>
      <c r="K867" s="9" t="s">
        <v>5485</v>
      </c>
      <c r="L867" s="9" t="s">
        <v>5486</v>
      </c>
      <c r="M867" s="9" t="s">
        <v>5487</v>
      </c>
      <c r="N867" s="9" t="s">
        <v>5488</v>
      </c>
      <c r="O867" s="9" t="s">
        <v>5489</v>
      </c>
      <c r="P867" s="10">
        <v>44</v>
      </c>
    </row>
    <row r="868" spans="1:16" ht="57.6" x14ac:dyDescent="0.3">
      <c r="A868" t="s">
        <v>3528</v>
      </c>
      <c r="B868" t="s">
        <v>5245</v>
      </c>
      <c r="C868" t="s">
        <v>360</v>
      </c>
      <c r="D868" s="9" t="s">
        <v>5490</v>
      </c>
      <c r="E868" t="s">
        <v>583</v>
      </c>
      <c r="F868" t="s">
        <v>143</v>
      </c>
      <c r="G868" t="s">
        <v>47</v>
      </c>
      <c r="H868" s="9" t="s">
        <v>271</v>
      </c>
      <c r="I868" s="9" t="s">
        <v>271</v>
      </c>
      <c r="J868" t="s">
        <v>4465</v>
      </c>
      <c r="K868" s="9" t="s">
        <v>5491</v>
      </c>
      <c r="L868" s="9" t="s">
        <v>5492</v>
      </c>
      <c r="M868" s="9" t="s">
        <v>5493</v>
      </c>
      <c r="N868" s="9" t="s">
        <v>5494</v>
      </c>
      <c r="O868" s="9" t="s">
        <v>5495</v>
      </c>
      <c r="P868" s="10">
        <v>44</v>
      </c>
    </row>
    <row r="869" spans="1:16" ht="403.2" x14ac:dyDescent="0.3">
      <c r="A869" t="s">
        <v>3528</v>
      </c>
      <c r="B869" t="s">
        <v>5245</v>
      </c>
      <c r="C869" t="s">
        <v>890</v>
      </c>
      <c r="D869" s="9" t="s">
        <v>5496</v>
      </c>
      <c r="E869" t="s">
        <v>1443</v>
      </c>
      <c r="F869" t="s">
        <v>46</v>
      </c>
      <c r="G869" t="s">
        <v>47</v>
      </c>
      <c r="H869" s="9" t="s">
        <v>4039</v>
      </c>
      <c r="I869" s="9" t="s">
        <v>106</v>
      </c>
      <c r="J869" t="s">
        <v>4465</v>
      </c>
      <c r="K869" s="9" t="s">
        <v>5497</v>
      </c>
      <c r="L869" s="9" t="s">
        <v>5498</v>
      </c>
      <c r="M869" s="9" t="s">
        <v>5499</v>
      </c>
      <c r="N869" s="9" t="s">
        <v>5500</v>
      </c>
      <c r="O869" s="9" t="s">
        <v>5501</v>
      </c>
      <c r="P869" s="10">
        <v>44</v>
      </c>
    </row>
    <row r="870" spans="1:16" ht="172.8" x14ac:dyDescent="0.3">
      <c r="A870" t="s">
        <v>3528</v>
      </c>
      <c r="B870" t="s">
        <v>5245</v>
      </c>
      <c r="C870" t="s">
        <v>677</v>
      </c>
      <c r="D870" s="9" t="s">
        <v>5502</v>
      </c>
      <c r="E870" t="s">
        <v>43</v>
      </c>
      <c r="F870" t="s">
        <v>46</v>
      </c>
      <c r="G870" t="s">
        <v>47</v>
      </c>
      <c r="H870" s="9" t="s">
        <v>4039</v>
      </c>
      <c r="I870" s="9" t="s">
        <v>271</v>
      </c>
      <c r="J870" t="s">
        <v>4465</v>
      </c>
      <c r="K870" s="9" t="s">
        <v>5503</v>
      </c>
      <c r="L870" s="9" t="s">
        <v>5504</v>
      </c>
      <c r="M870" s="9" t="s">
        <v>5505</v>
      </c>
      <c r="N870" s="9" t="s">
        <v>5506</v>
      </c>
      <c r="O870" s="9" t="s">
        <v>5507</v>
      </c>
      <c r="P870" s="10">
        <v>44</v>
      </c>
    </row>
    <row r="871" spans="1:16" ht="72" x14ac:dyDescent="0.3">
      <c r="A871" t="s">
        <v>3528</v>
      </c>
      <c r="B871" t="s">
        <v>5245</v>
      </c>
      <c r="C871" t="s">
        <v>905</v>
      </c>
      <c r="D871" s="9" t="s">
        <v>5508</v>
      </c>
      <c r="E871" t="s">
        <v>657</v>
      </c>
      <c r="F871" t="s">
        <v>143</v>
      </c>
      <c r="G871" t="s">
        <v>47</v>
      </c>
      <c r="H871" s="9" t="s">
        <v>5509</v>
      </c>
      <c r="I871" s="9" t="s">
        <v>106</v>
      </c>
      <c r="J871" t="s">
        <v>3861</v>
      </c>
      <c r="K871" s="9" t="s">
        <v>5510</v>
      </c>
      <c r="L871" s="9" t="s">
        <v>5511</v>
      </c>
      <c r="M871" s="9" t="s">
        <v>5512</v>
      </c>
      <c r="N871" s="9"/>
      <c r="O871" s="9" t="s">
        <v>5513</v>
      </c>
      <c r="P871" s="10">
        <v>44</v>
      </c>
    </row>
    <row r="872" spans="1:16" ht="100.8" x14ac:dyDescent="0.3">
      <c r="A872" t="s">
        <v>3528</v>
      </c>
      <c r="B872" t="s">
        <v>5245</v>
      </c>
      <c r="C872" t="s">
        <v>912</v>
      </c>
      <c r="D872" s="9" t="s">
        <v>5514</v>
      </c>
      <c r="E872" t="s">
        <v>657</v>
      </c>
      <c r="F872" t="s">
        <v>116</v>
      </c>
      <c r="G872" t="s">
        <v>47</v>
      </c>
      <c r="H872" s="9"/>
      <c r="I872" s="9" t="s">
        <v>106</v>
      </c>
      <c r="K872" s="9" t="s">
        <v>5515</v>
      </c>
      <c r="L872" s="9" t="s">
        <v>5516</v>
      </c>
      <c r="M872" s="9" t="s">
        <v>5517</v>
      </c>
      <c r="N872" s="9" t="s">
        <v>5518</v>
      </c>
      <c r="O872" s="9" t="s">
        <v>5519</v>
      </c>
      <c r="P872" s="10">
        <v>44</v>
      </c>
    </row>
    <row r="873" spans="1:16" ht="172.8" x14ac:dyDescent="0.3">
      <c r="A873" t="s">
        <v>3528</v>
      </c>
      <c r="B873" t="s">
        <v>5245</v>
      </c>
      <c r="C873" t="s">
        <v>685</v>
      </c>
      <c r="D873" s="9" t="s">
        <v>5520</v>
      </c>
      <c r="E873" t="s">
        <v>657</v>
      </c>
      <c r="F873" t="s">
        <v>116</v>
      </c>
      <c r="G873" t="s">
        <v>47</v>
      </c>
      <c r="H873" s="9"/>
      <c r="I873" s="9" t="s">
        <v>106</v>
      </c>
      <c r="J873" t="s">
        <v>4465</v>
      </c>
      <c r="K873" s="9" t="s">
        <v>5521</v>
      </c>
      <c r="L873" s="9" t="s">
        <v>5522</v>
      </c>
      <c r="M873" s="9" t="s">
        <v>5523</v>
      </c>
      <c r="N873" s="9" t="s">
        <v>5524</v>
      </c>
      <c r="O873" s="9" t="s">
        <v>5525</v>
      </c>
      <c r="P873" s="10">
        <v>44</v>
      </c>
    </row>
    <row r="874" spans="1:16" ht="100.8" x14ac:dyDescent="0.3">
      <c r="A874" t="s">
        <v>3528</v>
      </c>
      <c r="B874" t="s">
        <v>5245</v>
      </c>
      <c r="C874" t="s">
        <v>692</v>
      </c>
      <c r="D874" s="9" t="s">
        <v>5526</v>
      </c>
      <c r="E874" t="s">
        <v>1456</v>
      </c>
      <c r="F874" t="s">
        <v>116</v>
      </c>
      <c r="G874" t="s">
        <v>47</v>
      </c>
      <c r="H874" s="9"/>
      <c r="I874" s="9" t="s">
        <v>106</v>
      </c>
      <c r="J874" t="s">
        <v>4465</v>
      </c>
      <c r="K874" s="9" t="s">
        <v>5527</v>
      </c>
      <c r="L874" s="9" t="s">
        <v>5528</v>
      </c>
      <c r="M874" s="9" t="s">
        <v>5529</v>
      </c>
      <c r="N874" s="9" t="s">
        <v>5530</v>
      </c>
      <c r="O874" s="9" t="s">
        <v>5531</v>
      </c>
      <c r="P874" s="10">
        <v>44</v>
      </c>
    </row>
    <row r="875" spans="1:16" ht="129.6" x14ac:dyDescent="0.3">
      <c r="A875" t="s">
        <v>3528</v>
      </c>
      <c r="B875" t="s">
        <v>5245</v>
      </c>
      <c r="C875" t="s">
        <v>3821</v>
      </c>
      <c r="D875" s="9" t="s">
        <v>5532</v>
      </c>
      <c r="E875" t="s">
        <v>328</v>
      </c>
      <c r="F875" t="s">
        <v>116</v>
      </c>
      <c r="G875" t="s">
        <v>47</v>
      </c>
      <c r="H875" s="9" t="s">
        <v>797</v>
      </c>
      <c r="I875" s="9" t="s">
        <v>106</v>
      </c>
      <c r="J875" t="s">
        <v>4465</v>
      </c>
      <c r="K875" s="9" t="s">
        <v>5533</v>
      </c>
      <c r="L875" s="9" t="s">
        <v>5534</v>
      </c>
      <c r="M875" s="9" t="s">
        <v>5535</v>
      </c>
      <c r="N875" s="9" t="s">
        <v>5536</v>
      </c>
      <c r="O875" s="9" t="s">
        <v>5537</v>
      </c>
      <c r="P875" s="10">
        <v>44</v>
      </c>
    </row>
    <row r="876" spans="1:16" ht="115.2" x14ac:dyDescent="0.3">
      <c r="A876" t="s">
        <v>3528</v>
      </c>
      <c r="B876" t="s">
        <v>5245</v>
      </c>
      <c r="C876" t="s">
        <v>933</v>
      </c>
      <c r="D876" s="9" t="s">
        <v>5538</v>
      </c>
      <c r="E876" t="s">
        <v>1463</v>
      </c>
      <c r="F876" t="s">
        <v>116</v>
      </c>
      <c r="G876" t="s">
        <v>47</v>
      </c>
      <c r="H876" s="9"/>
      <c r="I876" s="9" t="s">
        <v>106</v>
      </c>
      <c r="J876" t="s">
        <v>4465</v>
      </c>
      <c r="K876" s="9" t="s">
        <v>5539</v>
      </c>
      <c r="L876" s="9" t="s">
        <v>5540</v>
      </c>
      <c r="M876" s="9" t="s">
        <v>5541</v>
      </c>
      <c r="N876" s="9" t="s">
        <v>5542</v>
      </c>
      <c r="O876" s="9" t="s">
        <v>5543</v>
      </c>
      <c r="P876" s="10">
        <v>44</v>
      </c>
    </row>
    <row r="877" spans="1:16" ht="158.4" x14ac:dyDescent="0.3">
      <c r="A877" t="s">
        <v>3528</v>
      </c>
      <c r="B877" t="s">
        <v>5245</v>
      </c>
      <c r="C877" t="s">
        <v>2121</v>
      </c>
      <c r="D877" s="9" t="s">
        <v>5544</v>
      </c>
      <c r="E877" t="s">
        <v>841</v>
      </c>
      <c r="F877" t="s">
        <v>116</v>
      </c>
      <c r="G877" t="s">
        <v>47</v>
      </c>
      <c r="H877" s="9"/>
      <c r="I877" s="9" t="s">
        <v>106</v>
      </c>
      <c r="J877" t="s">
        <v>4465</v>
      </c>
      <c r="K877" s="9" t="s">
        <v>5545</v>
      </c>
      <c r="L877" s="9" t="s">
        <v>5546</v>
      </c>
      <c r="M877" s="9" t="s">
        <v>5547</v>
      </c>
      <c r="N877" s="9" t="s">
        <v>5548</v>
      </c>
      <c r="O877" s="9" t="s">
        <v>5549</v>
      </c>
      <c r="P877" s="10">
        <v>44</v>
      </c>
    </row>
    <row r="878" spans="1:16" ht="129.6" x14ac:dyDescent="0.3">
      <c r="A878" t="s">
        <v>3528</v>
      </c>
      <c r="B878" t="s">
        <v>5245</v>
      </c>
      <c r="C878" t="s">
        <v>4300</v>
      </c>
      <c r="D878" s="9" t="s">
        <v>5550</v>
      </c>
      <c r="E878" t="s">
        <v>1470</v>
      </c>
      <c r="F878" t="s">
        <v>116</v>
      </c>
      <c r="G878" t="s">
        <v>47</v>
      </c>
      <c r="H878" s="9"/>
      <c r="I878" s="9" t="s">
        <v>106</v>
      </c>
      <c r="J878" t="s">
        <v>4465</v>
      </c>
      <c r="K878" s="9" t="s">
        <v>5551</v>
      </c>
      <c r="L878" s="9" t="s">
        <v>5552</v>
      </c>
      <c r="M878" s="9" t="s">
        <v>5553</v>
      </c>
      <c r="N878" s="9" t="s">
        <v>5554</v>
      </c>
      <c r="O878" s="9" t="s">
        <v>5555</v>
      </c>
      <c r="P878" s="10">
        <v>44</v>
      </c>
    </row>
    <row r="879" spans="1:16" ht="86.4" x14ac:dyDescent="0.3">
      <c r="A879" t="s">
        <v>3528</v>
      </c>
      <c r="B879" t="s">
        <v>5245</v>
      </c>
      <c r="C879" t="s">
        <v>4307</v>
      </c>
      <c r="D879" s="9" t="s">
        <v>5556</v>
      </c>
      <c r="E879" t="s">
        <v>336</v>
      </c>
      <c r="F879" t="s">
        <v>116</v>
      </c>
      <c r="G879" t="s">
        <v>47</v>
      </c>
      <c r="H879" s="9"/>
      <c r="I879" s="9" t="s">
        <v>106</v>
      </c>
      <c r="J879" t="s">
        <v>4465</v>
      </c>
      <c r="K879" s="9" t="s">
        <v>5557</v>
      </c>
      <c r="L879" s="9" t="s">
        <v>5558</v>
      </c>
      <c r="M879" s="9" t="s">
        <v>5559</v>
      </c>
      <c r="N879" s="9"/>
      <c r="O879" s="9" t="s">
        <v>5560</v>
      </c>
      <c r="P879" s="10">
        <v>44</v>
      </c>
    </row>
    <row r="880" spans="1:16" ht="72" x14ac:dyDescent="0.3">
      <c r="A880" t="s">
        <v>3528</v>
      </c>
      <c r="B880" t="s">
        <v>5245</v>
      </c>
      <c r="C880" t="s">
        <v>940</v>
      </c>
      <c r="D880" s="9" t="s">
        <v>5561</v>
      </c>
      <c r="E880" t="s">
        <v>336</v>
      </c>
      <c r="F880" t="s">
        <v>116</v>
      </c>
      <c r="G880" t="s">
        <v>47</v>
      </c>
      <c r="H880" s="9"/>
      <c r="I880" s="9" t="s">
        <v>106</v>
      </c>
      <c r="J880" t="s">
        <v>4465</v>
      </c>
      <c r="K880" s="9" t="s">
        <v>5562</v>
      </c>
      <c r="L880" s="9" t="s">
        <v>5563</v>
      </c>
      <c r="M880" s="9" t="s">
        <v>5564</v>
      </c>
      <c r="N880" s="9"/>
      <c r="O880" s="9" t="s">
        <v>5565</v>
      </c>
      <c r="P880" s="10">
        <v>44</v>
      </c>
    </row>
    <row r="881" spans="1:16" ht="187.2" x14ac:dyDescent="0.3">
      <c r="A881" t="s">
        <v>3528</v>
      </c>
      <c r="B881" t="s">
        <v>5245</v>
      </c>
      <c r="C881" t="s">
        <v>700</v>
      </c>
      <c r="D881" s="9" t="s">
        <v>5566</v>
      </c>
      <c r="E881" t="s">
        <v>1476</v>
      </c>
      <c r="F881" t="s">
        <v>143</v>
      </c>
      <c r="G881" t="s">
        <v>47</v>
      </c>
      <c r="H881" s="9" t="s">
        <v>671</v>
      </c>
      <c r="I881" s="9" t="s">
        <v>106</v>
      </c>
      <c r="J881" t="s">
        <v>4465</v>
      </c>
      <c r="K881" s="9" t="s">
        <v>5567</v>
      </c>
      <c r="L881" s="9" t="s">
        <v>5568</v>
      </c>
      <c r="M881" s="9" t="s">
        <v>5569</v>
      </c>
      <c r="N881" s="9" t="s">
        <v>5570</v>
      </c>
      <c r="O881" s="9" t="s">
        <v>5571</v>
      </c>
      <c r="P881" s="10">
        <v>44</v>
      </c>
    </row>
    <row r="882" spans="1:16" ht="230.4" x14ac:dyDescent="0.3">
      <c r="A882" t="s">
        <v>3528</v>
      </c>
      <c r="B882" t="s">
        <v>5245</v>
      </c>
      <c r="C882" t="s">
        <v>3759</v>
      </c>
      <c r="D882" s="9" t="s">
        <v>5572</v>
      </c>
      <c r="E882" t="s">
        <v>1483</v>
      </c>
      <c r="F882" t="s">
        <v>143</v>
      </c>
      <c r="G882" t="s">
        <v>47</v>
      </c>
      <c r="H882" s="9" t="s">
        <v>671</v>
      </c>
      <c r="I882" s="9" t="s">
        <v>106</v>
      </c>
      <c r="J882" t="s">
        <v>4465</v>
      </c>
      <c r="K882" s="9" t="s">
        <v>5573</v>
      </c>
      <c r="L882" s="9" t="s">
        <v>5574</v>
      </c>
      <c r="M882" s="9" t="s">
        <v>5575</v>
      </c>
      <c r="N882" s="9" t="s">
        <v>5576</v>
      </c>
      <c r="O882" s="9" t="s">
        <v>5577</v>
      </c>
      <c r="P882" s="10">
        <v>44</v>
      </c>
    </row>
    <row r="883" spans="1:16" ht="100.8" x14ac:dyDescent="0.3">
      <c r="A883" t="s">
        <v>3528</v>
      </c>
      <c r="B883" t="s">
        <v>5245</v>
      </c>
      <c r="C883" t="s">
        <v>954</v>
      </c>
      <c r="D883" s="9" t="s">
        <v>5578</v>
      </c>
      <c r="E883" t="s">
        <v>853</v>
      </c>
      <c r="F883" t="s">
        <v>143</v>
      </c>
      <c r="G883" t="s">
        <v>47</v>
      </c>
      <c r="H883" s="9" t="s">
        <v>671</v>
      </c>
      <c r="I883" s="9" t="s">
        <v>106</v>
      </c>
      <c r="J883" t="s">
        <v>4465</v>
      </c>
      <c r="K883" s="9" t="s">
        <v>5579</v>
      </c>
      <c r="L883" s="9" t="s">
        <v>5580</v>
      </c>
      <c r="M883" s="9" t="s">
        <v>5581</v>
      </c>
      <c r="N883" s="9" t="s">
        <v>5582</v>
      </c>
      <c r="O883" s="9" t="s">
        <v>5583</v>
      </c>
      <c r="P883" s="10">
        <v>44</v>
      </c>
    </row>
    <row r="884" spans="1:16" ht="115.2" x14ac:dyDescent="0.3">
      <c r="A884" t="s">
        <v>3528</v>
      </c>
      <c r="B884" t="s">
        <v>5245</v>
      </c>
      <c r="C884" t="s">
        <v>3802</v>
      </c>
      <c r="D884" s="9" t="s">
        <v>5584</v>
      </c>
      <c r="E884" t="s">
        <v>43</v>
      </c>
      <c r="F884" t="s">
        <v>143</v>
      </c>
      <c r="G884" t="s">
        <v>47</v>
      </c>
      <c r="H884" s="9" t="s">
        <v>671</v>
      </c>
      <c r="I884" s="9" t="s">
        <v>106</v>
      </c>
      <c r="J884" t="s">
        <v>4465</v>
      </c>
      <c r="K884" s="9" t="s">
        <v>5585</v>
      </c>
      <c r="L884" s="9" t="s">
        <v>5586</v>
      </c>
      <c r="M884" s="9" t="s">
        <v>5587</v>
      </c>
      <c r="N884" s="9" t="s">
        <v>5588</v>
      </c>
      <c r="O884" s="9" t="s">
        <v>5589</v>
      </c>
      <c r="P884" s="10">
        <v>44</v>
      </c>
    </row>
    <row r="885" spans="1:16" ht="72" x14ac:dyDescent="0.3">
      <c r="A885" t="s">
        <v>3528</v>
      </c>
      <c r="B885" t="s">
        <v>5245</v>
      </c>
      <c r="C885" t="s">
        <v>2057</v>
      </c>
      <c r="D885" s="9" t="s">
        <v>5590</v>
      </c>
      <c r="E885" t="s">
        <v>1490</v>
      </c>
      <c r="F885" t="s">
        <v>46</v>
      </c>
      <c r="G885" t="s">
        <v>47</v>
      </c>
      <c r="H885" s="9" t="s">
        <v>671</v>
      </c>
      <c r="I885" s="9" t="s">
        <v>106</v>
      </c>
      <c r="J885" t="s">
        <v>4465</v>
      </c>
      <c r="K885" s="9" t="s">
        <v>5591</v>
      </c>
      <c r="L885" s="9" t="s">
        <v>5592</v>
      </c>
      <c r="M885" s="9" t="s">
        <v>5593</v>
      </c>
      <c r="N885" s="9" t="s">
        <v>5594</v>
      </c>
      <c r="O885" s="9" t="s">
        <v>5595</v>
      </c>
      <c r="P885" s="10">
        <v>44</v>
      </c>
    </row>
    <row r="886" spans="1:16" ht="100.8" x14ac:dyDescent="0.3">
      <c r="A886" t="s">
        <v>3528</v>
      </c>
      <c r="B886" t="s">
        <v>5245</v>
      </c>
      <c r="C886" t="s">
        <v>4356</v>
      </c>
      <c r="D886" s="9" t="s">
        <v>5596</v>
      </c>
      <c r="E886" t="s">
        <v>860</v>
      </c>
      <c r="F886" t="s">
        <v>69</v>
      </c>
      <c r="G886" t="s">
        <v>47</v>
      </c>
      <c r="H886" s="9"/>
      <c r="I886" s="9"/>
      <c r="K886" s="9" t="s">
        <v>5597</v>
      </c>
      <c r="L886" s="9" t="s">
        <v>5598</v>
      </c>
      <c r="M886" s="9"/>
      <c r="N886" s="9"/>
      <c r="O886" s="9" t="s">
        <v>5599</v>
      </c>
      <c r="P886" s="10">
        <v>44</v>
      </c>
    </row>
    <row r="887" spans="1:16" ht="144" x14ac:dyDescent="0.3">
      <c r="A887" t="s">
        <v>3528</v>
      </c>
      <c r="B887" t="s">
        <v>5245</v>
      </c>
      <c r="C887" t="s">
        <v>2115</v>
      </c>
      <c r="D887" s="9" t="s">
        <v>5600</v>
      </c>
      <c r="E887" t="s">
        <v>860</v>
      </c>
      <c r="F887" t="s">
        <v>46</v>
      </c>
      <c r="G887" t="s">
        <v>47</v>
      </c>
      <c r="H887" s="9" t="s">
        <v>59</v>
      </c>
      <c r="I887" s="9" t="s">
        <v>59</v>
      </c>
      <c r="J887" t="s">
        <v>4465</v>
      </c>
      <c r="K887" s="9" t="s">
        <v>5601</v>
      </c>
      <c r="L887" s="9"/>
      <c r="M887" s="9" t="s">
        <v>5602</v>
      </c>
      <c r="N887" s="9" t="s">
        <v>5603</v>
      </c>
      <c r="O887" s="9" t="s">
        <v>5604</v>
      </c>
      <c r="P887" s="10">
        <v>44</v>
      </c>
    </row>
    <row r="888" spans="1:16" ht="100.8" x14ac:dyDescent="0.3">
      <c r="A888" t="s">
        <v>3528</v>
      </c>
      <c r="B888" t="s">
        <v>5245</v>
      </c>
      <c r="C888" t="s">
        <v>5171</v>
      </c>
      <c r="D888" s="9" t="s">
        <v>5605</v>
      </c>
      <c r="E888" t="s">
        <v>1899</v>
      </c>
      <c r="F888" t="s">
        <v>46</v>
      </c>
      <c r="G888" t="s">
        <v>47</v>
      </c>
      <c r="H888" s="9" t="s">
        <v>59</v>
      </c>
      <c r="I888" s="9" t="s">
        <v>59</v>
      </c>
      <c r="K888" s="9" t="s">
        <v>5606</v>
      </c>
      <c r="L888" s="9"/>
      <c r="M888" s="9" t="s">
        <v>5607</v>
      </c>
      <c r="N888" s="9" t="s">
        <v>5608</v>
      </c>
      <c r="O888" s="9" t="s">
        <v>5609</v>
      </c>
      <c r="P888" s="10">
        <v>44</v>
      </c>
    </row>
    <row r="889" spans="1:16" ht="115.2" x14ac:dyDescent="0.3">
      <c r="A889" t="s">
        <v>3528</v>
      </c>
      <c r="B889" t="s">
        <v>5245</v>
      </c>
      <c r="C889" t="s">
        <v>4365</v>
      </c>
      <c r="D889" s="9" t="s">
        <v>5610</v>
      </c>
      <c r="E889" t="s">
        <v>1039</v>
      </c>
      <c r="F889" t="s">
        <v>46</v>
      </c>
      <c r="G889" t="s">
        <v>47</v>
      </c>
      <c r="H889" s="9" t="s">
        <v>59</v>
      </c>
      <c r="I889" s="9" t="s">
        <v>59</v>
      </c>
      <c r="J889" t="s">
        <v>4465</v>
      </c>
      <c r="K889" s="9" t="s">
        <v>5611</v>
      </c>
      <c r="L889" s="9"/>
      <c r="M889" s="9" t="s">
        <v>5612</v>
      </c>
      <c r="N889" s="9" t="s">
        <v>5613</v>
      </c>
      <c r="O889" s="9" t="s">
        <v>5614</v>
      </c>
      <c r="P889" s="10">
        <v>44</v>
      </c>
    </row>
    <row r="890" spans="1:16" ht="129.6" x14ac:dyDescent="0.3">
      <c r="A890" t="s">
        <v>3528</v>
      </c>
      <c r="B890" t="s">
        <v>5245</v>
      </c>
      <c r="C890" t="s">
        <v>5177</v>
      </c>
      <c r="D890" s="9" t="s">
        <v>5615</v>
      </c>
      <c r="E890" t="s">
        <v>5149</v>
      </c>
      <c r="F890" t="s">
        <v>69</v>
      </c>
      <c r="G890" t="s">
        <v>47</v>
      </c>
      <c r="H890" s="9"/>
      <c r="I890" s="9"/>
      <c r="J890" t="s">
        <v>3861</v>
      </c>
      <c r="K890" s="9" t="s">
        <v>5616</v>
      </c>
      <c r="L890" s="9"/>
      <c r="M890" s="9" t="s">
        <v>5617</v>
      </c>
      <c r="N890" s="9" t="s">
        <v>5618</v>
      </c>
      <c r="O890" s="9" t="s">
        <v>5619</v>
      </c>
      <c r="P890" s="10">
        <v>44</v>
      </c>
    </row>
    <row r="891" spans="1:16" ht="129.6" x14ac:dyDescent="0.3">
      <c r="A891" t="s">
        <v>3528</v>
      </c>
      <c r="B891" t="s">
        <v>5245</v>
      </c>
      <c r="C891" t="s">
        <v>5184</v>
      </c>
      <c r="D891" s="9" t="s">
        <v>5620</v>
      </c>
      <c r="E891" t="s">
        <v>68</v>
      </c>
      <c r="F891" t="s">
        <v>69</v>
      </c>
      <c r="G891" t="s">
        <v>47</v>
      </c>
      <c r="H891" s="9" t="s">
        <v>797</v>
      </c>
      <c r="I891" s="9" t="s">
        <v>106</v>
      </c>
      <c r="K891" s="9" t="s">
        <v>5621</v>
      </c>
      <c r="L891" s="9"/>
      <c r="M891" s="9" t="s">
        <v>5622</v>
      </c>
      <c r="N891" s="9" t="s">
        <v>5623</v>
      </c>
      <c r="O891" s="9" t="s">
        <v>5624</v>
      </c>
      <c r="P891" s="10">
        <v>44</v>
      </c>
    </row>
    <row r="892" spans="1:16" ht="86.4" x14ac:dyDescent="0.3">
      <c r="A892" t="s">
        <v>3528</v>
      </c>
      <c r="B892" t="s">
        <v>5245</v>
      </c>
      <c r="C892" t="s">
        <v>5625</v>
      </c>
      <c r="D892" s="9" t="s">
        <v>5626</v>
      </c>
      <c r="E892" t="s">
        <v>352</v>
      </c>
      <c r="F892" t="s">
        <v>69</v>
      </c>
      <c r="G892" t="s">
        <v>47</v>
      </c>
      <c r="H892" s="9"/>
      <c r="I892" s="9" t="s">
        <v>106</v>
      </c>
      <c r="J892" t="s">
        <v>479</v>
      </c>
      <c r="K892" s="9" t="s">
        <v>5627</v>
      </c>
      <c r="L892" s="9"/>
      <c r="M892" s="9" t="s">
        <v>5628</v>
      </c>
      <c r="N892" s="9" t="s">
        <v>5629</v>
      </c>
      <c r="O892" s="9" t="s">
        <v>5630</v>
      </c>
      <c r="P892" s="10">
        <v>44</v>
      </c>
    </row>
    <row r="893" spans="1:16" ht="230.4" x14ac:dyDescent="0.3">
      <c r="A893" t="s">
        <v>3528</v>
      </c>
      <c r="B893" t="s">
        <v>5245</v>
      </c>
      <c r="C893" t="s">
        <v>5192</v>
      </c>
      <c r="D893" s="9" t="s">
        <v>5631</v>
      </c>
      <c r="E893" t="s">
        <v>3287</v>
      </c>
      <c r="F893" t="s">
        <v>46</v>
      </c>
      <c r="G893" t="s">
        <v>47</v>
      </c>
      <c r="H893" s="9" t="s">
        <v>5632</v>
      </c>
      <c r="I893" s="9" t="s">
        <v>106</v>
      </c>
      <c r="J893" t="s">
        <v>4465</v>
      </c>
      <c r="K893" s="9" t="s">
        <v>5633</v>
      </c>
      <c r="L893" s="9" t="s">
        <v>5634</v>
      </c>
      <c r="M893" s="9" t="s">
        <v>5635</v>
      </c>
      <c r="N893" s="9" t="s">
        <v>5636</v>
      </c>
      <c r="O893" s="9" t="s">
        <v>5637</v>
      </c>
      <c r="P893" s="10">
        <v>44</v>
      </c>
    </row>
    <row r="894" spans="1:16" ht="273.60000000000002" x14ac:dyDescent="0.3">
      <c r="A894" t="s">
        <v>3528</v>
      </c>
      <c r="B894" t="s">
        <v>5245</v>
      </c>
      <c r="C894" t="s">
        <v>5201</v>
      </c>
      <c r="D894" s="9" t="s">
        <v>5638</v>
      </c>
      <c r="E894" t="s">
        <v>76</v>
      </c>
      <c r="F894" t="s">
        <v>143</v>
      </c>
      <c r="G894" t="s">
        <v>47</v>
      </c>
      <c r="H894" s="9" t="s">
        <v>3860</v>
      </c>
      <c r="I894" s="9" t="s">
        <v>614</v>
      </c>
      <c r="K894" s="9" t="s">
        <v>5639</v>
      </c>
      <c r="L894" s="9" t="s">
        <v>5640</v>
      </c>
      <c r="M894" s="9" t="s">
        <v>5641</v>
      </c>
      <c r="N894" s="9" t="s">
        <v>5642</v>
      </c>
      <c r="O894" s="9" t="s">
        <v>5643</v>
      </c>
      <c r="P894" s="10">
        <v>44</v>
      </c>
    </row>
    <row r="895" spans="1:16" ht="115.2" x14ac:dyDescent="0.3">
      <c r="A895" t="s">
        <v>5644</v>
      </c>
      <c r="B895" t="s">
        <v>5645</v>
      </c>
      <c r="C895" t="s">
        <v>369</v>
      </c>
      <c r="D895" s="9" t="s">
        <v>5646</v>
      </c>
      <c r="E895" t="s">
        <v>1003</v>
      </c>
      <c r="F895" t="s">
        <v>116</v>
      </c>
      <c r="G895" t="s">
        <v>47</v>
      </c>
      <c r="H895" s="9" t="s">
        <v>636</v>
      </c>
      <c r="I895" s="9" t="s">
        <v>106</v>
      </c>
      <c r="K895" s="9" t="s">
        <v>5647</v>
      </c>
      <c r="L895" s="9" t="s">
        <v>5648</v>
      </c>
      <c r="M895" s="9" t="s">
        <v>5649</v>
      </c>
      <c r="N895" s="9" t="s">
        <v>5650</v>
      </c>
      <c r="O895" s="9" t="s">
        <v>5651</v>
      </c>
      <c r="P895" s="10">
        <v>48</v>
      </c>
    </row>
    <row r="896" spans="1:16" ht="129.6" x14ac:dyDescent="0.3">
      <c r="A896" t="s">
        <v>5644</v>
      </c>
      <c r="B896" t="s">
        <v>5645</v>
      </c>
      <c r="C896" t="s">
        <v>66</v>
      </c>
      <c r="D896" s="9" t="s">
        <v>5652</v>
      </c>
      <c r="E896" t="s">
        <v>5653</v>
      </c>
      <c r="F896" t="s">
        <v>116</v>
      </c>
      <c r="G896" t="s">
        <v>47</v>
      </c>
      <c r="H896" s="9" t="s">
        <v>636</v>
      </c>
      <c r="I896" s="9" t="s">
        <v>106</v>
      </c>
      <c r="K896" s="9" t="s">
        <v>5654</v>
      </c>
      <c r="L896" s="9" t="s">
        <v>5655</v>
      </c>
      <c r="M896" s="9" t="s">
        <v>5656</v>
      </c>
      <c r="N896" s="9" t="s">
        <v>5657</v>
      </c>
      <c r="O896" s="9" t="s">
        <v>5658</v>
      </c>
      <c r="P896" s="10">
        <v>48</v>
      </c>
    </row>
    <row r="897" spans="1:16" ht="144" x14ac:dyDescent="0.3">
      <c r="A897" t="s">
        <v>5644</v>
      </c>
      <c r="B897" t="s">
        <v>5645</v>
      </c>
      <c r="C897" t="s">
        <v>74</v>
      </c>
      <c r="D897" s="9" t="s">
        <v>5659</v>
      </c>
      <c r="E897" t="s">
        <v>5660</v>
      </c>
      <c r="F897" t="s">
        <v>116</v>
      </c>
      <c r="G897" t="s">
        <v>47</v>
      </c>
      <c r="H897" s="9" t="s">
        <v>5661</v>
      </c>
      <c r="I897" s="9" t="s">
        <v>106</v>
      </c>
      <c r="K897" s="9" t="s">
        <v>5662</v>
      </c>
      <c r="L897" s="9" t="s">
        <v>5663</v>
      </c>
      <c r="M897" s="9" t="s">
        <v>5664</v>
      </c>
      <c r="N897" s="9" t="s">
        <v>5665</v>
      </c>
      <c r="O897" s="9" t="s">
        <v>5666</v>
      </c>
      <c r="P897" s="10">
        <v>48</v>
      </c>
    </row>
    <row r="898" spans="1:16" ht="144" x14ac:dyDescent="0.3">
      <c r="A898" t="s">
        <v>5644</v>
      </c>
      <c r="B898" t="s">
        <v>5645</v>
      </c>
      <c r="C898" t="s">
        <v>43</v>
      </c>
      <c r="D898" s="9" t="s">
        <v>5667</v>
      </c>
      <c r="E898" t="s">
        <v>3194</v>
      </c>
      <c r="F898" t="s">
        <v>143</v>
      </c>
      <c r="G898" t="s">
        <v>47</v>
      </c>
      <c r="H898" s="9" t="s">
        <v>671</v>
      </c>
      <c r="I898" s="9" t="s">
        <v>106</v>
      </c>
      <c r="J898" t="s">
        <v>5668</v>
      </c>
      <c r="K898" s="9" t="s">
        <v>5669</v>
      </c>
      <c r="L898" s="9" t="s">
        <v>5670</v>
      </c>
      <c r="M898" s="9" t="s">
        <v>5671</v>
      </c>
      <c r="N898" s="9" t="s">
        <v>5672</v>
      </c>
      <c r="O898" s="9" t="s">
        <v>5673</v>
      </c>
      <c r="P898" s="10">
        <v>48</v>
      </c>
    </row>
    <row r="899" spans="1:16" ht="409.6" x14ac:dyDescent="0.3">
      <c r="A899" t="s">
        <v>5644</v>
      </c>
      <c r="B899" t="s">
        <v>5645</v>
      </c>
      <c r="C899" t="s">
        <v>68</v>
      </c>
      <c r="D899" s="9" t="s">
        <v>5674</v>
      </c>
      <c r="E899" t="s">
        <v>5675</v>
      </c>
      <c r="F899" t="s">
        <v>143</v>
      </c>
      <c r="G899" t="s">
        <v>47</v>
      </c>
      <c r="H899" s="9" t="s">
        <v>671</v>
      </c>
      <c r="I899" s="9" t="s">
        <v>106</v>
      </c>
      <c r="K899" s="9" t="s">
        <v>5676</v>
      </c>
      <c r="L899" s="9" t="s">
        <v>5677</v>
      </c>
      <c r="M899" s="9" t="s">
        <v>5678</v>
      </c>
      <c r="N899" s="9" t="s">
        <v>5679</v>
      </c>
      <c r="O899" s="9" t="s">
        <v>5680</v>
      </c>
      <c r="P899" s="10">
        <v>48</v>
      </c>
    </row>
    <row r="900" spans="1:16" ht="187.2" x14ac:dyDescent="0.3">
      <c r="A900" t="s">
        <v>5644</v>
      </c>
      <c r="B900" t="s">
        <v>5645</v>
      </c>
      <c r="C900" t="s">
        <v>82</v>
      </c>
      <c r="D900" s="9" t="s">
        <v>5681</v>
      </c>
      <c r="E900" t="s">
        <v>1411</v>
      </c>
      <c r="F900" t="s">
        <v>143</v>
      </c>
      <c r="G900" t="s">
        <v>47</v>
      </c>
      <c r="H900" s="9" t="s">
        <v>671</v>
      </c>
      <c r="I900" s="9" t="s">
        <v>59</v>
      </c>
      <c r="K900" s="9" t="s">
        <v>5682</v>
      </c>
      <c r="L900" s="9" t="s">
        <v>5683</v>
      </c>
      <c r="M900" s="9" t="s">
        <v>5684</v>
      </c>
      <c r="N900" s="9" t="s">
        <v>5685</v>
      </c>
      <c r="O900" s="9" t="s">
        <v>5686</v>
      </c>
      <c r="P900" s="10">
        <v>48</v>
      </c>
    </row>
    <row r="901" spans="1:16" ht="158.4" x14ac:dyDescent="0.3">
      <c r="A901" t="s">
        <v>5644</v>
      </c>
      <c r="B901" t="s">
        <v>5645</v>
      </c>
      <c r="C901" t="s">
        <v>55</v>
      </c>
      <c r="D901" s="9" t="s">
        <v>5687</v>
      </c>
      <c r="E901" t="s">
        <v>5688</v>
      </c>
      <c r="F901" t="s">
        <v>143</v>
      </c>
      <c r="G901" t="s">
        <v>47</v>
      </c>
      <c r="H901" s="9" t="s">
        <v>671</v>
      </c>
      <c r="I901" s="9" t="s">
        <v>59</v>
      </c>
      <c r="K901" s="9" t="s">
        <v>5689</v>
      </c>
      <c r="L901" s="9"/>
      <c r="M901" s="9" t="s">
        <v>5690</v>
      </c>
      <c r="N901" s="9" t="s">
        <v>5691</v>
      </c>
      <c r="O901" s="9" t="s">
        <v>5692</v>
      </c>
      <c r="P901" s="10">
        <v>48</v>
      </c>
    </row>
    <row r="902" spans="1:16" ht="302.39999999999998" x14ac:dyDescent="0.3">
      <c r="A902" t="s">
        <v>5644</v>
      </c>
      <c r="B902" t="s">
        <v>5693</v>
      </c>
      <c r="C902" t="s">
        <v>66</v>
      </c>
      <c r="D902" s="9" t="s">
        <v>5694</v>
      </c>
      <c r="E902" t="s">
        <v>566</v>
      </c>
      <c r="F902" t="s">
        <v>116</v>
      </c>
      <c r="G902" t="s">
        <v>47</v>
      </c>
      <c r="H902" s="9"/>
      <c r="I902" s="9"/>
      <c r="K902" s="9" t="s">
        <v>5695</v>
      </c>
      <c r="L902" s="9"/>
      <c r="M902" s="9" t="s">
        <v>5696</v>
      </c>
      <c r="N902" s="9" t="s">
        <v>5697</v>
      </c>
      <c r="O902" s="9" t="s">
        <v>5698</v>
      </c>
      <c r="P902" s="10">
        <v>52</v>
      </c>
    </row>
    <row r="903" spans="1:16" ht="409.6" x14ac:dyDescent="0.3">
      <c r="A903" t="s">
        <v>5644</v>
      </c>
      <c r="B903" t="s">
        <v>5693</v>
      </c>
      <c r="C903" t="s">
        <v>55</v>
      </c>
      <c r="D903" s="9" t="s">
        <v>5699</v>
      </c>
      <c r="E903" t="s">
        <v>76</v>
      </c>
      <c r="F903" t="s">
        <v>116</v>
      </c>
      <c r="G903" t="s">
        <v>47</v>
      </c>
      <c r="H903" s="9"/>
      <c r="I903" s="9"/>
      <c r="K903" s="9" t="s">
        <v>5700</v>
      </c>
      <c r="L903" s="9"/>
      <c r="M903" s="9" t="s">
        <v>5701</v>
      </c>
      <c r="N903" s="9" t="s">
        <v>5702</v>
      </c>
      <c r="O903" s="9" t="s">
        <v>5703</v>
      </c>
      <c r="P903" s="10">
        <v>52</v>
      </c>
    </row>
    <row r="904" spans="1:16" ht="158.4" x14ac:dyDescent="0.3">
      <c r="A904" t="s">
        <v>5644</v>
      </c>
      <c r="B904" t="s">
        <v>5693</v>
      </c>
      <c r="C904" t="s">
        <v>466</v>
      </c>
      <c r="D904" s="9" t="s">
        <v>5704</v>
      </c>
      <c r="E904" t="s">
        <v>433</v>
      </c>
      <c r="F904" t="s">
        <v>69</v>
      </c>
      <c r="G904" t="s">
        <v>47</v>
      </c>
      <c r="H904" s="9"/>
      <c r="I904" s="9"/>
      <c r="K904" s="9" t="s">
        <v>5705</v>
      </c>
      <c r="L904" s="9"/>
      <c r="M904" s="9" t="s">
        <v>5706</v>
      </c>
      <c r="N904" s="9" t="s">
        <v>5707</v>
      </c>
      <c r="O904" s="9" t="s">
        <v>5708</v>
      </c>
      <c r="P904" s="10">
        <v>52</v>
      </c>
    </row>
    <row r="905" spans="1:16" ht="100.8" x14ac:dyDescent="0.3">
      <c r="A905" t="s">
        <v>5644</v>
      </c>
      <c r="B905" t="s">
        <v>5693</v>
      </c>
      <c r="C905" t="s">
        <v>215</v>
      </c>
      <c r="D905" s="9" t="s">
        <v>5709</v>
      </c>
      <c r="E905" t="s">
        <v>796</v>
      </c>
      <c r="F905" t="s">
        <v>116</v>
      </c>
      <c r="G905" t="s">
        <v>47</v>
      </c>
      <c r="H905" s="9"/>
      <c r="I905" s="9"/>
      <c r="K905" s="9" t="s">
        <v>5710</v>
      </c>
      <c r="L905" s="9"/>
      <c r="M905" s="9" t="s">
        <v>5711</v>
      </c>
      <c r="N905" s="9" t="s">
        <v>5712</v>
      </c>
      <c r="O905" s="9" t="s">
        <v>5713</v>
      </c>
      <c r="P905" s="10">
        <v>52</v>
      </c>
    </row>
    <row r="906" spans="1:16" ht="302.39999999999998" x14ac:dyDescent="0.3">
      <c r="A906" t="s">
        <v>5644</v>
      </c>
      <c r="B906" t="s">
        <v>5693</v>
      </c>
      <c r="C906" t="s">
        <v>597</v>
      </c>
      <c r="D906" s="9" t="s">
        <v>5714</v>
      </c>
      <c r="E906" t="s">
        <v>679</v>
      </c>
      <c r="F906" t="s">
        <v>116</v>
      </c>
      <c r="G906" t="s">
        <v>47</v>
      </c>
      <c r="H906" s="9"/>
      <c r="I906" s="9"/>
      <c r="K906" s="9" t="s">
        <v>5715</v>
      </c>
      <c r="L906" s="9"/>
      <c r="M906" s="9" t="s">
        <v>5716</v>
      </c>
      <c r="N906" s="9" t="s">
        <v>5717</v>
      </c>
      <c r="O906" s="9" t="s">
        <v>5718</v>
      </c>
      <c r="P906" s="10">
        <v>52</v>
      </c>
    </row>
    <row r="907" spans="1:16" ht="158.4" x14ac:dyDescent="0.3">
      <c r="A907" t="s">
        <v>5644</v>
      </c>
      <c r="B907" t="s">
        <v>5719</v>
      </c>
      <c r="C907" t="s">
        <v>66</v>
      </c>
      <c r="D907" s="9" t="s">
        <v>5720</v>
      </c>
      <c r="E907" t="s">
        <v>369</v>
      </c>
      <c r="F907" t="s">
        <v>69</v>
      </c>
      <c r="G907" t="s">
        <v>47</v>
      </c>
      <c r="H907" s="9"/>
      <c r="I907" s="9"/>
      <c r="K907" s="9" t="s">
        <v>5721</v>
      </c>
      <c r="L907" s="9"/>
      <c r="M907" s="9" t="s">
        <v>5722</v>
      </c>
      <c r="N907" s="9" t="s">
        <v>5723</v>
      </c>
      <c r="O907" s="9" t="s">
        <v>5724</v>
      </c>
      <c r="P907" s="10">
        <v>53</v>
      </c>
    </row>
    <row r="908" spans="1:16" ht="316.8" x14ac:dyDescent="0.3">
      <c r="A908" t="s">
        <v>5644</v>
      </c>
      <c r="B908" t="s">
        <v>5719</v>
      </c>
      <c r="C908" t="s">
        <v>43</v>
      </c>
      <c r="D908" s="9" t="s">
        <v>5725</v>
      </c>
      <c r="E908" t="s">
        <v>583</v>
      </c>
      <c r="F908" t="s">
        <v>69</v>
      </c>
      <c r="G908" t="s">
        <v>47</v>
      </c>
      <c r="H908" s="9"/>
      <c r="I908" s="9" t="s">
        <v>5726</v>
      </c>
      <c r="K908" s="9" t="s">
        <v>5727</v>
      </c>
      <c r="L908" s="9"/>
      <c r="M908" s="9" t="s">
        <v>5728</v>
      </c>
      <c r="N908" s="9" t="s">
        <v>5729</v>
      </c>
      <c r="O908" s="9" t="s">
        <v>5730</v>
      </c>
      <c r="P908" s="10">
        <v>53</v>
      </c>
    </row>
    <row r="909" spans="1:16" ht="100.8" x14ac:dyDescent="0.3">
      <c r="A909" t="s">
        <v>5644</v>
      </c>
      <c r="B909" t="s">
        <v>5719</v>
      </c>
      <c r="C909" t="s">
        <v>82</v>
      </c>
      <c r="D909" s="9" t="s">
        <v>5731</v>
      </c>
      <c r="E909" t="s">
        <v>76</v>
      </c>
      <c r="F909" t="s">
        <v>69</v>
      </c>
      <c r="G909" t="s">
        <v>47</v>
      </c>
      <c r="H909" s="9"/>
      <c r="I909" s="9" t="s">
        <v>106</v>
      </c>
      <c r="K909" s="9" t="s">
        <v>5732</v>
      </c>
      <c r="L909" s="9"/>
      <c r="M909" s="9" t="s">
        <v>5733</v>
      </c>
      <c r="N909" s="9" t="s">
        <v>5734</v>
      </c>
      <c r="O909" s="9" t="s">
        <v>5735</v>
      </c>
      <c r="P909" s="10">
        <v>53</v>
      </c>
    </row>
    <row r="910" spans="1:16" ht="100.8" x14ac:dyDescent="0.3">
      <c r="A910" t="s">
        <v>5644</v>
      </c>
      <c r="B910" t="s">
        <v>5719</v>
      </c>
      <c r="C910" t="s">
        <v>449</v>
      </c>
      <c r="D910" s="9" t="s">
        <v>5736</v>
      </c>
      <c r="E910" t="s">
        <v>369</v>
      </c>
      <c r="F910" t="s">
        <v>116</v>
      </c>
      <c r="G910" t="s">
        <v>47</v>
      </c>
      <c r="H910" s="9"/>
      <c r="I910" s="9" t="s">
        <v>5726</v>
      </c>
      <c r="K910" s="9" t="s">
        <v>5737</v>
      </c>
      <c r="L910" s="9" t="s">
        <v>5738</v>
      </c>
      <c r="M910" s="9" t="s">
        <v>5739</v>
      </c>
      <c r="N910" s="9"/>
      <c r="O910" s="9" t="s">
        <v>5740</v>
      </c>
      <c r="P910" s="10">
        <v>53</v>
      </c>
    </row>
    <row r="911" spans="1:16" ht="86.4" x14ac:dyDescent="0.3">
      <c r="A911" t="s">
        <v>5644</v>
      </c>
      <c r="B911" t="s">
        <v>5719</v>
      </c>
      <c r="C911" t="s">
        <v>458</v>
      </c>
      <c r="D911" s="9" t="s">
        <v>5741</v>
      </c>
      <c r="E911" t="s">
        <v>433</v>
      </c>
      <c r="F911" t="s">
        <v>69</v>
      </c>
      <c r="G911" t="s">
        <v>47</v>
      </c>
      <c r="H911" s="9"/>
      <c r="I911" s="9" t="s">
        <v>5726</v>
      </c>
      <c r="K911" s="9" t="s">
        <v>5742</v>
      </c>
      <c r="L911" s="9" t="s">
        <v>5743</v>
      </c>
      <c r="M911" s="9" t="s">
        <v>5739</v>
      </c>
      <c r="N911" s="9"/>
      <c r="O911" s="9" t="s">
        <v>5740</v>
      </c>
      <c r="P911" s="10">
        <v>53</v>
      </c>
    </row>
    <row r="912" spans="1:16" ht="158.4" x14ac:dyDescent="0.3">
      <c r="A912" t="s">
        <v>5644</v>
      </c>
      <c r="B912" t="s">
        <v>5744</v>
      </c>
      <c r="C912" t="s">
        <v>369</v>
      </c>
      <c r="D912" s="9" t="s">
        <v>5745</v>
      </c>
      <c r="E912" t="s">
        <v>66</v>
      </c>
      <c r="F912" t="s">
        <v>143</v>
      </c>
      <c r="G912" t="s">
        <v>47</v>
      </c>
      <c r="H912" s="9" t="s">
        <v>1509</v>
      </c>
      <c r="I912" s="9" t="s">
        <v>307</v>
      </c>
      <c r="J912" t="s">
        <v>5746</v>
      </c>
      <c r="K912" s="9" t="s">
        <v>5747</v>
      </c>
      <c r="L912" s="9"/>
      <c r="M912" s="9" t="s">
        <v>5748</v>
      </c>
      <c r="N912" s="9" t="s">
        <v>5749</v>
      </c>
      <c r="O912" s="9" t="s">
        <v>5750</v>
      </c>
      <c r="P912" s="10">
        <v>45</v>
      </c>
    </row>
    <row r="913" spans="1:16" ht="86.4" x14ac:dyDescent="0.3">
      <c r="A913" t="s">
        <v>5644</v>
      </c>
      <c r="B913" t="s">
        <v>5744</v>
      </c>
      <c r="C913" t="s">
        <v>74</v>
      </c>
      <c r="D913" s="9" t="s">
        <v>5751</v>
      </c>
      <c r="E913" t="s">
        <v>566</v>
      </c>
      <c r="F913" t="s">
        <v>143</v>
      </c>
      <c r="G913" t="s">
        <v>47</v>
      </c>
      <c r="H913" s="9" t="s">
        <v>711</v>
      </c>
      <c r="I913" s="9"/>
      <c r="K913" s="9" t="s">
        <v>5752</v>
      </c>
      <c r="L913" s="9"/>
      <c r="M913" s="9" t="s">
        <v>5753</v>
      </c>
      <c r="N913" s="9"/>
      <c r="O913" s="9" t="s">
        <v>5754</v>
      </c>
      <c r="P913" s="10">
        <v>45</v>
      </c>
    </row>
    <row r="914" spans="1:16" ht="144" x14ac:dyDescent="0.3">
      <c r="A914" t="s">
        <v>5644</v>
      </c>
      <c r="B914" t="s">
        <v>5744</v>
      </c>
      <c r="C914" t="s">
        <v>43</v>
      </c>
      <c r="D914" s="9" t="s">
        <v>5755</v>
      </c>
      <c r="E914" t="s">
        <v>2967</v>
      </c>
      <c r="F914" t="s">
        <v>143</v>
      </c>
      <c r="G914" t="s">
        <v>47</v>
      </c>
      <c r="H914" s="9" t="s">
        <v>5756</v>
      </c>
      <c r="I914" s="9" t="s">
        <v>307</v>
      </c>
      <c r="J914" t="s">
        <v>5746</v>
      </c>
      <c r="K914" s="9" t="s">
        <v>5757</v>
      </c>
      <c r="L914" s="9"/>
      <c r="M914" s="9" t="s">
        <v>5758</v>
      </c>
      <c r="N914" s="9" t="s">
        <v>5759</v>
      </c>
      <c r="O914" s="9" t="s">
        <v>5760</v>
      </c>
      <c r="P914" s="10">
        <v>45</v>
      </c>
    </row>
    <row r="915" spans="1:16" ht="129.6" x14ac:dyDescent="0.3">
      <c r="A915" t="s">
        <v>5644</v>
      </c>
      <c r="B915" t="s">
        <v>5744</v>
      </c>
      <c r="C915" t="s">
        <v>68</v>
      </c>
      <c r="D915" s="9" t="s">
        <v>5761</v>
      </c>
      <c r="E915" t="s">
        <v>76</v>
      </c>
      <c r="F915" t="s">
        <v>143</v>
      </c>
      <c r="G915" t="s">
        <v>47</v>
      </c>
      <c r="H915" s="9" t="s">
        <v>5762</v>
      </c>
      <c r="I915" s="9" t="s">
        <v>307</v>
      </c>
      <c r="J915" t="s">
        <v>5746</v>
      </c>
      <c r="K915" s="9" t="s">
        <v>5763</v>
      </c>
      <c r="L915" s="9"/>
      <c r="M915" s="9" t="s">
        <v>5764</v>
      </c>
      <c r="N915" s="9" t="s">
        <v>5765</v>
      </c>
      <c r="O915" s="9" t="s">
        <v>5766</v>
      </c>
      <c r="P915" s="10">
        <v>45</v>
      </c>
    </row>
    <row r="916" spans="1:16" ht="158.4" x14ac:dyDescent="0.3">
      <c r="A916" t="s">
        <v>5644</v>
      </c>
      <c r="B916" t="s">
        <v>5767</v>
      </c>
      <c r="C916" t="s">
        <v>369</v>
      </c>
      <c r="D916" s="9" t="s">
        <v>5745</v>
      </c>
      <c r="E916" t="s">
        <v>66</v>
      </c>
      <c r="F916" t="s">
        <v>143</v>
      </c>
      <c r="G916" t="s">
        <v>47</v>
      </c>
      <c r="H916" s="9" t="s">
        <v>1509</v>
      </c>
      <c r="I916" s="9" t="s">
        <v>307</v>
      </c>
      <c r="J916" t="s">
        <v>5746</v>
      </c>
      <c r="K916" s="9" t="s">
        <v>5747</v>
      </c>
      <c r="L916" s="9"/>
      <c r="M916" s="9" t="s">
        <v>5748</v>
      </c>
      <c r="N916" s="9" t="s">
        <v>5749</v>
      </c>
      <c r="O916" s="9" t="s">
        <v>5750</v>
      </c>
      <c r="P916" s="10">
        <v>46</v>
      </c>
    </row>
    <row r="917" spans="1:16" ht="86.4" x14ac:dyDescent="0.3">
      <c r="A917" t="s">
        <v>5644</v>
      </c>
      <c r="B917" t="s">
        <v>5767</v>
      </c>
      <c r="C917" t="s">
        <v>74</v>
      </c>
      <c r="D917" s="9" t="s">
        <v>5751</v>
      </c>
      <c r="E917" t="s">
        <v>566</v>
      </c>
      <c r="F917" t="s">
        <v>143</v>
      </c>
      <c r="G917" t="s">
        <v>47</v>
      </c>
      <c r="H917" s="9" t="s">
        <v>711</v>
      </c>
      <c r="I917" s="9"/>
      <c r="K917" s="9" t="s">
        <v>5752</v>
      </c>
      <c r="L917" s="9"/>
      <c r="M917" s="9" t="s">
        <v>5753</v>
      </c>
      <c r="N917" s="9"/>
      <c r="O917" s="9" t="s">
        <v>5754</v>
      </c>
      <c r="P917" s="10">
        <v>46</v>
      </c>
    </row>
    <row r="918" spans="1:16" ht="144" x14ac:dyDescent="0.3">
      <c r="A918" t="s">
        <v>5644</v>
      </c>
      <c r="B918" t="s">
        <v>5767</v>
      </c>
      <c r="C918" t="s">
        <v>43</v>
      </c>
      <c r="D918" s="9" t="s">
        <v>5755</v>
      </c>
      <c r="E918" t="s">
        <v>2967</v>
      </c>
      <c r="F918" t="s">
        <v>143</v>
      </c>
      <c r="G918" t="s">
        <v>47</v>
      </c>
      <c r="H918" s="9" t="s">
        <v>5756</v>
      </c>
      <c r="I918" s="9" t="s">
        <v>307</v>
      </c>
      <c r="J918" t="s">
        <v>5746</v>
      </c>
      <c r="K918" s="9" t="s">
        <v>5757</v>
      </c>
      <c r="L918" s="9"/>
      <c r="M918" s="9" t="s">
        <v>5768</v>
      </c>
      <c r="N918" s="9" t="s">
        <v>5759</v>
      </c>
      <c r="O918" s="9" t="s">
        <v>5760</v>
      </c>
      <c r="P918" s="10">
        <v>46</v>
      </c>
    </row>
    <row r="919" spans="1:16" ht="129.6" x14ac:dyDescent="0.3">
      <c r="A919" t="s">
        <v>5644</v>
      </c>
      <c r="B919" t="s">
        <v>5767</v>
      </c>
      <c r="C919" t="s">
        <v>68</v>
      </c>
      <c r="D919" s="9" t="s">
        <v>5761</v>
      </c>
      <c r="E919" t="s">
        <v>76</v>
      </c>
      <c r="F919" t="s">
        <v>143</v>
      </c>
      <c r="G919" t="s">
        <v>47</v>
      </c>
      <c r="H919" s="9" t="s">
        <v>3880</v>
      </c>
      <c r="I919" s="9" t="s">
        <v>307</v>
      </c>
      <c r="J919" t="s">
        <v>5746</v>
      </c>
      <c r="K919" s="9" t="s">
        <v>5769</v>
      </c>
      <c r="L919" s="9"/>
      <c r="M919" s="9" t="s">
        <v>5764</v>
      </c>
      <c r="N919" s="9" t="s">
        <v>5770</v>
      </c>
      <c r="O919" s="9" t="s">
        <v>5766</v>
      </c>
      <c r="P919" s="10">
        <v>46</v>
      </c>
    </row>
    <row r="920" spans="1:16" ht="115.2" x14ac:dyDescent="0.3">
      <c r="A920" t="s">
        <v>5644</v>
      </c>
      <c r="B920" t="s">
        <v>5771</v>
      </c>
      <c r="C920" t="s">
        <v>369</v>
      </c>
      <c r="D920" s="9" t="s">
        <v>5772</v>
      </c>
      <c r="E920" t="s">
        <v>557</v>
      </c>
      <c r="F920" t="s">
        <v>143</v>
      </c>
      <c r="G920" t="s">
        <v>47</v>
      </c>
      <c r="H920" s="9" t="s">
        <v>1630</v>
      </c>
      <c r="I920" s="9" t="s">
        <v>307</v>
      </c>
      <c r="J920" t="s">
        <v>5746</v>
      </c>
      <c r="K920" s="9" t="s">
        <v>5773</v>
      </c>
      <c r="L920" s="9" t="s">
        <v>5774</v>
      </c>
      <c r="M920" s="9" t="s">
        <v>5775</v>
      </c>
      <c r="N920" s="9"/>
      <c r="O920" s="9" t="s">
        <v>5776</v>
      </c>
      <c r="P920" s="10">
        <v>47</v>
      </c>
    </row>
    <row r="921" spans="1:16" ht="100.8" x14ac:dyDescent="0.3">
      <c r="A921" t="s">
        <v>5644</v>
      </c>
      <c r="B921" t="s">
        <v>5771</v>
      </c>
      <c r="C921" t="s">
        <v>66</v>
      </c>
      <c r="D921" s="9" t="s">
        <v>5777</v>
      </c>
      <c r="E921" t="s">
        <v>566</v>
      </c>
      <c r="F921" t="s">
        <v>143</v>
      </c>
      <c r="G921" t="s">
        <v>47</v>
      </c>
      <c r="H921" s="9" t="s">
        <v>1630</v>
      </c>
      <c r="I921" s="9" t="s">
        <v>307</v>
      </c>
      <c r="J921" t="s">
        <v>5746</v>
      </c>
      <c r="K921" s="9" t="s">
        <v>5778</v>
      </c>
      <c r="L921" s="9" t="s">
        <v>5779</v>
      </c>
      <c r="M921" s="9" t="s">
        <v>5780</v>
      </c>
      <c r="N921" s="9" t="s">
        <v>5781</v>
      </c>
      <c r="O921" s="9" t="s">
        <v>5782</v>
      </c>
      <c r="P921" s="10">
        <v>47</v>
      </c>
    </row>
    <row r="922" spans="1:16" ht="115.2" x14ac:dyDescent="0.3">
      <c r="A922" t="s">
        <v>5644</v>
      </c>
      <c r="B922" t="s">
        <v>5771</v>
      </c>
      <c r="C922" t="s">
        <v>74</v>
      </c>
      <c r="D922" s="9" t="s">
        <v>5783</v>
      </c>
      <c r="E922" t="s">
        <v>583</v>
      </c>
      <c r="F922" t="s">
        <v>143</v>
      </c>
      <c r="G922" t="s">
        <v>47</v>
      </c>
      <c r="H922" s="9" t="s">
        <v>2248</v>
      </c>
      <c r="I922" s="9" t="s">
        <v>307</v>
      </c>
      <c r="J922" t="s">
        <v>5746</v>
      </c>
      <c r="K922" s="9" t="s">
        <v>5784</v>
      </c>
      <c r="L922" s="9" t="s">
        <v>5785</v>
      </c>
      <c r="M922" s="9" t="s">
        <v>5786</v>
      </c>
      <c r="N922" s="9" t="s">
        <v>5787</v>
      </c>
      <c r="O922" s="9" t="s">
        <v>5788</v>
      </c>
      <c r="P922" s="10">
        <v>47</v>
      </c>
    </row>
    <row r="923" spans="1:16" ht="100.8" x14ac:dyDescent="0.3">
      <c r="A923" t="s">
        <v>5644</v>
      </c>
      <c r="B923" t="s">
        <v>5771</v>
      </c>
      <c r="C923" t="s">
        <v>43</v>
      </c>
      <c r="D923" s="9" t="s">
        <v>5789</v>
      </c>
      <c r="E923" t="s">
        <v>1039</v>
      </c>
      <c r="F923" t="s">
        <v>143</v>
      </c>
      <c r="G923" t="s">
        <v>47</v>
      </c>
      <c r="H923" s="9" t="s">
        <v>1630</v>
      </c>
      <c r="I923" s="9" t="s">
        <v>307</v>
      </c>
      <c r="J923" t="s">
        <v>5746</v>
      </c>
      <c r="K923" s="9" t="s">
        <v>5790</v>
      </c>
      <c r="L923" s="9" t="s">
        <v>5791</v>
      </c>
      <c r="M923" s="9" t="s">
        <v>5792</v>
      </c>
      <c r="N923" s="9" t="s">
        <v>5793</v>
      </c>
      <c r="O923" s="9" t="s">
        <v>5794</v>
      </c>
      <c r="P923" s="10">
        <v>47</v>
      </c>
    </row>
    <row r="924" spans="1:16" ht="100.8" x14ac:dyDescent="0.3">
      <c r="A924" t="s">
        <v>5644</v>
      </c>
      <c r="B924" t="s">
        <v>5771</v>
      </c>
      <c r="C924" t="s">
        <v>68</v>
      </c>
      <c r="D924" s="9" t="s">
        <v>5795</v>
      </c>
      <c r="E924" t="s">
        <v>76</v>
      </c>
      <c r="F924" t="s">
        <v>143</v>
      </c>
      <c r="G924" t="s">
        <v>47</v>
      </c>
      <c r="H924" s="9" t="s">
        <v>1630</v>
      </c>
      <c r="I924" s="9" t="s">
        <v>307</v>
      </c>
      <c r="J924" t="s">
        <v>5746</v>
      </c>
      <c r="K924" s="9" t="s">
        <v>5796</v>
      </c>
      <c r="L924" s="9" t="s">
        <v>5797</v>
      </c>
      <c r="M924" s="9" t="s">
        <v>5798</v>
      </c>
      <c r="N924" s="9" t="s">
        <v>5799</v>
      </c>
      <c r="O924" s="9" t="s">
        <v>5800</v>
      </c>
      <c r="P924" s="10">
        <v>47</v>
      </c>
    </row>
    <row r="925" spans="1:16" ht="115.2" x14ac:dyDescent="0.3">
      <c r="A925" t="s">
        <v>5644</v>
      </c>
      <c r="B925" t="s">
        <v>5771</v>
      </c>
      <c r="C925" t="s">
        <v>82</v>
      </c>
      <c r="D925" s="9" t="s">
        <v>5801</v>
      </c>
      <c r="E925" t="s">
        <v>1003</v>
      </c>
      <c r="F925" t="s">
        <v>143</v>
      </c>
      <c r="G925" t="s">
        <v>47</v>
      </c>
      <c r="H925" s="9" t="s">
        <v>1630</v>
      </c>
      <c r="I925" s="9" t="s">
        <v>307</v>
      </c>
      <c r="J925" t="s">
        <v>5746</v>
      </c>
      <c r="K925" s="9" t="s">
        <v>5802</v>
      </c>
      <c r="L925" s="9" t="s">
        <v>5803</v>
      </c>
      <c r="M925" s="9" t="s">
        <v>5804</v>
      </c>
      <c r="N925" s="9" t="s">
        <v>5805</v>
      </c>
      <c r="O925" s="9" t="s">
        <v>5806</v>
      </c>
      <c r="P925" s="10">
        <v>47</v>
      </c>
    </row>
    <row r="926" spans="1:16" ht="129.6" x14ac:dyDescent="0.3">
      <c r="A926" t="s">
        <v>5644</v>
      </c>
      <c r="B926" t="s">
        <v>5771</v>
      </c>
      <c r="C926" t="s">
        <v>55</v>
      </c>
      <c r="D926" s="9" t="s">
        <v>5807</v>
      </c>
      <c r="E926" t="s">
        <v>5653</v>
      </c>
      <c r="F926" t="s">
        <v>143</v>
      </c>
      <c r="G926" t="s">
        <v>47</v>
      </c>
      <c r="H926" s="9" t="s">
        <v>5808</v>
      </c>
      <c r="I926" s="9" t="s">
        <v>614</v>
      </c>
      <c r="J926" t="s">
        <v>5809</v>
      </c>
      <c r="K926" s="9" t="s">
        <v>5810</v>
      </c>
      <c r="L926" s="9" t="s">
        <v>5811</v>
      </c>
      <c r="M926" s="9" t="s">
        <v>5812</v>
      </c>
      <c r="N926" s="9" t="s">
        <v>5813</v>
      </c>
      <c r="O926" s="9" t="s">
        <v>5814</v>
      </c>
      <c r="P926" s="10">
        <v>47</v>
      </c>
    </row>
    <row r="927" spans="1:16" ht="115.2" x14ac:dyDescent="0.3">
      <c r="A927" t="s">
        <v>5644</v>
      </c>
      <c r="B927" t="s">
        <v>5771</v>
      </c>
      <c r="C927" t="s">
        <v>424</v>
      </c>
      <c r="D927" s="9" t="s">
        <v>5815</v>
      </c>
      <c r="E927" t="s">
        <v>796</v>
      </c>
      <c r="F927" t="s">
        <v>143</v>
      </c>
      <c r="G927" t="s">
        <v>47</v>
      </c>
      <c r="H927" s="9" t="s">
        <v>1630</v>
      </c>
      <c r="I927" s="9" t="s">
        <v>614</v>
      </c>
      <c r="J927" t="s">
        <v>5809</v>
      </c>
      <c r="K927" s="9" t="s">
        <v>5816</v>
      </c>
      <c r="L927" s="9" t="s">
        <v>5817</v>
      </c>
      <c r="M927" s="9" t="s">
        <v>5818</v>
      </c>
      <c r="N927" s="9" t="s">
        <v>5819</v>
      </c>
      <c r="O927" s="9" t="s">
        <v>5820</v>
      </c>
      <c r="P927" s="10">
        <v>47</v>
      </c>
    </row>
    <row r="928" spans="1:16" ht="100.8" x14ac:dyDescent="0.3">
      <c r="A928" t="s">
        <v>5644</v>
      </c>
      <c r="B928" t="s">
        <v>5771</v>
      </c>
      <c r="C928" t="s">
        <v>433</v>
      </c>
      <c r="D928" s="9" t="s">
        <v>5821</v>
      </c>
      <c r="E928" t="s">
        <v>441</v>
      </c>
      <c r="F928" t="s">
        <v>143</v>
      </c>
      <c r="G928" t="s">
        <v>47</v>
      </c>
      <c r="H928" s="9" t="s">
        <v>2248</v>
      </c>
      <c r="I928" s="9" t="s">
        <v>614</v>
      </c>
      <c r="J928" t="s">
        <v>5809</v>
      </c>
      <c r="K928" s="9" t="s">
        <v>5822</v>
      </c>
      <c r="L928" s="9" t="s">
        <v>5823</v>
      </c>
      <c r="M928" s="9" t="s">
        <v>5824</v>
      </c>
      <c r="N928" s="9" t="s">
        <v>5825</v>
      </c>
      <c r="O928" s="9" t="s">
        <v>5826</v>
      </c>
      <c r="P928" s="10">
        <v>47</v>
      </c>
    </row>
    <row r="929" spans="1:16" ht="172.8" x14ac:dyDescent="0.3">
      <c r="A929" t="s">
        <v>5644</v>
      </c>
      <c r="B929" t="s">
        <v>5771</v>
      </c>
      <c r="C929" t="s">
        <v>441</v>
      </c>
      <c r="D929" s="9" t="s">
        <v>5827</v>
      </c>
      <c r="E929" t="s">
        <v>1777</v>
      </c>
      <c r="F929" t="s">
        <v>143</v>
      </c>
      <c r="G929" t="s">
        <v>47</v>
      </c>
      <c r="H929" s="9" t="s">
        <v>2230</v>
      </c>
      <c r="I929" s="9" t="s">
        <v>614</v>
      </c>
      <c r="J929" t="s">
        <v>5809</v>
      </c>
      <c r="K929" s="9" t="s">
        <v>5828</v>
      </c>
      <c r="L929" s="9" t="s">
        <v>5829</v>
      </c>
      <c r="M929" s="9" t="s">
        <v>5830</v>
      </c>
      <c r="N929" s="9" t="s">
        <v>5831</v>
      </c>
      <c r="O929" s="9" t="s">
        <v>5832</v>
      </c>
      <c r="P929" s="10">
        <v>47</v>
      </c>
    </row>
    <row r="930" spans="1:16" ht="72" x14ac:dyDescent="0.3">
      <c r="A930" t="s">
        <v>5644</v>
      </c>
      <c r="B930" t="s">
        <v>5771</v>
      </c>
      <c r="C930" t="s">
        <v>449</v>
      </c>
      <c r="D930" s="9" t="s">
        <v>5833</v>
      </c>
      <c r="E930" t="s">
        <v>869</v>
      </c>
      <c r="F930" t="s">
        <v>143</v>
      </c>
      <c r="G930" t="s">
        <v>47</v>
      </c>
      <c r="H930" s="9" t="s">
        <v>1630</v>
      </c>
      <c r="I930" s="9" t="s">
        <v>614</v>
      </c>
      <c r="J930" t="s">
        <v>5809</v>
      </c>
      <c r="K930" s="9" t="s">
        <v>5834</v>
      </c>
      <c r="L930" s="9" t="s">
        <v>5835</v>
      </c>
      <c r="M930" s="9" t="s">
        <v>5836</v>
      </c>
      <c r="N930" s="9"/>
      <c r="O930" s="9" t="s">
        <v>5837</v>
      </c>
      <c r="P930" s="10">
        <v>47</v>
      </c>
    </row>
    <row r="931" spans="1:16" ht="86.4" x14ac:dyDescent="0.3">
      <c r="A931" t="s">
        <v>5644</v>
      </c>
      <c r="B931" t="s">
        <v>5771</v>
      </c>
      <c r="C931" t="s">
        <v>458</v>
      </c>
      <c r="D931" s="9" t="s">
        <v>5838</v>
      </c>
      <c r="E931" t="s">
        <v>5839</v>
      </c>
      <c r="F931" t="s">
        <v>116</v>
      </c>
      <c r="G931" t="s">
        <v>47</v>
      </c>
      <c r="H931" s="9" t="s">
        <v>1630</v>
      </c>
      <c r="I931" s="9" t="s">
        <v>614</v>
      </c>
      <c r="J931" t="s">
        <v>5809</v>
      </c>
      <c r="K931" s="9" t="s">
        <v>5840</v>
      </c>
      <c r="L931" s="9" t="s">
        <v>5841</v>
      </c>
      <c r="M931" s="9" t="s">
        <v>5842</v>
      </c>
      <c r="N931" s="9"/>
      <c r="O931" s="9" t="s">
        <v>5843</v>
      </c>
      <c r="P931" s="10">
        <v>47</v>
      </c>
    </row>
    <row r="932" spans="1:16" ht="172.8" x14ac:dyDescent="0.3">
      <c r="A932" t="s">
        <v>5644</v>
      </c>
      <c r="B932" t="s">
        <v>5844</v>
      </c>
      <c r="C932" t="s">
        <v>369</v>
      </c>
      <c r="D932" s="9" t="s">
        <v>5845</v>
      </c>
      <c r="E932" t="s">
        <v>1768</v>
      </c>
      <c r="F932" t="s">
        <v>143</v>
      </c>
      <c r="G932" t="s">
        <v>47</v>
      </c>
      <c r="H932" s="9" t="s">
        <v>2889</v>
      </c>
      <c r="I932" s="9" t="s">
        <v>5846</v>
      </c>
      <c r="J932" t="s">
        <v>5847</v>
      </c>
      <c r="K932" s="9" t="s">
        <v>5848</v>
      </c>
      <c r="L932" s="9" t="s">
        <v>5849</v>
      </c>
      <c r="M932" s="9" t="s">
        <v>5850</v>
      </c>
      <c r="N932" s="9" t="s">
        <v>5851</v>
      </c>
      <c r="O932" s="9" t="s">
        <v>5852</v>
      </c>
      <c r="P932" s="10">
        <v>49</v>
      </c>
    </row>
    <row r="933" spans="1:16" ht="144" x14ac:dyDescent="0.3">
      <c r="A933" t="s">
        <v>5644</v>
      </c>
      <c r="B933" t="s">
        <v>5844</v>
      </c>
      <c r="C933" t="s">
        <v>66</v>
      </c>
      <c r="D933" s="9" t="s">
        <v>5853</v>
      </c>
      <c r="E933" t="s">
        <v>1841</v>
      </c>
      <c r="F933" t="s">
        <v>143</v>
      </c>
      <c r="G933" t="s">
        <v>47</v>
      </c>
      <c r="H933" s="9" t="s">
        <v>2889</v>
      </c>
      <c r="I933" s="9" t="s">
        <v>5846</v>
      </c>
      <c r="J933" t="s">
        <v>5847</v>
      </c>
      <c r="K933" s="9" t="s">
        <v>5854</v>
      </c>
      <c r="L933" s="9" t="s">
        <v>5855</v>
      </c>
      <c r="M933" s="9" t="s">
        <v>5856</v>
      </c>
      <c r="N933" s="9" t="s">
        <v>5857</v>
      </c>
      <c r="O933" s="9" t="s">
        <v>5858</v>
      </c>
      <c r="P933" s="10">
        <v>49</v>
      </c>
    </row>
    <row r="934" spans="1:16" ht="158.4" x14ac:dyDescent="0.3">
      <c r="A934" t="s">
        <v>5644</v>
      </c>
      <c r="B934" t="s">
        <v>5844</v>
      </c>
      <c r="C934" t="s">
        <v>74</v>
      </c>
      <c r="D934" s="9" t="s">
        <v>5859</v>
      </c>
      <c r="E934" t="s">
        <v>1794</v>
      </c>
      <c r="F934" t="s">
        <v>143</v>
      </c>
      <c r="G934" t="s">
        <v>47</v>
      </c>
      <c r="H934" s="9" t="s">
        <v>2889</v>
      </c>
      <c r="I934" s="9" t="s">
        <v>5846</v>
      </c>
      <c r="J934" t="s">
        <v>5847</v>
      </c>
      <c r="K934" s="9" t="s">
        <v>5860</v>
      </c>
      <c r="L934" s="9" t="s">
        <v>5861</v>
      </c>
      <c r="M934" s="9" t="s">
        <v>5862</v>
      </c>
      <c r="N934" s="9" t="s">
        <v>5863</v>
      </c>
      <c r="O934" s="9" t="s">
        <v>5864</v>
      </c>
      <c r="P934" s="10">
        <v>49</v>
      </c>
    </row>
    <row r="935" spans="1:16" ht="216" x14ac:dyDescent="0.3">
      <c r="A935" t="s">
        <v>5644</v>
      </c>
      <c r="B935" t="s">
        <v>5844</v>
      </c>
      <c r="C935" t="s">
        <v>43</v>
      </c>
      <c r="D935" s="9" t="s">
        <v>5865</v>
      </c>
      <c r="E935" t="s">
        <v>1313</v>
      </c>
      <c r="F935" t="s">
        <v>143</v>
      </c>
      <c r="G935" t="s">
        <v>47</v>
      </c>
      <c r="H935" s="9"/>
      <c r="I935" s="9" t="s">
        <v>59</v>
      </c>
      <c r="J935" t="s">
        <v>5866</v>
      </c>
      <c r="K935" s="9" t="s">
        <v>5867</v>
      </c>
      <c r="L935" s="9" t="s">
        <v>5868</v>
      </c>
      <c r="M935" s="9" t="s">
        <v>5869</v>
      </c>
      <c r="N935" s="9" t="s">
        <v>5870</v>
      </c>
      <c r="O935" s="9" t="s">
        <v>5871</v>
      </c>
      <c r="P935" s="10">
        <v>49</v>
      </c>
    </row>
    <row r="936" spans="1:16" ht="144" x14ac:dyDescent="0.3">
      <c r="A936" t="s">
        <v>5644</v>
      </c>
      <c r="B936" t="s">
        <v>5844</v>
      </c>
      <c r="C936" t="s">
        <v>68</v>
      </c>
      <c r="D936" s="9" t="s">
        <v>5872</v>
      </c>
      <c r="E936" t="s">
        <v>1321</v>
      </c>
      <c r="F936" t="s">
        <v>143</v>
      </c>
      <c r="G936" t="s">
        <v>47</v>
      </c>
      <c r="H936" s="9"/>
      <c r="I936" s="9" t="s">
        <v>144</v>
      </c>
      <c r="J936" t="s">
        <v>5866</v>
      </c>
      <c r="K936" s="9" t="s">
        <v>5873</v>
      </c>
      <c r="L936" s="9" t="s">
        <v>5874</v>
      </c>
      <c r="M936" s="9" t="s">
        <v>5875</v>
      </c>
      <c r="N936" s="9" t="s">
        <v>5876</v>
      </c>
      <c r="O936" s="9" t="s">
        <v>5877</v>
      </c>
      <c r="P936" s="10">
        <v>49</v>
      </c>
    </row>
    <row r="937" spans="1:16" ht="115.2" x14ac:dyDescent="0.3">
      <c r="A937" t="s">
        <v>5644</v>
      </c>
      <c r="B937" t="s">
        <v>5844</v>
      </c>
      <c r="C937" t="s">
        <v>82</v>
      </c>
      <c r="D937" s="9" t="s">
        <v>5878</v>
      </c>
      <c r="E937" t="s">
        <v>1329</v>
      </c>
      <c r="F937" t="s">
        <v>143</v>
      </c>
      <c r="G937" t="s">
        <v>47</v>
      </c>
      <c r="H937" s="9"/>
      <c r="I937" s="9" t="s">
        <v>59</v>
      </c>
      <c r="J937" t="s">
        <v>5866</v>
      </c>
      <c r="K937" s="9" t="s">
        <v>5879</v>
      </c>
      <c r="L937" s="9" t="s">
        <v>5880</v>
      </c>
      <c r="M937" s="9" t="s">
        <v>5881</v>
      </c>
      <c r="N937" s="9" t="s">
        <v>5882</v>
      </c>
      <c r="O937" s="9" t="s">
        <v>5883</v>
      </c>
      <c r="P937" s="10">
        <v>49</v>
      </c>
    </row>
    <row r="938" spans="1:16" ht="100.8" x14ac:dyDescent="0.3">
      <c r="A938" t="s">
        <v>5644</v>
      </c>
      <c r="B938" t="s">
        <v>5844</v>
      </c>
      <c r="C938" t="s">
        <v>55</v>
      </c>
      <c r="D938" s="9" t="s">
        <v>5884</v>
      </c>
      <c r="E938" t="s">
        <v>989</v>
      </c>
      <c r="F938" t="s">
        <v>143</v>
      </c>
      <c r="G938" t="s">
        <v>47</v>
      </c>
      <c r="H938" s="9"/>
      <c r="I938" s="9" t="s">
        <v>59</v>
      </c>
      <c r="J938" t="s">
        <v>5866</v>
      </c>
      <c r="K938" s="9" t="s">
        <v>5885</v>
      </c>
      <c r="L938" s="9" t="s">
        <v>5886</v>
      </c>
      <c r="M938" s="9" t="s">
        <v>5887</v>
      </c>
      <c r="N938" s="9" t="s">
        <v>5888</v>
      </c>
      <c r="O938" s="9" t="s">
        <v>5889</v>
      </c>
      <c r="P938" s="10">
        <v>49</v>
      </c>
    </row>
    <row r="939" spans="1:16" ht="201.6" x14ac:dyDescent="0.3">
      <c r="A939" t="s">
        <v>5644</v>
      </c>
      <c r="B939" t="s">
        <v>5844</v>
      </c>
      <c r="C939" t="s">
        <v>424</v>
      </c>
      <c r="D939" s="9" t="s">
        <v>5890</v>
      </c>
      <c r="E939" t="s">
        <v>989</v>
      </c>
      <c r="F939" t="s">
        <v>143</v>
      </c>
      <c r="G939" t="s">
        <v>47</v>
      </c>
      <c r="H939" s="9"/>
      <c r="I939" s="9" t="s">
        <v>144</v>
      </c>
      <c r="J939" t="s">
        <v>5866</v>
      </c>
      <c r="K939" s="9" t="s">
        <v>5891</v>
      </c>
      <c r="L939" s="9" t="s">
        <v>5892</v>
      </c>
      <c r="M939" s="9" t="s">
        <v>5893</v>
      </c>
      <c r="N939" s="9" t="s">
        <v>5894</v>
      </c>
      <c r="O939" s="9" t="s">
        <v>5895</v>
      </c>
      <c r="P939" s="10">
        <v>49</v>
      </c>
    </row>
    <row r="940" spans="1:16" ht="201.6" x14ac:dyDescent="0.3">
      <c r="A940" t="s">
        <v>5644</v>
      </c>
      <c r="B940" t="s">
        <v>5844</v>
      </c>
      <c r="C940" t="s">
        <v>433</v>
      </c>
      <c r="D940" s="9" t="s">
        <v>5896</v>
      </c>
      <c r="E940" t="s">
        <v>1337</v>
      </c>
      <c r="F940" t="s">
        <v>143</v>
      </c>
      <c r="G940" t="s">
        <v>47</v>
      </c>
      <c r="H940" s="9"/>
      <c r="I940" s="9" t="s">
        <v>144</v>
      </c>
      <c r="J940" t="s">
        <v>5866</v>
      </c>
      <c r="K940" s="9" t="s">
        <v>5897</v>
      </c>
      <c r="L940" s="9" t="s">
        <v>5898</v>
      </c>
      <c r="M940" s="9" t="s">
        <v>5899</v>
      </c>
      <c r="N940" s="9" t="s">
        <v>5900</v>
      </c>
      <c r="O940" s="9" t="s">
        <v>5901</v>
      </c>
      <c r="P940" s="10">
        <v>49</v>
      </c>
    </row>
    <row r="941" spans="1:16" ht="129.6" x14ac:dyDescent="0.3">
      <c r="A941" t="s">
        <v>5644</v>
      </c>
      <c r="B941" t="s">
        <v>5844</v>
      </c>
      <c r="C941" t="s">
        <v>441</v>
      </c>
      <c r="D941" s="9" t="s">
        <v>5902</v>
      </c>
      <c r="E941" t="s">
        <v>773</v>
      </c>
      <c r="F941" t="s">
        <v>143</v>
      </c>
      <c r="G941" t="s">
        <v>47</v>
      </c>
      <c r="H941" s="9" t="s">
        <v>395</v>
      </c>
      <c r="I941" s="9" t="s">
        <v>307</v>
      </c>
      <c r="J941" t="s">
        <v>5847</v>
      </c>
      <c r="K941" s="9" t="s">
        <v>5903</v>
      </c>
      <c r="L941" s="9" t="s">
        <v>5904</v>
      </c>
      <c r="M941" s="9" t="s">
        <v>5905</v>
      </c>
      <c r="N941" s="9" t="s">
        <v>5906</v>
      </c>
      <c r="O941" s="9" t="s">
        <v>5907</v>
      </c>
      <c r="P941" s="10">
        <v>49</v>
      </c>
    </row>
    <row r="942" spans="1:16" ht="158.4" x14ac:dyDescent="0.3">
      <c r="A942" t="s">
        <v>5644</v>
      </c>
      <c r="B942" t="s">
        <v>5844</v>
      </c>
      <c r="C942" t="s">
        <v>449</v>
      </c>
      <c r="D942" s="9" t="s">
        <v>5908</v>
      </c>
      <c r="E942" t="s">
        <v>773</v>
      </c>
      <c r="F942" t="s">
        <v>143</v>
      </c>
      <c r="G942" t="s">
        <v>47</v>
      </c>
      <c r="H942" s="9" t="s">
        <v>5001</v>
      </c>
      <c r="I942" s="9" t="s">
        <v>307</v>
      </c>
      <c r="J942" t="s">
        <v>5847</v>
      </c>
      <c r="K942" s="9" t="s">
        <v>5909</v>
      </c>
      <c r="L942" s="9" t="s">
        <v>5910</v>
      </c>
      <c r="M942" s="9" t="s">
        <v>5911</v>
      </c>
      <c r="N942" s="9" t="s">
        <v>5912</v>
      </c>
      <c r="O942" s="9" t="s">
        <v>5913</v>
      </c>
      <c r="P942" s="10">
        <v>49</v>
      </c>
    </row>
    <row r="943" spans="1:16" ht="158.4" x14ac:dyDescent="0.3">
      <c r="A943" t="s">
        <v>5644</v>
      </c>
      <c r="B943" t="s">
        <v>5844</v>
      </c>
      <c r="C943" t="s">
        <v>458</v>
      </c>
      <c r="D943" s="9" t="s">
        <v>5914</v>
      </c>
      <c r="E943" t="s">
        <v>1345</v>
      </c>
      <c r="F943" t="s">
        <v>143</v>
      </c>
      <c r="G943" t="s">
        <v>47</v>
      </c>
      <c r="H943" s="9" t="s">
        <v>2820</v>
      </c>
      <c r="I943" s="9" t="s">
        <v>307</v>
      </c>
      <c r="J943" t="s">
        <v>5847</v>
      </c>
      <c r="K943" s="9" t="s">
        <v>5915</v>
      </c>
      <c r="L943" s="9" t="s">
        <v>5916</v>
      </c>
      <c r="M943" s="9" t="s">
        <v>5917</v>
      </c>
      <c r="N943" s="9" t="s">
        <v>5918</v>
      </c>
      <c r="O943" s="9" t="s">
        <v>5919</v>
      </c>
      <c r="P943" s="10">
        <v>49</v>
      </c>
    </row>
    <row r="944" spans="1:16" ht="115.2" x14ac:dyDescent="0.3">
      <c r="A944" t="s">
        <v>5644</v>
      </c>
      <c r="B944" t="s">
        <v>5844</v>
      </c>
      <c r="C944" t="s">
        <v>466</v>
      </c>
      <c r="D944" s="9" t="s">
        <v>5920</v>
      </c>
      <c r="E944" t="s">
        <v>597</v>
      </c>
      <c r="F944" t="s">
        <v>143</v>
      </c>
      <c r="G944" t="s">
        <v>47</v>
      </c>
      <c r="H944" s="9" t="s">
        <v>395</v>
      </c>
      <c r="I944" s="9" t="s">
        <v>307</v>
      </c>
      <c r="J944" t="s">
        <v>5847</v>
      </c>
      <c r="K944" s="9" t="s">
        <v>5921</v>
      </c>
      <c r="L944" s="9" t="s">
        <v>5922</v>
      </c>
      <c r="M944" s="9" t="s">
        <v>5923</v>
      </c>
      <c r="N944" s="9" t="s">
        <v>5924</v>
      </c>
      <c r="O944" s="9" t="s">
        <v>5925</v>
      </c>
      <c r="P944" s="10">
        <v>49</v>
      </c>
    </row>
    <row r="945" spans="1:16" ht="158.4" x14ac:dyDescent="0.3">
      <c r="A945" t="s">
        <v>5644</v>
      </c>
      <c r="B945" t="s">
        <v>5926</v>
      </c>
      <c r="C945" t="s">
        <v>369</v>
      </c>
      <c r="D945" s="9" t="s">
        <v>5927</v>
      </c>
      <c r="E945" t="s">
        <v>1813</v>
      </c>
      <c r="F945" t="s">
        <v>46</v>
      </c>
      <c r="G945" t="s">
        <v>47</v>
      </c>
      <c r="H945" s="9"/>
      <c r="I945" s="9" t="s">
        <v>106</v>
      </c>
      <c r="J945" t="s">
        <v>5928</v>
      </c>
      <c r="K945" s="9" t="s">
        <v>5929</v>
      </c>
      <c r="L945" s="9" t="s">
        <v>5930</v>
      </c>
      <c r="M945" s="9" t="s">
        <v>5931</v>
      </c>
      <c r="N945" s="9"/>
      <c r="O945" s="9" t="s">
        <v>5932</v>
      </c>
      <c r="P945" s="10">
        <v>50</v>
      </c>
    </row>
    <row r="946" spans="1:16" ht="115.2" x14ac:dyDescent="0.3">
      <c r="A946" t="s">
        <v>5644</v>
      </c>
      <c r="B946" t="s">
        <v>5926</v>
      </c>
      <c r="C946" t="s">
        <v>66</v>
      </c>
      <c r="D946" s="9" t="s">
        <v>5933</v>
      </c>
      <c r="E946" t="s">
        <v>3445</v>
      </c>
      <c r="F946" t="s">
        <v>143</v>
      </c>
      <c r="G946" t="s">
        <v>47</v>
      </c>
      <c r="H946" s="9"/>
      <c r="I946" s="9" t="s">
        <v>59</v>
      </c>
      <c r="J946" t="s">
        <v>5928</v>
      </c>
      <c r="K946" s="9" t="s">
        <v>5934</v>
      </c>
      <c r="L946" s="9" t="s">
        <v>5935</v>
      </c>
      <c r="M946" s="9" t="s">
        <v>5936</v>
      </c>
      <c r="N946" s="9" t="s">
        <v>5937</v>
      </c>
      <c r="O946" s="9" t="s">
        <v>5938</v>
      </c>
      <c r="P946" s="10">
        <v>50</v>
      </c>
    </row>
    <row r="947" spans="1:16" ht="129.6" x14ac:dyDescent="0.3">
      <c r="A947" t="s">
        <v>5644</v>
      </c>
      <c r="B947" t="s">
        <v>5926</v>
      </c>
      <c r="C947" t="s">
        <v>74</v>
      </c>
      <c r="D947" s="9" t="s">
        <v>5939</v>
      </c>
      <c r="E947" t="s">
        <v>1003</v>
      </c>
      <c r="F947" t="s">
        <v>143</v>
      </c>
      <c r="G947" t="s">
        <v>47</v>
      </c>
      <c r="H947" s="9"/>
      <c r="I947" s="9" t="s">
        <v>59</v>
      </c>
      <c r="J947" t="s">
        <v>5928</v>
      </c>
      <c r="K947" s="9" t="s">
        <v>5940</v>
      </c>
      <c r="L947" s="9" t="s">
        <v>5941</v>
      </c>
      <c r="M947" s="9" t="s">
        <v>5942</v>
      </c>
      <c r="N947" s="9" t="s">
        <v>5943</v>
      </c>
      <c r="O947" s="9" t="s">
        <v>5944</v>
      </c>
      <c r="P947" s="10">
        <v>50</v>
      </c>
    </row>
    <row r="948" spans="1:16" ht="115.2" x14ac:dyDescent="0.3">
      <c r="A948" t="s">
        <v>5644</v>
      </c>
      <c r="B948" t="s">
        <v>5926</v>
      </c>
      <c r="C948" t="s">
        <v>43</v>
      </c>
      <c r="D948" s="9" t="s">
        <v>5945</v>
      </c>
      <c r="E948" t="s">
        <v>651</v>
      </c>
      <c r="F948" t="s">
        <v>143</v>
      </c>
      <c r="G948" t="s">
        <v>47</v>
      </c>
      <c r="H948" s="9"/>
      <c r="I948" s="9" t="s">
        <v>59</v>
      </c>
      <c r="J948" t="s">
        <v>5928</v>
      </c>
      <c r="K948" s="9" t="s">
        <v>5946</v>
      </c>
      <c r="L948" s="9" t="s">
        <v>5947</v>
      </c>
      <c r="M948" s="9" t="s">
        <v>5948</v>
      </c>
      <c r="N948" s="9" t="s">
        <v>5949</v>
      </c>
      <c r="O948" s="9" t="s">
        <v>5950</v>
      </c>
      <c r="P948" s="10">
        <v>50</v>
      </c>
    </row>
    <row r="949" spans="1:16" ht="129.6" x14ac:dyDescent="0.3">
      <c r="A949" t="s">
        <v>5644</v>
      </c>
      <c r="B949" t="s">
        <v>5926</v>
      </c>
      <c r="C949" t="s">
        <v>68</v>
      </c>
      <c r="D949" s="9" t="s">
        <v>5951</v>
      </c>
      <c r="E949" t="s">
        <v>1768</v>
      </c>
      <c r="F949" t="s">
        <v>143</v>
      </c>
      <c r="G949" t="s">
        <v>47</v>
      </c>
      <c r="H949" s="9" t="s">
        <v>711</v>
      </c>
      <c r="I949" s="9" t="s">
        <v>59</v>
      </c>
      <c r="J949" t="s">
        <v>5928</v>
      </c>
      <c r="K949" s="9" t="s">
        <v>5952</v>
      </c>
      <c r="L949" s="9" t="s">
        <v>5953</v>
      </c>
      <c r="M949" s="9" t="s">
        <v>5954</v>
      </c>
      <c r="N949" s="9" t="s">
        <v>5955</v>
      </c>
      <c r="O949" s="9" t="s">
        <v>5956</v>
      </c>
      <c r="P949" s="10">
        <v>50</v>
      </c>
    </row>
    <row r="950" spans="1:16" ht="100.8" x14ac:dyDescent="0.3">
      <c r="A950" t="s">
        <v>5644</v>
      </c>
      <c r="B950" t="s">
        <v>5926</v>
      </c>
      <c r="C950" t="s">
        <v>82</v>
      </c>
      <c r="D950" s="9" t="s">
        <v>5957</v>
      </c>
      <c r="E950" t="s">
        <v>679</v>
      </c>
      <c r="F950" t="s">
        <v>143</v>
      </c>
      <c r="G950" t="s">
        <v>47</v>
      </c>
      <c r="H950" s="9"/>
      <c r="I950" s="9" t="s">
        <v>59</v>
      </c>
      <c r="J950" t="s">
        <v>5928</v>
      </c>
      <c r="K950" s="9" t="s">
        <v>5958</v>
      </c>
      <c r="L950" s="9" t="s">
        <v>5959</v>
      </c>
      <c r="M950" s="9" t="s">
        <v>5960</v>
      </c>
      <c r="N950" s="9" t="s">
        <v>5961</v>
      </c>
      <c r="O950" s="9" t="s">
        <v>5962</v>
      </c>
      <c r="P950" s="10">
        <v>50</v>
      </c>
    </row>
    <row r="951" spans="1:16" ht="115.2" x14ac:dyDescent="0.3">
      <c r="A951" t="s">
        <v>5644</v>
      </c>
      <c r="B951" t="s">
        <v>5926</v>
      </c>
      <c r="C951" t="s">
        <v>55</v>
      </c>
      <c r="D951" s="9" t="s">
        <v>5963</v>
      </c>
      <c r="E951" t="s">
        <v>694</v>
      </c>
      <c r="F951" t="s">
        <v>143</v>
      </c>
      <c r="G951" t="s">
        <v>47</v>
      </c>
      <c r="H951" s="9"/>
      <c r="I951" s="9" t="s">
        <v>106</v>
      </c>
      <c r="J951" t="s">
        <v>5964</v>
      </c>
      <c r="K951" s="9" t="s">
        <v>5965</v>
      </c>
      <c r="L951" s="9" t="s">
        <v>5966</v>
      </c>
      <c r="M951" s="9" t="s">
        <v>5967</v>
      </c>
      <c r="N951" s="9" t="s">
        <v>5968</v>
      </c>
      <c r="O951" s="9" t="s">
        <v>5969</v>
      </c>
      <c r="P951" s="10">
        <v>50</v>
      </c>
    </row>
    <row r="952" spans="1:16" ht="129.6" x14ac:dyDescent="0.3">
      <c r="A952" t="s">
        <v>5644</v>
      </c>
      <c r="B952" t="s">
        <v>5926</v>
      </c>
      <c r="C952" t="s">
        <v>424</v>
      </c>
      <c r="D952" s="9" t="s">
        <v>5970</v>
      </c>
      <c r="E952" t="s">
        <v>869</v>
      </c>
      <c r="F952" t="s">
        <v>143</v>
      </c>
      <c r="G952" t="s">
        <v>47</v>
      </c>
      <c r="H952" s="9" t="s">
        <v>1102</v>
      </c>
      <c r="I952" s="9" t="s">
        <v>59</v>
      </c>
      <c r="J952" t="s">
        <v>5964</v>
      </c>
      <c r="K952" s="9" t="s">
        <v>5971</v>
      </c>
      <c r="L952" s="9" t="s">
        <v>5972</v>
      </c>
      <c r="M952" s="9" t="s">
        <v>5973</v>
      </c>
      <c r="N952" s="9" t="s">
        <v>5974</v>
      </c>
      <c r="O952" s="9" t="s">
        <v>5975</v>
      </c>
      <c r="P952" s="10">
        <v>50</v>
      </c>
    </row>
    <row r="953" spans="1:16" ht="115.2" x14ac:dyDescent="0.3">
      <c r="A953" t="s">
        <v>5644</v>
      </c>
      <c r="B953" t="s">
        <v>5926</v>
      </c>
      <c r="C953" t="s">
        <v>433</v>
      </c>
      <c r="D953" s="9" t="s">
        <v>5976</v>
      </c>
      <c r="E953" t="s">
        <v>2768</v>
      </c>
      <c r="F953" t="s">
        <v>143</v>
      </c>
      <c r="G953" t="s">
        <v>47</v>
      </c>
      <c r="H953" s="9"/>
      <c r="I953" s="9" t="s">
        <v>3716</v>
      </c>
      <c r="J953" t="s">
        <v>5964</v>
      </c>
      <c r="K953" s="9" t="s">
        <v>5977</v>
      </c>
      <c r="L953" s="9" t="s">
        <v>5978</v>
      </c>
      <c r="M953" s="9" t="s">
        <v>5979</v>
      </c>
      <c r="N953" s="9"/>
      <c r="O953" s="9" t="s">
        <v>5980</v>
      </c>
      <c r="P953" s="10">
        <v>50</v>
      </c>
    </row>
    <row r="954" spans="1:16" ht="115.2" x14ac:dyDescent="0.3">
      <c r="A954" t="s">
        <v>5644</v>
      </c>
      <c r="B954" t="s">
        <v>5926</v>
      </c>
      <c r="C954" t="s">
        <v>441</v>
      </c>
      <c r="D954" s="9" t="s">
        <v>5981</v>
      </c>
      <c r="E954" t="s">
        <v>942</v>
      </c>
      <c r="F954" t="s">
        <v>46</v>
      </c>
      <c r="G954" t="s">
        <v>47</v>
      </c>
      <c r="H954" s="9"/>
      <c r="I954" s="9"/>
      <c r="K954" s="9" t="s">
        <v>5982</v>
      </c>
      <c r="L954" s="9" t="s">
        <v>5983</v>
      </c>
      <c r="M954" s="9" t="s">
        <v>5984</v>
      </c>
      <c r="N954" s="9"/>
      <c r="O954" s="9" t="s">
        <v>5985</v>
      </c>
      <c r="P954" s="10">
        <v>50</v>
      </c>
    </row>
    <row r="955" spans="1:16" ht="100.8" x14ac:dyDescent="0.3">
      <c r="A955" t="s">
        <v>5644</v>
      </c>
      <c r="B955" t="s">
        <v>5926</v>
      </c>
      <c r="C955" t="s">
        <v>449</v>
      </c>
      <c r="D955" s="9" t="s">
        <v>5986</v>
      </c>
      <c r="E955" t="s">
        <v>1313</v>
      </c>
      <c r="F955" t="s">
        <v>143</v>
      </c>
      <c r="G955" t="s">
        <v>47</v>
      </c>
      <c r="H955" s="9"/>
      <c r="I955" s="9"/>
      <c r="K955" s="9" t="s">
        <v>5987</v>
      </c>
      <c r="L955" s="9" t="s">
        <v>5988</v>
      </c>
      <c r="M955" s="9" t="s">
        <v>5989</v>
      </c>
      <c r="N955" s="9" t="s">
        <v>5990</v>
      </c>
      <c r="O955" s="9" t="s">
        <v>5991</v>
      </c>
      <c r="P955" s="10">
        <v>50</v>
      </c>
    </row>
    <row r="956" spans="1:16" ht="115.2" x14ac:dyDescent="0.3">
      <c r="A956" t="s">
        <v>5644</v>
      </c>
      <c r="B956" t="s">
        <v>5926</v>
      </c>
      <c r="C956" t="s">
        <v>458</v>
      </c>
      <c r="D956" s="9" t="s">
        <v>5992</v>
      </c>
      <c r="E956" t="s">
        <v>5993</v>
      </c>
      <c r="F956" t="s">
        <v>143</v>
      </c>
      <c r="G956" t="s">
        <v>47</v>
      </c>
      <c r="H956" s="9"/>
      <c r="I956" s="9" t="s">
        <v>106</v>
      </c>
      <c r="J956" t="s">
        <v>5964</v>
      </c>
      <c r="K956" s="9" t="s">
        <v>5994</v>
      </c>
      <c r="L956" s="9" t="s">
        <v>5995</v>
      </c>
      <c r="M956" s="9" t="s">
        <v>5996</v>
      </c>
      <c r="N956" s="9" t="s">
        <v>5997</v>
      </c>
      <c r="O956" s="9" t="s">
        <v>5998</v>
      </c>
      <c r="P956" s="10">
        <v>50</v>
      </c>
    </row>
    <row r="957" spans="1:16" ht="129.6" x14ac:dyDescent="0.3">
      <c r="A957" t="s">
        <v>5644</v>
      </c>
      <c r="B957" t="s">
        <v>5926</v>
      </c>
      <c r="C957" t="s">
        <v>466</v>
      </c>
      <c r="D957" s="9" t="s">
        <v>5999</v>
      </c>
      <c r="E957" t="s">
        <v>6000</v>
      </c>
      <c r="F957" t="s">
        <v>143</v>
      </c>
      <c r="G957" t="s">
        <v>47</v>
      </c>
      <c r="H957" s="9" t="s">
        <v>1509</v>
      </c>
      <c r="I957" s="9" t="s">
        <v>59</v>
      </c>
      <c r="J957" t="s">
        <v>5809</v>
      </c>
      <c r="K957" s="9" t="s">
        <v>6001</v>
      </c>
      <c r="L957" s="9" t="s">
        <v>6002</v>
      </c>
      <c r="M957" s="9" t="s">
        <v>6003</v>
      </c>
      <c r="N957" s="9" t="s">
        <v>6004</v>
      </c>
      <c r="O957" s="9" t="s">
        <v>6005</v>
      </c>
      <c r="P957" s="10">
        <v>50</v>
      </c>
    </row>
    <row r="958" spans="1:16" ht="374.4" x14ac:dyDescent="0.3">
      <c r="A958" t="s">
        <v>5644</v>
      </c>
      <c r="B958" t="s">
        <v>6006</v>
      </c>
      <c r="C958" t="s">
        <v>43</v>
      </c>
      <c r="D958" s="9" t="s">
        <v>6007</v>
      </c>
      <c r="E958" t="s">
        <v>4380</v>
      </c>
      <c r="F958" t="s">
        <v>143</v>
      </c>
      <c r="G958" t="s">
        <v>47</v>
      </c>
      <c r="H958" s="9" t="s">
        <v>6008</v>
      </c>
      <c r="I958" s="9" t="s">
        <v>59</v>
      </c>
      <c r="J958" t="s">
        <v>5847</v>
      </c>
      <c r="K958" s="9" t="s">
        <v>6009</v>
      </c>
      <c r="L958" s="9" t="s">
        <v>6010</v>
      </c>
      <c r="M958" s="9" t="s">
        <v>6011</v>
      </c>
      <c r="N958" s="9" t="s">
        <v>6012</v>
      </c>
      <c r="O958" s="9" t="s">
        <v>6013</v>
      </c>
      <c r="P958" s="10">
        <v>51</v>
      </c>
    </row>
    <row r="959" spans="1:16" ht="129.6" x14ac:dyDescent="0.3">
      <c r="A959" t="s">
        <v>5644</v>
      </c>
      <c r="B959" t="s">
        <v>6006</v>
      </c>
      <c r="C959" t="s">
        <v>6014</v>
      </c>
      <c r="D959" s="9" t="s">
        <v>6015</v>
      </c>
      <c r="E959" t="s">
        <v>3187</v>
      </c>
      <c r="F959" t="s">
        <v>143</v>
      </c>
      <c r="G959" t="s">
        <v>1599</v>
      </c>
      <c r="H959" s="9" t="s">
        <v>6016</v>
      </c>
      <c r="I959" s="9"/>
      <c r="J959" t="s">
        <v>5866</v>
      </c>
      <c r="K959" s="9" t="s">
        <v>6017</v>
      </c>
      <c r="L959" s="9" t="s">
        <v>6018</v>
      </c>
      <c r="M959" s="9" t="s">
        <v>6019</v>
      </c>
      <c r="N959" s="9" t="s">
        <v>6020</v>
      </c>
      <c r="O959" s="9" t="s">
        <v>6021</v>
      </c>
      <c r="P959" s="10">
        <v>51</v>
      </c>
    </row>
    <row r="960" spans="1:16" ht="158.4" x14ac:dyDescent="0.3">
      <c r="A960" t="s">
        <v>5644</v>
      </c>
      <c r="B960" t="s">
        <v>6022</v>
      </c>
      <c r="C960" t="s">
        <v>369</v>
      </c>
      <c r="D960" s="9" t="s">
        <v>6023</v>
      </c>
      <c r="E960" t="s">
        <v>74</v>
      </c>
      <c r="F960" t="s">
        <v>46</v>
      </c>
      <c r="G960" t="s">
        <v>47</v>
      </c>
      <c r="H960" s="9"/>
      <c r="I960" s="9" t="s">
        <v>4627</v>
      </c>
      <c r="J960" t="s">
        <v>6024</v>
      </c>
      <c r="K960" s="9" t="s">
        <v>6025</v>
      </c>
      <c r="L960" s="9"/>
      <c r="M960" s="9" t="s">
        <v>6026</v>
      </c>
      <c r="N960" s="9" t="s">
        <v>6027</v>
      </c>
      <c r="O960" s="9" t="s">
        <v>6028</v>
      </c>
      <c r="P960" s="10">
        <v>54</v>
      </c>
    </row>
    <row r="961" spans="1:16" ht="144" x14ac:dyDescent="0.3">
      <c r="A961" t="s">
        <v>5644</v>
      </c>
      <c r="B961" t="s">
        <v>6022</v>
      </c>
      <c r="C961" t="s">
        <v>66</v>
      </c>
      <c r="D961" s="9" t="s">
        <v>6029</v>
      </c>
      <c r="E961" t="s">
        <v>583</v>
      </c>
      <c r="F961" t="s">
        <v>143</v>
      </c>
      <c r="G961" t="s">
        <v>47</v>
      </c>
      <c r="H961" s="9" t="s">
        <v>1630</v>
      </c>
      <c r="I961" s="9" t="s">
        <v>59</v>
      </c>
      <c r="J961" t="s">
        <v>6024</v>
      </c>
      <c r="K961" s="9" t="s">
        <v>6030</v>
      </c>
      <c r="L961" s="9"/>
      <c r="M961" s="9" t="s">
        <v>6031</v>
      </c>
      <c r="N961" s="9" t="s">
        <v>6032</v>
      </c>
      <c r="O961" s="9" t="s">
        <v>6033</v>
      </c>
      <c r="P961" s="10">
        <v>54</v>
      </c>
    </row>
    <row r="962" spans="1:16" ht="144" x14ac:dyDescent="0.3">
      <c r="A962" t="s">
        <v>5644</v>
      </c>
      <c r="B962" t="s">
        <v>6022</v>
      </c>
      <c r="C962" t="s">
        <v>74</v>
      </c>
      <c r="D962" s="9" t="s">
        <v>6034</v>
      </c>
      <c r="E962" t="s">
        <v>43</v>
      </c>
      <c r="F962" t="s">
        <v>143</v>
      </c>
      <c r="G962" t="s">
        <v>47</v>
      </c>
      <c r="H962" s="9"/>
      <c r="I962" s="9" t="s">
        <v>307</v>
      </c>
      <c r="J962" t="s">
        <v>6024</v>
      </c>
      <c r="K962" s="9" t="s">
        <v>6035</v>
      </c>
      <c r="L962" s="9"/>
      <c r="M962" s="9" t="s">
        <v>6036</v>
      </c>
      <c r="N962" s="9" t="s">
        <v>6037</v>
      </c>
      <c r="O962" s="9" t="s">
        <v>6038</v>
      </c>
      <c r="P962" s="10">
        <v>54</v>
      </c>
    </row>
    <row r="963" spans="1:16" ht="144" x14ac:dyDescent="0.3">
      <c r="A963" t="s">
        <v>5644</v>
      </c>
      <c r="B963" t="s">
        <v>6022</v>
      </c>
      <c r="C963" t="s">
        <v>43</v>
      </c>
      <c r="D963" s="9" t="s">
        <v>6039</v>
      </c>
      <c r="E963" t="s">
        <v>43</v>
      </c>
      <c r="F963" t="s">
        <v>143</v>
      </c>
      <c r="G963" t="s">
        <v>47</v>
      </c>
      <c r="H963" s="9"/>
      <c r="I963" s="9" t="s">
        <v>59</v>
      </c>
      <c r="J963" t="s">
        <v>6024</v>
      </c>
      <c r="K963" s="9" t="s">
        <v>6040</v>
      </c>
      <c r="L963" s="9"/>
      <c r="M963" s="9" t="s">
        <v>6041</v>
      </c>
      <c r="N963" s="9" t="s">
        <v>6042</v>
      </c>
      <c r="O963" s="9" t="s">
        <v>6043</v>
      </c>
      <c r="P963" s="10">
        <v>54</v>
      </c>
    </row>
    <row r="964" spans="1:16" ht="144" x14ac:dyDescent="0.3">
      <c r="A964" t="s">
        <v>5644</v>
      </c>
      <c r="B964" t="s">
        <v>6022</v>
      </c>
      <c r="C964" t="s">
        <v>68</v>
      </c>
      <c r="D964" s="9" t="s">
        <v>6044</v>
      </c>
      <c r="E964" t="s">
        <v>43</v>
      </c>
      <c r="F964" t="s">
        <v>143</v>
      </c>
      <c r="G964" t="s">
        <v>47</v>
      </c>
      <c r="H964" s="9" t="s">
        <v>6045</v>
      </c>
      <c r="I964" s="9" t="s">
        <v>59</v>
      </c>
      <c r="J964" t="s">
        <v>6024</v>
      </c>
      <c r="K964" s="9" t="s">
        <v>6046</v>
      </c>
      <c r="L964" s="9" t="s">
        <v>6047</v>
      </c>
      <c r="M964" s="9" t="s">
        <v>6048</v>
      </c>
      <c r="N964" s="9" t="s">
        <v>6049</v>
      </c>
      <c r="O964" s="9" t="s">
        <v>6050</v>
      </c>
      <c r="P964" s="10">
        <v>54</v>
      </c>
    </row>
    <row r="965" spans="1:16" ht="144" x14ac:dyDescent="0.3">
      <c r="A965" t="s">
        <v>5644</v>
      </c>
      <c r="B965" t="s">
        <v>6022</v>
      </c>
      <c r="C965" t="s">
        <v>82</v>
      </c>
      <c r="D965" s="9" t="s">
        <v>6051</v>
      </c>
      <c r="E965" t="s">
        <v>1039</v>
      </c>
      <c r="F965" t="s">
        <v>143</v>
      </c>
      <c r="G965" t="s">
        <v>47</v>
      </c>
      <c r="H965" s="9"/>
      <c r="I965" s="9" t="s">
        <v>59</v>
      </c>
      <c r="J965" t="s">
        <v>6024</v>
      </c>
      <c r="K965" s="9" t="s">
        <v>6052</v>
      </c>
      <c r="L965" s="9" t="s">
        <v>6053</v>
      </c>
      <c r="M965" s="9" t="s">
        <v>6054</v>
      </c>
      <c r="N965" s="9" t="s">
        <v>6055</v>
      </c>
      <c r="O965" s="9" t="s">
        <v>6056</v>
      </c>
      <c r="P965" s="10">
        <v>54</v>
      </c>
    </row>
    <row r="966" spans="1:16" ht="72" x14ac:dyDescent="0.3">
      <c r="A966" t="s">
        <v>6057</v>
      </c>
      <c r="B966" t="s">
        <v>6058</v>
      </c>
      <c r="C966" t="s">
        <v>369</v>
      </c>
      <c r="D966" s="9" t="s">
        <v>6059</v>
      </c>
      <c r="E966" t="s">
        <v>82</v>
      </c>
      <c r="F966" t="s">
        <v>69</v>
      </c>
      <c r="G966" t="s">
        <v>47</v>
      </c>
      <c r="H966" s="9"/>
      <c r="I966" s="9"/>
      <c r="K966" s="9" t="s">
        <v>6060</v>
      </c>
      <c r="L966" s="9"/>
      <c r="M966" s="9" t="s">
        <v>6061</v>
      </c>
      <c r="N966" s="9"/>
      <c r="O966" s="9" t="s">
        <v>6062</v>
      </c>
      <c r="P966" s="10">
        <v>57</v>
      </c>
    </row>
    <row r="967" spans="1:16" ht="100.8" x14ac:dyDescent="0.3">
      <c r="A967" t="s">
        <v>6057</v>
      </c>
      <c r="B967" t="s">
        <v>6058</v>
      </c>
      <c r="C967" t="s">
        <v>66</v>
      </c>
      <c r="D967" s="9" t="s">
        <v>6063</v>
      </c>
      <c r="E967" t="s">
        <v>1003</v>
      </c>
      <c r="F967" t="s">
        <v>69</v>
      </c>
      <c r="G967" t="s">
        <v>47</v>
      </c>
      <c r="H967" s="9"/>
      <c r="I967" s="9"/>
      <c r="K967" s="9" t="s">
        <v>6064</v>
      </c>
      <c r="L967" s="9"/>
      <c r="M967" s="9" t="s">
        <v>6065</v>
      </c>
      <c r="N967" s="9" t="s">
        <v>6066</v>
      </c>
      <c r="O967" s="9" t="s">
        <v>6067</v>
      </c>
      <c r="P967" s="10">
        <v>57</v>
      </c>
    </row>
    <row r="968" spans="1:16" ht="115.2" x14ac:dyDescent="0.3">
      <c r="A968" t="s">
        <v>6057</v>
      </c>
      <c r="B968" t="s">
        <v>6058</v>
      </c>
      <c r="C968" t="s">
        <v>74</v>
      </c>
      <c r="D968" s="9" t="s">
        <v>6068</v>
      </c>
      <c r="E968" t="s">
        <v>685</v>
      </c>
      <c r="F968" t="s">
        <v>116</v>
      </c>
      <c r="G968" t="s">
        <v>47</v>
      </c>
      <c r="H968" s="9"/>
      <c r="I968" s="9"/>
      <c r="K968" s="9" t="s">
        <v>6069</v>
      </c>
      <c r="L968" s="9"/>
      <c r="M968" s="9" t="s">
        <v>6070</v>
      </c>
      <c r="N968" s="9" t="s">
        <v>6071</v>
      </c>
      <c r="O968" s="9" t="s">
        <v>6072</v>
      </c>
      <c r="P968" s="10">
        <v>57</v>
      </c>
    </row>
    <row r="969" spans="1:16" ht="72" x14ac:dyDescent="0.3">
      <c r="A969" t="s">
        <v>6057</v>
      </c>
      <c r="B969" t="s">
        <v>6058</v>
      </c>
      <c r="C969" t="s">
        <v>43</v>
      </c>
      <c r="D969" s="9" t="s">
        <v>6073</v>
      </c>
      <c r="E969" t="s">
        <v>651</v>
      </c>
      <c r="F969" t="s">
        <v>143</v>
      </c>
      <c r="G969" t="s">
        <v>47</v>
      </c>
      <c r="H969" s="9" t="s">
        <v>1614</v>
      </c>
      <c r="I969" s="9" t="s">
        <v>106</v>
      </c>
      <c r="K969" s="9" t="s">
        <v>6074</v>
      </c>
      <c r="L969" s="9"/>
      <c r="M969" s="9" t="s">
        <v>6075</v>
      </c>
      <c r="N969" s="9"/>
      <c r="O969" s="9" t="s">
        <v>6076</v>
      </c>
      <c r="P969" s="10">
        <v>57</v>
      </c>
    </row>
    <row r="970" spans="1:16" ht="72" x14ac:dyDescent="0.3">
      <c r="A970" t="s">
        <v>6057</v>
      </c>
      <c r="B970" t="s">
        <v>6058</v>
      </c>
      <c r="C970" t="s">
        <v>82</v>
      </c>
      <c r="D970" s="9" t="s">
        <v>6073</v>
      </c>
      <c r="E970" t="s">
        <v>68</v>
      </c>
      <c r="F970" t="s">
        <v>143</v>
      </c>
      <c r="G970" t="s">
        <v>47</v>
      </c>
      <c r="H970" s="9" t="s">
        <v>1614</v>
      </c>
      <c r="I970" s="9" t="s">
        <v>106</v>
      </c>
      <c r="K970" s="9" t="s">
        <v>6077</v>
      </c>
      <c r="L970" s="9"/>
      <c r="M970" s="9" t="s">
        <v>6078</v>
      </c>
      <c r="N970" s="9"/>
      <c r="O970" s="9" t="s">
        <v>6079</v>
      </c>
      <c r="P970" s="10">
        <v>57</v>
      </c>
    </row>
    <row r="971" spans="1:16" ht="86.4" x14ac:dyDescent="0.3">
      <c r="A971" t="s">
        <v>6057</v>
      </c>
      <c r="B971" t="s">
        <v>6058</v>
      </c>
      <c r="C971" t="s">
        <v>55</v>
      </c>
      <c r="D971" s="9" t="s">
        <v>6080</v>
      </c>
      <c r="E971" t="s">
        <v>692</v>
      </c>
      <c r="F971" t="s">
        <v>143</v>
      </c>
      <c r="G971" t="s">
        <v>47</v>
      </c>
      <c r="H971" s="9" t="s">
        <v>1614</v>
      </c>
      <c r="I971" s="9" t="s">
        <v>59</v>
      </c>
      <c r="K971" s="9" t="s">
        <v>6081</v>
      </c>
      <c r="L971" s="9"/>
      <c r="M971" s="9" t="s">
        <v>6082</v>
      </c>
      <c r="N971" s="9" t="s">
        <v>6083</v>
      </c>
      <c r="O971" s="9" t="s">
        <v>6084</v>
      </c>
      <c r="P971" s="10">
        <v>57</v>
      </c>
    </row>
    <row r="972" spans="1:16" ht="100.8" x14ac:dyDescent="0.3">
      <c r="A972" t="s">
        <v>6057</v>
      </c>
      <c r="B972" t="s">
        <v>6058</v>
      </c>
      <c r="C972" t="s">
        <v>424</v>
      </c>
      <c r="D972" s="9" t="s">
        <v>6085</v>
      </c>
      <c r="E972" t="s">
        <v>775</v>
      </c>
      <c r="F972" t="s">
        <v>143</v>
      </c>
      <c r="G972" t="s">
        <v>47</v>
      </c>
      <c r="H972" s="9" t="s">
        <v>1614</v>
      </c>
      <c r="I972" s="9" t="s">
        <v>106</v>
      </c>
      <c r="K972" s="9" t="s">
        <v>6086</v>
      </c>
      <c r="L972" s="9"/>
      <c r="M972" s="9" t="s">
        <v>6087</v>
      </c>
      <c r="N972" s="9"/>
      <c r="O972" s="9" t="s">
        <v>6088</v>
      </c>
      <c r="P972" s="10">
        <v>57</v>
      </c>
    </row>
    <row r="973" spans="1:16" ht="100.8" x14ac:dyDescent="0.3">
      <c r="A973" t="s">
        <v>6057</v>
      </c>
      <c r="B973" t="s">
        <v>6058</v>
      </c>
      <c r="C973" t="s">
        <v>433</v>
      </c>
      <c r="D973" s="9" t="s">
        <v>6089</v>
      </c>
      <c r="E973" t="s">
        <v>433</v>
      </c>
      <c r="F973" t="s">
        <v>143</v>
      </c>
      <c r="G973" t="s">
        <v>47</v>
      </c>
      <c r="H973" s="9" t="s">
        <v>5441</v>
      </c>
      <c r="I973" s="9" t="s">
        <v>106</v>
      </c>
      <c r="K973" s="9" t="s">
        <v>6090</v>
      </c>
      <c r="L973" s="9"/>
      <c r="M973" s="9" t="s">
        <v>6091</v>
      </c>
      <c r="N973" s="9"/>
      <c r="O973" s="9" t="s">
        <v>6092</v>
      </c>
      <c r="P973" s="10">
        <v>57</v>
      </c>
    </row>
    <row r="974" spans="1:16" ht="129.6" x14ac:dyDescent="0.3">
      <c r="A974" t="s">
        <v>6057</v>
      </c>
      <c r="B974" t="s">
        <v>6058</v>
      </c>
      <c r="C974" t="s">
        <v>441</v>
      </c>
      <c r="D974" s="9" t="s">
        <v>6093</v>
      </c>
      <c r="E974" t="s">
        <v>433</v>
      </c>
      <c r="F974" t="s">
        <v>143</v>
      </c>
      <c r="G974" t="s">
        <v>47</v>
      </c>
      <c r="H974" s="9" t="s">
        <v>6094</v>
      </c>
      <c r="I974" s="9" t="s">
        <v>106</v>
      </c>
      <c r="K974" s="9" t="s">
        <v>6095</v>
      </c>
      <c r="L974" s="9"/>
      <c r="M974" s="9" t="s">
        <v>6096</v>
      </c>
      <c r="N974" s="9" t="s">
        <v>6097</v>
      </c>
      <c r="O974" s="9" t="s">
        <v>6092</v>
      </c>
      <c r="P974" s="10">
        <v>57</v>
      </c>
    </row>
    <row r="975" spans="1:16" ht="158.4" x14ac:dyDescent="0.3">
      <c r="A975" t="s">
        <v>6057</v>
      </c>
      <c r="B975" t="s">
        <v>6058</v>
      </c>
      <c r="C975" t="s">
        <v>449</v>
      </c>
      <c r="D975" s="9" t="s">
        <v>6098</v>
      </c>
      <c r="E975" t="s">
        <v>796</v>
      </c>
      <c r="F975" t="s">
        <v>143</v>
      </c>
      <c r="G975" t="s">
        <v>47</v>
      </c>
      <c r="H975" s="9" t="s">
        <v>6099</v>
      </c>
      <c r="I975" s="9" t="s">
        <v>144</v>
      </c>
      <c r="J975" t="s">
        <v>6100</v>
      </c>
      <c r="K975" s="9" t="s">
        <v>6101</v>
      </c>
      <c r="L975" s="9" t="s">
        <v>6102</v>
      </c>
      <c r="M975" s="9" t="s">
        <v>6103</v>
      </c>
      <c r="N975" s="9" t="s">
        <v>6104</v>
      </c>
      <c r="O975" s="9" t="s">
        <v>6105</v>
      </c>
      <c r="P975" s="10">
        <v>57</v>
      </c>
    </row>
    <row r="976" spans="1:16" ht="86.4" x14ac:dyDescent="0.3">
      <c r="A976" t="s">
        <v>6057</v>
      </c>
      <c r="B976" t="s">
        <v>6058</v>
      </c>
      <c r="C976" t="s">
        <v>466</v>
      </c>
      <c r="D976" s="9" t="s">
        <v>6106</v>
      </c>
      <c r="E976" t="s">
        <v>6107</v>
      </c>
      <c r="F976" t="s">
        <v>69</v>
      </c>
      <c r="G976" t="s">
        <v>47</v>
      </c>
      <c r="H976" s="9" t="s">
        <v>3880</v>
      </c>
      <c r="I976" s="9"/>
      <c r="K976" s="9" t="s">
        <v>6108</v>
      </c>
      <c r="L976" s="9"/>
      <c r="M976" s="9" t="s">
        <v>6109</v>
      </c>
      <c r="N976" s="9"/>
      <c r="O976" s="9" t="s">
        <v>6110</v>
      </c>
      <c r="P976" s="10">
        <v>57</v>
      </c>
    </row>
    <row r="977" spans="1:16" ht="86.4" x14ac:dyDescent="0.3">
      <c r="A977" t="s">
        <v>6057</v>
      </c>
      <c r="B977" t="s">
        <v>6058</v>
      </c>
      <c r="C977" t="s">
        <v>766</v>
      </c>
      <c r="D977" s="9" t="s">
        <v>6111</v>
      </c>
      <c r="E977" t="s">
        <v>68</v>
      </c>
      <c r="F977" t="s">
        <v>116</v>
      </c>
      <c r="G977" t="s">
        <v>47</v>
      </c>
      <c r="H977" s="9"/>
      <c r="I977" s="9"/>
      <c r="K977" s="9" t="s">
        <v>6112</v>
      </c>
      <c r="L977" s="9" t="s">
        <v>6113</v>
      </c>
      <c r="M977" s="9" t="s">
        <v>6114</v>
      </c>
      <c r="N977" s="9"/>
      <c r="O977" s="9" t="s">
        <v>6115</v>
      </c>
      <c r="P977" s="10">
        <v>57</v>
      </c>
    </row>
    <row r="978" spans="1:16" ht="158.4" x14ac:dyDescent="0.3">
      <c r="A978" t="s">
        <v>6057</v>
      </c>
      <c r="B978" t="s">
        <v>6058</v>
      </c>
      <c r="C978" t="s">
        <v>773</v>
      </c>
      <c r="D978" s="9" t="s">
        <v>6116</v>
      </c>
      <c r="E978" t="s">
        <v>5839</v>
      </c>
      <c r="F978" t="s">
        <v>143</v>
      </c>
      <c r="G978" t="s">
        <v>47</v>
      </c>
      <c r="H978" s="9" t="s">
        <v>6117</v>
      </c>
      <c r="I978" s="9" t="s">
        <v>59</v>
      </c>
      <c r="J978" t="s">
        <v>6118</v>
      </c>
      <c r="K978" s="9" t="s">
        <v>6119</v>
      </c>
      <c r="L978" s="9" t="s">
        <v>6120</v>
      </c>
      <c r="M978" s="9" t="s">
        <v>6121</v>
      </c>
      <c r="N978" s="9"/>
      <c r="O978" s="9" t="s">
        <v>6122</v>
      </c>
      <c r="P978" s="10">
        <v>57</v>
      </c>
    </row>
    <row r="979" spans="1:16" ht="129.6" x14ac:dyDescent="0.3">
      <c r="A979" t="s">
        <v>6057</v>
      </c>
      <c r="B979" t="s">
        <v>6058</v>
      </c>
      <c r="C979" t="s">
        <v>6123</v>
      </c>
      <c r="D979" s="9" t="s">
        <v>6124</v>
      </c>
      <c r="E979" t="s">
        <v>6125</v>
      </c>
      <c r="F979" t="s">
        <v>143</v>
      </c>
      <c r="G979" t="s">
        <v>47</v>
      </c>
      <c r="H979" s="9"/>
      <c r="I979" s="9" t="s">
        <v>144</v>
      </c>
      <c r="J979" t="s">
        <v>6057</v>
      </c>
      <c r="K979" s="9" t="s">
        <v>6126</v>
      </c>
      <c r="L979" s="9" t="s">
        <v>6127</v>
      </c>
      <c r="M979" s="9" t="s">
        <v>6128</v>
      </c>
      <c r="N979" s="9" t="s">
        <v>6129</v>
      </c>
      <c r="O979" s="9" t="s">
        <v>6130</v>
      </c>
      <c r="P979" s="10">
        <v>57</v>
      </c>
    </row>
    <row r="980" spans="1:16" ht="144" x14ac:dyDescent="0.3">
      <c r="A980" t="s">
        <v>6057</v>
      </c>
      <c r="B980" t="s">
        <v>6058</v>
      </c>
      <c r="C980" t="s">
        <v>597</v>
      </c>
      <c r="D980" s="9" t="s">
        <v>6131</v>
      </c>
      <c r="E980" t="s">
        <v>68</v>
      </c>
      <c r="F980" t="s">
        <v>143</v>
      </c>
      <c r="G980" t="s">
        <v>47</v>
      </c>
      <c r="H980" s="9" t="s">
        <v>6132</v>
      </c>
      <c r="I980" s="9" t="s">
        <v>106</v>
      </c>
      <c r="J980" t="s">
        <v>6118</v>
      </c>
      <c r="K980" s="9" t="s">
        <v>6133</v>
      </c>
      <c r="L980" s="9" t="s">
        <v>6134</v>
      </c>
      <c r="M980" s="9" t="s">
        <v>6135</v>
      </c>
      <c r="N980" s="9" t="s">
        <v>6136</v>
      </c>
      <c r="O980" s="9" t="s">
        <v>6137</v>
      </c>
      <c r="P980" s="10">
        <v>57</v>
      </c>
    </row>
    <row r="981" spans="1:16" ht="259.2" x14ac:dyDescent="0.3">
      <c r="A981" t="s">
        <v>6057</v>
      </c>
      <c r="B981" t="s">
        <v>6058</v>
      </c>
      <c r="C981" t="s">
        <v>611</v>
      </c>
      <c r="D981" s="9" t="s">
        <v>6138</v>
      </c>
      <c r="E981" t="s">
        <v>76</v>
      </c>
      <c r="F981" t="s">
        <v>143</v>
      </c>
      <c r="G981" t="s">
        <v>47</v>
      </c>
      <c r="H981" s="9" t="s">
        <v>6139</v>
      </c>
      <c r="I981" s="9" t="s">
        <v>106</v>
      </c>
      <c r="J981" t="s">
        <v>6118</v>
      </c>
      <c r="K981" s="9" t="s">
        <v>6140</v>
      </c>
      <c r="L981" s="9" t="s">
        <v>6141</v>
      </c>
      <c r="M981" s="9" t="s">
        <v>6142</v>
      </c>
      <c r="N981" s="9" t="s">
        <v>6143</v>
      </c>
      <c r="O981" s="9" t="s">
        <v>6144</v>
      </c>
      <c r="P981" s="10">
        <v>57</v>
      </c>
    </row>
    <row r="982" spans="1:16" ht="172.8" x14ac:dyDescent="0.3">
      <c r="A982" t="s">
        <v>6057</v>
      </c>
      <c r="B982" t="s">
        <v>6058</v>
      </c>
      <c r="C982" t="s">
        <v>657</v>
      </c>
      <c r="D982" s="9" t="s">
        <v>6145</v>
      </c>
      <c r="E982" t="s">
        <v>611</v>
      </c>
      <c r="F982" t="s">
        <v>143</v>
      </c>
      <c r="G982" t="s">
        <v>47</v>
      </c>
      <c r="H982" s="9"/>
      <c r="I982" s="9" t="s">
        <v>144</v>
      </c>
      <c r="J982" t="s">
        <v>6057</v>
      </c>
      <c r="K982" s="9" t="s">
        <v>6146</v>
      </c>
      <c r="L982" s="9" t="s">
        <v>6147</v>
      </c>
      <c r="M982" s="9" t="s">
        <v>6148</v>
      </c>
      <c r="N982" s="9" t="s">
        <v>6129</v>
      </c>
      <c r="O982" s="9" t="s">
        <v>6149</v>
      </c>
      <c r="P982" s="10">
        <v>57</v>
      </c>
    </row>
    <row r="983" spans="1:16" ht="129.6" x14ac:dyDescent="0.3">
      <c r="A983" t="s">
        <v>6057</v>
      </c>
      <c r="B983" t="s">
        <v>6058</v>
      </c>
      <c r="C983" t="s">
        <v>328</v>
      </c>
      <c r="D983" s="9" t="s">
        <v>6150</v>
      </c>
      <c r="E983" t="s">
        <v>6151</v>
      </c>
      <c r="F983" t="s">
        <v>143</v>
      </c>
      <c r="G983" t="s">
        <v>47</v>
      </c>
      <c r="H983" s="9"/>
      <c r="I983" s="9" t="s">
        <v>144</v>
      </c>
      <c r="J983" t="s">
        <v>6057</v>
      </c>
      <c r="K983" s="9" t="s">
        <v>6152</v>
      </c>
      <c r="L983" s="9" t="s">
        <v>6153</v>
      </c>
      <c r="M983" s="9" t="s">
        <v>6154</v>
      </c>
      <c r="N983" s="9" t="s">
        <v>6129</v>
      </c>
      <c r="O983" s="9" t="s">
        <v>6155</v>
      </c>
      <c r="P983" s="10">
        <v>57</v>
      </c>
    </row>
    <row r="984" spans="1:16" ht="187.2" x14ac:dyDescent="0.3">
      <c r="A984" t="s">
        <v>6057</v>
      </c>
      <c r="B984" t="s">
        <v>6058</v>
      </c>
      <c r="C984" t="s">
        <v>853</v>
      </c>
      <c r="D984" s="9" t="s">
        <v>6156</v>
      </c>
      <c r="E984" t="s">
        <v>3600</v>
      </c>
      <c r="F984" t="s">
        <v>143</v>
      </c>
      <c r="G984" t="s">
        <v>47</v>
      </c>
      <c r="H984" s="9"/>
      <c r="I984" s="9" t="s">
        <v>144</v>
      </c>
      <c r="J984" t="s">
        <v>6057</v>
      </c>
      <c r="K984" s="9" t="s">
        <v>6157</v>
      </c>
      <c r="L984" s="9" t="s">
        <v>6158</v>
      </c>
      <c r="M984" s="9" t="s">
        <v>6159</v>
      </c>
      <c r="N984" s="9" t="s">
        <v>6160</v>
      </c>
      <c r="O984" s="9" t="s">
        <v>6161</v>
      </c>
      <c r="P984" s="10">
        <v>57</v>
      </c>
    </row>
    <row r="985" spans="1:16" ht="100.8" x14ac:dyDescent="0.3">
      <c r="A985" t="s">
        <v>6057</v>
      </c>
      <c r="B985" t="s">
        <v>6058</v>
      </c>
      <c r="C985" t="s">
        <v>6162</v>
      </c>
      <c r="D985" s="9" t="s">
        <v>6163</v>
      </c>
      <c r="E985" t="s">
        <v>321</v>
      </c>
      <c r="F985" t="s">
        <v>143</v>
      </c>
      <c r="G985" t="s">
        <v>47</v>
      </c>
      <c r="H985" s="9"/>
      <c r="I985" s="9" t="s">
        <v>59</v>
      </c>
      <c r="J985" t="s">
        <v>6164</v>
      </c>
      <c r="K985" s="9" t="s">
        <v>6165</v>
      </c>
      <c r="L985" s="9" t="s">
        <v>6166</v>
      </c>
      <c r="M985" s="9" t="s">
        <v>6167</v>
      </c>
      <c r="N985" s="9"/>
      <c r="O985" s="9" t="s">
        <v>6168</v>
      </c>
      <c r="P985" s="10">
        <v>57</v>
      </c>
    </row>
    <row r="986" spans="1:16" ht="57.6" x14ac:dyDescent="0.3">
      <c r="A986" t="s">
        <v>6057</v>
      </c>
      <c r="B986" t="s">
        <v>6058</v>
      </c>
      <c r="C986" t="s">
        <v>912</v>
      </c>
      <c r="D986" s="9" t="s">
        <v>6169</v>
      </c>
      <c r="E986" t="s">
        <v>2033</v>
      </c>
      <c r="F986" t="s">
        <v>143</v>
      </c>
      <c r="G986" t="s">
        <v>47</v>
      </c>
      <c r="H986" s="9"/>
      <c r="I986" s="9"/>
      <c r="J986" t="s">
        <v>6170</v>
      </c>
      <c r="K986" s="9" t="s">
        <v>6171</v>
      </c>
      <c r="L986" s="9" t="s">
        <v>6172</v>
      </c>
      <c r="M986" s="9" t="s">
        <v>6173</v>
      </c>
      <c r="N986" s="9"/>
      <c r="O986" s="9" t="s">
        <v>6174</v>
      </c>
      <c r="P986" s="10">
        <v>57</v>
      </c>
    </row>
    <row r="987" spans="1:16" ht="86.4" x14ac:dyDescent="0.3">
      <c r="A987" t="s">
        <v>6057</v>
      </c>
      <c r="B987" t="s">
        <v>6058</v>
      </c>
      <c r="C987" t="s">
        <v>4300</v>
      </c>
      <c r="D987" s="9" t="s">
        <v>6175</v>
      </c>
      <c r="E987" t="s">
        <v>6176</v>
      </c>
      <c r="F987" t="s">
        <v>46</v>
      </c>
      <c r="G987" t="s">
        <v>47</v>
      </c>
      <c r="H987" s="9"/>
      <c r="I987" s="9"/>
      <c r="J987" t="s">
        <v>6170</v>
      </c>
      <c r="K987" s="9" t="s">
        <v>6177</v>
      </c>
      <c r="L987" s="9" t="s">
        <v>6178</v>
      </c>
      <c r="M987" s="9"/>
      <c r="N987" s="9"/>
      <c r="O987" s="9" t="s">
        <v>6179</v>
      </c>
      <c r="P987" s="10">
        <v>57</v>
      </c>
    </row>
    <row r="988" spans="1:16" ht="409.6" x14ac:dyDescent="0.3">
      <c r="A988" t="s">
        <v>6057</v>
      </c>
      <c r="B988" t="s">
        <v>6058</v>
      </c>
      <c r="C988" t="s">
        <v>6180</v>
      </c>
      <c r="D988" s="9" t="s">
        <v>6181</v>
      </c>
      <c r="E988" t="s">
        <v>649</v>
      </c>
      <c r="F988" t="s">
        <v>143</v>
      </c>
      <c r="G988" t="s">
        <v>47</v>
      </c>
      <c r="H988" s="9" t="s">
        <v>6182</v>
      </c>
      <c r="I988" s="9" t="s">
        <v>6183</v>
      </c>
      <c r="K988" s="9" t="s">
        <v>6184</v>
      </c>
      <c r="L988" s="9" t="s">
        <v>6185</v>
      </c>
      <c r="M988" s="9" t="s">
        <v>6186</v>
      </c>
      <c r="N988" s="9" t="s">
        <v>6187</v>
      </c>
      <c r="O988" s="9" t="s">
        <v>6188</v>
      </c>
      <c r="P988" s="10">
        <v>57</v>
      </c>
    </row>
    <row r="989" spans="1:16" ht="129.6" x14ac:dyDescent="0.3">
      <c r="A989" t="s">
        <v>6057</v>
      </c>
      <c r="B989" t="s">
        <v>6058</v>
      </c>
      <c r="C989" t="s">
        <v>6189</v>
      </c>
      <c r="D989" s="9" t="s">
        <v>6190</v>
      </c>
      <c r="E989" t="s">
        <v>6191</v>
      </c>
      <c r="F989" t="s">
        <v>143</v>
      </c>
      <c r="G989" t="s">
        <v>47</v>
      </c>
      <c r="H989" s="9" t="s">
        <v>6192</v>
      </c>
      <c r="I989" s="9" t="s">
        <v>6183</v>
      </c>
      <c r="K989" s="9" t="s">
        <v>6193</v>
      </c>
      <c r="L989" s="9" t="s">
        <v>6194</v>
      </c>
      <c r="M989" s="9" t="s">
        <v>6195</v>
      </c>
      <c r="N989" s="9" t="s">
        <v>6196</v>
      </c>
      <c r="O989" s="9" t="s">
        <v>6197</v>
      </c>
      <c r="P989" s="10">
        <v>57</v>
      </c>
    </row>
    <row r="990" spans="1:16" ht="187.2" x14ac:dyDescent="0.3">
      <c r="A990" t="s">
        <v>6057</v>
      </c>
      <c r="B990" t="s">
        <v>6198</v>
      </c>
      <c r="C990" t="s">
        <v>215</v>
      </c>
      <c r="D990" s="9" t="s">
        <v>6199</v>
      </c>
      <c r="E990" t="s">
        <v>4409</v>
      </c>
      <c r="F990" t="s">
        <v>143</v>
      </c>
      <c r="G990" t="s">
        <v>47</v>
      </c>
      <c r="H990" s="9" t="s">
        <v>6200</v>
      </c>
      <c r="I990" s="9" t="s">
        <v>6201</v>
      </c>
      <c r="J990" t="s">
        <v>6202</v>
      </c>
      <c r="K990" s="9" t="s">
        <v>6203</v>
      </c>
      <c r="L990" s="9" t="s">
        <v>6204</v>
      </c>
      <c r="M990" s="9" t="s">
        <v>6205</v>
      </c>
      <c r="N990" s="9" t="s">
        <v>6206</v>
      </c>
      <c r="O990" s="9" t="s">
        <v>6207</v>
      </c>
      <c r="P990" s="10">
        <v>58</v>
      </c>
    </row>
    <row r="991" spans="1:16" ht="216" x14ac:dyDescent="0.3">
      <c r="A991" t="s">
        <v>6057</v>
      </c>
      <c r="B991" t="s">
        <v>6198</v>
      </c>
      <c r="C991" t="s">
        <v>809</v>
      </c>
      <c r="D991" s="9" t="s">
        <v>6208</v>
      </c>
      <c r="E991" t="s">
        <v>6209</v>
      </c>
      <c r="F991" t="s">
        <v>143</v>
      </c>
      <c r="G991" t="s">
        <v>47</v>
      </c>
      <c r="H991" s="9"/>
      <c r="I991" s="9" t="s">
        <v>144</v>
      </c>
      <c r="J991" t="s">
        <v>6202</v>
      </c>
      <c r="K991" s="9" t="s">
        <v>6210</v>
      </c>
      <c r="L991" s="9" t="s">
        <v>6211</v>
      </c>
      <c r="M991" s="9" t="s">
        <v>6212</v>
      </c>
      <c r="N991" s="9" t="s">
        <v>6213</v>
      </c>
      <c r="O991" s="9" t="s">
        <v>6214</v>
      </c>
      <c r="P991" s="10">
        <v>58</v>
      </c>
    </row>
    <row r="992" spans="1:16" ht="187.2" x14ac:dyDescent="0.3">
      <c r="A992" t="s">
        <v>6057</v>
      </c>
      <c r="B992" t="s">
        <v>6198</v>
      </c>
      <c r="C992" t="s">
        <v>6215</v>
      </c>
      <c r="D992" s="9" t="s">
        <v>6216</v>
      </c>
      <c r="E992" t="s">
        <v>125</v>
      </c>
      <c r="F992" t="s">
        <v>143</v>
      </c>
      <c r="G992" t="s">
        <v>47</v>
      </c>
      <c r="H992" s="9"/>
      <c r="I992" s="9" t="s">
        <v>59</v>
      </c>
      <c r="J992" t="s">
        <v>6202</v>
      </c>
      <c r="K992" s="9" t="s">
        <v>6217</v>
      </c>
      <c r="L992" s="9" t="s">
        <v>6218</v>
      </c>
      <c r="M992" s="9" t="s">
        <v>6219</v>
      </c>
      <c r="N992" s="9" t="s">
        <v>6220</v>
      </c>
      <c r="O992" s="9" t="s">
        <v>6221</v>
      </c>
      <c r="P992" s="10">
        <v>58</v>
      </c>
    </row>
    <row r="993" spans="1:16" ht="129.6" x14ac:dyDescent="0.3">
      <c r="A993" t="s">
        <v>6057</v>
      </c>
      <c r="B993" t="s">
        <v>6222</v>
      </c>
      <c r="C993" t="s">
        <v>604</v>
      </c>
      <c r="D993" s="9" t="s">
        <v>6223</v>
      </c>
      <c r="E993" t="s">
        <v>66</v>
      </c>
      <c r="F993" t="s">
        <v>46</v>
      </c>
      <c r="G993" t="s">
        <v>47</v>
      </c>
      <c r="H993" s="9" t="s">
        <v>1630</v>
      </c>
      <c r="I993" s="9" t="s">
        <v>307</v>
      </c>
      <c r="J993" t="s">
        <v>6224</v>
      </c>
      <c r="K993" s="9" t="s">
        <v>6225</v>
      </c>
      <c r="L993" s="9" t="s">
        <v>6226</v>
      </c>
      <c r="M993" s="9" t="s">
        <v>6227</v>
      </c>
      <c r="N993" s="9"/>
      <c r="O993" s="9" t="s">
        <v>6228</v>
      </c>
      <c r="P993" s="10">
        <v>59</v>
      </c>
    </row>
    <row r="994" spans="1:16" ht="144" x14ac:dyDescent="0.3">
      <c r="A994" t="s">
        <v>6057</v>
      </c>
      <c r="B994" t="s">
        <v>6222</v>
      </c>
      <c r="C994" t="s">
        <v>611</v>
      </c>
      <c r="D994" s="9" t="s">
        <v>6229</v>
      </c>
      <c r="E994" t="s">
        <v>6230</v>
      </c>
      <c r="F994" t="s">
        <v>143</v>
      </c>
      <c r="G994" t="s">
        <v>47</v>
      </c>
      <c r="H994" s="9" t="s">
        <v>1630</v>
      </c>
      <c r="I994" s="9"/>
      <c r="J994" t="s">
        <v>6224</v>
      </c>
      <c r="K994" s="9" t="s">
        <v>6231</v>
      </c>
      <c r="L994" s="9" t="s">
        <v>6232</v>
      </c>
      <c r="M994" s="9" t="s">
        <v>6233</v>
      </c>
      <c r="N994" s="9" t="s">
        <v>6234</v>
      </c>
      <c r="O994" s="9" t="s">
        <v>6235</v>
      </c>
      <c r="P994" s="10">
        <v>59</v>
      </c>
    </row>
    <row r="995" spans="1:16" ht="144" x14ac:dyDescent="0.3">
      <c r="A995" t="s">
        <v>6057</v>
      </c>
      <c r="B995" t="s">
        <v>6222</v>
      </c>
      <c r="C995" t="s">
        <v>6236</v>
      </c>
      <c r="D995" s="9" t="s">
        <v>6237</v>
      </c>
      <c r="E995" t="s">
        <v>6238</v>
      </c>
      <c r="F995" t="s">
        <v>46</v>
      </c>
      <c r="G995" t="s">
        <v>47</v>
      </c>
      <c r="H995" s="9" t="s">
        <v>1630</v>
      </c>
      <c r="I995" s="9" t="s">
        <v>307</v>
      </c>
      <c r="J995" t="s">
        <v>6224</v>
      </c>
      <c r="K995" s="9" t="s">
        <v>6239</v>
      </c>
      <c r="L995" s="9" t="s">
        <v>6240</v>
      </c>
      <c r="M995" s="9" t="s">
        <v>6241</v>
      </c>
      <c r="N995" s="9" t="s">
        <v>6242</v>
      </c>
      <c r="O995" s="9" t="s">
        <v>6243</v>
      </c>
      <c r="P995" s="10">
        <v>59</v>
      </c>
    </row>
    <row r="996" spans="1:16" ht="158.4" x14ac:dyDescent="0.3">
      <c r="A996" t="s">
        <v>6057</v>
      </c>
      <c r="B996" t="s">
        <v>6222</v>
      </c>
      <c r="C996" t="s">
        <v>6244</v>
      </c>
      <c r="D996" s="9" t="s">
        <v>6245</v>
      </c>
      <c r="E996" t="s">
        <v>6246</v>
      </c>
      <c r="F996" t="s">
        <v>143</v>
      </c>
      <c r="G996" t="s">
        <v>47</v>
      </c>
      <c r="H996" s="9" t="s">
        <v>892</v>
      </c>
      <c r="I996" s="9" t="s">
        <v>614</v>
      </c>
      <c r="J996" t="s">
        <v>6224</v>
      </c>
      <c r="K996" s="9" t="s">
        <v>6247</v>
      </c>
      <c r="L996" s="9" t="s">
        <v>6248</v>
      </c>
      <c r="M996" s="9" t="s">
        <v>6249</v>
      </c>
      <c r="N996" s="9" t="s">
        <v>6250</v>
      </c>
      <c r="O996" s="9" t="s">
        <v>6251</v>
      </c>
      <c r="P996" s="10">
        <v>59</v>
      </c>
    </row>
    <row r="997" spans="1:16" ht="172.8" x14ac:dyDescent="0.3">
      <c r="A997" t="s">
        <v>6057</v>
      </c>
      <c r="B997" t="s">
        <v>6222</v>
      </c>
      <c r="C997" t="s">
        <v>6252</v>
      </c>
      <c r="D997" s="9" t="s">
        <v>6253</v>
      </c>
      <c r="E997" t="s">
        <v>6254</v>
      </c>
      <c r="F997" t="s">
        <v>143</v>
      </c>
      <c r="G997" t="s">
        <v>47</v>
      </c>
      <c r="H997" s="9" t="s">
        <v>6255</v>
      </c>
      <c r="I997" s="9" t="s">
        <v>614</v>
      </c>
      <c r="J997" t="s">
        <v>6224</v>
      </c>
      <c r="K997" s="9" t="s">
        <v>6256</v>
      </c>
      <c r="L997" s="9" t="s">
        <v>6257</v>
      </c>
      <c r="M997" s="9" t="s">
        <v>6258</v>
      </c>
      <c r="N997" s="9" t="s">
        <v>6259</v>
      </c>
      <c r="O997" s="9" t="s">
        <v>6260</v>
      </c>
      <c r="P997" s="10">
        <v>59</v>
      </c>
    </row>
    <row r="998" spans="1:16" ht="187.2" x14ac:dyDescent="0.3">
      <c r="A998" t="s">
        <v>6057</v>
      </c>
      <c r="B998" t="s">
        <v>6222</v>
      </c>
      <c r="C998" t="s">
        <v>6261</v>
      </c>
      <c r="D998" s="9" t="s">
        <v>6262</v>
      </c>
      <c r="E998" t="s">
        <v>6263</v>
      </c>
      <c r="F998" t="s">
        <v>143</v>
      </c>
      <c r="G998" t="s">
        <v>47</v>
      </c>
      <c r="H998" s="9" t="s">
        <v>6264</v>
      </c>
      <c r="I998" s="9" t="s">
        <v>614</v>
      </c>
      <c r="J998" t="s">
        <v>6224</v>
      </c>
      <c r="K998" s="9" t="s">
        <v>6265</v>
      </c>
      <c r="L998" s="9" t="s">
        <v>6266</v>
      </c>
      <c r="M998" s="9" t="s">
        <v>6267</v>
      </c>
      <c r="N998" s="9" t="s">
        <v>6268</v>
      </c>
      <c r="O998" s="9" t="s">
        <v>6269</v>
      </c>
      <c r="P998" s="10">
        <v>59</v>
      </c>
    </row>
    <row r="999" spans="1:16" ht="144" x14ac:dyDescent="0.3">
      <c r="A999" t="s">
        <v>6057</v>
      </c>
      <c r="B999" t="s">
        <v>6270</v>
      </c>
      <c r="C999" t="s">
        <v>604</v>
      </c>
      <c r="D999" s="9" t="s">
        <v>6271</v>
      </c>
      <c r="E999" t="s">
        <v>66</v>
      </c>
      <c r="F999" t="s">
        <v>46</v>
      </c>
      <c r="G999" t="s">
        <v>47</v>
      </c>
      <c r="H999" s="9" t="s">
        <v>1630</v>
      </c>
      <c r="I999" s="9"/>
      <c r="K999" s="9" t="s">
        <v>6272</v>
      </c>
      <c r="L999" s="9" t="s">
        <v>6273</v>
      </c>
      <c r="M999" s="9" t="s">
        <v>6274</v>
      </c>
      <c r="N999" s="9" t="s">
        <v>6275</v>
      </c>
      <c r="O999" s="9" t="s">
        <v>6228</v>
      </c>
      <c r="P999" s="10">
        <v>60</v>
      </c>
    </row>
    <row r="1000" spans="1:16" ht="158.4" x14ac:dyDescent="0.3">
      <c r="A1000" t="s">
        <v>6057</v>
      </c>
      <c r="B1000" t="s">
        <v>6270</v>
      </c>
      <c r="C1000" t="s">
        <v>611</v>
      </c>
      <c r="D1000" s="9" t="s">
        <v>6276</v>
      </c>
      <c r="E1000" t="s">
        <v>6230</v>
      </c>
      <c r="F1000" t="s">
        <v>143</v>
      </c>
      <c r="G1000" t="s">
        <v>47</v>
      </c>
      <c r="H1000" s="9" t="s">
        <v>1630</v>
      </c>
      <c r="I1000" s="9"/>
      <c r="J1000" t="s">
        <v>6224</v>
      </c>
      <c r="K1000" s="9" t="s">
        <v>6277</v>
      </c>
      <c r="L1000" s="9" t="s">
        <v>6278</v>
      </c>
      <c r="M1000" s="9" t="s">
        <v>6279</v>
      </c>
      <c r="N1000" s="9" t="s">
        <v>6280</v>
      </c>
      <c r="O1000" s="9" t="s">
        <v>6235</v>
      </c>
      <c r="P1000" s="10">
        <v>60</v>
      </c>
    </row>
    <row r="1001" spans="1:16" ht="144" x14ac:dyDescent="0.3">
      <c r="A1001" t="s">
        <v>6057</v>
      </c>
      <c r="B1001" t="s">
        <v>6270</v>
      </c>
      <c r="C1001" t="s">
        <v>6236</v>
      </c>
      <c r="D1001" s="9" t="s">
        <v>6237</v>
      </c>
      <c r="E1001" t="s">
        <v>6238</v>
      </c>
      <c r="F1001" t="s">
        <v>46</v>
      </c>
      <c r="G1001" t="s">
        <v>47</v>
      </c>
      <c r="H1001" s="9" t="s">
        <v>1630</v>
      </c>
      <c r="I1001" s="9" t="s">
        <v>307</v>
      </c>
      <c r="J1001" t="s">
        <v>6224</v>
      </c>
      <c r="K1001" s="9" t="s">
        <v>6281</v>
      </c>
      <c r="L1001" s="9" t="s">
        <v>6282</v>
      </c>
      <c r="M1001" s="9" t="s">
        <v>6283</v>
      </c>
      <c r="N1001" s="9" t="s">
        <v>6284</v>
      </c>
      <c r="O1001" s="9" t="s">
        <v>6243</v>
      </c>
      <c r="P1001" s="10">
        <v>60</v>
      </c>
    </row>
    <row r="1002" spans="1:16" ht="172.8" x14ac:dyDescent="0.3">
      <c r="A1002" t="s">
        <v>6057</v>
      </c>
      <c r="B1002" t="s">
        <v>6270</v>
      </c>
      <c r="C1002" t="s">
        <v>6244</v>
      </c>
      <c r="D1002" s="9" t="s">
        <v>6285</v>
      </c>
      <c r="E1002" t="s">
        <v>6246</v>
      </c>
      <c r="F1002" t="s">
        <v>143</v>
      </c>
      <c r="G1002" t="s">
        <v>47</v>
      </c>
      <c r="H1002" s="9" t="s">
        <v>4162</v>
      </c>
      <c r="I1002" s="9" t="s">
        <v>614</v>
      </c>
      <c r="J1002" t="s">
        <v>6224</v>
      </c>
      <c r="K1002" s="9" t="s">
        <v>6286</v>
      </c>
      <c r="L1002" s="9" t="s">
        <v>6287</v>
      </c>
      <c r="M1002" s="9" t="s">
        <v>6288</v>
      </c>
      <c r="N1002" s="9" t="s">
        <v>6289</v>
      </c>
      <c r="O1002" s="9" t="s">
        <v>6290</v>
      </c>
      <c r="P1002" s="10">
        <v>60</v>
      </c>
    </row>
    <row r="1003" spans="1:16" ht="172.8" x14ac:dyDescent="0.3">
      <c r="A1003" t="s">
        <v>6057</v>
      </c>
      <c r="B1003" t="s">
        <v>6270</v>
      </c>
      <c r="C1003" t="s">
        <v>6252</v>
      </c>
      <c r="D1003" s="9" t="s">
        <v>6291</v>
      </c>
      <c r="E1003" t="s">
        <v>6254</v>
      </c>
      <c r="F1003" t="s">
        <v>143</v>
      </c>
      <c r="G1003" t="s">
        <v>47</v>
      </c>
      <c r="H1003" s="9" t="s">
        <v>6292</v>
      </c>
      <c r="I1003" s="9" t="s">
        <v>614</v>
      </c>
      <c r="J1003" t="s">
        <v>6224</v>
      </c>
      <c r="K1003" s="9" t="s">
        <v>6293</v>
      </c>
      <c r="L1003" s="9" t="s">
        <v>6294</v>
      </c>
      <c r="M1003" s="9" t="s">
        <v>6258</v>
      </c>
      <c r="N1003" s="9" t="s">
        <v>6295</v>
      </c>
      <c r="O1003" s="9" t="s">
        <v>6260</v>
      </c>
      <c r="P1003" s="10">
        <v>60</v>
      </c>
    </row>
    <row r="1004" spans="1:16" ht="172.8" x14ac:dyDescent="0.3">
      <c r="A1004" t="s">
        <v>6057</v>
      </c>
      <c r="B1004" t="s">
        <v>6270</v>
      </c>
      <c r="C1004" t="s">
        <v>6261</v>
      </c>
      <c r="D1004" s="9" t="s">
        <v>6296</v>
      </c>
      <c r="E1004" t="s">
        <v>6263</v>
      </c>
      <c r="F1004" t="s">
        <v>143</v>
      </c>
      <c r="G1004" t="s">
        <v>47</v>
      </c>
      <c r="H1004" s="9" t="s">
        <v>6297</v>
      </c>
      <c r="I1004" s="9" t="s">
        <v>614</v>
      </c>
      <c r="J1004" t="s">
        <v>6224</v>
      </c>
      <c r="K1004" s="9" t="s">
        <v>6298</v>
      </c>
      <c r="L1004" s="9" t="s">
        <v>6299</v>
      </c>
      <c r="M1004" s="9" t="s">
        <v>6267</v>
      </c>
      <c r="N1004" s="9" t="s">
        <v>6300</v>
      </c>
      <c r="O1004" s="9" t="s">
        <v>6269</v>
      </c>
      <c r="P1004" s="10">
        <v>60</v>
      </c>
    </row>
    <row r="1005" spans="1:16" ht="216" x14ac:dyDescent="0.3">
      <c r="A1005" t="s">
        <v>6057</v>
      </c>
      <c r="B1005" t="s">
        <v>6301</v>
      </c>
      <c r="C1005" t="s">
        <v>43</v>
      </c>
      <c r="D1005" s="9" t="s">
        <v>6302</v>
      </c>
      <c r="E1005" t="s">
        <v>68</v>
      </c>
      <c r="F1005" t="s">
        <v>116</v>
      </c>
      <c r="G1005" t="s">
        <v>47</v>
      </c>
      <c r="H1005" s="9"/>
      <c r="I1005" s="9"/>
      <c r="K1005" s="9" t="s">
        <v>6303</v>
      </c>
      <c r="L1005" s="9"/>
      <c r="M1005" s="9" t="s">
        <v>6304</v>
      </c>
      <c r="N1005" s="9" t="s">
        <v>6305</v>
      </c>
      <c r="O1005" s="9" t="s">
        <v>6306</v>
      </c>
      <c r="P1005" s="10">
        <v>61</v>
      </c>
    </row>
    <row r="1006" spans="1:16" ht="409.6" x14ac:dyDescent="0.3">
      <c r="A1006" t="s">
        <v>6057</v>
      </c>
      <c r="B1006" t="s">
        <v>6301</v>
      </c>
      <c r="C1006" t="s">
        <v>82</v>
      </c>
      <c r="D1006" s="9" t="s">
        <v>6307</v>
      </c>
      <c r="E1006" t="s">
        <v>76</v>
      </c>
      <c r="F1006" t="s">
        <v>116</v>
      </c>
      <c r="G1006" t="s">
        <v>47</v>
      </c>
      <c r="H1006" s="9"/>
      <c r="I1006" s="9"/>
      <c r="K1006" s="9" t="s">
        <v>6308</v>
      </c>
      <c r="L1006" s="9"/>
      <c r="M1006" s="9" t="s">
        <v>6309</v>
      </c>
      <c r="N1006" s="9" t="s">
        <v>6310</v>
      </c>
      <c r="O1006" s="9" t="s">
        <v>6311</v>
      </c>
      <c r="P1006" s="10">
        <v>61</v>
      </c>
    </row>
    <row r="1007" spans="1:16" ht="388.8" x14ac:dyDescent="0.3">
      <c r="A1007" t="s">
        <v>6057</v>
      </c>
      <c r="B1007" t="s">
        <v>6301</v>
      </c>
      <c r="C1007" t="s">
        <v>424</v>
      </c>
      <c r="D1007" s="9" t="s">
        <v>6312</v>
      </c>
      <c r="E1007" t="s">
        <v>55</v>
      </c>
      <c r="F1007" t="s">
        <v>69</v>
      </c>
      <c r="G1007" t="s">
        <v>47</v>
      </c>
      <c r="H1007" s="9"/>
      <c r="I1007" s="9"/>
      <c r="K1007" s="9" t="s">
        <v>6313</v>
      </c>
      <c r="L1007" s="9"/>
      <c r="M1007" s="9" t="s">
        <v>6314</v>
      </c>
      <c r="N1007" s="9" t="s">
        <v>6315</v>
      </c>
      <c r="O1007" s="9" t="s">
        <v>6316</v>
      </c>
      <c r="P1007" s="10">
        <v>61</v>
      </c>
    </row>
    <row r="1008" spans="1:16" ht="115.2" x14ac:dyDescent="0.3">
      <c r="A1008" t="s">
        <v>6057</v>
      </c>
      <c r="B1008" t="s">
        <v>6301</v>
      </c>
      <c r="C1008" t="s">
        <v>590</v>
      </c>
      <c r="D1008" s="9" t="s">
        <v>6317</v>
      </c>
      <c r="E1008" t="s">
        <v>66</v>
      </c>
      <c r="F1008" t="s">
        <v>69</v>
      </c>
      <c r="G1008" t="s">
        <v>47</v>
      </c>
      <c r="H1008" s="9"/>
      <c r="I1008" s="9" t="s">
        <v>59</v>
      </c>
      <c r="K1008" s="9" t="s">
        <v>6318</v>
      </c>
      <c r="L1008" s="9"/>
      <c r="M1008" s="9" t="s">
        <v>6319</v>
      </c>
      <c r="N1008" s="9" t="s">
        <v>6320</v>
      </c>
      <c r="O1008" s="9" t="s">
        <v>6321</v>
      </c>
      <c r="P1008" s="10">
        <v>61</v>
      </c>
    </row>
    <row r="1009" spans="1:16" ht="409.6" x14ac:dyDescent="0.3">
      <c r="A1009" t="s">
        <v>6057</v>
      </c>
      <c r="B1009" t="s">
        <v>6301</v>
      </c>
      <c r="C1009" t="s">
        <v>215</v>
      </c>
      <c r="D1009" s="9" t="s">
        <v>6322</v>
      </c>
      <c r="E1009" t="s">
        <v>433</v>
      </c>
      <c r="F1009" t="s">
        <v>143</v>
      </c>
      <c r="G1009" t="s">
        <v>47</v>
      </c>
      <c r="H1009" s="9" t="s">
        <v>59</v>
      </c>
      <c r="I1009" s="9" t="s">
        <v>59</v>
      </c>
      <c r="J1009" t="s">
        <v>6323</v>
      </c>
      <c r="K1009" s="9" t="s">
        <v>6324</v>
      </c>
      <c r="L1009" s="9"/>
      <c r="M1009" s="9" t="s">
        <v>6325</v>
      </c>
      <c r="N1009" s="9" t="s">
        <v>6326</v>
      </c>
      <c r="O1009" s="9" t="s">
        <v>6327</v>
      </c>
      <c r="P1009" s="10">
        <v>61</v>
      </c>
    </row>
    <row r="1010" spans="1:16" ht="115.2" x14ac:dyDescent="0.3">
      <c r="A1010" t="s">
        <v>6057</v>
      </c>
      <c r="B1010" t="s">
        <v>6301</v>
      </c>
      <c r="C1010" t="s">
        <v>221</v>
      </c>
      <c r="D1010" s="9" t="s">
        <v>6328</v>
      </c>
      <c r="E1010" t="s">
        <v>796</v>
      </c>
      <c r="F1010" t="s">
        <v>69</v>
      </c>
      <c r="G1010" t="s">
        <v>47</v>
      </c>
      <c r="H1010" s="9"/>
      <c r="I1010" s="9"/>
      <c r="K1010" s="9" t="s">
        <v>6329</v>
      </c>
      <c r="L1010" s="9"/>
      <c r="M1010" s="9" t="s">
        <v>6330</v>
      </c>
      <c r="N1010" s="9" t="s">
        <v>6331</v>
      </c>
      <c r="O1010" s="9" t="s">
        <v>6332</v>
      </c>
      <c r="P1010" s="10">
        <v>61</v>
      </c>
    </row>
    <row r="1011" spans="1:16" ht="129.6" x14ac:dyDescent="0.3">
      <c r="A1011" t="s">
        <v>6057</v>
      </c>
      <c r="B1011" t="s">
        <v>6301</v>
      </c>
      <c r="C1011" t="s">
        <v>773</v>
      </c>
      <c r="D1011" s="9" t="s">
        <v>6333</v>
      </c>
      <c r="E1011" t="s">
        <v>449</v>
      </c>
      <c r="F1011" t="s">
        <v>116</v>
      </c>
      <c r="G1011" t="s">
        <v>47</v>
      </c>
      <c r="H1011" s="9"/>
      <c r="I1011" s="9"/>
      <c r="K1011" s="9" t="s">
        <v>6334</v>
      </c>
      <c r="L1011" s="9"/>
      <c r="M1011" s="9" t="s">
        <v>6335</v>
      </c>
      <c r="N1011" s="9" t="s">
        <v>6336</v>
      </c>
      <c r="O1011" s="9" t="s">
        <v>6337</v>
      </c>
      <c r="P1011" s="10">
        <v>61</v>
      </c>
    </row>
    <row r="1012" spans="1:16" ht="360" x14ac:dyDescent="0.3">
      <c r="A1012" t="s">
        <v>6057</v>
      </c>
      <c r="B1012" t="s">
        <v>6301</v>
      </c>
      <c r="C1012" t="s">
        <v>597</v>
      </c>
      <c r="D1012" s="9" t="s">
        <v>6338</v>
      </c>
      <c r="E1012" t="s">
        <v>449</v>
      </c>
      <c r="F1012" t="s">
        <v>116</v>
      </c>
      <c r="G1012" t="s">
        <v>47</v>
      </c>
      <c r="H1012" s="9"/>
      <c r="I1012" s="9"/>
      <c r="K1012" s="9" t="s">
        <v>6339</v>
      </c>
      <c r="L1012" s="9"/>
      <c r="M1012" s="9" t="s">
        <v>6340</v>
      </c>
      <c r="N1012" s="9" t="s">
        <v>6341</v>
      </c>
      <c r="O1012" s="9" t="s">
        <v>6342</v>
      </c>
      <c r="P1012" s="10">
        <v>61</v>
      </c>
    </row>
    <row r="1013" spans="1:16" ht="172.8" x14ac:dyDescent="0.3">
      <c r="A1013" t="s">
        <v>6057</v>
      </c>
      <c r="B1013" t="s">
        <v>6301</v>
      </c>
      <c r="C1013" t="s">
        <v>787</v>
      </c>
      <c r="D1013" s="9" t="s">
        <v>6343</v>
      </c>
      <c r="E1013" t="s">
        <v>694</v>
      </c>
      <c r="F1013" t="s">
        <v>116</v>
      </c>
      <c r="G1013" t="s">
        <v>47</v>
      </c>
      <c r="H1013" s="9"/>
      <c r="I1013" s="9"/>
      <c r="K1013" s="9" t="s">
        <v>6344</v>
      </c>
      <c r="L1013" s="9"/>
      <c r="M1013" s="9" t="s">
        <v>6345</v>
      </c>
      <c r="N1013" s="9" t="s">
        <v>6346</v>
      </c>
      <c r="O1013" s="9" t="s">
        <v>6347</v>
      </c>
      <c r="P1013" s="10">
        <v>61</v>
      </c>
    </row>
    <row r="1014" spans="1:16" ht="100.8" x14ac:dyDescent="0.3">
      <c r="A1014" t="s">
        <v>6057</v>
      </c>
      <c r="B1014" t="s">
        <v>6301</v>
      </c>
      <c r="C1014" t="s">
        <v>604</v>
      </c>
      <c r="D1014" s="9" t="s">
        <v>6348</v>
      </c>
      <c r="E1014" t="s">
        <v>458</v>
      </c>
      <c r="F1014" t="s">
        <v>69</v>
      </c>
      <c r="G1014" t="s">
        <v>47</v>
      </c>
      <c r="H1014" s="9"/>
      <c r="I1014" s="9"/>
      <c r="K1014" s="9" t="s">
        <v>6349</v>
      </c>
      <c r="L1014" s="9"/>
      <c r="M1014" s="9" t="s">
        <v>6350</v>
      </c>
      <c r="N1014" s="9" t="s">
        <v>6351</v>
      </c>
      <c r="O1014" s="9" t="s">
        <v>6352</v>
      </c>
      <c r="P1014" s="10">
        <v>61</v>
      </c>
    </row>
    <row r="1015" spans="1:16" ht="100.8" x14ac:dyDescent="0.3">
      <c r="A1015" t="s">
        <v>6057</v>
      </c>
      <c r="B1015" t="s">
        <v>6301</v>
      </c>
      <c r="C1015" t="s">
        <v>620</v>
      </c>
      <c r="D1015" s="9" t="s">
        <v>6353</v>
      </c>
      <c r="E1015" t="s">
        <v>458</v>
      </c>
      <c r="F1015" t="s">
        <v>116</v>
      </c>
      <c r="G1015" t="s">
        <v>47</v>
      </c>
      <c r="H1015" s="9"/>
      <c r="I1015" s="9"/>
      <c r="K1015" s="9" t="s">
        <v>6354</v>
      </c>
      <c r="L1015" s="9"/>
      <c r="M1015" s="9" t="s">
        <v>6355</v>
      </c>
      <c r="N1015" s="9" t="s">
        <v>6356</v>
      </c>
      <c r="O1015" s="9" t="s">
        <v>6357</v>
      </c>
      <c r="P1015" s="10">
        <v>61</v>
      </c>
    </row>
    <row r="1016" spans="1:16" ht="129.6" x14ac:dyDescent="0.3">
      <c r="A1016" t="s">
        <v>6057</v>
      </c>
      <c r="B1016" t="s">
        <v>6301</v>
      </c>
      <c r="C1016" t="s">
        <v>649</v>
      </c>
      <c r="D1016" s="9" t="s">
        <v>6358</v>
      </c>
      <c r="E1016" t="s">
        <v>312</v>
      </c>
      <c r="F1016" t="s">
        <v>69</v>
      </c>
      <c r="G1016" t="s">
        <v>47</v>
      </c>
      <c r="H1016" s="9"/>
      <c r="I1016" s="9"/>
      <c r="K1016" s="9" t="s">
        <v>6359</v>
      </c>
      <c r="L1016" s="9"/>
      <c r="M1016" s="9" t="s">
        <v>6360</v>
      </c>
      <c r="N1016" s="9" t="s">
        <v>6361</v>
      </c>
      <c r="O1016" s="9" t="s">
        <v>6362</v>
      </c>
      <c r="P1016" s="10">
        <v>61</v>
      </c>
    </row>
    <row r="1017" spans="1:16" ht="316.8" x14ac:dyDescent="0.3">
      <c r="A1017" t="s">
        <v>6057</v>
      </c>
      <c r="B1017" t="s">
        <v>6301</v>
      </c>
      <c r="C1017" t="s">
        <v>657</v>
      </c>
      <c r="D1017" s="9" t="s">
        <v>6363</v>
      </c>
      <c r="E1017" t="s">
        <v>927</v>
      </c>
      <c r="F1017" t="s">
        <v>69</v>
      </c>
      <c r="G1017" t="s">
        <v>47</v>
      </c>
      <c r="H1017" s="9"/>
      <c r="I1017" s="9"/>
      <c r="K1017" s="9" t="s">
        <v>6364</v>
      </c>
      <c r="L1017" s="9"/>
      <c r="M1017" s="9" t="s">
        <v>6365</v>
      </c>
      <c r="N1017" s="9" t="s">
        <v>6366</v>
      </c>
      <c r="O1017" s="9" t="s">
        <v>6367</v>
      </c>
      <c r="P1017" s="10">
        <v>61</v>
      </c>
    </row>
    <row r="1018" spans="1:16" ht="409.6" x14ac:dyDescent="0.3">
      <c r="A1018" t="s">
        <v>6057</v>
      </c>
      <c r="B1018" t="s">
        <v>6301</v>
      </c>
      <c r="C1018" t="s">
        <v>6368</v>
      </c>
      <c r="D1018" s="9" t="s">
        <v>6369</v>
      </c>
      <c r="E1018" t="s">
        <v>6370</v>
      </c>
      <c r="F1018" t="s">
        <v>69</v>
      </c>
      <c r="G1018" t="s">
        <v>47</v>
      </c>
      <c r="H1018" s="9"/>
      <c r="I1018" s="9"/>
      <c r="K1018" s="9" t="s">
        <v>6371</v>
      </c>
      <c r="L1018" s="9"/>
      <c r="M1018" s="9" t="s">
        <v>6372</v>
      </c>
      <c r="N1018" s="9" t="s">
        <v>6373</v>
      </c>
      <c r="O1018" s="9" t="s">
        <v>6374</v>
      </c>
      <c r="P1018" s="10">
        <v>61</v>
      </c>
    </row>
    <row r="1019" spans="1:16" ht="216" x14ac:dyDescent="0.3">
      <c r="A1019" t="s">
        <v>6057</v>
      </c>
      <c r="B1019" t="s">
        <v>6375</v>
      </c>
      <c r="C1019" t="s">
        <v>43</v>
      </c>
      <c r="D1019" s="9" t="s">
        <v>6302</v>
      </c>
      <c r="E1019" t="s">
        <v>68</v>
      </c>
      <c r="F1019" t="s">
        <v>116</v>
      </c>
      <c r="G1019" t="s">
        <v>47</v>
      </c>
      <c r="H1019" s="9"/>
      <c r="I1019" s="9"/>
      <c r="K1019" s="9" t="s">
        <v>6376</v>
      </c>
      <c r="L1019" s="9"/>
      <c r="M1019" s="9" t="s">
        <v>6304</v>
      </c>
      <c r="N1019" s="9" t="s">
        <v>6377</v>
      </c>
      <c r="O1019" s="9" t="s">
        <v>6306</v>
      </c>
      <c r="P1019" s="10">
        <v>62</v>
      </c>
    </row>
    <row r="1020" spans="1:16" ht="409.6" x14ac:dyDescent="0.3">
      <c r="A1020" t="s">
        <v>6057</v>
      </c>
      <c r="B1020" t="s">
        <v>6375</v>
      </c>
      <c r="C1020" t="s">
        <v>82</v>
      </c>
      <c r="D1020" s="9" t="s">
        <v>6307</v>
      </c>
      <c r="E1020" t="s">
        <v>76</v>
      </c>
      <c r="F1020" t="s">
        <v>116</v>
      </c>
      <c r="G1020" t="s">
        <v>47</v>
      </c>
      <c r="H1020" s="9"/>
      <c r="I1020" s="9"/>
      <c r="K1020" s="9" t="s">
        <v>6378</v>
      </c>
      <c r="L1020" s="9"/>
      <c r="M1020" s="9" t="s">
        <v>6379</v>
      </c>
      <c r="N1020" s="9" t="s">
        <v>6380</v>
      </c>
      <c r="O1020" s="9" t="s">
        <v>6311</v>
      </c>
      <c r="P1020" s="10">
        <v>62</v>
      </c>
    </row>
    <row r="1021" spans="1:16" ht="388.8" x14ac:dyDescent="0.3">
      <c r="A1021" t="s">
        <v>6057</v>
      </c>
      <c r="B1021" t="s">
        <v>6375</v>
      </c>
      <c r="C1021" t="s">
        <v>424</v>
      </c>
      <c r="D1021" s="9" t="s">
        <v>6312</v>
      </c>
      <c r="E1021" t="s">
        <v>55</v>
      </c>
      <c r="F1021" t="s">
        <v>69</v>
      </c>
      <c r="G1021" t="s">
        <v>47</v>
      </c>
      <c r="H1021" s="9"/>
      <c r="I1021" s="9"/>
      <c r="K1021" s="9" t="s">
        <v>6381</v>
      </c>
      <c r="L1021" s="9"/>
      <c r="M1021" s="9" t="s">
        <v>6382</v>
      </c>
      <c r="N1021" s="9" t="s">
        <v>6383</v>
      </c>
      <c r="O1021" s="9" t="s">
        <v>6316</v>
      </c>
      <c r="P1021" s="10">
        <v>62</v>
      </c>
    </row>
    <row r="1022" spans="1:16" ht="115.2" x14ac:dyDescent="0.3">
      <c r="A1022" t="s">
        <v>6057</v>
      </c>
      <c r="B1022" t="s">
        <v>6375</v>
      </c>
      <c r="C1022" t="s">
        <v>590</v>
      </c>
      <c r="D1022" s="9" t="s">
        <v>6317</v>
      </c>
      <c r="E1022" t="s">
        <v>66</v>
      </c>
      <c r="F1022" t="s">
        <v>69</v>
      </c>
      <c r="G1022" t="s">
        <v>47</v>
      </c>
      <c r="H1022" s="9"/>
      <c r="I1022" s="9" t="s">
        <v>59</v>
      </c>
      <c r="K1022" s="9" t="s">
        <v>6318</v>
      </c>
      <c r="L1022" s="9"/>
      <c r="M1022" s="9" t="s">
        <v>6319</v>
      </c>
      <c r="N1022" s="9" t="s">
        <v>6320</v>
      </c>
      <c r="O1022" s="9" t="s">
        <v>6321</v>
      </c>
      <c r="P1022" s="10">
        <v>62</v>
      </c>
    </row>
    <row r="1023" spans="1:16" ht="409.6" x14ac:dyDescent="0.3">
      <c r="A1023" t="s">
        <v>6057</v>
      </c>
      <c r="B1023" t="s">
        <v>6375</v>
      </c>
      <c r="C1023" t="s">
        <v>215</v>
      </c>
      <c r="D1023" s="9" t="s">
        <v>6322</v>
      </c>
      <c r="E1023" t="s">
        <v>433</v>
      </c>
      <c r="F1023" t="s">
        <v>116</v>
      </c>
      <c r="G1023" t="s">
        <v>47</v>
      </c>
      <c r="H1023" s="9"/>
      <c r="I1023" s="9" t="s">
        <v>59</v>
      </c>
      <c r="K1023" s="9" t="s">
        <v>6384</v>
      </c>
      <c r="L1023" s="9"/>
      <c r="M1023" s="9" t="s">
        <v>6385</v>
      </c>
      <c r="N1023" s="9" t="s">
        <v>6386</v>
      </c>
      <c r="O1023" s="9" t="s">
        <v>6327</v>
      </c>
      <c r="P1023" s="10">
        <v>62</v>
      </c>
    </row>
    <row r="1024" spans="1:16" ht="144" x14ac:dyDescent="0.3">
      <c r="A1024" t="s">
        <v>6057</v>
      </c>
      <c r="B1024" t="s">
        <v>6375</v>
      </c>
      <c r="C1024" t="s">
        <v>221</v>
      </c>
      <c r="D1024" s="9" t="s">
        <v>6328</v>
      </c>
      <c r="E1024" t="s">
        <v>796</v>
      </c>
      <c r="F1024" t="s">
        <v>69</v>
      </c>
      <c r="G1024" t="s">
        <v>47</v>
      </c>
      <c r="H1024" s="9" t="s">
        <v>1509</v>
      </c>
      <c r="I1024" s="9" t="s">
        <v>106</v>
      </c>
      <c r="J1024" t="s">
        <v>6224</v>
      </c>
      <c r="K1024" s="9" t="s">
        <v>6387</v>
      </c>
      <c r="L1024" s="9"/>
      <c r="M1024" s="9" t="s">
        <v>6330</v>
      </c>
      <c r="N1024" s="9" t="s">
        <v>6388</v>
      </c>
      <c r="O1024" s="9" t="s">
        <v>6332</v>
      </c>
      <c r="P1024" s="10">
        <v>62</v>
      </c>
    </row>
    <row r="1025" spans="1:16" ht="129.6" x14ac:dyDescent="0.3">
      <c r="A1025" t="s">
        <v>6057</v>
      </c>
      <c r="B1025" t="s">
        <v>6375</v>
      </c>
      <c r="C1025" t="s">
        <v>773</v>
      </c>
      <c r="D1025" s="9" t="s">
        <v>6389</v>
      </c>
      <c r="E1025" t="s">
        <v>449</v>
      </c>
      <c r="F1025" t="s">
        <v>116</v>
      </c>
      <c r="G1025" t="s">
        <v>47</v>
      </c>
      <c r="H1025" s="9" t="s">
        <v>3880</v>
      </c>
      <c r="I1025" s="9"/>
      <c r="K1025" s="9" t="s">
        <v>6390</v>
      </c>
      <c r="L1025" s="9"/>
      <c r="M1025" s="9" t="s">
        <v>6335</v>
      </c>
      <c r="N1025" s="9" t="s">
        <v>6336</v>
      </c>
      <c r="O1025" s="9" t="s">
        <v>6337</v>
      </c>
      <c r="P1025" s="10">
        <v>62</v>
      </c>
    </row>
    <row r="1026" spans="1:16" ht="388.8" x14ac:dyDescent="0.3">
      <c r="A1026" t="s">
        <v>6057</v>
      </c>
      <c r="B1026" t="s">
        <v>6375</v>
      </c>
      <c r="C1026" t="s">
        <v>597</v>
      </c>
      <c r="D1026" s="9" t="s">
        <v>6391</v>
      </c>
      <c r="E1026" t="s">
        <v>449</v>
      </c>
      <c r="F1026" t="s">
        <v>116</v>
      </c>
      <c r="G1026" t="s">
        <v>47</v>
      </c>
      <c r="H1026" s="9" t="s">
        <v>3880</v>
      </c>
      <c r="I1026" s="9"/>
      <c r="K1026" s="9" t="s">
        <v>6392</v>
      </c>
      <c r="L1026" s="9"/>
      <c r="M1026" s="9" t="s">
        <v>6393</v>
      </c>
      <c r="N1026" s="9" t="s">
        <v>6394</v>
      </c>
      <c r="O1026" s="9" t="s">
        <v>6395</v>
      </c>
      <c r="P1026" s="10">
        <v>62</v>
      </c>
    </row>
    <row r="1027" spans="1:16" ht="172.8" x14ac:dyDescent="0.3">
      <c r="A1027" t="s">
        <v>6057</v>
      </c>
      <c r="B1027" t="s">
        <v>6375</v>
      </c>
      <c r="C1027" t="s">
        <v>787</v>
      </c>
      <c r="D1027" s="9" t="s">
        <v>6343</v>
      </c>
      <c r="E1027" t="s">
        <v>694</v>
      </c>
      <c r="F1027" t="s">
        <v>116</v>
      </c>
      <c r="G1027" t="s">
        <v>47</v>
      </c>
      <c r="H1027" s="9" t="s">
        <v>3880</v>
      </c>
      <c r="I1027" s="9"/>
      <c r="J1027" t="s">
        <v>6396</v>
      </c>
      <c r="K1027" s="9" t="s">
        <v>6397</v>
      </c>
      <c r="L1027" s="9"/>
      <c r="M1027" s="9" t="s">
        <v>6398</v>
      </c>
      <c r="N1027" s="9" t="s">
        <v>6399</v>
      </c>
      <c r="O1027" s="9" t="s">
        <v>6347</v>
      </c>
      <c r="P1027" s="10">
        <v>62</v>
      </c>
    </row>
    <row r="1028" spans="1:16" ht="100.8" x14ac:dyDescent="0.3">
      <c r="A1028" t="s">
        <v>6057</v>
      </c>
      <c r="B1028" t="s">
        <v>6375</v>
      </c>
      <c r="C1028" t="s">
        <v>604</v>
      </c>
      <c r="D1028" s="9" t="s">
        <v>6348</v>
      </c>
      <c r="E1028" t="s">
        <v>458</v>
      </c>
      <c r="F1028" t="s">
        <v>69</v>
      </c>
      <c r="G1028" t="s">
        <v>47</v>
      </c>
      <c r="H1028" s="9" t="s">
        <v>3880</v>
      </c>
      <c r="I1028" s="9"/>
      <c r="K1028" s="9" t="s">
        <v>6400</v>
      </c>
      <c r="L1028" s="9"/>
      <c r="M1028" s="9" t="s">
        <v>6401</v>
      </c>
      <c r="N1028" s="9" t="s">
        <v>6402</v>
      </c>
      <c r="O1028" s="9" t="s">
        <v>6352</v>
      </c>
      <c r="P1028" s="10">
        <v>62</v>
      </c>
    </row>
    <row r="1029" spans="1:16" ht="100.8" x14ac:dyDescent="0.3">
      <c r="A1029" t="s">
        <v>6057</v>
      </c>
      <c r="B1029" t="s">
        <v>6375</v>
      </c>
      <c r="C1029" t="s">
        <v>620</v>
      </c>
      <c r="D1029" s="9" t="s">
        <v>6353</v>
      </c>
      <c r="E1029" t="s">
        <v>458</v>
      </c>
      <c r="F1029" t="s">
        <v>116</v>
      </c>
      <c r="G1029" t="s">
        <v>47</v>
      </c>
      <c r="H1029" s="9"/>
      <c r="I1029" s="9"/>
      <c r="K1029" s="9" t="s">
        <v>6403</v>
      </c>
      <c r="L1029" s="9"/>
      <c r="M1029" s="9" t="s">
        <v>6404</v>
      </c>
      <c r="N1029" s="9" t="s">
        <v>6405</v>
      </c>
      <c r="O1029" s="9" t="s">
        <v>6357</v>
      </c>
      <c r="P1029" s="10">
        <v>62</v>
      </c>
    </row>
    <row r="1030" spans="1:16" ht="129.6" x14ac:dyDescent="0.3">
      <c r="A1030" t="s">
        <v>6057</v>
      </c>
      <c r="B1030" t="s">
        <v>6375</v>
      </c>
      <c r="C1030" t="s">
        <v>649</v>
      </c>
      <c r="D1030" s="9" t="s">
        <v>6358</v>
      </c>
      <c r="E1030" t="s">
        <v>312</v>
      </c>
      <c r="F1030" t="s">
        <v>69</v>
      </c>
      <c r="G1030" t="s">
        <v>47</v>
      </c>
      <c r="H1030" s="9"/>
      <c r="I1030" s="9"/>
      <c r="K1030" s="9" t="s">
        <v>6359</v>
      </c>
      <c r="L1030" s="9"/>
      <c r="M1030" s="9" t="s">
        <v>6360</v>
      </c>
      <c r="N1030" s="9" t="s">
        <v>6361</v>
      </c>
      <c r="O1030" s="9" t="s">
        <v>6362</v>
      </c>
      <c r="P1030" s="10">
        <v>62</v>
      </c>
    </row>
    <row r="1031" spans="1:16" ht="316.8" x14ac:dyDescent="0.3">
      <c r="A1031" t="s">
        <v>6057</v>
      </c>
      <c r="B1031" t="s">
        <v>6375</v>
      </c>
      <c r="C1031" t="s">
        <v>657</v>
      </c>
      <c r="D1031" s="9" t="s">
        <v>6363</v>
      </c>
      <c r="E1031" t="s">
        <v>927</v>
      </c>
      <c r="F1031" t="s">
        <v>69</v>
      </c>
      <c r="G1031" t="s">
        <v>47</v>
      </c>
      <c r="H1031" s="9"/>
      <c r="I1031" s="9"/>
      <c r="K1031" s="9" t="s">
        <v>6364</v>
      </c>
      <c r="L1031" s="9"/>
      <c r="M1031" s="9" t="s">
        <v>6365</v>
      </c>
      <c r="N1031" s="9" t="s">
        <v>6366</v>
      </c>
      <c r="O1031" s="9" t="s">
        <v>6367</v>
      </c>
      <c r="P1031" s="10">
        <v>62</v>
      </c>
    </row>
    <row r="1032" spans="1:16" ht="409.6" x14ac:dyDescent="0.3">
      <c r="A1032" t="s">
        <v>6057</v>
      </c>
      <c r="B1032" t="s">
        <v>6375</v>
      </c>
      <c r="C1032" t="s">
        <v>6368</v>
      </c>
      <c r="D1032" s="9" t="s">
        <v>6369</v>
      </c>
      <c r="E1032" t="s">
        <v>6370</v>
      </c>
      <c r="F1032" t="s">
        <v>69</v>
      </c>
      <c r="G1032" t="s">
        <v>47</v>
      </c>
      <c r="H1032" s="9"/>
      <c r="I1032" s="9"/>
      <c r="K1032" s="9" t="s">
        <v>6406</v>
      </c>
      <c r="L1032" s="9"/>
      <c r="M1032" s="9" t="s">
        <v>6407</v>
      </c>
      <c r="N1032" s="9" t="s">
        <v>6408</v>
      </c>
      <c r="O1032" s="9" t="s">
        <v>6374</v>
      </c>
      <c r="P1032" s="10">
        <v>62</v>
      </c>
    </row>
    <row r="1033" spans="1:16" ht="187.2" x14ac:dyDescent="0.3">
      <c r="A1033" t="s">
        <v>6057</v>
      </c>
      <c r="B1033" t="s">
        <v>6409</v>
      </c>
      <c r="C1033" t="s">
        <v>433</v>
      </c>
      <c r="D1033" s="9" t="s">
        <v>6410</v>
      </c>
      <c r="E1033" t="s">
        <v>74</v>
      </c>
      <c r="F1033" t="s">
        <v>143</v>
      </c>
      <c r="G1033" t="s">
        <v>47</v>
      </c>
      <c r="H1033" s="9" t="s">
        <v>6411</v>
      </c>
      <c r="I1033" s="9" t="s">
        <v>59</v>
      </c>
      <c r="J1033" t="s">
        <v>6202</v>
      </c>
      <c r="K1033" s="9" t="s">
        <v>6412</v>
      </c>
      <c r="L1033" s="9" t="s">
        <v>6413</v>
      </c>
      <c r="M1033" s="9" t="s">
        <v>6414</v>
      </c>
      <c r="N1033" s="9"/>
      <c r="O1033" s="9" t="s">
        <v>6415</v>
      </c>
      <c r="P1033" s="10">
        <v>63</v>
      </c>
    </row>
    <row r="1034" spans="1:16" ht="172.8" x14ac:dyDescent="0.3">
      <c r="A1034" t="s">
        <v>6057</v>
      </c>
      <c r="B1034" t="s">
        <v>6409</v>
      </c>
      <c r="C1034" t="s">
        <v>458</v>
      </c>
      <c r="D1034" s="9" t="s">
        <v>6416</v>
      </c>
      <c r="E1034" t="s">
        <v>6417</v>
      </c>
      <c r="F1034" t="s">
        <v>143</v>
      </c>
      <c r="G1034" t="s">
        <v>47</v>
      </c>
      <c r="H1034" s="9"/>
      <c r="I1034" s="9" t="s">
        <v>307</v>
      </c>
      <c r="J1034" t="s">
        <v>6202</v>
      </c>
      <c r="K1034" s="9" t="s">
        <v>6418</v>
      </c>
      <c r="L1034" s="9" t="s">
        <v>6419</v>
      </c>
      <c r="M1034" s="9" t="s">
        <v>6420</v>
      </c>
      <c r="N1034" s="9" t="s">
        <v>6421</v>
      </c>
      <c r="O1034" s="9" t="s">
        <v>6422</v>
      </c>
      <c r="P1034" s="10">
        <v>63</v>
      </c>
    </row>
    <row r="1035" spans="1:16" ht="201.6" x14ac:dyDescent="0.3">
      <c r="A1035" t="s">
        <v>6057</v>
      </c>
      <c r="B1035" t="s">
        <v>6409</v>
      </c>
      <c r="C1035" t="s">
        <v>6423</v>
      </c>
      <c r="D1035" s="9" t="s">
        <v>6424</v>
      </c>
      <c r="E1035" t="s">
        <v>3588</v>
      </c>
      <c r="F1035" t="s">
        <v>143</v>
      </c>
      <c r="G1035" t="s">
        <v>47</v>
      </c>
      <c r="H1035" s="9" t="s">
        <v>636</v>
      </c>
      <c r="I1035" s="9" t="s">
        <v>59</v>
      </c>
      <c r="J1035" t="s">
        <v>6202</v>
      </c>
      <c r="K1035" s="9" t="s">
        <v>6425</v>
      </c>
      <c r="L1035" s="9" t="s">
        <v>6426</v>
      </c>
      <c r="M1035" s="9" t="s">
        <v>6427</v>
      </c>
      <c r="N1035" s="9" t="s">
        <v>6428</v>
      </c>
      <c r="O1035" s="9" t="s">
        <v>6429</v>
      </c>
      <c r="P1035" s="10">
        <v>63</v>
      </c>
    </row>
    <row r="1036" spans="1:16" ht="129.6" x14ac:dyDescent="0.3">
      <c r="A1036" t="s">
        <v>6057</v>
      </c>
      <c r="B1036" t="s">
        <v>6409</v>
      </c>
      <c r="C1036" t="s">
        <v>6430</v>
      </c>
      <c r="D1036" s="9" t="s">
        <v>6431</v>
      </c>
      <c r="E1036" t="s">
        <v>6254</v>
      </c>
      <c r="F1036" t="s">
        <v>143</v>
      </c>
      <c r="G1036" t="s">
        <v>47</v>
      </c>
      <c r="H1036" s="9" t="s">
        <v>417</v>
      </c>
      <c r="I1036" s="9" t="s">
        <v>59</v>
      </c>
      <c r="J1036" t="s">
        <v>6202</v>
      </c>
      <c r="K1036" s="9" t="s">
        <v>6432</v>
      </c>
      <c r="L1036" s="9" t="s">
        <v>6433</v>
      </c>
      <c r="M1036" s="9" t="s">
        <v>6434</v>
      </c>
      <c r="N1036" s="9" t="s">
        <v>6435</v>
      </c>
      <c r="O1036" s="9" t="s">
        <v>6436</v>
      </c>
      <c r="P1036" s="10">
        <v>63</v>
      </c>
    </row>
    <row r="1037" spans="1:16" ht="115.2" x14ac:dyDescent="0.3">
      <c r="A1037" t="s">
        <v>6057</v>
      </c>
      <c r="B1037" t="s">
        <v>6409</v>
      </c>
      <c r="C1037" t="s">
        <v>6437</v>
      </c>
      <c r="D1037" s="9" t="s">
        <v>6438</v>
      </c>
      <c r="E1037" t="s">
        <v>6439</v>
      </c>
      <c r="F1037" t="s">
        <v>143</v>
      </c>
      <c r="G1037" t="s">
        <v>47</v>
      </c>
      <c r="H1037" s="9" t="s">
        <v>6132</v>
      </c>
      <c r="I1037" s="9" t="s">
        <v>106</v>
      </c>
      <c r="J1037" t="s">
        <v>6202</v>
      </c>
      <c r="K1037" s="9" t="s">
        <v>6440</v>
      </c>
      <c r="L1037" s="9" t="s">
        <v>6441</v>
      </c>
      <c r="M1037" s="9" t="s">
        <v>6442</v>
      </c>
      <c r="N1037" s="9" t="s">
        <v>6443</v>
      </c>
      <c r="O1037" s="9" t="s">
        <v>6444</v>
      </c>
      <c r="P1037" s="10">
        <v>63</v>
      </c>
    </row>
    <row r="1038" spans="1:16" ht="216" x14ac:dyDescent="0.3">
      <c r="A1038" t="s">
        <v>6057</v>
      </c>
      <c r="B1038" t="s">
        <v>6409</v>
      </c>
      <c r="C1038" t="s">
        <v>6445</v>
      </c>
      <c r="D1038" s="9" t="s">
        <v>6446</v>
      </c>
      <c r="E1038" t="s">
        <v>6447</v>
      </c>
      <c r="F1038" t="s">
        <v>143</v>
      </c>
      <c r="G1038" t="s">
        <v>47</v>
      </c>
      <c r="H1038" s="9" t="s">
        <v>6448</v>
      </c>
      <c r="I1038" s="9" t="s">
        <v>614</v>
      </c>
      <c r="J1038" t="s">
        <v>6202</v>
      </c>
      <c r="K1038" s="9" t="s">
        <v>6449</v>
      </c>
      <c r="L1038" s="9" t="s">
        <v>6450</v>
      </c>
      <c r="M1038" s="9" t="s">
        <v>6451</v>
      </c>
      <c r="N1038" s="9" t="s">
        <v>6452</v>
      </c>
      <c r="O1038" s="9" t="s">
        <v>6453</v>
      </c>
      <c r="P1038" s="10">
        <v>63</v>
      </c>
    </row>
    <row r="1039" spans="1:16" ht="144" x14ac:dyDescent="0.3">
      <c r="A1039" t="s">
        <v>6057</v>
      </c>
      <c r="B1039" t="s">
        <v>6409</v>
      </c>
      <c r="C1039" t="s">
        <v>6454</v>
      </c>
      <c r="D1039" s="9" t="s">
        <v>6455</v>
      </c>
      <c r="E1039" t="s">
        <v>6456</v>
      </c>
      <c r="F1039" t="s">
        <v>143</v>
      </c>
      <c r="G1039" t="s">
        <v>47</v>
      </c>
      <c r="H1039" s="9" t="s">
        <v>6457</v>
      </c>
      <c r="I1039" s="9" t="s">
        <v>144</v>
      </c>
      <c r="J1039" t="s">
        <v>6458</v>
      </c>
      <c r="K1039" s="9" t="s">
        <v>6459</v>
      </c>
      <c r="L1039" s="9" t="s">
        <v>6460</v>
      </c>
      <c r="M1039" s="9" t="s">
        <v>6461</v>
      </c>
      <c r="N1039" s="9" t="s">
        <v>6462</v>
      </c>
      <c r="O1039" s="9" t="s">
        <v>6463</v>
      </c>
      <c r="P1039" s="10">
        <v>63</v>
      </c>
    </row>
    <row r="1040" spans="1:16" ht="288" x14ac:dyDescent="0.3">
      <c r="A1040" t="s">
        <v>6057</v>
      </c>
      <c r="B1040" t="s">
        <v>6409</v>
      </c>
      <c r="C1040" t="s">
        <v>6464</v>
      </c>
      <c r="D1040" s="9" t="s">
        <v>6465</v>
      </c>
      <c r="E1040" t="s">
        <v>6466</v>
      </c>
      <c r="F1040" t="s">
        <v>143</v>
      </c>
      <c r="G1040" t="s">
        <v>47</v>
      </c>
      <c r="H1040" s="9" t="s">
        <v>6467</v>
      </c>
      <c r="I1040" s="9" t="s">
        <v>144</v>
      </c>
      <c r="J1040" t="s">
        <v>6458</v>
      </c>
      <c r="K1040" s="9" t="s">
        <v>6468</v>
      </c>
      <c r="L1040" s="9" t="s">
        <v>6469</v>
      </c>
      <c r="M1040" s="9" t="s">
        <v>6470</v>
      </c>
      <c r="N1040" s="9" t="s">
        <v>6471</v>
      </c>
      <c r="O1040" s="9" t="s">
        <v>6472</v>
      </c>
      <c r="P1040" s="10">
        <v>63</v>
      </c>
    </row>
    <row r="1041" spans="1:16" ht="409.6" x14ac:dyDescent="0.3">
      <c r="A1041" t="s">
        <v>6057</v>
      </c>
      <c r="B1041" t="s">
        <v>6409</v>
      </c>
      <c r="C1041" t="s">
        <v>6473</v>
      </c>
      <c r="D1041" s="9" t="s">
        <v>6474</v>
      </c>
      <c r="E1041" t="s">
        <v>6475</v>
      </c>
      <c r="F1041" t="s">
        <v>143</v>
      </c>
      <c r="G1041" t="s">
        <v>47</v>
      </c>
      <c r="H1041" s="9"/>
      <c r="I1041" s="9" t="s">
        <v>307</v>
      </c>
      <c r="J1041" t="s">
        <v>6202</v>
      </c>
      <c r="K1041" s="9" t="s">
        <v>6476</v>
      </c>
      <c r="L1041" s="9" t="s">
        <v>6477</v>
      </c>
      <c r="M1041" s="9" t="s">
        <v>6478</v>
      </c>
      <c r="N1041" s="9" t="s">
        <v>6479</v>
      </c>
      <c r="O1041" s="9" t="s">
        <v>6480</v>
      </c>
      <c r="P1041" s="10">
        <v>63</v>
      </c>
    </row>
    <row r="1042" spans="1:16" ht="288" x14ac:dyDescent="0.3">
      <c r="A1042" t="s">
        <v>6057</v>
      </c>
      <c r="B1042" t="s">
        <v>6481</v>
      </c>
      <c r="C1042" t="s">
        <v>74</v>
      </c>
      <c r="D1042" s="9" t="s">
        <v>6482</v>
      </c>
      <c r="E1042" t="s">
        <v>6483</v>
      </c>
      <c r="F1042" t="s">
        <v>143</v>
      </c>
      <c r="G1042" t="s">
        <v>47</v>
      </c>
      <c r="H1042" s="9" t="s">
        <v>6484</v>
      </c>
      <c r="I1042" s="9" t="s">
        <v>3545</v>
      </c>
      <c r="J1042" t="s">
        <v>6485</v>
      </c>
      <c r="K1042" s="9" t="s">
        <v>6486</v>
      </c>
      <c r="L1042" s="9" t="s">
        <v>6487</v>
      </c>
      <c r="M1042" s="9" t="s">
        <v>6488</v>
      </c>
      <c r="N1042" s="9" t="s">
        <v>6489</v>
      </c>
      <c r="O1042" s="9" t="s">
        <v>6490</v>
      </c>
      <c r="P1042" s="10">
        <v>64</v>
      </c>
    </row>
    <row r="1043" spans="1:16" ht="115.2" x14ac:dyDescent="0.3">
      <c r="A1043" t="s">
        <v>6057</v>
      </c>
      <c r="B1043" t="s">
        <v>6481</v>
      </c>
      <c r="C1043" t="s">
        <v>4386</v>
      </c>
      <c r="D1043" s="9" t="s">
        <v>6491</v>
      </c>
      <c r="E1043" t="s">
        <v>6492</v>
      </c>
      <c r="F1043" t="s">
        <v>143</v>
      </c>
      <c r="G1043" t="s">
        <v>47</v>
      </c>
      <c r="H1043" s="9" t="s">
        <v>6493</v>
      </c>
      <c r="I1043" s="9" t="s">
        <v>59</v>
      </c>
      <c r="J1043" t="s">
        <v>6485</v>
      </c>
      <c r="K1043" s="9" t="s">
        <v>6494</v>
      </c>
      <c r="L1043" s="9" t="s">
        <v>6495</v>
      </c>
      <c r="M1043" s="9" t="s">
        <v>6496</v>
      </c>
      <c r="N1043" s="9" t="s">
        <v>6497</v>
      </c>
      <c r="O1043" s="9" t="s">
        <v>6498</v>
      </c>
      <c r="P1043" s="10">
        <v>64</v>
      </c>
    </row>
    <row r="1044" spans="1:16" ht="144" x14ac:dyDescent="0.3">
      <c r="A1044" t="s">
        <v>6057</v>
      </c>
      <c r="B1044" t="s">
        <v>6499</v>
      </c>
      <c r="C1044" t="s">
        <v>43</v>
      </c>
      <c r="D1044" s="9" t="s">
        <v>6500</v>
      </c>
      <c r="E1044" t="s">
        <v>74</v>
      </c>
      <c r="F1044" t="s">
        <v>143</v>
      </c>
      <c r="G1044" t="s">
        <v>47</v>
      </c>
      <c r="H1044" s="9" t="s">
        <v>797</v>
      </c>
      <c r="I1044" s="9" t="s">
        <v>144</v>
      </c>
      <c r="J1044" t="s">
        <v>6202</v>
      </c>
      <c r="K1044" s="9" t="s">
        <v>6501</v>
      </c>
      <c r="L1044" s="9" t="s">
        <v>6502</v>
      </c>
      <c r="M1044" s="9" t="s">
        <v>6503</v>
      </c>
      <c r="N1044" s="9" t="s">
        <v>6504</v>
      </c>
      <c r="O1044" s="9" t="s">
        <v>6505</v>
      </c>
      <c r="P1044" s="10">
        <v>55</v>
      </c>
    </row>
    <row r="1045" spans="1:16" ht="129.6" x14ac:dyDescent="0.3">
      <c r="A1045" t="s">
        <v>6057</v>
      </c>
      <c r="B1045" t="s">
        <v>6499</v>
      </c>
      <c r="C1045" t="s">
        <v>68</v>
      </c>
      <c r="D1045" s="9" t="s">
        <v>6506</v>
      </c>
      <c r="E1045" t="s">
        <v>74</v>
      </c>
      <c r="F1045" t="s">
        <v>143</v>
      </c>
      <c r="G1045" t="s">
        <v>47</v>
      </c>
      <c r="H1045" s="9" t="s">
        <v>797</v>
      </c>
      <c r="I1045" s="9" t="s">
        <v>144</v>
      </c>
      <c r="J1045" t="s">
        <v>6202</v>
      </c>
      <c r="K1045" s="9" t="s">
        <v>6507</v>
      </c>
      <c r="L1045" s="9" t="s">
        <v>6508</v>
      </c>
      <c r="M1045" s="9" t="s">
        <v>6509</v>
      </c>
      <c r="N1045" s="9" t="s">
        <v>6510</v>
      </c>
      <c r="O1045" s="9" t="s">
        <v>6511</v>
      </c>
      <c r="P1045" s="10">
        <v>55</v>
      </c>
    </row>
    <row r="1046" spans="1:16" ht="86.4" x14ac:dyDescent="0.3">
      <c r="A1046" t="s">
        <v>6057</v>
      </c>
      <c r="B1046" t="s">
        <v>6499</v>
      </c>
      <c r="C1046" t="s">
        <v>82</v>
      </c>
      <c r="D1046" s="9" t="s">
        <v>6512</v>
      </c>
      <c r="E1046" t="s">
        <v>6513</v>
      </c>
      <c r="F1046" t="s">
        <v>143</v>
      </c>
      <c r="G1046" t="s">
        <v>47</v>
      </c>
      <c r="H1046" s="9"/>
      <c r="I1046" s="9" t="s">
        <v>307</v>
      </c>
      <c r="J1046" t="s">
        <v>6202</v>
      </c>
      <c r="K1046" s="9" t="s">
        <v>6514</v>
      </c>
      <c r="L1046" s="9" t="s">
        <v>6515</v>
      </c>
      <c r="M1046" s="9" t="s">
        <v>6516</v>
      </c>
      <c r="N1046" s="9" t="s">
        <v>6517</v>
      </c>
      <c r="O1046" s="9" t="s">
        <v>6518</v>
      </c>
      <c r="P1046" s="10">
        <v>55</v>
      </c>
    </row>
    <row r="1047" spans="1:16" ht="158.4" x14ac:dyDescent="0.3">
      <c r="A1047" t="s">
        <v>6057</v>
      </c>
      <c r="B1047" t="s">
        <v>6499</v>
      </c>
      <c r="C1047" t="s">
        <v>6519</v>
      </c>
      <c r="D1047" s="9" t="s">
        <v>6520</v>
      </c>
      <c r="E1047" t="s">
        <v>6521</v>
      </c>
      <c r="F1047" t="s">
        <v>143</v>
      </c>
      <c r="G1047" t="s">
        <v>47</v>
      </c>
      <c r="H1047" s="9" t="s">
        <v>6522</v>
      </c>
      <c r="I1047" s="9" t="s">
        <v>144</v>
      </c>
      <c r="J1047" t="s">
        <v>6202</v>
      </c>
      <c r="K1047" s="9" t="s">
        <v>6523</v>
      </c>
      <c r="L1047" s="9" t="s">
        <v>6524</v>
      </c>
      <c r="M1047" s="9" t="s">
        <v>6525</v>
      </c>
      <c r="N1047" s="9" t="s">
        <v>6526</v>
      </c>
      <c r="O1047" s="9" t="s">
        <v>6527</v>
      </c>
      <c r="P1047" s="10">
        <v>55</v>
      </c>
    </row>
    <row r="1048" spans="1:16" ht="302.39999999999998" x14ac:dyDescent="0.3">
      <c r="A1048" t="s">
        <v>6057</v>
      </c>
      <c r="B1048" t="s">
        <v>6499</v>
      </c>
      <c r="C1048" t="s">
        <v>6528</v>
      </c>
      <c r="D1048" s="9" t="s">
        <v>6529</v>
      </c>
      <c r="E1048" t="s">
        <v>1385</v>
      </c>
      <c r="F1048" t="s">
        <v>143</v>
      </c>
      <c r="G1048" t="s">
        <v>47</v>
      </c>
      <c r="H1048" s="9" t="s">
        <v>6522</v>
      </c>
      <c r="I1048" s="9" t="s">
        <v>307</v>
      </c>
      <c r="J1048" t="s">
        <v>6202</v>
      </c>
      <c r="K1048" s="9" t="s">
        <v>6530</v>
      </c>
      <c r="L1048" s="9" t="s">
        <v>6531</v>
      </c>
      <c r="M1048" s="9" t="s">
        <v>6532</v>
      </c>
      <c r="N1048" s="9" t="s">
        <v>6533</v>
      </c>
      <c r="O1048" s="9" t="s">
        <v>6534</v>
      </c>
      <c r="P1048" s="10">
        <v>55</v>
      </c>
    </row>
    <row r="1049" spans="1:16" ht="115.2" x14ac:dyDescent="0.3">
      <c r="A1049" t="s">
        <v>6057</v>
      </c>
      <c r="B1049" t="s">
        <v>6499</v>
      </c>
      <c r="C1049" t="s">
        <v>55</v>
      </c>
      <c r="D1049" s="9" t="s">
        <v>6535</v>
      </c>
      <c r="E1049" t="s">
        <v>6536</v>
      </c>
      <c r="F1049" t="s">
        <v>143</v>
      </c>
      <c r="G1049" t="s">
        <v>47</v>
      </c>
      <c r="H1049" s="9" t="s">
        <v>469</v>
      </c>
      <c r="I1049" s="9" t="s">
        <v>307</v>
      </c>
      <c r="J1049" t="s">
        <v>6202</v>
      </c>
      <c r="K1049" s="9" t="s">
        <v>6537</v>
      </c>
      <c r="L1049" s="9" t="s">
        <v>6538</v>
      </c>
      <c r="M1049" s="9" t="s">
        <v>6539</v>
      </c>
      <c r="N1049" s="9" t="s">
        <v>6540</v>
      </c>
      <c r="O1049" s="9" t="s">
        <v>6541</v>
      </c>
      <c r="P1049" s="10">
        <v>55</v>
      </c>
    </row>
    <row r="1050" spans="1:16" ht="409.6" x14ac:dyDescent="0.3">
      <c r="A1050" t="s">
        <v>6057</v>
      </c>
      <c r="B1050" t="s">
        <v>6499</v>
      </c>
      <c r="C1050" t="s">
        <v>103</v>
      </c>
      <c r="D1050" s="9" t="s">
        <v>6542</v>
      </c>
      <c r="E1050" t="s">
        <v>6543</v>
      </c>
      <c r="F1050" t="s">
        <v>143</v>
      </c>
      <c r="G1050" t="s">
        <v>47</v>
      </c>
      <c r="H1050" s="9"/>
      <c r="I1050" s="9" t="s">
        <v>307</v>
      </c>
      <c r="J1050" t="s">
        <v>6544</v>
      </c>
      <c r="K1050" s="9" t="s">
        <v>6545</v>
      </c>
      <c r="L1050" s="9" t="s">
        <v>6546</v>
      </c>
      <c r="M1050" s="9" t="s">
        <v>6547</v>
      </c>
      <c r="N1050" s="9" t="s">
        <v>6548</v>
      </c>
      <c r="O1050" s="9" t="s">
        <v>6549</v>
      </c>
      <c r="P1050" s="10">
        <v>55</v>
      </c>
    </row>
    <row r="1051" spans="1:16" ht="172.8" x14ac:dyDescent="0.3">
      <c r="A1051" t="s">
        <v>6057</v>
      </c>
      <c r="B1051" t="s">
        <v>6550</v>
      </c>
      <c r="C1051" t="s">
        <v>441</v>
      </c>
      <c r="D1051" s="9" t="s">
        <v>6551</v>
      </c>
      <c r="E1051" t="s">
        <v>45</v>
      </c>
      <c r="F1051" t="s">
        <v>143</v>
      </c>
      <c r="G1051" t="s">
        <v>47</v>
      </c>
      <c r="H1051" s="9"/>
      <c r="I1051" s="9" t="s">
        <v>3545</v>
      </c>
      <c r="J1051" t="s">
        <v>6485</v>
      </c>
      <c r="K1051" s="9" t="s">
        <v>6552</v>
      </c>
      <c r="L1051" s="9" t="s">
        <v>6553</v>
      </c>
      <c r="M1051" s="9" t="s">
        <v>6554</v>
      </c>
      <c r="N1051" s="9" t="s">
        <v>6555</v>
      </c>
      <c r="O1051" s="9" t="s">
        <v>6556</v>
      </c>
      <c r="P1051" s="10">
        <v>56</v>
      </c>
    </row>
    <row r="1052" spans="1:16" ht="129.6" x14ac:dyDescent="0.3">
      <c r="A1052" t="s">
        <v>6557</v>
      </c>
      <c r="B1052" t="s">
        <v>6558</v>
      </c>
      <c r="C1052" t="s">
        <v>66</v>
      </c>
      <c r="D1052" s="9" t="s">
        <v>6559</v>
      </c>
      <c r="E1052" t="s">
        <v>66</v>
      </c>
      <c r="F1052" t="s">
        <v>116</v>
      </c>
      <c r="G1052" t="s">
        <v>47</v>
      </c>
      <c r="H1052" s="9" t="s">
        <v>1751</v>
      </c>
      <c r="I1052" s="9" t="s">
        <v>6560</v>
      </c>
      <c r="J1052" t="s">
        <v>6561</v>
      </c>
      <c r="K1052" s="9" t="s">
        <v>6562</v>
      </c>
      <c r="L1052" s="9" t="s">
        <v>6563</v>
      </c>
      <c r="M1052" s="9" t="s">
        <v>6564</v>
      </c>
      <c r="N1052" s="9" t="s">
        <v>6565</v>
      </c>
      <c r="O1052" s="9" t="s">
        <v>6566</v>
      </c>
      <c r="P1052" s="10">
        <v>65</v>
      </c>
    </row>
    <row r="1053" spans="1:16" ht="86.4" x14ac:dyDescent="0.3">
      <c r="A1053" t="s">
        <v>6557</v>
      </c>
      <c r="B1053" t="s">
        <v>6567</v>
      </c>
      <c r="C1053" t="s">
        <v>369</v>
      </c>
      <c r="D1053" s="9" t="s">
        <v>6568</v>
      </c>
      <c r="E1053" t="s">
        <v>66</v>
      </c>
      <c r="F1053" t="s">
        <v>69</v>
      </c>
      <c r="G1053" t="s">
        <v>47</v>
      </c>
      <c r="H1053" s="9"/>
      <c r="I1053" s="9" t="s">
        <v>106</v>
      </c>
      <c r="K1053" s="9" t="s">
        <v>6569</v>
      </c>
      <c r="L1053" s="9"/>
      <c r="M1053" s="9" t="s">
        <v>6570</v>
      </c>
      <c r="N1053" s="9" t="s">
        <v>6571</v>
      </c>
      <c r="O1053" s="9" t="s">
        <v>6572</v>
      </c>
      <c r="P1053" s="10">
        <v>66</v>
      </c>
    </row>
    <row r="1054" spans="1:16" ht="403.2" x14ac:dyDescent="0.3">
      <c r="A1054" t="s">
        <v>6557</v>
      </c>
      <c r="B1054" t="s">
        <v>6567</v>
      </c>
      <c r="C1054" t="s">
        <v>66</v>
      </c>
      <c r="D1054" s="9" t="s">
        <v>6573</v>
      </c>
      <c r="E1054" t="s">
        <v>4409</v>
      </c>
      <c r="F1054" t="s">
        <v>69</v>
      </c>
      <c r="G1054" t="s">
        <v>47</v>
      </c>
      <c r="H1054" s="9" t="s">
        <v>613</v>
      </c>
      <c r="I1054" s="9" t="s">
        <v>106</v>
      </c>
      <c r="K1054" s="9" t="s">
        <v>6574</v>
      </c>
      <c r="L1054" s="9"/>
      <c r="M1054" s="9" t="s">
        <v>6575</v>
      </c>
      <c r="N1054" s="9" t="s">
        <v>6576</v>
      </c>
      <c r="O1054" s="9" t="s">
        <v>6577</v>
      </c>
      <c r="P1054" s="10">
        <v>66</v>
      </c>
    </row>
    <row r="1055" spans="1:16" ht="158.4" x14ac:dyDescent="0.3">
      <c r="A1055" t="s">
        <v>6557</v>
      </c>
      <c r="B1055" t="s">
        <v>6567</v>
      </c>
      <c r="C1055" t="s">
        <v>3837</v>
      </c>
      <c r="D1055" s="9" t="s">
        <v>6578</v>
      </c>
      <c r="E1055" t="s">
        <v>702</v>
      </c>
      <c r="F1055" t="s">
        <v>143</v>
      </c>
      <c r="G1055" t="s">
        <v>47</v>
      </c>
      <c r="H1055" s="9"/>
      <c r="I1055" s="9"/>
      <c r="J1055" t="s">
        <v>6579</v>
      </c>
      <c r="K1055" s="9" t="s">
        <v>6580</v>
      </c>
      <c r="L1055" s="9" t="s">
        <v>6581</v>
      </c>
      <c r="M1055" s="9" t="s">
        <v>6582</v>
      </c>
      <c r="N1055" s="9" t="s">
        <v>6583</v>
      </c>
      <c r="O1055" s="9" t="s">
        <v>6584</v>
      </c>
      <c r="P1055" s="10">
        <v>66</v>
      </c>
    </row>
    <row r="1056" spans="1:16" ht="158.4" x14ac:dyDescent="0.3">
      <c r="A1056" t="s">
        <v>6557</v>
      </c>
      <c r="B1056" t="s">
        <v>6585</v>
      </c>
      <c r="C1056" t="s">
        <v>369</v>
      </c>
      <c r="D1056" s="9" t="s">
        <v>6586</v>
      </c>
      <c r="E1056" t="s">
        <v>74</v>
      </c>
      <c r="F1056" t="s">
        <v>143</v>
      </c>
      <c r="G1056" t="s">
        <v>47</v>
      </c>
      <c r="H1056" s="9" t="s">
        <v>3253</v>
      </c>
      <c r="I1056" s="9" t="s">
        <v>144</v>
      </c>
      <c r="J1056" t="s">
        <v>6587</v>
      </c>
      <c r="K1056" s="9" t="s">
        <v>6588</v>
      </c>
      <c r="L1056" s="9" t="s">
        <v>6589</v>
      </c>
      <c r="M1056" s="9" t="s">
        <v>6590</v>
      </c>
      <c r="N1056" s="9" t="s">
        <v>6591</v>
      </c>
      <c r="O1056" s="9" t="s">
        <v>6592</v>
      </c>
      <c r="P1056" s="10">
        <v>67</v>
      </c>
    </row>
    <row r="1057" spans="1:16" ht="129.6" x14ac:dyDescent="0.3">
      <c r="A1057" t="s">
        <v>6557</v>
      </c>
      <c r="B1057" t="s">
        <v>6585</v>
      </c>
      <c r="C1057" t="s">
        <v>66</v>
      </c>
      <c r="D1057" s="9" t="s">
        <v>6593</v>
      </c>
      <c r="E1057" t="s">
        <v>2967</v>
      </c>
      <c r="F1057" t="s">
        <v>143</v>
      </c>
      <c r="G1057" t="s">
        <v>47</v>
      </c>
      <c r="H1057" s="9" t="s">
        <v>3253</v>
      </c>
      <c r="I1057" s="9" t="s">
        <v>144</v>
      </c>
      <c r="K1057" s="9" t="s">
        <v>6594</v>
      </c>
      <c r="L1057" s="9" t="s">
        <v>6595</v>
      </c>
      <c r="M1057" s="9" t="s">
        <v>6596</v>
      </c>
      <c r="N1057" s="9" t="s">
        <v>6597</v>
      </c>
      <c r="O1057" s="9" t="s">
        <v>6598</v>
      </c>
      <c r="P1057" s="10">
        <v>67</v>
      </c>
    </row>
    <row r="1058" spans="1:16" ht="129.6" x14ac:dyDescent="0.3">
      <c r="A1058" t="s">
        <v>6557</v>
      </c>
      <c r="B1058" t="s">
        <v>6585</v>
      </c>
      <c r="C1058" t="s">
        <v>74</v>
      </c>
      <c r="D1058" s="9" t="s">
        <v>6599</v>
      </c>
      <c r="E1058" t="s">
        <v>6600</v>
      </c>
      <c r="F1058" t="s">
        <v>143</v>
      </c>
      <c r="G1058" t="s">
        <v>47</v>
      </c>
      <c r="H1058" s="9" t="s">
        <v>3253</v>
      </c>
      <c r="I1058" s="9" t="s">
        <v>144</v>
      </c>
      <c r="J1058" t="s">
        <v>6587</v>
      </c>
      <c r="K1058" s="9" t="s">
        <v>6601</v>
      </c>
      <c r="L1058" s="9" t="s">
        <v>6602</v>
      </c>
      <c r="M1058" s="9" t="s">
        <v>6603</v>
      </c>
      <c r="N1058" s="9" t="s">
        <v>6604</v>
      </c>
      <c r="O1058" s="9" t="s">
        <v>6605</v>
      </c>
      <c r="P1058" s="10">
        <v>67</v>
      </c>
    </row>
    <row r="1059" spans="1:16" ht="129.6" x14ac:dyDescent="0.3">
      <c r="A1059" t="s">
        <v>6557</v>
      </c>
      <c r="B1059" t="s">
        <v>6585</v>
      </c>
      <c r="C1059" t="s">
        <v>68</v>
      </c>
      <c r="D1059" s="9" t="s">
        <v>6606</v>
      </c>
      <c r="E1059" t="s">
        <v>6607</v>
      </c>
      <c r="F1059" t="s">
        <v>143</v>
      </c>
      <c r="G1059" t="s">
        <v>47</v>
      </c>
      <c r="H1059" s="9"/>
      <c r="I1059" s="9" t="s">
        <v>59</v>
      </c>
      <c r="K1059" s="9" t="s">
        <v>6608</v>
      </c>
      <c r="L1059" s="9" t="s">
        <v>6609</v>
      </c>
      <c r="M1059" s="9" t="s">
        <v>6610</v>
      </c>
      <c r="N1059" s="9" t="s">
        <v>6611</v>
      </c>
      <c r="O1059" s="9" t="s">
        <v>6612</v>
      </c>
      <c r="P1059" s="10">
        <v>67</v>
      </c>
    </row>
    <row r="1060" spans="1:16" ht="129.6" x14ac:dyDescent="0.3">
      <c r="A1060" t="s">
        <v>6557</v>
      </c>
      <c r="B1060" t="s">
        <v>6585</v>
      </c>
      <c r="C1060" t="s">
        <v>82</v>
      </c>
      <c r="D1060" s="9" t="s">
        <v>6613</v>
      </c>
      <c r="E1060" t="s">
        <v>694</v>
      </c>
      <c r="F1060" t="s">
        <v>143</v>
      </c>
      <c r="G1060" t="s">
        <v>47</v>
      </c>
      <c r="H1060" s="9"/>
      <c r="I1060" s="9" t="s">
        <v>59</v>
      </c>
      <c r="K1060" s="9" t="s">
        <v>6614</v>
      </c>
      <c r="L1060" s="9" t="s">
        <v>6615</v>
      </c>
      <c r="M1060" s="9" t="s">
        <v>6616</v>
      </c>
      <c r="N1060" s="9" t="s">
        <v>6617</v>
      </c>
      <c r="O1060" s="9" t="s">
        <v>6618</v>
      </c>
      <c r="P1060" s="10">
        <v>67</v>
      </c>
    </row>
    <row r="1061" spans="1:16" ht="115.2" x14ac:dyDescent="0.3">
      <c r="A1061" t="s">
        <v>6557</v>
      </c>
      <c r="B1061" t="s">
        <v>6585</v>
      </c>
      <c r="C1061" t="s">
        <v>55</v>
      </c>
      <c r="D1061" s="9" t="s">
        <v>6619</v>
      </c>
      <c r="E1061" t="s">
        <v>869</v>
      </c>
      <c r="F1061" t="s">
        <v>143</v>
      </c>
      <c r="G1061" t="s">
        <v>47</v>
      </c>
      <c r="H1061" s="9"/>
      <c r="I1061" s="9" t="s">
        <v>59</v>
      </c>
      <c r="K1061" s="9" t="s">
        <v>6620</v>
      </c>
      <c r="L1061" s="9" t="s">
        <v>6621</v>
      </c>
      <c r="M1061" s="9" t="s">
        <v>6622</v>
      </c>
      <c r="N1061" s="9" t="s">
        <v>6623</v>
      </c>
      <c r="O1061" s="9" t="s">
        <v>6624</v>
      </c>
      <c r="P1061" s="10">
        <v>67</v>
      </c>
    </row>
    <row r="1062" spans="1:16" ht="158.4" x14ac:dyDescent="0.3">
      <c r="A1062" t="s">
        <v>6557</v>
      </c>
      <c r="B1062" t="s">
        <v>6625</v>
      </c>
      <c r="C1062" t="s">
        <v>555</v>
      </c>
      <c r="D1062" s="9" t="s">
        <v>6626</v>
      </c>
      <c r="E1062" t="s">
        <v>369</v>
      </c>
      <c r="F1062" t="s">
        <v>143</v>
      </c>
      <c r="G1062" t="s">
        <v>47</v>
      </c>
      <c r="H1062" s="9" t="s">
        <v>711</v>
      </c>
      <c r="I1062" s="9" t="s">
        <v>307</v>
      </c>
      <c r="J1062" t="s">
        <v>6627</v>
      </c>
      <c r="K1062" s="9" t="s">
        <v>6628</v>
      </c>
      <c r="L1062" s="9" t="s">
        <v>6629</v>
      </c>
      <c r="M1062" s="9" t="s">
        <v>6630</v>
      </c>
      <c r="N1062" s="9" t="s">
        <v>6631</v>
      </c>
      <c r="O1062" s="9" t="s">
        <v>6632</v>
      </c>
      <c r="P1062" s="10">
        <v>68</v>
      </c>
    </row>
    <row r="1063" spans="1:16" ht="158.4" x14ac:dyDescent="0.3">
      <c r="A1063" t="s">
        <v>6557</v>
      </c>
      <c r="B1063" t="s">
        <v>6633</v>
      </c>
      <c r="C1063" t="s">
        <v>555</v>
      </c>
      <c r="D1063" s="9" t="s">
        <v>6626</v>
      </c>
      <c r="E1063" t="s">
        <v>369</v>
      </c>
      <c r="F1063" t="s">
        <v>143</v>
      </c>
      <c r="G1063" t="s">
        <v>47</v>
      </c>
      <c r="H1063" s="9" t="s">
        <v>711</v>
      </c>
      <c r="I1063" s="9" t="s">
        <v>59</v>
      </c>
      <c r="J1063" t="s">
        <v>6627</v>
      </c>
      <c r="K1063" s="9" t="s">
        <v>6634</v>
      </c>
      <c r="L1063" s="9" t="s">
        <v>6635</v>
      </c>
      <c r="M1063" s="9" t="s">
        <v>6636</v>
      </c>
      <c r="N1063" s="9" t="s">
        <v>6637</v>
      </c>
      <c r="O1063" s="9" t="s">
        <v>6638</v>
      </c>
      <c r="P1063" s="10">
        <v>69</v>
      </c>
    </row>
    <row r="1064" spans="1:16" ht="273.60000000000002" x14ac:dyDescent="0.3">
      <c r="A1064" t="s">
        <v>6557</v>
      </c>
      <c r="B1064" t="s">
        <v>6639</v>
      </c>
      <c r="C1064" t="s">
        <v>369</v>
      </c>
      <c r="D1064" s="9" t="s">
        <v>6640</v>
      </c>
      <c r="E1064" t="s">
        <v>369</v>
      </c>
      <c r="F1064" t="s">
        <v>143</v>
      </c>
      <c r="G1064" t="s">
        <v>47</v>
      </c>
      <c r="H1064" s="9" t="s">
        <v>6641</v>
      </c>
      <c r="I1064" s="9" t="s">
        <v>144</v>
      </c>
      <c r="K1064" s="9" t="s">
        <v>6642</v>
      </c>
      <c r="L1064" s="9"/>
      <c r="M1064" s="9" t="s">
        <v>6643</v>
      </c>
      <c r="N1064" s="9" t="s">
        <v>6644</v>
      </c>
      <c r="O1064" s="9" t="s">
        <v>6645</v>
      </c>
      <c r="P1064" s="10">
        <v>70</v>
      </c>
    </row>
    <row r="1065" spans="1:16" ht="409.6" x14ac:dyDescent="0.3">
      <c r="A1065" t="s">
        <v>6557</v>
      </c>
      <c r="B1065" t="s">
        <v>6639</v>
      </c>
      <c r="C1065" t="s">
        <v>66</v>
      </c>
      <c r="D1065" s="9" t="s">
        <v>6646</v>
      </c>
      <c r="E1065" t="s">
        <v>557</v>
      </c>
      <c r="F1065" t="s">
        <v>143</v>
      </c>
      <c r="G1065" t="s">
        <v>47</v>
      </c>
      <c r="H1065" s="9" t="s">
        <v>671</v>
      </c>
      <c r="I1065" s="9" t="s">
        <v>59</v>
      </c>
      <c r="K1065" s="9" t="s">
        <v>6647</v>
      </c>
      <c r="L1065" s="9"/>
      <c r="M1065" s="9" t="s">
        <v>6648</v>
      </c>
      <c r="N1065" s="9" t="s">
        <v>6649</v>
      </c>
      <c r="O1065" s="9" t="s">
        <v>6650</v>
      </c>
      <c r="P1065" s="10">
        <v>70</v>
      </c>
    </row>
    <row r="1066" spans="1:16" ht="72" x14ac:dyDescent="0.3">
      <c r="A1066" t="s">
        <v>6557</v>
      </c>
      <c r="B1066" t="s">
        <v>6639</v>
      </c>
      <c r="C1066" t="s">
        <v>74</v>
      </c>
      <c r="D1066" s="9" t="s">
        <v>6651</v>
      </c>
      <c r="E1066" t="s">
        <v>66</v>
      </c>
      <c r="F1066" t="s">
        <v>143</v>
      </c>
      <c r="G1066" t="s">
        <v>47</v>
      </c>
      <c r="H1066" s="9"/>
      <c r="I1066" s="9"/>
      <c r="K1066" s="9" t="s">
        <v>6652</v>
      </c>
      <c r="L1066" s="9"/>
      <c r="M1066" s="9" t="s">
        <v>6653</v>
      </c>
      <c r="N1066" s="9"/>
      <c r="O1066" s="9" t="s">
        <v>6654</v>
      </c>
      <c r="P1066" s="10">
        <v>70</v>
      </c>
    </row>
    <row r="1067" spans="1:16" ht="244.8" x14ac:dyDescent="0.3">
      <c r="A1067" t="s">
        <v>6557</v>
      </c>
      <c r="B1067" t="s">
        <v>6639</v>
      </c>
      <c r="C1067" t="s">
        <v>68</v>
      </c>
      <c r="D1067" s="9" t="s">
        <v>6655</v>
      </c>
      <c r="E1067" t="s">
        <v>566</v>
      </c>
      <c r="F1067" t="s">
        <v>143</v>
      </c>
      <c r="G1067" t="s">
        <v>47</v>
      </c>
      <c r="H1067" s="9"/>
      <c r="I1067" s="9" t="s">
        <v>59</v>
      </c>
      <c r="K1067" s="9" t="s">
        <v>6656</v>
      </c>
      <c r="L1067" s="9" t="s">
        <v>6657</v>
      </c>
      <c r="M1067" s="9" t="s">
        <v>6658</v>
      </c>
      <c r="N1067" s="9" t="s">
        <v>6659</v>
      </c>
      <c r="O1067" s="9" t="s">
        <v>6660</v>
      </c>
      <c r="P1067" s="10">
        <v>70</v>
      </c>
    </row>
    <row r="1068" spans="1:16" ht="201.6" x14ac:dyDescent="0.3">
      <c r="A1068" t="s">
        <v>6557</v>
      </c>
      <c r="B1068" t="s">
        <v>6639</v>
      </c>
      <c r="C1068" t="s">
        <v>55</v>
      </c>
      <c r="D1068" s="9" t="s">
        <v>6661</v>
      </c>
      <c r="E1068" t="s">
        <v>74</v>
      </c>
      <c r="F1068" t="s">
        <v>143</v>
      </c>
      <c r="G1068" t="s">
        <v>47</v>
      </c>
      <c r="H1068" s="9" t="s">
        <v>671</v>
      </c>
      <c r="I1068" s="9" t="s">
        <v>59</v>
      </c>
      <c r="J1068" t="s">
        <v>6587</v>
      </c>
      <c r="K1068" s="9" t="s">
        <v>6662</v>
      </c>
      <c r="L1068" s="9" t="s">
        <v>6663</v>
      </c>
      <c r="M1068" s="9" t="s">
        <v>6664</v>
      </c>
      <c r="N1068" s="9" t="s">
        <v>6665</v>
      </c>
      <c r="O1068" s="9" t="s">
        <v>6666</v>
      </c>
      <c r="P1068" s="10">
        <v>70</v>
      </c>
    </row>
    <row r="1069" spans="1:16" ht="259.2" x14ac:dyDescent="0.3">
      <c r="A1069" t="s">
        <v>6557</v>
      </c>
      <c r="B1069" t="s">
        <v>6639</v>
      </c>
      <c r="C1069" t="s">
        <v>424</v>
      </c>
      <c r="D1069" s="9" t="s">
        <v>6667</v>
      </c>
      <c r="E1069" t="s">
        <v>74</v>
      </c>
      <c r="F1069" t="s">
        <v>143</v>
      </c>
      <c r="G1069" t="s">
        <v>47</v>
      </c>
      <c r="H1069" s="9" t="s">
        <v>671</v>
      </c>
      <c r="I1069" s="9" t="s">
        <v>59</v>
      </c>
      <c r="J1069" t="s">
        <v>6587</v>
      </c>
      <c r="K1069" s="9" t="s">
        <v>6668</v>
      </c>
      <c r="L1069" s="9" t="s">
        <v>6669</v>
      </c>
      <c r="M1069" s="9" t="s">
        <v>6670</v>
      </c>
      <c r="N1069" s="9" t="s">
        <v>6671</v>
      </c>
      <c r="O1069" s="9" t="s">
        <v>6672</v>
      </c>
      <c r="P1069" s="10">
        <v>70</v>
      </c>
    </row>
    <row r="1070" spans="1:16" ht="86.4" x14ac:dyDescent="0.3">
      <c r="A1070" t="s">
        <v>6557</v>
      </c>
      <c r="B1070" t="s">
        <v>6639</v>
      </c>
      <c r="C1070" t="s">
        <v>433</v>
      </c>
      <c r="D1070" s="9" t="s">
        <v>6673</v>
      </c>
      <c r="E1070" t="s">
        <v>583</v>
      </c>
      <c r="F1070" t="s">
        <v>143</v>
      </c>
      <c r="G1070" t="s">
        <v>47</v>
      </c>
      <c r="H1070" s="9" t="s">
        <v>452</v>
      </c>
      <c r="I1070" s="9" t="s">
        <v>307</v>
      </c>
      <c r="K1070" s="9" t="s">
        <v>6674</v>
      </c>
      <c r="L1070" s="9" t="s">
        <v>6675</v>
      </c>
      <c r="M1070" s="9" t="s">
        <v>6676</v>
      </c>
      <c r="N1070" s="9"/>
      <c r="O1070" s="9" t="s">
        <v>6677</v>
      </c>
      <c r="P1070" s="10">
        <v>70</v>
      </c>
    </row>
    <row r="1071" spans="1:16" ht="100.8" x14ac:dyDescent="0.3">
      <c r="A1071" t="s">
        <v>6557</v>
      </c>
      <c r="B1071" t="s">
        <v>6678</v>
      </c>
      <c r="C1071" t="s">
        <v>369</v>
      </c>
      <c r="D1071" s="9" t="s">
        <v>6679</v>
      </c>
      <c r="E1071" t="s">
        <v>369</v>
      </c>
      <c r="F1071" t="s">
        <v>143</v>
      </c>
      <c r="G1071" t="s">
        <v>47</v>
      </c>
      <c r="H1071" s="9" t="s">
        <v>711</v>
      </c>
      <c r="I1071" s="9"/>
      <c r="J1071" t="s">
        <v>6587</v>
      </c>
      <c r="K1071" s="9" t="s">
        <v>6680</v>
      </c>
      <c r="L1071" s="9"/>
      <c r="M1071" s="9" t="s">
        <v>6681</v>
      </c>
      <c r="N1071" s="9"/>
      <c r="O1071" s="9" t="s">
        <v>6682</v>
      </c>
      <c r="P1071" s="10">
        <v>71</v>
      </c>
    </row>
    <row r="1072" spans="1:16" ht="158.4" x14ac:dyDescent="0.3">
      <c r="A1072" t="s">
        <v>6557</v>
      </c>
      <c r="B1072" t="s">
        <v>6678</v>
      </c>
      <c r="C1072" t="s">
        <v>66</v>
      </c>
      <c r="D1072" s="9" t="s">
        <v>6683</v>
      </c>
      <c r="E1072" t="s">
        <v>369</v>
      </c>
      <c r="F1072" t="s">
        <v>143</v>
      </c>
      <c r="G1072" t="s">
        <v>47</v>
      </c>
      <c r="H1072" s="9" t="s">
        <v>711</v>
      </c>
      <c r="I1072" s="9"/>
      <c r="J1072" t="s">
        <v>6587</v>
      </c>
      <c r="K1072" s="9" t="s">
        <v>6684</v>
      </c>
      <c r="L1072" s="9"/>
      <c r="M1072" s="9" t="s">
        <v>6685</v>
      </c>
      <c r="N1072" s="9" t="s">
        <v>6686</v>
      </c>
      <c r="O1072" s="9" t="s">
        <v>6687</v>
      </c>
      <c r="P1072" s="10">
        <v>71</v>
      </c>
    </row>
    <row r="1073" spans="1:16" ht="129.6" x14ac:dyDescent="0.3">
      <c r="A1073" t="s">
        <v>6557</v>
      </c>
      <c r="B1073" t="s">
        <v>6688</v>
      </c>
      <c r="C1073" t="s">
        <v>369</v>
      </c>
      <c r="D1073" s="9" t="s">
        <v>6689</v>
      </c>
      <c r="E1073" t="s">
        <v>369</v>
      </c>
      <c r="F1073" t="s">
        <v>69</v>
      </c>
      <c r="G1073" t="s">
        <v>47</v>
      </c>
      <c r="H1073" s="9"/>
      <c r="I1073" s="9"/>
      <c r="K1073" s="9" t="s">
        <v>6690</v>
      </c>
      <c r="L1073" s="9"/>
      <c r="M1073" s="9" t="s">
        <v>6691</v>
      </c>
      <c r="N1073" s="9" t="s">
        <v>6692</v>
      </c>
      <c r="O1073" s="9" t="s">
        <v>6693</v>
      </c>
      <c r="P1073" s="10">
        <v>72</v>
      </c>
    </row>
    <row r="1074" spans="1:16" ht="115.2" x14ac:dyDescent="0.3">
      <c r="A1074" t="s">
        <v>6557</v>
      </c>
      <c r="B1074" t="s">
        <v>6688</v>
      </c>
      <c r="C1074" t="s">
        <v>66</v>
      </c>
      <c r="D1074" s="9" t="s">
        <v>6694</v>
      </c>
      <c r="E1074" t="s">
        <v>557</v>
      </c>
      <c r="F1074" t="s">
        <v>116</v>
      </c>
      <c r="G1074" t="s">
        <v>47</v>
      </c>
      <c r="H1074" s="9"/>
      <c r="I1074" s="9"/>
      <c r="K1074" s="9" t="s">
        <v>6695</v>
      </c>
      <c r="L1074" s="9"/>
      <c r="M1074" s="9" t="s">
        <v>6696</v>
      </c>
      <c r="N1074" s="9"/>
      <c r="O1074" s="9" t="s">
        <v>6697</v>
      </c>
      <c r="P1074" s="10">
        <v>72</v>
      </c>
    </row>
    <row r="1075" spans="1:16" ht="288" x14ac:dyDescent="0.3">
      <c r="A1075" t="s">
        <v>6557</v>
      </c>
      <c r="B1075" t="s">
        <v>6698</v>
      </c>
      <c r="C1075" t="s">
        <v>66</v>
      </c>
      <c r="D1075" s="9" t="s">
        <v>6699</v>
      </c>
      <c r="E1075" t="s">
        <v>4409</v>
      </c>
      <c r="F1075" t="s">
        <v>69</v>
      </c>
      <c r="G1075" t="s">
        <v>47</v>
      </c>
      <c r="H1075" s="9"/>
      <c r="I1075" s="9" t="s">
        <v>106</v>
      </c>
      <c r="K1075" s="9" t="s">
        <v>6700</v>
      </c>
      <c r="L1075" s="9"/>
      <c r="M1075" s="9" t="s">
        <v>6701</v>
      </c>
      <c r="N1075" s="9" t="s">
        <v>6702</v>
      </c>
      <c r="O1075" s="9" t="s">
        <v>6703</v>
      </c>
      <c r="P1075" s="10">
        <v>73</v>
      </c>
    </row>
    <row r="1076" spans="1:16" ht="72" x14ac:dyDescent="0.3">
      <c r="A1076" t="s">
        <v>6557</v>
      </c>
      <c r="B1076" t="s">
        <v>6698</v>
      </c>
      <c r="C1076" t="s">
        <v>55</v>
      </c>
      <c r="D1076" s="9" t="s">
        <v>6704</v>
      </c>
      <c r="E1076" t="s">
        <v>449</v>
      </c>
      <c r="F1076" t="s">
        <v>116</v>
      </c>
      <c r="G1076" t="s">
        <v>47</v>
      </c>
      <c r="H1076" s="9"/>
      <c r="I1076" s="9"/>
      <c r="K1076" s="9" t="s">
        <v>6705</v>
      </c>
      <c r="L1076" s="9"/>
      <c r="M1076" s="9" t="s">
        <v>6706</v>
      </c>
      <c r="N1076" s="9"/>
      <c r="O1076" s="9" t="s">
        <v>6707</v>
      </c>
      <c r="P1076" s="10">
        <v>73</v>
      </c>
    </row>
    <row r="1077" spans="1:16" ht="288" x14ac:dyDescent="0.3">
      <c r="A1077" t="s">
        <v>6557</v>
      </c>
      <c r="B1077" t="s">
        <v>6708</v>
      </c>
      <c r="C1077" t="s">
        <v>66</v>
      </c>
      <c r="D1077" s="9" t="s">
        <v>6699</v>
      </c>
      <c r="E1077" t="s">
        <v>4409</v>
      </c>
      <c r="F1077" t="s">
        <v>69</v>
      </c>
      <c r="G1077" t="s">
        <v>47</v>
      </c>
      <c r="H1077" s="9"/>
      <c r="I1077" s="9" t="s">
        <v>106</v>
      </c>
      <c r="K1077" s="9" t="s">
        <v>6709</v>
      </c>
      <c r="L1077" s="9"/>
      <c r="M1077" s="9" t="s">
        <v>6701</v>
      </c>
      <c r="N1077" s="9" t="s">
        <v>6702</v>
      </c>
      <c r="O1077" s="9" t="s">
        <v>6703</v>
      </c>
      <c r="P1077" s="10">
        <v>74</v>
      </c>
    </row>
    <row r="1078" spans="1:16" ht="409.6" x14ac:dyDescent="0.3">
      <c r="A1078" t="s">
        <v>6557</v>
      </c>
      <c r="B1078" t="s">
        <v>6708</v>
      </c>
      <c r="C1078" t="s">
        <v>55</v>
      </c>
      <c r="D1078" s="9" t="s">
        <v>6710</v>
      </c>
      <c r="E1078" t="s">
        <v>449</v>
      </c>
      <c r="F1078" t="s">
        <v>116</v>
      </c>
      <c r="G1078" t="s">
        <v>47</v>
      </c>
      <c r="H1078" s="9" t="s">
        <v>6711</v>
      </c>
      <c r="I1078" s="9" t="s">
        <v>106</v>
      </c>
      <c r="K1078" s="9" t="s">
        <v>6712</v>
      </c>
      <c r="L1078" s="9" t="s">
        <v>6713</v>
      </c>
      <c r="M1078" s="9" t="s">
        <v>6714</v>
      </c>
      <c r="N1078" s="9" t="s">
        <v>6715</v>
      </c>
      <c r="O1078" s="9" t="s">
        <v>6716</v>
      </c>
      <c r="P1078" s="10">
        <v>74</v>
      </c>
    </row>
    <row r="1079" spans="1:16" ht="144" x14ac:dyDescent="0.3">
      <c r="A1079" t="s">
        <v>6717</v>
      </c>
      <c r="B1079" t="s">
        <v>6718</v>
      </c>
      <c r="C1079" t="s">
        <v>369</v>
      </c>
      <c r="D1079" s="9" t="s">
        <v>6719</v>
      </c>
      <c r="E1079" t="s">
        <v>566</v>
      </c>
      <c r="F1079" t="s">
        <v>116</v>
      </c>
      <c r="G1079" t="s">
        <v>47</v>
      </c>
      <c r="H1079" s="9"/>
      <c r="I1079" s="9" t="s">
        <v>106</v>
      </c>
      <c r="K1079" s="9" t="s">
        <v>6720</v>
      </c>
      <c r="L1079" s="9"/>
      <c r="M1079" s="9" t="s">
        <v>6721</v>
      </c>
      <c r="N1079" s="9" t="s">
        <v>6722</v>
      </c>
      <c r="O1079" s="9" t="s">
        <v>6723</v>
      </c>
      <c r="P1079" s="10">
        <v>75</v>
      </c>
    </row>
    <row r="1080" spans="1:16" ht="144" x14ac:dyDescent="0.3">
      <c r="A1080" t="s">
        <v>6717</v>
      </c>
      <c r="B1080" t="s">
        <v>6718</v>
      </c>
      <c r="C1080" t="s">
        <v>66</v>
      </c>
      <c r="D1080" s="9" t="s">
        <v>6724</v>
      </c>
      <c r="E1080" t="s">
        <v>74</v>
      </c>
      <c r="F1080" t="s">
        <v>46</v>
      </c>
      <c r="G1080" t="s">
        <v>47</v>
      </c>
      <c r="H1080" s="9" t="s">
        <v>488</v>
      </c>
      <c r="I1080" s="9" t="s">
        <v>106</v>
      </c>
      <c r="K1080" s="9" t="s">
        <v>6725</v>
      </c>
      <c r="L1080" s="9"/>
      <c r="M1080" s="9" t="s">
        <v>6726</v>
      </c>
      <c r="N1080" s="9" t="s">
        <v>6727</v>
      </c>
      <c r="O1080" s="9" t="s">
        <v>6728</v>
      </c>
      <c r="P1080" s="10">
        <v>75</v>
      </c>
    </row>
    <row r="1081" spans="1:16" ht="158.4" x14ac:dyDescent="0.3">
      <c r="A1081" t="s">
        <v>6717</v>
      </c>
      <c r="B1081" t="s">
        <v>6718</v>
      </c>
      <c r="C1081" t="s">
        <v>74</v>
      </c>
      <c r="D1081" s="9" t="s">
        <v>6729</v>
      </c>
      <c r="E1081" t="s">
        <v>583</v>
      </c>
      <c r="F1081" t="s">
        <v>46</v>
      </c>
      <c r="G1081" t="s">
        <v>47</v>
      </c>
      <c r="H1081" s="9" t="s">
        <v>6730</v>
      </c>
      <c r="I1081" s="9" t="s">
        <v>106</v>
      </c>
      <c r="K1081" s="9" t="s">
        <v>6731</v>
      </c>
      <c r="L1081" s="9"/>
      <c r="M1081" s="9" t="s">
        <v>6732</v>
      </c>
      <c r="N1081" s="9" t="s">
        <v>6733</v>
      </c>
      <c r="O1081" s="9" t="s">
        <v>6734</v>
      </c>
      <c r="P1081" s="10">
        <v>75</v>
      </c>
    </row>
    <row r="1082" spans="1:16" ht="115.2" x14ac:dyDescent="0.3">
      <c r="A1082" t="s">
        <v>6717</v>
      </c>
      <c r="B1082" t="s">
        <v>6718</v>
      </c>
      <c r="C1082" t="s">
        <v>43</v>
      </c>
      <c r="D1082" s="9" t="s">
        <v>6735</v>
      </c>
      <c r="E1082" t="s">
        <v>43</v>
      </c>
      <c r="F1082" t="s">
        <v>46</v>
      </c>
      <c r="G1082" t="s">
        <v>47</v>
      </c>
      <c r="H1082" s="9"/>
      <c r="I1082" s="9" t="s">
        <v>106</v>
      </c>
      <c r="K1082" s="9" t="s">
        <v>6736</v>
      </c>
      <c r="L1082" s="9"/>
      <c r="M1082" s="9" t="s">
        <v>6737</v>
      </c>
      <c r="N1082" s="9" t="s">
        <v>6738</v>
      </c>
      <c r="O1082" s="9" t="s">
        <v>6739</v>
      </c>
      <c r="P1082" s="10">
        <v>75</v>
      </c>
    </row>
    <row r="1083" spans="1:16" ht="144" x14ac:dyDescent="0.3">
      <c r="A1083" t="s">
        <v>6717</v>
      </c>
      <c r="B1083" t="s">
        <v>6718</v>
      </c>
      <c r="C1083" t="s">
        <v>68</v>
      </c>
      <c r="D1083" s="9" t="s">
        <v>6740</v>
      </c>
      <c r="E1083" t="s">
        <v>1039</v>
      </c>
      <c r="F1083" t="s">
        <v>46</v>
      </c>
      <c r="G1083" t="s">
        <v>47</v>
      </c>
      <c r="H1083" s="9" t="s">
        <v>395</v>
      </c>
      <c r="I1083" s="9" t="s">
        <v>106</v>
      </c>
      <c r="K1083" s="9" t="s">
        <v>6741</v>
      </c>
      <c r="L1083" s="9"/>
      <c r="M1083" s="9" t="s">
        <v>6742</v>
      </c>
      <c r="N1083" s="9" t="s">
        <v>6743</v>
      </c>
      <c r="O1083" s="9" t="s">
        <v>6744</v>
      </c>
      <c r="P1083" s="10">
        <v>75</v>
      </c>
    </row>
    <row r="1084" spans="1:16" ht="374.4" x14ac:dyDescent="0.3">
      <c r="A1084" t="s">
        <v>6717</v>
      </c>
      <c r="B1084" t="s">
        <v>6745</v>
      </c>
      <c r="C1084" t="s">
        <v>74</v>
      </c>
      <c r="D1084" s="9" t="s">
        <v>6746</v>
      </c>
      <c r="E1084" t="s">
        <v>6747</v>
      </c>
      <c r="F1084" t="s">
        <v>143</v>
      </c>
      <c r="G1084" t="s">
        <v>1599</v>
      </c>
      <c r="H1084" s="9" t="s">
        <v>1614</v>
      </c>
      <c r="I1084" s="9" t="s">
        <v>106</v>
      </c>
      <c r="J1084" t="s">
        <v>6748</v>
      </c>
      <c r="K1084" s="9" t="s">
        <v>6749</v>
      </c>
      <c r="L1084" s="9" t="s">
        <v>6750</v>
      </c>
      <c r="M1084" s="9" t="s">
        <v>6751</v>
      </c>
      <c r="N1084" s="9" t="s">
        <v>6752</v>
      </c>
      <c r="O1084" s="9" t="s">
        <v>6753</v>
      </c>
      <c r="P1084" s="10">
        <v>76</v>
      </c>
    </row>
    <row r="1085" spans="1:16" ht="216" x14ac:dyDescent="0.3">
      <c r="A1085" t="s">
        <v>6717</v>
      </c>
      <c r="B1085" t="s">
        <v>6745</v>
      </c>
      <c r="C1085" t="s">
        <v>1606</v>
      </c>
      <c r="D1085" s="9" t="s">
        <v>6754</v>
      </c>
      <c r="E1085" t="s">
        <v>6600</v>
      </c>
      <c r="F1085" t="s">
        <v>116</v>
      </c>
      <c r="G1085" t="s">
        <v>47</v>
      </c>
      <c r="H1085" s="9" t="s">
        <v>48</v>
      </c>
      <c r="I1085" s="9" t="s">
        <v>49</v>
      </c>
      <c r="K1085" s="9" t="s">
        <v>6755</v>
      </c>
      <c r="L1085" s="9" t="s">
        <v>6756</v>
      </c>
      <c r="M1085" s="9" t="s">
        <v>6757</v>
      </c>
      <c r="N1085" s="9" t="s">
        <v>6758</v>
      </c>
      <c r="O1085" s="9" t="s">
        <v>6759</v>
      </c>
      <c r="P1085" s="10">
        <v>76</v>
      </c>
    </row>
    <row r="1086" spans="1:16" ht="187.2" x14ac:dyDescent="0.3">
      <c r="A1086" t="s">
        <v>6717</v>
      </c>
      <c r="B1086" t="s">
        <v>6745</v>
      </c>
      <c r="C1086" t="s">
        <v>4386</v>
      </c>
      <c r="D1086" s="9" t="s">
        <v>6760</v>
      </c>
      <c r="E1086" t="s">
        <v>5653</v>
      </c>
      <c r="F1086" t="s">
        <v>116</v>
      </c>
      <c r="G1086" t="s">
        <v>47</v>
      </c>
      <c r="H1086" s="9" t="s">
        <v>48</v>
      </c>
      <c r="I1086" s="9" t="s">
        <v>49</v>
      </c>
      <c r="K1086" s="9" t="s">
        <v>6761</v>
      </c>
      <c r="L1086" s="9" t="s">
        <v>6762</v>
      </c>
      <c r="M1086" s="9" t="s">
        <v>6763</v>
      </c>
      <c r="N1086" s="9" t="s">
        <v>6764</v>
      </c>
      <c r="O1086" s="9" t="s">
        <v>6765</v>
      </c>
      <c r="P1086" s="10">
        <v>76</v>
      </c>
    </row>
    <row r="1087" spans="1:16" ht="158.4" x14ac:dyDescent="0.3">
      <c r="A1087" t="s">
        <v>6717</v>
      </c>
      <c r="B1087" t="s">
        <v>6745</v>
      </c>
      <c r="C1087" t="s">
        <v>6766</v>
      </c>
      <c r="D1087" s="9" t="s">
        <v>6767</v>
      </c>
      <c r="E1087" t="s">
        <v>6607</v>
      </c>
      <c r="F1087" t="s">
        <v>116</v>
      </c>
      <c r="G1087" t="s">
        <v>47</v>
      </c>
      <c r="H1087" s="9"/>
      <c r="I1087" s="9" t="s">
        <v>271</v>
      </c>
      <c r="K1087" s="9" t="s">
        <v>6768</v>
      </c>
      <c r="L1087" s="9" t="s">
        <v>6769</v>
      </c>
      <c r="M1087" s="9" t="s">
        <v>6770</v>
      </c>
      <c r="N1087" s="9" t="s">
        <v>6771</v>
      </c>
      <c r="O1087" s="9" t="s">
        <v>6772</v>
      </c>
      <c r="P1087" s="10">
        <v>76</v>
      </c>
    </row>
    <row r="1088" spans="1:16" ht="201.6" x14ac:dyDescent="0.3">
      <c r="A1088" t="s">
        <v>6717</v>
      </c>
      <c r="B1088" t="s">
        <v>6745</v>
      </c>
      <c r="C1088" t="s">
        <v>6773</v>
      </c>
      <c r="D1088" s="9" t="s">
        <v>6774</v>
      </c>
      <c r="E1088" t="s">
        <v>2768</v>
      </c>
      <c r="F1088" t="s">
        <v>143</v>
      </c>
      <c r="G1088" t="s">
        <v>47</v>
      </c>
      <c r="H1088" s="9" t="s">
        <v>2896</v>
      </c>
      <c r="I1088" s="9" t="s">
        <v>6775</v>
      </c>
      <c r="J1088" t="s">
        <v>6776</v>
      </c>
      <c r="K1088" s="9" t="s">
        <v>6777</v>
      </c>
      <c r="L1088" s="9" t="s">
        <v>6778</v>
      </c>
      <c r="M1088" s="9" t="s">
        <v>6779</v>
      </c>
      <c r="N1088" s="9" t="s">
        <v>6780</v>
      </c>
      <c r="O1088" s="9" t="s">
        <v>6781</v>
      </c>
      <c r="P1088" s="10">
        <v>76</v>
      </c>
    </row>
    <row r="1089" spans="1:16" ht="187.2" x14ac:dyDescent="0.3">
      <c r="A1089" t="s">
        <v>6717</v>
      </c>
      <c r="B1089" t="s">
        <v>6745</v>
      </c>
      <c r="C1089" t="s">
        <v>6782</v>
      </c>
      <c r="D1089" s="9" t="s">
        <v>6783</v>
      </c>
      <c r="E1089" t="s">
        <v>6784</v>
      </c>
      <c r="F1089" t="s">
        <v>143</v>
      </c>
      <c r="G1089" t="s">
        <v>47</v>
      </c>
      <c r="H1089" s="9" t="s">
        <v>2896</v>
      </c>
      <c r="I1089" s="9" t="s">
        <v>6775</v>
      </c>
      <c r="J1089" t="s">
        <v>6776</v>
      </c>
      <c r="K1089" s="9" t="s">
        <v>6785</v>
      </c>
      <c r="L1089" s="9" t="s">
        <v>6786</v>
      </c>
      <c r="M1089" s="9" t="s">
        <v>6787</v>
      </c>
      <c r="N1089" s="9" t="s">
        <v>6788</v>
      </c>
      <c r="O1089" s="9" t="s">
        <v>6789</v>
      </c>
      <c r="P1089" s="10">
        <v>76</v>
      </c>
    </row>
    <row r="1090" spans="1:16" ht="230.4" x14ac:dyDescent="0.3">
      <c r="A1090" t="s">
        <v>6717</v>
      </c>
      <c r="B1090" t="s">
        <v>6745</v>
      </c>
      <c r="C1090" t="s">
        <v>6790</v>
      </c>
      <c r="D1090" s="9" t="s">
        <v>6791</v>
      </c>
      <c r="E1090" t="s">
        <v>6792</v>
      </c>
      <c r="F1090" t="s">
        <v>143</v>
      </c>
      <c r="G1090" t="s">
        <v>47</v>
      </c>
      <c r="H1090" s="9"/>
      <c r="I1090" s="9"/>
      <c r="J1090" t="s">
        <v>6793</v>
      </c>
      <c r="K1090" s="9" t="s">
        <v>6794</v>
      </c>
      <c r="L1090" s="9" t="s">
        <v>6795</v>
      </c>
      <c r="M1090" s="9" t="s">
        <v>6796</v>
      </c>
      <c r="N1090" s="9" t="s">
        <v>6797</v>
      </c>
      <c r="O1090" s="9" t="s">
        <v>6798</v>
      </c>
      <c r="P1090" s="10">
        <v>76</v>
      </c>
    </row>
    <row r="1091" spans="1:16" ht="144" x14ac:dyDescent="0.3">
      <c r="A1091" t="s">
        <v>6717</v>
      </c>
      <c r="B1091" t="s">
        <v>6745</v>
      </c>
      <c r="C1091" t="s">
        <v>6799</v>
      </c>
      <c r="D1091" s="9" t="s">
        <v>6800</v>
      </c>
      <c r="E1091" t="s">
        <v>989</v>
      </c>
      <c r="F1091" t="s">
        <v>143</v>
      </c>
      <c r="G1091" t="s">
        <v>47</v>
      </c>
      <c r="H1091" s="9"/>
      <c r="I1091" s="9"/>
      <c r="J1091" t="s">
        <v>6793</v>
      </c>
      <c r="K1091" s="9" t="s">
        <v>6801</v>
      </c>
      <c r="L1091" s="9" t="s">
        <v>6802</v>
      </c>
      <c r="M1091" s="9" t="s">
        <v>6803</v>
      </c>
      <c r="N1091" s="9" t="s">
        <v>6804</v>
      </c>
      <c r="O1091" s="9" t="s">
        <v>6805</v>
      </c>
      <c r="P1091" s="10">
        <v>76</v>
      </c>
    </row>
    <row r="1092" spans="1:16" ht="144" x14ac:dyDescent="0.3">
      <c r="A1092" t="s">
        <v>6717</v>
      </c>
      <c r="B1092" t="s">
        <v>6745</v>
      </c>
      <c r="C1092" t="s">
        <v>82</v>
      </c>
      <c r="D1092" s="9" t="s">
        <v>6806</v>
      </c>
      <c r="E1092" t="s">
        <v>1869</v>
      </c>
      <c r="F1092" t="s">
        <v>143</v>
      </c>
      <c r="G1092" t="s">
        <v>47</v>
      </c>
      <c r="H1092" s="9" t="s">
        <v>6807</v>
      </c>
      <c r="I1092" s="9"/>
      <c r="J1092" t="s">
        <v>6808</v>
      </c>
      <c r="K1092" s="9" t="s">
        <v>6809</v>
      </c>
      <c r="L1092" s="9" t="s">
        <v>6810</v>
      </c>
      <c r="M1092" s="9" t="s">
        <v>6811</v>
      </c>
      <c r="N1092" s="9" t="s">
        <v>6812</v>
      </c>
      <c r="O1092" s="9" t="s">
        <v>6813</v>
      </c>
      <c r="P1092" s="10">
        <v>76</v>
      </c>
    </row>
    <row r="1093" spans="1:16" ht="115.2" x14ac:dyDescent="0.3">
      <c r="A1093" t="s">
        <v>6717</v>
      </c>
      <c r="B1093" t="s">
        <v>6745</v>
      </c>
      <c r="C1093" t="s">
        <v>6814</v>
      </c>
      <c r="D1093" s="9" t="s">
        <v>6815</v>
      </c>
      <c r="E1093" t="s">
        <v>6816</v>
      </c>
      <c r="F1093" t="s">
        <v>46</v>
      </c>
      <c r="G1093" t="s">
        <v>47</v>
      </c>
      <c r="H1093" s="9" t="s">
        <v>6817</v>
      </c>
      <c r="I1093" s="9"/>
      <c r="J1093" t="s">
        <v>6808</v>
      </c>
      <c r="K1093" s="9" t="s">
        <v>6818</v>
      </c>
      <c r="L1093" s="9" t="s">
        <v>6819</v>
      </c>
      <c r="M1093" s="9" t="s">
        <v>6820</v>
      </c>
      <c r="N1093" s="9"/>
      <c r="O1093" s="9" t="s">
        <v>6821</v>
      </c>
      <c r="P1093" s="10">
        <v>76</v>
      </c>
    </row>
    <row r="1094" spans="1:16" ht="172.8" x14ac:dyDescent="0.3">
      <c r="A1094" t="s">
        <v>6717</v>
      </c>
      <c r="B1094" t="s">
        <v>6745</v>
      </c>
      <c r="C1094" t="s">
        <v>6519</v>
      </c>
      <c r="D1094" s="9" t="s">
        <v>6822</v>
      </c>
      <c r="E1094" t="s">
        <v>5000</v>
      </c>
      <c r="F1094" t="s">
        <v>116</v>
      </c>
      <c r="G1094" t="s">
        <v>47</v>
      </c>
      <c r="H1094" s="9"/>
      <c r="I1094" s="9" t="s">
        <v>271</v>
      </c>
      <c r="J1094" t="s">
        <v>4032</v>
      </c>
      <c r="K1094" s="9" t="s">
        <v>6823</v>
      </c>
      <c r="L1094" s="9" t="s">
        <v>6824</v>
      </c>
      <c r="M1094" s="9" t="s">
        <v>6825</v>
      </c>
      <c r="N1094" s="9" t="s">
        <v>6826</v>
      </c>
      <c r="O1094" s="9" t="s">
        <v>6827</v>
      </c>
      <c r="P1094" s="10">
        <v>76</v>
      </c>
    </row>
    <row r="1095" spans="1:16" ht="201.6" x14ac:dyDescent="0.3">
      <c r="A1095" t="s">
        <v>6717</v>
      </c>
      <c r="B1095" t="s">
        <v>6745</v>
      </c>
      <c r="C1095" t="s">
        <v>6828</v>
      </c>
      <c r="D1095" s="9" t="s">
        <v>6829</v>
      </c>
      <c r="E1095" t="s">
        <v>3237</v>
      </c>
      <c r="F1095" t="s">
        <v>46</v>
      </c>
      <c r="G1095" t="s">
        <v>47</v>
      </c>
      <c r="H1095" s="9"/>
      <c r="I1095" s="9" t="s">
        <v>106</v>
      </c>
      <c r="J1095" t="s">
        <v>3703</v>
      </c>
      <c r="K1095" s="9" t="s">
        <v>6830</v>
      </c>
      <c r="L1095" s="9" t="s">
        <v>6831</v>
      </c>
      <c r="M1095" s="9" t="s">
        <v>6832</v>
      </c>
      <c r="N1095" s="9" t="s">
        <v>6833</v>
      </c>
      <c r="O1095" s="9" t="s">
        <v>6834</v>
      </c>
      <c r="P1095" s="10">
        <v>76</v>
      </c>
    </row>
    <row r="1096" spans="1:16" ht="144" x14ac:dyDescent="0.3">
      <c r="A1096" t="s">
        <v>6717</v>
      </c>
      <c r="B1096" t="s">
        <v>6745</v>
      </c>
      <c r="C1096" t="s">
        <v>6835</v>
      </c>
      <c r="D1096" s="9" t="s">
        <v>6836</v>
      </c>
      <c r="E1096" t="s">
        <v>1449</v>
      </c>
      <c r="F1096" t="s">
        <v>46</v>
      </c>
      <c r="G1096" t="s">
        <v>47</v>
      </c>
      <c r="H1096" s="9" t="s">
        <v>6837</v>
      </c>
      <c r="I1096" s="9" t="s">
        <v>106</v>
      </c>
      <c r="J1096" t="s">
        <v>479</v>
      </c>
      <c r="K1096" s="9" t="s">
        <v>6838</v>
      </c>
      <c r="L1096" s="9" t="s">
        <v>6839</v>
      </c>
      <c r="M1096" s="9" t="s">
        <v>6840</v>
      </c>
      <c r="N1096" s="9" t="s">
        <v>6841</v>
      </c>
      <c r="O1096" s="9" t="s">
        <v>6842</v>
      </c>
      <c r="P1096" s="10">
        <v>76</v>
      </c>
    </row>
    <row r="1097" spans="1:16" ht="72" x14ac:dyDescent="0.3">
      <c r="A1097" t="s">
        <v>6717</v>
      </c>
      <c r="B1097" t="s">
        <v>6745</v>
      </c>
      <c r="C1097" t="s">
        <v>55</v>
      </c>
      <c r="D1097" s="9" t="s">
        <v>6843</v>
      </c>
      <c r="E1097" t="s">
        <v>1456</v>
      </c>
      <c r="F1097" t="s">
        <v>69</v>
      </c>
      <c r="G1097" t="s">
        <v>47</v>
      </c>
      <c r="H1097" s="9"/>
      <c r="I1097" s="9"/>
      <c r="K1097" s="9" t="s">
        <v>6844</v>
      </c>
      <c r="L1097" s="9"/>
      <c r="M1097" s="9" t="s">
        <v>6845</v>
      </c>
      <c r="N1097" s="9"/>
      <c r="O1097" s="9" t="s">
        <v>6846</v>
      </c>
      <c r="P1097" s="10">
        <v>76</v>
      </c>
    </row>
    <row r="1098" spans="1:16" ht="158.4" x14ac:dyDescent="0.3">
      <c r="A1098" t="s">
        <v>6717</v>
      </c>
      <c r="B1098" t="s">
        <v>6847</v>
      </c>
      <c r="C1098" t="s">
        <v>369</v>
      </c>
      <c r="D1098" s="9" t="s">
        <v>6848</v>
      </c>
      <c r="E1098" t="s">
        <v>583</v>
      </c>
      <c r="F1098" t="s">
        <v>143</v>
      </c>
      <c r="G1098" t="s">
        <v>47</v>
      </c>
      <c r="H1098" s="9" t="s">
        <v>6849</v>
      </c>
      <c r="I1098" s="9" t="s">
        <v>59</v>
      </c>
      <c r="J1098" t="s">
        <v>6850</v>
      </c>
      <c r="K1098" s="9" t="s">
        <v>6851</v>
      </c>
      <c r="L1098" s="9" t="s">
        <v>6852</v>
      </c>
      <c r="M1098" s="9" t="s">
        <v>6853</v>
      </c>
      <c r="N1098" s="9" t="s">
        <v>6854</v>
      </c>
      <c r="O1098" s="9" t="s">
        <v>6855</v>
      </c>
      <c r="P1098" s="10">
        <v>77</v>
      </c>
    </row>
    <row r="1099" spans="1:16" ht="158.4" x14ac:dyDescent="0.3">
      <c r="A1099" t="s">
        <v>6717</v>
      </c>
      <c r="B1099" t="s">
        <v>6847</v>
      </c>
      <c r="C1099" t="s">
        <v>66</v>
      </c>
      <c r="D1099" s="9" t="s">
        <v>6856</v>
      </c>
      <c r="E1099" t="s">
        <v>1039</v>
      </c>
      <c r="F1099" t="s">
        <v>143</v>
      </c>
      <c r="G1099" t="s">
        <v>47</v>
      </c>
      <c r="H1099" s="9" t="s">
        <v>6857</v>
      </c>
      <c r="I1099" s="9" t="s">
        <v>59</v>
      </c>
      <c r="J1099" t="s">
        <v>6850</v>
      </c>
      <c r="K1099" s="9" t="s">
        <v>6858</v>
      </c>
      <c r="L1099" s="9" t="s">
        <v>6859</v>
      </c>
      <c r="M1099" s="9" t="s">
        <v>6860</v>
      </c>
      <c r="N1099" s="9" t="s">
        <v>6861</v>
      </c>
      <c r="O1099" s="9" t="s">
        <v>6855</v>
      </c>
      <c r="P1099" s="10">
        <v>77</v>
      </c>
    </row>
    <row r="1100" spans="1:16" ht="158.4" x14ac:dyDescent="0.3">
      <c r="A1100" t="s">
        <v>6717</v>
      </c>
      <c r="B1100" t="s">
        <v>6847</v>
      </c>
      <c r="C1100" t="s">
        <v>74</v>
      </c>
      <c r="D1100" s="9" t="s">
        <v>6862</v>
      </c>
      <c r="E1100" t="s">
        <v>1824</v>
      </c>
      <c r="F1100" t="s">
        <v>143</v>
      </c>
      <c r="G1100" t="s">
        <v>47</v>
      </c>
      <c r="H1100" s="9" t="s">
        <v>6863</v>
      </c>
      <c r="I1100" s="9" t="s">
        <v>59</v>
      </c>
      <c r="J1100" t="s">
        <v>6850</v>
      </c>
      <c r="K1100" s="9" t="s">
        <v>6864</v>
      </c>
      <c r="L1100" s="9" t="s">
        <v>6865</v>
      </c>
      <c r="M1100" s="9" t="s">
        <v>6866</v>
      </c>
      <c r="N1100" s="9" t="s">
        <v>6867</v>
      </c>
      <c r="O1100" s="9" t="s">
        <v>6868</v>
      </c>
      <c r="P1100" s="10">
        <v>77</v>
      </c>
    </row>
    <row r="1101" spans="1:16" ht="144" x14ac:dyDescent="0.3">
      <c r="A1101" t="s">
        <v>6717</v>
      </c>
      <c r="B1101" t="s">
        <v>6847</v>
      </c>
      <c r="C1101" t="s">
        <v>43</v>
      </c>
      <c r="D1101" s="9" t="s">
        <v>6869</v>
      </c>
      <c r="E1101" t="s">
        <v>424</v>
      </c>
      <c r="F1101" t="s">
        <v>143</v>
      </c>
      <c r="G1101" t="s">
        <v>848</v>
      </c>
      <c r="H1101" s="9" t="s">
        <v>1521</v>
      </c>
      <c r="I1101" s="9" t="s">
        <v>2827</v>
      </c>
      <c r="J1101" t="s">
        <v>6850</v>
      </c>
      <c r="K1101" s="9" t="s">
        <v>6870</v>
      </c>
      <c r="L1101" s="9" t="s">
        <v>6871</v>
      </c>
      <c r="M1101" s="9" t="s">
        <v>6872</v>
      </c>
      <c r="N1101" s="9" t="s">
        <v>6873</v>
      </c>
      <c r="O1101" s="9" t="s">
        <v>6874</v>
      </c>
      <c r="P1101" s="10">
        <v>77</v>
      </c>
    </row>
    <row r="1102" spans="1:16" ht="144" x14ac:dyDescent="0.3">
      <c r="A1102" t="s">
        <v>6717</v>
      </c>
      <c r="B1102" t="s">
        <v>6847</v>
      </c>
      <c r="C1102" t="s">
        <v>68</v>
      </c>
      <c r="D1102" s="9" t="s">
        <v>6875</v>
      </c>
      <c r="E1102" t="s">
        <v>6876</v>
      </c>
      <c r="F1102" t="s">
        <v>143</v>
      </c>
      <c r="G1102" t="s">
        <v>47</v>
      </c>
      <c r="H1102" s="9" t="s">
        <v>1521</v>
      </c>
      <c r="I1102" s="9" t="s">
        <v>2827</v>
      </c>
      <c r="J1102" t="s">
        <v>6850</v>
      </c>
      <c r="K1102" s="9" t="s">
        <v>6877</v>
      </c>
      <c r="L1102" s="9" t="s">
        <v>6878</v>
      </c>
      <c r="M1102" s="9" t="s">
        <v>6879</v>
      </c>
      <c r="N1102" s="9" t="s">
        <v>6880</v>
      </c>
      <c r="O1102" s="9" t="s">
        <v>6881</v>
      </c>
      <c r="P1102" s="10">
        <v>77</v>
      </c>
    </row>
    <row r="1103" spans="1:16" ht="259.2" x14ac:dyDescent="0.3">
      <c r="A1103" t="s">
        <v>6717</v>
      </c>
      <c r="B1103" t="s">
        <v>6847</v>
      </c>
      <c r="C1103" t="s">
        <v>82</v>
      </c>
      <c r="D1103" s="9" t="s">
        <v>6882</v>
      </c>
      <c r="E1103" t="s">
        <v>1313</v>
      </c>
      <c r="F1103" t="s">
        <v>143</v>
      </c>
      <c r="G1103" t="s">
        <v>47</v>
      </c>
      <c r="H1103" s="9" t="s">
        <v>6883</v>
      </c>
      <c r="I1103" s="9" t="s">
        <v>144</v>
      </c>
      <c r="J1103" t="s">
        <v>6850</v>
      </c>
      <c r="K1103" s="9" t="s">
        <v>6884</v>
      </c>
      <c r="L1103" s="9" t="s">
        <v>6885</v>
      </c>
      <c r="M1103" s="9" t="s">
        <v>6886</v>
      </c>
      <c r="N1103" s="9" t="s">
        <v>6887</v>
      </c>
      <c r="O1103" s="9" t="s">
        <v>6888</v>
      </c>
      <c r="P1103" s="10">
        <v>77</v>
      </c>
    </row>
    <row r="1104" spans="1:16" ht="216" x14ac:dyDescent="0.3">
      <c r="A1104" t="s">
        <v>6717</v>
      </c>
      <c r="B1104" t="s">
        <v>6847</v>
      </c>
      <c r="C1104" t="s">
        <v>55</v>
      </c>
      <c r="D1104" s="9" t="s">
        <v>6889</v>
      </c>
      <c r="E1104" t="s">
        <v>1859</v>
      </c>
      <c r="F1104" t="s">
        <v>143</v>
      </c>
      <c r="G1104" t="s">
        <v>47</v>
      </c>
      <c r="H1104" s="9" t="s">
        <v>6448</v>
      </c>
      <c r="I1104" s="9" t="s">
        <v>144</v>
      </c>
      <c r="J1104" t="s">
        <v>6850</v>
      </c>
      <c r="K1104" s="9" t="s">
        <v>6890</v>
      </c>
      <c r="L1104" s="9" t="s">
        <v>6891</v>
      </c>
      <c r="M1104" s="9" t="s">
        <v>6892</v>
      </c>
      <c r="N1104" s="9" t="s">
        <v>6893</v>
      </c>
      <c r="O1104" s="9" t="s">
        <v>6894</v>
      </c>
      <c r="P1104" s="10">
        <v>77</v>
      </c>
    </row>
    <row r="1105" spans="1:16" ht="187.2" x14ac:dyDescent="0.3">
      <c r="A1105" t="s">
        <v>6717</v>
      </c>
      <c r="B1105" t="s">
        <v>6847</v>
      </c>
      <c r="C1105" t="s">
        <v>424</v>
      </c>
      <c r="D1105" s="9" t="s">
        <v>6895</v>
      </c>
      <c r="E1105" t="s">
        <v>1345</v>
      </c>
      <c r="F1105" t="s">
        <v>143</v>
      </c>
      <c r="G1105" t="s">
        <v>47</v>
      </c>
      <c r="H1105" s="9" t="s">
        <v>6448</v>
      </c>
      <c r="I1105" s="9" t="s">
        <v>144</v>
      </c>
      <c r="J1105" t="s">
        <v>6850</v>
      </c>
      <c r="K1105" s="9" t="s">
        <v>6896</v>
      </c>
      <c r="L1105" s="9" t="s">
        <v>6897</v>
      </c>
      <c r="M1105" s="9" t="s">
        <v>6898</v>
      </c>
      <c r="N1105" s="9" t="s">
        <v>6899</v>
      </c>
      <c r="O1105" s="9" t="s">
        <v>6900</v>
      </c>
      <c r="P1105" s="10">
        <v>77</v>
      </c>
    </row>
    <row r="1106" spans="1:16" ht="201.6" x14ac:dyDescent="0.3">
      <c r="A1106" t="s">
        <v>6717</v>
      </c>
      <c r="B1106" t="s">
        <v>6847</v>
      </c>
      <c r="C1106" t="s">
        <v>433</v>
      </c>
      <c r="D1106" s="9" t="s">
        <v>6901</v>
      </c>
      <c r="E1106" t="s">
        <v>6902</v>
      </c>
      <c r="F1106" t="s">
        <v>46</v>
      </c>
      <c r="G1106" t="s">
        <v>47</v>
      </c>
      <c r="H1106" s="9" t="s">
        <v>6903</v>
      </c>
      <c r="I1106" s="9" t="s">
        <v>144</v>
      </c>
      <c r="K1106" s="9" t="s">
        <v>6904</v>
      </c>
      <c r="L1106" s="9" t="s">
        <v>6905</v>
      </c>
      <c r="M1106" s="9" t="s">
        <v>6906</v>
      </c>
      <c r="N1106" s="9" t="s">
        <v>6907</v>
      </c>
      <c r="O1106" s="9" t="s">
        <v>6908</v>
      </c>
      <c r="P1106" s="10">
        <v>77</v>
      </c>
    </row>
    <row r="1107" spans="1:16" ht="172.8" x14ac:dyDescent="0.3">
      <c r="A1107" t="s">
        <v>6717</v>
      </c>
      <c r="B1107" t="s">
        <v>6847</v>
      </c>
      <c r="C1107" t="s">
        <v>449</v>
      </c>
      <c r="D1107" s="9" t="s">
        <v>6909</v>
      </c>
      <c r="E1107" t="s">
        <v>611</v>
      </c>
      <c r="F1107" t="s">
        <v>143</v>
      </c>
      <c r="G1107" t="s">
        <v>47</v>
      </c>
      <c r="H1107" s="9" t="s">
        <v>306</v>
      </c>
      <c r="I1107" s="9" t="s">
        <v>144</v>
      </c>
      <c r="J1107" t="s">
        <v>6850</v>
      </c>
      <c r="K1107" s="9" t="s">
        <v>6910</v>
      </c>
      <c r="L1107" s="9" t="s">
        <v>6911</v>
      </c>
      <c r="M1107" s="9" t="s">
        <v>6912</v>
      </c>
      <c r="N1107" s="9" t="s">
        <v>6913</v>
      </c>
      <c r="O1107" s="9" t="s">
        <v>6914</v>
      </c>
      <c r="P1107" s="10">
        <v>77</v>
      </c>
    </row>
    <row r="1108" spans="1:16" ht="115.2" x14ac:dyDescent="0.3">
      <c r="A1108" t="s">
        <v>6717</v>
      </c>
      <c r="B1108" t="s">
        <v>6915</v>
      </c>
      <c r="C1108" t="s">
        <v>1606</v>
      </c>
      <c r="D1108" s="9" t="s">
        <v>6916</v>
      </c>
      <c r="E1108" t="s">
        <v>6917</v>
      </c>
      <c r="F1108" t="s">
        <v>143</v>
      </c>
      <c r="G1108" t="s">
        <v>47</v>
      </c>
      <c r="H1108" s="9"/>
      <c r="I1108" s="9" t="s">
        <v>307</v>
      </c>
      <c r="K1108" s="9" t="s">
        <v>6918</v>
      </c>
      <c r="L1108" s="9" t="s">
        <v>6919</v>
      </c>
      <c r="M1108" s="9" t="s">
        <v>6920</v>
      </c>
      <c r="N1108" s="9" t="s">
        <v>6921</v>
      </c>
      <c r="O1108" s="9" t="s">
        <v>6922</v>
      </c>
      <c r="P1108" s="10">
        <v>78</v>
      </c>
    </row>
    <row r="1109" spans="1:16" ht="129.6" x14ac:dyDescent="0.3">
      <c r="A1109" t="s">
        <v>6717</v>
      </c>
      <c r="B1109" t="s">
        <v>6915</v>
      </c>
      <c r="C1109" t="s">
        <v>4386</v>
      </c>
      <c r="D1109" s="9" t="s">
        <v>6923</v>
      </c>
      <c r="E1109" t="s">
        <v>6924</v>
      </c>
      <c r="F1109" t="s">
        <v>143</v>
      </c>
      <c r="G1109" t="s">
        <v>47</v>
      </c>
      <c r="H1109" s="9" t="s">
        <v>3880</v>
      </c>
      <c r="I1109" s="9" t="s">
        <v>307</v>
      </c>
      <c r="K1109" s="9" t="s">
        <v>6925</v>
      </c>
      <c r="L1109" s="9" t="s">
        <v>6926</v>
      </c>
      <c r="M1109" s="9" t="s">
        <v>6927</v>
      </c>
      <c r="N1109" s="9" t="s">
        <v>6928</v>
      </c>
      <c r="O1109" s="9" t="s">
        <v>6929</v>
      </c>
      <c r="P1109" s="10">
        <v>78</v>
      </c>
    </row>
    <row r="1110" spans="1:16" ht="129.6" x14ac:dyDescent="0.3">
      <c r="A1110" t="s">
        <v>6717</v>
      </c>
      <c r="B1110" t="s">
        <v>6915</v>
      </c>
      <c r="C1110" t="s">
        <v>43</v>
      </c>
      <c r="D1110" s="9" t="s">
        <v>6930</v>
      </c>
      <c r="E1110" t="s">
        <v>66</v>
      </c>
      <c r="F1110" t="s">
        <v>143</v>
      </c>
      <c r="G1110" t="s">
        <v>47</v>
      </c>
      <c r="H1110" s="9"/>
      <c r="I1110" s="9" t="s">
        <v>59</v>
      </c>
      <c r="J1110" t="s">
        <v>6931</v>
      </c>
      <c r="K1110" s="9" t="s">
        <v>6932</v>
      </c>
      <c r="L1110" s="9" t="s">
        <v>6933</v>
      </c>
      <c r="M1110" s="9" t="s">
        <v>6934</v>
      </c>
      <c r="N1110" s="9" t="s">
        <v>6935</v>
      </c>
      <c r="O1110" s="9" t="s">
        <v>6936</v>
      </c>
      <c r="P1110" s="10">
        <v>78</v>
      </c>
    </row>
    <row r="1111" spans="1:16" ht="115.2" x14ac:dyDescent="0.3">
      <c r="A1111" t="s">
        <v>6717</v>
      </c>
      <c r="B1111" t="s">
        <v>6915</v>
      </c>
      <c r="C1111" t="s">
        <v>68</v>
      </c>
      <c r="D1111" s="9" t="s">
        <v>6937</v>
      </c>
      <c r="E1111" t="s">
        <v>66</v>
      </c>
      <c r="F1111" t="s">
        <v>143</v>
      </c>
      <c r="G1111" t="s">
        <v>47</v>
      </c>
      <c r="H1111" s="9"/>
      <c r="I1111" s="9" t="s">
        <v>144</v>
      </c>
      <c r="J1111" t="s">
        <v>6931</v>
      </c>
      <c r="K1111" s="9" t="s">
        <v>6938</v>
      </c>
      <c r="L1111" s="9" t="s">
        <v>6939</v>
      </c>
      <c r="M1111" s="9" t="s">
        <v>6940</v>
      </c>
      <c r="N1111" s="9" t="s">
        <v>6941</v>
      </c>
      <c r="O1111" s="9" t="s">
        <v>6942</v>
      </c>
      <c r="P1111" s="10">
        <v>78</v>
      </c>
    </row>
    <row r="1112" spans="1:16" ht="100.8" x14ac:dyDescent="0.3">
      <c r="A1112" t="s">
        <v>6717</v>
      </c>
      <c r="B1112" t="s">
        <v>6915</v>
      </c>
      <c r="C1112" t="s">
        <v>441</v>
      </c>
      <c r="D1112" s="9" t="s">
        <v>6943</v>
      </c>
      <c r="E1112" t="s">
        <v>66</v>
      </c>
      <c r="F1112" t="s">
        <v>143</v>
      </c>
      <c r="G1112" t="s">
        <v>47</v>
      </c>
      <c r="H1112" s="9"/>
      <c r="I1112" s="9" t="s">
        <v>307</v>
      </c>
      <c r="K1112" s="9" t="s">
        <v>6944</v>
      </c>
      <c r="L1112" s="9" t="s">
        <v>6945</v>
      </c>
      <c r="M1112" s="9" t="s">
        <v>6946</v>
      </c>
      <c r="N1112" s="9" t="s">
        <v>6947</v>
      </c>
      <c r="O1112" s="9" t="s">
        <v>6948</v>
      </c>
      <c r="P1112" s="10">
        <v>78</v>
      </c>
    </row>
    <row r="1113" spans="1:16" ht="273.60000000000002" x14ac:dyDescent="0.3">
      <c r="A1113" t="s">
        <v>6717</v>
      </c>
      <c r="B1113" t="s">
        <v>6949</v>
      </c>
      <c r="C1113" t="s">
        <v>369</v>
      </c>
      <c r="D1113" s="9" t="s">
        <v>6950</v>
      </c>
      <c r="E1113" t="s">
        <v>2967</v>
      </c>
      <c r="F1113" t="s">
        <v>143</v>
      </c>
      <c r="G1113" t="s">
        <v>47</v>
      </c>
      <c r="H1113" s="9"/>
      <c r="I1113" s="9" t="s">
        <v>3545</v>
      </c>
      <c r="K1113" s="9" t="s">
        <v>6951</v>
      </c>
      <c r="L1113" s="9"/>
      <c r="M1113" s="9" t="s">
        <v>6952</v>
      </c>
      <c r="N1113" s="9" t="s">
        <v>6953</v>
      </c>
      <c r="O1113" s="9" t="s">
        <v>6954</v>
      </c>
      <c r="P1113" s="10">
        <v>79</v>
      </c>
    </row>
    <row r="1114" spans="1:16" ht="409.6" x14ac:dyDescent="0.3">
      <c r="A1114" t="s">
        <v>6717</v>
      </c>
      <c r="B1114" t="s">
        <v>6949</v>
      </c>
      <c r="C1114" t="s">
        <v>68</v>
      </c>
      <c r="D1114" s="9" t="s">
        <v>6955</v>
      </c>
      <c r="E1114" t="s">
        <v>6956</v>
      </c>
      <c r="F1114" t="s">
        <v>143</v>
      </c>
      <c r="G1114" t="s">
        <v>47</v>
      </c>
      <c r="H1114" s="9"/>
      <c r="I1114" s="9" t="s">
        <v>144</v>
      </c>
      <c r="J1114" t="s">
        <v>6957</v>
      </c>
      <c r="K1114" s="9" t="s">
        <v>6958</v>
      </c>
      <c r="L1114" s="9" t="s">
        <v>6959</v>
      </c>
      <c r="M1114" s="9" t="s">
        <v>6960</v>
      </c>
      <c r="N1114" s="9" t="s">
        <v>6961</v>
      </c>
      <c r="O1114" s="9" t="s">
        <v>6962</v>
      </c>
      <c r="P1114" s="10">
        <v>79</v>
      </c>
    </row>
    <row r="1115" spans="1:16" ht="216" x14ac:dyDescent="0.3">
      <c r="A1115" t="s">
        <v>6717</v>
      </c>
      <c r="B1115" t="s">
        <v>6949</v>
      </c>
      <c r="C1115" t="s">
        <v>1848</v>
      </c>
      <c r="D1115" s="9" t="s">
        <v>6963</v>
      </c>
      <c r="E1115" t="s">
        <v>6876</v>
      </c>
      <c r="F1115" t="s">
        <v>143</v>
      </c>
      <c r="G1115" t="s">
        <v>47</v>
      </c>
      <c r="H1115" s="9" t="s">
        <v>671</v>
      </c>
      <c r="I1115" s="9" t="s">
        <v>59</v>
      </c>
      <c r="J1115" t="s">
        <v>6964</v>
      </c>
      <c r="K1115" s="9" t="s">
        <v>6965</v>
      </c>
      <c r="L1115" s="9" t="s">
        <v>6966</v>
      </c>
      <c r="M1115" s="9" t="s">
        <v>6967</v>
      </c>
      <c r="N1115" s="9" t="s">
        <v>6968</v>
      </c>
      <c r="O1115" s="9" t="s">
        <v>6969</v>
      </c>
      <c r="P1115" s="10">
        <v>79</v>
      </c>
    </row>
    <row r="1116" spans="1:16" ht="187.2" x14ac:dyDescent="0.3">
      <c r="A1116" t="s">
        <v>6717</v>
      </c>
      <c r="B1116" t="s">
        <v>6949</v>
      </c>
      <c r="C1116" t="s">
        <v>82</v>
      </c>
      <c r="D1116" s="9" t="s">
        <v>6970</v>
      </c>
      <c r="E1116" t="s">
        <v>6971</v>
      </c>
      <c r="F1116" t="s">
        <v>143</v>
      </c>
      <c r="G1116" t="s">
        <v>47</v>
      </c>
      <c r="H1116" s="9"/>
      <c r="I1116" s="9" t="s">
        <v>59</v>
      </c>
      <c r="J1116" t="s">
        <v>6964</v>
      </c>
      <c r="K1116" s="9" t="s">
        <v>6972</v>
      </c>
      <c r="L1116" s="9" t="s">
        <v>6973</v>
      </c>
      <c r="M1116" s="9" t="s">
        <v>6974</v>
      </c>
      <c r="N1116" s="9" t="s">
        <v>6975</v>
      </c>
      <c r="O1116" s="9" t="s">
        <v>6976</v>
      </c>
      <c r="P1116" s="10">
        <v>79</v>
      </c>
    </row>
    <row r="1117" spans="1:16" ht="72" x14ac:dyDescent="0.3">
      <c r="A1117" t="s">
        <v>6717</v>
      </c>
      <c r="B1117" t="s">
        <v>6949</v>
      </c>
      <c r="C1117" t="s">
        <v>55</v>
      </c>
      <c r="D1117" s="9" t="s">
        <v>6977</v>
      </c>
      <c r="E1117" t="s">
        <v>1337</v>
      </c>
      <c r="F1117" t="s">
        <v>143</v>
      </c>
      <c r="G1117" t="s">
        <v>47</v>
      </c>
      <c r="H1117" s="9"/>
      <c r="I1117" s="9" t="s">
        <v>59</v>
      </c>
      <c r="J1117" t="s">
        <v>6964</v>
      </c>
      <c r="K1117" s="9" t="s">
        <v>6978</v>
      </c>
      <c r="L1117" s="9" t="s">
        <v>6979</v>
      </c>
      <c r="M1117" s="9" t="s">
        <v>6980</v>
      </c>
      <c r="N1117" s="9" t="s">
        <v>6981</v>
      </c>
      <c r="O1117" s="9" t="s">
        <v>6982</v>
      </c>
      <c r="P1117" s="10">
        <v>79</v>
      </c>
    </row>
    <row r="1118" spans="1:16" ht="144" x14ac:dyDescent="0.3">
      <c r="A1118" t="s">
        <v>6717</v>
      </c>
      <c r="B1118" t="s">
        <v>6983</v>
      </c>
      <c r="C1118" t="s">
        <v>74</v>
      </c>
      <c r="D1118" s="9" t="s">
        <v>6984</v>
      </c>
      <c r="E1118" t="s">
        <v>2967</v>
      </c>
      <c r="F1118" t="s">
        <v>143</v>
      </c>
      <c r="G1118" t="s">
        <v>47</v>
      </c>
      <c r="H1118" s="9"/>
      <c r="I1118" s="9" t="s">
        <v>614</v>
      </c>
      <c r="K1118" s="9" t="s">
        <v>6985</v>
      </c>
      <c r="L1118" s="9"/>
      <c r="M1118" s="9" t="s">
        <v>6986</v>
      </c>
      <c r="N1118" s="9" t="s">
        <v>6987</v>
      </c>
      <c r="O1118" s="9" t="s">
        <v>6988</v>
      </c>
      <c r="P1118" s="10">
        <v>80</v>
      </c>
    </row>
    <row r="1119" spans="1:16" ht="144" x14ac:dyDescent="0.3">
      <c r="A1119" t="s">
        <v>6717</v>
      </c>
      <c r="B1119" t="s">
        <v>6983</v>
      </c>
      <c r="C1119" t="s">
        <v>43</v>
      </c>
      <c r="D1119" s="9" t="s">
        <v>6989</v>
      </c>
      <c r="E1119" t="s">
        <v>68</v>
      </c>
      <c r="F1119" t="s">
        <v>143</v>
      </c>
      <c r="G1119" t="s">
        <v>47</v>
      </c>
      <c r="H1119" s="9" t="s">
        <v>1842</v>
      </c>
      <c r="I1119" s="9" t="s">
        <v>59</v>
      </c>
      <c r="K1119" s="9" t="s">
        <v>6990</v>
      </c>
      <c r="L1119" s="9" t="s">
        <v>6991</v>
      </c>
      <c r="M1119" s="9" t="s">
        <v>6992</v>
      </c>
      <c r="N1119" s="9" t="s">
        <v>6993</v>
      </c>
      <c r="O1119" s="9" t="s">
        <v>6994</v>
      </c>
      <c r="P1119" s="10">
        <v>80</v>
      </c>
    </row>
    <row r="1120" spans="1:16" ht="144" x14ac:dyDescent="0.3">
      <c r="A1120" t="s">
        <v>6717</v>
      </c>
      <c r="B1120" t="s">
        <v>6983</v>
      </c>
      <c r="C1120" t="s">
        <v>68</v>
      </c>
      <c r="D1120" s="9" t="s">
        <v>6995</v>
      </c>
      <c r="E1120" t="s">
        <v>76</v>
      </c>
      <c r="F1120" t="s">
        <v>143</v>
      </c>
      <c r="G1120" t="s">
        <v>47</v>
      </c>
      <c r="H1120" s="9" t="s">
        <v>711</v>
      </c>
      <c r="I1120" s="9" t="s">
        <v>59</v>
      </c>
      <c r="K1120" s="9" t="s">
        <v>6996</v>
      </c>
      <c r="L1120" s="9" t="s">
        <v>6997</v>
      </c>
      <c r="M1120" s="9" t="s">
        <v>6998</v>
      </c>
      <c r="N1120" s="9" t="s">
        <v>6999</v>
      </c>
      <c r="O1120" s="9" t="s">
        <v>7000</v>
      </c>
      <c r="P1120" s="10">
        <v>80</v>
      </c>
    </row>
    <row r="1121" spans="1:16" ht="144" x14ac:dyDescent="0.3">
      <c r="A1121" t="s">
        <v>6717</v>
      </c>
      <c r="B1121" t="s">
        <v>6983</v>
      </c>
      <c r="C1121" t="s">
        <v>82</v>
      </c>
      <c r="D1121" s="9" t="s">
        <v>7001</v>
      </c>
      <c r="E1121" t="s">
        <v>82</v>
      </c>
      <c r="F1121" t="s">
        <v>143</v>
      </c>
      <c r="G1121" t="s">
        <v>47</v>
      </c>
      <c r="H1121" s="9"/>
      <c r="I1121" s="9" t="s">
        <v>59</v>
      </c>
      <c r="K1121" s="9" t="s">
        <v>7002</v>
      </c>
      <c r="L1121" s="9" t="s">
        <v>7003</v>
      </c>
      <c r="M1121" s="9" t="s">
        <v>7004</v>
      </c>
      <c r="N1121" s="9" t="s">
        <v>7005</v>
      </c>
      <c r="O1121" s="9" t="s">
        <v>7006</v>
      </c>
      <c r="P1121" s="10">
        <v>80</v>
      </c>
    </row>
    <row r="1122" spans="1:16" ht="144" x14ac:dyDescent="0.3">
      <c r="A1122" t="s">
        <v>6717</v>
      </c>
      <c r="B1122" t="s">
        <v>6983</v>
      </c>
      <c r="C1122" t="s">
        <v>55</v>
      </c>
      <c r="D1122" s="9" t="s">
        <v>7007</v>
      </c>
      <c r="E1122" t="s">
        <v>1759</v>
      </c>
      <c r="F1122" t="s">
        <v>143</v>
      </c>
      <c r="G1122" t="s">
        <v>47</v>
      </c>
      <c r="H1122" s="9"/>
      <c r="I1122" s="9" t="s">
        <v>59</v>
      </c>
      <c r="K1122" s="9" t="s">
        <v>7008</v>
      </c>
      <c r="L1122" s="9" t="s">
        <v>7009</v>
      </c>
      <c r="M1122" s="9" t="s">
        <v>7010</v>
      </c>
      <c r="N1122" s="9" t="s">
        <v>7011</v>
      </c>
      <c r="O1122" s="9" t="s">
        <v>7012</v>
      </c>
      <c r="P1122" s="10">
        <v>80</v>
      </c>
    </row>
    <row r="1123" spans="1:16" ht="115.2" x14ac:dyDescent="0.3">
      <c r="A1123" t="s">
        <v>6717</v>
      </c>
      <c r="B1123" t="s">
        <v>6983</v>
      </c>
      <c r="C1123" t="s">
        <v>424</v>
      </c>
      <c r="D1123" s="9" t="s">
        <v>7013</v>
      </c>
      <c r="E1123" t="s">
        <v>424</v>
      </c>
      <c r="F1123" t="s">
        <v>143</v>
      </c>
      <c r="G1123" t="s">
        <v>47</v>
      </c>
      <c r="H1123" s="9" t="s">
        <v>711</v>
      </c>
      <c r="I1123" s="9" t="s">
        <v>59</v>
      </c>
      <c r="K1123" s="9" t="s">
        <v>7014</v>
      </c>
      <c r="L1123" s="9" t="s">
        <v>7015</v>
      </c>
      <c r="M1123" s="9" t="s">
        <v>7016</v>
      </c>
      <c r="N1123" s="9" t="s">
        <v>7017</v>
      </c>
      <c r="O1123" s="9" t="s">
        <v>7018</v>
      </c>
      <c r="P1123" s="10">
        <v>80</v>
      </c>
    </row>
    <row r="1124" spans="1:16" ht="230.4" x14ac:dyDescent="0.3">
      <c r="A1124" t="s">
        <v>6717</v>
      </c>
      <c r="B1124" t="s">
        <v>6983</v>
      </c>
      <c r="C1124" t="s">
        <v>433</v>
      </c>
      <c r="D1124" s="9" t="s">
        <v>7019</v>
      </c>
      <c r="E1124" t="s">
        <v>775</v>
      </c>
      <c r="F1124" t="s">
        <v>143</v>
      </c>
      <c r="G1124" t="s">
        <v>47</v>
      </c>
      <c r="H1124" s="9"/>
      <c r="I1124" s="9" t="s">
        <v>614</v>
      </c>
      <c r="K1124" s="9" t="s">
        <v>7020</v>
      </c>
      <c r="L1124" s="9" t="s">
        <v>7021</v>
      </c>
      <c r="M1124" s="9" t="s">
        <v>7022</v>
      </c>
      <c r="N1124" s="9" t="s">
        <v>7023</v>
      </c>
      <c r="O1124" s="9" t="s">
        <v>7024</v>
      </c>
      <c r="P1124" s="10">
        <v>80</v>
      </c>
    </row>
    <row r="1125" spans="1:16" ht="158.4" x14ac:dyDescent="0.3">
      <c r="A1125" t="s">
        <v>6717</v>
      </c>
      <c r="B1125" t="s">
        <v>6983</v>
      </c>
      <c r="C1125" t="s">
        <v>441</v>
      </c>
      <c r="D1125" s="9" t="s">
        <v>7025</v>
      </c>
      <c r="E1125" t="s">
        <v>796</v>
      </c>
      <c r="F1125" t="s">
        <v>143</v>
      </c>
      <c r="G1125" t="s">
        <v>47</v>
      </c>
      <c r="H1125" s="9" t="s">
        <v>4097</v>
      </c>
      <c r="I1125" s="9" t="s">
        <v>614</v>
      </c>
      <c r="K1125" s="9" t="s">
        <v>7026</v>
      </c>
      <c r="L1125" s="9" t="s">
        <v>7027</v>
      </c>
      <c r="M1125" s="9" t="s">
        <v>7028</v>
      </c>
      <c r="N1125" s="9" t="s">
        <v>7029</v>
      </c>
      <c r="O1125" s="9" t="s">
        <v>7030</v>
      </c>
      <c r="P1125" s="10">
        <v>80</v>
      </c>
    </row>
    <row r="1126" spans="1:16" ht="144" x14ac:dyDescent="0.3">
      <c r="A1126" t="s">
        <v>6717</v>
      </c>
      <c r="B1126" t="s">
        <v>6983</v>
      </c>
      <c r="C1126" t="s">
        <v>449</v>
      </c>
      <c r="D1126" s="9" t="s">
        <v>7031</v>
      </c>
      <c r="E1126" t="s">
        <v>441</v>
      </c>
      <c r="F1126" t="s">
        <v>143</v>
      </c>
      <c r="G1126" t="s">
        <v>47</v>
      </c>
      <c r="H1126" s="9" t="s">
        <v>7032</v>
      </c>
      <c r="I1126" s="9" t="s">
        <v>59</v>
      </c>
      <c r="K1126" s="9" t="s">
        <v>7033</v>
      </c>
      <c r="L1126" s="9" t="s">
        <v>7034</v>
      </c>
      <c r="M1126" s="9" t="s">
        <v>7035</v>
      </c>
      <c r="N1126" s="9" t="s">
        <v>7036</v>
      </c>
      <c r="O1126" s="9" t="s">
        <v>7037</v>
      </c>
      <c r="P1126" s="10">
        <v>80</v>
      </c>
    </row>
    <row r="1127" spans="1:16" ht="230.4" x14ac:dyDescent="0.3">
      <c r="A1127" t="s">
        <v>6717</v>
      </c>
      <c r="B1127" t="s">
        <v>6983</v>
      </c>
      <c r="C1127" t="s">
        <v>458</v>
      </c>
      <c r="D1127" s="9" t="s">
        <v>7038</v>
      </c>
      <c r="E1127" t="s">
        <v>679</v>
      </c>
      <c r="F1127" t="s">
        <v>143</v>
      </c>
      <c r="G1127" t="s">
        <v>47</v>
      </c>
      <c r="H1127" s="9"/>
      <c r="I1127" s="9" t="s">
        <v>59</v>
      </c>
      <c r="K1127" s="9" t="s">
        <v>7039</v>
      </c>
      <c r="L1127" s="9" t="s">
        <v>7040</v>
      </c>
      <c r="M1127" s="9" t="s">
        <v>7041</v>
      </c>
      <c r="N1127" s="9" t="s">
        <v>7042</v>
      </c>
      <c r="O1127" s="9" t="s">
        <v>7043</v>
      </c>
      <c r="P1127" s="10">
        <v>80</v>
      </c>
    </row>
    <row r="1128" spans="1:16" ht="273.60000000000002" x14ac:dyDescent="0.3">
      <c r="A1128" t="s">
        <v>6717</v>
      </c>
      <c r="B1128" t="s">
        <v>6983</v>
      </c>
      <c r="C1128" t="s">
        <v>466</v>
      </c>
      <c r="D1128" s="9" t="s">
        <v>7044</v>
      </c>
      <c r="E1128" t="s">
        <v>4771</v>
      </c>
      <c r="F1128" t="s">
        <v>143</v>
      </c>
      <c r="G1128" t="s">
        <v>47</v>
      </c>
      <c r="H1128" s="9"/>
      <c r="I1128" s="9" t="s">
        <v>59</v>
      </c>
      <c r="K1128" s="9" t="s">
        <v>7045</v>
      </c>
      <c r="L1128" s="9" t="s">
        <v>7046</v>
      </c>
      <c r="M1128" s="9" t="s">
        <v>7047</v>
      </c>
      <c r="N1128" s="9" t="s">
        <v>7048</v>
      </c>
      <c r="O1128" s="9" t="s">
        <v>7049</v>
      </c>
      <c r="P1128" s="10">
        <v>80</v>
      </c>
    </row>
    <row r="1129" spans="1:16" ht="144" x14ac:dyDescent="0.3">
      <c r="A1129" t="s">
        <v>6717</v>
      </c>
      <c r="B1129" t="s">
        <v>6983</v>
      </c>
      <c r="C1129" t="s">
        <v>312</v>
      </c>
      <c r="D1129" s="9" t="s">
        <v>7050</v>
      </c>
      <c r="E1129" t="s">
        <v>466</v>
      </c>
      <c r="F1129" t="s">
        <v>143</v>
      </c>
      <c r="G1129" t="s">
        <v>47</v>
      </c>
      <c r="H1129" s="9"/>
      <c r="I1129" s="9" t="s">
        <v>59</v>
      </c>
      <c r="K1129" s="9" t="s">
        <v>7051</v>
      </c>
      <c r="L1129" s="9" t="s">
        <v>7052</v>
      </c>
      <c r="M1129" s="9" t="s">
        <v>7053</v>
      </c>
      <c r="N1129" s="9" t="s">
        <v>7054</v>
      </c>
      <c r="O1129" s="9" t="s">
        <v>7055</v>
      </c>
      <c r="P1129" s="10">
        <v>80</v>
      </c>
    </row>
    <row r="1130" spans="1:16" ht="129.6" x14ac:dyDescent="0.3">
      <c r="A1130" t="s">
        <v>6717</v>
      </c>
      <c r="B1130" t="s">
        <v>6983</v>
      </c>
      <c r="C1130" t="s">
        <v>590</v>
      </c>
      <c r="D1130" s="9" t="s">
        <v>7056</v>
      </c>
      <c r="E1130" t="s">
        <v>466</v>
      </c>
      <c r="F1130" t="s">
        <v>143</v>
      </c>
      <c r="G1130" t="s">
        <v>47</v>
      </c>
      <c r="H1130" s="9" t="s">
        <v>671</v>
      </c>
      <c r="I1130" s="9" t="s">
        <v>59</v>
      </c>
      <c r="J1130" t="s">
        <v>7057</v>
      </c>
      <c r="K1130" s="9" t="s">
        <v>7058</v>
      </c>
      <c r="L1130" s="9" t="s">
        <v>7059</v>
      </c>
      <c r="M1130" s="9" t="s">
        <v>7060</v>
      </c>
      <c r="N1130" s="9" t="s">
        <v>7061</v>
      </c>
      <c r="O1130" s="9" t="s">
        <v>7062</v>
      </c>
      <c r="P1130" s="10">
        <v>80</v>
      </c>
    </row>
    <row r="1131" spans="1:16" ht="115.2" x14ac:dyDescent="0.3">
      <c r="A1131" t="s">
        <v>6717</v>
      </c>
      <c r="B1131" t="s">
        <v>7063</v>
      </c>
      <c r="C1131" t="s">
        <v>66</v>
      </c>
      <c r="D1131" s="9" t="s">
        <v>7064</v>
      </c>
      <c r="E1131" t="s">
        <v>7065</v>
      </c>
      <c r="F1131" t="s">
        <v>143</v>
      </c>
      <c r="G1131" t="s">
        <v>47</v>
      </c>
      <c r="H1131" s="9" t="s">
        <v>59</v>
      </c>
      <c r="I1131" s="9" t="s">
        <v>614</v>
      </c>
      <c r="K1131" s="9" t="s">
        <v>7066</v>
      </c>
      <c r="L1131" s="9" t="s">
        <v>7067</v>
      </c>
      <c r="M1131" s="9" t="s">
        <v>7068</v>
      </c>
      <c r="N1131" s="9" t="s">
        <v>7069</v>
      </c>
      <c r="O1131" s="9" t="s">
        <v>7070</v>
      </c>
      <c r="P1131" s="10">
        <v>81</v>
      </c>
    </row>
    <row r="1132" spans="1:16" ht="129.6" x14ac:dyDescent="0.3">
      <c r="A1132" t="s">
        <v>6717</v>
      </c>
      <c r="B1132" t="s">
        <v>7063</v>
      </c>
      <c r="C1132" t="s">
        <v>74</v>
      </c>
      <c r="D1132" s="9" t="s">
        <v>7071</v>
      </c>
      <c r="E1132" t="s">
        <v>1003</v>
      </c>
      <c r="F1132" t="s">
        <v>143</v>
      </c>
      <c r="G1132" t="s">
        <v>47</v>
      </c>
      <c r="H1132" s="9" t="s">
        <v>2570</v>
      </c>
      <c r="I1132" s="9" t="s">
        <v>59</v>
      </c>
      <c r="K1132" s="9" t="s">
        <v>7072</v>
      </c>
      <c r="L1132" s="9" t="s">
        <v>7073</v>
      </c>
      <c r="M1132" s="9" t="s">
        <v>7074</v>
      </c>
      <c r="N1132" s="9" t="s">
        <v>7075</v>
      </c>
      <c r="O1132" s="9" t="s">
        <v>7076</v>
      </c>
      <c r="P1132" s="10">
        <v>81</v>
      </c>
    </row>
    <row r="1133" spans="1:16" ht="144" x14ac:dyDescent="0.3">
      <c r="A1133" t="s">
        <v>6717</v>
      </c>
      <c r="B1133" t="s">
        <v>7063</v>
      </c>
      <c r="C1133" t="s">
        <v>43</v>
      </c>
      <c r="D1133" s="9" t="s">
        <v>7077</v>
      </c>
      <c r="E1133" t="s">
        <v>55</v>
      </c>
      <c r="F1133" t="s">
        <v>143</v>
      </c>
      <c r="G1133" t="s">
        <v>47</v>
      </c>
      <c r="H1133" s="9" t="s">
        <v>711</v>
      </c>
      <c r="I1133" s="9" t="s">
        <v>59</v>
      </c>
      <c r="K1133" s="9" t="s">
        <v>7078</v>
      </c>
      <c r="L1133" s="9" t="s">
        <v>7079</v>
      </c>
      <c r="M1133" s="9" t="s">
        <v>7080</v>
      </c>
      <c r="N1133" s="9" t="s">
        <v>7081</v>
      </c>
      <c r="O1133" s="9" t="s">
        <v>7082</v>
      </c>
      <c r="P1133" s="10">
        <v>81</v>
      </c>
    </row>
    <row r="1134" spans="1:16" ht="144" x14ac:dyDescent="0.3">
      <c r="A1134" t="s">
        <v>6717</v>
      </c>
      <c r="B1134" t="s">
        <v>7063</v>
      </c>
      <c r="C1134" t="s">
        <v>68</v>
      </c>
      <c r="D1134" s="9" t="s">
        <v>7083</v>
      </c>
      <c r="E1134" t="s">
        <v>651</v>
      </c>
      <c r="F1134" t="s">
        <v>143</v>
      </c>
      <c r="G1134" t="s">
        <v>47</v>
      </c>
      <c r="H1134" s="9" t="s">
        <v>711</v>
      </c>
      <c r="I1134" s="9" t="s">
        <v>59</v>
      </c>
      <c r="K1134" s="9" t="s">
        <v>7084</v>
      </c>
      <c r="L1134" s="9" t="s">
        <v>7085</v>
      </c>
      <c r="M1134" s="9" t="s">
        <v>7086</v>
      </c>
      <c r="N1134" s="9" t="s">
        <v>7087</v>
      </c>
      <c r="O1134" s="9" t="s">
        <v>711</v>
      </c>
      <c r="P1134" s="10">
        <v>81</v>
      </c>
    </row>
    <row r="1135" spans="1:16" ht="144" x14ac:dyDescent="0.3">
      <c r="A1135" t="s">
        <v>6717</v>
      </c>
      <c r="B1135" t="s">
        <v>7063</v>
      </c>
      <c r="C1135" t="s">
        <v>82</v>
      </c>
      <c r="D1135" s="9" t="s">
        <v>7088</v>
      </c>
      <c r="E1135" t="s">
        <v>424</v>
      </c>
      <c r="F1135" t="s">
        <v>143</v>
      </c>
      <c r="G1135" t="s">
        <v>47</v>
      </c>
      <c r="H1135" s="9"/>
      <c r="I1135" s="9" t="s">
        <v>59</v>
      </c>
      <c r="K1135" s="9" t="s">
        <v>7089</v>
      </c>
      <c r="L1135" s="9" t="s">
        <v>7090</v>
      </c>
      <c r="M1135" s="9" t="s">
        <v>7091</v>
      </c>
      <c r="N1135" s="9" t="s">
        <v>7092</v>
      </c>
      <c r="O1135" s="9" t="s">
        <v>7093</v>
      </c>
      <c r="P1135" s="10">
        <v>81</v>
      </c>
    </row>
    <row r="1136" spans="1:16" ht="409.6" x14ac:dyDescent="0.3">
      <c r="A1136" t="s">
        <v>6717</v>
      </c>
      <c r="B1136" t="s">
        <v>7063</v>
      </c>
      <c r="C1136" t="s">
        <v>55</v>
      </c>
      <c r="D1136" s="9" t="s">
        <v>7094</v>
      </c>
      <c r="E1136" t="s">
        <v>7095</v>
      </c>
      <c r="F1136" t="s">
        <v>143</v>
      </c>
      <c r="G1136" t="s">
        <v>47</v>
      </c>
      <c r="H1136" s="9" t="s">
        <v>4090</v>
      </c>
      <c r="I1136" s="9" t="s">
        <v>5846</v>
      </c>
      <c r="J1136" t="s">
        <v>7096</v>
      </c>
      <c r="K1136" s="9" t="s">
        <v>7097</v>
      </c>
      <c r="L1136" s="9" t="s">
        <v>7098</v>
      </c>
      <c r="M1136" s="9" t="s">
        <v>7099</v>
      </c>
      <c r="N1136" s="9" t="s">
        <v>7100</v>
      </c>
      <c r="O1136" s="9"/>
      <c r="P1136" s="10">
        <v>81</v>
      </c>
    </row>
    <row r="1137" spans="1:16" ht="259.2" x14ac:dyDescent="0.3">
      <c r="A1137" t="s">
        <v>6717</v>
      </c>
      <c r="B1137" t="s">
        <v>7063</v>
      </c>
      <c r="C1137" t="s">
        <v>424</v>
      </c>
      <c r="D1137" s="9" t="s">
        <v>7101</v>
      </c>
      <c r="E1137" t="s">
        <v>6784</v>
      </c>
      <c r="F1137" t="s">
        <v>143</v>
      </c>
      <c r="G1137" t="s">
        <v>47</v>
      </c>
      <c r="H1137" s="9" t="s">
        <v>7102</v>
      </c>
      <c r="I1137" s="9" t="s">
        <v>59</v>
      </c>
      <c r="J1137" t="s">
        <v>7057</v>
      </c>
      <c r="K1137" s="9" t="s">
        <v>7103</v>
      </c>
      <c r="L1137" s="9" t="s">
        <v>7104</v>
      </c>
      <c r="M1137" s="9" t="s">
        <v>7105</v>
      </c>
      <c r="N1137" s="9" t="s">
        <v>7106</v>
      </c>
      <c r="O1137" s="9" t="s">
        <v>7107</v>
      </c>
      <c r="P1137" s="10">
        <v>81</v>
      </c>
    </row>
    <row r="1138" spans="1:16" ht="115.2" x14ac:dyDescent="0.3">
      <c r="A1138" t="s">
        <v>6717</v>
      </c>
      <c r="B1138" t="s">
        <v>7063</v>
      </c>
      <c r="C1138" t="s">
        <v>433</v>
      </c>
      <c r="D1138" s="9" t="s">
        <v>7108</v>
      </c>
      <c r="E1138" t="s">
        <v>221</v>
      </c>
      <c r="F1138" t="s">
        <v>143</v>
      </c>
      <c r="G1138" t="s">
        <v>47</v>
      </c>
      <c r="H1138" s="9" t="s">
        <v>671</v>
      </c>
      <c r="I1138" s="9" t="s">
        <v>59</v>
      </c>
      <c r="J1138" t="s">
        <v>7057</v>
      </c>
      <c r="K1138" s="9" t="s">
        <v>7109</v>
      </c>
      <c r="L1138" s="9" t="s">
        <v>7110</v>
      </c>
      <c r="M1138" s="9" t="s">
        <v>7111</v>
      </c>
      <c r="N1138" s="9" t="s">
        <v>7112</v>
      </c>
      <c r="O1138" s="9" t="s">
        <v>7113</v>
      </c>
      <c r="P1138" s="10">
        <v>81</v>
      </c>
    </row>
    <row r="1139" spans="1:16" ht="115.2" x14ac:dyDescent="0.3">
      <c r="A1139" t="s">
        <v>6717</v>
      </c>
      <c r="B1139" t="s">
        <v>7114</v>
      </c>
      <c r="C1139" t="s">
        <v>369</v>
      </c>
      <c r="D1139" s="9" t="s">
        <v>7115</v>
      </c>
      <c r="E1139" t="s">
        <v>557</v>
      </c>
      <c r="F1139" t="s">
        <v>116</v>
      </c>
      <c r="G1139" t="s">
        <v>47</v>
      </c>
      <c r="H1139" s="9" t="s">
        <v>2839</v>
      </c>
      <c r="I1139" s="9" t="s">
        <v>106</v>
      </c>
      <c r="K1139" s="9" t="s">
        <v>7116</v>
      </c>
      <c r="L1139" s="9"/>
      <c r="M1139" s="9" t="s">
        <v>7117</v>
      </c>
      <c r="N1139" s="9"/>
      <c r="O1139" s="9" t="s">
        <v>7118</v>
      </c>
      <c r="P1139" s="10">
        <v>82</v>
      </c>
    </row>
    <row r="1140" spans="1:16" ht="244.8" x14ac:dyDescent="0.3">
      <c r="A1140" t="s">
        <v>6717</v>
      </c>
      <c r="B1140" t="s">
        <v>7114</v>
      </c>
      <c r="C1140" t="s">
        <v>66</v>
      </c>
      <c r="D1140" s="9" t="s">
        <v>7119</v>
      </c>
      <c r="E1140" t="s">
        <v>1813</v>
      </c>
      <c r="F1140" t="s">
        <v>143</v>
      </c>
      <c r="G1140" t="s">
        <v>47</v>
      </c>
      <c r="H1140" s="9" t="s">
        <v>7120</v>
      </c>
      <c r="I1140" s="9" t="s">
        <v>614</v>
      </c>
      <c r="J1140" t="s">
        <v>7121</v>
      </c>
      <c r="K1140" s="9" t="s">
        <v>7122</v>
      </c>
      <c r="L1140" s="9" t="s">
        <v>7123</v>
      </c>
      <c r="M1140" s="9" t="s">
        <v>7124</v>
      </c>
      <c r="N1140" s="9" t="s">
        <v>7125</v>
      </c>
      <c r="O1140" s="9" t="s">
        <v>7126</v>
      </c>
      <c r="P1140" s="10">
        <v>82</v>
      </c>
    </row>
    <row r="1141" spans="1:16" ht="72" x14ac:dyDescent="0.3">
      <c r="A1141" t="s">
        <v>6717</v>
      </c>
      <c r="B1141" t="s">
        <v>7114</v>
      </c>
      <c r="C1141" t="s">
        <v>74</v>
      </c>
      <c r="D1141" s="9" t="s">
        <v>7127</v>
      </c>
      <c r="E1141" t="s">
        <v>43</v>
      </c>
      <c r="F1141" t="s">
        <v>116</v>
      </c>
      <c r="G1141" t="s">
        <v>47</v>
      </c>
      <c r="H1141" s="9" t="s">
        <v>3880</v>
      </c>
      <c r="I1141" s="9" t="s">
        <v>106</v>
      </c>
      <c r="K1141" s="9" t="s">
        <v>7128</v>
      </c>
      <c r="L1141" s="9"/>
      <c r="M1141" s="9" t="s">
        <v>7129</v>
      </c>
      <c r="N1141" s="9"/>
      <c r="O1141" s="9" t="s">
        <v>7130</v>
      </c>
      <c r="P1141" s="10">
        <v>82</v>
      </c>
    </row>
    <row r="1142" spans="1:16" ht="144" x14ac:dyDescent="0.3">
      <c r="A1142" t="s">
        <v>6717</v>
      </c>
      <c r="B1142" t="s">
        <v>7131</v>
      </c>
      <c r="C1142" t="s">
        <v>369</v>
      </c>
      <c r="D1142" s="9" t="s">
        <v>7132</v>
      </c>
      <c r="E1142" t="s">
        <v>1777</v>
      </c>
      <c r="F1142" t="s">
        <v>116</v>
      </c>
      <c r="G1142" t="s">
        <v>47</v>
      </c>
      <c r="H1142" s="9" t="s">
        <v>2896</v>
      </c>
      <c r="I1142" s="9" t="s">
        <v>614</v>
      </c>
      <c r="J1142" t="s">
        <v>7133</v>
      </c>
      <c r="K1142" s="9" t="s">
        <v>7134</v>
      </c>
      <c r="L1142" s="9" t="s">
        <v>7135</v>
      </c>
      <c r="M1142" s="9" t="s">
        <v>7136</v>
      </c>
      <c r="N1142" s="9" t="s">
        <v>7137</v>
      </c>
      <c r="O1142" s="9" t="s">
        <v>7138</v>
      </c>
      <c r="P1142" s="10">
        <v>84</v>
      </c>
    </row>
    <row r="1143" spans="1:16" ht="115.2" x14ac:dyDescent="0.3">
      <c r="A1143" t="s">
        <v>6717</v>
      </c>
      <c r="B1143" t="s">
        <v>7131</v>
      </c>
      <c r="C1143" t="s">
        <v>66</v>
      </c>
      <c r="D1143" s="9" t="s">
        <v>7139</v>
      </c>
      <c r="E1143" t="s">
        <v>1786</v>
      </c>
      <c r="F1143" t="s">
        <v>46</v>
      </c>
      <c r="G1143" t="s">
        <v>47</v>
      </c>
      <c r="H1143" s="9" t="s">
        <v>2896</v>
      </c>
      <c r="I1143" s="9" t="s">
        <v>59</v>
      </c>
      <c r="K1143" s="9" t="s">
        <v>7140</v>
      </c>
      <c r="L1143" s="9" t="s">
        <v>7141</v>
      </c>
      <c r="M1143" s="9" t="s">
        <v>7142</v>
      </c>
      <c r="N1143" s="9" t="s">
        <v>7143</v>
      </c>
      <c r="O1143" s="9" t="s">
        <v>7144</v>
      </c>
      <c r="P1143" s="10">
        <v>84</v>
      </c>
    </row>
    <row r="1144" spans="1:16" ht="115.2" x14ac:dyDescent="0.3">
      <c r="A1144" t="s">
        <v>6717</v>
      </c>
      <c r="B1144" t="s">
        <v>7131</v>
      </c>
      <c r="C1144" t="s">
        <v>74</v>
      </c>
      <c r="D1144" s="9" t="s">
        <v>7145</v>
      </c>
      <c r="E1144" t="s">
        <v>927</v>
      </c>
      <c r="F1144" t="s">
        <v>116</v>
      </c>
      <c r="G1144" t="s">
        <v>47</v>
      </c>
      <c r="H1144" s="9" t="s">
        <v>7146</v>
      </c>
      <c r="I1144" s="9" t="s">
        <v>614</v>
      </c>
      <c r="K1144" s="9" t="s">
        <v>7147</v>
      </c>
      <c r="L1144" s="9" t="s">
        <v>7148</v>
      </c>
      <c r="M1144" s="9" t="s">
        <v>7149</v>
      </c>
      <c r="N1144" s="9" t="s">
        <v>7150</v>
      </c>
      <c r="O1144" s="9" t="s">
        <v>7151</v>
      </c>
      <c r="P1144" s="10">
        <v>84</v>
      </c>
    </row>
    <row r="1145" spans="1:16" ht="115.2" x14ac:dyDescent="0.3">
      <c r="A1145" t="s">
        <v>6717</v>
      </c>
      <c r="B1145" t="s">
        <v>7131</v>
      </c>
      <c r="C1145" t="s">
        <v>43</v>
      </c>
      <c r="D1145" s="9" t="s">
        <v>7152</v>
      </c>
      <c r="E1145" t="s">
        <v>590</v>
      </c>
      <c r="F1145" t="s">
        <v>46</v>
      </c>
      <c r="G1145" t="s">
        <v>47</v>
      </c>
      <c r="H1145" s="9" t="s">
        <v>2896</v>
      </c>
      <c r="I1145" s="9" t="s">
        <v>59</v>
      </c>
      <c r="K1145" s="9" t="s">
        <v>7153</v>
      </c>
      <c r="L1145" s="9" t="s">
        <v>7154</v>
      </c>
      <c r="M1145" s="9" t="s">
        <v>7155</v>
      </c>
      <c r="N1145" s="9" t="s">
        <v>7156</v>
      </c>
      <c r="O1145" s="9" t="s">
        <v>7157</v>
      </c>
      <c r="P1145" s="10">
        <v>84</v>
      </c>
    </row>
    <row r="1146" spans="1:16" ht="216" x14ac:dyDescent="0.3">
      <c r="A1146" t="s">
        <v>6717</v>
      </c>
      <c r="B1146" t="s">
        <v>7131</v>
      </c>
      <c r="C1146" t="s">
        <v>82</v>
      </c>
      <c r="D1146" s="9" t="s">
        <v>7158</v>
      </c>
      <c r="E1146" t="s">
        <v>1329</v>
      </c>
      <c r="F1146" t="s">
        <v>116</v>
      </c>
      <c r="G1146" t="s">
        <v>47</v>
      </c>
      <c r="H1146" s="9" t="s">
        <v>7159</v>
      </c>
      <c r="I1146" s="9" t="s">
        <v>106</v>
      </c>
      <c r="J1146" t="s">
        <v>7160</v>
      </c>
      <c r="K1146" s="9" t="s">
        <v>7161</v>
      </c>
      <c r="L1146" s="9" t="s">
        <v>7162</v>
      </c>
      <c r="M1146" s="9" t="s">
        <v>7163</v>
      </c>
      <c r="N1146" s="9" t="s">
        <v>7164</v>
      </c>
      <c r="O1146" s="9" t="s">
        <v>7165</v>
      </c>
      <c r="P1146" s="10">
        <v>84</v>
      </c>
    </row>
    <row r="1147" spans="1:16" ht="172.8" x14ac:dyDescent="0.3">
      <c r="A1147" t="s">
        <v>6717</v>
      </c>
      <c r="B1147" t="s">
        <v>7131</v>
      </c>
      <c r="C1147" t="s">
        <v>55</v>
      </c>
      <c r="D1147" s="9" t="s">
        <v>7166</v>
      </c>
      <c r="E1147" t="s">
        <v>1337</v>
      </c>
      <c r="F1147" t="s">
        <v>46</v>
      </c>
      <c r="G1147" t="s">
        <v>47</v>
      </c>
      <c r="H1147" s="9" t="s">
        <v>1614</v>
      </c>
      <c r="I1147" s="9" t="s">
        <v>106</v>
      </c>
      <c r="K1147" s="9" t="s">
        <v>7167</v>
      </c>
      <c r="L1147" s="9" t="s">
        <v>7168</v>
      </c>
      <c r="M1147" s="9" t="s">
        <v>7169</v>
      </c>
      <c r="N1147" s="9" t="s">
        <v>7170</v>
      </c>
      <c r="O1147" s="9" t="s">
        <v>7171</v>
      </c>
      <c r="P1147" s="10">
        <v>84</v>
      </c>
    </row>
    <row r="1148" spans="1:16" ht="158.4" x14ac:dyDescent="0.3">
      <c r="A1148" t="s">
        <v>6717</v>
      </c>
      <c r="B1148" t="s">
        <v>7131</v>
      </c>
      <c r="C1148" t="s">
        <v>424</v>
      </c>
      <c r="D1148" s="9" t="s">
        <v>7172</v>
      </c>
      <c r="E1148" t="s">
        <v>1345</v>
      </c>
      <c r="F1148" t="s">
        <v>143</v>
      </c>
      <c r="G1148" t="s">
        <v>47</v>
      </c>
      <c r="H1148" s="9" t="s">
        <v>7173</v>
      </c>
      <c r="I1148" s="9" t="s">
        <v>3716</v>
      </c>
      <c r="K1148" s="9" t="s">
        <v>7174</v>
      </c>
      <c r="L1148" s="9" t="s">
        <v>7175</v>
      </c>
      <c r="M1148" s="9" t="s">
        <v>7176</v>
      </c>
      <c r="N1148" s="9" t="s">
        <v>7177</v>
      </c>
      <c r="O1148" s="9" t="s">
        <v>7178</v>
      </c>
      <c r="P1148" s="10">
        <v>84</v>
      </c>
    </row>
    <row r="1149" spans="1:16" ht="86.4" x14ac:dyDescent="0.3">
      <c r="A1149" t="s">
        <v>6717</v>
      </c>
      <c r="B1149" t="s">
        <v>7131</v>
      </c>
      <c r="C1149" t="s">
        <v>433</v>
      </c>
      <c r="D1149" s="9" t="s">
        <v>7179</v>
      </c>
      <c r="E1149" t="s">
        <v>597</v>
      </c>
      <c r="F1149" t="s">
        <v>46</v>
      </c>
      <c r="G1149" t="s">
        <v>47</v>
      </c>
      <c r="H1149" s="9" t="s">
        <v>7180</v>
      </c>
      <c r="I1149" s="9" t="s">
        <v>59</v>
      </c>
      <c r="K1149" s="9" t="s">
        <v>7181</v>
      </c>
      <c r="L1149" s="9" t="s">
        <v>7182</v>
      </c>
      <c r="M1149" s="9" t="s">
        <v>7183</v>
      </c>
      <c r="N1149" s="9" t="s">
        <v>7184</v>
      </c>
      <c r="O1149" s="9" t="s">
        <v>7185</v>
      </c>
      <c r="P1149" s="10">
        <v>84</v>
      </c>
    </row>
    <row r="1150" spans="1:16" ht="129.6" x14ac:dyDescent="0.3">
      <c r="A1150" t="s">
        <v>6717</v>
      </c>
      <c r="B1150" t="s">
        <v>7131</v>
      </c>
      <c r="C1150" t="s">
        <v>441</v>
      </c>
      <c r="D1150" s="9" t="s">
        <v>7186</v>
      </c>
      <c r="E1150" t="s">
        <v>6902</v>
      </c>
      <c r="F1150" t="s">
        <v>143</v>
      </c>
      <c r="G1150" t="s">
        <v>47</v>
      </c>
      <c r="H1150" s="9" t="s">
        <v>877</v>
      </c>
      <c r="I1150" s="9" t="s">
        <v>614</v>
      </c>
      <c r="J1150" t="s">
        <v>7160</v>
      </c>
      <c r="K1150" s="9" t="s">
        <v>7187</v>
      </c>
      <c r="L1150" s="9" t="s">
        <v>7188</v>
      </c>
      <c r="M1150" s="9" t="s">
        <v>7189</v>
      </c>
      <c r="N1150" s="9" t="s">
        <v>7190</v>
      </c>
      <c r="O1150" s="9" t="s">
        <v>7191</v>
      </c>
      <c r="P1150" s="10">
        <v>84</v>
      </c>
    </row>
    <row r="1151" spans="1:16" ht="144" x14ac:dyDescent="0.3">
      <c r="A1151" t="s">
        <v>6717</v>
      </c>
      <c r="B1151" t="s">
        <v>7131</v>
      </c>
      <c r="C1151" t="s">
        <v>449</v>
      </c>
      <c r="D1151" s="9" t="s">
        <v>7192</v>
      </c>
      <c r="E1151" t="s">
        <v>7193</v>
      </c>
      <c r="F1151" t="s">
        <v>116</v>
      </c>
      <c r="G1151" t="s">
        <v>47</v>
      </c>
      <c r="H1151" s="9" t="s">
        <v>7194</v>
      </c>
      <c r="I1151" s="9" t="s">
        <v>106</v>
      </c>
      <c r="K1151" s="9" t="s">
        <v>7195</v>
      </c>
      <c r="L1151" s="9" t="s">
        <v>7196</v>
      </c>
      <c r="M1151" s="9" t="s">
        <v>7197</v>
      </c>
      <c r="N1151" s="9" t="s">
        <v>7198</v>
      </c>
      <c r="O1151" s="9" t="s">
        <v>7199</v>
      </c>
      <c r="P1151" s="10">
        <v>84</v>
      </c>
    </row>
    <row r="1152" spans="1:16" ht="374.4" x14ac:dyDescent="0.3">
      <c r="A1152" t="s">
        <v>6717</v>
      </c>
      <c r="B1152" t="s">
        <v>7131</v>
      </c>
      <c r="C1152" t="s">
        <v>7200</v>
      </c>
      <c r="D1152" s="9" t="s">
        <v>7201</v>
      </c>
      <c r="E1152" t="s">
        <v>7202</v>
      </c>
      <c r="F1152" t="s">
        <v>46</v>
      </c>
      <c r="G1152" t="s">
        <v>47</v>
      </c>
      <c r="H1152" s="9" t="s">
        <v>2889</v>
      </c>
      <c r="I1152" s="9" t="s">
        <v>614</v>
      </c>
      <c r="J1152" t="s">
        <v>7203</v>
      </c>
      <c r="K1152" s="9" t="s">
        <v>7204</v>
      </c>
      <c r="L1152" s="9" t="s">
        <v>7205</v>
      </c>
      <c r="M1152" s="9" t="s">
        <v>7206</v>
      </c>
      <c r="N1152" s="9" t="s">
        <v>7207</v>
      </c>
      <c r="O1152" s="9" t="s">
        <v>7208</v>
      </c>
      <c r="P1152" s="10">
        <v>84</v>
      </c>
    </row>
    <row r="1153" spans="1:16" ht="409.6" x14ac:dyDescent="0.3">
      <c r="A1153" t="s">
        <v>6717</v>
      </c>
      <c r="B1153" t="s">
        <v>7209</v>
      </c>
      <c r="C1153" t="s">
        <v>215</v>
      </c>
      <c r="D1153" s="9" t="s">
        <v>7210</v>
      </c>
      <c r="E1153" t="s">
        <v>7211</v>
      </c>
      <c r="F1153" t="s">
        <v>143</v>
      </c>
      <c r="G1153" t="s">
        <v>47</v>
      </c>
      <c r="H1153" s="9" t="s">
        <v>1022</v>
      </c>
      <c r="I1153" s="9" t="s">
        <v>59</v>
      </c>
      <c r="J1153" t="s">
        <v>7212</v>
      </c>
      <c r="K1153" s="9" t="s">
        <v>7213</v>
      </c>
      <c r="L1153" s="9" t="s">
        <v>7214</v>
      </c>
      <c r="M1153" s="9" t="s">
        <v>7215</v>
      </c>
      <c r="N1153" s="9" t="s">
        <v>7216</v>
      </c>
      <c r="O1153" s="9"/>
      <c r="P1153" s="10">
        <v>83</v>
      </c>
    </row>
    <row r="1154" spans="1:16" ht="172.8" x14ac:dyDescent="0.3">
      <c r="A1154" t="s">
        <v>6717</v>
      </c>
      <c r="B1154" t="s">
        <v>7209</v>
      </c>
      <c r="C1154" t="s">
        <v>7217</v>
      </c>
      <c r="D1154" s="9" t="s">
        <v>7218</v>
      </c>
      <c r="E1154" t="s">
        <v>6107</v>
      </c>
      <c r="F1154" t="s">
        <v>143</v>
      </c>
      <c r="G1154" t="s">
        <v>47</v>
      </c>
      <c r="H1154" s="9" t="s">
        <v>1614</v>
      </c>
      <c r="I1154" s="9" t="s">
        <v>59</v>
      </c>
      <c r="J1154" t="s">
        <v>2594</v>
      </c>
      <c r="K1154" s="9" t="s">
        <v>7219</v>
      </c>
      <c r="L1154" s="9" t="s">
        <v>7220</v>
      </c>
      <c r="M1154" s="9" t="s">
        <v>7221</v>
      </c>
      <c r="N1154" s="9" t="s">
        <v>7222</v>
      </c>
      <c r="O1154" s="9" t="s">
        <v>7223</v>
      </c>
      <c r="P1154" s="10">
        <v>83</v>
      </c>
    </row>
    <row r="1155" spans="1:16" ht="129.6" x14ac:dyDescent="0.3">
      <c r="A1155" t="s">
        <v>6717</v>
      </c>
      <c r="B1155" t="s">
        <v>7209</v>
      </c>
      <c r="C1155" t="s">
        <v>7224</v>
      </c>
      <c r="D1155" s="9" t="s">
        <v>7225</v>
      </c>
      <c r="E1155" t="s">
        <v>6876</v>
      </c>
      <c r="F1155" t="s">
        <v>143</v>
      </c>
      <c r="G1155" t="s">
        <v>47</v>
      </c>
      <c r="H1155" s="9" t="s">
        <v>3724</v>
      </c>
      <c r="I1155" s="9" t="s">
        <v>59</v>
      </c>
      <c r="J1155" t="s">
        <v>2594</v>
      </c>
      <c r="K1155" s="9" t="s">
        <v>7226</v>
      </c>
      <c r="L1155" s="9" t="s">
        <v>7227</v>
      </c>
      <c r="M1155" s="9" t="s">
        <v>7228</v>
      </c>
      <c r="N1155" s="9" t="s">
        <v>7229</v>
      </c>
      <c r="O1155" s="9" t="s">
        <v>7230</v>
      </c>
      <c r="P1155" s="10">
        <v>83</v>
      </c>
    </row>
    <row r="1156" spans="1:16" ht="86.4" x14ac:dyDescent="0.3">
      <c r="A1156" t="s">
        <v>7231</v>
      </c>
      <c r="B1156" t="s">
        <v>7232</v>
      </c>
      <c r="C1156" t="s">
        <v>555</v>
      </c>
      <c r="D1156" s="9" t="s">
        <v>7233</v>
      </c>
      <c r="E1156" t="s">
        <v>557</v>
      </c>
      <c r="F1156" t="s">
        <v>69</v>
      </c>
      <c r="G1156" t="s">
        <v>47</v>
      </c>
      <c r="H1156" s="9"/>
      <c r="I1156" s="9"/>
      <c r="K1156" s="9" t="s">
        <v>7234</v>
      </c>
      <c r="L1156" s="9"/>
      <c r="M1156" s="9" t="s">
        <v>7235</v>
      </c>
      <c r="N1156" s="9" t="s">
        <v>7236</v>
      </c>
      <c r="O1156" s="9" t="s">
        <v>7237</v>
      </c>
      <c r="P1156" s="10">
        <v>85</v>
      </c>
    </row>
    <row r="1157" spans="1:16" ht="216" x14ac:dyDescent="0.3">
      <c r="A1157" t="s">
        <v>7231</v>
      </c>
      <c r="B1157" t="s">
        <v>7232</v>
      </c>
      <c r="C1157" t="s">
        <v>564</v>
      </c>
      <c r="D1157" s="9" t="s">
        <v>7238</v>
      </c>
      <c r="E1157" t="s">
        <v>566</v>
      </c>
      <c r="F1157" t="s">
        <v>69</v>
      </c>
      <c r="G1157" t="s">
        <v>47</v>
      </c>
      <c r="H1157" s="9"/>
      <c r="I1157" s="9"/>
      <c r="K1157" s="9" t="s">
        <v>7239</v>
      </c>
      <c r="L1157" s="9"/>
      <c r="M1157" s="9" t="s">
        <v>7240</v>
      </c>
      <c r="N1157" s="9" t="s">
        <v>7241</v>
      </c>
      <c r="O1157" s="9" t="s">
        <v>7242</v>
      </c>
      <c r="P1157" s="10">
        <v>85</v>
      </c>
    </row>
    <row r="1158" spans="1:16" ht="86.4" x14ac:dyDescent="0.3">
      <c r="A1158" t="s">
        <v>7231</v>
      </c>
      <c r="B1158" t="s">
        <v>7232</v>
      </c>
      <c r="C1158" t="s">
        <v>1031</v>
      </c>
      <c r="D1158" s="9" t="s">
        <v>7243</v>
      </c>
      <c r="E1158" t="s">
        <v>74</v>
      </c>
      <c r="F1158" t="s">
        <v>69</v>
      </c>
      <c r="G1158" t="s">
        <v>47</v>
      </c>
      <c r="H1158" s="9"/>
      <c r="I1158" s="9"/>
      <c r="K1158" s="9" t="s">
        <v>7244</v>
      </c>
      <c r="L1158" s="9"/>
      <c r="M1158" s="9" t="s">
        <v>7245</v>
      </c>
      <c r="N1158" s="9" t="s">
        <v>7246</v>
      </c>
      <c r="O1158" s="9" t="s">
        <v>7247</v>
      </c>
      <c r="P1158" s="10">
        <v>85</v>
      </c>
    </row>
    <row r="1159" spans="1:16" ht="129.6" x14ac:dyDescent="0.3">
      <c r="A1159" t="s">
        <v>7231</v>
      </c>
      <c r="B1159" t="s">
        <v>7248</v>
      </c>
      <c r="C1159" t="s">
        <v>369</v>
      </c>
      <c r="D1159" s="9" t="s">
        <v>7249</v>
      </c>
      <c r="E1159" t="s">
        <v>74</v>
      </c>
      <c r="F1159" t="s">
        <v>143</v>
      </c>
      <c r="G1159" t="s">
        <v>47</v>
      </c>
      <c r="H1159" s="9" t="s">
        <v>7250</v>
      </c>
      <c r="I1159" s="9" t="s">
        <v>307</v>
      </c>
      <c r="J1159" t="s">
        <v>7251</v>
      </c>
      <c r="K1159" s="9" t="s">
        <v>7252</v>
      </c>
      <c r="L1159" s="9" t="s">
        <v>7253</v>
      </c>
      <c r="M1159" s="9" t="s">
        <v>7254</v>
      </c>
      <c r="N1159" s="9" t="s">
        <v>7255</v>
      </c>
      <c r="O1159" s="9" t="s">
        <v>7256</v>
      </c>
      <c r="P1159" s="10">
        <v>88</v>
      </c>
    </row>
    <row r="1160" spans="1:16" ht="115.2" x14ac:dyDescent="0.3">
      <c r="A1160" t="s">
        <v>7231</v>
      </c>
      <c r="B1160" t="s">
        <v>7248</v>
      </c>
      <c r="C1160" t="s">
        <v>66</v>
      </c>
      <c r="D1160" s="9" t="s">
        <v>7257</v>
      </c>
      <c r="E1160" t="s">
        <v>583</v>
      </c>
      <c r="F1160" t="s">
        <v>143</v>
      </c>
      <c r="G1160" t="s">
        <v>47</v>
      </c>
      <c r="H1160" s="9" t="s">
        <v>7250</v>
      </c>
      <c r="I1160" s="9" t="s">
        <v>307</v>
      </c>
      <c r="J1160" t="s">
        <v>7251</v>
      </c>
      <c r="K1160" s="9" t="s">
        <v>7258</v>
      </c>
      <c r="L1160" s="9" t="s">
        <v>7259</v>
      </c>
      <c r="M1160" s="9" t="s">
        <v>7260</v>
      </c>
      <c r="N1160" s="9" t="s">
        <v>7261</v>
      </c>
      <c r="O1160" s="9" t="s">
        <v>7262</v>
      </c>
      <c r="P1160" s="10">
        <v>88</v>
      </c>
    </row>
    <row r="1161" spans="1:16" ht="86.4" x14ac:dyDescent="0.3">
      <c r="A1161" t="s">
        <v>7231</v>
      </c>
      <c r="B1161" t="s">
        <v>7248</v>
      </c>
      <c r="C1161" t="s">
        <v>74</v>
      </c>
      <c r="D1161" s="9" t="s">
        <v>7263</v>
      </c>
      <c r="E1161" t="s">
        <v>43</v>
      </c>
      <c r="F1161" t="s">
        <v>143</v>
      </c>
      <c r="G1161" t="s">
        <v>47</v>
      </c>
      <c r="H1161" s="9" t="s">
        <v>452</v>
      </c>
      <c r="I1161" s="9" t="s">
        <v>307</v>
      </c>
      <c r="J1161" t="s">
        <v>7251</v>
      </c>
      <c r="K1161" s="9" t="s">
        <v>7264</v>
      </c>
      <c r="L1161" s="9" t="s">
        <v>7265</v>
      </c>
      <c r="M1161" s="9" t="s">
        <v>7266</v>
      </c>
      <c r="N1161" s="9" t="s">
        <v>7267</v>
      </c>
      <c r="O1161" s="9" t="s">
        <v>7268</v>
      </c>
      <c r="P1161" s="10">
        <v>88</v>
      </c>
    </row>
    <row r="1162" spans="1:16" ht="86.4" x14ac:dyDescent="0.3">
      <c r="A1162" t="s">
        <v>7231</v>
      </c>
      <c r="B1162" t="s">
        <v>7248</v>
      </c>
      <c r="C1162" t="s">
        <v>43</v>
      </c>
      <c r="D1162" s="9" t="s">
        <v>7269</v>
      </c>
      <c r="E1162" t="s">
        <v>43</v>
      </c>
      <c r="F1162" t="s">
        <v>143</v>
      </c>
      <c r="G1162" t="s">
        <v>47</v>
      </c>
      <c r="H1162" s="9" t="s">
        <v>452</v>
      </c>
      <c r="I1162" s="9" t="s">
        <v>307</v>
      </c>
      <c r="J1162" t="s">
        <v>7251</v>
      </c>
      <c r="K1162" s="9" t="s">
        <v>7270</v>
      </c>
      <c r="L1162" s="9" t="s">
        <v>7271</v>
      </c>
      <c r="M1162" s="9" t="s">
        <v>7272</v>
      </c>
      <c r="N1162" s="9" t="s">
        <v>7273</v>
      </c>
      <c r="O1162" s="9" t="s">
        <v>7274</v>
      </c>
      <c r="P1162" s="10">
        <v>88</v>
      </c>
    </row>
    <row r="1163" spans="1:16" ht="115.2" x14ac:dyDescent="0.3">
      <c r="A1163" t="s">
        <v>7231</v>
      </c>
      <c r="B1163" t="s">
        <v>7248</v>
      </c>
      <c r="C1163" t="s">
        <v>68</v>
      </c>
      <c r="D1163" s="9" t="s">
        <v>7275</v>
      </c>
      <c r="E1163" t="s">
        <v>7276</v>
      </c>
      <c r="F1163" t="s">
        <v>143</v>
      </c>
      <c r="G1163" t="s">
        <v>47</v>
      </c>
      <c r="H1163" s="9" t="s">
        <v>3046</v>
      </c>
      <c r="I1163" s="9" t="s">
        <v>307</v>
      </c>
      <c r="J1163" t="s">
        <v>7251</v>
      </c>
      <c r="K1163" s="9" t="s">
        <v>7277</v>
      </c>
      <c r="L1163" s="9" t="s">
        <v>7278</v>
      </c>
      <c r="M1163" s="9" t="s">
        <v>7279</v>
      </c>
      <c r="N1163" s="9" t="s">
        <v>7280</v>
      </c>
      <c r="O1163" s="9" t="s">
        <v>7281</v>
      </c>
      <c r="P1163" s="10">
        <v>88</v>
      </c>
    </row>
    <row r="1164" spans="1:16" ht="86.4" x14ac:dyDescent="0.3">
      <c r="A1164" t="s">
        <v>7231</v>
      </c>
      <c r="B1164" t="s">
        <v>7282</v>
      </c>
      <c r="C1164" t="s">
        <v>433</v>
      </c>
      <c r="D1164" s="9" t="s">
        <v>7283</v>
      </c>
      <c r="E1164" t="s">
        <v>3739</v>
      </c>
      <c r="F1164" t="s">
        <v>116</v>
      </c>
      <c r="G1164" t="s">
        <v>47</v>
      </c>
      <c r="H1164" s="9" t="s">
        <v>395</v>
      </c>
      <c r="I1164" s="9" t="s">
        <v>307</v>
      </c>
      <c r="K1164" s="9" t="s">
        <v>7284</v>
      </c>
      <c r="L1164" s="9" t="s">
        <v>7285</v>
      </c>
      <c r="M1164" s="9" t="s">
        <v>7286</v>
      </c>
      <c r="N1164" s="9"/>
      <c r="O1164" s="9" t="s">
        <v>7287</v>
      </c>
      <c r="P1164" s="10">
        <v>89</v>
      </c>
    </row>
    <row r="1165" spans="1:16" ht="115.2" x14ac:dyDescent="0.3">
      <c r="A1165" t="s">
        <v>7231</v>
      </c>
      <c r="B1165" t="s">
        <v>7282</v>
      </c>
      <c r="C1165" t="s">
        <v>466</v>
      </c>
      <c r="D1165" s="9" t="s">
        <v>7288</v>
      </c>
      <c r="E1165" t="s">
        <v>7289</v>
      </c>
      <c r="F1165" t="s">
        <v>143</v>
      </c>
      <c r="G1165" t="s">
        <v>47</v>
      </c>
      <c r="H1165" s="9" t="s">
        <v>1842</v>
      </c>
      <c r="I1165" s="9" t="s">
        <v>106</v>
      </c>
      <c r="J1165" t="s">
        <v>107</v>
      </c>
      <c r="K1165" s="9" t="s">
        <v>7290</v>
      </c>
      <c r="L1165" s="9" t="s">
        <v>7291</v>
      </c>
      <c r="M1165" s="9" t="s">
        <v>7292</v>
      </c>
      <c r="N1165" s="9" t="s">
        <v>7293</v>
      </c>
      <c r="O1165" s="9" t="s">
        <v>7294</v>
      </c>
      <c r="P1165" s="10">
        <v>89</v>
      </c>
    </row>
    <row r="1166" spans="1:16" ht="302.39999999999998" x14ac:dyDescent="0.3">
      <c r="A1166" t="s">
        <v>7231</v>
      </c>
      <c r="B1166" t="s">
        <v>7282</v>
      </c>
      <c r="C1166" t="s">
        <v>476</v>
      </c>
      <c r="D1166" s="9" t="s">
        <v>7295</v>
      </c>
      <c r="E1166" t="s">
        <v>5675</v>
      </c>
      <c r="F1166" t="s">
        <v>143</v>
      </c>
      <c r="G1166" t="s">
        <v>47</v>
      </c>
      <c r="H1166" s="9"/>
      <c r="I1166" s="9" t="s">
        <v>106</v>
      </c>
      <c r="J1166" t="s">
        <v>107</v>
      </c>
      <c r="K1166" s="9" t="s">
        <v>7296</v>
      </c>
      <c r="L1166" s="9" t="s">
        <v>7297</v>
      </c>
      <c r="M1166" s="9" t="s">
        <v>7298</v>
      </c>
      <c r="N1166" s="9" t="s">
        <v>7299</v>
      </c>
      <c r="O1166" s="9"/>
      <c r="P1166" s="10">
        <v>89</v>
      </c>
    </row>
    <row r="1167" spans="1:16" ht="144" x14ac:dyDescent="0.3">
      <c r="A1167" t="s">
        <v>7231</v>
      </c>
      <c r="B1167" t="s">
        <v>7282</v>
      </c>
      <c r="C1167" t="s">
        <v>7300</v>
      </c>
      <c r="D1167" s="9" t="s">
        <v>7301</v>
      </c>
      <c r="E1167" t="s">
        <v>7302</v>
      </c>
      <c r="F1167" t="s">
        <v>143</v>
      </c>
      <c r="G1167" t="s">
        <v>47</v>
      </c>
      <c r="H1167" s="9"/>
      <c r="I1167" s="9" t="s">
        <v>59</v>
      </c>
      <c r="J1167" t="s">
        <v>107</v>
      </c>
      <c r="K1167" s="9" t="s">
        <v>7303</v>
      </c>
      <c r="L1167" s="9" t="s">
        <v>7304</v>
      </c>
      <c r="M1167" s="9" t="s">
        <v>7305</v>
      </c>
      <c r="N1167" s="9" t="s">
        <v>7306</v>
      </c>
      <c r="O1167" s="9" t="s">
        <v>7307</v>
      </c>
      <c r="P1167" s="10">
        <v>89</v>
      </c>
    </row>
    <row r="1168" spans="1:16" ht="129.6" x14ac:dyDescent="0.3">
      <c r="A1168" t="s">
        <v>7231</v>
      </c>
      <c r="B1168" t="s">
        <v>7282</v>
      </c>
      <c r="C1168" t="s">
        <v>485</v>
      </c>
      <c r="D1168" s="9" t="s">
        <v>7308</v>
      </c>
      <c r="E1168" t="s">
        <v>3673</v>
      </c>
      <c r="F1168" t="s">
        <v>69</v>
      </c>
      <c r="G1168" t="s">
        <v>47</v>
      </c>
      <c r="H1168" s="9"/>
      <c r="I1168" s="9" t="s">
        <v>271</v>
      </c>
      <c r="K1168" s="9" t="s">
        <v>7309</v>
      </c>
      <c r="L1168" s="9"/>
      <c r="M1168" s="9" t="s">
        <v>7310</v>
      </c>
      <c r="N1168" s="9"/>
      <c r="O1168" s="9" t="s">
        <v>7311</v>
      </c>
      <c r="P1168" s="10">
        <v>89</v>
      </c>
    </row>
    <row r="1169" spans="1:16" ht="409.6" x14ac:dyDescent="0.3">
      <c r="A1169" t="s">
        <v>7231</v>
      </c>
      <c r="B1169" t="s">
        <v>7282</v>
      </c>
      <c r="C1169" t="s">
        <v>7312</v>
      </c>
      <c r="D1169" s="9" t="s">
        <v>7313</v>
      </c>
      <c r="E1169" t="s">
        <v>3301</v>
      </c>
      <c r="F1169" t="s">
        <v>116</v>
      </c>
      <c r="G1169" t="s">
        <v>1599</v>
      </c>
      <c r="H1169" s="9"/>
      <c r="I1169" s="9" t="s">
        <v>7314</v>
      </c>
      <c r="J1169" t="s">
        <v>107</v>
      </c>
      <c r="K1169" s="9" t="s">
        <v>7315</v>
      </c>
      <c r="L1169" s="9" t="s">
        <v>7316</v>
      </c>
      <c r="M1169" s="9" t="s">
        <v>7317</v>
      </c>
      <c r="N1169" s="9" t="s">
        <v>7318</v>
      </c>
      <c r="O1169" s="9" t="s">
        <v>7319</v>
      </c>
      <c r="P1169" s="10">
        <v>89</v>
      </c>
    </row>
    <row r="1170" spans="1:16" ht="158.4" x14ac:dyDescent="0.3">
      <c r="A1170" t="s">
        <v>7231</v>
      </c>
      <c r="B1170" t="s">
        <v>7282</v>
      </c>
      <c r="C1170" t="s">
        <v>7320</v>
      </c>
      <c r="D1170" s="9" t="s">
        <v>7321</v>
      </c>
      <c r="E1170" t="s">
        <v>3731</v>
      </c>
      <c r="F1170" t="s">
        <v>143</v>
      </c>
      <c r="G1170" t="s">
        <v>47</v>
      </c>
      <c r="H1170" s="9" t="s">
        <v>7322</v>
      </c>
      <c r="I1170" s="9" t="s">
        <v>307</v>
      </c>
      <c r="J1170" t="s">
        <v>7323</v>
      </c>
      <c r="K1170" s="9" t="s">
        <v>7324</v>
      </c>
      <c r="L1170" s="9" t="s">
        <v>7325</v>
      </c>
      <c r="M1170" s="9" t="s">
        <v>7326</v>
      </c>
      <c r="N1170" s="9" t="s">
        <v>7327</v>
      </c>
      <c r="O1170" s="9" t="s">
        <v>7328</v>
      </c>
      <c r="P1170" s="10">
        <v>89</v>
      </c>
    </row>
    <row r="1171" spans="1:16" ht="259.2" x14ac:dyDescent="0.3">
      <c r="A1171" t="s">
        <v>7231</v>
      </c>
      <c r="B1171" t="s">
        <v>7282</v>
      </c>
      <c r="C1171" t="s">
        <v>7329</v>
      </c>
      <c r="D1171" s="9" t="s">
        <v>7330</v>
      </c>
      <c r="E1171" t="s">
        <v>925</v>
      </c>
      <c r="F1171" t="s">
        <v>143</v>
      </c>
      <c r="G1171" t="s">
        <v>47</v>
      </c>
      <c r="H1171" s="9" t="s">
        <v>892</v>
      </c>
      <c r="I1171" s="9" t="s">
        <v>5484</v>
      </c>
      <c r="K1171" s="9" t="s">
        <v>7331</v>
      </c>
      <c r="L1171" s="9" t="s">
        <v>7332</v>
      </c>
      <c r="M1171" s="9" t="s">
        <v>7333</v>
      </c>
      <c r="N1171" s="9" t="s">
        <v>7334</v>
      </c>
      <c r="O1171" s="9" t="s">
        <v>7335</v>
      </c>
      <c r="P1171" s="10">
        <v>89</v>
      </c>
    </row>
    <row r="1172" spans="1:16" ht="216" x14ac:dyDescent="0.3">
      <c r="A1172" t="s">
        <v>7231</v>
      </c>
      <c r="B1172" t="s">
        <v>7336</v>
      </c>
      <c r="C1172" t="s">
        <v>369</v>
      </c>
      <c r="D1172" s="9" t="s">
        <v>7337</v>
      </c>
      <c r="E1172" t="s">
        <v>583</v>
      </c>
      <c r="F1172" t="s">
        <v>143</v>
      </c>
      <c r="G1172" t="s">
        <v>47</v>
      </c>
      <c r="H1172" s="9" t="s">
        <v>711</v>
      </c>
      <c r="I1172" s="9" t="s">
        <v>59</v>
      </c>
      <c r="J1172" t="s">
        <v>7338</v>
      </c>
      <c r="K1172" s="9" t="s">
        <v>7339</v>
      </c>
      <c r="L1172" s="9" t="s">
        <v>7340</v>
      </c>
      <c r="M1172" s="9" t="s">
        <v>7341</v>
      </c>
      <c r="N1172" s="9" t="s">
        <v>7342</v>
      </c>
      <c r="O1172" s="9" t="s">
        <v>7343</v>
      </c>
      <c r="P1172" s="10">
        <v>90</v>
      </c>
    </row>
    <row r="1173" spans="1:16" ht="144" x14ac:dyDescent="0.3">
      <c r="A1173" t="s">
        <v>7231</v>
      </c>
      <c r="B1173" t="s">
        <v>7336</v>
      </c>
      <c r="C1173" t="s">
        <v>74</v>
      </c>
      <c r="D1173" s="9" t="s">
        <v>7344</v>
      </c>
      <c r="E1173" t="s">
        <v>7345</v>
      </c>
      <c r="F1173" t="s">
        <v>143</v>
      </c>
      <c r="G1173" t="s">
        <v>47</v>
      </c>
      <c r="H1173" s="9" t="s">
        <v>711</v>
      </c>
      <c r="I1173" s="9" t="s">
        <v>59</v>
      </c>
      <c r="J1173" t="s">
        <v>7338</v>
      </c>
      <c r="K1173" s="9" t="s">
        <v>7346</v>
      </c>
      <c r="L1173" s="9" t="s">
        <v>7347</v>
      </c>
      <c r="M1173" s="9" t="s">
        <v>7348</v>
      </c>
      <c r="N1173" s="9" t="s">
        <v>7349</v>
      </c>
      <c r="O1173" s="9" t="s">
        <v>7350</v>
      </c>
      <c r="P1173" s="10">
        <v>90</v>
      </c>
    </row>
    <row r="1174" spans="1:16" ht="172.8" x14ac:dyDescent="0.3">
      <c r="A1174" t="s">
        <v>7231</v>
      </c>
      <c r="B1174" t="s">
        <v>7336</v>
      </c>
      <c r="C1174" t="s">
        <v>4386</v>
      </c>
      <c r="D1174" s="9" t="s">
        <v>7351</v>
      </c>
      <c r="E1174" t="s">
        <v>6924</v>
      </c>
      <c r="F1174" t="s">
        <v>143</v>
      </c>
      <c r="G1174" t="s">
        <v>47</v>
      </c>
      <c r="H1174" s="9"/>
      <c r="I1174" s="9" t="s">
        <v>59</v>
      </c>
      <c r="J1174" t="s">
        <v>7338</v>
      </c>
      <c r="K1174" s="9" t="s">
        <v>7352</v>
      </c>
      <c r="L1174" s="9" t="s">
        <v>7353</v>
      </c>
      <c r="M1174" s="9" t="s">
        <v>7354</v>
      </c>
      <c r="N1174" s="9" t="s">
        <v>7355</v>
      </c>
      <c r="O1174" s="9" t="s">
        <v>7356</v>
      </c>
      <c r="P1174" s="10">
        <v>90</v>
      </c>
    </row>
    <row r="1175" spans="1:16" ht="144" x14ac:dyDescent="0.3">
      <c r="A1175" t="s">
        <v>7231</v>
      </c>
      <c r="B1175" t="s">
        <v>7336</v>
      </c>
      <c r="C1175" t="s">
        <v>6766</v>
      </c>
      <c r="D1175" s="9" t="s">
        <v>7357</v>
      </c>
      <c r="E1175" t="s">
        <v>7358</v>
      </c>
      <c r="F1175" t="s">
        <v>143</v>
      </c>
      <c r="G1175" t="s">
        <v>47</v>
      </c>
      <c r="H1175" s="9"/>
      <c r="I1175" s="9" t="s">
        <v>59</v>
      </c>
      <c r="J1175" t="s">
        <v>7338</v>
      </c>
      <c r="K1175" s="9" t="s">
        <v>7359</v>
      </c>
      <c r="L1175" s="9" t="s">
        <v>7360</v>
      </c>
      <c r="M1175" s="9" t="s">
        <v>7361</v>
      </c>
      <c r="N1175" s="9" t="s">
        <v>7362</v>
      </c>
      <c r="O1175" s="9" t="s">
        <v>7363</v>
      </c>
      <c r="P1175" s="10">
        <v>90</v>
      </c>
    </row>
    <row r="1176" spans="1:16" ht="409.6" x14ac:dyDescent="0.3">
      <c r="A1176" t="s">
        <v>7231</v>
      </c>
      <c r="B1176" t="s">
        <v>7336</v>
      </c>
      <c r="C1176" t="s">
        <v>7364</v>
      </c>
      <c r="D1176" s="9" t="s">
        <v>7365</v>
      </c>
      <c r="E1176" t="s">
        <v>3600</v>
      </c>
      <c r="F1176" t="s">
        <v>143</v>
      </c>
      <c r="G1176" t="s">
        <v>47</v>
      </c>
      <c r="H1176" s="9"/>
      <c r="I1176" s="9" t="s">
        <v>59</v>
      </c>
      <c r="J1176" t="s">
        <v>7338</v>
      </c>
      <c r="K1176" s="9" t="s">
        <v>7366</v>
      </c>
      <c r="L1176" s="9" t="s">
        <v>7367</v>
      </c>
      <c r="M1176" s="9" t="s">
        <v>7368</v>
      </c>
      <c r="N1176" s="9" t="s">
        <v>7369</v>
      </c>
      <c r="O1176" s="9" t="s">
        <v>7370</v>
      </c>
      <c r="P1176" s="10">
        <v>90</v>
      </c>
    </row>
    <row r="1177" spans="1:16" ht="129.6" x14ac:dyDescent="0.3">
      <c r="A1177" t="s">
        <v>7231</v>
      </c>
      <c r="B1177" t="s">
        <v>7371</v>
      </c>
      <c r="C1177" t="s">
        <v>7372</v>
      </c>
      <c r="D1177" s="9" t="s">
        <v>7373</v>
      </c>
      <c r="E1177" t="s">
        <v>1813</v>
      </c>
      <c r="F1177" t="s">
        <v>143</v>
      </c>
      <c r="G1177" t="s">
        <v>47</v>
      </c>
      <c r="H1177" s="9" t="s">
        <v>1614</v>
      </c>
      <c r="I1177" s="9" t="s">
        <v>7374</v>
      </c>
      <c r="J1177" t="s">
        <v>107</v>
      </c>
      <c r="K1177" s="9" t="s">
        <v>7375</v>
      </c>
      <c r="L1177" s="9" t="s">
        <v>7376</v>
      </c>
      <c r="M1177" s="9" t="s">
        <v>7377</v>
      </c>
      <c r="N1177" s="9" t="s">
        <v>7378</v>
      </c>
      <c r="O1177" s="9" t="s">
        <v>7379</v>
      </c>
      <c r="P1177" s="10">
        <v>91</v>
      </c>
    </row>
    <row r="1178" spans="1:16" ht="158.4" x14ac:dyDescent="0.3">
      <c r="A1178" t="s">
        <v>7231</v>
      </c>
      <c r="B1178" t="s">
        <v>7380</v>
      </c>
      <c r="C1178" t="s">
        <v>555</v>
      </c>
      <c r="D1178" s="9" t="s">
        <v>7381</v>
      </c>
      <c r="E1178" t="s">
        <v>557</v>
      </c>
      <c r="F1178" t="s">
        <v>143</v>
      </c>
      <c r="G1178" t="s">
        <v>47</v>
      </c>
      <c r="H1178" s="9" t="s">
        <v>1509</v>
      </c>
      <c r="I1178" s="9" t="s">
        <v>307</v>
      </c>
      <c r="J1178" t="s">
        <v>7382</v>
      </c>
      <c r="K1178" s="9" t="s">
        <v>7383</v>
      </c>
      <c r="L1178" s="9"/>
      <c r="M1178" s="9" t="s">
        <v>7384</v>
      </c>
      <c r="N1178" s="9" t="s">
        <v>7385</v>
      </c>
      <c r="O1178" s="9" t="s">
        <v>7386</v>
      </c>
      <c r="P1178" s="10">
        <v>92</v>
      </c>
    </row>
    <row r="1179" spans="1:16" ht="144" x14ac:dyDescent="0.3">
      <c r="A1179" t="s">
        <v>7231</v>
      </c>
      <c r="B1179" t="s">
        <v>7380</v>
      </c>
      <c r="C1179" t="s">
        <v>564</v>
      </c>
      <c r="D1179" s="9" t="s">
        <v>7387</v>
      </c>
      <c r="E1179" t="s">
        <v>566</v>
      </c>
      <c r="F1179" t="s">
        <v>143</v>
      </c>
      <c r="G1179" t="s">
        <v>47</v>
      </c>
      <c r="H1179" s="9" t="s">
        <v>1509</v>
      </c>
      <c r="I1179" s="9" t="s">
        <v>307</v>
      </c>
      <c r="J1179" t="s">
        <v>7382</v>
      </c>
      <c r="K1179" s="9" t="s">
        <v>7388</v>
      </c>
      <c r="L1179" s="9"/>
      <c r="M1179" s="9" t="s">
        <v>7389</v>
      </c>
      <c r="N1179" s="9" t="s">
        <v>7390</v>
      </c>
      <c r="O1179" s="9" t="s">
        <v>7391</v>
      </c>
      <c r="P1179" s="10">
        <v>92</v>
      </c>
    </row>
    <row r="1180" spans="1:16" ht="115.2" x14ac:dyDescent="0.3">
      <c r="A1180" t="s">
        <v>7231</v>
      </c>
      <c r="B1180" t="s">
        <v>7380</v>
      </c>
      <c r="C1180" t="s">
        <v>1031</v>
      </c>
      <c r="D1180" s="9" t="s">
        <v>7392</v>
      </c>
      <c r="E1180" t="s">
        <v>74</v>
      </c>
      <c r="F1180" t="s">
        <v>143</v>
      </c>
      <c r="G1180" t="s">
        <v>47</v>
      </c>
      <c r="H1180" s="9" t="s">
        <v>1509</v>
      </c>
      <c r="I1180" s="9" t="s">
        <v>307</v>
      </c>
      <c r="J1180" t="s">
        <v>7382</v>
      </c>
      <c r="K1180" s="9" t="s">
        <v>7393</v>
      </c>
      <c r="L1180" s="9"/>
      <c r="M1180" s="9" t="s">
        <v>7394</v>
      </c>
      <c r="N1180" s="9" t="s">
        <v>7395</v>
      </c>
      <c r="O1180" s="9" t="s">
        <v>7396</v>
      </c>
      <c r="P1180" s="10">
        <v>92</v>
      </c>
    </row>
    <row r="1181" spans="1:16" ht="187.2" x14ac:dyDescent="0.3">
      <c r="A1181" t="s">
        <v>7231</v>
      </c>
      <c r="B1181" t="s">
        <v>7397</v>
      </c>
      <c r="C1181" t="s">
        <v>43</v>
      </c>
      <c r="D1181" s="9" t="s">
        <v>7398</v>
      </c>
      <c r="E1181" t="s">
        <v>7399</v>
      </c>
      <c r="F1181" t="s">
        <v>143</v>
      </c>
      <c r="G1181" t="s">
        <v>47</v>
      </c>
      <c r="H1181" s="9" t="s">
        <v>2896</v>
      </c>
      <c r="I1181" s="9" t="s">
        <v>614</v>
      </c>
      <c r="J1181" t="s">
        <v>7400</v>
      </c>
      <c r="K1181" s="9" t="s">
        <v>7401</v>
      </c>
      <c r="L1181" s="9" t="s">
        <v>7402</v>
      </c>
      <c r="M1181" s="9" t="s">
        <v>7403</v>
      </c>
      <c r="N1181" s="9" t="s">
        <v>7404</v>
      </c>
      <c r="O1181" s="9" t="s">
        <v>7405</v>
      </c>
      <c r="P1181" s="10">
        <v>86</v>
      </c>
    </row>
    <row r="1182" spans="1:16" ht="216" x14ac:dyDescent="0.3">
      <c r="A1182" t="s">
        <v>7231</v>
      </c>
      <c r="B1182" t="s">
        <v>7397</v>
      </c>
      <c r="C1182" t="s">
        <v>4416</v>
      </c>
      <c r="D1182" s="9" t="s">
        <v>7406</v>
      </c>
      <c r="E1182" t="s">
        <v>7407</v>
      </c>
      <c r="F1182" t="s">
        <v>143</v>
      </c>
      <c r="G1182" t="s">
        <v>47</v>
      </c>
      <c r="H1182" s="9" t="s">
        <v>488</v>
      </c>
      <c r="I1182" s="9" t="s">
        <v>59</v>
      </c>
      <c r="J1182" t="s">
        <v>7408</v>
      </c>
      <c r="K1182" s="9" t="s">
        <v>7409</v>
      </c>
      <c r="L1182" s="9" t="s">
        <v>7410</v>
      </c>
      <c r="M1182" s="9" t="s">
        <v>7411</v>
      </c>
      <c r="N1182" s="9" t="s">
        <v>7412</v>
      </c>
      <c r="O1182" s="9" t="s">
        <v>7413</v>
      </c>
      <c r="P1182" s="10">
        <v>86</v>
      </c>
    </row>
    <row r="1183" spans="1:16" ht="201.6" x14ac:dyDescent="0.3">
      <c r="A1183" t="s">
        <v>7231</v>
      </c>
      <c r="B1183" t="s">
        <v>7397</v>
      </c>
      <c r="C1183" t="s">
        <v>4425</v>
      </c>
      <c r="D1183" s="9" t="s">
        <v>7414</v>
      </c>
      <c r="E1183" t="s">
        <v>7415</v>
      </c>
      <c r="F1183" t="s">
        <v>143</v>
      </c>
      <c r="G1183" t="s">
        <v>47</v>
      </c>
      <c r="H1183" s="9" t="s">
        <v>488</v>
      </c>
      <c r="I1183" s="9" t="s">
        <v>59</v>
      </c>
      <c r="J1183" t="s">
        <v>7416</v>
      </c>
      <c r="K1183" s="9" t="s">
        <v>7417</v>
      </c>
      <c r="L1183" s="9" t="s">
        <v>7418</v>
      </c>
      <c r="M1183" s="9" t="s">
        <v>7419</v>
      </c>
      <c r="N1183" s="9" t="s">
        <v>7420</v>
      </c>
      <c r="O1183" s="9" t="s">
        <v>7421</v>
      </c>
      <c r="P1183" s="10">
        <v>86</v>
      </c>
    </row>
    <row r="1184" spans="1:16" ht="187.2" x14ac:dyDescent="0.3">
      <c r="A1184" t="s">
        <v>7231</v>
      </c>
      <c r="B1184" t="s">
        <v>7397</v>
      </c>
      <c r="C1184" t="s">
        <v>4433</v>
      </c>
      <c r="D1184" s="9" t="s">
        <v>7422</v>
      </c>
      <c r="E1184" t="s">
        <v>7423</v>
      </c>
      <c r="F1184" t="s">
        <v>143</v>
      </c>
      <c r="G1184" t="s">
        <v>47</v>
      </c>
      <c r="H1184" s="9"/>
      <c r="I1184" s="9" t="s">
        <v>59</v>
      </c>
      <c r="J1184" t="s">
        <v>7424</v>
      </c>
      <c r="K1184" s="9" t="s">
        <v>7425</v>
      </c>
      <c r="L1184" s="9" t="s">
        <v>7426</v>
      </c>
      <c r="M1184" s="9" t="s">
        <v>7427</v>
      </c>
      <c r="N1184" s="9" t="s">
        <v>7428</v>
      </c>
      <c r="O1184" s="9" t="s">
        <v>7429</v>
      </c>
      <c r="P1184" s="10">
        <v>86</v>
      </c>
    </row>
    <row r="1185" spans="1:16" ht="201.6" x14ac:dyDescent="0.3">
      <c r="A1185" t="s">
        <v>7231</v>
      </c>
      <c r="B1185" t="s">
        <v>7397</v>
      </c>
      <c r="C1185" t="s">
        <v>7430</v>
      </c>
      <c r="D1185" s="9" t="s">
        <v>7431</v>
      </c>
      <c r="E1185" t="s">
        <v>7432</v>
      </c>
      <c r="F1185" t="s">
        <v>143</v>
      </c>
      <c r="G1185" t="s">
        <v>47</v>
      </c>
      <c r="H1185" s="9"/>
      <c r="I1185" s="9" t="s">
        <v>106</v>
      </c>
      <c r="J1185" t="s">
        <v>7433</v>
      </c>
      <c r="K1185" s="9" t="s">
        <v>7434</v>
      </c>
      <c r="L1185" s="9" t="s">
        <v>7435</v>
      </c>
      <c r="M1185" s="9" t="s">
        <v>7436</v>
      </c>
      <c r="N1185" s="9" t="s">
        <v>7437</v>
      </c>
      <c r="O1185" s="9" t="s">
        <v>7438</v>
      </c>
      <c r="P1185" s="10">
        <v>86</v>
      </c>
    </row>
    <row r="1186" spans="1:16" ht="187.2" x14ac:dyDescent="0.3">
      <c r="A1186" t="s">
        <v>7231</v>
      </c>
      <c r="B1186" t="s">
        <v>7397</v>
      </c>
      <c r="C1186" t="s">
        <v>7439</v>
      </c>
      <c r="D1186" s="9" t="s">
        <v>7440</v>
      </c>
      <c r="E1186" t="s">
        <v>7441</v>
      </c>
      <c r="F1186" t="s">
        <v>143</v>
      </c>
      <c r="G1186" t="s">
        <v>47</v>
      </c>
      <c r="H1186" s="9"/>
      <c r="I1186" s="9" t="s">
        <v>106</v>
      </c>
      <c r="J1186" t="s">
        <v>7442</v>
      </c>
      <c r="K1186" s="9" t="s">
        <v>7443</v>
      </c>
      <c r="L1186" s="9" t="s">
        <v>7444</v>
      </c>
      <c r="M1186" s="9" t="s">
        <v>7445</v>
      </c>
      <c r="N1186" s="9" t="s">
        <v>7446</v>
      </c>
      <c r="O1186" s="9" t="s">
        <v>7447</v>
      </c>
      <c r="P1186" s="10">
        <v>86</v>
      </c>
    </row>
    <row r="1187" spans="1:16" ht="158.4" x14ac:dyDescent="0.3">
      <c r="A1187" t="s">
        <v>7231</v>
      </c>
      <c r="B1187" t="s">
        <v>7397</v>
      </c>
      <c r="C1187" t="s">
        <v>7448</v>
      </c>
      <c r="D1187" s="9" t="s">
        <v>7449</v>
      </c>
      <c r="E1187" t="s">
        <v>7450</v>
      </c>
      <c r="F1187" t="s">
        <v>143</v>
      </c>
      <c r="G1187" t="s">
        <v>47</v>
      </c>
      <c r="H1187" s="9" t="s">
        <v>7451</v>
      </c>
      <c r="I1187" s="9" t="s">
        <v>106</v>
      </c>
      <c r="J1187" t="s">
        <v>7452</v>
      </c>
      <c r="K1187" s="9" t="s">
        <v>7453</v>
      </c>
      <c r="L1187" s="9" t="s">
        <v>7454</v>
      </c>
      <c r="M1187" s="9" t="s">
        <v>7455</v>
      </c>
      <c r="N1187" s="9" t="s">
        <v>7456</v>
      </c>
      <c r="O1187" s="9" t="s">
        <v>7457</v>
      </c>
      <c r="P1187" s="10">
        <v>86</v>
      </c>
    </row>
    <row r="1188" spans="1:16" ht="158.4" x14ac:dyDescent="0.3">
      <c r="A1188" t="s">
        <v>7231</v>
      </c>
      <c r="B1188" t="s">
        <v>7458</v>
      </c>
      <c r="C1188" t="s">
        <v>466</v>
      </c>
      <c r="D1188" s="9" t="s">
        <v>7459</v>
      </c>
      <c r="E1188" t="s">
        <v>702</v>
      </c>
      <c r="F1188" t="s">
        <v>116</v>
      </c>
      <c r="G1188" t="s">
        <v>47</v>
      </c>
      <c r="H1188" s="9" t="s">
        <v>488</v>
      </c>
      <c r="I1188" s="9" t="s">
        <v>106</v>
      </c>
      <c r="J1188" t="s">
        <v>7460</v>
      </c>
      <c r="K1188" s="9" t="s">
        <v>7461</v>
      </c>
      <c r="L1188" s="9" t="s">
        <v>7462</v>
      </c>
      <c r="M1188" s="9" t="s">
        <v>7463</v>
      </c>
      <c r="N1188" s="9" t="s">
        <v>7464</v>
      </c>
      <c r="O1188" s="9" t="s">
        <v>7465</v>
      </c>
      <c r="P1188" s="10">
        <v>87</v>
      </c>
    </row>
    <row r="1189" spans="1:16" ht="144" x14ac:dyDescent="0.3">
      <c r="A1189" t="s">
        <v>7231</v>
      </c>
      <c r="B1189" t="s">
        <v>7458</v>
      </c>
      <c r="C1189" t="s">
        <v>221</v>
      </c>
      <c r="D1189" s="9" t="s">
        <v>7466</v>
      </c>
      <c r="E1189" t="s">
        <v>6792</v>
      </c>
      <c r="F1189" t="s">
        <v>116</v>
      </c>
      <c r="G1189" t="s">
        <v>47</v>
      </c>
      <c r="H1189" s="9" t="s">
        <v>7467</v>
      </c>
      <c r="I1189" s="9" t="s">
        <v>106</v>
      </c>
      <c r="K1189" s="9" t="s">
        <v>7468</v>
      </c>
      <c r="L1189" s="9" t="s">
        <v>7469</v>
      </c>
      <c r="M1189" s="9" t="s">
        <v>7470</v>
      </c>
      <c r="N1189" s="9" t="s">
        <v>7471</v>
      </c>
      <c r="O1189" s="9" t="s">
        <v>7472</v>
      </c>
      <c r="P1189" s="10">
        <v>87</v>
      </c>
    </row>
    <row r="1190" spans="1:16" ht="129.6" x14ac:dyDescent="0.3">
      <c r="A1190" t="s">
        <v>7231</v>
      </c>
      <c r="B1190" t="s">
        <v>7473</v>
      </c>
      <c r="C1190" t="s">
        <v>369</v>
      </c>
      <c r="D1190" s="9" t="s">
        <v>7474</v>
      </c>
      <c r="E1190" t="s">
        <v>7475</v>
      </c>
      <c r="F1190" t="s">
        <v>143</v>
      </c>
      <c r="G1190" t="s">
        <v>47</v>
      </c>
      <c r="H1190" s="9" t="s">
        <v>7476</v>
      </c>
      <c r="I1190" s="9" t="s">
        <v>614</v>
      </c>
      <c r="J1190" t="s">
        <v>7477</v>
      </c>
      <c r="K1190" s="9" t="s">
        <v>7478</v>
      </c>
      <c r="L1190" s="9" t="s">
        <v>7479</v>
      </c>
      <c r="M1190" s="9" t="s">
        <v>7480</v>
      </c>
      <c r="N1190" s="9" t="s">
        <v>7481</v>
      </c>
      <c r="O1190" s="9" t="s">
        <v>7482</v>
      </c>
      <c r="P1190" s="10">
        <v>93</v>
      </c>
    </row>
    <row r="1191" spans="1:16" ht="216" x14ac:dyDescent="0.3">
      <c r="A1191" t="s">
        <v>7231</v>
      </c>
      <c r="B1191" t="s">
        <v>7473</v>
      </c>
      <c r="C1191" t="s">
        <v>74</v>
      </c>
      <c r="D1191" s="9" t="s">
        <v>7483</v>
      </c>
      <c r="E1191" t="s">
        <v>1841</v>
      </c>
      <c r="F1191" t="s">
        <v>143</v>
      </c>
      <c r="G1191" t="s">
        <v>1599</v>
      </c>
      <c r="H1191" s="9" t="s">
        <v>7484</v>
      </c>
      <c r="I1191" s="9" t="s">
        <v>614</v>
      </c>
      <c r="J1191" t="s">
        <v>7338</v>
      </c>
      <c r="K1191" s="9" t="s">
        <v>7485</v>
      </c>
      <c r="L1191" s="9" t="s">
        <v>7486</v>
      </c>
      <c r="M1191" s="9" t="s">
        <v>7487</v>
      </c>
      <c r="N1191" s="9" t="s">
        <v>7488</v>
      </c>
      <c r="O1191" s="9" t="s">
        <v>7489</v>
      </c>
      <c r="P1191" s="10">
        <v>93</v>
      </c>
    </row>
    <row r="1192" spans="1:16" ht="144" x14ac:dyDescent="0.3">
      <c r="A1192" t="s">
        <v>7231</v>
      </c>
      <c r="B1192" t="s">
        <v>7473</v>
      </c>
      <c r="C1192" t="s">
        <v>1606</v>
      </c>
      <c r="D1192" s="9" t="s">
        <v>7490</v>
      </c>
      <c r="E1192" t="s">
        <v>312</v>
      </c>
      <c r="F1192" t="s">
        <v>143</v>
      </c>
      <c r="G1192" t="s">
        <v>47</v>
      </c>
      <c r="H1192" s="9" t="s">
        <v>7491</v>
      </c>
      <c r="I1192" s="9" t="s">
        <v>106</v>
      </c>
      <c r="J1192" t="s">
        <v>7338</v>
      </c>
      <c r="K1192" s="9" t="s">
        <v>7492</v>
      </c>
      <c r="L1192" s="9" t="s">
        <v>7493</v>
      </c>
      <c r="M1192" s="9" t="s">
        <v>7494</v>
      </c>
      <c r="N1192" s="9" t="s">
        <v>7495</v>
      </c>
      <c r="O1192" s="9" t="s">
        <v>7496</v>
      </c>
      <c r="P1192" s="10">
        <v>93</v>
      </c>
    </row>
    <row r="1193" spans="1:16" ht="230.4" x14ac:dyDescent="0.3">
      <c r="A1193" t="s">
        <v>7231</v>
      </c>
      <c r="B1193" t="s">
        <v>7473</v>
      </c>
      <c r="C1193" t="s">
        <v>43</v>
      </c>
      <c r="D1193" s="9" t="s">
        <v>7497</v>
      </c>
      <c r="E1193" t="s">
        <v>6238</v>
      </c>
      <c r="F1193" t="s">
        <v>143</v>
      </c>
      <c r="G1193" t="s">
        <v>1599</v>
      </c>
      <c r="H1193" s="9" t="s">
        <v>7498</v>
      </c>
      <c r="I1193" s="9" t="s">
        <v>7499</v>
      </c>
      <c r="J1193" t="s">
        <v>7338</v>
      </c>
      <c r="K1193" s="9" t="s">
        <v>7500</v>
      </c>
      <c r="L1193" s="9" t="s">
        <v>7501</v>
      </c>
      <c r="M1193" s="9" t="s">
        <v>7502</v>
      </c>
      <c r="N1193" s="9" t="s">
        <v>7503</v>
      </c>
      <c r="O1193" s="9" t="s">
        <v>7504</v>
      </c>
      <c r="P1193" s="10">
        <v>93</v>
      </c>
    </row>
    <row r="1194" spans="1:16" ht="115.2" x14ac:dyDescent="0.3">
      <c r="A1194" t="s">
        <v>7231</v>
      </c>
      <c r="B1194" t="s">
        <v>7473</v>
      </c>
      <c r="C1194" t="s">
        <v>6014</v>
      </c>
      <c r="D1194" s="9" t="s">
        <v>7505</v>
      </c>
      <c r="E1194" t="s">
        <v>989</v>
      </c>
      <c r="F1194" t="s">
        <v>143</v>
      </c>
      <c r="G1194" t="s">
        <v>47</v>
      </c>
      <c r="H1194" s="9" t="s">
        <v>7491</v>
      </c>
      <c r="I1194" s="9" t="s">
        <v>106</v>
      </c>
      <c r="J1194" t="s">
        <v>7338</v>
      </c>
      <c r="K1194" s="9" t="s">
        <v>7506</v>
      </c>
      <c r="L1194" s="9" t="s">
        <v>7507</v>
      </c>
      <c r="M1194" s="9" t="s">
        <v>7508</v>
      </c>
      <c r="N1194" s="9" t="s">
        <v>7509</v>
      </c>
      <c r="O1194" s="9" t="s">
        <v>7510</v>
      </c>
      <c r="P1194" s="10">
        <v>93</v>
      </c>
    </row>
    <row r="1195" spans="1:16" ht="115.2" x14ac:dyDescent="0.3">
      <c r="A1195" t="s">
        <v>7231</v>
      </c>
      <c r="B1195" t="s">
        <v>7473</v>
      </c>
      <c r="C1195" t="s">
        <v>68</v>
      </c>
      <c r="D1195" s="9" t="s">
        <v>7511</v>
      </c>
      <c r="E1195" t="s">
        <v>7512</v>
      </c>
      <c r="F1195" t="s">
        <v>143</v>
      </c>
      <c r="G1195" t="s">
        <v>47</v>
      </c>
      <c r="H1195" s="9" t="s">
        <v>7491</v>
      </c>
      <c r="I1195" s="9" t="s">
        <v>106</v>
      </c>
      <c r="J1195" t="s">
        <v>7338</v>
      </c>
      <c r="K1195" s="9" t="s">
        <v>7513</v>
      </c>
      <c r="L1195" s="9" t="s">
        <v>7514</v>
      </c>
      <c r="M1195" s="9" t="s">
        <v>7515</v>
      </c>
      <c r="N1195" s="9" t="s">
        <v>7516</v>
      </c>
      <c r="O1195" s="9" t="s">
        <v>7517</v>
      </c>
      <c r="P1195" s="10">
        <v>93</v>
      </c>
    </row>
    <row r="1196" spans="1:16" ht="409.6" x14ac:dyDescent="0.3">
      <c r="A1196" t="s">
        <v>7231</v>
      </c>
      <c r="B1196" t="s">
        <v>7473</v>
      </c>
      <c r="C1196" t="s">
        <v>82</v>
      </c>
      <c r="D1196" s="9" t="s">
        <v>7518</v>
      </c>
      <c r="E1196" t="s">
        <v>6151</v>
      </c>
      <c r="F1196" t="s">
        <v>143</v>
      </c>
      <c r="G1196" t="s">
        <v>47</v>
      </c>
      <c r="H1196" s="9" t="s">
        <v>7519</v>
      </c>
      <c r="I1196" s="9" t="s">
        <v>614</v>
      </c>
      <c r="J1196" t="s">
        <v>7338</v>
      </c>
      <c r="K1196" s="9" t="s">
        <v>7520</v>
      </c>
      <c r="L1196" s="9" t="s">
        <v>7521</v>
      </c>
      <c r="M1196" s="9" t="s">
        <v>7522</v>
      </c>
      <c r="N1196" s="9" t="s">
        <v>7523</v>
      </c>
      <c r="O1196" s="9" t="s">
        <v>7524</v>
      </c>
      <c r="P1196" s="10">
        <v>93</v>
      </c>
    </row>
    <row r="1197" spans="1:16" ht="201.6" x14ac:dyDescent="0.3">
      <c r="A1197" t="s">
        <v>7231</v>
      </c>
      <c r="B1197" t="s">
        <v>7473</v>
      </c>
      <c r="C1197" t="s">
        <v>55</v>
      </c>
      <c r="D1197" s="9" t="s">
        <v>7525</v>
      </c>
      <c r="E1197" t="s">
        <v>7526</v>
      </c>
      <c r="F1197" t="s">
        <v>143</v>
      </c>
      <c r="G1197" t="s">
        <v>47</v>
      </c>
      <c r="H1197" s="9" t="s">
        <v>7527</v>
      </c>
      <c r="I1197" s="9" t="s">
        <v>614</v>
      </c>
      <c r="J1197" t="s">
        <v>7338</v>
      </c>
      <c r="K1197" s="9" t="s">
        <v>7528</v>
      </c>
      <c r="L1197" s="9" t="s">
        <v>7529</v>
      </c>
      <c r="M1197" s="9" t="s">
        <v>7530</v>
      </c>
      <c r="N1197" s="9" t="s">
        <v>7531</v>
      </c>
      <c r="O1197" s="9" t="s">
        <v>7532</v>
      </c>
      <c r="P1197" s="10">
        <v>93</v>
      </c>
    </row>
    <row r="1198" spans="1:16" ht="259.2" x14ac:dyDescent="0.3">
      <c r="A1198" t="s">
        <v>7231</v>
      </c>
      <c r="B1198" t="s">
        <v>7473</v>
      </c>
      <c r="C1198" t="s">
        <v>424</v>
      </c>
      <c r="D1198" s="9" t="s">
        <v>7533</v>
      </c>
      <c r="E1198" t="s">
        <v>7534</v>
      </c>
      <c r="F1198" t="s">
        <v>143</v>
      </c>
      <c r="G1198" t="s">
        <v>47</v>
      </c>
      <c r="H1198" s="9" t="s">
        <v>7102</v>
      </c>
      <c r="I1198" s="9" t="s">
        <v>59</v>
      </c>
      <c r="J1198" t="s">
        <v>7535</v>
      </c>
      <c r="K1198" s="9" t="s">
        <v>7536</v>
      </c>
      <c r="L1198" s="9" t="s">
        <v>7537</v>
      </c>
      <c r="M1198" s="9" t="s">
        <v>7538</v>
      </c>
      <c r="N1198" s="9" t="s">
        <v>7539</v>
      </c>
      <c r="O1198" s="9" t="s">
        <v>7540</v>
      </c>
      <c r="P1198" s="10">
        <v>93</v>
      </c>
    </row>
    <row r="1199" spans="1:16" ht="144" x14ac:dyDescent="0.3">
      <c r="A1199" t="s">
        <v>7231</v>
      </c>
      <c r="B1199" t="s">
        <v>7473</v>
      </c>
      <c r="C1199" t="s">
        <v>441</v>
      </c>
      <c r="D1199" s="9" t="s">
        <v>7541</v>
      </c>
      <c r="E1199" t="s">
        <v>7542</v>
      </c>
      <c r="F1199" t="s">
        <v>143</v>
      </c>
      <c r="G1199" t="s">
        <v>47</v>
      </c>
      <c r="H1199" s="9" t="s">
        <v>6016</v>
      </c>
      <c r="I1199" s="9" t="s">
        <v>59</v>
      </c>
      <c r="J1199" t="s">
        <v>7338</v>
      </c>
      <c r="K1199" s="9" t="s">
        <v>7543</v>
      </c>
      <c r="L1199" s="9" t="s">
        <v>7544</v>
      </c>
      <c r="M1199" s="9" t="s">
        <v>7545</v>
      </c>
      <c r="N1199" s="9" t="s">
        <v>7546</v>
      </c>
      <c r="O1199" s="9" t="s">
        <v>7547</v>
      </c>
      <c r="P1199" s="10">
        <v>93</v>
      </c>
    </row>
  </sheetData>
  <hyperlinks>
    <hyperlink ref="P2" location="Acts!A2" display="Go to Act" xr:uid="{00000000-0004-0000-0300-000000000000}"/>
    <hyperlink ref="P3" location="Acts!A3" display="Go to Act" xr:uid="{00000000-0004-0000-0300-000001000000}"/>
    <hyperlink ref="P4" location="Acts!A4" display="Go to Act" xr:uid="{00000000-0004-0000-0300-000002000000}"/>
    <hyperlink ref="P5" location="Acts!A4" display="Go to Act" xr:uid="{00000000-0004-0000-0300-000003000000}"/>
    <hyperlink ref="P6" location="Acts!A4" display="Go to Act" xr:uid="{00000000-0004-0000-0300-000004000000}"/>
    <hyperlink ref="P7" location="Acts!A4" display="Go to Act" xr:uid="{00000000-0004-0000-0300-000005000000}"/>
    <hyperlink ref="P8" location="Acts!A4" display="Go to Act" xr:uid="{00000000-0004-0000-0300-000006000000}"/>
    <hyperlink ref="P9" location="Acts!A4" display="Go to Act" xr:uid="{00000000-0004-0000-0300-000007000000}"/>
    <hyperlink ref="P10" location="Acts!A4" display="Go to Act" xr:uid="{00000000-0004-0000-0300-000008000000}"/>
    <hyperlink ref="P11" location="Acts!A4" display="Go to Act" xr:uid="{00000000-0004-0000-0300-000009000000}"/>
    <hyperlink ref="P12" location="Acts!A4" display="Go to Act" xr:uid="{00000000-0004-0000-0300-00000A000000}"/>
    <hyperlink ref="P13" location="Acts!A4" display="Go to Act" xr:uid="{00000000-0004-0000-0300-00000B000000}"/>
    <hyperlink ref="P14" location="Acts!A4" display="Go to Act" xr:uid="{00000000-0004-0000-0300-00000C000000}"/>
    <hyperlink ref="P15" location="Acts!A4" display="Go to Act" xr:uid="{00000000-0004-0000-0300-00000D000000}"/>
    <hyperlink ref="P16" location="Acts!A4" display="Go to Act" xr:uid="{00000000-0004-0000-0300-00000E000000}"/>
    <hyperlink ref="P17" location="Acts!A4" display="Go to Act" xr:uid="{00000000-0004-0000-0300-00000F000000}"/>
    <hyperlink ref="P18" location="Acts!A4" display="Go to Act" xr:uid="{00000000-0004-0000-0300-000010000000}"/>
    <hyperlink ref="P19" location="Acts!A4" display="Go to Act" xr:uid="{00000000-0004-0000-0300-000011000000}"/>
    <hyperlink ref="P20" location="Acts!A4" display="Go to Act" xr:uid="{00000000-0004-0000-0300-000012000000}"/>
    <hyperlink ref="P21" location="Acts!A4" display="Go to Act" xr:uid="{00000000-0004-0000-0300-000013000000}"/>
    <hyperlink ref="P22" location="Acts!A4" display="Go to Act" xr:uid="{00000000-0004-0000-0300-000014000000}"/>
    <hyperlink ref="P23" location="Acts!A4" display="Go to Act" xr:uid="{00000000-0004-0000-0300-000015000000}"/>
    <hyperlink ref="P24" location="Acts!A4" display="Go to Act" xr:uid="{00000000-0004-0000-0300-000016000000}"/>
    <hyperlink ref="P25" location="Acts!A4" display="Go to Act" xr:uid="{00000000-0004-0000-0300-000017000000}"/>
    <hyperlink ref="P26" location="Acts!A4" display="Go to Act" xr:uid="{00000000-0004-0000-0300-000018000000}"/>
    <hyperlink ref="P27" location="Acts!A4" display="Go to Act" xr:uid="{00000000-0004-0000-0300-000019000000}"/>
    <hyperlink ref="P28" location="Acts!A4" display="Go to Act" xr:uid="{00000000-0004-0000-0300-00001A000000}"/>
    <hyperlink ref="P29" location="Acts!A4" display="Go to Act" xr:uid="{00000000-0004-0000-0300-00001B000000}"/>
    <hyperlink ref="P30" location="Acts!A4" display="Go to Act" xr:uid="{00000000-0004-0000-0300-00001C000000}"/>
    <hyperlink ref="P31" location="Acts!A4" display="Go to Act" xr:uid="{00000000-0004-0000-0300-00001D000000}"/>
    <hyperlink ref="P32" location="Acts!A4" display="Go to Act" xr:uid="{00000000-0004-0000-0300-00001E000000}"/>
    <hyperlink ref="P33" location="Acts!A4" display="Go to Act" xr:uid="{00000000-0004-0000-0300-00001F000000}"/>
    <hyperlink ref="P34" location="Acts!A5" display="Go to Act" xr:uid="{00000000-0004-0000-0300-000020000000}"/>
    <hyperlink ref="P35" location="Acts!A5" display="Go to Act" xr:uid="{00000000-0004-0000-0300-000021000000}"/>
    <hyperlink ref="P36" location="Acts!A5" display="Go to Act" xr:uid="{00000000-0004-0000-0300-000022000000}"/>
    <hyperlink ref="P37" location="Acts!A5" display="Go to Act" xr:uid="{00000000-0004-0000-0300-000023000000}"/>
    <hyperlink ref="P38" location="Acts!A5" display="Go to Act" xr:uid="{00000000-0004-0000-0300-000024000000}"/>
    <hyperlink ref="P39" location="Acts!A5" display="Go to Act" xr:uid="{00000000-0004-0000-0300-000025000000}"/>
    <hyperlink ref="P40" location="Acts!A5" display="Go to Act" xr:uid="{00000000-0004-0000-0300-000026000000}"/>
    <hyperlink ref="P41" location="Acts!A5" display="Go to Act" xr:uid="{00000000-0004-0000-0300-000027000000}"/>
    <hyperlink ref="P42" location="Acts!A6" display="Go to Act" xr:uid="{00000000-0004-0000-0300-000028000000}"/>
    <hyperlink ref="P43" location="Acts!A6" display="Go to Act" xr:uid="{00000000-0004-0000-0300-000029000000}"/>
    <hyperlink ref="P44" location="Acts!A6" display="Go to Act" xr:uid="{00000000-0004-0000-0300-00002A000000}"/>
    <hyperlink ref="P45" location="Acts!A6" display="Go to Act" xr:uid="{00000000-0004-0000-0300-00002B000000}"/>
    <hyperlink ref="P46" location="Acts!A6" display="Go to Act" xr:uid="{00000000-0004-0000-0300-00002C000000}"/>
    <hyperlink ref="P47" location="Acts!A6" display="Go to Act" xr:uid="{00000000-0004-0000-0300-00002D000000}"/>
    <hyperlink ref="P48" location="Acts!A6" display="Go to Act" xr:uid="{00000000-0004-0000-0300-00002E000000}"/>
    <hyperlink ref="P49" location="Acts!A6" display="Go to Act" xr:uid="{00000000-0004-0000-0300-00002F000000}"/>
    <hyperlink ref="P50" location="Acts!A6" display="Go to Act" xr:uid="{00000000-0004-0000-0300-000030000000}"/>
    <hyperlink ref="P51" location="Acts!A6" display="Go to Act" xr:uid="{00000000-0004-0000-0300-000031000000}"/>
    <hyperlink ref="P52" location="Acts!A6" display="Go to Act" xr:uid="{00000000-0004-0000-0300-000032000000}"/>
    <hyperlink ref="P53" location="Acts!A6" display="Go to Act" xr:uid="{00000000-0004-0000-0300-000033000000}"/>
    <hyperlink ref="P54" location="Acts!A6" display="Go to Act" xr:uid="{00000000-0004-0000-0300-000034000000}"/>
    <hyperlink ref="P55" location="Acts!A6" display="Go to Act" xr:uid="{00000000-0004-0000-0300-000035000000}"/>
    <hyperlink ref="P56" location="Acts!A6" display="Go to Act" xr:uid="{00000000-0004-0000-0300-000036000000}"/>
    <hyperlink ref="P57" location="Acts!A7" display="Go to Act" xr:uid="{00000000-0004-0000-0300-000037000000}"/>
    <hyperlink ref="P58" location="Acts!A7" display="Go to Act" xr:uid="{00000000-0004-0000-0300-000038000000}"/>
    <hyperlink ref="P59" location="Acts!A7" display="Go to Act" xr:uid="{00000000-0004-0000-0300-000039000000}"/>
    <hyperlink ref="P60" location="Acts!A7" display="Go to Act" xr:uid="{00000000-0004-0000-0300-00003A000000}"/>
    <hyperlink ref="P61" location="Acts!A7" display="Go to Act" xr:uid="{00000000-0004-0000-0300-00003B000000}"/>
    <hyperlink ref="P62" location="Acts!A7" display="Go to Act" xr:uid="{00000000-0004-0000-0300-00003C000000}"/>
    <hyperlink ref="P63" location="Acts!A7" display="Go to Act" xr:uid="{00000000-0004-0000-0300-00003D000000}"/>
    <hyperlink ref="P64" location="Acts!A7" display="Go to Act" xr:uid="{00000000-0004-0000-0300-00003E000000}"/>
    <hyperlink ref="P65" location="Acts!A7" display="Go to Act" xr:uid="{00000000-0004-0000-0300-00003F000000}"/>
    <hyperlink ref="P66" location="Acts!A7" display="Go to Act" xr:uid="{00000000-0004-0000-0300-000040000000}"/>
    <hyperlink ref="P67" location="Acts!A7" display="Go to Act" xr:uid="{00000000-0004-0000-0300-000041000000}"/>
    <hyperlink ref="P68" location="Acts!A7" display="Go to Act" xr:uid="{00000000-0004-0000-0300-000042000000}"/>
    <hyperlink ref="P69" location="Acts!A7" display="Go to Act" xr:uid="{00000000-0004-0000-0300-000043000000}"/>
    <hyperlink ref="P70" location="Acts!A7" display="Go to Act" xr:uid="{00000000-0004-0000-0300-000044000000}"/>
    <hyperlink ref="P71" location="Acts!A7" display="Go to Act" xr:uid="{00000000-0004-0000-0300-000045000000}"/>
    <hyperlink ref="P72" location="Acts!A9" display="Go to Act" xr:uid="{00000000-0004-0000-0300-000046000000}"/>
    <hyperlink ref="P73" location="Acts!A9" display="Go to Act" xr:uid="{00000000-0004-0000-0300-000047000000}"/>
    <hyperlink ref="P74" location="Acts!A10" display="Go to Act" xr:uid="{00000000-0004-0000-0300-000048000000}"/>
    <hyperlink ref="P75" location="Acts!A10" display="Go to Act" xr:uid="{00000000-0004-0000-0300-000049000000}"/>
    <hyperlink ref="P76" location="Acts!A10" display="Go to Act" xr:uid="{00000000-0004-0000-0300-00004A000000}"/>
    <hyperlink ref="P77" location="Acts!A10" display="Go to Act" xr:uid="{00000000-0004-0000-0300-00004B000000}"/>
    <hyperlink ref="P78" location="Acts!A10" display="Go to Act" xr:uid="{00000000-0004-0000-0300-00004C000000}"/>
    <hyperlink ref="P79" location="Acts!A10" display="Go to Act" xr:uid="{00000000-0004-0000-0300-00004D000000}"/>
    <hyperlink ref="P80" location="Acts!A10" display="Go to Act" xr:uid="{00000000-0004-0000-0300-00004E000000}"/>
    <hyperlink ref="P81" location="Acts!A10" display="Go to Act" xr:uid="{00000000-0004-0000-0300-00004F000000}"/>
    <hyperlink ref="P82" location="Acts!A10" display="Go to Act" xr:uid="{00000000-0004-0000-0300-000050000000}"/>
    <hyperlink ref="P83" location="Acts!A10" display="Go to Act" xr:uid="{00000000-0004-0000-0300-000051000000}"/>
    <hyperlink ref="P84" location="Acts!A10" display="Go to Act" xr:uid="{00000000-0004-0000-0300-000052000000}"/>
    <hyperlink ref="P85" location="Acts!A10" display="Go to Act" xr:uid="{00000000-0004-0000-0300-000053000000}"/>
    <hyperlink ref="P86" location="Acts!A10" display="Go to Act" xr:uid="{00000000-0004-0000-0300-000054000000}"/>
    <hyperlink ref="P87" location="Acts!A10" display="Go to Act" xr:uid="{00000000-0004-0000-0300-000055000000}"/>
    <hyperlink ref="P88" location="Acts!A10" display="Go to Act" xr:uid="{00000000-0004-0000-0300-000056000000}"/>
    <hyperlink ref="P89" location="Acts!A10" display="Go to Act" xr:uid="{00000000-0004-0000-0300-000057000000}"/>
    <hyperlink ref="P90" location="Acts!A10" display="Go to Act" xr:uid="{00000000-0004-0000-0300-000058000000}"/>
    <hyperlink ref="P91" location="Acts!A10" display="Go to Act" xr:uid="{00000000-0004-0000-0300-000059000000}"/>
    <hyperlink ref="P92" location="Acts!A10" display="Go to Act" xr:uid="{00000000-0004-0000-0300-00005A000000}"/>
    <hyperlink ref="P93" location="Acts!A11" display="Go to Act" xr:uid="{00000000-0004-0000-0300-00005B000000}"/>
    <hyperlink ref="P94" location="Acts!A11" display="Go to Act" xr:uid="{00000000-0004-0000-0300-00005C000000}"/>
    <hyperlink ref="P95" location="Acts!A11" display="Go to Act" xr:uid="{00000000-0004-0000-0300-00005D000000}"/>
    <hyperlink ref="P96" location="Acts!A11" display="Go to Act" xr:uid="{00000000-0004-0000-0300-00005E000000}"/>
    <hyperlink ref="P97" location="Acts!A11" display="Go to Act" xr:uid="{00000000-0004-0000-0300-00005F000000}"/>
    <hyperlink ref="P98" location="Acts!A11" display="Go to Act" xr:uid="{00000000-0004-0000-0300-000060000000}"/>
    <hyperlink ref="P99" location="Acts!A11" display="Go to Act" xr:uid="{00000000-0004-0000-0300-000061000000}"/>
    <hyperlink ref="P100" location="Acts!A11" display="Go to Act" xr:uid="{00000000-0004-0000-0300-000062000000}"/>
    <hyperlink ref="P101" location="Acts!A11" display="Go to Act" xr:uid="{00000000-0004-0000-0300-000063000000}"/>
    <hyperlink ref="P102" location="Acts!A11" display="Go to Act" xr:uid="{00000000-0004-0000-0300-000064000000}"/>
    <hyperlink ref="P103" location="Acts!A11" display="Go to Act" xr:uid="{00000000-0004-0000-0300-000065000000}"/>
    <hyperlink ref="P104" location="Acts!A11" display="Go to Act" xr:uid="{00000000-0004-0000-0300-000066000000}"/>
    <hyperlink ref="P105" location="Acts!A11" display="Go to Act" xr:uid="{00000000-0004-0000-0300-000067000000}"/>
    <hyperlink ref="P106" location="Acts!A11" display="Go to Act" xr:uid="{00000000-0004-0000-0300-000068000000}"/>
    <hyperlink ref="P107" location="Acts!A11" display="Go to Act" xr:uid="{00000000-0004-0000-0300-000069000000}"/>
    <hyperlink ref="P108" location="Acts!A11" display="Go to Act" xr:uid="{00000000-0004-0000-0300-00006A000000}"/>
    <hyperlink ref="P109" location="Acts!A11" display="Go to Act" xr:uid="{00000000-0004-0000-0300-00006B000000}"/>
    <hyperlink ref="P110" location="Acts!A11" display="Go to Act" xr:uid="{00000000-0004-0000-0300-00006C000000}"/>
    <hyperlink ref="P111" location="Acts!A11" display="Go to Act" xr:uid="{00000000-0004-0000-0300-00006D000000}"/>
    <hyperlink ref="P112" location="Acts!A11" display="Go to Act" xr:uid="{00000000-0004-0000-0300-00006E000000}"/>
    <hyperlink ref="P113" location="Acts!A11" display="Go to Act" xr:uid="{00000000-0004-0000-0300-00006F000000}"/>
    <hyperlink ref="P114" location="Acts!A11" display="Go to Act" xr:uid="{00000000-0004-0000-0300-000070000000}"/>
    <hyperlink ref="P115" location="Acts!A11" display="Go to Act" xr:uid="{00000000-0004-0000-0300-000071000000}"/>
    <hyperlink ref="P116" location="Acts!A11" display="Go to Act" xr:uid="{00000000-0004-0000-0300-000072000000}"/>
    <hyperlink ref="P117" location="Acts!A11" display="Go to Act" xr:uid="{00000000-0004-0000-0300-000073000000}"/>
    <hyperlink ref="P118" location="Acts!A11" display="Go to Act" xr:uid="{00000000-0004-0000-0300-000074000000}"/>
    <hyperlink ref="P119" location="Acts!A11" display="Go to Act" xr:uid="{00000000-0004-0000-0300-000075000000}"/>
    <hyperlink ref="P120" location="Acts!A11" display="Go to Act" xr:uid="{00000000-0004-0000-0300-000076000000}"/>
    <hyperlink ref="P121" location="Acts!A11" display="Go to Act" xr:uid="{00000000-0004-0000-0300-000077000000}"/>
    <hyperlink ref="P122" location="Acts!A11" display="Go to Act" xr:uid="{00000000-0004-0000-0300-000078000000}"/>
    <hyperlink ref="P123" location="Acts!A11" display="Go to Act" xr:uid="{00000000-0004-0000-0300-000079000000}"/>
    <hyperlink ref="P124" location="Acts!A11" display="Go to Act" xr:uid="{00000000-0004-0000-0300-00007A000000}"/>
    <hyperlink ref="P125" location="Acts!A11" display="Go to Act" xr:uid="{00000000-0004-0000-0300-00007B000000}"/>
    <hyperlink ref="P126" location="Acts!A11" display="Go to Act" xr:uid="{00000000-0004-0000-0300-00007C000000}"/>
    <hyperlink ref="P127" location="Acts!A11" display="Go to Act" xr:uid="{00000000-0004-0000-0300-00007D000000}"/>
    <hyperlink ref="P128" location="Acts!A11" display="Go to Act" xr:uid="{00000000-0004-0000-0300-00007E000000}"/>
    <hyperlink ref="P129" location="Acts!A11" display="Go to Act" xr:uid="{00000000-0004-0000-0300-00007F000000}"/>
    <hyperlink ref="P130" location="Acts!A12" display="Go to Act" xr:uid="{00000000-0004-0000-0300-000080000000}"/>
    <hyperlink ref="P131" location="Acts!A12" display="Go to Act" xr:uid="{00000000-0004-0000-0300-000081000000}"/>
    <hyperlink ref="P132" location="Acts!A12" display="Go to Act" xr:uid="{00000000-0004-0000-0300-000082000000}"/>
    <hyperlink ref="P133" location="Acts!A12" display="Go to Act" xr:uid="{00000000-0004-0000-0300-000083000000}"/>
    <hyperlink ref="P134" location="Acts!A12" display="Go to Act" xr:uid="{00000000-0004-0000-0300-000084000000}"/>
    <hyperlink ref="P135" location="Acts!A12" display="Go to Act" xr:uid="{00000000-0004-0000-0300-000085000000}"/>
    <hyperlink ref="P136" location="Acts!A12" display="Go to Act" xr:uid="{00000000-0004-0000-0300-000086000000}"/>
    <hyperlink ref="P137" location="Acts!A12" display="Go to Act" xr:uid="{00000000-0004-0000-0300-000087000000}"/>
    <hyperlink ref="P138" location="Acts!A12" display="Go to Act" xr:uid="{00000000-0004-0000-0300-000088000000}"/>
    <hyperlink ref="P139" location="Acts!A12" display="Go to Act" xr:uid="{00000000-0004-0000-0300-000089000000}"/>
    <hyperlink ref="P140" location="Acts!A12" display="Go to Act" xr:uid="{00000000-0004-0000-0300-00008A000000}"/>
    <hyperlink ref="P141" location="Acts!A14" display="Go to Act" xr:uid="{00000000-0004-0000-0300-00008B000000}"/>
    <hyperlink ref="P142" location="Acts!A14" display="Go to Act" xr:uid="{00000000-0004-0000-0300-00008C000000}"/>
    <hyperlink ref="P143" location="Acts!A14" display="Go to Act" xr:uid="{00000000-0004-0000-0300-00008D000000}"/>
    <hyperlink ref="P144" location="Acts!A14" display="Go to Act" xr:uid="{00000000-0004-0000-0300-00008E000000}"/>
    <hyperlink ref="P145" location="Acts!A14" display="Go to Act" xr:uid="{00000000-0004-0000-0300-00008F000000}"/>
    <hyperlink ref="P146" location="Acts!A8" display="Go to Act" xr:uid="{00000000-0004-0000-0300-000090000000}"/>
    <hyperlink ref="P147" location="Acts!A8" display="Go to Act" xr:uid="{00000000-0004-0000-0300-000091000000}"/>
    <hyperlink ref="P148" location="Acts!A8" display="Go to Act" xr:uid="{00000000-0004-0000-0300-000092000000}"/>
    <hyperlink ref="P149" location="Acts!A8" display="Go to Act" xr:uid="{00000000-0004-0000-0300-000093000000}"/>
    <hyperlink ref="P150" location="Acts!A8" display="Go to Act" xr:uid="{00000000-0004-0000-0300-000094000000}"/>
    <hyperlink ref="P151" location="Acts!A8" display="Go to Act" xr:uid="{00000000-0004-0000-0300-000095000000}"/>
    <hyperlink ref="P152" location="Acts!A8" display="Go to Act" xr:uid="{00000000-0004-0000-0300-000096000000}"/>
    <hyperlink ref="P153" location="Acts!A8" display="Go to Act" xr:uid="{00000000-0004-0000-0300-000097000000}"/>
    <hyperlink ref="P154" location="Acts!A8" display="Go to Act" xr:uid="{00000000-0004-0000-0300-000098000000}"/>
    <hyperlink ref="P155" location="Acts!A8" display="Go to Act" xr:uid="{00000000-0004-0000-0300-000099000000}"/>
    <hyperlink ref="P156" location="Acts!A8" display="Go to Act" xr:uid="{00000000-0004-0000-0300-00009A000000}"/>
    <hyperlink ref="P157" location="Acts!A8" display="Go to Act" xr:uid="{00000000-0004-0000-0300-00009B000000}"/>
    <hyperlink ref="P158" location="Acts!A8" display="Go to Act" xr:uid="{00000000-0004-0000-0300-00009C000000}"/>
    <hyperlink ref="P159" location="Acts!A8" display="Go to Act" xr:uid="{00000000-0004-0000-0300-00009D000000}"/>
    <hyperlink ref="P160" location="Acts!A8" display="Go to Act" xr:uid="{00000000-0004-0000-0300-00009E000000}"/>
    <hyperlink ref="P161" location="Acts!A8" display="Go to Act" xr:uid="{00000000-0004-0000-0300-00009F000000}"/>
    <hyperlink ref="P162" location="Acts!A8" display="Go to Act" xr:uid="{00000000-0004-0000-0300-0000A0000000}"/>
    <hyperlink ref="P163" location="Acts!A8" display="Go to Act" xr:uid="{00000000-0004-0000-0300-0000A1000000}"/>
    <hyperlink ref="P164" location="Acts!A8" display="Go to Act" xr:uid="{00000000-0004-0000-0300-0000A2000000}"/>
    <hyperlink ref="P165" location="Acts!A8" display="Go to Act" xr:uid="{00000000-0004-0000-0300-0000A3000000}"/>
    <hyperlink ref="P166" location="Acts!A8" display="Go to Act" xr:uid="{00000000-0004-0000-0300-0000A4000000}"/>
    <hyperlink ref="P167" location="Acts!A8" display="Go to Act" xr:uid="{00000000-0004-0000-0300-0000A5000000}"/>
    <hyperlink ref="P168" location="Acts!A8" display="Go to Act" xr:uid="{00000000-0004-0000-0300-0000A6000000}"/>
    <hyperlink ref="P169" location="Acts!A8" display="Go to Act" xr:uid="{00000000-0004-0000-0300-0000A7000000}"/>
    <hyperlink ref="P170" location="Acts!A8" display="Go to Act" xr:uid="{00000000-0004-0000-0300-0000A8000000}"/>
    <hyperlink ref="P171" location="Acts!A8" display="Go to Act" xr:uid="{00000000-0004-0000-0300-0000A9000000}"/>
    <hyperlink ref="P172" location="Acts!A8" display="Go to Act" xr:uid="{00000000-0004-0000-0300-0000AA000000}"/>
    <hyperlink ref="P173" location="Acts!A8" display="Go to Act" xr:uid="{00000000-0004-0000-0300-0000AB000000}"/>
    <hyperlink ref="P174" location="Acts!A8" display="Go to Act" xr:uid="{00000000-0004-0000-0300-0000AC000000}"/>
    <hyperlink ref="P175" location="Acts!A8" display="Go to Act" xr:uid="{00000000-0004-0000-0300-0000AD000000}"/>
    <hyperlink ref="P176" location="Acts!A8" display="Go to Act" xr:uid="{00000000-0004-0000-0300-0000AE000000}"/>
    <hyperlink ref="P177" location="Acts!A8" display="Go to Act" xr:uid="{00000000-0004-0000-0300-0000AF000000}"/>
    <hyperlink ref="P178" location="Acts!A13" display="Go to Act" xr:uid="{00000000-0004-0000-0300-0000B0000000}"/>
    <hyperlink ref="P179" location="Acts!A13" display="Go to Act" xr:uid="{00000000-0004-0000-0300-0000B1000000}"/>
    <hyperlink ref="P180" location="Acts!A13" display="Go to Act" xr:uid="{00000000-0004-0000-0300-0000B2000000}"/>
    <hyperlink ref="P181" location="Acts!A13" display="Go to Act" xr:uid="{00000000-0004-0000-0300-0000B3000000}"/>
    <hyperlink ref="P182" location="Acts!A13" display="Go to Act" xr:uid="{00000000-0004-0000-0300-0000B4000000}"/>
    <hyperlink ref="P183" location="Acts!A13" display="Go to Act" xr:uid="{00000000-0004-0000-0300-0000B5000000}"/>
    <hyperlink ref="P184" location="Acts!A13" display="Go to Act" xr:uid="{00000000-0004-0000-0300-0000B6000000}"/>
    <hyperlink ref="P185" location="Acts!A13" display="Go to Act" xr:uid="{00000000-0004-0000-0300-0000B7000000}"/>
    <hyperlink ref="P186" location="Acts!A13" display="Go to Act" xr:uid="{00000000-0004-0000-0300-0000B8000000}"/>
    <hyperlink ref="P187" location="Acts!A13" display="Go to Act" xr:uid="{00000000-0004-0000-0300-0000B9000000}"/>
    <hyperlink ref="P188" location="Acts!A13" display="Go to Act" xr:uid="{00000000-0004-0000-0300-0000BA000000}"/>
    <hyperlink ref="P189" location="Acts!A13" display="Go to Act" xr:uid="{00000000-0004-0000-0300-0000BB000000}"/>
    <hyperlink ref="P190" location="Acts!A13" display="Go to Act" xr:uid="{00000000-0004-0000-0300-0000BC000000}"/>
    <hyperlink ref="P191" location="Acts!A13" display="Go to Act" xr:uid="{00000000-0004-0000-0300-0000BD000000}"/>
    <hyperlink ref="P192" location="Acts!A13" display="Go to Act" xr:uid="{00000000-0004-0000-0300-0000BE000000}"/>
    <hyperlink ref="P193" location="Acts!A13" display="Go to Act" xr:uid="{00000000-0004-0000-0300-0000BF000000}"/>
    <hyperlink ref="P194" location="Acts!A13" display="Go to Act" xr:uid="{00000000-0004-0000-0300-0000C0000000}"/>
    <hyperlink ref="P195" location="Acts!A13" display="Go to Act" xr:uid="{00000000-0004-0000-0300-0000C1000000}"/>
    <hyperlink ref="P196" location="Acts!A13" display="Go to Act" xr:uid="{00000000-0004-0000-0300-0000C2000000}"/>
    <hyperlink ref="P197" location="Acts!A13" display="Go to Act" xr:uid="{00000000-0004-0000-0300-0000C3000000}"/>
    <hyperlink ref="P198" location="Acts!A13" display="Go to Act" xr:uid="{00000000-0004-0000-0300-0000C4000000}"/>
    <hyperlink ref="P199" location="Acts!A13" display="Go to Act" xr:uid="{00000000-0004-0000-0300-0000C5000000}"/>
    <hyperlink ref="P200" location="Acts!A13" display="Go to Act" xr:uid="{00000000-0004-0000-0300-0000C6000000}"/>
    <hyperlink ref="P201" location="Acts!A13" display="Go to Act" xr:uid="{00000000-0004-0000-0300-0000C7000000}"/>
    <hyperlink ref="P202" location="Acts!A13" display="Go to Act" xr:uid="{00000000-0004-0000-0300-0000C8000000}"/>
    <hyperlink ref="P203" location="Acts!A13" display="Go to Act" xr:uid="{00000000-0004-0000-0300-0000C9000000}"/>
    <hyperlink ref="P204" location="Acts!A13" display="Go to Act" xr:uid="{00000000-0004-0000-0300-0000CA000000}"/>
    <hyperlink ref="P205" location="Acts!A13" display="Go to Act" xr:uid="{00000000-0004-0000-0300-0000CB000000}"/>
    <hyperlink ref="P206" location="Acts!A13" display="Go to Act" xr:uid="{00000000-0004-0000-0300-0000CC000000}"/>
    <hyperlink ref="P207" location="Acts!A13" display="Go to Act" xr:uid="{00000000-0004-0000-0300-0000CD000000}"/>
    <hyperlink ref="P208" location="Acts!A13" display="Go to Act" xr:uid="{00000000-0004-0000-0300-0000CE000000}"/>
    <hyperlink ref="P209" location="Acts!A13" display="Go to Act" xr:uid="{00000000-0004-0000-0300-0000CF000000}"/>
    <hyperlink ref="P210" location="Acts!A13" display="Go to Act" xr:uid="{00000000-0004-0000-0300-0000D0000000}"/>
    <hyperlink ref="P211" location="Acts!A13" display="Go to Act" xr:uid="{00000000-0004-0000-0300-0000D1000000}"/>
    <hyperlink ref="P212" location="Acts!A13" display="Go to Act" xr:uid="{00000000-0004-0000-0300-0000D2000000}"/>
    <hyperlink ref="P213" location="Acts!A13" display="Go to Act" xr:uid="{00000000-0004-0000-0300-0000D3000000}"/>
    <hyperlink ref="P214" location="Acts!A13" display="Go to Act" xr:uid="{00000000-0004-0000-0300-0000D4000000}"/>
    <hyperlink ref="P215" location="Acts!A13" display="Go to Act" xr:uid="{00000000-0004-0000-0300-0000D5000000}"/>
    <hyperlink ref="P216" location="Acts!A13" display="Go to Act" xr:uid="{00000000-0004-0000-0300-0000D6000000}"/>
    <hyperlink ref="P217" location="Acts!A13" display="Go to Act" xr:uid="{00000000-0004-0000-0300-0000D7000000}"/>
    <hyperlink ref="P218" location="Acts!A15" display="Go to Act" xr:uid="{00000000-0004-0000-0300-0000D8000000}"/>
    <hyperlink ref="P219" location="Acts!A15" display="Go to Act" xr:uid="{00000000-0004-0000-0300-0000D9000000}"/>
    <hyperlink ref="P220" location="Acts!A15" display="Go to Act" xr:uid="{00000000-0004-0000-0300-0000DA000000}"/>
    <hyperlink ref="P221" location="Acts!A15" display="Go to Act" xr:uid="{00000000-0004-0000-0300-0000DB000000}"/>
    <hyperlink ref="P222" location="Acts!A15" display="Go to Act" xr:uid="{00000000-0004-0000-0300-0000DC000000}"/>
    <hyperlink ref="P223" location="Acts!A16" display="Go to Act" xr:uid="{00000000-0004-0000-0300-0000DD000000}"/>
    <hyperlink ref="P224" location="Acts!A16" display="Go to Act" xr:uid="{00000000-0004-0000-0300-0000DE000000}"/>
    <hyperlink ref="P225" location="Acts!A16" display="Go to Act" xr:uid="{00000000-0004-0000-0300-0000DF000000}"/>
    <hyperlink ref="P226" location="Acts!A16" display="Go to Act" xr:uid="{00000000-0004-0000-0300-0000E0000000}"/>
    <hyperlink ref="P227" location="Acts!A16" display="Go to Act" xr:uid="{00000000-0004-0000-0300-0000E1000000}"/>
    <hyperlink ref="P228" location="Acts!A16" display="Go to Act" xr:uid="{00000000-0004-0000-0300-0000E2000000}"/>
    <hyperlink ref="P229" location="Acts!A17" display="Go to Act" xr:uid="{00000000-0004-0000-0300-0000E3000000}"/>
    <hyperlink ref="P230" location="Acts!A17" display="Go to Act" xr:uid="{00000000-0004-0000-0300-0000E4000000}"/>
    <hyperlink ref="P231" location="Acts!A17" display="Go to Act" xr:uid="{00000000-0004-0000-0300-0000E5000000}"/>
    <hyperlink ref="P232" location="Acts!A17" display="Go to Act" xr:uid="{00000000-0004-0000-0300-0000E6000000}"/>
    <hyperlink ref="P233" location="Acts!A17" display="Go to Act" xr:uid="{00000000-0004-0000-0300-0000E7000000}"/>
    <hyperlink ref="P234" location="Acts!A18" display="Go to Act" xr:uid="{00000000-0004-0000-0300-0000E8000000}"/>
    <hyperlink ref="P235" location="Acts!A18" display="Go to Act" xr:uid="{00000000-0004-0000-0300-0000E9000000}"/>
    <hyperlink ref="P236" location="Acts!A18" display="Go to Act" xr:uid="{00000000-0004-0000-0300-0000EA000000}"/>
    <hyperlink ref="P237" location="Acts!A18" display="Go to Act" xr:uid="{00000000-0004-0000-0300-0000EB000000}"/>
    <hyperlink ref="P238" location="Acts!A18" display="Go to Act" xr:uid="{00000000-0004-0000-0300-0000EC000000}"/>
    <hyperlink ref="P239" location="Acts!A18" display="Go to Act" xr:uid="{00000000-0004-0000-0300-0000ED000000}"/>
    <hyperlink ref="P240" location="Acts!A18" display="Go to Act" xr:uid="{00000000-0004-0000-0300-0000EE000000}"/>
    <hyperlink ref="P241" location="Acts!A18" display="Go to Act" xr:uid="{00000000-0004-0000-0300-0000EF000000}"/>
    <hyperlink ref="P242" location="Acts!A18" display="Go to Act" xr:uid="{00000000-0004-0000-0300-0000F0000000}"/>
    <hyperlink ref="P243" location="Acts!A18" display="Go to Act" xr:uid="{00000000-0004-0000-0300-0000F1000000}"/>
    <hyperlink ref="P244" location="Acts!A18" display="Go to Act" xr:uid="{00000000-0004-0000-0300-0000F2000000}"/>
    <hyperlink ref="P245" location="Acts!A18" display="Go to Act" xr:uid="{00000000-0004-0000-0300-0000F3000000}"/>
    <hyperlink ref="P246" location="Acts!A18" display="Go to Act" xr:uid="{00000000-0004-0000-0300-0000F4000000}"/>
    <hyperlink ref="P247" location="Acts!A19" display="Go to Act" xr:uid="{00000000-0004-0000-0300-0000F5000000}"/>
    <hyperlink ref="P248" location="Acts!A19" display="Go to Act" xr:uid="{00000000-0004-0000-0300-0000F6000000}"/>
    <hyperlink ref="P249" location="Acts!A19" display="Go to Act" xr:uid="{00000000-0004-0000-0300-0000F7000000}"/>
    <hyperlink ref="P250" location="Acts!A19" display="Go to Act" xr:uid="{00000000-0004-0000-0300-0000F8000000}"/>
    <hyperlink ref="P251" location="Acts!A19" display="Go to Act" xr:uid="{00000000-0004-0000-0300-0000F9000000}"/>
    <hyperlink ref="P252" location="Acts!A19" display="Go to Act" xr:uid="{00000000-0004-0000-0300-0000FA000000}"/>
    <hyperlink ref="P253" location="Acts!A19" display="Go to Act" xr:uid="{00000000-0004-0000-0300-0000FB000000}"/>
    <hyperlink ref="P254" location="Acts!A19" display="Go to Act" xr:uid="{00000000-0004-0000-0300-0000FC000000}"/>
    <hyperlink ref="P255" location="Acts!A19" display="Go to Act" xr:uid="{00000000-0004-0000-0300-0000FD000000}"/>
    <hyperlink ref="P256" location="Acts!A19" display="Go to Act" xr:uid="{00000000-0004-0000-0300-0000FE000000}"/>
    <hyperlink ref="P257" location="Acts!A19" display="Go to Act" xr:uid="{00000000-0004-0000-0300-0000FF000000}"/>
    <hyperlink ref="P258" location="Acts!A19" display="Go to Act" xr:uid="{00000000-0004-0000-0300-000000010000}"/>
    <hyperlink ref="P259" location="Acts!A19" display="Go to Act" xr:uid="{00000000-0004-0000-0300-000001010000}"/>
    <hyperlink ref="P260" location="Acts!A19" display="Go to Act" xr:uid="{00000000-0004-0000-0300-000002010000}"/>
    <hyperlink ref="P261" location="Acts!A19" display="Go to Act" xr:uid="{00000000-0004-0000-0300-000003010000}"/>
    <hyperlink ref="P262" location="Acts!A19" display="Go to Act" xr:uid="{00000000-0004-0000-0300-000004010000}"/>
    <hyperlink ref="P263" location="Acts!A19" display="Go to Act" xr:uid="{00000000-0004-0000-0300-000005010000}"/>
    <hyperlink ref="P264" location="Acts!A19" display="Go to Act" xr:uid="{00000000-0004-0000-0300-000006010000}"/>
    <hyperlink ref="P265" location="Acts!A19" display="Go to Act" xr:uid="{00000000-0004-0000-0300-000007010000}"/>
    <hyperlink ref="P266" location="Acts!A19" display="Go to Act" xr:uid="{00000000-0004-0000-0300-000008010000}"/>
    <hyperlink ref="P267" location="Acts!A19" display="Go to Act" xr:uid="{00000000-0004-0000-0300-000009010000}"/>
    <hyperlink ref="P268" location="Acts!A20" display="Go to Act" xr:uid="{00000000-0004-0000-0300-00000A010000}"/>
    <hyperlink ref="P269" location="Acts!A20" display="Go to Act" xr:uid="{00000000-0004-0000-0300-00000B010000}"/>
    <hyperlink ref="P270" location="Acts!A20" display="Go to Act" xr:uid="{00000000-0004-0000-0300-00000C010000}"/>
    <hyperlink ref="P271" location="Acts!A20" display="Go to Act" xr:uid="{00000000-0004-0000-0300-00000D010000}"/>
    <hyperlink ref="P272" location="Acts!A20" display="Go to Act" xr:uid="{00000000-0004-0000-0300-00000E010000}"/>
    <hyperlink ref="P273" location="Acts!A20" display="Go to Act" xr:uid="{00000000-0004-0000-0300-00000F010000}"/>
    <hyperlink ref="P274" location="Acts!A20" display="Go to Act" xr:uid="{00000000-0004-0000-0300-000010010000}"/>
    <hyperlink ref="P275" location="Acts!A20" display="Go to Act" xr:uid="{00000000-0004-0000-0300-000011010000}"/>
    <hyperlink ref="P276" location="Acts!A20" display="Go to Act" xr:uid="{00000000-0004-0000-0300-000012010000}"/>
    <hyperlink ref="P277" location="Acts!A20" display="Go to Act" xr:uid="{00000000-0004-0000-0300-000013010000}"/>
    <hyperlink ref="P278" location="Acts!A20" display="Go to Act" xr:uid="{00000000-0004-0000-0300-000014010000}"/>
    <hyperlink ref="P279" location="Acts!A20" display="Go to Act" xr:uid="{00000000-0004-0000-0300-000015010000}"/>
    <hyperlink ref="P280" location="Acts!A20" display="Go to Act" xr:uid="{00000000-0004-0000-0300-000016010000}"/>
    <hyperlink ref="P281" location="Acts!A20" display="Go to Act" xr:uid="{00000000-0004-0000-0300-000017010000}"/>
    <hyperlink ref="P282" location="Acts!A22" display="Go to Act" xr:uid="{00000000-0004-0000-0300-000018010000}"/>
    <hyperlink ref="P283" location="Acts!A22" display="Go to Act" xr:uid="{00000000-0004-0000-0300-000019010000}"/>
    <hyperlink ref="P284" location="Acts!A22" display="Go to Act" xr:uid="{00000000-0004-0000-0300-00001A010000}"/>
    <hyperlink ref="P285" location="Acts!A22" display="Go to Act" xr:uid="{00000000-0004-0000-0300-00001B010000}"/>
    <hyperlink ref="P286" location="Acts!A22" display="Go to Act" xr:uid="{00000000-0004-0000-0300-00001C010000}"/>
    <hyperlink ref="P287" location="Acts!A22" display="Go to Act" xr:uid="{00000000-0004-0000-0300-00001D010000}"/>
    <hyperlink ref="P288" location="Acts!A22" display="Go to Act" xr:uid="{00000000-0004-0000-0300-00001E010000}"/>
    <hyperlink ref="P289" location="Acts!A22" display="Go to Act" xr:uid="{00000000-0004-0000-0300-00001F010000}"/>
    <hyperlink ref="P290" location="Acts!A22" display="Go to Act" xr:uid="{00000000-0004-0000-0300-000020010000}"/>
    <hyperlink ref="P291" location="Acts!A22" display="Go to Act" xr:uid="{00000000-0004-0000-0300-000021010000}"/>
    <hyperlink ref="P292" location="Acts!A22" display="Go to Act" xr:uid="{00000000-0004-0000-0300-000022010000}"/>
    <hyperlink ref="P293" location="Acts!A22" display="Go to Act" xr:uid="{00000000-0004-0000-0300-000023010000}"/>
    <hyperlink ref="P294" location="Acts!A23" display="Go to Act" xr:uid="{00000000-0004-0000-0300-000024010000}"/>
    <hyperlink ref="P295" location="Acts!A23" display="Go to Act" xr:uid="{00000000-0004-0000-0300-000025010000}"/>
    <hyperlink ref="P296" location="Acts!A23" display="Go to Act" xr:uid="{00000000-0004-0000-0300-000026010000}"/>
    <hyperlink ref="P297" location="Acts!A23" display="Go to Act" xr:uid="{00000000-0004-0000-0300-000027010000}"/>
    <hyperlink ref="P298" location="Acts!A23" display="Go to Act" xr:uid="{00000000-0004-0000-0300-000028010000}"/>
    <hyperlink ref="P299" location="Acts!A23" display="Go to Act" xr:uid="{00000000-0004-0000-0300-000029010000}"/>
    <hyperlink ref="P300" location="Acts!A23" display="Go to Act" xr:uid="{00000000-0004-0000-0300-00002A010000}"/>
    <hyperlink ref="P301" location="Acts!A23" display="Go to Act" xr:uid="{00000000-0004-0000-0300-00002B010000}"/>
    <hyperlink ref="P302" location="Acts!A23" display="Go to Act" xr:uid="{00000000-0004-0000-0300-00002C010000}"/>
    <hyperlink ref="P303" location="Acts!A23" display="Go to Act" xr:uid="{00000000-0004-0000-0300-00002D010000}"/>
    <hyperlink ref="P304" location="Acts!A23" display="Go to Act" xr:uid="{00000000-0004-0000-0300-00002E010000}"/>
    <hyperlink ref="P305" location="Acts!A23" display="Go to Act" xr:uid="{00000000-0004-0000-0300-00002F010000}"/>
    <hyperlink ref="P306" location="Acts!A23" display="Go to Act" xr:uid="{00000000-0004-0000-0300-000030010000}"/>
    <hyperlink ref="P307" location="Acts!A23" display="Go to Act" xr:uid="{00000000-0004-0000-0300-000031010000}"/>
    <hyperlink ref="P308" location="Acts!A24" display="Go to Act" xr:uid="{00000000-0004-0000-0300-000032010000}"/>
    <hyperlink ref="P309" location="Acts!A24" display="Go to Act" xr:uid="{00000000-0004-0000-0300-000033010000}"/>
    <hyperlink ref="P310" location="Acts!A24" display="Go to Act" xr:uid="{00000000-0004-0000-0300-000034010000}"/>
    <hyperlink ref="P311" location="Acts!A24" display="Go to Act" xr:uid="{00000000-0004-0000-0300-000035010000}"/>
    <hyperlink ref="P312" location="Acts!A24" display="Go to Act" xr:uid="{00000000-0004-0000-0300-000036010000}"/>
    <hyperlink ref="P313" location="Acts!A24" display="Go to Act" xr:uid="{00000000-0004-0000-0300-000037010000}"/>
    <hyperlink ref="P314" location="Acts!A24" display="Go to Act" xr:uid="{00000000-0004-0000-0300-000038010000}"/>
    <hyperlink ref="P315" location="Acts!A24" display="Go to Act" xr:uid="{00000000-0004-0000-0300-000039010000}"/>
    <hyperlink ref="P316" location="Acts!A24" display="Go to Act" xr:uid="{00000000-0004-0000-0300-00003A010000}"/>
    <hyperlink ref="P317" location="Acts!A24" display="Go to Act" xr:uid="{00000000-0004-0000-0300-00003B010000}"/>
    <hyperlink ref="P318" location="Acts!A24" display="Go to Act" xr:uid="{00000000-0004-0000-0300-00003C010000}"/>
    <hyperlink ref="P319" location="Acts!A24" display="Go to Act" xr:uid="{00000000-0004-0000-0300-00003D010000}"/>
    <hyperlink ref="P320" location="Acts!A24" display="Go to Act" xr:uid="{00000000-0004-0000-0300-00003E010000}"/>
    <hyperlink ref="P321" location="Acts!A24" display="Go to Act" xr:uid="{00000000-0004-0000-0300-00003F010000}"/>
    <hyperlink ref="P322" location="Acts!A24" display="Go to Act" xr:uid="{00000000-0004-0000-0300-000040010000}"/>
    <hyperlink ref="P323" location="Acts!A24" display="Go to Act" xr:uid="{00000000-0004-0000-0300-000041010000}"/>
    <hyperlink ref="P324" location="Acts!A24" display="Go to Act" xr:uid="{00000000-0004-0000-0300-000042010000}"/>
    <hyperlink ref="P325" location="Acts!A21" display="Go to Act" xr:uid="{00000000-0004-0000-0300-000043010000}"/>
    <hyperlink ref="P326" location="Acts!A21" display="Go to Act" xr:uid="{00000000-0004-0000-0300-000044010000}"/>
    <hyperlink ref="P327" location="Acts!A21" display="Go to Act" xr:uid="{00000000-0004-0000-0300-000045010000}"/>
    <hyperlink ref="P328" location="Acts!A21" display="Go to Act" xr:uid="{00000000-0004-0000-0300-000046010000}"/>
    <hyperlink ref="P329" location="Acts!A21" display="Go to Act" xr:uid="{00000000-0004-0000-0300-000047010000}"/>
    <hyperlink ref="P330" location="Acts!A21" display="Go to Act" xr:uid="{00000000-0004-0000-0300-000048010000}"/>
    <hyperlink ref="P331" location="Acts!A21" display="Go to Act" xr:uid="{00000000-0004-0000-0300-000049010000}"/>
    <hyperlink ref="P332" location="Acts!A21" display="Go to Act" xr:uid="{00000000-0004-0000-0300-00004A010000}"/>
    <hyperlink ref="P333" location="Acts!A21" display="Go to Act" xr:uid="{00000000-0004-0000-0300-00004B010000}"/>
    <hyperlink ref="P334" location="Acts!A21" display="Go to Act" xr:uid="{00000000-0004-0000-0300-00004C010000}"/>
    <hyperlink ref="P335" location="Acts!A21" display="Go to Act" xr:uid="{00000000-0004-0000-0300-00004D010000}"/>
    <hyperlink ref="P336" location="Acts!A21" display="Go to Act" xr:uid="{00000000-0004-0000-0300-00004E010000}"/>
    <hyperlink ref="P337" location="Acts!A21" display="Go to Act" xr:uid="{00000000-0004-0000-0300-00004F010000}"/>
    <hyperlink ref="P338" location="Acts!A21" display="Go to Act" xr:uid="{00000000-0004-0000-0300-000050010000}"/>
    <hyperlink ref="P339" location="Acts!A21" display="Go to Act" xr:uid="{00000000-0004-0000-0300-000051010000}"/>
    <hyperlink ref="P340" location="Acts!A21" display="Go to Act" xr:uid="{00000000-0004-0000-0300-000052010000}"/>
    <hyperlink ref="P341" location="Acts!A21" display="Go to Act" xr:uid="{00000000-0004-0000-0300-000053010000}"/>
    <hyperlink ref="P342" location="Acts!A21" display="Go to Act" xr:uid="{00000000-0004-0000-0300-000054010000}"/>
    <hyperlink ref="P343" location="Acts!A21" display="Go to Act" xr:uid="{00000000-0004-0000-0300-000055010000}"/>
    <hyperlink ref="P344" location="Acts!A21" display="Go to Act" xr:uid="{00000000-0004-0000-0300-000056010000}"/>
    <hyperlink ref="P345" location="Acts!A21" display="Go to Act" xr:uid="{00000000-0004-0000-0300-000057010000}"/>
    <hyperlink ref="P346" location="Acts!A21" display="Go to Act" xr:uid="{00000000-0004-0000-0300-000058010000}"/>
    <hyperlink ref="P347" location="Acts!A21" display="Go to Act" xr:uid="{00000000-0004-0000-0300-000059010000}"/>
    <hyperlink ref="P348" location="Acts!A21" display="Go to Act" xr:uid="{00000000-0004-0000-0300-00005A010000}"/>
    <hyperlink ref="P349" location="Acts!A21" display="Go to Act" xr:uid="{00000000-0004-0000-0300-00005B010000}"/>
    <hyperlink ref="P350" location="Acts!A21" display="Go to Act" xr:uid="{00000000-0004-0000-0300-00005C010000}"/>
    <hyperlink ref="P351" location="Acts!A21" display="Go to Act" xr:uid="{00000000-0004-0000-0300-00005D010000}"/>
    <hyperlink ref="P352" location="Acts!A21" display="Go to Act" xr:uid="{00000000-0004-0000-0300-00005E010000}"/>
    <hyperlink ref="P353" location="Acts!A21" display="Go to Act" xr:uid="{00000000-0004-0000-0300-00005F010000}"/>
    <hyperlink ref="P354" location="Acts!A21" display="Go to Act" xr:uid="{00000000-0004-0000-0300-000060010000}"/>
    <hyperlink ref="P355" location="Acts!A21" display="Go to Act" xr:uid="{00000000-0004-0000-0300-000061010000}"/>
    <hyperlink ref="P356" location="Acts!A21" display="Go to Act" xr:uid="{00000000-0004-0000-0300-000062010000}"/>
    <hyperlink ref="P357" location="Acts!A21" display="Go to Act" xr:uid="{00000000-0004-0000-0300-000063010000}"/>
    <hyperlink ref="P358" location="Acts!A21" display="Go to Act" xr:uid="{00000000-0004-0000-0300-000064010000}"/>
    <hyperlink ref="P359" location="Acts!A21" display="Go to Act" xr:uid="{00000000-0004-0000-0300-000065010000}"/>
    <hyperlink ref="P360" location="Acts!A21" display="Go to Act" xr:uid="{00000000-0004-0000-0300-000066010000}"/>
    <hyperlink ref="P361" location="Acts!A21" display="Go to Act" xr:uid="{00000000-0004-0000-0300-000067010000}"/>
    <hyperlink ref="P362" location="Acts!A21" display="Go to Act" xr:uid="{00000000-0004-0000-0300-000068010000}"/>
    <hyperlink ref="P363" location="Acts!A21" display="Go to Act" xr:uid="{00000000-0004-0000-0300-000069010000}"/>
    <hyperlink ref="P364" location="Acts!A21" display="Go to Act" xr:uid="{00000000-0004-0000-0300-00006A010000}"/>
    <hyperlink ref="P365" location="Acts!A21" display="Go to Act" xr:uid="{00000000-0004-0000-0300-00006B010000}"/>
    <hyperlink ref="P366" location="Acts!A21" display="Go to Act" xr:uid="{00000000-0004-0000-0300-00006C010000}"/>
    <hyperlink ref="P367" location="Acts!A21" display="Go to Act" xr:uid="{00000000-0004-0000-0300-00006D010000}"/>
    <hyperlink ref="P368" location="Acts!A21" display="Go to Act" xr:uid="{00000000-0004-0000-0300-00006E010000}"/>
    <hyperlink ref="P369" location="Acts!A21" display="Go to Act" xr:uid="{00000000-0004-0000-0300-00006F010000}"/>
    <hyperlink ref="P370" location="Acts!A25" display="Go to Act" xr:uid="{00000000-0004-0000-0300-000070010000}"/>
    <hyperlink ref="P371" location="Acts!A25" display="Go to Act" xr:uid="{00000000-0004-0000-0300-000071010000}"/>
    <hyperlink ref="P372" location="Acts!A27" display="Go to Act" xr:uid="{00000000-0004-0000-0300-000072010000}"/>
    <hyperlink ref="P373" location="Acts!A28" display="Go to Act" xr:uid="{00000000-0004-0000-0300-000073010000}"/>
    <hyperlink ref="P374" location="Acts!A28" display="Go to Act" xr:uid="{00000000-0004-0000-0300-000074010000}"/>
    <hyperlink ref="P375" location="Acts!A28" display="Go to Act" xr:uid="{00000000-0004-0000-0300-000075010000}"/>
    <hyperlink ref="P376" location="Acts!A28" display="Go to Act" xr:uid="{00000000-0004-0000-0300-000076010000}"/>
    <hyperlink ref="P377" location="Acts!A28" display="Go to Act" xr:uid="{00000000-0004-0000-0300-000077010000}"/>
    <hyperlink ref="P378" location="Acts!A28" display="Go to Act" xr:uid="{00000000-0004-0000-0300-000078010000}"/>
    <hyperlink ref="P379" location="Acts!A28" display="Go to Act" xr:uid="{00000000-0004-0000-0300-000079010000}"/>
    <hyperlink ref="P380" location="Acts!A28" display="Go to Act" xr:uid="{00000000-0004-0000-0300-00007A010000}"/>
    <hyperlink ref="P381" location="Acts!A28" display="Go to Act" xr:uid="{00000000-0004-0000-0300-00007B010000}"/>
    <hyperlink ref="P382" location="Acts!A28" display="Go to Act" xr:uid="{00000000-0004-0000-0300-00007C010000}"/>
    <hyperlink ref="P383" location="Acts!A28" display="Go to Act" xr:uid="{00000000-0004-0000-0300-00007D010000}"/>
    <hyperlink ref="P384" location="Acts!A28" display="Go to Act" xr:uid="{00000000-0004-0000-0300-00007E010000}"/>
    <hyperlink ref="P385" location="Acts!A28" display="Go to Act" xr:uid="{00000000-0004-0000-0300-00007F010000}"/>
    <hyperlink ref="P386" location="Acts!A28" display="Go to Act" xr:uid="{00000000-0004-0000-0300-000080010000}"/>
    <hyperlink ref="P387" location="Acts!A28" display="Go to Act" xr:uid="{00000000-0004-0000-0300-000081010000}"/>
    <hyperlink ref="P388" location="Acts!A28" display="Go to Act" xr:uid="{00000000-0004-0000-0300-000082010000}"/>
    <hyperlink ref="P389" location="Acts!A28" display="Go to Act" xr:uid="{00000000-0004-0000-0300-000083010000}"/>
    <hyperlink ref="P390" location="Acts!A28" display="Go to Act" xr:uid="{00000000-0004-0000-0300-000084010000}"/>
    <hyperlink ref="P391" location="Acts!A28" display="Go to Act" xr:uid="{00000000-0004-0000-0300-000085010000}"/>
    <hyperlink ref="P392" location="Acts!A28" display="Go to Act" xr:uid="{00000000-0004-0000-0300-000086010000}"/>
    <hyperlink ref="P393" location="Acts!A28" display="Go to Act" xr:uid="{00000000-0004-0000-0300-000087010000}"/>
    <hyperlink ref="P394" location="Acts!A28" display="Go to Act" xr:uid="{00000000-0004-0000-0300-000088010000}"/>
    <hyperlink ref="P395" location="Acts!A28" display="Go to Act" xr:uid="{00000000-0004-0000-0300-000089010000}"/>
    <hyperlink ref="P396" location="Acts!A28" display="Go to Act" xr:uid="{00000000-0004-0000-0300-00008A010000}"/>
    <hyperlink ref="P397" location="Acts!A28" display="Go to Act" xr:uid="{00000000-0004-0000-0300-00008B010000}"/>
    <hyperlink ref="P398" location="Acts!A28" display="Go to Act" xr:uid="{00000000-0004-0000-0300-00008C010000}"/>
    <hyperlink ref="P399" location="Acts!A28" display="Go to Act" xr:uid="{00000000-0004-0000-0300-00008D010000}"/>
    <hyperlink ref="P400" location="Acts!A28" display="Go to Act" xr:uid="{00000000-0004-0000-0300-00008E010000}"/>
    <hyperlink ref="P401" location="Acts!A28" display="Go to Act" xr:uid="{00000000-0004-0000-0300-00008F010000}"/>
    <hyperlink ref="P402" location="Acts!A28" display="Go to Act" xr:uid="{00000000-0004-0000-0300-000090010000}"/>
    <hyperlink ref="P403" location="Acts!A28" display="Go to Act" xr:uid="{00000000-0004-0000-0300-000091010000}"/>
    <hyperlink ref="P404" location="Acts!A28" display="Go to Act" xr:uid="{00000000-0004-0000-0300-000092010000}"/>
    <hyperlink ref="P405" location="Acts!A28" display="Go to Act" xr:uid="{00000000-0004-0000-0300-000093010000}"/>
    <hyperlink ref="P406" location="Acts!A28" display="Go to Act" xr:uid="{00000000-0004-0000-0300-000094010000}"/>
    <hyperlink ref="P407" location="Acts!A28" display="Go to Act" xr:uid="{00000000-0004-0000-0300-000095010000}"/>
    <hyperlink ref="P408" location="Acts!A28" display="Go to Act" xr:uid="{00000000-0004-0000-0300-000096010000}"/>
    <hyperlink ref="P409" location="Acts!A28" display="Go to Act" xr:uid="{00000000-0004-0000-0300-000097010000}"/>
    <hyperlink ref="P410" location="Acts!A29" display="Go to Act" xr:uid="{00000000-0004-0000-0300-000098010000}"/>
    <hyperlink ref="P411" location="Acts!A29" display="Go to Act" xr:uid="{00000000-0004-0000-0300-000099010000}"/>
    <hyperlink ref="P412" location="Acts!A29" display="Go to Act" xr:uid="{00000000-0004-0000-0300-00009A010000}"/>
    <hyperlink ref="P413" location="Acts!A29" display="Go to Act" xr:uid="{00000000-0004-0000-0300-00009B010000}"/>
    <hyperlink ref="P414" location="Acts!A29" display="Go to Act" xr:uid="{00000000-0004-0000-0300-00009C010000}"/>
    <hyperlink ref="P415" location="Acts!A29" display="Go to Act" xr:uid="{00000000-0004-0000-0300-00009D010000}"/>
    <hyperlink ref="P416" location="Acts!A29" display="Go to Act" xr:uid="{00000000-0004-0000-0300-00009E010000}"/>
    <hyperlink ref="P417" location="Acts!A29" display="Go to Act" xr:uid="{00000000-0004-0000-0300-00009F010000}"/>
    <hyperlink ref="P418" location="Acts!A29" display="Go to Act" xr:uid="{00000000-0004-0000-0300-0000A0010000}"/>
    <hyperlink ref="P419" location="Acts!A29" display="Go to Act" xr:uid="{00000000-0004-0000-0300-0000A1010000}"/>
    <hyperlink ref="P420" location="Acts!A29" display="Go to Act" xr:uid="{00000000-0004-0000-0300-0000A2010000}"/>
    <hyperlink ref="P421" location="Acts!A29" display="Go to Act" xr:uid="{00000000-0004-0000-0300-0000A3010000}"/>
    <hyperlink ref="P422" location="Acts!A29" display="Go to Act" xr:uid="{00000000-0004-0000-0300-0000A4010000}"/>
    <hyperlink ref="P423" location="Acts!A29" display="Go to Act" xr:uid="{00000000-0004-0000-0300-0000A5010000}"/>
    <hyperlink ref="P424" location="Acts!A29" display="Go to Act" xr:uid="{00000000-0004-0000-0300-0000A6010000}"/>
    <hyperlink ref="P425" location="Acts!A29" display="Go to Act" xr:uid="{00000000-0004-0000-0300-0000A7010000}"/>
    <hyperlink ref="P426" location="Acts!A29" display="Go to Act" xr:uid="{00000000-0004-0000-0300-0000A8010000}"/>
    <hyperlink ref="P427" location="Acts!A29" display="Go to Act" xr:uid="{00000000-0004-0000-0300-0000A9010000}"/>
    <hyperlink ref="P428" location="Acts!A29" display="Go to Act" xr:uid="{00000000-0004-0000-0300-0000AA010000}"/>
    <hyperlink ref="P429" location="Acts!A29" display="Go to Act" xr:uid="{00000000-0004-0000-0300-0000AB010000}"/>
    <hyperlink ref="P430" location="Acts!A29" display="Go to Act" xr:uid="{00000000-0004-0000-0300-0000AC010000}"/>
    <hyperlink ref="P431" location="Acts!A29" display="Go to Act" xr:uid="{00000000-0004-0000-0300-0000AD010000}"/>
    <hyperlink ref="P432" location="Acts!A29" display="Go to Act" xr:uid="{00000000-0004-0000-0300-0000AE010000}"/>
    <hyperlink ref="P433" location="Acts!A30" display="Go to Act" xr:uid="{00000000-0004-0000-0300-0000AF010000}"/>
    <hyperlink ref="P434" location="Acts!A30" display="Go to Act" xr:uid="{00000000-0004-0000-0300-0000B0010000}"/>
    <hyperlink ref="P435" location="Acts!A31" display="Go to Act" xr:uid="{00000000-0004-0000-0300-0000B1010000}"/>
    <hyperlink ref="P436" location="Acts!A31" display="Go to Act" xr:uid="{00000000-0004-0000-0300-0000B2010000}"/>
    <hyperlink ref="P437" location="Acts!A31" display="Go to Act" xr:uid="{00000000-0004-0000-0300-0000B3010000}"/>
    <hyperlink ref="P438" location="Acts!A31" display="Go to Act" xr:uid="{00000000-0004-0000-0300-0000B4010000}"/>
    <hyperlink ref="P439" location="Acts!A31" display="Go to Act" xr:uid="{00000000-0004-0000-0300-0000B5010000}"/>
    <hyperlink ref="P440" location="Acts!A31" display="Go to Act" xr:uid="{00000000-0004-0000-0300-0000B6010000}"/>
    <hyperlink ref="P441" location="Acts!A31" display="Go to Act" xr:uid="{00000000-0004-0000-0300-0000B7010000}"/>
    <hyperlink ref="P442" location="Acts!A31" display="Go to Act" xr:uid="{00000000-0004-0000-0300-0000B8010000}"/>
    <hyperlink ref="P443" location="Acts!A31" display="Go to Act" xr:uid="{00000000-0004-0000-0300-0000B9010000}"/>
    <hyperlink ref="P444" location="Acts!A31" display="Go to Act" xr:uid="{00000000-0004-0000-0300-0000BA010000}"/>
    <hyperlink ref="P445" location="Acts!A31" display="Go to Act" xr:uid="{00000000-0004-0000-0300-0000BB010000}"/>
    <hyperlink ref="P446" location="Acts!A31" display="Go to Act" xr:uid="{00000000-0004-0000-0300-0000BC010000}"/>
    <hyperlink ref="P447" location="Acts!A31" display="Go to Act" xr:uid="{00000000-0004-0000-0300-0000BD010000}"/>
    <hyperlink ref="P448" location="Acts!A31" display="Go to Act" xr:uid="{00000000-0004-0000-0300-0000BE010000}"/>
    <hyperlink ref="P449" location="Acts!A31" display="Go to Act" xr:uid="{00000000-0004-0000-0300-0000BF010000}"/>
    <hyperlink ref="P450" location="Acts!A31" display="Go to Act" xr:uid="{00000000-0004-0000-0300-0000C0010000}"/>
    <hyperlink ref="P451" location="Acts!A31" display="Go to Act" xr:uid="{00000000-0004-0000-0300-0000C1010000}"/>
    <hyperlink ref="P452" location="Acts!A31" display="Go to Act" xr:uid="{00000000-0004-0000-0300-0000C2010000}"/>
    <hyperlink ref="P453" location="Acts!A31" display="Go to Act" xr:uid="{00000000-0004-0000-0300-0000C3010000}"/>
    <hyperlink ref="P454" location="Acts!A31" display="Go to Act" xr:uid="{00000000-0004-0000-0300-0000C4010000}"/>
    <hyperlink ref="P455" location="Acts!A31" display="Go to Act" xr:uid="{00000000-0004-0000-0300-0000C5010000}"/>
    <hyperlink ref="P456" location="Acts!A31" display="Go to Act" xr:uid="{00000000-0004-0000-0300-0000C6010000}"/>
    <hyperlink ref="P457" location="Acts!A32" display="Go to Act" xr:uid="{00000000-0004-0000-0300-0000C7010000}"/>
    <hyperlink ref="P458" location="Acts!A33" display="Go to Act" xr:uid="{00000000-0004-0000-0300-0000C8010000}"/>
    <hyperlink ref="P459" location="Acts!A33" display="Go to Act" xr:uid="{00000000-0004-0000-0300-0000C9010000}"/>
    <hyperlink ref="P460" location="Acts!A33" display="Go to Act" xr:uid="{00000000-0004-0000-0300-0000CA010000}"/>
    <hyperlink ref="P461" location="Acts!A33" display="Go to Act" xr:uid="{00000000-0004-0000-0300-0000CB010000}"/>
    <hyperlink ref="P462" location="Acts!A33" display="Go to Act" xr:uid="{00000000-0004-0000-0300-0000CC010000}"/>
    <hyperlink ref="P463" location="Acts!A33" display="Go to Act" xr:uid="{00000000-0004-0000-0300-0000CD010000}"/>
    <hyperlink ref="P464" location="Acts!A33" display="Go to Act" xr:uid="{00000000-0004-0000-0300-0000CE010000}"/>
    <hyperlink ref="P465" location="Acts!A33" display="Go to Act" xr:uid="{00000000-0004-0000-0300-0000CF010000}"/>
    <hyperlink ref="P466" location="Acts!A33" display="Go to Act" xr:uid="{00000000-0004-0000-0300-0000D0010000}"/>
    <hyperlink ref="P467" location="Acts!A33" display="Go to Act" xr:uid="{00000000-0004-0000-0300-0000D1010000}"/>
    <hyperlink ref="P468" location="Acts!A33" display="Go to Act" xr:uid="{00000000-0004-0000-0300-0000D2010000}"/>
    <hyperlink ref="P469" location="Acts!A33" display="Go to Act" xr:uid="{00000000-0004-0000-0300-0000D3010000}"/>
    <hyperlink ref="P470" location="Acts!A33" display="Go to Act" xr:uid="{00000000-0004-0000-0300-0000D4010000}"/>
    <hyperlink ref="P471" location="Acts!A33" display="Go to Act" xr:uid="{00000000-0004-0000-0300-0000D5010000}"/>
    <hyperlink ref="P472" location="Acts!A33" display="Go to Act" xr:uid="{00000000-0004-0000-0300-0000D6010000}"/>
    <hyperlink ref="P473" location="Acts!A33" display="Go to Act" xr:uid="{00000000-0004-0000-0300-0000D7010000}"/>
    <hyperlink ref="P474" location="Acts!A33" display="Go to Act" xr:uid="{00000000-0004-0000-0300-0000D8010000}"/>
    <hyperlink ref="P475" location="Acts!A33" display="Go to Act" xr:uid="{00000000-0004-0000-0300-0000D9010000}"/>
    <hyperlink ref="P476" location="Acts!A33" display="Go to Act" xr:uid="{00000000-0004-0000-0300-0000DA010000}"/>
    <hyperlink ref="P477" location="Acts!A33" display="Go to Act" xr:uid="{00000000-0004-0000-0300-0000DB010000}"/>
    <hyperlink ref="P478" location="Acts!A33" display="Go to Act" xr:uid="{00000000-0004-0000-0300-0000DC010000}"/>
    <hyperlink ref="P479" location="Acts!A33" display="Go to Act" xr:uid="{00000000-0004-0000-0300-0000DD010000}"/>
    <hyperlink ref="P480" location="Acts!A33" display="Go to Act" xr:uid="{00000000-0004-0000-0300-0000DE010000}"/>
    <hyperlink ref="P481" location="Acts!A33" display="Go to Act" xr:uid="{00000000-0004-0000-0300-0000DF010000}"/>
    <hyperlink ref="P482" location="Acts!A33" display="Go to Act" xr:uid="{00000000-0004-0000-0300-0000E0010000}"/>
    <hyperlink ref="P483" location="Acts!A33" display="Go to Act" xr:uid="{00000000-0004-0000-0300-0000E1010000}"/>
    <hyperlink ref="P484" location="Acts!A33" display="Go to Act" xr:uid="{00000000-0004-0000-0300-0000E2010000}"/>
    <hyperlink ref="P485" location="Acts!A33" display="Go to Act" xr:uid="{00000000-0004-0000-0300-0000E3010000}"/>
    <hyperlink ref="P486" location="Acts!A33" display="Go to Act" xr:uid="{00000000-0004-0000-0300-0000E4010000}"/>
    <hyperlink ref="P487" location="Acts!A33" display="Go to Act" xr:uid="{00000000-0004-0000-0300-0000E5010000}"/>
    <hyperlink ref="P488" location="Acts!A33" display="Go to Act" xr:uid="{00000000-0004-0000-0300-0000E6010000}"/>
    <hyperlink ref="P489" location="Acts!A33" display="Go to Act" xr:uid="{00000000-0004-0000-0300-0000E7010000}"/>
    <hyperlink ref="P490" location="Acts!A33" display="Go to Act" xr:uid="{00000000-0004-0000-0300-0000E8010000}"/>
    <hyperlink ref="P491" location="Acts!A34" display="Go to Act" xr:uid="{00000000-0004-0000-0300-0000E9010000}"/>
    <hyperlink ref="P492" location="Acts!A34" display="Go to Act" xr:uid="{00000000-0004-0000-0300-0000EA010000}"/>
    <hyperlink ref="P493" location="Acts!A34" display="Go to Act" xr:uid="{00000000-0004-0000-0300-0000EB010000}"/>
    <hyperlink ref="P494" location="Acts!A34" display="Go to Act" xr:uid="{00000000-0004-0000-0300-0000EC010000}"/>
    <hyperlink ref="P495" location="Acts!A34" display="Go to Act" xr:uid="{00000000-0004-0000-0300-0000ED010000}"/>
    <hyperlink ref="P496" location="Acts!A34" display="Go to Act" xr:uid="{00000000-0004-0000-0300-0000EE010000}"/>
    <hyperlink ref="P497" location="Acts!A34" display="Go to Act" xr:uid="{00000000-0004-0000-0300-0000EF010000}"/>
    <hyperlink ref="P498" location="Acts!A34" display="Go to Act" xr:uid="{00000000-0004-0000-0300-0000F0010000}"/>
    <hyperlink ref="P499" location="Acts!A34" display="Go to Act" xr:uid="{00000000-0004-0000-0300-0000F1010000}"/>
    <hyperlink ref="P500" location="Acts!A34" display="Go to Act" xr:uid="{00000000-0004-0000-0300-0000F2010000}"/>
    <hyperlink ref="P501" location="Acts!A34" display="Go to Act" xr:uid="{00000000-0004-0000-0300-0000F3010000}"/>
    <hyperlink ref="P502" location="Acts!A34" display="Go to Act" xr:uid="{00000000-0004-0000-0300-0000F4010000}"/>
    <hyperlink ref="P503" location="Acts!A34" display="Go to Act" xr:uid="{00000000-0004-0000-0300-0000F5010000}"/>
    <hyperlink ref="P504" location="Acts!A34" display="Go to Act" xr:uid="{00000000-0004-0000-0300-0000F6010000}"/>
    <hyperlink ref="P505" location="Acts!A34" display="Go to Act" xr:uid="{00000000-0004-0000-0300-0000F7010000}"/>
    <hyperlink ref="P506" location="Acts!A34" display="Go to Act" xr:uid="{00000000-0004-0000-0300-0000F8010000}"/>
    <hyperlink ref="P507" location="Acts!A34" display="Go to Act" xr:uid="{00000000-0004-0000-0300-0000F9010000}"/>
    <hyperlink ref="P508" location="Acts!A34" display="Go to Act" xr:uid="{00000000-0004-0000-0300-0000FA010000}"/>
    <hyperlink ref="P509" location="Acts!A34" display="Go to Act" xr:uid="{00000000-0004-0000-0300-0000FB010000}"/>
    <hyperlink ref="P510" location="Acts!A34" display="Go to Act" xr:uid="{00000000-0004-0000-0300-0000FC010000}"/>
    <hyperlink ref="P511" location="Acts!A34" display="Go to Act" xr:uid="{00000000-0004-0000-0300-0000FD010000}"/>
    <hyperlink ref="P512" location="Acts!A34" display="Go to Act" xr:uid="{00000000-0004-0000-0300-0000FE010000}"/>
    <hyperlink ref="P513" location="Acts!A34" display="Go to Act" xr:uid="{00000000-0004-0000-0300-0000FF010000}"/>
    <hyperlink ref="P514" location="Acts!A34" display="Go to Act" xr:uid="{00000000-0004-0000-0300-000000020000}"/>
    <hyperlink ref="P515" location="Acts!A34" display="Go to Act" xr:uid="{00000000-0004-0000-0300-000001020000}"/>
    <hyperlink ref="P516" location="Acts!A34" display="Go to Act" xr:uid="{00000000-0004-0000-0300-000002020000}"/>
    <hyperlink ref="P517" location="Acts!A34" display="Go to Act" xr:uid="{00000000-0004-0000-0300-000003020000}"/>
    <hyperlink ref="P518" location="Acts!A34" display="Go to Act" xr:uid="{00000000-0004-0000-0300-000004020000}"/>
    <hyperlink ref="P519" location="Acts!A34" display="Go to Act" xr:uid="{00000000-0004-0000-0300-000005020000}"/>
    <hyperlink ref="P520" location="Acts!A34" display="Go to Act" xr:uid="{00000000-0004-0000-0300-000006020000}"/>
    <hyperlink ref="P521" location="Acts!A26" display="Go to Act" xr:uid="{00000000-0004-0000-0300-000007020000}"/>
    <hyperlink ref="P522" location="Acts!A26" display="Go to Act" xr:uid="{00000000-0004-0000-0300-000008020000}"/>
    <hyperlink ref="P523" location="Acts!A26" display="Go to Act" xr:uid="{00000000-0004-0000-0300-000009020000}"/>
    <hyperlink ref="P524" location="Acts!A26" display="Go to Act" xr:uid="{00000000-0004-0000-0300-00000A020000}"/>
    <hyperlink ref="P525" location="Acts!A26" display="Go to Act" xr:uid="{00000000-0004-0000-0300-00000B020000}"/>
    <hyperlink ref="P526" location="Acts!A26" display="Go to Act" xr:uid="{00000000-0004-0000-0300-00000C020000}"/>
    <hyperlink ref="P527" location="Acts!A26" display="Go to Act" xr:uid="{00000000-0004-0000-0300-00000D020000}"/>
    <hyperlink ref="P528" location="Acts!A26" display="Go to Act" xr:uid="{00000000-0004-0000-0300-00000E020000}"/>
    <hyperlink ref="P529" location="Acts!A26" display="Go to Act" xr:uid="{00000000-0004-0000-0300-00000F020000}"/>
    <hyperlink ref="P530" location="Acts!A26" display="Go to Act" xr:uid="{00000000-0004-0000-0300-000010020000}"/>
    <hyperlink ref="P531" location="Acts!A26" display="Go to Act" xr:uid="{00000000-0004-0000-0300-000011020000}"/>
    <hyperlink ref="P532" location="Acts!A26" display="Go to Act" xr:uid="{00000000-0004-0000-0300-000012020000}"/>
    <hyperlink ref="P533" location="Acts!A26" display="Go to Act" xr:uid="{00000000-0004-0000-0300-000013020000}"/>
    <hyperlink ref="P534" location="Acts!A26" display="Go to Act" xr:uid="{00000000-0004-0000-0300-000014020000}"/>
    <hyperlink ref="P535" location="Acts!A26" display="Go to Act" xr:uid="{00000000-0004-0000-0300-000015020000}"/>
    <hyperlink ref="P536" location="Acts!A26" display="Go to Act" xr:uid="{00000000-0004-0000-0300-000016020000}"/>
    <hyperlink ref="P537" location="Acts!A26" display="Go to Act" xr:uid="{00000000-0004-0000-0300-000017020000}"/>
    <hyperlink ref="P538" location="Acts!A26" display="Go to Act" xr:uid="{00000000-0004-0000-0300-000018020000}"/>
    <hyperlink ref="P539" location="Acts!A26" display="Go to Act" xr:uid="{00000000-0004-0000-0300-000019020000}"/>
    <hyperlink ref="P540" location="Acts!A26" display="Go to Act" xr:uid="{00000000-0004-0000-0300-00001A020000}"/>
    <hyperlink ref="P541" location="Acts!A26" display="Go to Act" xr:uid="{00000000-0004-0000-0300-00001B020000}"/>
    <hyperlink ref="P542" location="Acts!A35" display="Go to Act" xr:uid="{00000000-0004-0000-0300-00001C020000}"/>
    <hyperlink ref="P543" location="Acts!A35" display="Go to Act" xr:uid="{00000000-0004-0000-0300-00001D020000}"/>
    <hyperlink ref="P544" location="Acts!A35" display="Go to Act" xr:uid="{00000000-0004-0000-0300-00001E020000}"/>
    <hyperlink ref="P545" location="Acts!A35" display="Go to Act" xr:uid="{00000000-0004-0000-0300-00001F020000}"/>
    <hyperlink ref="P546" location="Acts!A35" display="Go to Act" xr:uid="{00000000-0004-0000-0300-000020020000}"/>
    <hyperlink ref="P547" location="Acts!A35" display="Go to Act" xr:uid="{00000000-0004-0000-0300-000021020000}"/>
    <hyperlink ref="P548" location="Acts!A35" display="Go to Act" xr:uid="{00000000-0004-0000-0300-000022020000}"/>
    <hyperlink ref="P549" location="Acts!A35" display="Go to Act" xr:uid="{00000000-0004-0000-0300-000023020000}"/>
    <hyperlink ref="P550" location="Acts!A35" display="Go to Act" xr:uid="{00000000-0004-0000-0300-000024020000}"/>
    <hyperlink ref="P551" location="Acts!A35" display="Go to Act" xr:uid="{00000000-0004-0000-0300-000025020000}"/>
    <hyperlink ref="P552" location="Acts!A35" display="Go to Act" xr:uid="{00000000-0004-0000-0300-000026020000}"/>
    <hyperlink ref="P553" location="Acts!A35" display="Go to Act" xr:uid="{00000000-0004-0000-0300-000027020000}"/>
    <hyperlink ref="P554" location="Acts!A35" display="Go to Act" xr:uid="{00000000-0004-0000-0300-000028020000}"/>
    <hyperlink ref="P555" location="Acts!A35" display="Go to Act" xr:uid="{00000000-0004-0000-0300-000029020000}"/>
    <hyperlink ref="P556" location="Acts!A35" display="Go to Act" xr:uid="{00000000-0004-0000-0300-00002A020000}"/>
    <hyperlink ref="P557" location="Acts!A35" display="Go to Act" xr:uid="{00000000-0004-0000-0300-00002B020000}"/>
    <hyperlink ref="P558" location="Acts!A35" display="Go to Act" xr:uid="{00000000-0004-0000-0300-00002C020000}"/>
    <hyperlink ref="P559" location="Acts!A35" display="Go to Act" xr:uid="{00000000-0004-0000-0300-00002D020000}"/>
    <hyperlink ref="P560" location="Acts!A35" display="Go to Act" xr:uid="{00000000-0004-0000-0300-00002E020000}"/>
    <hyperlink ref="P561" location="Acts!A35" display="Go to Act" xr:uid="{00000000-0004-0000-0300-00002F020000}"/>
    <hyperlink ref="P562" location="Acts!A35" display="Go to Act" xr:uid="{00000000-0004-0000-0300-000030020000}"/>
    <hyperlink ref="P563" location="Acts!A35" display="Go to Act" xr:uid="{00000000-0004-0000-0300-000031020000}"/>
    <hyperlink ref="P564" location="Acts!A35" display="Go to Act" xr:uid="{00000000-0004-0000-0300-000032020000}"/>
    <hyperlink ref="P565" location="Acts!A35" display="Go to Act" xr:uid="{00000000-0004-0000-0300-000033020000}"/>
    <hyperlink ref="P566" location="Acts!A35" display="Go to Act" xr:uid="{00000000-0004-0000-0300-000034020000}"/>
    <hyperlink ref="P567" location="Acts!A35" display="Go to Act" xr:uid="{00000000-0004-0000-0300-000035020000}"/>
    <hyperlink ref="P568" location="Acts!A35" display="Go to Act" xr:uid="{00000000-0004-0000-0300-000036020000}"/>
    <hyperlink ref="P569" location="Acts!A35" display="Go to Act" xr:uid="{00000000-0004-0000-0300-000037020000}"/>
    <hyperlink ref="P570" location="Acts!A35" display="Go to Act" xr:uid="{00000000-0004-0000-0300-000038020000}"/>
    <hyperlink ref="P571" location="Acts!A35" display="Go to Act" xr:uid="{00000000-0004-0000-0300-000039020000}"/>
    <hyperlink ref="P572" location="Acts!A35" display="Go to Act" xr:uid="{00000000-0004-0000-0300-00003A020000}"/>
    <hyperlink ref="P573" location="Acts!A35" display="Go to Act" xr:uid="{00000000-0004-0000-0300-00003B020000}"/>
    <hyperlink ref="P574" location="Acts!A35" display="Go to Act" xr:uid="{00000000-0004-0000-0300-00003C020000}"/>
    <hyperlink ref="P575" location="Acts!A35" display="Go to Act" xr:uid="{00000000-0004-0000-0300-00003D020000}"/>
    <hyperlink ref="P576" location="Acts!A35" display="Go to Act" xr:uid="{00000000-0004-0000-0300-00003E020000}"/>
    <hyperlink ref="P577" location="Acts!A35" display="Go to Act" xr:uid="{00000000-0004-0000-0300-00003F020000}"/>
    <hyperlink ref="P578" location="Acts!A35" display="Go to Act" xr:uid="{00000000-0004-0000-0300-000040020000}"/>
    <hyperlink ref="P579" location="Acts!A35" display="Go to Act" xr:uid="{00000000-0004-0000-0300-000041020000}"/>
    <hyperlink ref="P580" location="Acts!A35" display="Go to Act" xr:uid="{00000000-0004-0000-0300-000042020000}"/>
    <hyperlink ref="P581" location="Acts!A35" display="Go to Act" xr:uid="{00000000-0004-0000-0300-000043020000}"/>
    <hyperlink ref="P582" location="Acts!A35" display="Go to Act" xr:uid="{00000000-0004-0000-0300-000044020000}"/>
    <hyperlink ref="P583" location="Acts!A35" display="Go to Act" xr:uid="{00000000-0004-0000-0300-000045020000}"/>
    <hyperlink ref="P584" location="Acts!A35" display="Go to Act" xr:uid="{00000000-0004-0000-0300-000046020000}"/>
    <hyperlink ref="P585" location="Acts!A35" display="Go to Act" xr:uid="{00000000-0004-0000-0300-000047020000}"/>
    <hyperlink ref="P586" location="Acts!A35" display="Go to Act" xr:uid="{00000000-0004-0000-0300-000048020000}"/>
    <hyperlink ref="P587" location="Acts!A35" display="Go to Act" xr:uid="{00000000-0004-0000-0300-000049020000}"/>
    <hyperlink ref="P588" location="Acts!A35" display="Go to Act" xr:uid="{00000000-0004-0000-0300-00004A020000}"/>
    <hyperlink ref="P589" location="Acts!A35" display="Go to Act" xr:uid="{00000000-0004-0000-0300-00004B020000}"/>
    <hyperlink ref="P590" location="Acts!A36" display="Go to Act" xr:uid="{00000000-0004-0000-0300-00004C020000}"/>
    <hyperlink ref="P591" location="Acts!A36" display="Go to Act" xr:uid="{00000000-0004-0000-0300-00004D020000}"/>
    <hyperlink ref="P592" location="Acts!A36" display="Go to Act" xr:uid="{00000000-0004-0000-0300-00004E020000}"/>
    <hyperlink ref="P593" location="Acts!A36" display="Go to Act" xr:uid="{00000000-0004-0000-0300-00004F020000}"/>
    <hyperlink ref="P594" location="Acts!A36" display="Go to Act" xr:uid="{00000000-0004-0000-0300-000050020000}"/>
    <hyperlink ref="P595" location="Acts!A36" display="Go to Act" xr:uid="{00000000-0004-0000-0300-000051020000}"/>
    <hyperlink ref="P596" location="Acts!A36" display="Go to Act" xr:uid="{00000000-0004-0000-0300-000052020000}"/>
    <hyperlink ref="P597" location="Acts!A36" display="Go to Act" xr:uid="{00000000-0004-0000-0300-000053020000}"/>
    <hyperlink ref="P598" location="Acts!A36" display="Go to Act" xr:uid="{00000000-0004-0000-0300-000054020000}"/>
    <hyperlink ref="P599" location="Acts!A36" display="Go to Act" xr:uid="{00000000-0004-0000-0300-000055020000}"/>
    <hyperlink ref="P600" location="Acts!A36" display="Go to Act" xr:uid="{00000000-0004-0000-0300-000056020000}"/>
    <hyperlink ref="P601" location="Acts!A36" display="Go to Act" xr:uid="{00000000-0004-0000-0300-000057020000}"/>
    <hyperlink ref="P602" location="Acts!A36" display="Go to Act" xr:uid="{00000000-0004-0000-0300-000058020000}"/>
    <hyperlink ref="P603" location="Acts!A36" display="Go to Act" xr:uid="{00000000-0004-0000-0300-000059020000}"/>
    <hyperlink ref="P604" location="Acts!A36" display="Go to Act" xr:uid="{00000000-0004-0000-0300-00005A020000}"/>
    <hyperlink ref="P605" location="Acts!A36" display="Go to Act" xr:uid="{00000000-0004-0000-0300-00005B020000}"/>
    <hyperlink ref="P606" location="Acts!A36" display="Go to Act" xr:uid="{00000000-0004-0000-0300-00005C020000}"/>
    <hyperlink ref="P607" location="Acts!A36" display="Go to Act" xr:uid="{00000000-0004-0000-0300-00005D020000}"/>
    <hyperlink ref="P608" location="Acts!A36" display="Go to Act" xr:uid="{00000000-0004-0000-0300-00005E020000}"/>
    <hyperlink ref="P609" location="Acts!A36" display="Go to Act" xr:uid="{00000000-0004-0000-0300-00005F020000}"/>
    <hyperlink ref="P610" location="Acts!A36" display="Go to Act" xr:uid="{00000000-0004-0000-0300-000060020000}"/>
    <hyperlink ref="P611" location="Acts!A36" display="Go to Act" xr:uid="{00000000-0004-0000-0300-000061020000}"/>
    <hyperlink ref="P612" location="Acts!A36" display="Go to Act" xr:uid="{00000000-0004-0000-0300-000062020000}"/>
    <hyperlink ref="P613" location="Acts!A36" display="Go to Act" xr:uid="{00000000-0004-0000-0300-000063020000}"/>
    <hyperlink ref="P614" location="Acts!A36" display="Go to Act" xr:uid="{00000000-0004-0000-0300-000064020000}"/>
    <hyperlink ref="P615" location="Acts!A36" display="Go to Act" xr:uid="{00000000-0004-0000-0300-000065020000}"/>
    <hyperlink ref="P616" location="Acts!A36" display="Go to Act" xr:uid="{00000000-0004-0000-0300-000066020000}"/>
    <hyperlink ref="P617" location="Acts!A37" display="Go to Act" xr:uid="{00000000-0004-0000-0300-000067020000}"/>
    <hyperlink ref="P618" location="Acts!A37" display="Go to Act" xr:uid="{00000000-0004-0000-0300-000068020000}"/>
    <hyperlink ref="P619" location="Acts!A37" display="Go to Act" xr:uid="{00000000-0004-0000-0300-000069020000}"/>
    <hyperlink ref="P620" location="Acts!A37" display="Go to Act" xr:uid="{00000000-0004-0000-0300-00006A020000}"/>
    <hyperlink ref="P621" location="Acts!A37" display="Go to Act" xr:uid="{00000000-0004-0000-0300-00006B020000}"/>
    <hyperlink ref="P622" location="Acts!A37" display="Go to Act" xr:uid="{00000000-0004-0000-0300-00006C020000}"/>
    <hyperlink ref="P623" location="Acts!A37" display="Go to Act" xr:uid="{00000000-0004-0000-0300-00006D020000}"/>
    <hyperlink ref="P624" location="Acts!A37" display="Go to Act" xr:uid="{00000000-0004-0000-0300-00006E020000}"/>
    <hyperlink ref="P625" location="Acts!A37" display="Go to Act" xr:uid="{00000000-0004-0000-0300-00006F020000}"/>
    <hyperlink ref="P626" location="Acts!A37" display="Go to Act" xr:uid="{00000000-0004-0000-0300-000070020000}"/>
    <hyperlink ref="P627" location="Acts!A37" display="Go to Act" xr:uid="{00000000-0004-0000-0300-000071020000}"/>
    <hyperlink ref="P628" location="Acts!A37" display="Go to Act" xr:uid="{00000000-0004-0000-0300-000072020000}"/>
    <hyperlink ref="P629" location="Acts!A37" display="Go to Act" xr:uid="{00000000-0004-0000-0300-000073020000}"/>
    <hyperlink ref="P630" location="Acts!A37" display="Go to Act" xr:uid="{00000000-0004-0000-0300-000074020000}"/>
    <hyperlink ref="P631" location="Acts!A37" display="Go to Act" xr:uid="{00000000-0004-0000-0300-000075020000}"/>
    <hyperlink ref="P632" location="Acts!A37" display="Go to Act" xr:uid="{00000000-0004-0000-0300-000076020000}"/>
    <hyperlink ref="P633" location="Acts!A37" display="Go to Act" xr:uid="{00000000-0004-0000-0300-000077020000}"/>
    <hyperlink ref="P634" location="Acts!A37" display="Go to Act" xr:uid="{00000000-0004-0000-0300-000078020000}"/>
    <hyperlink ref="P635" location="Acts!A37" display="Go to Act" xr:uid="{00000000-0004-0000-0300-000079020000}"/>
    <hyperlink ref="P636" location="Acts!A37" display="Go to Act" xr:uid="{00000000-0004-0000-0300-00007A020000}"/>
    <hyperlink ref="P637" location="Acts!A37" display="Go to Act" xr:uid="{00000000-0004-0000-0300-00007B020000}"/>
    <hyperlink ref="P638" location="Acts!A37" display="Go to Act" xr:uid="{00000000-0004-0000-0300-00007C020000}"/>
    <hyperlink ref="P639" location="Acts!A37" display="Go to Act" xr:uid="{00000000-0004-0000-0300-00007D020000}"/>
    <hyperlink ref="P640" location="Acts!A37" display="Go to Act" xr:uid="{00000000-0004-0000-0300-00007E020000}"/>
    <hyperlink ref="P641" location="Acts!A37" display="Go to Act" xr:uid="{00000000-0004-0000-0300-00007F020000}"/>
    <hyperlink ref="P642" location="Acts!A37" display="Go to Act" xr:uid="{00000000-0004-0000-0300-000080020000}"/>
    <hyperlink ref="P643" location="Acts!A37" display="Go to Act" xr:uid="{00000000-0004-0000-0300-000081020000}"/>
    <hyperlink ref="P644" location="Acts!A37" display="Go to Act" xr:uid="{00000000-0004-0000-0300-000082020000}"/>
    <hyperlink ref="P645" location="Acts!A37" display="Go to Act" xr:uid="{00000000-0004-0000-0300-000083020000}"/>
    <hyperlink ref="P646" location="Acts!A37" display="Go to Act" xr:uid="{00000000-0004-0000-0300-000084020000}"/>
    <hyperlink ref="P647" location="Acts!A37" display="Go to Act" xr:uid="{00000000-0004-0000-0300-000085020000}"/>
    <hyperlink ref="P648" location="Acts!A37" display="Go to Act" xr:uid="{00000000-0004-0000-0300-000086020000}"/>
    <hyperlink ref="P649" location="Acts!A37" display="Go to Act" xr:uid="{00000000-0004-0000-0300-000087020000}"/>
    <hyperlink ref="P650" location="Acts!A37" display="Go to Act" xr:uid="{00000000-0004-0000-0300-000088020000}"/>
    <hyperlink ref="P651" location="Acts!A37" display="Go to Act" xr:uid="{00000000-0004-0000-0300-000089020000}"/>
    <hyperlink ref="P652" location="Acts!A37" display="Go to Act" xr:uid="{00000000-0004-0000-0300-00008A020000}"/>
    <hyperlink ref="P653" location="Acts!A37" display="Go to Act" xr:uid="{00000000-0004-0000-0300-00008B020000}"/>
    <hyperlink ref="P654" location="Acts!A37" display="Go to Act" xr:uid="{00000000-0004-0000-0300-00008C020000}"/>
    <hyperlink ref="P655" location="Acts!A37" display="Go to Act" xr:uid="{00000000-0004-0000-0300-00008D020000}"/>
    <hyperlink ref="P656" location="Acts!A37" display="Go to Act" xr:uid="{00000000-0004-0000-0300-00008E020000}"/>
    <hyperlink ref="P657" location="Acts!A37" display="Go to Act" xr:uid="{00000000-0004-0000-0300-00008F020000}"/>
    <hyperlink ref="P658" location="Acts!A37" display="Go to Act" xr:uid="{00000000-0004-0000-0300-000090020000}"/>
    <hyperlink ref="P659" location="Acts!A37" display="Go to Act" xr:uid="{00000000-0004-0000-0300-000091020000}"/>
    <hyperlink ref="P660" location="Acts!A37" display="Go to Act" xr:uid="{00000000-0004-0000-0300-000092020000}"/>
    <hyperlink ref="P661" location="Acts!A37" display="Go to Act" xr:uid="{00000000-0004-0000-0300-000093020000}"/>
    <hyperlink ref="P662" location="Acts!A37" display="Go to Act" xr:uid="{00000000-0004-0000-0300-000094020000}"/>
    <hyperlink ref="P663" location="Acts!A37" display="Go to Act" xr:uid="{00000000-0004-0000-0300-000095020000}"/>
    <hyperlink ref="P664" location="Acts!A37" display="Go to Act" xr:uid="{00000000-0004-0000-0300-000096020000}"/>
    <hyperlink ref="P665" location="Acts!A37" display="Go to Act" xr:uid="{00000000-0004-0000-0300-000097020000}"/>
    <hyperlink ref="P666" location="Acts!A37" display="Go to Act" xr:uid="{00000000-0004-0000-0300-000098020000}"/>
    <hyperlink ref="P667" location="Acts!A37" display="Go to Act" xr:uid="{00000000-0004-0000-0300-000099020000}"/>
    <hyperlink ref="P668" location="Acts!A37" display="Go to Act" xr:uid="{00000000-0004-0000-0300-00009A020000}"/>
    <hyperlink ref="P669" location="Acts!A37" display="Go to Act" xr:uid="{00000000-0004-0000-0300-00009B020000}"/>
    <hyperlink ref="P670" location="Acts!A37" display="Go to Act" xr:uid="{00000000-0004-0000-0300-00009C020000}"/>
    <hyperlink ref="P671" location="Acts!A37" display="Go to Act" xr:uid="{00000000-0004-0000-0300-00009D020000}"/>
    <hyperlink ref="P672" location="Acts!A37" display="Go to Act" xr:uid="{00000000-0004-0000-0300-00009E020000}"/>
    <hyperlink ref="P673" location="Acts!A37" display="Go to Act" xr:uid="{00000000-0004-0000-0300-00009F020000}"/>
    <hyperlink ref="P674" location="Acts!A37" display="Go to Act" xr:uid="{00000000-0004-0000-0300-0000A0020000}"/>
    <hyperlink ref="P675" location="Acts!A37" display="Go to Act" xr:uid="{00000000-0004-0000-0300-0000A1020000}"/>
    <hyperlink ref="P676" location="Acts!A37" display="Go to Act" xr:uid="{00000000-0004-0000-0300-0000A2020000}"/>
    <hyperlink ref="P677" location="Acts!A37" display="Go to Act" xr:uid="{00000000-0004-0000-0300-0000A3020000}"/>
    <hyperlink ref="P678" location="Acts!A37" display="Go to Act" xr:uid="{00000000-0004-0000-0300-0000A4020000}"/>
    <hyperlink ref="P679" location="Acts!A37" display="Go to Act" xr:uid="{00000000-0004-0000-0300-0000A5020000}"/>
    <hyperlink ref="P680" location="Acts!A37" display="Go to Act" xr:uid="{00000000-0004-0000-0300-0000A6020000}"/>
    <hyperlink ref="P681" location="Acts!A37" display="Go to Act" xr:uid="{00000000-0004-0000-0300-0000A7020000}"/>
    <hyperlink ref="P682" location="Acts!A38" display="Go to Act" xr:uid="{00000000-0004-0000-0300-0000A8020000}"/>
    <hyperlink ref="P683" location="Acts!A38" display="Go to Act" xr:uid="{00000000-0004-0000-0300-0000A9020000}"/>
    <hyperlink ref="P684" location="Acts!A38" display="Go to Act" xr:uid="{00000000-0004-0000-0300-0000AA020000}"/>
    <hyperlink ref="P685" location="Acts!A39" display="Go to Act" xr:uid="{00000000-0004-0000-0300-0000AB020000}"/>
    <hyperlink ref="P686" location="Acts!A39" display="Go to Act" xr:uid="{00000000-0004-0000-0300-0000AC020000}"/>
    <hyperlink ref="P687" location="Acts!A39" display="Go to Act" xr:uid="{00000000-0004-0000-0300-0000AD020000}"/>
    <hyperlink ref="P688" location="Acts!A39" display="Go to Act" xr:uid="{00000000-0004-0000-0300-0000AE020000}"/>
    <hyperlink ref="P689" location="Acts!A39" display="Go to Act" xr:uid="{00000000-0004-0000-0300-0000AF020000}"/>
    <hyperlink ref="P690" location="Acts!A39" display="Go to Act" xr:uid="{00000000-0004-0000-0300-0000B0020000}"/>
    <hyperlink ref="P691" location="Acts!A42" display="Go to Act" xr:uid="{00000000-0004-0000-0300-0000B1020000}"/>
    <hyperlink ref="P692" location="Acts!A42" display="Go to Act" xr:uid="{00000000-0004-0000-0300-0000B2020000}"/>
    <hyperlink ref="P693" location="Acts!A42" display="Go to Act" xr:uid="{00000000-0004-0000-0300-0000B3020000}"/>
    <hyperlink ref="P694" location="Acts!A42" display="Go to Act" xr:uid="{00000000-0004-0000-0300-0000B4020000}"/>
    <hyperlink ref="P695" location="Acts!A42" display="Go to Act" xr:uid="{00000000-0004-0000-0300-0000B5020000}"/>
    <hyperlink ref="P696" location="Acts!A42" display="Go to Act" xr:uid="{00000000-0004-0000-0300-0000B6020000}"/>
    <hyperlink ref="P697" location="Acts!A42" display="Go to Act" xr:uid="{00000000-0004-0000-0300-0000B7020000}"/>
    <hyperlink ref="P698" location="Acts!A42" display="Go to Act" xr:uid="{00000000-0004-0000-0300-0000B8020000}"/>
    <hyperlink ref="P699" location="Acts!A42" display="Go to Act" xr:uid="{00000000-0004-0000-0300-0000B9020000}"/>
    <hyperlink ref="P700" location="Acts!A42" display="Go to Act" xr:uid="{00000000-0004-0000-0300-0000BA020000}"/>
    <hyperlink ref="P701" location="Acts!A42" display="Go to Act" xr:uid="{00000000-0004-0000-0300-0000BB020000}"/>
    <hyperlink ref="P702" location="Acts!A42" display="Go to Act" xr:uid="{00000000-0004-0000-0300-0000BC020000}"/>
    <hyperlink ref="P703" location="Acts!A42" display="Go to Act" xr:uid="{00000000-0004-0000-0300-0000BD020000}"/>
    <hyperlink ref="P704" location="Acts!A42" display="Go to Act" xr:uid="{00000000-0004-0000-0300-0000BE020000}"/>
    <hyperlink ref="P705" location="Acts!A42" display="Go to Act" xr:uid="{00000000-0004-0000-0300-0000BF020000}"/>
    <hyperlink ref="P706" location="Acts!A42" display="Go to Act" xr:uid="{00000000-0004-0000-0300-0000C0020000}"/>
    <hyperlink ref="P707" location="Acts!A42" display="Go to Act" xr:uid="{00000000-0004-0000-0300-0000C1020000}"/>
    <hyperlink ref="P708" location="Acts!A42" display="Go to Act" xr:uid="{00000000-0004-0000-0300-0000C2020000}"/>
    <hyperlink ref="P709" location="Acts!A42" display="Go to Act" xr:uid="{00000000-0004-0000-0300-0000C3020000}"/>
    <hyperlink ref="P710" location="Acts!A42" display="Go to Act" xr:uid="{00000000-0004-0000-0300-0000C4020000}"/>
    <hyperlink ref="P711" location="Acts!A43" display="Go to Act" xr:uid="{00000000-0004-0000-0300-0000C5020000}"/>
    <hyperlink ref="P712" location="Acts!A43" display="Go to Act" xr:uid="{00000000-0004-0000-0300-0000C6020000}"/>
    <hyperlink ref="P713" location="Acts!A43" display="Go to Act" xr:uid="{00000000-0004-0000-0300-0000C7020000}"/>
    <hyperlink ref="P714" location="Acts!A43" display="Go to Act" xr:uid="{00000000-0004-0000-0300-0000C8020000}"/>
    <hyperlink ref="P715" location="Acts!A43" display="Go to Act" xr:uid="{00000000-0004-0000-0300-0000C9020000}"/>
    <hyperlink ref="P716" location="Acts!A43" display="Go to Act" xr:uid="{00000000-0004-0000-0300-0000CA020000}"/>
    <hyperlink ref="P717" location="Acts!A43" display="Go to Act" xr:uid="{00000000-0004-0000-0300-0000CB020000}"/>
    <hyperlink ref="P718" location="Acts!A43" display="Go to Act" xr:uid="{00000000-0004-0000-0300-0000CC020000}"/>
    <hyperlink ref="P719" location="Acts!A43" display="Go to Act" xr:uid="{00000000-0004-0000-0300-0000CD020000}"/>
    <hyperlink ref="P720" location="Acts!A43" display="Go to Act" xr:uid="{00000000-0004-0000-0300-0000CE020000}"/>
    <hyperlink ref="P721" location="Acts!A43" display="Go to Act" xr:uid="{00000000-0004-0000-0300-0000CF020000}"/>
    <hyperlink ref="P722" location="Acts!A43" display="Go to Act" xr:uid="{00000000-0004-0000-0300-0000D0020000}"/>
    <hyperlink ref="P723" location="Acts!A43" display="Go to Act" xr:uid="{00000000-0004-0000-0300-0000D1020000}"/>
    <hyperlink ref="P724" location="Acts!A43" display="Go to Act" xr:uid="{00000000-0004-0000-0300-0000D2020000}"/>
    <hyperlink ref="P725" location="Acts!A43" display="Go to Act" xr:uid="{00000000-0004-0000-0300-0000D3020000}"/>
    <hyperlink ref="P726" location="Acts!A43" display="Go to Act" xr:uid="{00000000-0004-0000-0300-0000D4020000}"/>
    <hyperlink ref="P727" location="Acts!A40" display="Go to Act" xr:uid="{00000000-0004-0000-0300-0000D5020000}"/>
    <hyperlink ref="P728" location="Acts!A40" display="Go to Act" xr:uid="{00000000-0004-0000-0300-0000D6020000}"/>
    <hyperlink ref="P729" location="Acts!A40" display="Go to Act" xr:uid="{00000000-0004-0000-0300-0000D7020000}"/>
    <hyperlink ref="P730" location="Acts!A40" display="Go to Act" xr:uid="{00000000-0004-0000-0300-0000D8020000}"/>
    <hyperlink ref="P731" location="Acts!A40" display="Go to Act" xr:uid="{00000000-0004-0000-0300-0000D9020000}"/>
    <hyperlink ref="P732" location="Acts!A40" display="Go to Act" xr:uid="{00000000-0004-0000-0300-0000DA020000}"/>
    <hyperlink ref="P733" location="Acts!A40" display="Go to Act" xr:uid="{00000000-0004-0000-0300-0000DB020000}"/>
    <hyperlink ref="P734" location="Acts!A40" display="Go to Act" xr:uid="{00000000-0004-0000-0300-0000DC020000}"/>
    <hyperlink ref="P735" location="Acts!A40" display="Go to Act" xr:uid="{00000000-0004-0000-0300-0000DD020000}"/>
    <hyperlink ref="P736" location="Acts!A40" display="Go to Act" xr:uid="{00000000-0004-0000-0300-0000DE020000}"/>
    <hyperlink ref="P737" location="Acts!A40" display="Go to Act" xr:uid="{00000000-0004-0000-0300-0000DF020000}"/>
    <hyperlink ref="P738" location="Acts!A40" display="Go to Act" xr:uid="{00000000-0004-0000-0300-0000E0020000}"/>
    <hyperlink ref="P739" location="Acts!A40" display="Go to Act" xr:uid="{00000000-0004-0000-0300-0000E1020000}"/>
    <hyperlink ref="P740" location="Acts!A40" display="Go to Act" xr:uid="{00000000-0004-0000-0300-0000E2020000}"/>
    <hyperlink ref="P741" location="Acts!A40" display="Go to Act" xr:uid="{00000000-0004-0000-0300-0000E3020000}"/>
    <hyperlink ref="P742" location="Acts!A40" display="Go to Act" xr:uid="{00000000-0004-0000-0300-0000E4020000}"/>
    <hyperlink ref="P743" location="Acts!A40" display="Go to Act" xr:uid="{00000000-0004-0000-0300-0000E5020000}"/>
    <hyperlink ref="P744" location="Acts!A40" display="Go to Act" xr:uid="{00000000-0004-0000-0300-0000E6020000}"/>
    <hyperlink ref="P745" location="Acts!A40" display="Go to Act" xr:uid="{00000000-0004-0000-0300-0000E7020000}"/>
    <hyperlink ref="P746" location="Acts!A40" display="Go to Act" xr:uid="{00000000-0004-0000-0300-0000E8020000}"/>
    <hyperlink ref="P747" location="Acts!A40" display="Go to Act" xr:uid="{00000000-0004-0000-0300-0000E9020000}"/>
    <hyperlink ref="P748" location="Acts!A40" display="Go to Act" xr:uid="{00000000-0004-0000-0300-0000EA020000}"/>
    <hyperlink ref="P749" location="Acts!A40" display="Go to Act" xr:uid="{00000000-0004-0000-0300-0000EB020000}"/>
    <hyperlink ref="P750" location="Acts!A40" display="Go to Act" xr:uid="{00000000-0004-0000-0300-0000EC020000}"/>
    <hyperlink ref="P751" location="Acts!A40" display="Go to Act" xr:uid="{00000000-0004-0000-0300-0000ED020000}"/>
    <hyperlink ref="P752" location="Acts!A40" display="Go to Act" xr:uid="{00000000-0004-0000-0300-0000EE020000}"/>
    <hyperlink ref="P753" location="Acts!A40" display="Go to Act" xr:uid="{00000000-0004-0000-0300-0000EF020000}"/>
    <hyperlink ref="P754" location="Acts!A40" display="Go to Act" xr:uid="{00000000-0004-0000-0300-0000F0020000}"/>
    <hyperlink ref="P755" location="Acts!A40" display="Go to Act" xr:uid="{00000000-0004-0000-0300-0000F1020000}"/>
    <hyperlink ref="P756" location="Acts!A40" display="Go to Act" xr:uid="{00000000-0004-0000-0300-0000F2020000}"/>
    <hyperlink ref="P757" location="Acts!A40" display="Go to Act" xr:uid="{00000000-0004-0000-0300-0000F3020000}"/>
    <hyperlink ref="P758" location="Acts!A40" display="Go to Act" xr:uid="{00000000-0004-0000-0300-0000F4020000}"/>
    <hyperlink ref="P759" location="Acts!A40" display="Go to Act" xr:uid="{00000000-0004-0000-0300-0000F5020000}"/>
    <hyperlink ref="P760" location="Acts!A40" display="Go to Act" xr:uid="{00000000-0004-0000-0300-0000F6020000}"/>
    <hyperlink ref="P761" location="Acts!A40" display="Go to Act" xr:uid="{00000000-0004-0000-0300-0000F7020000}"/>
    <hyperlink ref="P762" location="Acts!A41" display="Go to Act" xr:uid="{00000000-0004-0000-0300-0000F8020000}"/>
    <hyperlink ref="P763" location="Acts!A41" display="Go to Act" xr:uid="{00000000-0004-0000-0300-0000F9020000}"/>
    <hyperlink ref="P764" location="Acts!A41" display="Go to Act" xr:uid="{00000000-0004-0000-0300-0000FA020000}"/>
    <hyperlink ref="P765" location="Acts!A41" display="Go to Act" xr:uid="{00000000-0004-0000-0300-0000FB020000}"/>
    <hyperlink ref="P766" location="Acts!A41" display="Go to Act" xr:uid="{00000000-0004-0000-0300-0000FC020000}"/>
    <hyperlink ref="P767" location="Acts!A41" display="Go to Act" xr:uid="{00000000-0004-0000-0300-0000FD020000}"/>
    <hyperlink ref="P768" location="Acts!A41" display="Go to Act" xr:uid="{00000000-0004-0000-0300-0000FE020000}"/>
    <hyperlink ref="P769" location="Acts!A41" display="Go to Act" xr:uid="{00000000-0004-0000-0300-0000FF020000}"/>
    <hyperlink ref="P770" location="Acts!A41" display="Go to Act" xr:uid="{00000000-0004-0000-0300-000000030000}"/>
    <hyperlink ref="P771" location="Acts!A41" display="Go to Act" xr:uid="{00000000-0004-0000-0300-000001030000}"/>
    <hyperlink ref="P772" location="Acts!A41" display="Go to Act" xr:uid="{00000000-0004-0000-0300-000002030000}"/>
    <hyperlink ref="P773" location="Acts!A41" display="Go to Act" xr:uid="{00000000-0004-0000-0300-000003030000}"/>
    <hyperlink ref="P774" location="Acts!A41" display="Go to Act" xr:uid="{00000000-0004-0000-0300-000004030000}"/>
    <hyperlink ref="P775" location="Acts!A41" display="Go to Act" xr:uid="{00000000-0004-0000-0300-000005030000}"/>
    <hyperlink ref="P776" location="Acts!A41" display="Go to Act" xr:uid="{00000000-0004-0000-0300-000006030000}"/>
    <hyperlink ref="P777" location="Acts!A41" display="Go to Act" xr:uid="{00000000-0004-0000-0300-000007030000}"/>
    <hyperlink ref="P778" location="Acts!A41" display="Go to Act" xr:uid="{00000000-0004-0000-0300-000008030000}"/>
    <hyperlink ref="P779" location="Acts!A41" display="Go to Act" xr:uid="{00000000-0004-0000-0300-000009030000}"/>
    <hyperlink ref="P780" location="Acts!A41" display="Go to Act" xr:uid="{00000000-0004-0000-0300-00000A030000}"/>
    <hyperlink ref="P781" location="Acts!A41" display="Go to Act" xr:uid="{00000000-0004-0000-0300-00000B030000}"/>
    <hyperlink ref="P782" location="Acts!A41" display="Go to Act" xr:uid="{00000000-0004-0000-0300-00000C030000}"/>
    <hyperlink ref="P783" location="Acts!A41" display="Go to Act" xr:uid="{00000000-0004-0000-0300-00000D030000}"/>
    <hyperlink ref="P784" location="Acts!A41" display="Go to Act" xr:uid="{00000000-0004-0000-0300-00000E030000}"/>
    <hyperlink ref="P785" location="Acts!A41" display="Go to Act" xr:uid="{00000000-0004-0000-0300-00000F030000}"/>
    <hyperlink ref="P786" location="Acts!A41" display="Go to Act" xr:uid="{00000000-0004-0000-0300-000010030000}"/>
    <hyperlink ref="P787" location="Acts!A41" display="Go to Act" xr:uid="{00000000-0004-0000-0300-000011030000}"/>
    <hyperlink ref="P788" location="Acts!A41" display="Go to Act" xr:uid="{00000000-0004-0000-0300-000012030000}"/>
    <hyperlink ref="P789" location="Acts!A41" display="Go to Act" xr:uid="{00000000-0004-0000-0300-000013030000}"/>
    <hyperlink ref="P790" location="Acts!A41" display="Go to Act" xr:uid="{00000000-0004-0000-0300-000014030000}"/>
    <hyperlink ref="P791" location="Acts!A41" display="Go to Act" xr:uid="{00000000-0004-0000-0300-000015030000}"/>
    <hyperlink ref="P792" location="Acts!A41" display="Go to Act" xr:uid="{00000000-0004-0000-0300-000016030000}"/>
    <hyperlink ref="P793" location="Acts!A41" display="Go to Act" xr:uid="{00000000-0004-0000-0300-000017030000}"/>
    <hyperlink ref="P794" location="Acts!A41" display="Go to Act" xr:uid="{00000000-0004-0000-0300-000018030000}"/>
    <hyperlink ref="P795" location="Acts!A41" display="Go to Act" xr:uid="{00000000-0004-0000-0300-000019030000}"/>
    <hyperlink ref="P796" location="Acts!A41" display="Go to Act" xr:uid="{00000000-0004-0000-0300-00001A030000}"/>
    <hyperlink ref="P797" location="Acts!A41" display="Go to Act" xr:uid="{00000000-0004-0000-0300-00001B030000}"/>
    <hyperlink ref="P798" location="Acts!A41" display="Go to Act" xr:uid="{00000000-0004-0000-0300-00001C030000}"/>
    <hyperlink ref="P799" location="Acts!A41" display="Go to Act" xr:uid="{00000000-0004-0000-0300-00001D030000}"/>
    <hyperlink ref="P800" location="Acts!A41" display="Go to Act" xr:uid="{00000000-0004-0000-0300-00001E030000}"/>
    <hyperlink ref="P801" location="Acts!A41" display="Go to Act" xr:uid="{00000000-0004-0000-0300-00001F030000}"/>
    <hyperlink ref="P802" location="Acts!A41" display="Go to Act" xr:uid="{00000000-0004-0000-0300-000020030000}"/>
    <hyperlink ref="P803" location="Acts!A41" display="Go to Act" xr:uid="{00000000-0004-0000-0300-000021030000}"/>
    <hyperlink ref="P804" location="Acts!A41" display="Go to Act" xr:uid="{00000000-0004-0000-0300-000022030000}"/>
    <hyperlink ref="P805" location="Acts!A41" display="Go to Act" xr:uid="{00000000-0004-0000-0300-000023030000}"/>
    <hyperlink ref="P806" location="Acts!A41" display="Go to Act" xr:uid="{00000000-0004-0000-0300-000024030000}"/>
    <hyperlink ref="P807" location="Acts!A41" display="Go to Act" xr:uid="{00000000-0004-0000-0300-000025030000}"/>
    <hyperlink ref="P808" location="Acts!A41" display="Go to Act" xr:uid="{00000000-0004-0000-0300-000026030000}"/>
    <hyperlink ref="P809" location="Acts!A41" display="Go to Act" xr:uid="{00000000-0004-0000-0300-000027030000}"/>
    <hyperlink ref="P810" location="Acts!A41" display="Go to Act" xr:uid="{00000000-0004-0000-0300-000028030000}"/>
    <hyperlink ref="P811" location="Acts!A41" display="Go to Act" xr:uid="{00000000-0004-0000-0300-000029030000}"/>
    <hyperlink ref="P812" location="Acts!A41" display="Go to Act" xr:uid="{00000000-0004-0000-0300-00002A030000}"/>
    <hyperlink ref="P813" location="Acts!A41" display="Go to Act" xr:uid="{00000000-0004-0000-0300-00002B030000}"/>
    <hyperlink ref="P814" location="Acts!A41" display="Go to Act" xr:uid="{00000000-0004-0000-0300-00002C030000}"/>
    <hyperlink ref="P815" location="Acts!A41" display="Go to Act" xr:uid="{00000000-0004-0000-0300-00002D030000}"/>
    <hyperlink ref="P816" location="Acts!A41" display="Go to Act" xr:uid="{00000000-0004-0000-0300-00002E030000}"/>
    <hyperlink ref="P817" location="Acts!A41" display="Go to Act" xr:uid="{00000000-0004-0000-0300-00002F030000}"/>
    <hyperlink ref="P818" location="Acts!A41" display="Go to Act" xr:uid="{00000000-0004-0000-0300-000030030000}"/>
    <hyperlink ref="P819" location="Acts!A41" display="Go to Act" xr:uid="{00000000-0004-0000-0300-000031030000}"/>
    <hyperlink ref="P820" location="Acts!A41" display="Go to Act" xr:uid="{00000000-0004-0000-0300-000032030000}"/>
    <hyperlink ref="P821" location="Acts!A41" display="Go to Act" xr:uid="{00000000-0004-0000-0300-000033030000}"/>
    <hyperlink ref="P822" location="Acts!A41" display="Go to Act" xr:uid="{00000000-0004-0000-0300-000034030000}"/>
    <hyperlink ref="P823" location="Acts!A41" display="Go to Act" xr:uid="{00000000-0004-0000-0300-000035030000}"/>
    <hyperlink ref="P824" location="Acts!A41" display="Go to Act" xr:uid="{00000000-0004-0000-0300-000036030000}"/>
    <hyperlink ref="P825" location="Acts!A41" display="Go to Act" xr:uid="{00000000-0004-0000-0300-000037030000}"/>
    <hyperlink ref="P826" location="Acts!A41" display="Go to Act" xr:uid="{00000000-0004-0000-0300-000038030000}"/>
    <hyperlink ref="P827" location="Acts!A44" display="Go to Act" xr:uid="{00000000-0004-0000-0300-000039030000}"/>
    <hyperlink ref="P828" location="Acts!A44" display="Go to Act" xr:uid="{00000000-0004-0000-0300-00003A030000}"/>
    <hyperlink ref="P829" location="Acts!A44" display="Go to Act" xr:uid="{00000000-0004-0000-0300-00003B030000}"/>
    <hyperlink ref="P830" location="Acts!A44" display="Go to Act" xr:uid="{00000000-0004-0000-0300-00003C030000}"/>
    <hyperlink ref="P831" location="Acts!A44" display="Go to Act" xr:uid="{00000000-0004-0000-0300-00003D030000}"/>
    <hyperlink ref="P832" location="Acts!A44" display="Go to Act" xr:uid="{00000000-0004-0000-0300-00003E030000}"/>
    <hyperlink ref="P833" location="Acts!A44" display="Go to Act" xr:uid="{00000000-0004-0000-0300-00003F030000}"/>
    <hyperlink ref="P834" location="Acts!A44" display="Go to Act" xr:uid="{00000000-0004-0000-0300-000040030000}"/>
    <hyperlink ref="P835" location="Acts!A44" display="Go to Act" xr:uid="{00000000-0004-0000-0300-000041030000}"/>
    <hyperlink ref="P836" location="Acts!A44" display="Go to Act" xr:uid="{00000000-0004-0000-0300-000042030000}"/>
    <hyperlink ref="P837" location="Acts!A44" display="Go to Act" xr:uid="{00000000-0004-0000-0300-000043030000}"/>
    <hyperlink ref="P838" location="Acts!A44" display="Go to Act" xr:uid="{00000000-0004-0000-0300-000044030000}"/>
    <hyperlink ref="P839" location="Acts!A44" display="Go to Act" xr:uid="{00000000-0004-0000-0300-000045030000}"/>
    <hyperlink ref="P840" location="Acts!A44" display="Go to Act" xr:uid="{00000000-0004-0000-0300-000046030000}"/>
    <hyperlink ref="P841" location="Acts!A44" display="Go to Act" xr:uid="{00000000-0004-0000-0300-000047030000}"/>
    <hyperlink ref="P842" location="Acts!A44" display="Go to Act" xr:uid="{00000000-0004-0000-0300-000048030000}"/>
    <hyperlink ref="P843" location="Acts!A44" display="Go to Act" xr:uid="{00000000-0004-0000-0300-000049030000}"/>
    <hyperlink ref="P844" location="Acts!A44" display="Go to Act" xr:uid="{00000000-0004-0000-0300-00004A030000}"/>
    <hyperlink ref="P845" location="Acts!A44" display="Go to Act" xr:uid="{00000000-0004-0000-0300-00004B030000}"/>
    <hyperlink ref="P846" location="Acts!A44" display="Go to Act" xr:uid="{00000000-0004-0000-0300-00004C030000}"/>
    <hyperlink ref="P847" location="Acts!A44" display="Go to Act" xr:uid="{00000000-0004-0000-0300-00004D030000}"/>
    <hyperlink ref="P848" location="Acts!A44" display="Go to Act" xr:uid="{00000000-0004-0000-0300-00004E030000}"/>
    <hyperlink ref="P849" location="Acts!A44" display="Go to Act" xr:uid="{00000000-0004-0000-0300-00004F030000}"/>
    <hyperlink ref="P850" location="Acts!A44" display="Go to Act" xr:uid="{00000000-0004-0000-0300-000050030000}"/>
    <hyperlink ref="P851" location="Acts!A44" display="Go to Act" xr:uid="{00000000-0004-0000-0300-000051030000}"/>
    <hyperlink ref="P852" location="Acts!A44" display="Go to Act" xr:uid="{00000000-0004-0000-0300-000052030000}"/>
    <hyperlink ref="P853" location="Acts!A44" display="Go to Act" xr:uid="{00000000-0004-0000-0300-000053030000}"/>
    <hyperlink ref="P854" location="Acts!A44" display="Go to Act" xr:uid="{00000000-0004-0000-0300-000054030000}"/>
    <hyperlink ref="P855" location="Acts!A44" display="Go to Act" xr:uid="{00000000-0004-0000-0300-000055030000}"/>
    <hyperlink ref="P856" location="Acts!A44" display="Go to Act" xr:uid="{00000000-0004-0000-0300-000056030000}"/>
    <hyperlink ref="P857" location="Acts!A44" display="Go to Act" xr:uid="{00000000-0004-0000-0300-000057030000}"/>
    <hyperlink ref="P858" location="Acts!A44" display="Go to Act" xr:uid="{00000000-0004-0000-0300-000058030000}"/>
    <hyperlink ref="P859" location="Acts!A44" display="Go to Act" xr:uid="{00000000-0004-0000-0300-000059030000}"/>
    <hyperlink ref="P860" location="Acts!A44" display="Go to Act" xr:uid="{00000000-0004-0000-0300-00005A030000}"/>
    <hyperlink ref="P861" location="Acts!A44" display="Go to Act" xr:uid="{00000000-0004-0000-0300-00005B030000}"/>
    <hyperlink ref="P862" location="Acts!A44" display="Go to Act" xr:uid="{00000000-0004-0000-0300-00005C030000}"/>
    <hyperlink ref="P863" location="Acts!A44" display="Go to Act" xr:uid="{00000000-0004-0000-0300-00005D030000}"/>
    <hyperlink ref="P864" location="Acts!A44" display="Go to Act" xr:uid="{00000000-0004-0000-0300-00005E030000}"/>
    <hyperlink ref="P865" location="Acts!A44" display="Go to Act" xr:uid="{00000000-0004-0000-0300-00005F030000}"/>
    <hyperlink ref="P866" location="Acts!A44" display="Go to Act" xr:uid="{00000000-0004-0000-0300-000060030000}"/>
    <hyperlink ref="P867" location="Acts!A44" display="Go to Act" xr:uid="{00000000-0004-0000-0300-000061030000}"/>
    <hyperlink ref="P868" location="Acts!A44" display="Go to Act" xr:uid="{00000000-0004-0000-0300-000062030000}"/>
    <hyperlink ref="P869" location="Acts!A44" display="Go to Act" xr:uid="{00000000-0004-0000-0300-000063030000}"/>
    <hyperlink ref="P870" location="Acts!A44" display="Go to Act" xr:uid="{00000000-0004-0000-0300-000064030000}"/>
    <hyperlink ref="P871" location="Acts!A44" display="Go to Act" xr:uid="{00000000-0004-0000-0300-000065030000}"/>
    <hyperlink ref="P872" location="Acts!A44" display="Go to Act" xr:uid="{00000000-0004-0000-0300-000066030000}"/>
    <hyperlink ref="P873" location="Acts!A44" display="Go to Act" xr:uid="{00000000-0004-0000-0300-000067030000}"/>
    <hyperlink ref="P874" location="Acts!A44" display="Go to Act" xr:uid="{00000000-0004-0000-0300-000068030000}"/>
    <hyperlink ref="P875" location="Acts!A44" display="Go to Act" xr:uid="{00000000-0004-0000-0300-000069030000}"/>
    <hyperlink ref="P876" location="Acts!A44" display="Go to Act" xr:uid="{00000000-0004-0000-0300-00006A030000}"/>
    <hyperlink ref="P877" location="Acts!A44" display="Go to Act" xr:uid="{00000000-0004-0000-0300-00006B030000}"/>
    <hyperlink ref="P878" location="Acts!A44" display="Go to Act" xr:uid="{00000000-0004-0000-0300-00006C030000}"/>
    <hyperlink ref="P879" location="Acts!A44" display="Go to Act" xr:uid="{00000000-0004-0000-0300-00006D030000}"/>
    <hyperlink ref="P880" location="Acts!A44" display="Go to Act" xr:uid="{00000000-0004-0000-0300-00006E030000}"/>
    <hyperlink ref="P881" location="Acts!A44" display="Go to Act" xr:uid="{00000000-0004-0000-0300-00006F030000}"/>
    <hyperlink ref="P882" location="Acts!A44" display="Go to Act" xr:uid="{00000000-0004-0000-0300-000070030000}"/>
    <hyperlink ref="P883" location="Acts!A44" display="Go to Act" xr:uid="{00000000-0004-0000-0300-000071030000}"/>
    <hyperlink ref="P884" location="Acts!A44" display="Go to Act" xr:uid="{00000000-0004-0000-0300-000072030000}"/>
    <hyperlink ref="P885" location="Acts!A44" display="Go to Act" xr:uid="{00000000-0004-0000-0300-000073030000}"/>
    <hyperlink ref="P886" location="Acts!A44" display="Go to Act" xr:uid="{00000000-0004-0000-0300-000074030000}"/>
    <hyperlink ref="P887" location="Acts!A44" display="Go to Act" xr:uid="{00000000-0004-0000-0300-000075030000}"/>
    <hyperlink ref="P888" location="Acts!A44" display="Go to Act" xr:uid="{00000000-0004-0000-0300-000076030000}"/>
    <hyperlink ref="P889" location="Acts!A44" display="Go to Act" xr:uid="{00000000-0004-0000-0300-000077030000}"/>
    <hyperlink ref="P890" location="Acts!A44" display="Go to Act" xr:uid="{00000000-0004-0000-0300-000078030000}"/>
    <hyperlink ref="P891" location="Acts!A44" display="Go to Act" xr:uid="{00000000-0004-0000-0300-000079030000}"/>
    <hyperlink ref="P892" location="Acts!A44" display="Go to Act" xr:uid="{00000000-0004-0000-0300-00007A030000}"/>
    <hyperlink ref="P893" location="Acts!A44" display="Go to Act" xr:uid="{00000000-0004-0000-0300-00007B030000}"/>
    <hyperlink ref="P894" location="Acts!A44" display="Go to Act" xr:uid="{00000000-0004-0000-0300-00007C030000}"/>
    <hyperlink ref="P895" location="Acts!A48" display="Go to Act" xr:uid="{00000000-0004-0000-0300-00007D030000}"/>
    <hyperlink ref="P896" location="Acts!A48" display="Go to Act" xr:uid="{00000000-0004-0000-0300-00007E030000}"/>
    <hyperlink ref="P897" location="Acts!A48" display="Go to Act" xr:uid="{00000000-0004-0000-0300-00007F030000}"/>
    <hyperlink ref="P898" location="Acts!A48" display="Go to Act" xr:uid="{00000000-0004-0000-0300-000080030000}"/>
    <hyperlink ref="P899" location="Acts!A48" display="Go to Act" xr:uid="{00000000-0004-0000-0300-000081030000}"/>
    <hyperlink ref="P900" location="Acts!A48" display="Go to Act" xr:uid="{00000000-0004-0000-0300-000082030000}"/>
    <hyperlink ref="P901" location="Acts!A48" display="Go to Act" xr:uid="{00000000-0004-0000-0300-000083030000}"/>
    <hyperlink ref="P902" location="Acts!A52" display="Go to Act" xr:uid="{00000000-0004-0000-0300-000084030000}"/>
    <hyperlink ref="P903" location="Acts!A52" display="Go to Act" xr:uid="{00000000-0004-0000-0300-000085030000}"/>
    <hyperlink ref="P904" location="Acts!A52" display="Go to Act" xr:uid="{00000000-0004-0000-0300-000086030000}"/>
    <hyperlink ref="P905" location="Acts!A52" display="Go to Act" xr:uid="{00000000-0004-0000-0300-000087030000}"/>
    <hyperlink ref="P906" location="Acts!A52" display="Go to Act" xr:uid="{00000000-0004-0000-0300-000088030000}"/>
    <hyperlink ref="P907" location="Acts!A53" display="Go to Act" xr:uid="{00000000-0004-0000-0300-000089030000}"/>
    <hyperlink ref="P908" location="Acts!A53" display="Go to Act" xr:uid="{00000000-0004-0000-0300-00008A030000}"/>
    <hyperlink ref="P909" location="Acts!A53" display="Go to Act" xr:uid="{00000000-0004-0000-0300-00008B030000}"/>
    <hyperlink ref="P910" location="Acts!A53" display="Go to Act" xr:uid="{00000000-0004-0000-0300-00008C030000}"/>
    <hyperlink ref="P911" location="Acts!A53" display="Go to Act" xr:uid="{00000000-0004-0000-0300-00008D030000}"/>
    <hyperlink ref="P912" location="Acts!A45" display="Go to Act" xr:uid="{00000000-0004-0000-0300-00008E030000}"/>
    <hyperlink ref="P913" location="Acts!A45" display="Go to Act" xr:uid="{00000000-0004-0000-0300-00008F030000}"/>
    <hyperlink ref="P914" location="Acts!A45" display="Go to Act" xr:uid="{00000000-0004-0000-0300-000090030000}"/>
    <hyperlink ref="P915" location="Acts!A45" display="Go to Act" xr:uid="{00000000-0004-0000-0300-000091030000}"/>
    <hyperlink ref="P916" location="Acts!A46" display="Go to Act" xr:uid="{00000000-0004-0000-0300-000092030000}"/>
    <hyperlink ref="P917" location="Acts!A46" display="Go to Act" xr:uid="{00000000-0004-0000-0300-000093030000}"/>
    <hyperlink ref="P918" location="Acts!A46" display="Go to Act" xr:uid="{00000000-0004-0000-0300-000094030000}"/>
    <hyperlink ref="P919" location="Acts!A46" display="Go to Act" xr:uid="{00000000-0004-0000-0300-000095030000}"/>
    <hyperlink ref="P920" location="Acts!A47" display="Go to Act" xr:uid="{00000000-0004-0000-0300-000096030000}"/>
    <hyperlink ref="P921" location="Acts!A47" display="Go to Act" xr:uid="{00000000-0004-0000-0300-000097030000}"/>
    <hyperlink ref="P922" location="Acts!A47" display="Go to Act" xr:uid="{00000000-0004-0000-0300-000098030000}"/>
    <hyperlink ref="P923" location="Acts!A47" display="Go to Act" xr:uid="{00000000-0004-0000-0300-000099030000}"/>
    <hyperlink ref="P924" location="Acts!A47" display="Go to Act" xr:uid="{00000000-0004-0000-0300-00009A030000}"/>
    <hyperlink ref="P925" location="Acts!A47" display="Go to Act" xr:uid="{00000000-0004-0000-0300-00009B030000}"/>
    <hyperlink ref="P926" location="Acts!A47" display="Go to Act" xr:uid="{00000000-0004-0000-0300-00009C030000}"/>
    <hyperlink ref="P927" location="Acts!A47" display="Go to Act" xr:uid="{00000000-0004-0000-0300-00009D030000}"/>
    <hyperlink ref="P928" location="Acts!A47" display="Go to Act" xr:uid="{00000000-0004-0000-0300-00009E030000}"/>
    <hyperlink ref="P929" location="Acts!A47" display="Go to Act" xr:uid="{00000000-0004-0000-0300-00009F030000}"/>
    <hyperlink ref="P930" location="Acts!A47" display="Go to Act" xr:uid="{00000000-0004-0000-0300-0000A0030000}"/>
    <hyperlink ref="P931" location="Acts!A47" display="Go to Act" xr:uid="{00000000-0004-0000-0300-0000A1030000}"/>
    <hyperlink ref="P932" location="Acts!A49" display="Go to Act" xr:uid="{00000000-0004-0000-0300-0000A2030000}"/>
    <hyperlink ref="P933" location="Acts!A49" display="Go to Act" xr:uid="{00000000-0004-0000-0300-0000A3030000}"/>
    <hyperlink ref="P934" location="Acts!A49" display="Go to Act" xr:uid="{00000000-0004-0000-0300-0000A4030000}"/>
    <hyperlink ref="P935" location="Acts!A49" display="Go to Act" xr:uid="{00000000-0004-0000-0300-0000A5030000}"/>
    <hyperlink ref="P936" location="Acts!A49" display="Go to Act" xr:uid="{00000000-0004-0000-0300-0000A6030000}"/>
    <hyperlink ref="P937" location="Acts!A49" display="Go to Act" xr:uid="{00000000-0004-0000-0300-0000A7030000}"/>
    <hyperlink ref="P938" location="Acts!A49" display="Go to Act" xr:uid="{00000000-0004-0000-0300-0000A8030000}"/>
    <hyperlink ref="P939" location="Acts!A49" display="Go to Act" xr:uid="{00000000-0004-0000-0300-0000A9030000}"/>
    <hyperlink ref="P940" location="Acts!A49" display="Go to Act" xr:uid="{00000000-0004-0000-0300-0000AA030000}"/>
    <hyperlink ref="P941" location="Acts!A49" display="Go to Act" xr:uid="{00000000-0004-0000-0300-0000AB030000}"/>
    <hyperlink ref="P942" location="Acts!A49" display="Go to Act" xr:uid="{00000000-0004-0000-0300-0000AC030000}"/>
    <hyperlink ref="P943" location="Acts!A49" display="Go to Act" xr:uid="{00000000-0004-0000-0300-0000AD030000}"/>
    <hyperlink ref="P944" location="Acts!A49" display="Go to Act" xr:uid="{00000000-0004-0000-0300-0000AE030000}"/>
    <hyperlink ref="P945" location="Acts!A50" display="Go to Act" xr:uid="{00000000-0004-0000-0300-0000AF030000}"/>
    <hyperlink ref="P946" location="Acts!A50" display="Go to Act" xr:uid="{00000000-0004-0000-0300-0000B0030000}"/>
    <hyperlink ref="P947" location="Acts!A50" display="Go to Act" xr:uid="{00000000-0004-0000-0300-0000B1030000}"/>
    <hyperlink ref="P948" location="Acts!A50" display="Go to Act" xr:uid="{00000000-0004-0000-0300-0000B2030000}"/>
    <hyperlink ref="P949" location="Acts!A50" display="Go to Act" xr:uid="{00000000-0004-0000-0300-0000B3030000}"/>
    <hyperlink ref="P950" location="Acts!A50" display="Go to Act" xr:uid="{00000000-0004-0000-0300-0000B4030000}"/>
    <hyperlink ref="P951" location="Acts!A50" display="Go to Act" xr:uid="{00000000-0004-0000-0300-0000B5030000}"/>
    <hyperlink ref="P952" location="Acts!A50" display="Go to Act" xr:uid="{00000000-0004-0000-0300-0000B6030000}"/>
    <hyperlink ref="P953" location="Acts!A50" display="Go to Act" xr:uid="{00000000-0004-0000-0300-0000B7030000}"/>
    <hyperlink ref="P954" location="Acts!A50" display="Go to Act" xr:uid="{00000000-0004-0000-0300-0000B8030000}"/>
    <hyperlink ref="P955" location="Acts!A50" display="Go to Act" xr:uid="{00000000-0004-0000-0300-0000B9030000}"/>
    <hyperlink ref="P956" location="Acts!A50" display="Go to Act" xr:uid="{00000000-0004-0000-0300-0000BA030000}"/>
    <hyperlink ref="P957" location="Acts!A50" display="Go to Act" xr:uid="{00000000-0004-0000-0300-0000BB030000}"/>
    <hyperlink ref="P958" location="Acts!A51" display="Go to Act" xr:uid="{00000000-0004-0000-0300-0000BC030000}"/>
    <hyperlink ref="P959" location="Acts!A51" display="Go to Act" xr:uid="{00000000-0004-0000-0300-0000BD030000}"/>
    <hyperlink ref="P960" location="Acts!A54" display="Go to Act" xr:uid="{00000000-0004-0000-0300-0000BE030000}"/>
    <hyperlink ref="P961" location="Acts!A54" display="Go to Act" xr:uid="{00000000-0004-0000-0300-0000BF030000}"/>
    <hyperlink ref="P962" location="Acts!A54" display="Go to Act" xr:uid="{00000000-0004-0000-0300-0000C0030000}"/>
    <hyperlink ref="P963" location="Acts!A54" display="Go to Act" xr:uid="{00000000-0004-0000-0300-0000C1030000}"/>
    <hyperlink ref="P964" location="Acts!A54" display="Go to Act" xr:uid="{00000000-0004-0000-0300-0000C2030000}"/>
    <hyperlink ref="P965" location="Acts!A54" display="Go to Act" xr:uid="{00000000-0004-0000-0300-0000C3030000}"/>
    <hyperlink ref="P966" location="Acts!A57" display="Go to Act" xr:uid="{00000000-0004-0000-0300-0000C4030000}"/>
    <hyperlink ref="P967" location="Acts!A57" display="Go to Act" xr:uid="{00000000-0004-0000-0300-0000C5030000}"/>
    <hyperlink ref="P968" location="Acts!A57" display="Go to Act" xr:uid="{00000000-0004-0000-0300-0000C6030000}"/>
    <hyperlink ref="P969" location="Acts!A57" display="Go to Act" xr:uid="{00000000-0004-0000-0300-0000C7030000}"/>
    <hyperlink ref="P970" location="Acts!A57" display="Go to Act" xr:uid="{00000000-0004-0000-0300-0000C8030000}"/>
    <hyperlink ref="P971" location="Acts!A57" display="Go to Act" xr:uid="{00000000-0004-0000-0300-0000C9030000}"/>
    <hyperlink ref="P972" location="Acts!A57" display="Go to Act" xr:uid="{00000000-0004-0000-0300-0000CA030000}"/>
    <hyperlink ref="P973" location="Acts!A57" display="Go to Act" xr:uid="{00000000-0004-0000-0300-0000CB030000}"/>
    <hyperlink ref="P974" location="Acts!A57" display="Go to Act" xr:uid="{00000000-0004-0000-0300-0000CC030000}"/>
    <hyperlink ref="P975" location="Acts!A57" display="Go to Act" xr:uid="{00000000-0004-0000-0300-0000CD030000}"/>
    <hyperlink ref="P976" location="Acts!A57" display="Go to Act" xr:uid="{00000000-0004-0000-0300-0000CE030000}"/>
    <hyperlink ref="P977" location="Acts!A57" display="Go to Act" xr:uid="{00000000-0004-0000-0300-0000CF030000}"/>
    <hyperlink ref="P978" location="Acts!A57" display="Go to Act" xr:uid="{00000000-0004-0000-0300-0000D0030000}"/>
    <hyperlink ref="P979" location="Acts!A57" display="Go to Act" xr:uid="{00000000-0004-0000-0300-0000D1030000}"/>
    <hyperlink ref="P980" location="Acts!A57" display="Go to Act" xr:uid="{00000000-0004-0000-0300-0000D2030000}"/>
    <hyperlink ref="P981" location="Acts!A57" display="Go to Act" xr:uid="{00000000-0004-0000-0300-0000D3030000}"/>
    <hyperlink ref="P982" location="Acts!A57" display="Go to Act" xr:uid="{00000000-0004-0000-0300-0000D4030000}"/>
    <hyperlink ref="P983" location="Acts!A57" display="Go to Act" xr:uid="{00000000-0004-0000-0300-0000D5030000}"/>
    <hyperlink ref="P984" location="Acts!A57" display="Go to Act" xr:uid="{00000000-0004-0000-0300-0000D6030000}"/>
    <hyperlink ref="P985" location="Acts!A57" display="Go to Act" xr:uid="{00000000-0004-0000-0300-0000D7030000}"/>
    <hyperlink ref="P986" location="Acts!A57" display="Go to Act" xr:uid="{00000000-0004-0000-0300-0000D8030000}"/>
    <hyperlink ref="P987" location="Acts!A57" display="Go to Act" xr:uid="{00000000-0004-0000-0300-0000D9030000}"/>
    <hyperlink ref="P988" location="Acts!A57" display="Go to Act" xr:uid="{00000000-0004-0000-0300-0000DA030000}"/>
    <hyperlink ref="P989" location="Acts!A57" display="Go to Act" xr:uid="{00000000-0004-0000-0300-0000DB030000}"/>
    <hyperlink ref="P990" location="Acts!A58" display="Go to Act" xr:uid="{00000000-0004-0000-0300-0000DC030000}"/>
    <hyperlink ref="P991" location="Acts!A58" display="Go to Act" xr:uid="{00000000-0004-0000-0300-0000DD030000}"/>
    <hyperlink ref="P992" location="Acts!A58" display="Go to Act" xr:uid="{00000000-0004-0000-0300-0000DE030000}"/>
    <hyperlink ref="P993" location="Acts!A59" display="Go to Act" xr:uid="{00000000-0004-0000-0300-0000DF030000}"/>
    <hyperlink ref="P994" location="Acts!A59" display="Go to Act" xr:uid="{00000000-0004-0000-0300-0000E0030000}"/>
    <hyperlink ref="P995" location="Acts!A59" display="Go to Act" xr:uid="{00000000-0004-0000-0300-0000E1030000}"/>
    <hyperlink ref="P996" location="Acts!A59" display="Go to Act" xr:uid="{00000000-0004-0000-0300-0000E2030000}"/>
    <hyperlink ref="P997" location="Acts!A59" display="Go to Act" xr:uid="{00000000-0004-0000-0300-0000E3030000}"/>
    <hyperlink ref="P998" location="Acts!A59" display="Go to Act" xr:uid="{00000000-0004-0000-0300-0000E4030000}"/>
    <hyperlink ref="P999" location="Acts!A60" display="Go to Act" xr:uid="{00000000-0004-0000-0300-0000E5030000}"/>
    <hyperlink ref="P1000" location="Acts!A60" display="Go to Act" xr:uid="{00000000-0004-0000-0300-0000E6030000}"/>
    <hyperlink ref="P1001" location="Acts!A60" display="Go to Act" xr:uid="{00000000-0004-0000-0300-0000E7030000}"/>
    <hyperlink ref="P1002" location="Acts!A60" display="Go to Act" xr:uid="{00000000-0004-0000-0300-0000E8030000}"/>
    <hyperlink ref="P1003" location="Acts!A60" display="Go to Act" xr:uid="{00000000-0004-0000-0300-0000E9030000}"/>
    <hyperlink ref="P1004" location="Acts!A60" display="Go to Act" xr:uid="{00000000-0004-0000-0300-0000EA030000}"/>
    <hyperlink ref="P1005" location="Acts!A61" display="Go to Act" xr:uid="{00000000-0004-0000-0300-0000EB030000}"/>
    <hyperlink ref="P1006" location="Acts!A61" display="Go to Act" xr:uid="{00000000-0004-0000-0300-0000EC030000}"/>
    <hyperlink ref="P1007" location="Acts!A61" display="Go to Act" xr:uid="{00000000-0004-0000-0300-0000ED030000}"/>
    <hyperlink ref="P1008" location="Acts!A61" display="Go to Act" xr:uid="{00000000-0004-0000-0300-0000EE030000}"/>
    <hyperlink ref="P1009" location="Acts!A61" display="Go to Act" xr:uid="{00000000-0004-0000-0300-0000EF030000}"/>
    <hyperlink ref="P1010" location="Acts!A61" display="Go to Act" xr:uid="{00000000-0004-0000-0300-0000F0030000}"/>
    <hyperlink ref="P1011" location="Acts!A61" display="Go to Act" xr:uid="{00000000-0004-0000-0300-0000F1030000}"/>
    <hyperlink ref="P1012" location="Acts!A61" display="Go to Act" xr:uid="{00000000-0004-0000-0300-0000F2030000}"/>
    <hyperlink ref="P1013" location="Acts!A61" display="Go to Act" xr:uid="{00000000-0004-0000-0300-0000F3030000}"/>
    <hyperlink ref="P1014" location="Acts!A61" display="Go to Act" xr:uid="{00000000-0004-0000-0300-0000F4030000}"/>
    <hyperlink ref="P1015" location="Acts!A61" display="Go to Act" xr:uid="{00000000-0004-0000-0300-0000F5030000}"/>
    <hyperlink ref="P1016" location="Acts!A61" display="Go to Act" xr:uid="{00000000-0004-0000-0300-0000F6030000}"/>
    <hyperlink ref="P1017" location="Acts!A61" display="Go to Act" xr:uid="{00000000-0004-0000-0300-0000F7030000}"/>
    <hyperlink ref="P1018" location="Acts!A61" display="Go to Act" xr:uid="{00000000-0004-0000-0300-0000F8030000}"/>
    <hyperlink ref="P1019" location="Acts!A62" display="Go to Act" xr:uid="{00000000-0004-0000-0300-0000F9030000}"/>
    <hyperlink ref="P1020" location="Acts!A62" display="Go to Act" xr:uid="{00000000-0004-0000-0300-0000FA030000}"/>
    <hyperlink ref="P1021" location="Acts!A62" display="Go to Act" xr:uid="{00000000-0004-0000-0300-0000FB030000}"/>
    <hyperlink ref="P1022" location="Acts!A62" display="Go to Act" xr:uid="{00000000-0004-0000-0300-0000FC030000}"/>
    <hyperlink ref="P1023" location="Acts!A62" display="Go to Act" xr:uid="{00000000-0004-0000-0300-0000FD030000}"/>
    <hyperlink ref="P1024" location="Acts!A62" display="Go to Act" xr:uid="{00000000-0004-0000-0300-0000FE030000}"/>
    <hyperlink ref="P1025" location="Acts!A62" display="Go to Act" xr:uid="{00000000-0004-0000-0300-0000FF030000}"/>
    <hyperlink ref="P1026" location="Acts!A62" display="Go to Act" xr:uid="{00000000-0004-0000-0300-000000040000}"/>
    <hyperlink ref="P1027" location="Acts!A62" display="Go to Act" xr:uid="{00000000-0004-0000-0300-000001040000}"/>
    <hyperlink ref="P1028" location="Acts!A62" display="Go to Act" xr:uid="{00000000-0004-0000-0300-000002040000}"/>
    <hyperlink ref="P1029" location="Acts!A62" display="Go to Act" xr:uid="{00000000-0004-0000-0300-000003040000}"/>
    <hyperlink ref="P1030" location="Acts!A62" display="Go to Act" xr:uid="{00000000-0004-0000-0300-000004040000}"/>
    <hyperlink ref="P1031" location="Acts!A62" display="Go to Act" xr:uid="{00000000-0004-0000-0300-000005040000}"/>
    <hyperlink ref="P1032" location="Acts!A62" display="Go to Act" xr:uid="{00000000-0004-0000-0300-000006040000}"/>
    <hyperlink ref="P1033" location="Acts!A63" display="Go to Act" xr:uid="{00000000-0004-0000-0300-000007040000}"/>
    <hyperlink ref="P1034" location="Acts!A63" display="Go to Act" xr:uid="{00000000-0004-0000-0300-000008040000}"/>
    <hyperlink ref="P1035" location="Acts!A63" display="Go to Act" xr:uid="{00000000-0004-0000-0300-000009040000}"/>
    <hyperlink ref="P1036" location="Acts!A63" display="Go to Act" xr:uid="{00000000-0004-0000-0300-00000A040000}"/>
    <hyperlink ref="P1037" location="Acts!A63" display="Go to Act" xr:uid="{00000000-0004-0000-0300-00000B040000}"/>
    <hyperlink ref="P1038" location="Acts!A63" display="Go to Act" xr:uid="{00000000-0004-0000-0300-00000C040000}"/>
    <hyperlink ref="P1039" location="Acts!A63" display="Go to Act" xr:uid="{00000000-0004-0000-0300-00000D040000}"/>
    <hyperlink ref="P1040" location="Acts!A63" display="Go to Act" xr:uid="{00000000-0004-0000-0300-00000E040000}"/>
    <hyperlink ref="P1041" location="Acts!A63" display="Go to Act" xr:uid="{00000000-0004-0000-0300-00000F040000}"/>
    <hyperlink ref="P1042" location="Acts!A64" display="Go to Act" xr:uid="{00000000-0004-0000-0300-000010040000}"/>
    <hyperlink ref="P1043" location="Acts!A64" display="Go to Act" xr:uid="{00000000-0004-0000-0300-000011040000}"/>
    <hyperlink ref="P1044" location="Acts!A55" display="Go to Act" xr:uid="{00000000-0004-0000-0300-000012040000}"/>
    <hyperlink ref="P1045" location="Acts!A55" display="Go to Act" xr:uid="{00000000-0004-0000-0300-000013040000}"/>
    <hyperlink ref="P1046" location="Acts!A55" display="Go to Act" xr:uid="{00000000-0004-0000-0300-000014040000}"/>
    <hyperlink ref="P1047" location="Acts!A55" display="Go to Act" xr:uid="{00000000-0004-0000-0300-000015040000}"/>
    <hyperlink ref="P1048" location="Acts!A55" display="Go to Act" xr:uid="{00000000-0004-0000-0300-000016040000}"/>
    <hyperlink ref="P1049" location="Acts!A55" display="Go to Act" xr:uid="{00000000-0004-0000-0300-000017040000}"/>
    <hyperlink ref="P1050" location="Acts!A55" display="Go to Act" xr:uid="{00000000-0004-0000-0300-000018040000}"/>
    <hyperlink ref="P1051" location="Acts!A56" display="Go to Act" xr:uid="{00000000-0004-0000-0300-000019040000}"/>
    <hyperlink ref="P1052" location="Acts!A65" display="Go to Act" xr:uid="{00000000-0004-0000-0300-00001A040000}"/>
    <hyperlink ref="P1053" location="Acts!A66" display="Go to Act" xr:uid="{00000000-0004-0000-0300-00001B040000}"/>
    <hyperlink ref="P1054" location="Acts!A66" display="Go to Act" xr:uid="{00000000-0004-0000-0300-00001C040000}"/>
    <hyperlink ref="P1055" location="Acts!A66" display="Go to Act" xr:uid="{00000000-0004-0000-0300-00001D040000}"/>
    <hyperlink ref="P1056" location="Acts!A67" display="Go to Act" xr:uid="{00000000-0004-0000-0300-00001E040000}"/>
    <hyperlink ref="P1057" location="Acts!A67" display="Go to Act" xr:uid="{00000000-0004-0000-0300-00001F040000}"/>
    <hyperlink ref="P1058" location="Acts!A67" display="Go to Act" xr:uid="{00000000-0004-0000-0300-000020040000}"/>
    <hyperlink ref="P1059" location="Acts!A67" display="Go to Act" xr:uid="{00000000-0004-0000-0300-000021040000}"/>
    <hyperlink ref="P1060" location="Acts!A67" display="Go to Act" xr:uid="{00000000-0004-0000-0300-000022040000}"/>
    <hyperlink ref="P1061" location="Acts!A67" display="Go to Act" xr:uid="{00000000-0004-0000-0300-000023040000}"/>
    <hyperlink ref="P1062" location="Acts!A68" display="Go to Act" xr:uid="{00000000-0004-0000-0300-000024040000}"/>
    <hyperlink ref="P1063" location="Acts!A69" display="Go to Act" xr:uid="{00000000-0004-0000-0300-000025040000}"/>
    <hyperlink ref="P1064" location="Acts!A70" display="Go to Act" xr:uid="{00000000-0004-0000-0300-000026040000}"/>
    <hyperlink ref="P1065" location="Acts!A70" display="Go to Act" xr:uid="{00000000-0004-0000-0300-000027040000}"/>
    <hyperlink ref="P1066" location="Acts!A70" display="Go to Act" xr:uid="{00000000-0004-0000-0300-000028040000}"/>
    <hyperlink ref="P1067" location="Acts!A70" display="Go to Act" xr:uid="{00000000-0004-0000-0300-000029040000}"/>
    <hyperlink ref="P1068" location="Acts!A70" display="Go to Act" xr:uid="{00000000-0004-0000-0300-00002A040000}"/>
    <hyperlink ref="P1069" location="Acts!A70" display="Go to Act" xr:uid="{00000000-0004-0000-0300-00002B040000}"/>
    <hyperlink ref="P1070" location="Acts!A70" display="Go to Act" xr:uid="{00000000-0004-0000-0300-00002C040000}"/>
    <hyperlink ref="P1071" location="Acts!A71" display="Go to Act" xr:uid="{00000000-0004-0000-0300-00002D040000}"/>
    <hyperlink ref="P1072" location="Acts!A71" display="Go to Act" xr:uid="{00000000-0004-0000-0300-00002E040000}"/>
    <hyperlink ref="P1073" location="Acts!A72" display="Go to Act" xr:uid="{00000000-0004-0000-0300-00002F040000}"/>
    <hyperlink ref="P1074" location="Acts!A72" display="Go to Act" xr:uid="{00000000-0004-0000-0300-000030040000}"/>
    <hyperlink ref="P1075" location="Acts!A73" display="Go to Act" xr:uid="{00000000-0004-0000-0300-000031040000}"/>
    <hyperlink ref="P1076" location="Acts!A73" display="Go to Act" xr:uid="{00000000-0004-0000-0300-000032040000}"/>
    <hyperlink ref="P1077" location="Acts!A74" display="Go to Act" xr:uid="{00000000-0004-0000-0300-000033040000}"/>
    <hyperlink ref="P1078" location="Acts!A74" display="Go to Act" xr:uid="{00000000-0004-0000-0300-000034040000}"/>
    <hyperlink ref="P1079" location="Acts!A75" display="Go to Act" xr:uid="{00000000-0004-0000-0300-000035040000}"/>
    <hyperlink ref="P1080" location="Acts!A75" display="Go to Act" xr:uid="{00000000-0004-0000-0300-000036040000}"/>
    <hyperlink ref="P1081" location="Acts!A75" display="Go to Act" xr:uid="{00000000-0004-0000-0300-000037040000}"/>
    <hyperlink ref="P1082" location="Acts!A75" display="Go to Act" xr:uid="{00000000-0004-0000-0300-000038040000}"/>
    <hyperlink ref="P1083" location="Acts!A75" display="Go to Act" xr:uid="{00000000-0004-0000-0300-000039040000}"/>
    <hyperlink ref="P1084" location="Acts!A76" display="Go to Act" xr:uid="{00000000-0004-0000-0300-00003A040000}"/>
    <hyperlink ref="P1085" location="Acts!A76" display="Go to Act" xr:uid="{00000000-0004-0000-0300-00003B040000}"/>
    <hyperlink ref="P1086" location="Acts!A76" display="Go to Act" xr:uid="{00000000-0004-0000-0300-00003C040000}"/>
    <hyperlink ref="P1087" location="Acts!A76" display="Go to Act" xr:uid="{00000000-0004-0000-0300-00003D040000}"/>
    <hyperlink ref="P1088" location="Acts!A76" display="Go to Act" xr:uid="{00000000-0004-0000-0300-00003E040000}"/>
    <hyperlink ref="P1089" location="Acts!A76" display="Go to Act" xr:uid="{00000000-0004-0000-0300-00003F040000}"/>
    <hyperlink ref="P1090" location="Acts!A76" display="Go to Act" xr:uid="{00000000-0004-0000-0300-000040040000}"/>
    <hyperlink ref="P1091" location="Acts!A76" display="Go to Act" xr:uid="{00000000-0004-0000-0300-000041040000}"/>
    <hyperlink ref="P1092" location="Acts!A76" display="Go to Act" xr:uid="{00000000-0004-0000-0300-000042040000}"/>
    <hyperlink ref="P1093" location="Acts!A76" display="Go to Act" xr:uid="{00000000-0004-0000-0300-000043040000}"/>
    <hyperlink ref="P1094" location="Acts!A76" display="Go to Act" xr:uid="{00000000-0004-0000-0300-000044040000}"/>
    <hyperlink ref="P1095" location="Acts!A76" display="Go to Act" xr:uid="{00000000-0004-0000-0300-000045040000}"/>
    <hyperlink ref="P1096" location="Acts!A76" display="Go to Act" xr:uid="{00000000-0004-0000-0300-000046040000}"/>
    <hyperlink ref="P1097" location="Acts!A76" display="Go to Act" xr:uid="{00000000-0004-0000-0300-000047040000}"/>
    <hyperlink ref="P1098" location="Acts!A77" display="Go to Act" xr:uid="{00000000-0004-0000-0300-000048040000}"/>
    <hyperlink ref="P1099" location="Acts!A77" display="Go to Act" xr:uid="{00000000-0004-0000-0300-000049040000}"/>
    <hyperlink ref="P1100" location="Acts!A77" display="Go to Act" xr:uid="{00000000-0004-0000-0300-00004A040000}"/>
    <hyperlink ref="P1101" location="Acts!A77" display="Go to Act" xr:uid="{00000000-0004-0000-0300-00004B040000}"/>
    <hyperlink ref="P1102" location="Acts!A77" display="Go to Act" xr:uid="{00000000-0004-0000-0300-00004C040000}"/>
    <hyperlink ref="P1103" location="Acts!A77" display="Go to Act" xr:uid="{00000000-0004-0000-0300-00004D040000}"/>
    <hyperlink ref="P1104" location="Acts!A77" display="Go to Act" xr:uid="{00000000-0004-0000-0300-00004E040000}"/>
    <hyperlink ref="P1105" location="Acts!A77" display="Go to Act" xr:uid="{00000000-0004-0000-0300-00004F040000}"/>
    <hyperlink ref="P1106" location="Acts!A77" display="Go to Act" xr:uid="{00000000-0004-0000-0300-000050040000}"/>
    <hyperlink ref="P1107" location="Acts!A77" display="Go to Act" xr:uid="{00000000-0004-0000-0300-000051040000}"/>
    <hyperlink ref="P1108" location="Acts!A78" display="Go to Act" xr:uid="{00000000-0004-0000-0300-000052040000}"/>
    <hyperlink ref="P1109" location="Acts!A78" display="Go to Act" xr:uid="{00000000-0004-0000-0300-000053040000}"/>
    <hyperlink ref="P1110" location="Acts!A78" display="Go to Act" xr:uid="{00000000-0004-0000-0300-000054040000}"/>
    <hyperlink ref="P1111" location="Acts!A78" display="Go to Act" xr:uid="{00000000-0004-0000-0300-000055040000}"/>
    <hyperlink ref="P1112" location="Acts!A78" display="Go to Act" xr:uid="{00000000-0004-0000-0300-000056040000}"/>
    <hyperlink ref="P1113" location="Acts!A79" display="Go to Act" xr:uid="{00000000-0004-0000-0300-000057040000}"/>
    <hyperlink ref="P1114" location="Acts!A79" display="Go to Act" xr:uid="{00000000-0004-0000-0300-000058040000}"/>
    <hyperlink ref="P1115" location="Acts!A79" display="Go to Act" xr:uid="{00000000-0004-0000-0300-000059040000}"/>
    <hyperlink ref="P1116" location="Acts!A79" display="Go to Act" xr:uid="{00000000-0004-0000-0300-00005A040000}"/>
    <hyperlink ref="P1117" location="Acts!A79" display="Go to Act" xr:uid="{00000000-0004-0000-0300-00005B040000}"/>
    <hyperlink ref="P1118" location="Acts!A80" display="Go to Act" xr:uid="{00000000-0004-0000-0300-00005C040000}"/>
    <hyperlink ref="P1119" location="Acts!A80" display="Go to Act" xr:uid="{00000000-0004-0000-0300-00005D040000}"/>
    <hyperlink ref="P1120" location="Acts!A80" display="Go to Act" xr:uid="{00000000-0004-0000-0300-00005E040000}"/>
    <hyperlink ref="P1121" location="Acts!A80" display="Go to Act" xr:uid="{00000000-0004-0000-0300-00005F040000}"/>
    <hyperlink ref="P1122" location="Acts!A80" display="Go to Act" xr:uid="{00000000-0004-0000-0300-000060040000}"/>
    <hyperlink ref="P1123" location="Acts!A80" display="Go to Act" xr:uid="{00000000-0004-0000-0300-000061040000}"/>
    <hyperlink ref="P1124" location="Acts!A80" display="Go to Act" xr:uid="{00000000-0004-0000-0300-000062040000}"/>
    <hyperlink ref="P1125" location="Acts!A80" display="Go to Act" xr:uid="{00000000-0004-0000-0300-000063040000}"/>
    <hyperlink ref="P1126" location="Acts!A80" display="Go to Act" xr:uid="{00000000-0004-0000-0300-000064040000}"/>
    <hyperlink ref="P1127" location="Acts!A80" display="Go to Act" xr:uid="{00000000-0004-0000-0300-000065040000}"/>
    <hyperlink ref="P1128" location="Acts!A80" display="Go to Act" xr:uid="{00000000-0004-0000-0300-000066040000}"/>
    <hyperlink ref="P1129" location="Acts!A80" display="Go to Act" xr:uid="{00000000-0004-0000-0300-000067040000}"/>
    <hyperlink ref="P1130" location="Acts!A80" display="Go to Act" xr:uid="{00000000-0004-0000-0300-000068040000}"/>
    <hyperlink ref="P1131" location="Acts!A81" display="Go to Act" xr:uid="{00000000-0004-0000-0300-000069040000}"/>
    <hyperlink ref="P1132" location="Acts!A81" display="Go to Act" xr:uid="{00000000-0004-0000-0300-00006A040000}"/>
    <hyperlink ref="P1133" location="Acts!A81" display="Go to Act" xr:uid="{00000000-0004-0000-0300-00006B040000}"/>
    <hyperlink ref="P1134" location="Acts!A81" display="Go to Act" xr:uid="{00000000-0004-0000-0300-00006C040000}"/>
    <hyperlink ref="P1135" location="Acts!A81" display="Go to Act" xr:uid="{00000000-0004-0000-0300-00006D040000}"/>
    <hyperlink ref="P1136" location="Acts!A81" display="Go to Act" xr:uid="{00000000-0004-0000-0300-00006E040000}"/>
    <hyperlink ref="P1137" location="Acts!A81" display="Go to Act" xr:uid="{00000000-0004-0000-0300-00006F040000}"/>
    <hyperlink ref="P1138" location="Acts!A81" display="Go to Act" xr:uid="{00000000-0004-0000-0300-000070040000}"/>
    <hyperlink ref="P1139" location="Acts!A82" display="Go to Act" xr:uid="{00000000-0004-0000-0300-000071040000}"/>
    <hyperlink ref="P1140" location="Acts!A82" display="Go to Act" xr:uid="{00000000-0004-0000-0300-000072040000}"/>
    <hyperlink ref="P1141" location="Acts!A82" display="Go to Act" xr:uid="{00000000-0004-0000-0300-000073040000}"/>
    <hyperlink ref="P1142" location="Acts!A84" display="Go to Act" xr:uid="{00000000-0004-0000-0300-000074040000}"/>
    <hyperlink ref="P1143" location="Acts!A84" display="Go to Act" xr:uid="{00000000-0004-0000-0300-000075040000}"/>
    <hyperlink ref="P1144" location="Acts!A84" display="Go to Act" xr:uid="{00000000-0004-0000-0300-000076040000}"/>
    <hyperlink ref="P1145" location="Acts!A84" display="Go to Act" xr:uid="{00000000-0004-0000-0300-000077040000}"/>
    <hyperlink ref="P1146" location="Acts!A84" display="Go to Act" xr:uid="{00000000-0004-0000-0300-000078040000}"/>
    <hyperlink ref="P1147" location="Acts!A84" display="Go to Act" xr:uid="{00000000-0004-0000-0300-000079040000}"/>
    <hyperlink ref="P1148" location="Acts!A84" display="Go to Act" xr:uid="{00000000-0004-0000-0300-00007A040000}"/>
    <hyperlink ref="P1149" location="Acts!A84" display="Go to Act" xr:uid="{00000000-0004-0000-0300-00007B040000}"/>
    <hyperlink ref="P1150" location="Acts!A84" display="Go to Act" xr:uid="{00000000-0004-0000-0300-00007C040000}"/>
    <hyperlink ref="P1151" location="Acts!A84" display="Go to Act" xr:uid="{00000000-0004-0000-0300-00007D040000}"/>
    <hyperlink ref="P1152" location="Acts!A84" display="Go to Act" xr:uid="{00000000-0004-0000-0300-00007E040000}"/>
    <hyperlink ref="P1153" location="Acts!A83" display="Go to Act" xr:uid="{00000000-0004-0000-0300-00007F040000}"/>
    <hyperlink ref="P1154" location="Acts!A83" display="Go to Act" xr:uid="{00000000-0004-0000-0300-000080040000}"/>
    <hyperlink ref="P1155" location="Acts!A83" display="Go to Act" xr:uid="{00000000-0004-0000-0300-000081040000}"/>
    <hyperlink ref="P1156" location="Acts!A85" display="Go to Act" xr:uid="{00000000-0004-0000-0300-000082040000}"/>
    <hyperlink ref="P1157" location="Acts!A85" display="Go to Act" xr:uid="{00000000-0004-0000-0300-000083040000}"/>
    <hyperlink ref="P1158" location="Acts!A85" display="Go to Act" xr:uid="{00000000-0004-0000-0300-000084040000}"/>
    <hyperlink ref="P1159" location="Acts!A88" display="Go to Act" xr:uid="{00000000-0004-0000-0300-000085040000}"/>
    <hyperlink ref="P1160" location="Acts!A88" display="Go to Act" xr:uid="{00000000-0004-0000-0300-000086040000}"/>
    <hyperlink ref="P1161" location="Acts!A88" display="Go to Act" xr:uid="{00000000-0004-0000-0300-000087040000}"/>
    <hyperlink ref="P1162" location="Acts!A88" display="Go to Act" xr:uid="{00000000-0004-0000-0300-000088040000}"/>
    <hyperlink ref="P1163" location="Acts!A88" display="Go to Act" xr:uid="{00000000-0004-0000-0300-000089040000}"/>
    <hyperlink ref="P1164" location="Acts!A89" display="Go to Act" xr:uid="{00000000-0004-0000-0300-00008A040000}"/>
    <hyperlink ref="P1165" location="Acts!A89" display="Go to Act" xr:uid="{00000000-0004-0000-0300-00008B040000}"/>
    <hyperlink ref="P1166" location="Acts!A89" display="Go to Act" xr:uid="{00000000-0004-0000-0300-00008C040000}"/>
    <hyperlink ref="P1167" location="Acts!A89" display="Go to Act" xr:uid="{00000000-0004-0000-0300-00008D040000}"/>
    <hyperlink ref="P1168" location="Acts!A89" display="Go to Act" xr:uid="{00000000-0004-0000-0300-00008E040000}"/>
    <hyperlink ref="P1169" location="Acts!A89" display="Go to Act" xr:uid="{00000000-0004-0000-0300-00008F040000}"/>
    <hyperlink ref="P1170" location="Acts!A89" display="Go to Act" xr:uid="{00000000-0004-0000-0300-000090040000}"/>
    <hyperlink ref="P1171" location="Acts!A89" display="Go to Act" xr:uid="{00000000-0004-0000-0300-000091040000}"/>
    <hyperlink ref="P1172" location="Acts!A90" display="Go to Act" xr:uid="{00000000-0004-0000-0300-000092040000}"/>
    <hyperlink ref="P1173" location="Acts!A90" display="Go to Act" xr:uid="{00000000-0004-0000-0300-000093040000}"/>
    <hyperlink ref="P1174" location="Acts!A90" display="Go to Act" xr:uid="{00000000-0004-0000-0300-000094040000}"/>
    <hyperlink ref="P1175" location="Acts!A90" display="Go to Act" xr:uid="{00000000-0004-0000-0300-000095040000}"/>
    <hyperlink ref="P1176" location="Acts!A90" display="Go to Act" xr:uid="{00000000-0004-0000-0300-000096040000}"/>
    <hyperlink ref="P1177" location="Acts!A91" display="Go to Act" xr:uid="{00000000-0004-0000-0300-000097040000}"/>
    <hyperlink ref="P1178" location="Acts!A92" display="Go to Act" xr:uid="{00000000-0004-0000-0300-000098040000}"/>
    <hyperlink ref="P1179" location="Acts!A92" display="Go to Act" xr:uid="{00000000-0004-0000-0300-000099040000}"/>
    <hyperlink ref="P1180" location="Acts!A92" display="Go to Act" xr:uid="{00000000-0004-0000-0300-00009A040000}"/>
    <hyperlink ref="P1181" location="Acts!A86" display="Go to Act" xr:uid="{00000000-0004-0000-0300-00009B040000}"/>
    <hyperlink ref="P1182" location="Acts!A86" display="Go to Act" xr:uid="{00000000-0004-0000-0300-00009C040000}"/>
    <hyperlink ref="P1183" location="Acts!A86" display="Go to Act" xr:uid="{00000000-0004-0000-0300-00009D040000}"/>
    <hyperlink ref="P1184" location="Acts!A86" display="Go to Act" xr:uid="{00000000-0004-0000-0300-00009E040000}"/>
    <hyperlink ref="P1185" location="Acts!A86" display="Go to Act" xr:uid="{00000000-0004-0000-0300-00009F040000}"/>
    <hyperlink ref="P1186" location="Acts!A86" display="Go to Act" xr:uid="{00000000-0004-0000-0300-0000A0040000}"/>
    <hyperlink ref="P1187" location="Acts!A86" display="Go to Act" xr:uid="{00000000-0004-0000-0300-0000A1040000}"/>
    <hyperlink ref="P1188" location="Acts!A87" display="Go to Act" xr:uid="{00000000-0004-0000-0300-0000A2040000}"/>
    <hyperlink ref="P1189" location="Acts!A87" display="Go to Act" xr:uid="{00000000-0004-0000-0300-0000A3040000}"/>
    <hyperlink ref="P1190" location="Acts!A93" display="Go to Act" xr:uid="{00000000-0004-0000-0300-0000A4040000}"/>
    <hyperlink ref="P1191" location="Acts!A93" display="Go to Act" xr:uid="{00000000-0004-0000-0300-0000A5040000}"/>
    <hyperlink ref="P1192" location="Acts!A93" display="Go to Act" xr:uid="{00000000-0004-0000-0300-0000A6040000}"/>
    <hyperlink ref="P1193" location="Acts!A93" display="Go to Act" xr:uid="{00000000-0004-0000-0300-0000A7040000}"/>
    <hyperlink ref="P1194" location="Acts!A93" display="Go to Act" xr:uid="{00000000-0004-0000-0300-0000A8040000}"/>
    <hyperlink ref="P1195" location="Acts!A93" display="Go to Act" xr:uid="{00000000-0004-0000-0300-0000A9040000}"/>
    <hyperlink ref="P1196" location="Acts!A93" display="Go to Act" xr:uid="{00000000-0004-0000-0300-0000AA040000}"/>
    <hyperlink ref="P1197" location="Acts!A93" display="Go to Act" xr:uid="{00000000-0004-0000-0300-0000AB040000}"/>
    <hyperlink ref="P1198" location="Acts!A93" display="Go to Act" xr:uid="{00000000-0004-0000-0300-0000AC040000}"/>
    <hyperlink ref="P1199" location="Acts!A93" display="Go to Act" xr:uid="{00000000-0004-0000-0300-0000AD040000}"/>
  </hyperlinks>
  <pageMargins left="0.75" right="0.75" top="1" bottom="1" header="0.5" footer="0.5"/>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G93"/>
  <sheetViews>
    <sheetView tabSelected="1" workbookViewId="0">
      <pane ySplit="1" topLeftCell="A40" activePane="bottomLeft" state="frozen"/>
      <selection pane="bottomLeft" activeCell="G65" sqref="G65"/>
    </sheetView>
  </sheetViews>
  <sheetFormatPr defaultRowHeight="14.4" x14ac:dyDescent="0.3"/>
  <cols>
    <col min="1" max="1" width="16" customWidth="1"/>
    <col min="2" max="2" width="60" customWidth="1"/>
    <col min="3" max="3" width="12" customWidth="1"/>
    <col min="4" max="5" width="60" customWidth="1"/>
    <col min="6" max="6" width="21" customWidth="1"/>
    <col min="7" max="7" width="12" customWidth="1"/>
  </cols>
  <sheetData>
    <row r="1" spans="1:7" x14ac:dyDescent="0.3">
      <c r="A1" s="8" t="s">
        <v>14</v>
      </c>
      <c r="B1" s="8" t="s">
        <v>24</v>
      </c>
      <c r="C1" s="8" t="s">
        <v>7548</v>
      </c>
      <c r="D1" s="8" t="s">
        <v>3</v>
      </c>
      <c r="E1" s="8" t="s">
        <v>4</v>
      </c>
      <c r="F1" s="8" t="s">
        <v>18</v>
      </c>
      <c r="G1" s="8" t="s">
        <v>7549</v>
      </c>
    </row>
    <row r="2" spans="1:7" x14ac:dyDescent="0.3">
      <c r="A2" t="s">
        <v>39</v>
      </c>
      <c r="B2" t="s">
        <v>42</v>
      </c>
      <c r="C2">
        <v>1</v>
      </c>
      <c r="E2" t="s">
        <v>7550</v>
      </c>
      <c r="F2" t="s">
        <v>46</v>
      </c>
      <c r="G2" s="10" t="s">
        <v>7551</v>
      </c>
    </row>
    <row r="3" spans="1:7" x14ac:dyDescent="0.3">
      <c r="A3" t="s">
        <v>39</v>
      </c>
      <c r="B3" t="s">
        <v>54</v>
      </c>
      <c r="C3">
        <v>1</v>
      </c>
      <c r="D3" t="s">
        <v>60</v>
      </c>
      <c r="E3" t="s">
        <v>7552</v>
      </c>
      <c r="F3" t="s">
        <v>46</v>
      </c>
      <c r="G3" s="10" t="s">
        <v>7551</v>
      </c>
    </row>
    <row r="4" spans="1:7" x14ac:dyDescent="0.3">
      <c r="A4" t="s">
        <v>39</v>
      </c>
      <c r="B4" t="s">
        <v>65</v>
      </c>
      <c r="C4">
        <v>30</v>
      </c>
      <c r="D4" t="s">
        <v>7553</v>
      </c>
      <c r="E4" t="s">
        <v>7554</v>
      </c>
      <c r="F4" t="s">
        <v>143</v>
      </c>
      <c r="G4" s="10" t="s">
        <v>7551</v>
      </c>
    </row>
    <row r="5" spans="1:7" x14ac:dyDescent="0.3">
      <c r="A5" t="s">
        <v>39</v>
      </c>
      <c r="B5" t="s">
        <v>304</v>
      </c>
      <c r="C5">
        <v>8</v>
      </c>
      <c r="D5" t="s">
        <v>7555</v>
      </c>
      <c r="E5" t="s">
        <v>306</v>
      </c>
      <c r="F5" t="s">
        <v>143</v>
      </c>
      <c r="G5" s="10" t="s">
        <v>7551</v>
      </c>
    </row>
    <row r="6" spans="1:7" x14ac:dyDescent="0.3">
      <c r="A6" t="s">
        <v>39</v>
      </c>
      <c r="B6" t="s">
        <v>368</v>
      </c>
      <c r="C6">
        <v>15</v>
      </c>
      <c r="D6" t="s">
        <v>7556</v>
      </c>
      <c r="E6" t="s">
        <v>7557</v>
      </c>
      <c r="F6" t="s">
        <v>143</v>
      </c>
      <c r="G6" s="10" t="s">
        <v>7551</v>
      </c>
    </row>
    <row r="7" spans="1:7" x14ac:dyDescent="0.3">
      <c r="A7" t="s">
        <v>39</v>
      </c>
      <c r="B7" t="s">
        <v>493</v>
      </c>
      <c r="C7">
        <v>15</v>
      </c>
      <c r="D7" t="s">
        <v>7558</v>
      </c>
      <c r="E7" t="s">
        <v>7550</v>
      </c>
      <c r="F7" t="s">
        <v>143</v>
      </c>
      <c r="G7" s="10" t="s">
        <v>7551</v>
      </c>
    </row>
    <row r="8" spans="1:7" x14ac:dyDescent="0.3">
      <c r="A8" t="s">
        <v>39</v>
      </c>
      <c r="B8" t="s">
        <v>1049</v>
      </c>
      <c r="C8">
        <v>32</v>
      </c>
      <c r="D8" t="s">
        <v>584</v>
      </c>
      <c r="E8" t="s">
        <v>7559</v>
      </c>
      <c r="F8" t="s">
        <v>143</v>
      </c>
      <c r="G8" s="10" t="s">
        <v>7551</v>
      </c>
    </row>
    <row r="9" spans="1:7" x14ac:dyDescent="0.3">
      <c r="A9" t="s">
        <v>39</v>
      </c>
      <c r="B9" t="s">
        <v>554</v>
      </c>
      <c r="C9">
        <v>2</v>
      </c>
      <c r="D9" t="s">
        <v>558</v>
      </c>
      <c r="E9" t="s">
        <v>452</v>
      </c>
      <c r="F9" t="s">
        <v>46</v>
      </c>
      <c r="G9" s="10" t="s">
        <v>7551</v>
      </c>
    </row>
    <row r="10" spans="1:7" x14ac:dyDescent="0.3">
      <c r="A10" t="s">
        <v>39</v>
      </c>
      <c r="B10" t="s">
        <v>571</v>
      </c>
      <c r="C10">
        <v>19</v>
      </c>
      <c r="D10" t="s">
        <v>584</v>
      </c>
      <c r="E10" t="s">
        <v>7560</v>
      </c>
      <c r="F10" t="s">
        <v>143</v>
      </c>
      <c r="G10" s="10" t="s">
        <v>7551</v>
      </c>
    </row>
    <row r="11" spans="1:7" x14ac:dyDescent="0.3">
      <c r="A11" t="s">
        <v>39</v>
      </c>
      <c r="B11" t="s">
        <v>709</v>
      </c>
      <c r="C11">
        <v>37</v>
      </c>
      <c r="D11" t="s">
        <v>7561</v>
      </c>
      <c r="E11" t="s">
        <v>7562</v>
      </c>
      <c r="F11" t="s">
        <v>143</v>
      </c>
      <c r="G11" s="10" t="s">
        <v>7551</v>
      </c>
    </row>
    <row r="12" spans="1:7" x14ac:dyDescent="0.3">
      <c r="A12" t="s">
        <v>39</v>
      </c>
      <c r="B12" t="s">
        <v>960</v>
      </c>
      <c r="C12">
        <v>11</v>
      </c>
      <c r="D12" t="s">
        <v>584</v>
      </c>
      <c r="E12" t="s">
        <v>7563</v>
      </c>
      <c r="F12" t="s">
        <v>143</v>
      </c>
      <c r="G12" s="10" t="s">
        <v>7551</v>
      </c>
    </row>
    <row r="13" spans="1:7" x14ac:dyDescent="0.3">
      <c r="A13" t="s">
        <v>39</v>
      </c>
      <c r="B13" t="s">
        <v>1214</v>
      </c>
      <c r="C13">
        <v>40</v>
      </c>
      <c r="D13" t="s">
        <v>1216</v>
      </c>
      <c r="E13" t="s">
        <v>7564</v>
      </c>
      <c r="F13" t="s">
        <v>143</v>
      </c>
      <c r="G13" s="10" t="s">
        <v>7551</v>
      </c>
    </row>
    <row r="14" spans="1:7" x14ac:dyDescent="0.3">
      <c r="A14" t="s">
        <v>39</v>
      </c>
      <c r="B14" t="s">
        <v>1020</v>
      </c>
      <c r="C14">
        <v>5</v>
      </c>
      <c r="E14" t="s">
        <v>7565</v>
      </c>
      <c r="F14" t="s">
        <v>46</v>
      </c>
      <c r="G14" s="10" t="s">
        <v>7551</v>
      </c>
    </row>
    <row r="15" spans="1:7" x14ac:dyDescent="0.3">
      <c r="A15" t="s">
        <v>41</v>
      </c>
      <c r="B15" t="s">
        <v>1501</v>
      </c>
      <c r="C15">
        <v>5</v>
      </c>
      <c r="D15" t="s">
        <v>1510</v>
      </c>
      <c r="E15" t="s">
        <v>7566</v>
      </c>
      <c r="F15" t="s">
        <v>143</v>
      </c>
      <c r="G15" s="10" t="s">
        <v>7551</v>
      </c>
    </row>
    <row r="16" spans="1:7" x14ac:dyDescent="0.3">
      <c r="A16" t="s">
        <v>41</v>
      </c>
      <c r="B16" t="s">
        <v>1534</v>
      </c>
      <c r="C16">
        <v>6</v>
      </c>
      <c r="E16" t="s">
        <v>4039</v>
      </c>
      <c r="F16" t="s">
        <v>143</v>
      </c>
      <c r="G16" s="10" t="s">
        <v>7551</v>
      </c>
    </row>
    <row r="17" spans="1:7" x14ac:dyDescent="0.3">
      <c r="A17" t="s">
        <v>41</v>
      </c>
      <c r="B17" t="s">
        <v>1563</v>
      </c>
      <c r="C17">
        <v>5</v>
      </c>
      <c r="D17" t="s">
        <v>1510</v>
      </c>
      <c r="E17" t="s">
        <v>1565</v>
      </c>
      <c r="F17" t="s">
        <v>143</v>
      </c>
      <c r="G17" s="10" t="s">
        <v>7551</v>
      </c>
    </row>
    <row r="18" spans="1:7" x14ac:dyDescent="0.3">
      <c r="A18" t="s">
        <v>41</v>
      </c>
      <c r="B18" t="s">
        <v>1592</v>
      </c>
      <c r="C18">
        <v>13</v>
      </c>
      <c r="D18" t="s">
        <v>1510</v>
      </c>
      <c r="E18" t="s">
        <v>7567</v>
      </c>
      <c r="F18" t="s">
        <v>143</v>
      </c>
      <c r="G18" s="10" t="s">
        <v>7551</v>
      </c>
    </row>
    <row r="19" spans="1:7" x14ac:dyDescent="0.3">
      <c r="A19" t="s">
        <v>41</v>
      </c>
      <c r="B19" t="s">
        <v>1668</v>
      </c>
      <c r="C19">
        <v>21</v>
      </c>
      <c r="D19" t="s">
        <v>7568</v>
      </c>
      <c r="E19" t="s">
        <v>7569</v>
      </c>
      <c r="F19" t="s">
        <v>143</v>
      </c>
      <c r="G19" s="10" t="s">
        <v>7551</v>
      </c>
    </row>
    <row r="20" spans="1:7" x14ac:dyDescent="0.3">
      <c r="A20" t="s">
        <v>41</v>
      </c>
      <c r="B20" t="s">
        <v>1811</v>
      </c>
      <c r="C20">
        <v>14</v>
      </c>
      <c r="D20" t="s">
        <v>7570</v>
      </c>
      <c r="E20" t="s">
        <v>7571</v>
      </c>
      <c r="F20" t="s">
        <v>143</v>
      </c>
      <c r="G20" s="10" t="s">
        <v>7551</v>
      </c>
    </row>
    <row r="21" spans="1:7" x14ac:dyDescent="0.3">
      <c r="A21" t="s">
        <v>41</v>
      </c>
      <c r="B21" t="s">
        <v>2174</v>
      </c>
      <c r="C21">
        <v>45</v>
      </c>
      <c r="D21" t="s">
        <v>7572</v>
      </c>
      <c r="E21" t="s">
        <v>7573</v>
      </c>
      <c r="F21" t="s">
        <v>143</v>
      </c>
      <c r="G21" s="10" t="s">
        <v>7551</v>
      </c>
    </row>
    <row r="22" spans="1:7" x14ac:dyDescent="0.3">
      <c r="A22" t="s">
        <v>41</v>
      </c>
      <c r="B22" t="s">
        <v>1914</v>
      </c>
      <c r="C22">
        <v>12</v>
      </c>
      <c r="D22" t="s">
        <v>1917</v>
      </c>
      <c r="E22" t="s">
        <v>7574</v>
      </c>
      <c r="F22" t="s">
        <v>143</v>
      </c>
      <c r="G22" s="10" t="s">
        <v>7551</v>
      </c>
    </row>
    <row r="23" spans="1:7" x14ac:dyDescent="0.3">
      <c r="A23" t="s">
        <v>41</v>
      </c>
      <c r="B23" t="s">
        <v>1977</v>
      </c>
      <c r="C23">
        <v>14</v>
      </c>
      <c r="D23" t="s">
        <v>7575</v>
      </c>
      <c r="E23" t="s">
        <v>7576</v>
      </c>
      <c r="F23" t="s">
        <v>143</v>
      </c>
      <c r="G23" s="10" t="s">
        <v>7551</v>
      </c>
    </row>
    <row r="24" spans="1:7" x14ac:dyDescent="0.3">
      <c r="A24" t="s">
        <v>41</v>
      </c>
      <c r="B24" t="s">
        <v>2063</v>
      </c>
      <c r="C24">
        <v>17</v>
      </c>
      <c r="D24" t="s">
        <v>7577</v>
      </c>
      <c r="E24" t="s">
        <v>7565</v>
      </c>
      <c r="F24" t="s">
        <v>143</v>
      </c>
      <c r="G24" s="10" t="s">
        <v>7551</v>
      </c>
    </row>
    <row r="25" spans="1:7" x14ac:dyDescent="0.3">
      <c r="A25" t="s">
        <v>2444</v>
      </c>
      <c r="B25" t="s">
        <v>2445</v>
      </c>
      <c r="C25">
        <v>2</v>
      </c>
      <c r="D25" t="s">
        <v>2447</v>
      </c>
      <c r="F25" t="s">
        <v>46</v>
      </c>
      <c r="G25" s="10" t="s">
        <v>7551</v>
      </c>
    </row>
    <row r="26" spans="1:7" x14ac:dyDescent="0.3">
      <c r="A26" t="s">
        <v>2444</v>
      </c>
      <c r="B26" t="s">
        <v>3403</v>
      </c>
      <c r="C26">
        <v>21</v>
      </c>
      <c r="D26" t="s">
        <v>3405</v>
      </c>
      <c r="E26" t="s">
        <v>7578</v>
      </c>
      <c r="F26" t="s">
        <v>143</v>
      </c>
      <c r="G26" s="10" t="s">
        <v>7551</v>
      </c>
    </row>
    <row r="27" spans="1:7" x14ac:dyDescent="0.3">
      <c r="A27" t="s">
        <v>2444</v>
      </c>
      <c r="B27" t="s">
        <v>2455</v>
      </c>
      <c r="C27">
        <v>1</v>
      </c>
      <c r="G27" s="10" t="s">
        <v>7551</v>
      </c>
    </row>
    <row r="28" spans="1:7" x14ac:dyDescent="0.3">
      <c r="A28" t="s">
        <v>2444</v>
      </c>
      <c r="B28" t="s">
        <v>2460</v>
      </c>
      <c r="C28">
        <v>37</v>
      </c>
      <c r="D28" t="s">
        <v>7579</v>
      </c>
      <c r="E28" t="s">
        <v>7580</v>
      </c>
      <c r="F28" t="s">
        <v>143</v>
      </c>
      <c r="G28" s="10" t="s">
        <v>7551</v>
      </c>
    </row>
    <row r="29" spans="1:7" x14ac:dyDescent="0.3">
      <c r="A29" t="s">
        <v>2444</v>
      </c>
      <c r="B29" t="s">
        <v>2673</v>
      </c>
      <c r="C29">
        <v>23</v>
      </c>
      <c r="D29" t="s">
        <v>7581</v>
      </c>
      <c r="E29" t="s">
        <v>7565</v>
      </c>
      <c r="F29" t="s">
        <v>143</v>
      </c>
      <c r="G29" s="10" t="s">
        <v>7551</v>
      </c>
    </row>
    <row r="30" spans="1:7" x14ac:dyDescent="0.3">
      <c r="A30" t="s">
        <v>2444</v>
      </c>
      <c r="B30" t="s">
        <v>2818</v>
      </c>
      <c r="C30">
        <v>2</v>
      </c>
      <c r="D30" t="s">
        <v>2675</v>
      </c>
      <c r="E30" t="s">
        <v>2826</v>
      </c>
      <c r="F30" t="s">
        <v>116</v>
      </c>
      <c r="G30" s="10" t="s">
        <v>7551</v>
      </c>
    </row>
    <row r="31" spans="1:7" x14ac:dyDescent="0.3">
      <c r="A31" t="s">
        <v>2444</v>
      </c>
      <c r="B31" t="s">
        <v>2832</v>
      </c>
      <c r="C31">
        <v>22</v>
      </c>
      <c r="D31" t="s">
        <v>7581</v>
      </c>
      <c r="E31" t="s">
        <v>7582</v>
      </c>
      <c r="F31" t="s">
        <v>143</v>
      </c>
      <c r="G31" s="10" t="s">
        <v>7551</v>
      </c>
    </row>
    <row r="32" spans="1:7" x14ac:dyDescent="0.3">
      <c r="A32" t="s">
        <v>2444</v>
      </c>
      <c r="B32" t="s">
        <v>2973</v>
      </c>
      <c r="C32">
        <v>1</v>
      </c>
      <c r="D32" t="s">
        <v>2468</v>
      </c>
      <c r="E32" t="s">
        <v>3230</v>
      </c>
      <c r="F32" t="s">
        <v>143</v>
      </c>
      <c r="G32" s="10" t="s">
        <v>7551</v>
      </c>
    </row>
    <row r="33" spans="1:7" x14ac:dyDescent="0.3">
      <c r="A33" t="s">
        <v>2444</v>
      </c>
      <c r="B33" t="s">
        <v>2981</v>
      </c>
      <c r="C33">
        <v>33</v>
      </c>
      <c r="D33" t="s">
        <v>7583</v>
      </c>
      <c r="E33" t="s">
        <v>7584</v>
      </c>
      <c r="F33" t="s">
        <v>143</v>
      </c>
      <c r="G33" s="10" t="s">
        <v>7551</v>
      </c>
    </row>
    <row r="34" spans="1:7" x14ac:dyDescent="0.3">
      <c r="A34" t="s">
        <v>2444</v>
      </c>
      <c r="B34" t="s">
        <v>3178</v>
      </c>
      <c r="C34">
        <v>30</v>
      </c>
      <c r="D34" t="s">
        <v>3180</v>
      </c>
      <c r="E34" t="s">
        <v>7565</v>
      </c>
      <c r="F34" t="s">
        <v>143</v>
      </c>
      <c r="G34" s="10" t="s">
        <v>7551</v>
      </c>
    </row>
    <row r="35" spans="1:7" x14ac:dyDescent="0.3">
      <c r="A35" t="s">
        <v>3528</v>
      </c>
      <c r="B35" t="s">
        <v>3529</v>
      </c>
      <c r="C35">
        <v>48</v>
      </c>
      <c r="D35" t="s">
        <v>7585</v>
      </c>
      <c r="E35" t="s">
        <v>7586</v>
      </c>
      <c r="F35" t="s">
        <v>143</v>
      </c>
      <c r="G35" s="10" t="s">
        <v>7551</v>
      </c>
    </row>
    <row r="36" spans="1:7" x14ac:dyDescent="0.3">
      <c r="A36" t="s">
        <v>3528</v>
      </c>
      <c r="B36" t="s">
        <v>3836</v>
      </c>
      <c r="C36">
        <v>27</v>
      </c>
      <c r="D36" t="s">
        <v>7587</v>
      </c>
      <c r="E36" t="s">
        <v>7588</v>
      </c>
      <c r="F36" t="s">
        <v>143</v>
      </c>
      <c r="G36" s="10" t="s">
        <v>7551</v>
      </c>
    </row>
    <row r="37" spans="1:7" x14ac:dyDescent="0.3">
      <c r="A37" t="s">
        <v>3528</v>
      </c>
      <c r="B37" t="s">
        <v>4006</v>
      </c>
      <c r="C37">
        <v>65</v>
      </c>
      <c r="D37" t="s">
        <v>7589</v>
      </c>
      <c r="E37" t="s">
        <v>7590</v>
      </c>
      <c r="F37" t="s">
        <v>143</v>
      </c>
      <c r="G37" s="10" t="s">
        <v>7551</v>
      </c>
    </row>
    <row r="38" spans="1:7" x14ac:dyDescent="0.3">
      <c r="A38" t="s">
        <v>3528</v>
      </c>
      <c r="B38" t="s">
        <v>4371</v>
      </c>
      <c r="C38">
        <v>3</v>
      </c>
      <c r="D38" t="s">
        <v>7591</v>
      </c>
      <c r="E38" t="s">
        <v>7592</v>
      </c>
      <c r="F38" t="s">
        <v>143</v>
      </c>
      <c r="G38" s="10" t="s">
        <v>7551</v>
      </c>
    </row>
    <row r="39" spans="1:7" x14ac:dyDescent="0.3">
      <c r="A39" t="s">
        <v>3528</v>
      </c>
      <c r="B39" t="s">
        <v>4394</v>
      </c>
      <c r="C39">
        <v>6</v>
      </c>
      <c r="D39" t="s">
        <v>7593</v>
      </c>
      <c r="E39" t="s">
        <v>7594</v>
      </c>
      <c r="F39" t="s">
        <v>143</v>
      </c>
      <c r="G39" s="10" t="s">
        <v>7551</v>
      </c>
    </row>
    <row r="40" spans="1:7" x14ac:dyDescent="0.3">
      <c r="A40" t="s">
        <v>3528</v>
      </c>
      <c r="B40" t="s">
        <v>4625</v>
      </c>
      <c r="C40">
        <v>35</v>
      </c>
      <c r="D40" t="s">
        <v>7595</v>
      </c>
      <c r="E40" t="s">
        <v>7596</v>
      </c>
      <c r="F40" t="s">
        <v>143</v>
      </c>
      <c r="G40" s="10" t="s">
        <v>7551</v>
      </c>
    </row>
    <row r="41" spans="1:7" x14ac:dyDescent="0.3">
      <c r="A41" t="s">
        <v>3528</v>
      </c>
      <c r="B41" t="s">
        <v>4843</v>
      </c>
      <c r="C41">
        <v>65</v>
      </c>
      <c r="D41" t="s">
        <v>7597</v>
      </c>
      <c r="E41" t="s">
        <v>7598</v>
      </c>
      <c r="F41" t="s">
        <v>143</v>
      </c>
      <c r="G41" s="10" t="s">
        <v>7551</v>
      </c>
    </row>
    <row r="42" spans="1:7" x14ac:dyDescent="0.3">
      <c r="A42" t="s">
        <v>3528</v>
      </c>
      <c r="B42" t="s">
        <v>4440</v>
      </c>
      <c r="C42">
        <v>20</v>
      </c>
      <c r="D42" t="s">
        <v>7599</v>
      </c>
      <c r="F42" t="s">
        <v>143</v>
      </c>
      <c r="G42" s="10" t="s">
        <v>7551</v>
      </c>
    </row>
    <row r="43" spans="1:7" x14ac:dyDescent="0.3">
      <c r="A43" t="s">
        <v>3528</v>
      </c>
      <c r="B43" t="s">
        <v>4543</v>
      </c>
      <c r="C43">
        <v>16</v>
      </c>
      <c r="D43" t="s">
        <v>4465</v>
      </c>
      <c r="E43" t="s">
        <v>7600</v>
      </c>
      <c r="F43" t="s">
        <v>46</v>
      </c>
      <c r="G43" s="10" t="s">
        <v>7551</v>
      </c>
    </row>
    <row r="44" spans="1:7" x14ac:dyDescent="0.3">
      <c r="A44" t="s">
        <v>3528</v>
      </c>
      <c r="B44" t="s">
        <v>5245</v>
      </c>
      <c r="C44">
        <v>68</v>
      </c>
      <c r="D44" t="s">
        <v>7601</v>
      </c>
      <c r="E44" t="s">
        <v>7602</v>
      </c>
      <c r="F44" t="s">
        <v>143</v>
      </c>
      <c r="G44" s="10" t="s">
        <v>7551</v>
      </c>
    </row>
    <row r="45" spans="1:7" x14ac:dyDescent="0.3">
      <c r="A45" t="s">
        <v>5644</v>
      </c>
      <c r="B45" t="s">
        <v>5744</v>
      </c>
      <c r="C45">
        <v>4</v>
      </c>
      <c r="D45" t="s">
        <v>5746</v>
      </c>
      <c r="E45" t="s">
        <v>7603</v>
      </c>
      <c r="F45" t="s">
        <v>143</v>
      </c>
      <c r="G45" s="10" t="s">
        <v>7551</v>
      </c>
    </row>
    <row r="46" spans="1:7" x14ac:dyDescent="0.3">
      <c r="A46" t="s">
        <v>5644</v>
      </c>
      <c r="B46" t="s">
        <v>5767</v>
      </c>
      <c r="C46">
        <v>4</v>
      </c>
      <c r="D46" t="s">
        <v>5746</v>
      </c>
      <c r="E46" t="s">
        <v>7603</v>
      </c>
      <c r="F46" t="s">
        <v>143</v>
      </c>
      <c r="G46" s="10" t="s">
        <v>7551</v>
      </c>
    </row>
    <row r="47" spans="1:7" x14ac:dyDescent="0.3">
      <c r="A47" t="s">
        <v>5644</v>
      </c>
      <c r="B47" t="s">
        <v>5771</v>
      </c>
      <c r="C47">
        <v>12</v>
      </c>
      <c r="D47" t="s">
        <v>7604</v>
      </c>
      <c r="E47" t="s">
        <v>7605</v>
      </c>
      <c r="F47" t="s">
        <v>143</v>
      </c>
      <c r="G47" s="10" t="s">
        <v>7551</v>
      </c>
    </row>
    <row r="48" spans="1:7" x14ac:dyDescent="0.3">
      <c r="A48" t="s">
        <v>5644</v>
      </c>
      <c r="B48" t="s">
        <v>5645</v>
      </c>
      <c r="C48">
        <v>7</v>
      </c>
      <c r="D48" t="s">
        <v>5668</v>
      </c>
      <c r="E48" t="s">
        <v>7606</v>
      </c>
      <c r="F48" t="s">
        <v>143</v>
      </c>
      <c r="G48" s="10" t="s">
        <v>7551</v>
      </c>
    </row>
    <row r="49" spans="1:7" x14ac:dyDescent="0.3">
      <c r="A49" t="s">
        <v>5644</v>
      </c>
      <c r="B49" t="s">
        <v>5844</v>
      </c>
      <c r="C49">
        <v>13</v>
      </c>
      <c r="D49" t="s">
        <v>7607</v>
      </c>
      <c r="E49" t="s">
        <v>7608</v>
      </c>
      <c r="F49" t="s">
        <v>143</v>
      </c>
      <c r="G49" s="10" t="s">
        <v>7551</v>
      </c>
    </row>
    <row r="50" spans="1:7" x14ac:dyDescent="0.3">
      <c r="A50" t="s">
        <v>5644</v>
      </c>
      <c r="B50" t="s">
        <v>5926</v>
      </c>
      <c r="C50">
        <v>13</v>
      </c>
      <c r="D50" t="s">
        <v>7609</v>
      </c>
      <c r="E50" t="s">
        <v>7610</v>
      </c>
      <c r="F50" t="s">
        <v>143</v>
      </c>
      <c r="G50" s="10" t="s">
        <v>7551</v>
      </c>
    </row>
    <row r="51" spans="1:7" x14ac:dyDescent="0.3">
      <c r="A51" t="s">
        <v>5644</v>
      </c>
      <c r="B51" t="s">
        <v>6006</v>
      </c>
      <c r="C51">
        <v>2</v>
      </c>
      <c r="D51" t="s">
        <v>7607</v>
      </c>
      <c r="E51" t="s">
        <v>7611</v>
      </c>
      <c r="F51" t="s">
        <v>143</v>
      </c>
      <c r="G51" s="10" t="s">
        <v>7551</v>
      </c>
    </row>
    <row r="52" spans="1:7" x14ac:dyDescent="0.3">
      <c r="A52" t="s">
        <v>5644</v>
      </c>
      <c r="B52" t="s">
        <v>5693</v>
      </c>
      <c r="C52">
        <v>5</v>
      </c>
      <c r="F52" t="s">
        <v>116</v>
      </c>
      <c r="G52" s="10" t="s">
        <v>7551</v>
      </c>
    </row>
    <row r="53" spans="1:7" x14ac:dyDescent="0.3">
      <c r="A53" t="s">
        <v>5644</v>
      </c>
      <c r="B53" t="s">
        <v>5719</v>
      </c>
      <c r="C53">
        <v>5</v>
      </c>
      <c r="F53" t="s">
        <v>116</v>
      </c>
      <c r="G53" s="10" t="s">
        <v>7551</v>
      </c>
    </row>
    <row r="54" spans="1:7" x14ac:dyDescent="0.3">
      <c r="A54" t="s">
        <v>5644</v>
      </c>
      <c r="B54" t="s">
        <v>6022</v>
      </c>
      <c r="C54">
        <v>6</v>
      </c>
      <c r="D54" t="s">
        <v>6024</v>
      </c>
      <c r="E54" t="s">
        <v>7612</v>
      </c>
      <c r="F54" t="s">
        <v>143</v>
      </c>
      <c r="G54" s="10" t="s">
        <v>7551</v>
      </c>
    </row>
    <row r="55" spans="1:7" x14ac:dyDescent="0.3">
      <c r="A55" t="s">
        <v>6057</v>
      </c>
      <c r="B55" t="s">
        <v>6499</v>
      </c>
      <c r="C55">
        <v>7</v>
      </c>
      <c r="D55" t="s">
        <v>7613</v>
      </c>
      <c r="E55" t="s">
        <v>7614</v>
      </c>
      <c r="F55" t="s">
        <v>143</v>
      </c>
      <c r="G55" s="10" t="s">
        <v>7551</v>
      </c>
    </row>
    <row r="56" spans="1:7" x14ac:dyDescent="0.3">
      <c r="A56" t="s">
        <v>6057</v>
      </c>
      <c r="B56" t="s">
        <v>6550</v>
      </c>
      <c r="C56">
        <v>1</v>
      </c>
      <c r="D56" t="s">
        <v>6485</v>
      </c>
      <c r="F56" t="s">
        <v>143</v>
      </c>
      <c r="G56" s="10" t="s">
        <v>7551</v>
      </c>
    </row>
    <row r="57" spans="1:7" x14ac:dyDescent="0.3">
      <c r="A57" t="s">
        <v>6057</v>
      </c>
      <c r="B57" t="s">
        <v>6058</v>
      </c>
      <c r="C57">
        <v>24</v>
      </c>
      <c r="D57" t="s">
        <v>7615</v>
      </c>
      <c r="E57" t="s">
        <v>7616</v>
      </c>
      <c r="F57" t="s">
        <v>143</v>
      </c>
      <c r="G57" s="10" t="s">
        <v>7551</v>
      </c>
    </row>
    <row r="58" spans="1:7" x14ac:dyDescent="0.3">
      <c r="A58" t="s">
        <v>6057</v>
      </c>
      <c r="B58" t="s">
        <v>6198</v>
      </c>
      <c r="C58">
        <v>3</v>
      </c>
      <c r="D58" t="s">
        <v>6202</v>
      </c>
      <c r="E58" t="s">
        <v>7617</v>
      </c>
      <c r="F58" t="s">
        <v>143</v>
      </c>
      <c r="G58" s="10" t="s">
        <v>7551</v>
      </c>
    </row>
    <row r="59" spans="1:7" x14ac:dyDescent="0.3">
      <c r="A59" t="s">
        <v>6057</v>
      </c>
      <c r="B59" t="s">
        <v>6222</v>
      </c>
      <c r="C59">
        <v>6</v>
      </c>
      <c r="D59" t="s">
        <v>6224</v>
      </c>
      <c r="E59" t="s">
        <v>7618</v>
      </c>
      <c r="F59" t="s">
        <v>143</v>
      </c>
      <c r="G59" s="10" t="s">
        <v>7551</v>
      </c>
    </row>
    <row r="60" spans="1:7" x14ac:dyDescent="0.3">
      <c r="A60" t="s">
        <v>6057</v>
      </c>
      <c r="B60" t="s">
        <v>6270</v>
      </c>
      <c r="C60">
        <v>6</v>
      </c>
      <c r="D60" t="s">
        <v>6224</v>
      </c>
      <c r="E60" t="s">
        <v>7619</v>
      </c>
      <c r="F60" t="s">
        <v>143</v>
      </c>
      <c r="G60" s="10" t="s">
        <v>7551</v>
      </c>
    </row>
    <row r="61" spans="1:7" x14ac:dyDescent="0.3">
      <c r="A61" t="s">
        <v>6057</v>
      </c>
      <c r="B61" t="s">
        <v>6301</v>
      </c>
      <c r="C61">
        <v>14</v>
      </c>
      <c r="D61" t="s">
        <v>6323</v>
      </c>
      <c r="E61" t="s">
        <v>59</v>
      </c>
      <c r="F61" t="s">
        <v>143</v>
      </c>
      <c r="G61" s="10" t="s">
        <v>7551</v>
      </c>
    </row>
    <row r="62" spans="1:7" x14ac:dyDescent="0.3">
      <c r="A62" t="s">
        <v>6057</v>
      </c>
      <c r="B62" t="s">
        <v>6375</v>
      </c>
      <c r="C62">
        <v>14</v>
      </c>
      <c r="D62" t="s">
        <v>7620</v>
      </c>
      <c r="E62" t="s">
        <v>1509</v>
      </c>
      <c r="F62" t="s">
        <v>116</v>
      </c>
      <c r="G62" s="10" t="s">
        <v>7551</v>
      </c>
    </row>
    <row r="63" spans="1:7" x14ac:dyDescent="0.3">
      <c r="A63" t="s">
        <v>6057</v>
      </c>
      <c r="B63" t="s">
        <v>6409</v>
      </c>
      <c r="C63">
        <v>9</v>
      </c>
      <c r="D63" t="s">
        <v>7621</v>
      </c>
      <c r="E63" t="s">
        <v>7622</v>
      </c>
      <c r="F63" t="s">
        <v>143</v>
      </c>
      <c r="G63" s="10" t="s">
        <v>7551</v>
      </c>
    </row>
    <row r="64" spans="1:7" x14ac:dyDescent="0.3">
      <c r="A64" t="s">
        <v>6057</v>
      </c>
      <c r="B64" t="s">
        <v>6481</v>
      </c>
      <c r="C64">
        <v>2</v>
      </c>
      <c r="D64" t="s">
        <v>6485</v>
      </c>
      <c r="E64" t="s">
        <v>7623</v>
      </c>
      <c r="F64" t="s">
        <v>143</v>
      </c>
      <c r="G64" s="10" t="s">
        <v>7551</v>
      </c>
    </row>
    <row r="65" spans="1:7" x14ac:dyDescent="0.3">
      <c r="A65" t="s">
        <v>6557</v>
      </c>
      <c r="B65" t="s">
        <v>6558</v>
      </c>
      <c r="C65">
        <v>1</v>
      </c>
      <c r="D65" t="s">
        <v>6561</v>
      </c>
      <c r="E65" t="s">
        <v>1751</v>
      </c>
      <c r="F65" t="s">
        <v>116</v>
      </c>
      <c r="G65" s="10" t="s">
        <v>7551</v>
      </c>
    </row>
    <row r="66" spans="1:7" x14ac:dyDescent="0.3">
      <c r="A66" t="s">
        <v>6557</v>
      </c>
      <c r="B66" t="s">
        <v>6567</v>
      </c>
      <c r="C66">
        <v>3</v>
      </c>
      <c r="D66" t="s">
        <v>6579</v>
      </c>
      <c r="E66" t="s">
        <v>613</v>
      </c>
      <c r="F66" t="s">
        <v>143</v>
      </c>
      <c r="G66" s="10" t="s">
        <v>7551</v>
      </c>
    </row>
    <row r="67" spans="1:7" x14ac:dyDescent="0.3">
      <c r="A67" t="s">
        <v>6557</v>
      </c>
      <c r="B67" t="s">
        <v>6585</v>
      </c>
      <c r="C67">
        <v>6</v>
      </c>
      <c r="D67" t="s">
        <v>6587</v>
      </c>
      <c r="E67" t="s">
        <v>7624</v>
      </c>
      <c r="F67" t="s">
        <v>143</v>
      </c>
      <c r="G67" s="10" t="s">
        <v>7551</v>
      </c>
    </row>
    <row r="68" spans="1:7" x14ac:dyDescent="0.3">
      <c r="A68" t="s">
        <v>6557</v>
      </c>
      <c r="B68" t="s">
        <v>6625</v>
      </c>
      <c r="C68">
        <v>1</v>
      </c>
      <c r="D68" t="s">
        <v>6627</v>
      </c>
      <c r="E68" t="s">
        <v>711</v>
      </c>
      <c r="F68" t="s">
        <v>143</v>
      </c>
      <c r="G68" s="10" t="s">
        <v>7551</v>
      </c>
    </row>
    <row r="69" spans="1:7" x14ac:dyDescent="0.3">
      <c r="A69" t="s">
        <v>6557</v>
      </c>
      <c r="B69" t="s">
        <v>6633</v>
      </c>
      <c r="C69">
        <v>1</v>
      </c>
      <c r="D69" t="s">
        <v>6627</v>
      </c>
      <c r="E69" t="s">
        <v>711</v>
      </c>
      <c r="F69" t="s">
        <v>143</v>
      </c>
      <c r="G69" s="10" t="s">
        <v>7551</v>
      </c>
    </row>
    <row r="70" spans="1:7" x14ac:dyDescent="0.3">
      <c r="A70" t="s">
        <v>6557</v>
      </c>
      <c r="B70" t="s">
        <v>6639</v>
      </c>
      <c r="C70">
        <v>7</v>
      </c>
      <c r="D70" t="s">
        <v>6587</v>
      </c>
      <c r="E70" t="s">
        <v>7625</v>
      </c>
      <c r="F70" t="s">
        <v>143</v>
      </c>
      <c r="G70" s="10" t="s">
        <v>7551</v>
      </c>
    </row>
    <row r="71" spans="1:7" x14ac:dyDescent="0.3">
      <c r="A71" t="s">
        <v>6557</v>
      </c>
      <c r="B71" t="s">
        <v>6678</v>
      </c>
      <c r="C71">
        <v>2</v>
      </c>
      <c r="D71" t="s">
        <v>6587</v>
      </c>
      <c r="E71" t="s">
        <v>711</v>
      </c>
      <c r="F71" t="s">
        <v>143</v>
      </c>
      <c r="G71" s="10" t="s">
        <v>7551</v>
      </c>
    </row>
    <row r="72" spans="1:7" x14ac:dyDescent="0.3">
      <c r="A72" t="s">
        <v>6557</v>
      </c>
      <c r="B72" t="s">
        <v>6688</v>
      </c>
      <c r="C72">
        <v>2</v>
      </c>
      <c r="F72" t="s">
        <v>116</v>
      </c>
      <c r="G72" s="10" t="s">
        <v>7551</v>
      </c>
    </row>
    <row r="73" spans="1:7" x14ac:dyDescent="0.3">
      <c r="A73" t="s">
        <v>6557</v>
      </c>
      <c r="B73" t="s">
        <v>6698</v>
      </c>
      <c r="C73">
        <v>2</v>
      </c>
      <c r="F73" t="s">
        <v>116</v>
      </c>
      <c r="G73" s="10" t="s">
        <v>7551</v>
      </c>
    </row>
    <row r="74" spans="1:7" x14ac:dyDescent="0.3">
      <c r="A74" t="s">
        <v>6557</v>
      </c>
      <c r="B74" t="s">
        <v>6708</v>
      </c>
      <c r="C74">
        <v>2</v>
      </c>
      <c r="E74" t="s">
        <v>7626</v>
      </c>
      <c r="F74" t="s">
        <v>116</v>
      </c>
      <c r="G74" s="10" t="s">
        <v>7551</v>
      </c>
    </row>
    <row r="75" spans="1:7" x14ac:dyDescent="0.3">
      <c r="A75" t="s">
        <v>6717</v>
      </c>
      <c r="B75" t="s">
        <v>6718</v>
      </c>
      <c r="C75">
        <v>5</v>
      </c>
      <c r="E75" t="s">
        <v>7627</v>
      </c>
      <c r="F75" t="s">
        <v>46</v>
      </c>
      <c r="G75" s="10" t="s">
        <v>7551</v>
      </c>
    </row>
    <row r="76" spans="1:7" x14ac:dyDescent="0.3">
      <c r="A76" t="s">
        <v>6717</v>
      </c>
      <c r="B76" t="s">
        <v>6745</v>
      </c>
      <c r="C76">
        <v>14</v>
      </c>
      <c r="D76" t="s">
        <v>7628</v>
      </c>
      <c r="E76" t="s">
        <v>7550</v>
      </c>
      <c r="F76" t="s">
        <v>143</v>
      </c>
      <c r="G76" s="10" t="s">
        <v>7551</v>
      </c>
    </row>
    <row r="77" spans="1:7" x14ac:dyDescent="0.3">
      <c r="A77" t="s">
        <v>6717</v>
      </c>
      <c r="B77" t="s">
        <v>6847</v>
      </c>
      <c r="C77">
        <v>10</v>
      </c>
      <c r="D77" t="s">
        <v>6850</v>
      </c>
      <c r="E77" t="s">
        <v>7629</v>
      </c>
      <c r="F77" t="s">
        <v>143</v>
      </c>
      <c r="G77" s="10" t="s">
        <v>7551</v>
      </c>
    </row>
    <row r="78" spans="1:7" x14ac:dyDescent="0.3">
      <c r="A78" t="s">
        <v>6717</v>
      </c>
      <c r="B78" t="s">
        <v>6915</v>
      </c>
      <c r="C78">
        <v>5</v>
      </c>
      <c r="D78" t="s">
        <v>6931</v>
      </c>
      <c r="E78" t="s">
        <v>3880</v>
      </c>
      <c r="F78" t="s">
        <v>143</v>
      </c>
      <c r="G78" s="10" t="s">
        <v>7551</v>
      </c>
    </row>
    <row r="79" spans="1:7" x14ac:dyDescent="0.3">
      <c r="A79" t="s">
        <v>6717</v>
      </c>
      <c r="B79" t="s">
        <v>6949</v>
      </c>
      <c r="C79">
        <v>5</v>
      </c>
      <c r="D79" t="s">
        <v>7630</v>
      </c>
      <c r="E79" t="s">
        <v>7631</v>
      </c>
      <c r="F79" t="s">
        <v>143</v>
      </c>
      <c r="G79" s="10" t="s">
        <v>7551</v>
      </c>
    </row>
    <row r="80" spans="1:7" x14ac:dyDescent="0.3">
      <c r="A80" t="s">
        <v>6717</v>
      </c>
      <c r="B80" t="s">
        <v>6983</v>
      </c>
      <c r="C80">
        <v>13</v>
      </c>
      <c r="D80" t="s">
        <v>7057</v>
      </c>
      <c r="E80" t="s">
        <v>7632</v>
      </c>
      <c r="F80" t="s">
        <v>143</v>
      </c>
      <c r="G80" s="10" t="s">
        <v>7551</v>
      </c>
    </row>
    <row r="81" spans="1:7" x14ac:dyDescent="0.3">
      <c r="A81" t="s">
        <v>6717</v>
      </c>
      <c r="B81" t="s">
        <v>7063</v>
      </c>
      <c r="C81">
        <v>8</v>
      </c>
      <c r="D81" t="s">
        <v>7633</v>
      </c>
      <c r="E81" t="s">
        <v>7634</v>
      </c>
      <c r="F81" t="s">
        <v>143</v>
      </c>
      <c r="G81" s="10" t="s">
        <v>7551</v>
      </c>
    </row>
    <row r="82" spans="1:7" x14ac:dyDescent="0.3">
      <c r="A82" t="s">
        <v>6717</v>
      </c>
      <c r="B82" t="s">
        <v>7114</v>
      </c>
      <c r="C82">
        <v>3</v>
      </c>
      <c r="D82" t="s">
        <v>7121</v>
      </c>
      <c r="E82" t="s">
        <v>7635</v>
      </c>
      <c r="F82" t="s">
        <v>143</v>
      </c>
      <c r="G82" s="10" t="s">
        <v>7551</v>
      </c>
    </row>
    <row r="83" spans="1:7" x14ac:dyDescent="0.3">
      <c r="A83" t="s">
        <v>6717</v>
      </c>
      <c r="B83" t="s">
        <v>7209</v>
      </c>
      <c r="C83">
        <v>3</v>
      </c>
      <c r="D83" t="s">
        <v>7636</v>
      </c>
      <c r="E83" t="s">
        <v>7565</v>
      </c>
      <c r="F83" t="s">
        <v>143</v>
      </c>
      <c r="G83" s="10" t="s">
        <v>7551</v>
      </c>
    </row>
    <row r="84" spans="1:7" x14ac:dyDescent="0.3">
      <c r="A84" t="s">
        <v>6717</v>
      </c>
      <c r="B84" t="s">
        <v>7131</v>
      </c>
      <c r="C84">
        <v>11</v>
      </c>
      <c r="D84" t="s">
        <v>7637</v>
      </c>
      <c r="E84" t="s">
        <v>7638</v>
      </c>
      <c r="F84" t="s">
        <v>143</v>
      </c>
      <c r="G84" s="10" t="s">
        <v>7551</v>
      </c>
    </row>
    <row r="85" spans="1:7" x14ac:dyDescent="0.3">
      <c r="A85" t="s">
        <v>7231</v>
      </c>
      <c r="B85" t="s">
        <v>7232</v>
      </c>
      <c r="C85">
        <v>3</v>
      </c>
      <c r="G85" s="10" t="s">
        <v>7551</v>
      </c>
    </row>
    <row r="86" spans="1:7" x14ac:dyDescent="0.3">
      <c r="A86" t="s">
        <v>7231</v>
      </c>
      <c r="B86" t="s">
        <v>7397</v>
      </c>
      <c r="C86">
        <v>7</v>
      </c>
      <c r="D86" t="s">
        <v>7639</v>
      </c>
      <c r="E86" t="s">
        <v>7640</v>
      </c>
      <c r="F86" t="s">
        <v>143</v>
      </c>
      <c r="G86" s="10" t="s">
        <v>7551</v>
      </c>
    </row>
    <row r="87" spans="1:7" x14ac:dyDescent="0.3">
      <c r="A87" t="s">
        <v>7231</v>
      </c>
      <c r="B87" t="s">
        <v>7458</v>
      </c>
      <c r="C87">
        <v>2</v>
      </c>
      <c r="D87" t="s">
        <v>7460</v>
      </c>
      <c r="E87" t="s">
        <v>7641</v>
      </c>
      <c r="F87" t="s">
        <v>116</v>
      </c>
      <c r="G87" s="10" t="s">
        <v>7551</v>
      </c>
    </row>
    <row r="88" spans="1:7" x14ac:dyDescent="0.3">
      <c r="A88" t="s">
        <v>7231</v>
      </c>
      <c r="B88" t="s">
        <v>7248</v>
      </c>
      <c r="C88">
        <v>5</v>
      </c>
      <c r="D88" t="s">
        <v>7251</v>
      </c>
      <c r="E88" t="s">
        <v>7642</v>
      </c>
      <c r="F88" t="s">
        <v>143</v>
      </c>
      <c r="G88" s="10" t="s">
        <v>7551</v>
      </c>
    </row>
    <row r="89" spans="1:7" x14ac:dyDescent="0.3">
      <c r="A89" t="s">
        <v>7231</v>
      </c>
      <c r="B89" t="s">
        <v>7282</v>
      </c>
      <c r="C89">
        <v>8</v>
      </c>
      <c r="D89" t="s">
        <v>7643</v>
      </c>
      <c r="E89" t="s">
        <v>7644</v>
      </c>
      <c r="F89" t="s">
        <v>143</v>
      </c>
      <c r="G89" s="10" t="s">
        <v>7551</v>
      </c>
    </row>
    <row r="90" spans="1:7" x14ac:dyDescent="0.3">
      <c r="A90" t="s">
        <v>7231</v>
      </c>
      <c r="B90" t="s">
        <v>7336</v>
      </c>
      <c r="C90">
        <v>5</v>
      </c>
      <c r="D90" t="s">
        <v>7338</v>
      </c>
      <c r="E90" t="s">
        <v>711</v>
      </c>
      <c r="F90" t="s">
        <v>143</v>
      </c>
      <c r="G90" s="10" t="s">
        <v>7551</v>
      </c>
    </row>
    <row r="91" spans="1:7" x14ac:dyDescent="0.3">
      <c r="A91" t="s">
        <v>7231</v>
      </c>
      <c r="B91" t="s">
        <v>7371</v>
      </c>
      <c r="C91">
        <v>1</v>
      </c>
      <c r="D91" t="s">
        <v>107</v>
      </c>
      <c r="E91" t="s">
        <v>7645</v>
      </c>
      <c r="F91" t="s">
        <v>143</v>
      </c>
      <c r="G91" s="10" t="s">
        <v>7551</v>
      </c>
    </row>
    <row r="92" spans="1:7" x14ac:dyDescent="0.3">
      <c r="A92" t="s">
        <v>7231</v>
      </c>
      <c r="B92" t="s">
        <v>7380</v>
      </c>
      <c r="C92">
        <v>3</v>
      </c>
      <c r="D92" t="s">
        <v>7382</v>
      </c>
      <c r="E92" t="s">
        <v>1509</v>
      </c>
      <c r="F92" t="s">
        <v>143</v>
      </c>
      <c r="G92" s="10" t="s">
        <v>7551</v>
      </c>
    </row>
    <row r="93" spans="1:7" x14ac:dyDescent="0.3">
      <c r="A93" t="s">
        <v>7231</v>
      </c>
      <c r="B93" t="s">
        <v>7473</v>
      </c>
      <c r="C93">
        <v>10</v>
      </c>
      <c r="D93" t="s">
        <v>7646</v>
      </c>
      <c r="E93" t="s">
        <v>7647</v>
      </c>
      <c r="F93" t="s">
        <v>143</v>
      </c>
      <c r="G93" s="10" t="s">
        <v>7551</v>
      </c>
    </row>
  </sheetData>
  <hyperlinks>
    <hyperlink ref="G2" r:id="rId1" xr:uid="{00000000-0004-0000-0400-000000000000}"/>
    <hyperlink ref="G3" r:id="rId2" xr:uid="{00000000-0004-0000-0400-000001000000}"/>
    <hyperlink ref="G4" r:id="rId3" xr:uid="{00000000-0004-0000-0400-000002000000}"/>
    <hyperlink ref="G5" r:id="rId4" xr:uid="{00000000-0004-0000-0400-000003000000}"/>
    <hyperlink ref="G6" r:id="rId5" xr:uid="{00000000-0004-0000-0400-000004000000}"/>
    <hyperlink ref="G7" r:id="rId6" xr:uid="{00000000-0004-0000-0400-000005000000}"/>
    <hyperlink ref="G8" r:id="rId7" xr:uid="{00000000-0004-0000-0400-000006000000}"/>
    <hyperlink ref="G9" r:id="rId8" xr:uid="{00000000-0004-0000-0400-000007000000}"/>
    <hyperlink ref="G10" r:id="rId9" xr:uid="{00000000-0004-0000-0400-000008000000}"/>
    <hyperlink ref="G11" r:id="rId10" xr:uid="{00000000-0004-0000-0400-000009000000}"/>
    <hyperlink ref="G12" r:id="rId11" xr:uid="{00000000-0004-0000-0400-00000A000000}"/>
    <hyperlink ref="G13" r:id="rId12" xr:uid="{00000000-0004-0000-0400-00000B000000}"/>
    <hyperlink ref="G14" r:id="rId13" xr:uid="{00000000-0004-0000-0400-00000C000000}"/>
    <hyperlink ref="G15" r:id="rId14" xr:uid="{00000000-0004-0000-0400-00000D000000}"/>
    <hyperlink ref="G16" r:id="rId15" xr:uid="{00000000-0004-0000-0400-00000E000000}"/>
    <hyperlink ref="G17" r:id="rId16" xr:uid="{00000000-0004-0000-0400-00000F000000}"/>
    <hyperlink ref="G18" r:id="rId17" xr:uid="{00000000-0004-0000-0400-000010000000}"/>
    <hyperlink ref="G19" r:id="rId18" xr:uid="{00000000-0004-0000-0400-000011000000}"/>
    <hyperlink ref="G20" r:id="rId19" xr:uid="{00000000-0004-0000-0400-000012000000}"/>
    <hyperlink ref="G21" r:id="rId20" xr:uid="{00000000-0004-0000-0400-000013000000}"/>
    <hyperlink ref="G22" r:id="rId21" xr:uid="{00000000-0004-0000-0400-000014000000}"/>
    <hyperlink ref="G23" r:id="rId22" xr:uid="{00000000-0004-0000-0400-000015000000}"/>
    <hyperlink ref="G24" r:id="rId23" xr:uid="{00000000-0004-0000-0400-000016000000}"/>
    <hyperlink ref="G25" r:id="rId24" xr:uid="{00000000-0004-0000-0400-000017000000}"/>
    <hyperlink ref="G26" r:id="rId25" xr:uid="{00000000-0004-0000-0400-000018000000}"/>
    <hyperlink ref="G27" r:id="rId26" xr:uid="{00000000-0004-0000-0400-000019000000}"/>
    <hyperlink ref="G28" r:id="rId27" xr:uid="{00000000-0004-0000-0400-00001A000000}"/>
    <hyperlink ref="G29" r:id="rId28" xr:uid="{00000000-0004-0000-0400-00001B000000}"/>
    <hyperlink ref="G30" r:id="rId29" xr:uid="{00000000-0004-0000-0400-00001C000000}"/>
    <hyperlink ref="G31" r:id="rId30" xr:uid="{00000000-0004-0000-0400-00001D000000}"/>
    <hyperlink ref="G32" r:id="rId31" xr:uid="{00000000-0004-0000-0400-00001E000000}"/>
    <hyperlink ref="G33" r:id="rId32" xr:uid="{00000000-0004-0000-0400-00001F000000}"/>
    <hyperlink ref="G34" r:id="rId33" xr:uid="{00000000-0004-0000-0400-000020000000}"/>
    <hyperlink ref="G35" r:id="rId34" xr:uid="{00000000-0004-0000-0400-000021000000}"/>
    <hyperlink ref="G36" r:id="rId35" xr:uid="{00000000-0004-0000-0400-000022000000}"/>
    <hyperlink ref="G37" r:id="rId36" xr:uid="{00000000-0004-0000-0400-000023000000}"/>
    <hyperlink ref="G38" r:id="rId37" xr:uid="{00000000-0004-0000-0400-000024000000}"/>
    <hyperlink ref="G39" r:id="rId38" xr:uid="{00000000-0004-0000-0400-000025000000}"/>
    <hyperlink ref="G40" r:id="rId39" xr:uid="{00000000-0004-0000-0400-000026000000}"/>
    <hyperlink ref="G41" r:id="rId40" xr:uid="{00000000-0004-0000-0400-000027000000}"/>
    <hyperlink ref="G42" r:id="rId41" xr:uid="{00000000-0004-0000-0400-000028000000}"/>
    <hyperlink ref="G43" r:id="rId42" xr:uid="{00000000-0004-0000-0400-000029000000}"/>
    <hyperlink ref="G44" r:id="rId43" xr:uid="{00000000-0004-0000-0400-00002A000000}"/>
    <hyperlink ref="G45" r:id="rId44" xr:uid="{00000000-0004-0000-0400-00002B000000}"/>
    <hyperlink ref="G46" r:id="rId45" xr:uid="{00000000-0004-0000-0400-00002C000000}"/>
    <hyperlink ref="G47" r:id="rId46" xr:uid="{00000000-0004-0000-0400-00002D000000}"/>
    <hyperlink ref="G48" r:id="rId47" xr:uid="{00000000-0004-0000-0400-00002E000000}"/>
    <hyperlink ref="G49" r:id="rId48" xr:uid="{00000000-0004-0000-0400-00002F000000}"/>
    <hyperlink ref="G50" r:id="rId49" xr:uid="{00000000-0004-0000-0400-000030000000}"/>
    <hyperlink ref="G51" r:id="rId50" xr:uid="{00000000-0004-0000-0400-000031000000}"/>
    <hyperlink ref="G52" r:id="rId51" xr:uid="{00000000-0004-0000-0400-000032000000}"/>
    <hyperlink ref="G53" r:id="rId52" xr:uid="{00000000-0004-0000-0400-000033000000}"/>
    <hyperlink ref="G54" r:id="rId53" xr:uid="{00000000-0004-0000-0400-000034000000}"/>
    <hyperlink ref="G55" r:id="rId54" xr:uid="{00000000-0004-0000-0400-000035000000}"/>
    <hyperlink ref="G56" r:id="rId55" xr:uid="{00000000-0004-0000-0400-000036000000}"/>
    <hyperlink ref="G57" r:id="rId56" xr:uid="{00000000-0004-0000-0400-000037000000}"/>
    <hyperlink ref="G58" r:id="rId57" xr:uid="{00000000-0004-0000-0400-000038000000}"/>
    <hyperlink ref="G59" r:id="rId58" xr:uid="{00000000-0004-0000-0400-000039000000}"/>
    <hyperlink ref="G60" r:id="rId59" xr:uid="{00000000-0004-0000-0400-00003A000000}"/>
    <hyperlink ref="G61" r:id="rId60" xr:uid="{00000000-0004-0000-0400-00003B000000}"/>
    <hyperlink ref="G62" r:id="rId61" xr:uid="{00000000-0004-0000-0400-00003C000000}"/>
    <hyperlink ref="G63" r:id="rId62" xr:uid="{00000000-0004-0000-0400-00003D000000}"/>
    <hyperlink ref="G64" r:id="rId63" xr:uid="{00000000-0004-0000-0400-00003E000000}"/>
    <hyperlink ref="G65" r:id="rId64" xr:uid="{00000000-0004-0000-0400-00003F000000}"/>
    <hyperlink ref="G66" r:id="rId65" xr:uid="{00000000-0004-0000-0400-000040000000}"/>
    <hyperlink ref="G67" r:id="rId66" xr:uid="{00000000-0004-0000-0400-000041000000}"/>
    <hyperlink ref="G68" r:id="rId67" xr:uid="{00000000-0004-0000-0400-000042000000}"/>
    <hyperlink ref="G69" r:id="rId68" xr:uid="{00000000-0004-0000-0400-000043000000}"/>
    <hyperlink ref="G70" r:id="rId69" xr:uid="{00000000-0004-0000-0400-000044000000}"/>
    <hyperlink ref="G71" r:id="rId70" xr:uid="{00000000-0004-0000-0400-000045000000}"/>
    <hyperlink ref="G72" r:id="rId71" xr:uid="{00000000-0004-0000-0400-000046000000}"/>
    <hyperlink ref="G73" r:id="rId72" xr:uid="{00000000-0004-0000-0400-000047000000}"/>
    <hyperlink ref="G74" r:id="rId73" xr:uid="{00000000-0004-0000-0400-000048000000}"/>
    <hyperlink ref="G75" r:id="rId74" xr:uid="{00000000-0004-0000-0400-000049000000}"/>
    <hyperlink ref="G76" r:id="rId75" xr:uid="{00000000-0004-0000-0400-00004A000000}"/>
    <hyperlink ref="G77" r:id="rId76" xr:uid="{00000000-0004-0000-0400-00004B000000}"/>
    <hyperlink ref="G78" r:id="rId77" xr:uid="{00000000-0004-0000-0400-00004C000000}"/>
    <hyperlink ref="G79" r:id="rId78" xr:uid="{00000000-0004-0000-0400-00004D000000}"/>
    <hyperlink ref="G80" r:id="rId79" xr:uid="{00000000-0004-0000-0400-00004E000000}"/>
    <hyperlink ref="G81" r:id="rId80" xr:uid="{00000000-0004-0000-0400-00004F000000}"/>
    <hyperlink ref="G82" r:id="rId81" xr:uid="{00000000-0004-0000-0400-000050000000}"/>
    <hyperlink ref="G83" r:id="rId82" xr:uid="{00000000-0004-0000-0400-000051000000}"/>
    <hyperlink ref="G84" r:id="rId83" xr:uid="{00000000-0004-0000-0400-000052000000}"/>
    <hyperlink ref="G85" r:id="rId84" xr:uid="{00000000-0004-0000-0400-000053000000}"/>
    <hyperlink ref="G86" r:id="rId85" xr:uid="{00000000-0004-0000-0400-000054000000}"/>
    <hyperlink ref="G87" r:id="rId86" xr:uid="{00000000-0004-0000-0400-000055000000}"/>
    <hyperlink ref="G88" r:id="rId87" xr:uid="{00000000-0004-0000-0400-000056000000}"/>
    <hyperlink ref="G89" r:id="rId88" xr:uid="{00000000-0004-0000-0400-000057000000}"/>
    <hyperlink ref="G90" r:id="rId89" xr:uid="{00000000-0004-0000-0400-000058000000}"/>
    <hyperlink ref="G91" r:id="rId90" xr:uid="{00000000-0004-0000-0400-000059000000}"/>
    <hyperlink ref="G92" r:id="rId91" xr:uid="{00000000-0004-0000-0400-00005A000000}"/>
    <hyperlink ref="G93" r:id="rId92" xr:uid="{00000000-0004-0000-0400-00005B000000}"/>
  </hyperlinks>
  <pageMargins left="0.75" right="0.75" top="1" bottom="1" header="0.5" footer="0.5"/>
  <tableParts count="1">
    <tablePart r:id="rId9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120"/>
  <sheetViews>
    <sheetView workbookViewId="0">
      <pane ySplit="1" topLeftCell="A2" activePane="bottomLeft" state="frozen"/>
      <selection pane="bottomLeft"/>
    </sheetView>
  </sheetViews>
  <sheetFormatPr defaultRowHeight="14.4" x14ac:dyDescent="0.3"/>
  <cols>
    <col min="1" max="1" width="60" customWidth="1"/>
    <col min="2" max="2" width="32" customWidth="1"/>
    <col min="3" max="3" width="60" customWidth="1"/>
  </cols>
  <sheetData>
    <row r="1" spans="1:3" x14ac:dyDescent="0.3">
      <c r="A1" s="8" t="s">
        <v>19</v>
      </c>
      <c r="B1" s="8" t="s">
        <v>1</v>
      </c>
      <c r="C1" s="8" t="s">
        <v>2</v>
      </c>
    </row>
    <row r="2" spans="1:3" x14ac:dyDescent="0.3">
      <c r="A2" t="s">
        <v>339</v>
      </c>
      <c r="B2" t="s">
        <v>39</v>
      </c>
      <c r="C2" t="s">
        <v>304</v>
      </c>
    </row>
    <row r="3" spans="1:3" x14ac:dyDescent="0.3">
      <c r="A3" t="s">
        <v>2153</v>
      </c>
      <c r="B3" t="s">
        <v>41</v>
      </c>
      <c r="C3" t="s">
        <v>2063</v>
      </c>
    </row>
    <row r="4" spans="1:3" x14ac:dyDescent="0.3">
      <c r="A4" t="s">
        <v>584</v>
      </c>
      <c r="B4" t="s">
        <v>39</v>
      </c>
      <c r="C4" t="s">
        <v>7648</v>
      </c>
    </row>
    <row r="5" spans="1:3" x14ac:dyDescent="0.3">
      <c r="A5" t="s">
        <v>1216</v>
      </c>
      <c r="B5" t="s">
        <v>39</v>
      </c>
      <c r="C5" t="s">
        <v>1214</v>
      </c>
    </row>
    <row r="6" spans="1:3" x14ac:dyDescent="0.3">
      <c r="A6" t="s">
        <v>60</v>
      </c>
      <c r="B6" t="s">
        <v>39</v>
      </c>
      <c r="C6" t="s">
        <v>54</v>
      </c>
    </row>
    <row r="7" spans="1:3" x14ac:dyDescent="0.3">
      <c r="A7" t="s">
        <v>6396</v>
      </c>
      <c r="B7" t="s">
        <v>6057</v>
      </c>
      <c r="C7" t="s">
        <v>6375</v>
      </c>
    </row>
    <row r="8" spans="1:3" x14ac:dyDescent="0.3">
      <c r="A8" t="s">
        <v>290</v>
      </c>
      <c r="B8" t="s">
        <v>39</v>
      </c>
      <c r="C8" t="s">
        <v>65</v>
      </c>
    </row>
    <row r="9" spans="1:3" x14ac:dyDescent="0.3">
      <c r="A9" t="s">
        <v>470</v>
      </c>
      <c r="B9" t="s">
        <v>39</v>
      </c>
      <c r="C9" t="s">
        <v>7649</v>
      </c>
    </row>
    <row r="10" spans="1:3" x14ac:dyDescent="0.3">
      <c r="A10" t="s">
        <v>748</v>
      </c>
      <c r="B10" t="s">
        <v>39</v>
      </c>
      <c r="C10" t="s">
        <v>709</v>
      </c>
    </row>
    <row r="11" spans="1:3" x14ac:dyDescent="0.3">
      <c r="A11" t="s">
        <v>558</v>
      </c>
      <c r="B11" t="s">
        <v>39</v>
      </c>
      <c r="C11" t="s">
        <v>554</v>
      </c>
    </row>
    <row r="12" spans="1:3" x14ac:dyDescent="0.3">
      <c r="A12" t="s">
        <v>7057</v>
      </c>
      <c r="B12" t="s">
        <v>6717</v>
      </c>
      <c r="C12" t="s">
        <v>7650</v>
      </c>
    </row>
    <row r="13" spans="1:3" x14ac:dyDescent="0.3">
      <c r="A13" t="s">
        <v>19</v>
      </c>
      <c r="B13" t="s">
        <v>3528</v>
      </c>
      <c r="C13" t="s">
        <v>7651</v>
      </c>
    </row>
    <row r="14" spans="1:3" x14ac:dyDescent="0.3">
      <c r="A14" t="s">
        <v>5866</v>
      </c>
      <c r="B14" t="s">
        <v>5644</v>
      </c>
      <c r="C14" t="s">
        <v>7652</v>
      </c>
    </row>
    <row r="15" spans="1:3" x14ac:dyDescent="0.3">
      <c r="A15" t="s">
        <v>7535</v>
      </c>
      <c r="B15" t="s">
        <v>7231</v>
      </c>
      <c r="C15" t="s">
        <v>7473</v>
      </c>
    </row>
    <row r="16" spans="1:3" x14ac:dyDescent="0.3">
      <c r="A16" t="s">
        <v>7400</v>
      </c>
      <c r="B16" t="s">
        <v>7231</v>
      </c>
      <c r="C16" t="s">
        <v>7397</v>
      </c>
    </row>
    <row r="17" spans="1:3" x14ac:dyDescent="0.3">
      <c r="A17" t="s">
        <v>5847</v>
      </c>
      <c r="B17" t="s">
        <v>5644</v>
      </c>
      <c r="C17" t="s">
        <v>7652</v>
      </c>
    </row>
    <row r="18" spans="1:3" x14ac:dyDescent="0.3">
      <c r="A18" t="s">
        <v>3601</v>
      </c>
      <c r="B18" t="s">
        <v>3528</v>
      </c>
      <c r="C18" t="s">
        <v>3529</v>
      </c>
    </row>
    <row r="19" spans="1:3" x14ac:dyDescent="0.3">
      <c r="A19" t="s">
        <v>7433</v>
      </c>
      <c r="B19" t="s">
        <v>7231</v>
      </c>
      <c r="C19" t="s">
        <v>7397</v>
      </c>
    </row>
    <row r="20" spans="1:3" x14ac:dyDescent="0.3">
      <c r="A20" t="s">
        <v>7442</v>
      </c>
      <c r="B20" t="s">
        <v>7231</v>
      </c>
      <c r="C20" t="s">
        <v>7397</v>
      </c>
    </row>
    <row r="21" spans="1:3" x14ac:dyDescent="0.3">
      <c r="A21" t="s">
        <v>7424</v>
      </c>
      <c r="B21" t="s">
        <v>7231</v>
      </c>
      <c r="C21" t="s">
        <v>7397</v>
      </c>
    </row>
    <row r="22" spans="1:3" x14ac:dyDescent="0.3">
      <c r="A22" t="s">
        <v>4419</v>
      </c>
      <c r="B22" t="s">
        <v>3528</v>
      </c>
      <c r="C22" t="s">
        <v>4394</v>
      </c>
    </row>
    <row r="23" spans="1:3" x14ac:dyDescent="0.3">
      <c r="A23" t="s">
        <v>6458</v>
      </c>
      <c r="B23" t="s">
        <v>6057</v>
      </c>
      <c r="C23" t="s">
        <v>6409</v>
      </c>
    </row>
    <row r="24" spans="1:3" x14ac:dyDescent="0.3">
      <c r="A24" t="s">
        <v>7416</v>
      </c>
      <c r="B24" t="s">
        <v>7231</v>
      </c>
      <c r="C24" t="s">
        <v>7397</v>
      </c>
    </row>
    <row r="25" spans="1:3" x14ac:dyDescent="0.3">
      <c r="A25" t="s">
        <v>3861</v>
      </c>
      <c r="B25" t="s">
        <v>3528</v>
      </c>
      <c r="C25" t="s">
        <v>7653</v>
      </c>
    </row>
    <row r="26" spans="1:3" x14ac:dyDescent="0.3">
      <c r="A26" t="s">
        <v>6808</v>
      </c>
      <c r="B26" t="s">
        <v>6717</v>
      </c>
      <c r="C26" t="s">
        <v>6745</v>
      </c>
    </row>
    <row r="27" spans="1:3" x14ac:dyDescent="0.3">
      <c r="A27" t="s">
        <v>3898</v>
      </c>
      <c r="B27" t="s">
        <v>3528</v>
      </c>
      <c r="C27" t="s">
        <v>7651</v>
      </c>
    </row>
    <row r="28" spans="1:3" x14ac:dyDescent="0.3">
      <c r="A28" t="s">
        <v>4850</v>
      </c>
      <c r="B28" t="s">
        <v>3528</v>
      </c>
      <c r="C28" t="s">
        <v>4843</v>
      </c>
    </row>
    <row r="29" spans="1:3" x14ac:dyDescent="0.3">
      <c r="A29" t="s">
        <v>4672</v>
      </c>
      <c r="B29" t="s">
        <v>3528</v>
      </c>
      <c r="C29" t="s">
        <v>7654</v>
      </c>
    </row>
    <row r="30" spans="1:3" x14ac:dyDescent="0.3">
      <c r="A30" t="s">
        <v>3990</v>
      </c>
      <c r="B30" t="s">
        <v>3528</v>
      </c>
      <c r="C30" t="s">
        <v>3836</v>
      </c>
    </row>
    <row r="31" spans="1:3" x14ac:dyDescent="0.3">
      <c r="A31" t="s">
        <v>4294</v>
      </c>
      <c r="B31" t="s">
        <v>3528</v>
      </c>
      <c r="C31" t="s">
        <v>4006</v>
      </c>
    </row>
    <row r="32" spans="1:3" x14ac:dyDescent="0.3">
      <c r="A32" t="s">
        <v>3795</v>
      </c>
      <c r="B32" t="s">
        <v>3528</v>
      </c>
      <c r="C32" t="s">
        <v>3529</v>
      </c>
    </row>
    <row r="33" spans="1:3" x14ac:dyDescent="0.3">
      <c r="A33" t="s">
        <v>3619</v>
      </c>
      <c r="B33" t="s">
        <v>3528</v>
      </c>
      <c r="C33" t="s">
        <v>7655</v>
      </c>
    </row>
    <row r="34" spans="1:3" x14ac:dyDescent="0.3">
      <c r="A34" t="s">
        <v>4373</v>
      </c>
      <c r="B34" t="s">
        <v>3528</v>
      </c>
      <c r="C34" t="s">
        <v>7656</v>
      </c>
    </row>
    <row r="35" spans="1:3" x14ac:dyDescent="0.3">
      <c r="A35" t="s">
        <v>6485</v>
      </c>
      <c r="B35" t="s">
        <v>6057</v>
      </c>
      <c r="C35" t="s">
        <v>7657</v>
      </c>
    </row>
    <row r="36" spans="1:3" x14ac:dyDescent="0.3">
      <c r="A36" t="s">
        <v>6202</v>
      </c>
      <c r="B36" t="s">
        <v>6057</v>
      </c>
      <c r="C36" t="s">
        <v>7658</v>
      </c>
    </row>
    <row r="37" spans="1:3" x14ac:dyDescent="0.3">
      <c r="A37" t="s">
        <v>2504</v>
      </c>
      <c r="B37" t="s">
        <v>2444</v>
      </c>
      <c r="C37" t="s">
        <v>2460</v>
      </c>
    </row>
    <row r="38" spans="1:3" x14ac:dyDescent="0.3">
      <c r="A38" t="s">
        <v>1714</v>
      </c>
      <c r="B38" t="s">
        <v>41</v>
      </c>
      <c r="C38" t="s">
        <v>1668</v>
      </c>
    </row>
    <row r="39" spans="1:3" x14ac:dyDescent="0.3">
      <c r="A39" t="s">
        <v>4018</v>
      </c>
      <c r="B39" t="s">
        <v>3528</v>
      </c>
      <c r="C39" t="s">
        <v>4006</v>
      </c>
    </row>
    <row r="40" spans="1:3" x14ac:dyDescent="0.3">
      <c r="A40" t="s">
        <v>134</v>
      </c>
      <c r="B40" t="s">
        <v>39</v>
      </c>
      <c r="C40" t="s">
        <v>65</v>
      </c>
    </row>
    <row r="41" spans="1:3" x14ac:dyDescent="0.3">
      <c r="A41" t="s">
        <v>5195</v>
      </c>
      <c r="B41" t="s">
        <v>3528</v>
      </c>
      <c r="C41" t="s">
        <v>4843</v>
      </c>
    </row>
    <row r="42" spans="1:3" x14ac:dyDescent="0.3">
      <c r="A42" t="s">
        <v>1843</v>
      </c>
      <c r="B42" t="s">
        <v>41</v>
      </c>
      <c r="C42" t="s">
        <v>7659</v>
      </c>
    </row>
    <row r="43" spans="1:3" x14ac:dyDescent="0.3">
      <c r="A43" t="s">
        <v>1796</v>
      </c>
      <c r="B43" t="s">
        <v>41</v>
      </c>
      <c r="C43" t="s">
        <v>1668</v>
      </c>
    </row>
    <row r="44" spans="1:3" x14ac:dyDescent="0.3">
      <c r="A44" t="s">
        <v>1805</v>
      </c>
      <c r="B44" t="s">
        <v>41</v>
      </c>
      <c r="C44" t="s">
        <v>1668</v>
      </c>
    </row>
    <row r="45" spans="1:3" x14ac:dyDescent="0.3">
      <c r="A45" t="s">
        <v>1901</v>
      </c>
      <c r="B45" t="s">
        <v>41</v>
      </c>
      <c r="C45" t="s">
        <v>1811</v>
      </c>
    </row>
    <row r="46" spans="1:3" x14ac:dyDescent="0.3">
      <c r="A46" t="s">
        <v>6544</v>
      </c>
      <c r="B46" t="s">
        <v>6057</v>
      </c>
      <c r="C46" t="s">
        <v>6499</v>
      </c>
    </row>
    <row r="47" spans="1:3" x14ac:dyDescent="0.3">
      <c r="A47" t="s">
        <v>479</v>
      </c>
      <c r="B47" t="s">
        <v>7660</v>
      </c>
      <c r="C47" t="s">
        <v>7661</v>
      </c>
    </row>
    <row r="48" spans="1:3" x14ac:dyDescent="0.3">
      <c r="A48" t="s">
        <v>6579</v>
      </c>
      <c r="B48" t="s">
        <v>6557</v>
      </c>
      <c r="C48" t="s">
        <v>6567</v>
      </c>
    </row>
    <row r="49" spans="1:3" x14ac:dyDescent="0.3">
      <c r="A49" t="s">
        <v>4465</v>
      </c>
      <c r="B49" t="s">
        <v>3528</v>
      </c>
      <c r="C49" t="s">
        <v>7662</v>
      </c>
    </row>
    <row r="50" spans="1:3" x14ac:dyDescent="0.3">
      <c r="A50" t="s">
        <v>5384</v>
      </c>
      <c r="B50" t="s">
        <v>3528</v>
      </c>
      <c r="C50" t="s">
        <v>5245</v>
      </c>
    </row>
    <row r="51" spans="1:3" x14ac:dyDescent="0.3">
      <c r="A51" t="s">
        <v>7160</v>
      </c>
      <c r="B51" t="s">
        <v>6717</v>
      </c>
      <c r="C51" t="s">
        <v>7131</v>
      </c>
    </row>
    <row r="52" spans="1:3" x14ac:dyDescent="0.3">
      <c r="A52" t="s">
        <v>6793</v>
      </c>
      <c r="B52" t="s">
        <v>6717</v>
      </c>
      <c r="C52" t="s">
        <v>6745</v>
      </c>
    </row>
    <row r="53" spans="1:3" x14ac:dyDescent="0.3">
      <c r="A53" t="s">
        <v>6776</v>
      </c>
      <c r="B53" t="s">
        <v>6717</v>
      </c>
      <c r="C53" t="s">
        <v>6745</v>
      </c>
    </row>
    <row r="54" spans="1:3" x14ac:dyDescent="0.3">
      <c r="A54" t="s">
        <v>4032</v>
      </c>
      <c r="B54" t="s">
        <v>7663</v>
      </c>
      <c r="C54" t="s">
        <v>7664</v>
      </c>
    </row>
    <row r="55" spans="1:3" x14ac:dyDescent="0.3">
      <c r="A55" t="s">
        <v>1917</v>
      </c>
      <c r="B55" t="s">
        <v>41</v>
      </c>
      <c r="C55" t="s">
        <v>1914</v>
      </c>
    </row>
    <row r="56" spans="1:3" x14ac:dyDescent="0.3">
      <c r="A56" t="s">
        <v>2176</v>
      </c>
      <c r="B56" t="s">
        <v>41</v>
      </c>
      <c r="C56" t="s">
        <v>2174</v>
      </c>
    </row>
    <row r="57" spans="1:3" x14ac:dyDescent="0.3">
      <c r="A57" t="s">
        <v>1861</v>
      </c>
      <c r="B57" t="s">
        <v>41</v>
      </c>
      <c r="C57" t="s">
        <v>1811</v>
      </c>
    </row>
    <row r="58" spans="1:3" x14ac:dyDescent="0.3">
      <c r="A58" t="s">
        <v>1510</v>
      </c>
      <c r="B58" t="s">
        <v>41</v>
      </c>
      <c r="C58" t="s">
        <v>7665</v>
      </c>
    </row>
    <row r="59" spans="1:3" x14ac:dyDescent="0.3">
      <c r="A59" t="s">
        <v>2003</v>
      </c>
      <c r="B59" t="s">
        <v>41</v>
      </c>
      <c r="C59" t="s">
        <v>7666</v>
      </c>
    </row>
    <row r="60" spans="1:3" x14ac:dyDescent="0.3">
      <c r="A60" t="s">
        <v>1680</v>
      </c>
      <c r="B60" t="s">
        <v>41</v>
      </c>
      <c r="C60" t="s">
        <v>7667</v>
      </c>
    </row>
    <row r="61" spans="1:3" x14ac:dyDescent="0.3">
      <c r="A61" t="s">
        <v>7382</v>
      </c>
      <c r="B61" t="s">
        <v>7231</v>
      </c>
      <c r="C61" t="s">
        <v>7380</v>
      </c>
    </row>
    <row r="62" spans="1:3" x14ac:dyDescent="0.3">
      <c r="A62" t="s">
        <v>5809</v>
      </c>
      <c r="B62" t="s">
        <v>5644</v>
      </c>
      <c r="C62" t="s">
        <v>7668</v>
      </c>
    </row>
    <row r="63" spans="1:3" x14ac:dyDescent="0.3">
      <c r="A63" t="s">
        <v>5964</v>
      </c>
      <c r="B63" t="s">
        <v>5644</v>
      </c>
      <c r="C63" t="s">
        <v>5926</v>
      </c>
    </row>
    <row r="64" spans="1:3" x14ac:dyDescent="0.3">
      <c r="A64" t="s">
        <v>6850</v>
      </c>
      <c r="B64" t="s">
        <v>6717</v>
      </c>
      <c r="C64" t="s">
        <v>6847</v>
      </c>
    </row>
    <row r="65" spans="1:3" x14ac:dyDescent="0.3">
      <c r="A65" t="s">
        <v>322</v>
      </c>
      <c r="B65" t="s">
        <v>39</v>
      </c>
      <c r="C65" t="s">
        <v>304</v>
      </c>
    </row>
    <row r="66" spans="1:3" x14ac:dyDescent="0.3">
      <c r="A66" t="s">
        <v>6323</v>
      </c>
      <c r="B66" t="s">
        <v>6057</v>
      </c>
      <c r="C66" t="s">
        <v>6301</v>
      </c>
    </row>
    <row r="67" spans="1:3" x14ac:dyDescent="0.3">
      <c r="A67" t="s">
        <v>6931</v>
      </c>
      <c r="B67" t="s">
        <v>6717</v>
      </c>
      <c r="C67" t="s">
        <v>6915</v>
      </c>
    </row>
    <row r="68" spans="1:3" x14ac:dyDescent="0.3">
      <c r="A68" t="s">
        <v>5746</v>
      </c>
      <c r="B68" t="s">
        <v>5644</v>
      </c>
      <c r="C68" t="s">
        <v>7669</v>
      </c>
    </row>
    <row r="69" spans="1:3" x14ac:dyDescent="0.3">
      <c r="A69" t="s">
        <v>6024</v>
      </c>
      <c r="B69" t="s">
        <v>5644</v>
      </c>
      <c r="C69" t="s">
        <v>6022</v>
      </c>
    </row>
    <row r="70" spans="1:3" x14ac:dyDescent="0.3">
      <c r="A70" t="s">
        <v>5928</v>
      </c>
      <c r="B70" t="s">
        <v>5644</v>
      </c>
      <c r="C70" t="s">
        <v>5926</v>
      </c>
    </row>
    <row r="71" spans="1:3" x14ac:dyDescent="0.3">
      <c r="A71" t="s">
        <v>3568</v>
      </c>
      <c r="B71" t="s">
        <v>3528</v>
      </c>
      <c r="C71" t="s">
        <v>7670</v>
      </c>
    </row>
    <row r="72" spans="1:3" x14ac:dyDescent="0.3">
      <c r="A72" t="s">
        <v>3405</v>
      </c>
      <c r="B72" t="s">
        <v>2444</v>
      </c>
      <c r="C72" t="s">
        <v>3403</v>
      </c>
    </row>
    <row r="73" spans="1:3" x14ac:dyDescent="0.3">
      <c r="A73" t="s">
        <v>2447</v>
      </c>
      <c r="B73" t="s">
        <v>2444</v>
      </c>
      <c r="C73" t="s">
        <v>2445</v>
      </c>
    </row>
    <row r="74" spans="1:3" x14ac:dyDescent="0.3">
      <c r="A74" t="s">
        <v>107</v>
      </c>
      <c r="B74" t="s">
        <v>7671</v>
      </c>
      <c r="C74" t="s">
        <v>7672</v>
      </c>
    </row>
    <row r="75" spans="1:3" x14ac:dyDescent="0.3">
      <c r="A75" t="s">
        <v>4628</v>
      </c>
      <c r="B75" t="s">
        <v>3528</v>
      </c>
      <c r="C75" t="s">
        <v>4625</v>
      </c>
    </row>
    <row r="76" spans="1:3" x14ac:dyDescent="0.3">
      <c r="A76" t="s">
        <v>4702</v>
      </c>
      <c r="B76" t="s">
        <v>3528</v>
      </c>
      <c r="C76" t="s">
        <v>4625</v>
      </c>
    </row>
    <row r="77" spans="1:3" x14ac:dyDescent="0.3">
      <c r="A77" t="s">
        <v>6587</v>
      </c>
      <c r="B77" t="s">
        <v>6557</v>
      </c>
      <c r="C77" t="s">
        <v>7673</v>
      </c>
    </row>
    <row r="78" spans="1:3" x14ac:dyDescent="0.3">
      <c r="A78" t="s">
        <v>5668</v>
      </c>
      <c r="B78" t="s">
        <v>5644</v>
      </c>
      <c r="C78" t="s">
        <v>5645</v>
      </c>
    </row>
    <row r="79" spans="1:3" x14ac:dyDescent="0.3">
      <c r="A79" t="s">
        <v>1880</v>
      </c>
      <c r="B79" t="s">
        <v>41</v>
      </c>
      <c r="C79" t="s">
        <v>7674</v>
      </c>
    </row>
    <row r="80" spans="1:3" x14ac:dyDescent="0.3">
      <c r="A80" t="s">
        <v>3703</v>
      </c>
      <c r="B80" t="s">
        <v>7663</v>
      </c>
      <c r="C80" t="s">
        <v>7675</v>
      </c>
    </row>
    <row r="81" spans="1:3" x14ac:dyDescent="0.3">
      <c r="A81" t="s">
        <v>6627</v>
      </c>
      <c r="B81" t="s">
        <v>6557</v>
      </c>
      <c r="C81" t="s">
        <v>7676</v>
      </c>
    </row>
    <row r="82" spans="1:3" x14ac:dyDescent="0.3">
      <c r="A82" t="s">
        <v>6224</v>
      </c>
      <c r="B82" t="s">
        <v>6057</v>
      </c>
      <c r="C82" t="s">
        <v>7677</v>
      </c>
    </row>
    <row r="83" spans="1:3" x14ac:dyDescent="0.3">
      <c r="A83" t="s">
        <v>6118</v>
      </c>
      <c r="B83" t="s">
        <v>6057</v>
      </c>
      <c r="C83" t="s">
        <v>6058</v>
      </c>
    </row>
    <row r="84" spans="1:3" x14ac:dyDescent="0.3">
      <c r="A84" t="s">
        <v>4046</v>
      </c>
      <c r="B84" t="s">
        <v>3528</v>
      </c>
      <c r="C84" t="s">
        <v>4006</v>
      </c>
    </row>
    <row r="85" spans="1:3" x14ac:dyDescent="0.3">
      <c r="A85" t="s">
        <v>2122</v>
      </c>
      <c r="B85" t="s">
        <v>41</v>
      </c>
      <c r="C85" t="s">
        <v>2063</v>
      </c>
    </row>
    <row r="86" spans="1:3" x14ac:dyDescent="0.3">
      <c r="A86" t="s">
        <v>6057</v>
      </c>
      <c r="B86" t="s">
        <v>6057</v>
      </c>
      <c r="C86" t="s">
        <v>6058</v>
      </c>
    </row>
    <row r="87" spans="1:3" x14ac:dyDescent="0.3">
      <c r="A87" t="s">
        <v>6170</v>
      </c>
      <c r="B87" t="s">
        <v>6057</v>
      </c>
      <c r="C87" t="s">
        <v>6058</v>
      </c>
    </row>
    <row r="88" spans="1:3" x14ac:dyDescent="0.3">
      <c r="A88" t="s">
        <v>2086</v>
      </c>
      <c r="B88" t="s">
        <v>41</v>
      </c>
      <c r="C88" t="s">
        <v>2063</v>
      </c>
    </row>
    <row r="89" spans="1:3" x14ac:dyDescent="0.3">
      <c r="A89" t="s">
        <v>6164</v>
      </c>
      <c r="B89" t="s">
        <v>6057</v>
      </c>
      <c r="C89" t="s">
        <v>6058</v>
      </c>
    </row>
    <row r="90" spans="1:3" x14ac:dyDescent="0.3">
      <c r="A90" t="s">
        <v>6100</v>
      </c>
      <c r="B90" t="s">
        <v>6057</v>
      </c>
      <c r="C90" t="s">
        <v>6058</v>
      </c>
    </row>
    <row r="91" spans="1:3" x14ac:dyDescent="0.3">
      <c r="A91" t="s">
        <v>238</v>
      </c>
      <c r="B91" t="s">
        <v>39</v>
      </c>
      <c r="C91" t="s">
        <v>65</v>
      </c>
    </row>
    <row r="92" spans="1:3" x14ac:dyDescent="0.3">
      <c r="A92" t="s">
        <v>7338</v>
      </c>
      <c r="B92" t="s">
        <v>7231</v>
      </c>
      <c r="C92" t="s">
        <v>7678</v>
      </c>
    </row>
    <row r="93" spans="1:3" x14ac:dyDescent="0.3">
      <c r="A93" t="s">
        <v>7452</v>
      </c>
      <c r="B93" t="s">
        <v>7231</v>
      </c>
      <c r="C93" t="s">
        <v>7397</v>
      </c>
    </row>
    <row r="94" spans="1:3" x14ac:dyDescent="0.3">
      <c r="A94" t="s">
        <v>6748</v>
      </c>
      <c r="B94" t="s">
        <v>6717</v>
      </c>
      <c r="C94" t="s">
        <v>6745</v>
      </c>
    </row>
    <row r="95" spans="1:3" x14ac:dyDescent="0.3">
      <c r="A95" t="s">
        <v>7212</v>
      </c>
      <c r="B95" t="s">
        <v>6717</v>
      </c>
      <c r="C95" t="s">
        <v>7209</v>
      </c>
    </row>
    <row r="96" spans="1:3" x14ac:dyDescent="0.3">
      <c r="A96" t="s">
        <v>4248</v>
      </c>
      <c r="B96" t="s">
        <v>3528</v>
      </c>
      <c r="C96" t="s">
        <v>4006</v>
      </c>
    </row>
    <row r="97" spans="1:3" x14ac:dyDescent="0.3">
      <c r="A97" t="s">
        <v>4326</v>
      </c>
      <c r="B97" t="s">
        <v>3528</v>
      </c>
      <c r="C97" t="s">
        <v>4006</v>
      </c>
    </row>
    <row r="98" spans="1:3" x14ac:dyDescent="0.3">
      <c r="A98" t="s">
        <v>524</v>
      </c>
      <c r="B98" t="s">
        <v>39</v>
      </c>
      <c r="C98" t="s">
        <v>493</v>
      </c>
    </row>
    <row r="99" spans="1:3" x14ac:dyDescent="0.3">
      <c r="A99" t="s">
        <v>418</v>
      </c>
      <c r="B99" t="s">
        <v>39</v>
      </c>
      <c r="C99" t="s">
        <v>368</v>
      </c>
    </row>
    <row r="100" spans="1:3" x14ac:dyDescent="0.3">
      <c r="A100" t="s">
        <v>7121</v>
      </c>
      <c r="B100" t="s">
        <v>6717</v>
      </c>
      <c r="C100" t="s">
        <v>7114</v>
      </c>
    </row>
    <row r="101" spans="1:3" x14ac:dyDescent="0.3">
      <c r="A101" t="s">
        <v>7477</v>
      </c>
      <c r="B101" t="s">
        <v>7231</v>
      </c>
      <c r="C101" t="s">
        <v>7473</v>
      </c>
    </row>
    <row r="102" spans="1:3" x14ac:dyDescent="0.3">
      <c r="A102" t="s">
        <v>5294</v>
      </c>
      <c r="B102" t="s">
        <v>3528</v>
      </c>
      <c r="C102" t="s">
        <v>5245</v>
      </c>
    </row>
    <row r="103" spans="1:3" x14ac:dyDescent="0.3">
      <c r="A103" t="s">
        <v>2675</v>
      </c>
      <c r="B103" t="s">
        <v>2444</v>
      </c>
      <c r="C103" t="s">
        <v>7679</v>
      </c>
    </row>
    <row r="104" spans="1:3" x14ac:dyDescent="0.3">
      <c r="A104" t="s">
        <v>2594</v>
      </c>
      <c r="B104" t="s">
        <v>7680</v>
      </c>
      <c r="C104" t="s">
        <v>7681</v>
      </c>
    </row>
    <row r="105" spans="1:3" x14ac:dyDescent="0.3">
      <c r="A105" t="s">
        <v>2468</v>
      </c>
      <c r="B105" t="s">
        <v>2444</v>
      </c>
      <c r="C105" t="s">
        <v>7682</v>
      </c>
    </row>
    <row r="106" spans="1:3" x14ac:dyDescent="0.3">
      <c r="A106" t="s">
        <v>2711</v>
      </c>
      <c r="B106" t="s">
        <v>2444</v>
      </c>
      <c r="C106" t="s">
        <v>7683</v>
      </c>
    </row>
    <row r="107" spans="1:3" x14ac:dyDescent="0.3">
      <c r="A107" t="s">
        <v>7096</v>
      </c>
      <c r="B107" t="s">
        <v>6717</v>
      </c>
      <c r="C107" t="s">
        <v>7063</v>
      </c>
    </row>
    <row r="108" spans="1:3" x14ac:dyDescent="0.3">
      <c r="A108" t="s">
        <v>6964</v>
      </c>
      <c r="B108" t="s">
        <v>6717</v>
      </c>
      <c r="C108" t="s">
        <v>6949</v>
      </c>
    </row>
    <row r="109" spans="1:3" x14ac:dyDescent="0.3">
      <c r="A109" t="s">
        <v>3180</v>
      </c>
      <c r="B109" t="s">
        <v>2444</v>
      </c>
      <c r="C109" t="s">
        <v>3178</v>
      </c>
    </row>
    <row r="110" spans="1:3" x14ac:dyDescent="0.3">
      <c r="A110" t="s">
        <v>7323</v>
      </c>
      <c r="B110" t="s">
        <v>7231</v>
      </c>
      <c r="C110" t="s">
        <v>7282</v>
      </c>
    </row>
    <row r="111" spans="1:3" x14ac:dyDescent="0.3">
      <c r="A111" t="s">
        <v>5203</v>
      </c>
      <c r="B111" t="s">
        <v>3528</v>
      </c>
      <c r="C111" t="s">
        <v>4843</v>
      </c>
    </row>
    <row r="112" spans="1:3" x14ac:dyDescent="0.3">
      <c r="A112" t="s">
        <v>7460</v>
      </c>
      <c r="B112" t="s">
        <v>7231</v>
      </c>
      <c r="C112" t="s">
        <v>7458</v>
      </c>
    </row>
    <row r="113" spans="1:3" x14ac:dyDescent="0.3">
      <c r="A113" t="s">
        <v>6561</v>
      </c>
      <c r="B113" t="s">
        <v>6557</v>
      </c>
      <c r="C113" t="s">
        <v>6558</v>
      </c>
    </row>
    <row r="114" spans="1:3" x14ac:dyDescent="0.3">
      <c r="A114" t="s">
        <v>7203</v>
      </c>
      <c r="B114" t="s">
        <v>6717</v>
      </c>
      <c r="C114" t="s">
        <v>7131</v>
      </c>
    </row>
    <row r="115" spans="1:3" x14ac:dyDescent="0.3">
      <c r="A115" t="s">
        <v>6957</v>
      </c>
      <c r="B115" t="s">
        <v>6717</v>
      </c>
      <c r="C115" t="s">
        <v>6949</v>
      </c>
    </row>
    <row r="116" spans="1:3" x14ac:dyDescent="0.3">
      <c r="A116" t="s">
        <v>7133</v>
      </c>
      <c r="B116" t="s">
        <v>6717</v>
      </c>
      <c r="C116" t="s">
        <v>7131</v>
      </c>
    </row>
    <row r="117" spans="1:3" x14ac:dyDescent="0.3">
      <c r="A117" t="s">
        <v>5186</v>
      </c>
      <c r="B117" t="s">
        <v>3528</v>
      </c>
      <c r="C117" t="s">
        <v>4843</v>
      </c>
    </row>
    <row r="118" spans="1:3" x14ac:dyDescent="0.3">
      <c r="A118" t="s">
        <v>7251</v>
      </c>
      <c r="B118" t="s">
        <v>7231</v>
      </c>
      <c r="C118" t="s">
        <v>7248</v>
      </c>
    </row>
    <row r="119" spans="1:3" x14ac:dyDescent="0.3">
      <c r="A119" t="s">
        <v>4740</v>
      </c>
      <c r="B119" t="s">
        <v>3528</v>
      </c>
      <c r="C119" t="s">
        <v>4625</v>
      </c>
    </row>
    <row r="120" spans="1:3" x14ac:dyDescent="0.3">
      <c r="A120" t="s">
        <v>7408</v>
      </c>
      <c r="B120" t="s">
        <v>7231</v>
      </c>
      <c r="C120" t="s">
        <v>7397</v>
      </c>
    </row>
  </sheetData>
  <pageMargins left="0.75" right="0.75" top="1" bottom="1" header="0.5" footer="0.5"/>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B28"/>
  <sheetViews>
    <sheetView workbookViewId="0">
      <pane ySplit="1" topLeftCell="A2" activePane="bottomLeft" state="frozen"/>
      <selection pane="bottomLeft"/>
    </sheetView>
  </sheetViews>
  <sheetFormatPr defaultRowHeight="14.4" x14ac:dyDescent="0.3"/>
  <cols>
    <col min="1" max="1" width="30" customWidth="1"/>
    <col min="2" max="2" width="12" customWidth="1"/>
  </cols>
  <sheetData>
    <row r="1" spans="1:2" x14ac:dyDescent="0.3">
      <c r="A1" s="8" t="s">
        <v>16</v>
      </c>
      <c r="B1" s="8" t="s">
        <v>7548</v>
      </c>
    </row>
    <row r="2" spans="1:2" x14ac:dyDescent="0.3">
      <c r="A2" t="s">
        <v>395</v>
      </c>
      <c r="B2">
        <v>233</v>
      </c>
    </row>
    <row r="3" spans="1:2" x14ac:dyDescent="0.3">
      <c r="A3" t="s">
        <v>452</v>
      </c>
      <c r="B3">
        <v>230</v>
      </c>
    </row>
    <row r="4" spans="1:2" x14ac:dyDescent="0.3">
      <c r="A4" t="s">
        <v>488</v>
      </c>
      <c r="B4">
        <v>201</v>
      </c>
    </row>
    <row r="5" spans="1:2" x14ac:dyDescent="0.3">
      <c r="A5" t="s">
        <v>59</v>
      </c>
      <c r="B5">
        <v>162</v>
      </c>
    </row>
    <row r="6" spans="1:2" x14ac:dyDescent="0.3">
      <c r="A6" t="s">
        <v>711</v>
      </c>
      <c r="B6">
        <v>153</v>
      </c>
    </row>
    <row r="7" spans="1:2" x14ac:dyDescent="0.3">
      <c r="A7" t="s">
        <v>797</v>
      </c>
      <c r="B7">
        <v>150</v>
      </c>
    </row>
    <row r="8" spans="1:2" x14ac:dyDescent="0.3">
      <c r="A8" t="s">
        <v>636</v>
      </c>
      <c r="B8">
        <v>119</v>
      </c>
    </row>
    <row r="9" spans="1:2" x14ac:dyDescent="0.3">
      <c r="A9" t="s">
        <v>1630</v>
      </c>
      <c r="B9">
        <v>118</v>
      </c>
    </row>
    <row r="10" spans="1:2" x14ac:dyDescent="0.3">
      <c r="A10" t="s">
        <v>3880</v>
      </c>
      <c r="B10">
        <v>109</v>
      </c>
    </row>
    <row r="11" spans="1:2" x14ac:dyDescent="0.3">
      <c r="A11" t="s">
        <v>644</v>
      </c>
      <c r="B11">
        <v>101</v>
      </c>
    </row>
    <row r="12" spans="1:2" x14ac:dyDescent="0.3">
      <c r="A12" t="s">
        <v>7684</v>
      </c>
      <c r="B12">
        <v>85</v>
      </c>
    </row>
    <row r="13" spans="1:2" x14ac:dyDescent="0.3">
      <c r="A13" t="s">
        <v>153</v>
      </c>
      <c r="B13">
        <v>75</v>
      </c>
    </row>
    <row r="14" spans="1:2" x14ac:dyDescent="0.3">
      <c r="A14" t="s">
        <v>306</v>
      </c>
      <c r="B14">
        <v>69</v>
      </c>
    </row>
    <row r="15" spans="1:2" x14ac:dyDescent="0.3">
      <c r="A15" t="s">
        <v>6045</v>
      </c>
      <c r="B15">
        <v>57</v>
      </c>
    </row>
    <row r="16" spans="1:2" x14ac:dyDescent="0.3">
      <c r="A16" t="s">
        <v>7685</v>
      </c>
      <c r="B16">
        <v>55</v>
      </c>
    </row>
    <row r="17" spans="1:2" x14ac:dyDescent="0.3">
      <c r="A17" t="s">
        <v>2820</v>
      </c>
      <c r="B17">
        <v>52</v>
      </c>
    </row>
    <row r="18" spans="1:2" x14ac:dyDescent="0.3">
      <c r="A18" t="s">
        <v>5124</v>
      </c>
      <c r="B18">
        <v>44</v>
      </c>
    </row>
    <row r="19" spans="1:2" x14ac:dyDescent="0.3">
      <c r="A19" t="s">
        <v>4097</v>
      </c>
      <c r="B19">
        <v>42</v>
      </c>
    </row>
    <row r="20" spans="1:2" x14ac:dyDescent="0.3">
      <c r="A20" t="s">
        <v>271</v>
      </c>
      <c r="B20">
        <v>37</v>
      </c>
    </row>
    <row r="21" spans="1:2" x14ac:dyDescent="0.3">
      <c r="A21" t="s">
        <v>4814</v>
      </c>
      <c r="B21">
        <v>36</v>
      </c>
    </row>
    <row r="22" spans="1:2" x14ac:dyDescent="0.3">
      <c r="A22" t="s">
        <v>2769</v>
      </c>
      <c r="B22">
        <v>36</v>
      </c>
    </row>
    <row r="23" spans="1:2" x14ac:dyDescent="0.3">
      <c r="A23" t="s">
        <v>6016</v>
      </c>
      <c r="B23">
        <v>34</v>
      </c>
    </row>
    <row r="24" spans="1:2" x14ac:dyDescent="0.3">
      <c r="A24" t="s">
        <v>5403</v>
      </c>
      <c r="B24">
        <v>31</v>
      </c>
    </row>
    <row r="25" spans="1:2" x14ac:dyDescent="0.3">
      <c r="A25" t="s">
        <v>7032</v>
      </c>
      <c r="B25">
        <v>27</v>
      </c>
    </row>
    <row r="26" spans="1:2" x14ac:dyDescent="0.3">
      <c r="A26" t="s">
        <v>117</v>
      </c>
      <c r="B26">
        <v>24</v>
      </c>
    </row>
    <row r="27" spans="1:2" x14ac:dyDescent="0.3">
      <c r="A27" t="s">
        <v>7686</v>
      </c>
      <c r="B27">
        <v>21</v>
      </c>
    </row>
    <row r="28" spans="1:2" x14ac:dyDescent="0.3">
      <c r="A28" t="s">
        <v>7687</v>
      </c>
      <c r="B28">
        <v>20</v>
      </c>
    </row>
  </sheetData>
  <pageMargins left="0.75" right="0.75" top="1" bottom="1" header="0.5" footer="0.5"/>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E121"/>
  <sheetViews>
    <sheetView workbookViewId="0"/>
  </sheetViews>
  <sheetFormatPr defaultRowHeight="14.4" x14ac:dyDescent="0.3"/>
  <sheetData>
    <row r="1" spans="1:5" x14ac:dyDescent="0.3">
      <c r="A1" t="s">
        <v>14</v>
      </c>
      <c r="B1" t="s">
        <v>16</v>
      </c>
      <c r="C1" t="s">
        <v>17</v>
      </c>
      <c r="D1" t="s">
        <v>18</v>
      </c>
      <c r="E1" t="s">
        <v>19</v>
      </c>
    </row>
    <row r="2" spans="1:5" x14ac:dyDescent="0.3">
      <c r="A2" t="s">
        <v>15</v>
      </c>
      <c r="B2" t="s">
        <v>15</v>
      </c>
      <c r="C2" t="s">
        <v>15</v>
      </c>
      <c r="D2" t="s">
        <v>15</v>
      </c>
      <c r="E2" t="s">
        <v>15</v>
      </c>
    </row>
    <row r="3" spans="1:5" x14ac:dyDescent="0.3">
      <c r="A3" t="s">
        <v>39</v>
      </c>
      <c r="B3" t="s">
        <v>6045</v>
      </c>
      <c r="C3" t="s">
        <v>7688</v>
      </c>
      <c r="D3" t="s">
        <v>143</v>
      </c>
      <c r="E3" t="s">
        <v>339</v>
      </c>
    </row>
    <row r="4" spans="1:5" x14ac:dyDescent="0.3">
      <c r="A4" t="s">
        <v>41</v>
      </c>
      <c r="B4" t="s">
        <v>4097</v>
      </c>
      <c r="C4" t="s">
        <v>5404</v>
      </c>
      <c r="D4" t="s">
        <v>46</v>
      </c>
      <c r="E4" t="s">
        <v>2153</v>
      </c>
    </row>
    <row r="5" spans="1:5" x14ac:dyDescent="0.3">
      <c r="A5" t="s">
        <v>2444</v>
      </c>
      <c r="B5" t="s">
        <v>644</v>
      </c>
      <c r="C5" t="s">
        <v>307</v>
      </c>
      <c r="D5" t="s">
        <v>116</v>
      </c>
      <c r="E5" t="s">
        <v>584</v>
      </c>
    </row>
    <row r="6" spans="1:5" x14ac:dyDescent="0.3">
      <c r="A6" t="s">
        <v>3528</v>
      </c>
      <c r="B6" t="s">
        <v>5403</v>
      </c>
      <c r="C6" t="s">
        <v>4627</v>
      </c>
      <c r="D6" t="s">
        <v>69</v>
      </c>
      <c r="E6" t="s">
        <v>1216</v>
      </c>
    </row>
    <row r="7" spans="1:5" x14ac:dyDescent="0.3">
      <c r="A7" t="s">
        <v>5644</v>
      </c>
      <c r="B7" t="s">
        <v>1630</v>
      </c>
      <c r="C7" t="s">
        <v>59</v>
      </c>
      <c r="E7" t="s">
        <v>60</v>
      </c>
    </row>
    <row r="8" spans="1:5" x14ac:dyDescent="0.3">
      <c r="A8" t="s">
        <v>6057</v>
      </c>
      <c r="B8" t="s">
        <v>7687</v>
      </c>
      <c r="C8" t="s">
        <v>5484</v>
      </c>
      <c r="E8" t="s">
        <v>6396</v>
      </c>
    </row>
    <row r="9" spans="1:5" x14ac:dyDescent="0.3">
      <c r="A9" t="s">
        <v>6557</v>
      </c>
      <c r="B9" t="s">
        <v>306</v>
      </c>
      <c r="C9" t="s">
        <v>106</v>
      </c>
      <c r="E9" t="s">
        <v>290</v>
      </c>
    </row>
    <row r="10" spans="1:5" x14ac:dyDescent="0.3">
      <c r="A10" t="s">
        <v>6717</v>
      </c>
      <c r="B10" t="s">
        <v>488</v>
      </c>
      <c r="C10" t="s">
        <v>271</v>
      </c>
      <c r="E10" t="s">
        <v>470</v>
      </c>
    </row>
    <row r="11" spans="1:5" x14ac:dyDescent="0.3">
      <c r="A11" t="s">
        <v>7231</v>
      </c>
      <c r="B11" t="s">
        <v>2820</v>
      </c>
      <c r="E11" t="s">
        <v>748</v>
      </c>
    </row>
    <row r="12" spans="1:5" x14ac:dyDescent="0.3">
      <c r="B12" t="s">
        <v>2769</v>
      </c>
      <c r="E12" t="s">
        <v>558</v>
      </c>
    </row>
    <row r="13" spans="1:5" x14ac:dyDescent="0.3">
      <c r="B13" t="s">
        <v>797</v>
      </c>
      <c r="E13" t="s">
        <v>7057</v>
      </c>
    </row>
    <row r="14" spans="1:5" x14ac:dyDescent="0.3">
      <c r="B14" t="s">
        <v>395</v>
      </c>
      <c r="E14" t="s">
        <v>19</v>
      </c>
    </row>
    <row r="15" spans="1:5" x14ac:dyDescent="0.3">
      <c r="B15" t="s">
        <v>7686</v>
      </c>
      <c r="E15" t="s">
        <v>5866</v>
      </c>
    </row>
    <row r="16" spans="1:5" x14ac:dyDescent="0.3">
      <c r="B16" t="s">
        <v>4814</v>
      </c>
      <c r="E16" t="s">
        <v>7535</v>
      </c>
    </row>
    <row r="17" spans="2:5" x14ac:dyDescent="0.3">
      <c r="B17" t="s">
        <v>7032</v>
      </c>
      <c r="E17" t="s">
        <v>7400</v>
      </c>
    </row>
    <row r="18" spans="2:5" x14ac:dyDescent="0.3">
      <c r="B18" t="s">
        <v>59</v>
      </c>
      <c r="E18" t="s">
        <v>5847</v>
      </c>
    </row>
    <row r="19" spans="2:5" x14ac:dyDescent="0.3">
      <c r="B19" t="s">
        <v>711</v>
      </c>
      <c r="E19" t="s">
        <v>3601</v>
      </c>
    </row>
    <row r="20" spans="2:5" x14ac:dyDescent="0.3">
      <c r="B20" t="s">
        <v>636</v>
      </c>
      <c r="E20" t="s">
        <v>7433</v>
      </c>
    </row>
    <row r="21" spans="2:5" x14ac:dyDescent="0.3">
      <c r="B21" t="s">
        <v>7684</v>
      </c>
      <c r="E21" t="s">
        <v>7442</v>
      </c>
    </row>
    <row r="22" spans="2:5" x14ac:dyDescent="0.3">
      <c r="B22" t="s">
        <v>7685</v>
      </c>
      <c r="E22" t="s">
        <v>7424</v>
      </c>
    </row>
    <row r="23" spans="2:5" x14ac:dyDescent="0.3">
      <c r="B23" t="s">
        <v>6016</v>
      </c>
      <c r="E23" t="s">
        <v>4419</v>
      </c>
    </row>
    <row r="24" spans="2:5" x14ac:dyDescent="0.3">
      <c r="B24" t="s">
        <v>5124</v>
      </c>
      <c r="E24" t="s">
        <v>6458</v>
      </c>
    </row>
    <row r="25" spans="2:5" x14ac:dyDescent="0.3">
      <c r="B25" t="s">
        <v>3880</v>
      </c>
      <c r="E25" t="s">
        <v>7416</v>
      </c>
    </row>
    <row r="26" spans="2:5" x14ac:dyDescent="0.3">
      <c r="B26" t="s">
        <v>117</v>
      </c>
      <c r="E26" t="s">
        <v>3861</v>
      </c>
    </row>
    <row r="27" spans="2:5" x14ac:dyDescent="0.3">
      <c r="B27" t="s">
        <v>452</v>
      </c>
      <c r="E27" t="s">
        <v>6808</v>
      </c>
    </row>
    <row r="28" spans="2:5" x14ac:dyDescent="0.3">
      <c r="B28" t="s">
        <v>271</v>
      </c>
      <c r="E28" t="s">
        <v>3898</v>
      </c>
    </row>
    <row r="29" spans="2:5" x14ac:dyDescent="0.3">
      <c r="B29" t="s">
        <v>153</v>
      </c>
      <c r="E29" t="s">
        <v>4850</v>
      </c>
    </row>
    <row r="30" spans="2:5" x14ac:dyDescent="0.3">
      <c r="E30" t="s">
        <v>4672</v>
      </c>
    </row>
    <row r="31" spans="2:5" x14ac:dyDescent="0.3">
      <c r="E31" t="s">
        <v>3990</v>
      </c>
    </row>
    <row r="32" spans="2:5" x14ac:dyDescent="0.3">
      <c r="E32" t="s">
        <v>4294</v>
      </c>
    </row>
    <row r="33" spans="5:5" x14ac:dyDescent="0.3">
      <c r="E33" t="s">
        <v>3795</v>
      </c>
    </row>
    <row r="34" spans="5:5" x14ac:dyDescent="0.3">
      <c r="E34" t="s">
        <v>3619</v>
      </c>
    </row>
    <row r="35" spans="5:5" x14ac:dyDescent="0.3">
      <c r="E35" t="s">
        <v>4373</v>
      </c>
    </row>
    <row r="36" spans="5:5" x14ac:dyDescent="0.3">
      <c r="E36" t="s">
        <v>6485</v>
      </c>
    </row>
    <row r="37" spans="5:5" x14ac:dyDescent="0.3">
      <c r="E37" t="s">
        <v>6202</v>
      </c>
    </row>
    <row r="38" spans="5:5" x14ac:dyDescent="0.3">
      <c r="E38" t="s">
        <v>2504</v>
      </c>
    </row>
    <row r="39" spans="5:5" x14ac:dyDescent="0.3">
      <c r="E39" t="s">
        <v>1714</v>
      </c>
    </row>
    <row r="40" spans="5:5" x14ac:dyDescent="0.3">
      <c r="E40" t="s">
        <v>4018</v>
      </c>
    </row>
    <row r="41" spans="5:5" x14ac:dyDescent="0.3">
      <c r="E41" t="s">
        <v>134</v>
      </c>
    </row>
    <row r="42" spans="5:5" x14ac:dyDescent="0.3">
      <c r="E42" t="s">
        <v>5195</v>
      </c>
    </row>
    <row r="43" spans="5:5" x14ac:dyDescent="0.3">
      <c r="E43" t="s">
        <v>1843</v>
      </c>
    </row>
    <row r="44" spans="5:5" x14ac:dyDescent="0.3">
      <c r="E44" t="s">
        <v>1796</v>
      </c>
    </row>
    <row r="45" spans="5:5" x14ac:dyDescent="0.3">
      <c r="E45" t="s">
        <v>1805</v>
      </c>
    </row>
    <row r="46" spans="5:5" x14ac:dyDescent="0.3">
      <c r="E46" t="s">
        <v>1901</v>
      </c>
    </row>
    <row r="47" spans="5:5" x14ac:dyDescent="0.3">
      <c r="E47" t="s">
        <v>6544</v>
      </c>
    </row>
    <row r="48" spans="5:5" x14ac:dyDescent="0.3">
      <c r="E48" t="s">
        <v>479</v>
      </c>
    </row>
    <row r="49" spans="5:5" x14ac:dyDescent="0.3">
      <c r="E49" t="s">
        <v>6579</v>
      </c>
    </row>
    <row r="50" spans="5:5" x14ac:dyDescent="0.3">
      <c r="E50" t="s">
        <v>4465</v>
      </c>
    </row>
    <row r="51" spans="5:5" x14ac:dyDescent="0.3">
      <c r="E51" t="s">
        <v>5384</v>
      </c>
    </row>
    <row r="52" spans="5:5" x14ac:dyDescent="0.3">
      <c r="E52" t="s">
        <v>7160</v>
      </c>
    </row>
    <row r="53" spans="5:5" x14ac:dyDescent="0.3">
      <c r="E53" t="s">
        <v>6793</v>
      </c>
    </row>
    <row r="54" spans="5:5" x14ac:dyDescent="0.3">
      <c r="E54" t="s">
        <v>6776</v>
      </c>
    </row>
    <row r="55" spans="5:5" x14ac:dyDescent="0.3">
      <c r="E55" t="s">
        <v>4032</v>
      </c>
    </row>
    <row r="56" spans="5:5" x14ac:dyDescent="0.3">
      <c r="E56" t="s">
        <v>1917</v>
      </c>
    </row>
    <row r="57" spans="5:5" x14ac:dyDescent="0.3">
      <c r="E57" t="s">
        <v>2176</v>
      </c>
    </row>
    <row r="58" spans="5:5" x14ac:dyDescent="0.3">
      <c r="E58" t="s">
        <v>1861</v>
      </c>
    </row>
    <row r="59" spans="5:5" x14ac:dyDescent="0.3">
      <c r="E59" t="s">
        <v>1510</v>
      </c>
    </row>
    <row r="60" spans="5:5" x14ac:dyDescent="0.3">
      <c r="E60" t="s">
        <v>2003</v>
      </c>
    </row>
    <row r="61" spans="5:5" x14ac:dyDescent="0.3">
      <c r="E61" t="s">
        <v>1680</v>
      </c>
    </row>
    <row r="62" spans="5:5" x14ac:dyDescent="0.3">
      <c r="E62" t="s">
        <v>7382</v>
      </c>
    </row>
    <row r="63" spans="5:5" x14ac:dyDescent="0.3">
      <c r="E63" t="s">
        <v>5809</v>
      </c>
    </row>
    <row r="64" spans="5:5" x14ac:dyDescent="0.3">
      <c r="E64" t="s">
        <v>5964</v>
      </c>
    </row>
    <row r="65" spans="5:5" x14ac:dyDescent="0.3">
      <c r="E65" t="s">
        <v>6850</v>
      </c>
    </row>
    <row r="66" spans="5:5" x14ac:dyDescent="0.3">
      <c r="E66" t="s">
        <v>322</v>
      </c>
    </row>
    <row r="67" spans="5:5" x14ac:dyDescent="0.3">
      <c r="E67" t="s">
        <v>6323</v>
      </c>
    </row>
    <row r="68" spans="5:5" x14ac:dyDescent="0.3">
      <c r="E68" t="s">
        <v>6931</v>
      </c>
    </row>
    <row r="69" spans="5:5" x14ac:dyDescent="0.3">
      <c r="E69" t="s">
        <v>5746</v>
      </c>
    </row>
    <row r="70" spans="5:5" x14ac:dyDescent="0.3">
      <c r="E70" t="s">
        <v>6024</v>
      </c>
    </row>
    <row r="71" spans="5:5" x14ac:dyDescent="0.3">
      <c r="E71" t="s">
        <v>5928</v>
      </c>
    </row>
    <row r="72" spans="5:5" x14ac:dyDescent="0.3">
      <c r="E72" t="s">
        <v>3568</v>
      </c>
    </row>
    <row r="73" spans="5:5" x14ac:dyDescent="0.3">
      <c r="E73" t="s">
        <v>3405</v>
      </c>
    </row>
    <row r="74" spans="5:5" x14ac:dyDescent="0.3">
      <c r="E74" t="s">
        <v>2447</v>
      </c>
    </row>
    <row r="75" spans="5:5" x14ac:dyDescent="0.3">
      <c r="E75" t="s">
        <v>107</v>
      </c>
    </row>
    <row r="76" spans="5:5" x14ac:dyDescent="0.3">
      <c r="E76" t="s">
        <v>4628</v>
      </c>
    </row>
    <row r="77" spans="5:5" x14ac:dyDescent="0.3">
      <c r="E77" t="s">
        <v>4702</v>
      </c>
    </row>
    <row r="78" spans="5:5" x14ac:dyDescent="0.3">
      <c r="E78" t="s">
        <v>6587</v>
      </c>
    </row>
    <row r="79" spans="5:5" x14ac:dyDescent="0.3">
      <c r="E79" t="s">
        <v>5668</v>
      </c>
    </row>
    <row r="80" spans="5:5" x14ac:dyDescent="0.3">
      <c r="E80" t="s">
        <v>1880</v>
      </c>
    </row>
    <row r="81" spans="5:5" x14ac:dyDescent="0.3">
      <c r="E81" t="s">
        <v>3703</v>
      </c>
    </row>
    <row r="82" spans="5:5" x14ac:dyDescent="0.3">
      <c r="E82" t="s">
        <v>6627</v>
      </c>
    </row>
    <row r="83" spans="5:5" x14ac:dyDescent="0.3">
      <c r="E83" t="s">
        <v>6224</v>
      </c>
    </row>
    <row r="84" spans="5:5" x14ac:dyDescent="0.3">
      <c r="E84" t="s">
        <v>6118</v>
      </c>
    </row>
    <row r="85" spans="5:5" x14ac:dyDescent="0.3">
      <c r="E85" t="s">
        <v>4046</v>
      </c>
    </row>
    <row r="86" spans="5:5" x14ac:dyDescent="0.3">
      <c r="E86" t="s">
        <v>2122</v>
      </c>
    </row>
    <row r="87" spans="5:5" x14ac:dyDescent="0.3">
      <c r="E87" t="s">
        <v>6057</v>
      </c>
    </row>
    <row r="88" spans="5:5" x14ac:dyDescent="0.3">
      <c r="E88" t="s">
        <v>6170</v>
      </c>
    </row>
    <row r="89" spans="5:5" x14ac:dyDescent="0.3">
      <c r="E89" t="s">
        <v>2086</v>
      </c>
    </row>
    <row r="90" spans="5:5" x14ac:dyDescent="0.3">
      <c r="E90" t="s">
        <v>6164</v>
      </c>
    </row>
    <row r="91" spans="5:5" x14ac:dyDescent="0.3">
      <c r="E91" t="s">
        <v>6100</v>
      </c>
    </row>
    <row r="92" spans="5:5" x14ac:dyDescent="0.3">
      <c r="E92" t="s">
        <v>238</v>
      </c>
    </row>
    <row r="93" spans="5:5" x14ac:dyDescent="0.3">
      <c r="E93" t="s">
        <v>7338</v>
      </c>
    </row>
    <row r="94" spans="5:5" x14ac:dyDescent="0.3">
      <c r="E94" t="s">
        <v>7452</v>
      </c>
    </row>
    <row r="95" spans="5:5" x14ac:dyDescent="0.3">
      <c r="E95" t="s">
        <v>6748</v>
      </c>
    </row>
    <row r="96" spans="5:5" x14ac:dyDescent="0.3">
      <c r="E96" t="s">
        <v>7212</v>
      </c>
    </row>
    <row r="97" spans="5:5" x14ac:dyDescent="0.3">
      <c r="E97" t="s">
        <v>4248</v>
      </c>
    </row>
    <row r="98" spans="5:5" x14ac:dyDescent="0.3">
      <c r="E98" t="s">
        <v>4326</v>
      </c>
    </row>
    <row r="99" spans="5:5" x14ac:dyDescent="0.3">
      <c r="E99" t="s">
        <v>524</v>
      </c>
    </row>
    <row r="100" spans="5:5" x14ac:dyDescent="0.3">
      <c r="E100" t="s">
        <v>418</v>
      </c>
    </row>
    <row r="101" spans="5:5" x14ac:dyDescent="0.3">
      <c r="E101" t="s">
        <v>7121</v>
      </c>
    </row>
    <row r="102" spans="5:5" x14ac:dyDescent="0.3">
      <c r="E102" t="s">
        <v>7477</v>
      </c>
    </row>
    <row r="103" spans="5:5" x14ac:dyDescent="0.3">
      <c r="E103" t="s">
        <v>5294</v>
      </c>
    </row>
    <row r="104" spans="5:5" x14ac:dyDescent="0.3">
      <c r="E104" t="s">
        <v>2675</v>
      </c>
    </row>
    <row r="105" spans="5:5" x14ac:dyDescent="0.3">
      <c r="E105" t="s">
        <v>2594</v>
      </c>
    </row>
    <row r="106" spans="5:5" x14ac:dyDescent="0.3">
      <c r="E106" t="s">
        <v>2468</v>
      </c>
    </row>
    <row r="107" spans="5:5" x14ac:dyDescent="0.3">
      <c r="E107" t="s">
        <v>2711</v>
      </c>
    </row>
    <row r="108" spans="5:5" x14ac:dyDescent="0.3">
      <c r="E108" t="s">
        <v>7096</v>
      </c>
    </row>
    <row r="109" spans="5:5" x14ac:dyDescent="0.3">
      <c r="E109" t="s">
        <v>6964</v>
      </c>
    </row>
    <row r="110" spans="5:5" x14ac:dyDescent="0.3">
      <c r="E110" t="s">
        <v>3180</v>
      </c>
    </row>
    <row r="111" spans="5:5" x14ac:dyDescent="0.3">
      <c r="E111" t="s">
        <v>7323</v>
      </c>
    </row>
    <row r="112" spans="5:5" x14ac:dyDescent="0.3">
      <c r="E112" t="s">
        <v>5203</v>
      </c>
    </row>
    <row r="113" spans="5:5" x14ac:dyDescent="0.3">
      <c r="E113" t="s">
        <v>7460</v>
      </c>
    </row>
    <row r="114" spans="5:5" x14ac:dyDescent="0.3">
      <c r="E114" t="s">
        <v>6561</v>
      </c>
    </row>
    <row r="115" spans="5:5" x14ac:dyDescent="0.3">
      <c r="E115" t="s">
        <v>7203</v>
      </c>
    </row>
    <row r="116" spans="5:5" x14ac:dyDescent="0.3">
      <c r="E116" t="s">
        <v>6957</v>
      </c>
    </row>
    <row r="117" spans="5:5" x14ac:dyDescent="0.3">
      <c r="E117" t="s">
        <v>7133</v>
      </c>
    </row>
    <row r="118" spans="5:5" x14ac:dyDescent="0.3">
      <c r="E118" t="s">
        <v>5186</v>
      </c>
    </row>
    <row r="119" spans="5:5" x14ac:dyDescent="0.3">
      <c r="E119" t="s">
        <v>7251</v>
      </c>
    </row>
    <row r="120" spans="5:5" x14ac:dyDescent="0.3">
      <c r="E120" t="s">
        <v>4740</v>
      </c>
    </row>
    <row r="121" spans="5:5" x14ac:dyDescent="0.3">
      <c r="E121" t="s">
        <v>7408</v>
      </c>
    </row>
  </sheetData>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D1199"/>
  <sheetViews>
    <sheetView workbookViewId="0"/>
  </sheetViews>
  <sheetFormatPr defaultRowHeight="14.4" x14ac:dyDescent="0.3"/>
  <sheetData>
    <row r="1" spans="1:4" x14ac:dyDescent="0.3">
      <c r="A1" t="s">
        <v>7689</v>
      </c>
      <c r="B1" t="s">
        <v>7690</v>
      </c>
      <c r="C1" t="s">
        <v>7691</v>
      </c>
      <c r="D1">
        <f>SUM($A$2:$A$1199)</f>
        <v>27</v>
      </c>
    </row>
    <row r="2" spans="1:4" x14ac:dyDescent="0.3">
      <c r="A2">
        <f>IF(AND(OR(Query!$B$4="All",'Compliance Database'!$A2=Query!$B$4),OR(Query!$B$5="All",ISNUMBER(SEARCH(Query!$B$5,'Compliance Database'!$H2))),OR(Query!$B$6="All",ISNUMBER(SEARCH(Query!$B$6,'Compliance Database'!$I2))),OR(Query!$B$7="All",'Compliance Database'!$F2=Query!$B$7),OR(Query!$B$8="All",'Compliance Database'!$J2=Query!$B$8),OR(Query!$B$9="",ISNUMBER(SEARCH(Query!$B$9,'Compliance Database'!$D2&amp;" "&amp;'Compliance Database'!$K2&amp;" "&amp;'Compliance Database'!$L2&amp;" "&amp;'Compliance Database'!$M2&amp;" "&amp;'Compliance Database'!$N2&amp;" "&amp;'Compliance Database'!$O2))),OR(Query!$B$10&lt;&gt;"Yes",'Compliance Database'!$F2&lt;&gt;"None")),1,0)</f>
        <v>0</v>
      </c>
      <c r="B2" t="str">
        <f>IF($A2=1,SUM($A$2:$A2),"")</f>
        <v/>
      </c>
      <c r="C2">
        <f>IF($A2=1,SUM($A$2:$A2),0)</f>
        <v>0</v>
      </c>
    </row>
    <row r="3" spans="1:4" x14ac:dyDescent="0.3">
      <c r="A3">
        <f>IF(AND(OR(Query!$B$4="All",'Compliance Database'!$A3=Query!$B$4),OR(Query!$B$5="All",ISNUMBER(SEARCH(Query!$B$5,'Compliance Database'!$H3))),OR(Query!$B$6="All",ISNUMBER(SEARCH(Query!$B$6,'Compliance Database'!$I3))),OR(Query!$B$7="All",'Compliance Database'!$F3=Query!$B$7),OR(Query!$B$8="All",'Compliance Database'!$J3=Query!$B$8),OR(Query!$B$9="",ISNUMBER(SEARCH(Query!$B$9,'Compliance Database'!$D3&amp;" "&amp;'Compliance Database'!$K3&amp;" "&amp;'Compliance Database'!$L3&amp;" "&amp;'Compliance Database'!$M3&amp;" "&amp;'Compliance Database'!$N3&amp;" "&amp;'Compliance Database'!$O3))),OR(Query!$B$10&lt;&gt;"Yes",'Compliance Database'!$F3&lt;&gt;"None")),1,0)</f>
        <v>0</v>
      </c>
      <c r="B3" t="str">
        <f>IF($A3=1,SUM($A$2:$A3),"")</f>
        <v/>
      </c>
      <c r="C3">
        <f>IF($A3=1,SUM($A$2:$A3),0)</f>
        <v>0</v>
      </c>
    </row>
    <row r="4" spans="1:4" x14ac:dyDescent="0.3">
      <c r="A4">
        <f>IF(AND(OR(Query!$B$4="All",'Compliance Database'!$A4=Query!$B$4),OR(Query!$B$5="All",ISNUMBER(SEARCH(Query!$B$5,'Compliance Database'!$H4))),OR(Query!$B$6="All",ISNUMBER(SEARCH(Query!$B$6,'Compliance Database'!$I4))),OR(Query!$B$7="All",'Compliance Database'!$F4=Query!$B$7),OR(Query!$B$8="All",'Compliance Database'!$J4=Query!$B$8),OR(Query!$B$9="",ISNUMBER(SEARCH(Query!$B$9,'Compliance Database'!$D4&amp;" "&amp;'Compliance Database'!$K4&amp;" "&amp;'Compliance Database'!$L4&amp;" "&amp;'Compliance Database'!$M4&amp;" "&amp;'Compliance Database'!$N4&amp;" "&amp;'Compliance Database'!$O4))),OR(Query!$B$10&lt;&gt;"Yes",'Compliance Database'!$F4&lt;&gt;"None")),1,0)</f>
        <v>0</v>
      </c>
      <c r="B4" t="str">
        <f>IF($A4=1,SUM($A$2:$A4),"")</f>
        <v/>
      </c>
      <c r="C4">
        <f>IF($A4=1,SUM($A$2:$A4),0)</f>
        <v>0</v>
      </c>
    </row>
    <row r="5" spans="1:4" x14ac:dyDescent="0.3">
      <c r="A5">
        <f>IF(AND(OR(Query!$B$4="All",'Compliance Database'!$A5=Query!$B$4),OR(Query!$B$5="All",ISNUMBER(SEARCH(Query!$B$5,'Compliance Database'!$H5))),OR(Query!$B$6="All",ISNUMBER(SEARCH(Query!$B$6,'Compliance Database'!$I5))),OR(Query!$B$7="All",'Compliance Database'!$F5=Query!$B$7),OR(Query!$B$8="All",'Compliance Database'!$J5=Query!$B$8),OR(Query!$B$9="",ISNUMBER(SEARCH(Query!$B$9,'Compliance Database'!$D5&amp;" "&amp;'Compliance Database'!$K5&amp;" "&amp;'Compliance Database'!$L5&amp;" "&amp;'Compliance Database'!$M5&amp;" "&amp;'Compliance Database'!$N5&amp;" "&amp;'Compliance Database'!$O5))),OR(Query!$B$10&lt;&gt;"Yes",'Compliance Database'!$F5&lt;&gt;"None")),1,0)</f>
        <v>0</v>
      </c>
      <c r="B5" t="str">
        <f>IF($A5=1,SUM($A$2:$A5),"")</f>
        <v/>
      </c>
      <c r="C5">
        <f>IF($A5=1,SUM($A$2:$A5),0)</f>
        <v>0</v>
      </c>
    </row>
    <row r="6" spans="1:4" x14ac:dyDescent="0.3">
      <c r="A6">
        <f>IF(AND(OR(Query!$B$4="All",'Compliance Database'!$A6=Query!$B$4),OR(Query!$B$5="All",ISNUMBER(SEARCH(Query!$B$5,'Compliance Database'!$H6))),OR(Query!$B$6="All",ISNUMBER(SEARCH(Query!$B$6,'Compliance Database'!$I6))),OR(Query!$B$7="All",'Compliance Database'!$F6=Query!$B$7),OR(Query!$B$8="All",'Compliance Database'!$J6=Query!$B$8),OR(Query!$B$9="",ISNUMBER(SEARCH(Query!$B$9,'Compliance Database'!$D6&amp;" "&amp;'Compliance Database'!$K6&amp;" "&amp;'Compliance Database'!$L6&amp;" "&amp;'Compliance Database'!$M6&amp;" "&amp;'Compliance Database'!$N6&amp;" "&amp;'Compliance Database'!$O6))),OR(Query!$B$10&lt;&gt;"Yes",'Compliance Database'!$F6&lt;&gt;"None")),1,0)</f>
        <v>0</v>
      </c>
      <c r="B6" t="str">
        <f>IF($A6=1,SUM($A$2:$A6),"")</f>
        <v/>
      </c>
      <c r="C6">
        <f>IF($A6=1,SUM($A$2:$A6),0)</f>
        <v>0</v>
      </c>
    </row>
    <row r="7" spans="1:4" x14ac:dyDescent="0.3">
      <c r="A7">
        <f>IF(AND(OR(Query!$B$4="All",'Compliance Database'!$A7=Query!$B$4),OR(Query!$B$5="All",ISNUMBER(SEARCH(Query!$B$5,'Compliance Database'!$H7))),OR(Query!$B$6="All",ISNUMBER(SEARCH(Query!$B$6,'Compliance Database'!$I7))),OR(Query!$B$7="All",'Compliance Database'!$F7=Query!$B$7),OR(Query!$B$8="All",'Compliance Database'!$J7=Query!$B$8),OR(Query!$B$9="",ISNUMBER(SEARCH(Query!$B$9,'Compliance Database'!$D7&amp;" "&amp;'Compliance Database'!$K7&amp;" "&amp;'Compliance Database'!$L7&amp;" "&amp;'Compliance Database'!$M7&amp;" "&amp;'Compliance Database'!$N7&amp;" "&amp;'Compliance Database'!$O7))),OR(Query!$B$10&lt;&gt;"Yes",'Compliance Database'!$F7&lt;&gt;"None")),1,0)</f>
        <v>0</v>
      </c>
      <c r="B7" t="str">
        <f>IF($A7=1,SUM($A$2:$A7),"")</f>
        <v/>
      </c>
      <c r="C7">
        <f>IF($A7=1,SUM($A$2:$A7),0)</f>
        <v>0</v>
      </c>
    </row>
    <row r="8" spans="1:4" x14ac:dyDescent="0.3">
      <c r="A8">
        <f>IF(AND(OR(Query!$B$4="All",'Compliance Database'!$A8=Query!$B$4),OR(Query!$B$5="All",ISNUMBER(SEARCH(Query!$B$5,'Compliance Database'!$H8))),OR(Query!$B$6="All",ISNUMBER(SEARCH(Query!$B$6,'Compliance Database'!$I8))),OR(Query!$B$7="All",'Compliance Database'!$F8=Query!$B$7),OR(Query!$B$8="All",'Compliance Database'!$J8=Query!$B$8),OR(Query!$B$9="",ISNUMBER(SEARCH(Query!$B$9,'Compliance Database'!$D8&amp;" "&amp;'Compliance Database'!$K8&amp;" "&amp;'Compliance Database'!$L8&amp;" "&amp;'Compliance Database'!$M8&amp;" "&amp;'Compliance Database'!$N8&amp;" "&amp;'Compliance Database'!$O8))),OR(Query!$B$10&lt;&gt;"Yes",'Compliance Database'!$F8&lt;&gt;"None")),1,0)</f>
        <v>0</v>
      </c>
      <c r="B8" t="str">
        <f>IF($A8=1,SUM($A$2:$A8),"")</f>
        <v/>
      </c>
      <c r="C8">
        <f>IF($A8=1,SUM($A$2:$A8),0)</f>
        <v>0</v>
      </c>
    </row>
    <row r="9" spans="1:4" x14ac:dyDescent="0.3">
      <c r="A9">
        <f>IF(AND(OR(Query!$B$4="All",'Compliance Database'!$A9=Query!$B$4),OR(Query!$B$5="All",ISNUMBER(SEARCH(Query!$B$5,'Compliance Database'!$H9))),OR(Query!$B$6="All",ISNUMBER(SEARCH(Query!$B$6,'Compliance Database'!$I9))),OR(Query!$B$7="All",'Compliance Database'!$F9=Query!$B$7),OR(Query!$B$8="All",'Compliance Database'!$J9=Query!$B$8),OR(Query!$B$9="",ISNUMBER(SEARCH(Query!$B$9,'Compliance Database'!$D9&amp;" "&amp;'Compliance Database'!$K9&amp;" "&amp;'Compliance Database'!$L9&amp;" "&amp;'Compliance Database'!$M9&amp;" "&amp;'Compliance Database'!$N9&amp;" "&amp;'Compliance Database'!$O9))),OR(Query!$B$10&lt;&gt;"Yes",'Compliance Database'!$F9&lt;&gt;"None")),1,0)</f>
        <v>0</v>
      </c>
      <c r="B9" t="str">
        <f>IF($A9=1,SUM($A$2:$A9),"")</f>
        <v/>
      </c>
      <c r="C9">
        <f>IF($A9=1,SUM($A$2:$A9),0)</f>
        <v>0</v>
      </c>
    </row>
    <row r="10" spans="1:4" x14ac:dyDescent="0.3">
      <c r="A10">
        <f>IF(AND(OR(Query!$B$4="All",'Compliance Database'!$A10=Query!$B$4),OR(Query!$B$5="All",ISNUMBER(SEARCH(Query!$B$5,'Compliance Database'!$H10))),OR(Query!$B$6="All",ISNUMBER(SEARCH(Query!$B$6,'Compliance Database'!$I10))),OR(Query!$B$7="All",'Compliance Database'!$F10=Query!$B$7),OR(Query!$B$8="All",'Compliance Database'!$J10=Query!$B$8),OR(Query!$B$9="",ISNUMBER(SEARCH(Query!$B$9,'Compliance Database'!$D10&amp;" "&amp;'Compliance Database'!$K10&amp;" "&amp;'Compliance Database'!$L10&amp;" "&amp;'Compliance Database'!$M10&amp;" "&amp;'Compliance Database'!$N10&amp;" "&amp;'Compliance Database'!$O10))),OR(Query!$B$10&lt;&gt;"Yes",'Compliance Database'!$F10&lt;&gt;"None")),1,0)</f>
        <v>0</v>
      </c>
      <c r="B10" t="str">
        <f>IF($A10=1,SUM($A$2:$A10),"")</f>
        <v/>
      </c>
      <c r="C10">
        <f>IF($A10=1,SUM($A$2:$A10),0)</f>
        <v>0</v>
      </c>
    </row>
    <row r="11" spans="1:4" x14ac:dyDescent="0.3">
      <c r="A11">
        <f>IF(AND(OR(Query!$B$4="All",'Compliance Database'!$A11=Query!$B$4),OR(Query!$B$5="All",ISNUMBER(SEARCH(Query!$B$5,'Compliance Database'!$H11))),OR(Query!$B$6="All",ISNUMBER(SEARCH(Query!$B$6,'Compliance Database'!$I11))),OR(Query!$B$7="All",'Compliance Database'!$F11=Query!$B$7),OR(Query!$B$8="All",'Compliance Database'!$J11=Query!$B$8),OR(Query!$B$9="",ISNUMBER(SEARCH(Query!$B$9,'Compliance Database'!$D11&amp;" "&amp;'Compliance Database'!$K11&amp;" "&amp;'Compliance Database'!$L11&amp;" "&amp;'Compliance Database'!$M11&amp;" "&amp;'Compliance Database'!$N11&amp;" "&amp;'Compliance Database'!$O11))),OR(Query!$B$10&lt;&gt;"Yes",'Compliance Database'!$F11&lt;&gt;"None")),1,0)</f>
        <v>0</v>
      </c>
      <c r="B11" t="str">
        <f>IF($A11=1,SUM($A$2:$A11),"")</f>
        <v/>
      </c>
      <c r="C11">
        <f>IF($A11=1,SUM($A$2:$A11),0)</f>
        <v>0</v>
      </c>
    </row>
    <row r="12" spans="1:4" x14ac:dyDescent="0.3">
      <c r="A12">
        <f>IF(AND(OR(Query!$B$4="All",'Compliance Database'!$A12=Query!$B$4),OR(Query!$B$5="All",ISNUMBER(SEARCH(Query!$B$5,'Compliance Database'!$H12))),OR(Query!$B$6="All",ISNUMBER(SEARCH(Query!$B$6,'Compliance Database'!$I12))),OR(Query!$B$7="All",'Compliance Database'!$F12=Query!$B$7),OR(Query!$B$8="All",'Compliance Database'!$J12=Query!$B$8),OR(Query!$B$9="",ISNUMBER(SEARCH(Query!$B$9,'Compliance Database'!$D12&amp;" "&amp;'Compliance Database'!$K12&amp;" "&amp;'Compliance Database'!$L12&amp;" "&amp;'Compliance Database'!$M12&amp;" "&amp;'Compliance Database'!$N12&amp;" "&amp;'Compliance Database'!$O12))),OR(Query!$B$10&lt;&gt;"Yes",'Compliance Database'!$F12&lt;&gt;"None")),1,0)</f>
        <v>0</v>
      </c>
      <c r="B12" t="str">
        <f>IF($A12=1,SUM($A$2:$A12),"")</f>
        <v/>
      </c>
      <c r="C12">
        <f>IF($A12=1,SUM($A$2:$A12),0)</f>
        <v>0</v>
      </c>
    </row>
    <row r="13" spans="1:4" x14ac:dyDescent="0.3">
      <c r="A13">
        <f>IF(AND(OR(Query!$B$4="All",'Compliance Database'!$A13=Query!$B$4),OR(Query!$B$5="All",ISNUMBER(SEARCH(Query!$B$5,'Compliance Database'!$H13))),OR(Query!$B$6="All",ISNUMBER(SEARCH(Query!$B$6,'Compliance Database'!$I13))),OR(Query!$B$7="All",'Compliance Database'!$F13=Query!$B$7),OR(Query!$B$8="All",'Compliance Database'!$J13=Query!$B$8),OR(Query!$B$9="",ISNUMBER(SEARCH(Query!$B$9,'Compliance Database'!$D13&amp;" "&amp;'Compliance Database'!$K13&amp;" "&amp;'Compliance Database'!$L13&amp;" "&amp;'Compliance Database'!$M13&amp;" "&amp;'Compliance Database'!$N13&amp;" "&amp;'Compliance Database'!$O13))),OR(Query!$B$10&lt;&gt;"Yes",'Compliance Database'!$F13&lt;&gt;"None")),1,0)</f>
        <v>0</v>
      </c>
      <c r="B13" t="str">
        <f>IF($A13=1,SUM($A$2:$A13),"")</f>
        <v/>
      </c>
      <c r="C13">
        <f>IF($A13=1,SUM($A$2:$A13),0)</f>
        <v>0</v>
      </c>
    </row>
    <row r="14" spans="1:4" x14ac:dyDescent="0.3">
      <c r="A14">
        <f>IF(AND(OR(Query!$B$4="All",'Compliance Database'!$A14=Query!$B$4),OR(Query!$B$5="All",ISNUMBER(SEARCH(Query!$B$5,'Compliance Database'!$H14))),OR(Query!$B$6="All",ISNUMBER(SEARCH(Query!$B$6,'Compliance Database'!$I14))),OR(Query!$B$7="All",'Compliance Database'!$F14=Query!$B$7),OR(Query!$B$8="All",'Compliance Database'!$J14=Query!$B$8),OR(Query!$B$9="",ISNUMBER(SEARCH(Query!$B$9,'Compliance Database'!$D14&amp;" "&amp;'Compliance Database'!$K14&amp;" "&amp;'Compliance Database'!$L14&amp;" "&amp;'Compliance Database'!$M14&amp;" "&amp;'Compliance Database'!$N14&amp;" "&amp;'Compliance Database'!$O14))),OR(Query!$B$10&lt;&gt;"Yes",'Compliance Database'!$F14&lt;&gt;"None")),1,0)</f>
        <v>0</v>
      </c>
      <c r="B14" t="str">
        <f>IF($A14=1,SUM($A$2:$A14),"")</f>
        <v/>
      </c>
      <c r="C14">
        <f>IF($A14=1,SUM($A$2:$A14),0)</f>
        <v>0</v>
      </c>
    </row>
    <row r="15" spans="1:4" x14ac:dyDescent="0.3">
      <c r="A15">
        <f>IF(AND(OR(Query!$B$4="All",'Compliance Database'!$A15=Query!$B$4),OR(Query!$B$5="All",ISNUMBER(SEARCH(Query!$B$5,'Compliance Database'!$H15))),OR(Query!$B$6="All",ISNUMBER(SEARCH(Query!$B$6,'Compliance Database'!$I15))),OR(Query!$B$7="All",'Compliance Database'!$F15=Query!$B$7),OR(Query!$B$8="All",'Compliance Database'!$J15=Query!$B$8),OR(Query!$B$9="",ISNUMBER(SEARCH(Query!$B$9,'Compliance Database'!$D15&amp;" "&amp;'Compliance Database'!$K15&amp;" "&amp;'Compliance Database'!$L15&amp;" "&amp;'Compliance Database'!$M15&amp;" "&amp;'Compliance Database'!$N15&amp;" "&amp;'Compliance Database'!$O15))),OR(Query!$B$10&lt;&gt;"Yes",'Compliance Database'!$F15&lt;&gt;"None")),1,0)</f>
        <v>0</v>
      </c>
      <c r="B15" t="str">
        <f>IF($A15=1,SUM($A$2:$A15),"")</f>
        <v/>
      </c>
      <c r="C15">
        <f>IF($A15=1,SUM($A$2:$A15),0)</f>
        <v>0</v>
      </c>
    </row>
    <row r="16" spans="1:4" x14ac:dyDescent="0.3">
      <c r="A16">
        <f>IF(AND(OR(Query!$B$4="All",'Compliance Database'!$A16=Query!$B$4),OR(Query!$B$5="All",ISNUMBER(SEARCH(Query!$B$5,'Compliance Database'!$H16))),OR(Query!$B$6="All",ISNUMBER(SEARCH(Query!$B$6,'Compliance Database'!$I16))),OR(Query!$B$7="All",'Compliance Database'!$F16=Query!$B$7),OR(Query!$B$8="All",'Compliance Database'!$J16=Query!$B$8),OR(Query!$B$9="",ISNUMBER(SEARCH(Query!$B$9,'Compliance Database'!$D16&amp;" "&amp;'Compliance Database'!$K16&amp;" "&amp;'Compliance Database'!$L16&amp;" "&amp;'Compliance Database'!$M16&amp;" "&amp;'Compliance Database'!$N16&amp;" "&amp;'Compliance Database'!$O16))),OR(Query!$B$10&lt;&gt;"Yes",'Compliance Database'!$F16&lt;&gt;"None")),1,0)</f>
        <v>0</v>
      </c>
      <c r="B16" t="str">
        <f>IF($A16=1,SUM($A$2:$A16),"")</f>
        <v/>
      </c>
      <c r="C16">
        <f>IF($A16=1,SUM($A$2:$A16),0)</f>
        <v>0</v>
      </c>
    </row>
    <row r="17" spans="1:3" x14ac:dyDescent="0.3">
      <c r="A17">
        <f>IF(AND(OR(Query!$B$4="All",'Compliance Database'!$A17=Query!$B$4),OR(Query!$B$5="All",ISNUMBER(SEARCH(Query!$B$5,'Compliance Database'!$H17))),OR(Query!$B$6="All",ISNUMBER(SEARCH(Query!$B$6,'Compliance Database'!$I17))),OR(Query!$B$7="All",'Compliance Database'!$F17=Query!$B$7),OR(Query!$B$8="All",'Compliance Database'!$J17=Query!$B$8),OR(Query!$B$9="",ISNUMBER(SEARCH(Query!$B$9,'Compliance Database'!$D17&amp;" "&amp;'Compliance Database'!$K17&amp;" "&amp;'Compliance Database'!$L17&amp;" "&amp;'Compliance Database'!$M17&amp;" "&amp;'Compliance Database'!$N17&amp;" "&amp;'Compliance Database'!$O17))),OR(Query!$B$10&lt;&gt;"Yes",'Compliance Database'!$F17&lt;&gt;"None")),1,0)</f>
        <v>0</v>
      </c>
      <c r="B17" t="str">
        <f>IF($A17=1,SUM($A$2:$A17),"")</f>
        <v/>
      </c>
      <c r="C17">
        <f>IF($A17=1,SUM($A$2:$A17),0)</f>
        <v>0</v>
      </c>
    </row>
    <row r="18" spans="1:3" x14ac:dyDescent="0.3">
      <c r="A18">
        <f>IF(AND(OR(Query!$B$4="All",'Compliance Database'!$A18=Query!$B$4),OR(Query!$B$5="All",ISNUMBER(SEARCH(Query!$B$5,'Compliance Database'!$H18))),OR(Query!$B$6="All",ISNUMBER(SEARCH(Query!$B$6,'Compliance Database'!$I18))),OR(Query!$B$7="All",'Compliance Database'!$F18=Query!$B$7),OR(Query!$B$8="All",'Compliance Database'!$J18=Query!$B$8),OR(Query!$B$9="",ISNUMBER(SEARCH(Query!$B$9,'Compliance Database'!$D18&amp;" "&amp;'Compliance Database'!$K18&amp;" "&amp;'Compliance Database'!$L18&amp;" "&amp;'Compliance Database'!$M18&amp;" "&amp;'Compliance Database'!$N18&amp;" "&amp;'Compliance Database'!$O18))),OR(Query!$B$10&lt;&gt;"Yes",'Compliance Database'!$F18&lt;&gt;"None")),1,0)</f>
        <v>0</v>
      </c>
      <c r="B18" t="str">
        <f>IF($A18=1,SUM($A$2:$A18),"")</f>
        <v/>
      </c>
      <c r="C18">
        <f>IF($A18=1,SUM($A$2:$A18),0)</f>
        <v>0</v>
      </c>
    </row>
    <row r="19" spans="1:3" x14ac:dyDescent="0.3">
      <c r="A19">
        <f>IF(AND(OR(Query!$B$4="All",'Compliance Database'!$A19=Query!$B$4),OR(Query!$B$5="All",ISNUMBER(SEARCH(Query!$B$5,'Compliance Database'!$H19))),OR(Query!$B$6="All",ISNUMBER(SEARCH(Query!$B$6,'Compliance Database'!$I19))),OR(Query!$B$7="All",'Compliance Database'!$F19=Query!$B$7),OR(Query!$B$8="All",'Compliance Database'!$J19=Query!$B$8),OR(Query!$B$9="",ISNUMBER(SEARCH(Query!$B$9,'Compliance Database'!$D19&amp;" "&amp;'Compliance Database'!$K19&amp;" "&amp;'Compliance Database'!$L19&amp;" "&amp;'Compliance Database'!$M19&amp;" "&amp;'Compliance Database'!$N19&amp;" "&amp;'Compliance Database'!$O19))),OR(Query!$B$10&lt;&gt;"Yes",'Compliance Database'!$F19&lt;&gt;"None")),1,0)</f>
        <v>0</v>
      </c>
      <c r="B19" t="str">
        <f>IF($A19=1,SUM($A$2:$A19),"")</f>
        <v/>
      </c>
      <c r="C19">
        <f>IF($A19=1,SUM($A$2:$A19),0)</f>
        <v>0</v>
      </c>
    </row>
    <row r="20" spans="1:3" x14ac:dyDescent="0.3">
      <c r="A20">
        <f>IF(AND(OR(Query!$B$4="All",'Compliance Database'!$A20=Query!$B$4),OR(Query!$B$5="All",ISNUMBER(SEARCH(Query!$B$5,'Compliance Database'!$H20))),OR(Query!$B$6="All",ISNUMBER(SEARCH(Query!$B$6,'Compliance Database'!$I20))),OR(Query!$B$7="All",'Compliance Database'!$F20=Query!$B$7),OR(Query!$B$8="All",'Compliance Database'!$J20=Query!$B$8),OR(Query!$B$9="",ISNUMBER(SEARCH(Query!$B$9,'Compliance Database'!$D20&amp;" "&amp;'Compliance Database'!$K20&amp;" "&amp;'Compliance Database'!$L20&amp;" "&amp;'Compliance Database'!$M20&amp;" "&amp;'Compliance Database'!$N20&amp;" "&amp;'Compliance Database'!$O20))),OR(Query!$B$10&lt;&gt;"Yes",'Compliance Database'!$F20&lt;&gt;"None")),1,0)</f>
        <v>0</v>
      </c>
      <c r="B20" t="str">
        <f>IF($A20=1,SUM($A$2:$A20),"")</f>
        <v/>
      </c>
      <c r="C20">
        <f>IF($A20=1,SUM($A$2:$A20),0)</f>
        <v>0</v>
      </c>
    </row>
    <row r="21" spans="1:3" x14ac:dyDescent="0.3">
      <c r="A21">
        <f>IF(AND(OR(Query!$B$4="All",'Compliance Database'!$A21=Query!$B$4),OR(Query!$B$5="All",ISNUMBER(SEARCH(Query!$B$5,'Compliance Database'!$H21))),OR(Query!$B$6="All",ISNUMBER(SEARCH(Query!$B$6,'Compliance Database'!$I21))),OR(Query!$B$7="All",'Compliance Database'!$F21=Query!$B$7),OR(Query!$B$8="All",'Compliance Database'!$J21=Query!$B$8),OR(Query!$B$9="",ISNUMBER(SEARCH(Query!$B$9,'Compliance Database'!$D21&amp;" "&amp;'Compliance Database'!$K21&amp;" "&amp;'Compliance Database'!$L21&amp;" "&amp;'Compliance Database'!$M21&amp;" "&amp;'Compliance Database'!$N21&amp;" "&amp;'Compliance Database'!$O21))),OR(Query!$B$10&lt;&gt;"Yes",'Compliance Database'!$F21&lt;&gt;"None")),1,0)</f>
        <v>0</v>
      </c>
      <c r="B21" t="str">
        <f>IF($A21=1,SUM($A$2:$A21),"")</f>
        <v/>
      </c>
      <c r="C21">
        <f>IF($A21=1,SUM($A$2:$A21),0)</f>
        <v>0</v>
      </c>
    </row>
    <row r="22" spans="1:3" x14ac:dyDescent="0.3">
      <c r="A22">
        <f>IF(AND(OR(Query!$B$4="All",'Compliance Database'!$A22=Query!$B$4),OR(Query!$B$5="All",ISNUMBER(SEARCH(Query!$B$5,'Compliance Database'!$H22))),OR(Query!$B$6="All",ISNUMBER(SEARCH(Query!$B$6,'Compliance Database'!$I22))),OR(Query!$B$7="All",'Compliance Database'!$F22=Query!$B$7),OR(Query!$B$8="All",'Compliance Database'!$J22=Query!$B$8),OR(Query!$B$9="",ISNUMBER(SEARCH(Query!$B$9,'Compliance Database'!$D22&amp;" "&amp;'Compliance Database'!$K22&amp;" "&amp;'Compliance Database'!$L22&amp;" "&amp;'Compliance Database'!$M22&amp;" "&amp;'Compliance Database'!$N22&amp;" "&amp;'Compliance Database'!$O22))),OR(Query!$B$10&lt;&gt;"Yes",'Compliance Database'!$F22&lt;&gt;"None")),1,0)</f>
        <v>0</v>
      </c>
      <c r="B22" t="str">
        <f>IF($A22=1,SUM($A$2:$A22),"")</f>
        <v/>
      </c>
      <c r="C22">
        <f>IF($A22=1,SUM($A$2:$A22),0)</f>
        <v>0</v>
      </c>
    </row>
    <row r="23" spans="1:3" x14ac:dyDescent="0.3">
      <c r="A23">
        <f>IF(AND(OR(Query!$B$4="All",'Compliance Database'!$A23=Query!$B$4),OR(Query!$B$5="All",ISNUMBER(SEARCH(Query!$B$5,'Compliance Database'!$H23))),OR(Query!$B$6="All",ISNUMBER(SEARCH(Query!$B$6,'Compliance Database'!$I23))),OR(Query!$B$7="All",'Compliance Database'!$F23=Query!$B$7),OR(Query!$B$8="All",'Compliance Database'!$J23=Query!$B$8),OR(Query!$B$9="",ISNUMBER(SEARCH(Query!$B$9,'Compliance Database'!$D23&amp;" "&amp;'Compliance Database'!$K23&amp;" "&amp;'Compliance Database'!$L23&amp;" "&amp;'Compliance Database'!$M23&amp;" "&amp;'Compliance Database'!$N23&amp;" "&amp;'Compliance Database'!$O23))),OR(Query!$B$10&lt;&gt;"Yes",'Compliance Database'!$F23&lt;&gt;"None")),1,0)</f>
        <v>0</v>
      </c>
      <c r="B23" t="str">
        <f>IF($A23=1,SUM($A$2:$A23),"")</f>
        <v/>
      </c>
      <c r="C23">
        <f>IF($A23=1,SUM($A$2:$A23),0)</f>
        <v>0</v>
      </c>
    </row>
    <row r="24" spans="1:3" x14ac:dyDescent="0.3">
      <c r="A24">
        <f>IF(AND(OR(Query!$B$4="All",'Compliance Database'!$A24=Query!$B$4),OR(Query!$B$5="All",ISNUMBER(SEARCH(Query!$B$5,'Compliance Database'!$H24))),OR(Query!$B$6="All",ISNUMBER(SEARCH(Query!$B$6,'Compliance Database'!$I24))),OR(Query!$B$7="All",'Compliance Database'!$F24=Query!$B$7),OR(Query!$B$8="All",'Compliance Database'!$J24=Query!$B$8),OR(Query!$B$9="",ISNUMBER(SEARCH(Query!$B$9,'Compliance Database'!$D24&amp;" "&amp;'Compliance Database'!$K24&amp;" "&amp;'Compliance Database'!$L24&amp;" "&amp;'Compliance Database'!$M24&amp;" "&amp;'Compliance Database'!$N24&amp;" "&amp;'Compliance Database'!$O24))),OR(Query!$B$10&lt;&gt;"Yes",'Compliance Database'!$F24&lt;&gt;"None")),1,0)</f>
        <v>0</v>
      </c>
      <c r="B24" t="str">
        <f>IF($A24=1,SUM($A$2:$A24),"")</f>
        <v/>
      </c>
      <c r="C24">
        <f>IF($A24=1,SUM($A$2:$A24),0)</f>
        <v>0</v>
      </c>
    </row>
    <row r="25" spans="1:3" x14ac:dyDescent="0.3">
      <c r="A25">
        <f>IF(AND(OR(Query!$B$4="All",'Compliance Database'!$A25=Query!$B$4),OR(Query!$B$5="All",ISNUMBER(SEARCH(Query!$B$5,'Compliance Database'!$H25))),OR(Query!$B$6="All",ISNUMBER(SEARCH(Query!$B$6,'Compliance Database'!$I25))),OR(Query!$B$7="All",'Compliance Database'!$F25=Query!$B$7),OR(Query!$B$8="All",'Compliance Database'!$J25=Query!$B$8),OR(Query!$B$9="",ISNUMBER(SEARCH(Query!$B$9,'Compliance Database'!$D25&amp;" "&amp;'Compliance Database'!$K25&amp;" "&amp;'Compliance Database'!$L25&amp;" "&amp;'Compliance Database'!$M25&amp;" "&amp;'Compliance Database'!$N25&amp;" "&amp;'Compliance Database'!$O25))),OR(Query!$B$10&lt;&gt;"Yes",'Compliance Database'!$F25&lt;&gt;"None")),1,0)</f>
        <v>0</v>
      </c>
      <c r="B25" t="str">
        <f>IF($A25=1,SUM($A$2:$A25),"")</f>
        <v/>
      </c>
      <c r="C25">
        <f>IF($A25=1,SUM($A$2:$A25),0)</f>
        <v>0</v>
      </c>
    </row>
    <row r="26" spans="1:3" x14ac:dyDescent="0.3">
      <c r="A26">
        <f>IF(AND(OR(Query!$B$4="All",'Compliance Database'!$A26=Query!$B$4),OR(Query!$B$5="All",ISNUMBER(SEARCH(Query!$B$5,'Compliance Database'!$H26))),OR(Query!$B$6="All",ISNUMBER(SEARCH(Query!$B$6,'Compliance Database'!$I26))),OR(Query!$B$7="All",'Compliance Database'!$F26=Query!$B$7),OR(Query!$B$8="All",'Compliance Database'!$J26=Query!$B$8),OR(Query!$B$9="",ISNUMBER(SEARCH(Query!$B$9,'Compliance Database'!$D26&amp;" "&amp;'Compliance Database'!$K26&amp;" "&amp;'Compliance Database'!$L26&amp;" "&amp;'Compliance Database'!$M26&amp;" "&amp;'Compliance Database'!$N26&amp;" "&amp;'Compliance Database'!$O26))),OR(Query!$B$10&lt;&gt;"Yes",'Compliance Database'!$F26&lt;&gt;"None")),1,0)</f>
        <v>0</v>
      </c>
      <c r="B26" t="str">
        <f>IF($A26=1,SUM($A$2:$A26),"")</f>
        <v/>
      </c>
      <c r="C26">
        <f>IF($A26=1,SUM($A$2:$A26),0)</f>
        <v>0</v>
      </c>
    </row>
    <row r="27" spans="1:3" x14ac:dyDescent="0.3">
      <c r="A27">
        <f>IF(AND(OR(Query!$B$4="All",'Compliance Database'!$A27=Query!$B$4),OR(Query!$B$5="All",ISNUMBER(SEARCH(Query!$B$5,'Compliance Database'!$H27))),OR(Query!$B$6="All",ISNUMBER(SEARCH(Query!$B$6,'Compliance Database'!$I27))),OR(Query!$B$7="All",'Compliance Database'!$F27=Query!$B$7),OR(Query!$B$8="All",'Compliance Database'!$J27=Query!$B$8),OR(Query!$B$9="",ISNUMBER(SEARCH(Query!$B$9,'Compliance Database'!$D27&amp;" "&amp;'Compliance Database'!$K27&amp;" "&amp;'Compliance Database'!$L27&amp;" "&amp;'Compliance Database'!$M27&amp;" "&amp;'Compliance Database'!$N27&amp;" "&amp;'Compliance Database'!$O27))),OR(Query!$B$10&lt;&gt;"Yes",'Compliance Database'!$F27&lt;&gt;"None")),1,0)</f>
        <v>0</v>
      </c>
      <c r="B27" t="str">
        <f>IF($A27=1,SUM($A$2:$A27),"")</f>
        <v/>
      </c>
      <c r="C27">
        <f>IF($A27=1,SUM($A$2:$A27),0)</f>
        <v>0</v>
      </c>
    </row>
    <row r="28" spans="1:3" x14ac:dyDescent="0.3">
      <c r="A28">
        <f>IF(AND(OR(Query!$B$4="All",'Compliance Database'!$A28=Query!$B$4),OR(Query!$B$5="All",ISNUMBER(SEARCH(Query!$B$5,'Compliance Database'!$H28))),OR(Query!$B$6="All",ISNUMBER(SEARCH(Query!$B$6,'Compliance Database'!$I28))),OR(Query!$B$7="All",'Compliance Database'!$F28=Query!$B$7),OR(Query!$B$8="All",'Compliance Database'!$J28=Query!$B$8),OR(Query!$B$9="",ISNUMBER(SEARCH(Query!$B$9,'Compliance Database'!$D28&amp;" "&amp;'Compliance Database'!$K28&amp;" "&amp;'Compliance Database'!$L28&amp;" "&amp;'Compliance Database'!$M28&amp;" "&amp;'Compliance Database'!$N28&amp;" "&amp;'Compliance Database'!$O28))),OR(Query!$B$10&lt;&gt;"Yes",'Compliance Database'!$F28&lt;&gt;"None")),1,0)</f>
        <v>0</v>
      </c>
      <c r="B28" t="str">
        <f>IF($A28=1,SUM($A$2:$A28),"")</f>
        <v/>
      </c>
      <c r="C28">
        <f>IF($A28=1,SUM($A$2:$A28),0)</f>
        <v>0</v>
      </c>
    </row>
    <row r="29" spans="1:3" x14ac:dyDescent="0.3">
      <c r="A29">
        <f>IF(AND(OR(Query!$B$4="All",'Compliance Database'!$A29=Query!$B$4),OR(Query!$B$5="All",ISNUMBER(SEARCH(Query!$B$5,'Compliance Database'!$H29))),OR(Query!$B$6="All",ISNUMBER(SEARCH(Query!$B$6,'Compliance Database'!$I29))),OR(Query!$B$7="All",'Compliance Database'!$F29=Query!$B$7),OR(Query!$B$8="All",'Compliance Database'!$J29=Query!$B$8),OR(Query!$B$9="",ISNUMBER(SEARCH(Query!$B$9,'Compliance Database'!$D29&amp;" "&amp;'Compliance Database'!$K29&amp;" "&amp;'Compliance Database'!$L29&amp;" "&amp;'Compliance Database'!$M29&amp;" "&amp;'Compliance Database'!$N29&amp;" "&amp;'Compliance Database'!$O29))),OR(Query!$B$10&lt;&gt;"Yes",'Compliance Database'!$F29&lt;&gt;"None")),1,0)</f>
        <v>0</v>
      </c>
      <c r="B29" t="str">
        <f>IF($A29=1,SUM($A$2:$A29),"")</f>
        <v/>
      </c>
      <c r="C29">
        <f>IF($A29=1,SUM($A$2:$A29),0)</f>
        <v>0</v>
      </c>
    </row>
    <row r="30" spans="1:3" x14ac:dyDescent="0.3">
      <c r="A30">
        <f>IF(AND(OR(Query!$B$4="All",'Compliance Database'!$A30=Query!$B$4),OR(Query!$B$5="All",ISNUMBER(SEARCH(Query!$B$5,'Compliance Database'!$H30))),OR(Query!$B$6="All",ISNUMBER(SEARCH(Query!$B$6,'Compliance Database'!$I30))),OR(Query!$B$7="All",'Compliance Database'!$F30=Query!$B$7),OR(Query!$B$8="All",'Compliance Database'!$J30=Query!$B$8),OR(Query!$B$9="",ISNUMBER(SEARCH(Query!$B$9,'Compliance Database'!$D30&amp;" "&amp;'Compliance Database'!$K30&amp;" "&amp;'Compliance Database'!$L30&amp;" "&amp;'Compliance Database'!$M30&amp;" "&amp;'Compliance Database'!$N30&amp;" "&amp;'Compliance Database'!$O30))),OR(Query!$B$10&lt;&gt;"Yes",'Compliance Database'!$F30&lt;&gt;"None")),1,0)</f>
        <v>0</v>
      </c>
      <c r="B30" t="str">
        <f>IF($A30=1,SUM($A$2:$A30),"")</f>
        <v/>
      </c>
      <c r="C30">
        <f>IF($A30=1,SUM($A$2:$A30),0)</f>
        <v>0</v>
      </c>
    </row>
    <row r="31" spans="1:3" x14ac:dyDescent="0.3">
      <c r="A31">
        <f>IF(AND(OR(Query!$B$4="All",'Compliance Database'!$A31=Query!$B$4),OR(Query!$B$5="All",ISNUMBER(SEARCH(Query!$B$5,'Compliance Database'!$H31))),OR(Query!$B$6="All",ISNUMBER(SEARCH(Query!$B$6,'Compliance Database'!$I31))),OR(Query!$B$7="All",'Compliance Database'!$F31=Query!$B$7),OR(Query!$B$8="All",'Compliance Database'!$J31=Query!$B$8),OR(Query!$B$9="",ISNUMBER(SEARCH(Query!$B$9,'Compliance Database'!$D31&amp;" "&amp;'Compliance Database'!$K31&amp;" "&amp;'Compliance Database'!$L31&amp;" "&amp;'Compliance Database'!$M31&amp;" "&amp;'Compliance Database'!$N31&amp;" "&amp;'Compliance Database'!$O31))),OR(Query!$B$10&lt;&gt;"Yes",'Compliance Database'!$F31&lt;&gt;"None")),1,0)</f>
        <v>0</v>
      </c>
      <c r="B31" t="str">
        <f>IF($A31=1,SUM($A$2:$A31),"")</f>
        <v/>
      </c>
      <c r="C31">
        <f>IF($A31=1,SUM($A$2:$A31),0)</f>
        <v>0</v>
      </c>
    </row>
    <row r="32" spans="1:3" x14ac:dyDescent="0.3">
      <c r="A32">
        <f>IF(AND(OR(Query!$B$4="All",'Compliance Database'!$A32=Query!$B$4),OR(Query!$B$5="All",ISNUMBER(SEARCH(Query!$B$5,'Compliance Database'!$H32))),OR(Query!$B$6="All",ISNUMBER(SEARCH(Query!$B$6,'Compliance Database'!$I32))),OR(Query!$B$7="All",'Compliance Database'!$F32=Query!$B$7),OR(Query!$B$8="All",'Compliance Database'!$J32=Query!$B$8),OR(Query!$B$9="",ISNUMBER(SEARCH(Query!$B$9,'Compliance Database'!$D32&amp;" "&amp;'Compliance Database'!$K32&amp;" "&amp;'Compliance Database'!$L32&amp;" "&amp;'Compliance Database'!$M32&amp;" "&amp;'Compliance Database'!$N32&amp;" "&amp;'Compliance Database'!$O32))),OR(Query!$B$10&lt;&gt;"Yes",'Compliance Database'!$F32&lt;&gt;"None")),1,0)</f>
        <v>0</v>
      </c>
      <c r="B32" t="str">
        <f>IF($A32=1,SUM($A$2:$A32),"")</f>
        <v/>
      </c>
      <c r="C32">
        <f>IF($A32=1,SUM($A$2:$A32),0)</f>
        <v>0</v>
      </c>
    </row>
    <row r="33" spans="1:3" x14ac:dyDescent="0.3">
      <c r="A33">
        <f>IF(AND(OR(Query!$B$4="All",'Compliance Database'!$A33=Query!$B$4),OR(Query!$B$5="All",ISNUMBER(SEARCH(Query!$B$5,'Compliance Database'!$H33))),OR(Query!$B$6="All",ISNUMBER(SEARCH(Query!$B$6,'Compliance Database'!$I33))),OR(Query!$B$7="All",'Compliance Database'!$F33=Query!$B$7),OR(Query!$B$8="All",'Compliance Database'!$J33=Query!$B$8),OR(Query!$B$9="",ISNUMBER(SEARCH(Query!$B$9,'Compliance Database'!$D33&amp;" "&amp;'Compliance Database'!$K33&amp;" "&amp;'Compliance Database'!$L33&amp;" "&amp;'Compliance Database'!$M33&amp;" "&amp;'Compliance Database'!$N33&amp;" "&amp;'Compliance Database'!$O33))),OR(Query!$B$10&lt;&gt;"Yes",'Compliance Database'!$F33&lt;&gt;"None")),1,0)</f>
        <v>0</v>
      </c>
      <c r="B33" t="str">
        <f>IF($A33=1,SUM($A$2:$A33),"")</f>
        <v/>
      </c>
      <c r="C33">
        <f>IF($A33=1,SUM($A$2:$A33),0)</f>
        <v>0</v>
      </c>
    </row>
    <row r="34" spans="1:3" x14ac:dyDescent="0.3">
      <c r="A34">
        <f>IF(AND(OR(Query!$B$4="All",'Compliance Database'!$A34=Query!$B$4),OR(Query!$B$5="All",ISNUMBER(SEARCH(Query!$B$5,'Compliance Database'!$H34))),OR(Query!$B$6="All",ISNUMBER(SEARCH(Query!$B$6,'Compliance Database'!$I34))),OR(Query!$B$7="All",'Compliance Database'!$F34=Query!$B$7),OR(Query!$B$8="All",'Compliance Database'!$J34=Query!$B$8),OR(Query!$B$9="",ISNUMBER(SEARCH(Query!$B$9,'Compliance Database'!$D34&amp;" "&amp;'Compliance Database'!$K34&amp;" "&amp;'Compliance Database'!$L34&amp;" "&amp;'Compliance Database'!$M34&amp;" "&amp;'Compliance Database'!$N34&amp;" "&amp;'Compliance Database'!$O34))),OR(Query!$B$10&lt;&gt;"Yes",'Compliance Database'!$F34&lt;&gt;"None")),1,0)</f>
        <v>0</v>
      </c>
      <c r="B34" t="str">
        <f>IF($A34=1,SUM($A$2:$A34),"")</f>
        <v/>
      </c>
      <c r="C34">
        <f>IF($A34=1,SUM($A$2:$A34),0)</f>
        <v>0</v>
      </c>
    </row>
    <row r="35" spans="1:3" x14ac:dyDescent="0.3">
      <c r="A35">
        <f>IF(AND(OR(Query!$B$4="All",'Compliance Database'!$A35=Query!$B$4),OR(Query!$B$5="All",ISNUMBER(SEARCH(Query!$B$5,'Compliance Database'!$H35))),OR(Query!$B$6="All",ISNUMBER(SEARCH(Query!$B$6,'Compliance Database'!$I35))),OR(Query!$B$7="All",'Compliance Database'!$F35=Query!$B$7),OR(Query!$B$8="All",'Compliance Database'!$J35=Query!$B$8),OR(Query!$B$9="",ISNUMBER(SEARCH(Query!$B$9,'Compliance Database'!$D35&amp;" "&amp;'Compliance Database'!$K35&amp;" "&amp;'Compliance Database'!$L35&amp;" "&amp;'Compliance Database'!$M35&amp;" "&amp;'Compliance Database'!$N35&amp;" "&amp;'Compliance Database'!$O35))),OR(Query!$B$10&lt;&gt;"Yes",'Compliance Database'!$F35&lt;&gt;"None")),1,0)</f>
        <v>0</v>
      </c>
      <c r="B35" t="str">
        <f>IF($A35=1,SUM($A$2:$A35),"")</f>
        <v/>
      </c>
      <c r="C35">
        <f>IF($A35=1,SUM($A$2:$A35),0)</f>
        <v>0</v>
      </c>
    </row>
    <row r="36" spans="1:3" x14ac:dyDescent="0.3">
      <c r="A36">
        <f>IF(AND(OR(Query!$B$4="All",'Compliance Database'!$A36=Query!$B$4),OR(Query!$B$5="All",ISNUMBER(SEARCH(Query!$B$5,'Compliance Database'!$H36))),OR(Query!$B$6="All",ISNUMBER(SEARCH(Query!$B$6,'Compliance Database'!$I36))),OR(Query!$B$7="All",'Compliance Database'!$F36=Query!$B$7),OR(Query!$B$8="All",'Compliance Database'!$J36=Query!$B$8),OR(Query!$B$9="",ISNUMBER(SEARCH(Query!$B$9,'Compliance Database'!$D36&amp;" "&amp;'Compliance Database'!$K36&amp;" "&amp;'Compliance Database'!$L36&amp;" "&amp;'Compliance Database'!$M36&amp;" "&amp;'Compliance Database'!$N36&amp;" "&amp;'Compliance Database'!$O36))),OR(Query!$B$10&lt;&gt;"Yes",'Compliance Database'!$F36&lt;&gt;"None")),1,0)</f>
        <v>0</v>
      </c>
      <c r="B36" t="str">
        <f>IF($A36=1,SUM($A$2:$A36),"")</f>
        <v/>
      </c>
      <c r="C36">
        <f>IF($A36=1,SUM($A$2:$A36),0)</f>
        <v>0</v>
      </c>
    </row>
    <row r="37" spans="1:3" x14ac:dyDescent="0.3">
      <c r="A37">
        <f>IF(AND(OR(Query!$B$4="All",'Compliance Database'!$A37=Query!$B$4),OR(Query!$B$5="All",ISNUMBER(SEARCH(Query!$B$5,'Compliance Database'!$H37))),OR(Query!$B$6="All",ISNUMBER(SEARCH(Query!$B$6,'Compliance Database'!$I37))),OR(Query!$B$7="All",'Compliance Database'!$F37=Query!$B$7),OR(Query!$B$8="All",'Compliance Database'!$J37=Query!$B$8),OR(Query!$B$9="",ISNUMBER(SEARCH(Query!$B$9,'Compliance Database'!$D37&amp;" "&amp;'Compliance Database'!$K37&amp;" "&amp;'Compliance Database'!$L37&amp;" "&amp;'Compliance Database'!$M37&amp;" "&amp;'Compliance Database'!$N37&amp;" "&amp;'Compliance Database'!$O37))),OR(Query!$B$10&lt;&gt;"Yes",'Compliance Database'!$F37&lt;&gt;"None")),1,0)</f>
        <v>0</v>
      </c>
      <c r="B37" t="str">
        <f>IF($A37=1,SUM($A$2:$A37),"")</f>
        <v/>
      </c>
      <c r="C37">
        <f>IF($A37=1,SUM($A$2:$A37),0)</f>
        <v>0</v>
      </c>
    </row>
    <row r="38" spans="1:3" x14ac:dyDescent="0.3">
      <c r="A38">
        <f>IF(AND(OR(Query!$B$4="All",'Compliance Database'!$A38=Query!$B$4),OR(Query!$B$5="All",ISNUMBER(SEARCH(Query!$B$5,'Compliance Database'!$H38))),OR(Query!$B$6="All",ISNUMBER(SEARCH(Query!$B$6,'Compliance Database'!$I38))),OR(Query!$B$7="All",'Compliance Database'!$F38=Query!$B$7),OR(Query!$B$8="All",'Compliance Database'!$J38=Query!$B$8),OR(Query!$B$9="",ISNUMBER(SEARCH(Query!$B$9,'Compliance Database'!$D38&amp;" "&amp;'Compliance Database'!$K38&amp;" "&amp;'Compliance Database'!$L38&amp;" "&amp;'Compliance Database'!$M38&amp;" "&amp;'Compliance Database'!$N38&amp;" "&amp;'Compliance Database'!$O38))),OR(Query!$B$10&lt;&gt;"Yes",'Compliance Database'!$F38&lt;&gt;"None")),1,0)</f>
        <v>0</v>
      </c>
      <c r="B38" t="str">
        <f>IF($A38=1,SUM($A$2:$A38),"")</f>
        <v/>
      </c>
      <c r="C38">
        <f>IF($A38=1,SUM($A$2:$A38),0)</f>
        <v>0</v>
      </c>
    </row>
    <row r="39" spans="1:3" x14ac:dyDescent="0.3">
      <c r="A39">
        <f>IF(AND(OR(Query!$B$4="All",'Compliance Database'!$A39=Query!$B$4),OR(Query!$B$5="All",ISNUMBER(SEARCH(Query!$B$5,'Compliance Database'!$H39))),OR(Query!$B$6="All",ISNUMBER(SEARCH(Query!$B$6,'Compliance Database'!$I39))),OR(Query!$B$7="All",'Compliance Database'!$F39=Query!$B$7),OR(Query!$B$8="All",'Compliance Database'!$J39=Query!$B$8),OR(Query!$B$9="",ISNUMBER(SEARCH(Query!$B$9,'Compliance Database'!$D39&amp;" "&amp;'Compliance Database'!$K39&amp;" "&amp;'Compliance Database'!$L39&amp;" "&amp;'Compliance Database'!$M39&amp;" "&amp;'Compliance Database'!$N39&amp;" "&amp;'Compliance Database'!$O39))),OR(Query!$B$10&lt;&gt;"Yes",'Compliance Database'!$F39&lt;&gt;"None")),1,0)</f>
        <v>0</v>
      </c>
      <c r="B39" t="str">
        <f>IF($A39=1,SUM($A$2:$A39),"")</f>
        <v/>
      </c>
      <c r="C39">
        <f>IF($A39=1,SUM($A$2:$A39),0)</f>
        <v>0</v>
      </c>
    </row>
    <row r="40" spans="1:3" x14ac:dyDescent="0.3">
      <c r="A40">
        <f>IF(AND(OR(Query!$B$4="All",'Compliance Database'!$A40=Query!$B$4),OR(Query!$B$5="All",ISNUMBER(SEARCH(Query!$B$5,'Compliance Database'!$H40))),OR(Query!$B$6="All",ISNUMBER(SEARCH(Query!$B$6,'Compliance Database'!$I40))),OR(Query!$B$7="All",'Compliance Database'!$F40=Query!$B$7),OR(Query!$B$8="All",'Compliance Database'!$J40=Query!$B$8),OR(Query!$B$9="",ISNUMBER(SEARCH(Query!$B$9,'Compliance Database'!$D40&amp;" "&amp;'Compliance Database'!$K40&amp;" "&amp;'Compliance Database'!$L40&amp;" "&amp;'Compliance Database'!$M40&amp;" "&amp;'Compliance Database'!$N40&amp;" "&amp;'Compliance Database'!$O40))),OR(Query!$B$10&lt;&gt;"Yes",'Compliance Database'!$F40&lt;&gt;"None")),1,0)</f>
        <v>0</v>
      </c>
      <c r="B40" t="str">
        <f>IF($A40=1,SUM($A$2:$A40),"")</f>
        <v/>
      </c>
      <c r="C40">
        <f>IF($A40=1,SUM($A$2:$A40),0)</f>
        <v>0</v>
      </c>
    </row>
    <row r="41" spans="1:3" x14ac:dyDescent="0.3">
      <c r="A41">
        <f>IF(AND(OR(Query!$B$4="All",'Compliance Database'!$A41=Query!$B$4),OR(Query!$B$5="All",ISNUMBER(SEARCH(Query!$B$5,'Compliance Database'!$H41))),OR(Query!$B$6="All",ISNUMBER(SEARCH(Query!$B$6,'Compliance Database'!$I41))),OR(Query!$B$7="All",'Compliance Database'!$F41=Query!$B$7),OR(Query!$B$8="All",'Compliance Database'!$J41=Query!$B$8),OR(Query!$B$9="",ISNUMBER(SEARCH(Query!$B$9,'Compliance Database'!$D41&amp;" "&amp;'Compliance Database'!$K41&amp;" "&amp;'Compliance Database'!$L41&amp;" "&amp;'Compliance Database'!$M41&amp;" "&amp;'Compliance Database'!$N41&amp;" "&amp;'Compliance Database'!$O41))),OR(Query!$B$10&lt;&gt;"Yes",'Compliance Database'!$F41&lt;&gt;"None")),1,0)</f>
        <v>0</v>
      </c>
      <c r="B41" t="str">
        <f>IF($A41=1,SUM($A$2:$A41),"")</f>
        <v/>
      </c>
      <c r="C41">
        <f>IF($A41=1,SUM($A$2:$A41),0)</f>
        <v>0</v>
      </c>
    </row>
    <row r="42" spans="1:3" x14ac:dyDescent="0.3">
      <c r="A42">
        <f>IF(AND(OR(Query!$B$4="All",'Compliance Database'!$A42=Query!$B$4),OR(Query!$B$5="All",ISNUMBER(SEARCH(Query!$B$5,'Compliance Database'!$H42))),OR(Query!$B$6="All",ISNUMBER(SEARCH(Query!$B$6,'Compliance Database'!$I42))),OR(Query!$B$7="All",'Compliance Database'!$F42=Query!$B$7),OR(Query!$B$8="All",'Compliance Database'!$J42=Query!$B$8),OR(Query!$B$9="",ISNUMBER(SEARCH(Query!$B$9,'Compliance Database'!$D42&amp;" "&amp;'Compliance Database'!$K42&amp;" "&amp;'Compliance Database'!$L42&amp;" "&amp;'Compliance Database'!$M42&amp;" "&amp;'Compliance Database'!$N42&amp;" "&amp;'Compliance Database'!$O42))),OR(Query!$B$10&lt;&gt;"Yes",'Compliance Database'!$F42&lt;&gt;"None")),1,0)</f>
        <v>0</v>
      </c>
      <c r="B42" t="str">
        <f>IF($A42=1,SUM($A$2:$A42),"")</f>
        <v/>
      </c>
      <c r="C42">
        <f>IF($A42=1,SUM($A$2:$A42),0)</f>
        <v>0</v>
      </c>
    </row>
    <row r="43" spans="1:3" x14ac:dyDescent="0.3">
      <c r="A43">
        <f>IF(AND(OR(Query!$B$4="All",'Compliance Database'!$A43=Query!$B$4),OR(Query!$B$5="All",ISNUMBER(SEARCH(Query!$B$5,'Compliance Database'!$H43))),OR(Query!$B$6="All",ISNUMBER(SEARCH(Query!$B$6,'Compliance Database'!$I43))),OR(Query!$B$7="All",'Compliance Database'!$F43=Query!$B$7),OR(Query!$B$8="All",'Compliance Database'!$J43=Query!$B$8),OR(Query!$B$9="",ISNUMBER(SEARCH(Query!$B$9,'Compliance Database'!$D43&amp;" "&amp;'Compliance Database'!$K43&amp;" "&amp;'Compliance Database'!$L43&amp;" "&amp;'Compliance Database'!$M43&amp;" "&amp;'Compliance Database'!$N43&amp;" "&amp;'Compliance Database'!$O43))),OR(Query!$B$10&lt;&gt;"Yes",'Compliance Database'!$F43&lt;&gt;"None")),1,0)</f>
        <v>0</v>
      </c>
      <c r="B43" t="str">
        <f>IF($A43=1,SUM($A$2:$A43),"")</f>
        <v/>
      </c>
      <c r="C43">
        <f>IF($A43=1,SUM($A$2:$A43),0)</f>
        <v>0</v>
      </c>
    </row>
    <row r="44" spans="1:3" x14ac:dyDescent="0.3">
      <c r="A44">
        <f>IF(AND(OR(Query!$B$4="All",'Compliance Database'!$A44=Query!$B$4),OR(Query!$B$5="All",ISNUMBER(SEARCH(Query!$B$5,'Compliance Database'!$H44))),OR(Query!$B$6="All",ISNUMBER(SEARCH(Query!$B$6,'Compliance Database'!$I44))),OR(Query!$B$7="All",'Compliance Database'!$F44=Query!$B$7),OR(Query!$B$8="All",'Compliance Database'!$J44=Query!$B$8),OR(Query!$B$9="",ISNUMBER(SEARCH(Query!$B$9,'Compliance Database'!$D44&amp;" "&amp;'Compliance Database'!$K44&amp;" "&amp;'Compliance Database'!$L44&amp;" "&amp;'Compliance Database'!$M44&amp;" "&amp;'Compliance Database'!$N44&amp;" "&amp;'Compliance Database'!$O44))),OR(Query!$B$10&lt;&gt;"Yes",'Compliance Database'!$F44&lt;&gt;"None")),1,0)</f>
        <v>0</v>
      </c>
      <c r="B44" t="str">
        <f>IF($A44=1,SUM($A$2:$A44),"")</f>
        <v/>
      </c>
      <c r="C44">
        <f>IF($A44=1,SUM($A$2:$A44),0)</f>
        <v>0</v>
      </c>
    </row>
    <row r="45" spans="1:3" x14ac:dyDescent="0.3">
      <c r="A45">
        <f>IF(AND(OR(Query!$B$4="All",'Compliance Database'!$A45=Query!$B$4),OR(Query!$B$5="All",ISNUMBER(SEARCH(Query!$B$5,'Compliance Database'!$H45))),OR(Query!$B$6="All",ISNUMBER(SEARCH(Query!$B$6,'Compliance Database'!$I45))),OR(Query!$B$7="All",'Compliance Database'!$F45=Query!$B$7),OR(Query!$B$8="All",'Compliance Database'!$J45=Query!$B$8),OR(Query!$B$9="",ISNUMBER(SEARCH(Query!$B$9,'Compliance Database'!$D45&amp;" "&amp;'Compliance Database'!$K45&amp;" "&amp;'Compliance Database'!$L45&amp;" "&amp;'Compliance Database'!$M45&amp;" "&amp;'Compliance Database'!$N45&amp;" "&amp;'Compliance Database'!$O45))),OR(Query!$B$10&lt;&gt;"Yes",'Compliance Database'!$F45&lt;&gt;"None")),1,0)</f>
        <v>0</v>
      </c>
      <c r="B45" t="str">
        <f>IF($A45=1,SUM($A$2:$A45),"")</f>
        <v/>
      </c>
      <c r="C45">
        <f>IF($A45=1,SUM($A$2:$A45),0)</f>
        <v>0</v>
      </c>
    </row>
    <row r="46" spans="1:3" x14ac:dyDescent="0.3">
      <c r="A46">
        <f>IF(AND(OR(Query!$B$4="All",'Compliance Database'!$A46=Query!$B$4),OR(Query!$B$5="All",ISNUMBER(SEARCH(Query!$B$5,'Compliance Database'!$H46))),OR(Query!$B$6="All",ISNUMBER(SEARCH(Query!$B$6,'Compliance Database'!$I46))),OR(Query!$B$7="All",'Compliance Database'!$F46=Query!$B$7),OR(Query!$B$8="All",'Compliance Database'!$J46=Query!$B$8),OR(Query!$B$9="",ISNUMBER(SEARCH(Query!$B$9,'Compliance Database'!$D46&amp;" "&amp;'Compliance Database'!$K46&amp;" "&amp;'Compliance Database'!$L46&amp;" "&amp;'Compliance Database'!$M46&amp;" "&amp;'Compliance Database'!$N46&amp;" "&amp;'Compliance Database'!$O46))),OR(Query!$B$10&lt;&gt;"Yes",'Compliance Database'!$F46&lt;&gt;"None")),1,0)</f>
        <v>0</v>
      </c>
      <c r="B46" t="str">
        <f>IF($A46=1,SUM($A$2:$A46),"")</f>
        <v/>
      </c>
      <c r="C46">
        <f>IF($A46=1,SUM($A$2:$A46),0)</f>
        <v>0</v>
      </c>
    </row>
    <row r="47" spans="1:3" x14ac:dyDescent="0.3">
      <c r="A47">
        <f>IF(AND(OR(Query!$B$4="All",'Compliance Database'!$A47=Query!$B$4),OR(Query!$B$5="All",ISNUMBER(SEARCH(Query!$B$5,'Compliance Database'!$H47))),OR(Query!$B$6="All",ISNUMBER(SEARCH(Query!$B$6,'Compliance Database'!$I47))),OR(Query!$B$7="All",'Compliance Database'!$F47=Query!$B$7),OR(Query!$B$8="All",'Compliance Database'!$J47=Query!$B$8),OR(Query!$B$9="",ISNUMBER(SEARCH(Query!$B$9,'Compliance Database'!$D47&amp;" "&amp;'Compliance Database'!$K47&amp;" "&amp;'Compliance Database'!$L47&amp;" "&amp;'Compliance Database'!$M47&amp;" "&amp;'Compliance Database'!$N47&amp;" "&amp;'Compliance Database'!$O47))),OR(Query!$B$10&lt;&gt;"Yes",'Compliance Database'!$F47&lt;&gt;"None")),1,0)</f>
        <v>0</v>
      </c>
      <c r="B47" t="str">
        <f>IF($A47=1,SUM($A$2:$A47),"")</f>
        <v/>
      </c>
      <c r="C47">
        <f>IF($A47=1,SUM($A$2:$A47),0)</f>
        <v>0</v>
      </c>
    </row>
    <row r="48" spans="1:3" x14ac:dyDescent="0.3">
      <c r="A48">
        <f>IF(AND(OR(Query!$B$4="All",'Compliance Database'!$A48=Query!$B$4),OR(Query!$B$5="All",ISNUMBER(SEARCH(Query!$B$5,'Compliance Database'!$H48))),OR(Query!$B$6="All",ISNUMBER(SEARCH(Query!$B$6,'Compliance Database'!$I48))),OR(Query!$B$7="All",'Compliance Database'!$F48=Query!$B$7),OR(Query!$B$8="All",'Compliance Database'!$J48=Query!$B$8),OR(Query!$B$9="",ISNUMBER(SEARCH(Query!$B$9,'Compliance Database'!$D48&amp;" "&amp;'Compliance Database'!$K48&amp;" "&amp;'Compliance Database'!$L48&amp;" "&amp;'Compliance Database'!$M48&amp;" "&amp;'Compliance Database'!$N48&amp;" "&amp;'Compliance Database'!$O48))),OR(Query!$B$10&lt;&gt;"Yes",'Compliance Database'!$F48&lt;&gt;"None")),1,0)</f>
        <v>0</v>
      </c>
      <c r="B48" t="str">
        <f>IF($A48=1,SUM($A$2:$A48),"")</f>
        <v/>
      </c>
      <c r="C48">
        <f>IF($A48=1,SUM($A$2:$A48),0)</f>
        <v>0</v>
      </c>
    </row>
    <row r="49" spans="1:3" x14ac:dyDescent="0.3">
      <c r="A49">
        <f>IF(AND(OR(Query!$B$4="All",'Compliance Database'!$A49=Query!$B$4),OR(Query!$B$5="All",ISNUMBER(SEARCH(Query!$B$5,'Compliance Database'!$H49))),OR(Query!$B$6="All",ISNUMBER(SEARCH(Query!$B$6,'Compliance Database'!$I49))),OR(Query!$B$7="All",'Compliance Database'!$F49=Query!$B$7),OR(Query!$B$8="All",'Compliance Database'!$J49=Query!$B$8),OR(Query!$B$9="",ISNUMBER(SEARCH(Query!$B$9,'Compliance Database'!$D49&amp;" "&amp;'Compliance Database'!$K49&amp;" "&amp;'Compliance Database'!$L49&amp;" "&amp;'Compliance Database'!$M49&amp;" "&amp;'Compliance Database'!$N49&amp;" "&amp;'Compliance Database'!$O49))),OR(Query!$B$10&lt;&gt;"Yes",'Compliance Database'!$F49&lt;&gt;"None")),1,0)</f>
        <v>0</v>
      </c>
      <c r="B49" t="str">
        <f>IF($A49=1,SUM($A$2:$A49),"")</f>
        <v/>
      </c>
      <c r="C49">
        <f>IF($A49=1,SUM($A$2:$A49),0)</f>
        <v>0</v>
      </c>
    </row>
    <row r="50" spans="1:3" x14ac:dyDescent="0.3">
      <c r="A50">
        <f>IF(AND(OR(Query!$B$4="All",'Compliance Database'!$A50=Query!$B$4),OR(Query!$B$5="All",ISNUMBER(SEARCH(Query!$B$5,'Compliance Database'!$H50))),OR(Query!$B$6="All",ISNUMBER(SEARCH(Query!$B$6,'Compliance Database'!$I50))),OR(Query!$B$7="All",'Compliance Database'!$F50=Query!$B$7),OR(Query!$B$8="All",'Compliance Database'!$J50=Query!$B$8),OR(Query!$B$9="",ISNUMBER(SEARCH(Query!$B$9,'Compliance Database'!$D50&amp;" "&amp;'Compliance Database'!$K50&amp;" "&amp;'Compliance Database'!$L50&amp;" "&amp;'Compliance Database'!$M50&amp;" "&amp;'Compliance Database'!$N50&amp;" "&amp;'Compliance Database'!$O50))),OR(Query!$B$10&lt;&gt;"Yes",'Compliance Database'!$F50&lt;&gt;"None")),1,0)</f>
        <v>0</v>
      </c>
      <c r="B50" t="str">
        <f>IF($A50=1,SUM($A$2:$A50),"")</f>
        <v/>
      </c>
      <c r="C50">
        <f>IF($A50=1,SUM($A$2:$A50),0)</f>
        <v>0</v>
      </c>
    </row>
    <row r="51" spans="1:3" x14ac:dyDescent="0.3">
      <c r="A51">
        <f>IF(AND(OR(Query!$B$4="All",'Compliance Database'!$A51=Query!$B$4),OR(Query!$B$5="All",ISNUMBER(SEARCH(Query!$B$5,'Compliance Database'!$H51))),OR(Query!$B$6="All",ISNUMBER(SEARCH(Query!$B$6,'Compliance Database'!$I51))),OR(Query!$B$7="All",'Compliance Database'!$F51=Query!$B$7),OR(Query!$B$8="All",'Compliance Database'!$J51=Query!$B$8),OR(Query!$B$9="",ISNUMBER(SEARCH(Query!$B$9,'Compliance Database'!$D51&amp;" "&amp;'Compliance Database'!$K51&amp;" "&amp;'Compliance Database'!$L51&amp;" "&amp;'Compliance Database'!$M51&amp;" "&amp;'Compliance Database'!$N51&amp;" "&amp;'Compliance Database'!$O51))),OR(Query!$B$10&lt;&gt;"Yes",'Compliance Database'!$F51&lt;&gt;"None")),1,0)</f>
        <v>0</v>
      </c>
      <c r="B51" t="str">
        <f>IF($A51=1,SUM($A$2:$A51),"")</f>
        <v/>
      </c>
      <c r="C51">
        <f>IF($A51=1,SUM($A$2:$A51),0)</f>
        <v>0</v>
      </c>
    </row>
    <row r="52" spans="1:3" x14ac:dyDescent="0.3">
      <c r="A52">
        <f>IF(AND(OR(Query!$B$4="All",'Compliance Database'!$A52=Query!$B$4),OR(Query!$B$5="All",ISNUMBER(SEARCH(Query!$B$5,'Compliance Database'!$H52))),OR(Query!$B$6="All",ISNUMBER(SEARCH(Query!$B$6,'Compliance Database'!$I52))),OR(Query!$B$7="All",'Compliance Database'!$F52=Query!$B$7),OR(Query!$B$8="All",'Compliance Database'!$J52=Query!$B$8),OR(Query!$B$9="",ISNUMBER(SEARCH(Query!$B$9,'Compliance Database'!$D52&amp;" "&amp;'Compliance Database'!$K52&amp;" "&amp;'Compliance Database'!$L52&amp;" "&amp;'Compliance Database'!$M52&amp;" "&amp;'Compliance Database'!$N52&amp;" "&amp;'Compliance Database'!$O52))),OR(Query!$B$10&lt;&gt;"Yes",'Compliance Database'!$F52&lt;&gt;"None")),1,0)</f>
        <v>0</v>
      </c>
      <c r="B52" t="str">
        <f>IF($A52=1,SUM($A$2:$A52),"")</f>
        <v/>
      </c>
      <c r="C52">
        <f>IF($A52=1,SUM($A$2:$A52),0)</f>
        <v>0</v>
      </c>
    </row>
    <row r="53" spans="1:3" x14ac:dyDescent="0.3">
      <c r="A53">
        <f>IF(AND(OR(Query!$B$4="All",'Compliance Database'!$A53=Query!$B$4),OR(Query!$B$5="All",ISNUMBER(SEARCH(Query!$B$5,'Compliance Database'!$H53))),OR(Query!$B$6="All",ISNUMBER(SEARCH(Query!$B$6,'Compliance Database'!$I53))),OR(Query!$B$7="All",'Compliance Database'!$F53=Query!$B$7),OR(Query!$B$8="All",'Compliance Database'!$J53=Query!$B$8),OR(Query!$B$9="",ISNUMBER(SEARCH(Query!$B$9,'Compliance Database'!$D53&amp;" "&amp;'Compliance Database'!$K53&amp;" "&amp;'Compliance Database'!$L53&amp;" "&amp;'Compliance Database'!$M53&amp;" "&amp;'Compliance Database'!$N53&amp;" "&amp;'Compliance Database'!$O53))),OR(Query!$B$10&lt;&gt;"Yes",'Compliance Database'!$F53&lt;&gt;"None")),1,0)</f>
        <v>0</v>
      </c>
      <c r="B53" t="str">
        <f>IF($A53=1,SUM($A$2:$A53),"")</f>
        <v/>
      </c>
      <c r="C53">
        <f>IF($A53=1,SUM($A$2:$A53),0)</f>
        <v>0</v>
      </c>
    </row>
    <row r="54" spans="1:3" x14ac:dyDescent="0.3">
      <c r="A54">
        <f>IF(AND(OR(Query!$B$4="All",'Compliance Database'!$A54=Query!$B$4),OR(Query!$B$5="All",ISNUMBER(SEARCH(Query!$B$5,'Compliance Database'!$H54))),OR(Query!$B$6="All",ISNUMBER(SEARCH(Query!$B$6,'Compliance Database'!$I54))),OR(Query!$B$7="All",'Compliance Database'!$F54=Query!$B$7),OR(Query!$B$8="All",'Compliance Database'!$J54=Query!$B$8),OR(Query!$B$9="",ISNUMBER(SEARCH(Query!$B$9,'Compliance Database'!$D54&amp;" "&amp;'Compliance Database'!$K54&amp;" "&amp;'Compliance Database'!$L54&amp;" "&amp;'Compliance Database'!$M54&amp;" "&amp;'Compliance Database'!$N54&amp;" "&amp;'Compliance Database'!$O54))),OR(Query!$B$10&lt;&gt;"Yes",'Compliance Database'!$F54&lt;&gt;"None")),1,0)</f>
        <v>0</v>
      </c>
      <c r="B54" t="str">
        <f>IF($A54=1,SUM($A$2:$A54),"")</f>
        <v/>
      </c>
      <c r="C54">
        <f>IF($A54=1,SUM($A$2:$A54),0)</f>
        <v>0</v>
      </c>
    </row>
    <row r="55" spans="1:3" x14ac:dyDescent="0.3">
      <c r="A55">
        <f>IF(AND(OR(Query!$B$4="All",'Compliance Database'!$A55=Query!$B$4),OR(Query!$B$5="All",ISNUMBER(SEARCH(Query!$B$5,'Compliance Database'!$H55))),OR(Query!$B$6="All",ISNUMBER(SEARCH(Query!$B$6,'Compliance Database'!$I55))),OR(Query!$B$7="All",'Compliance Database'!$F55=Query!$B$7),OR(Query!$B$8="All",'Compliance Database'!$J55=Query!$B$8),OR(Query!$B$9="",ISNUMBER(SEARCH(Query!$B$9,'Compliance Database'!$D55&amp;" "&amp;'Compliance Database'!$K55&amp;" "&amp;'Compliance Database'!$L55&amp;" "&amp;'Compliance Database'!$M55&amp;" "&amp;'Compliance Database'!$N55&amp;" "&amp;'Compliance Database'!$O55))),OR(Query!$B$10&lt;&gt;"Yes",'Compliance Database'!$F55&lt;&gt;"None")),1,0)</f>
        <v>0</v>
      </c>
      <c r="B55" t="str">
        <f>IF($A55=1,SUM($A$2:$A55),"")</f>
        <v/>
      </c>
      <c r="C55">
        <f>IF($A55=1,SUM($A$2:$A55),0)</f>
        <v>0</v>
      </c>
    </row>
    <row r="56" spans="1:3" x14ac:dyDescent="0.3">
      <c r="A56">
        <f>IF(AND(OR(Query!$B$4="All",'Compliance Database'!$A56=Query!$B$4),OR(Query!$B$5="All",ISNUMBER(SEARCH(Query!$B$5,'Compliance Database'!$H56))),OR(Query!$B$6="All",ISNUMBER(SEARCH(Query!$B$6,'Compliance Database'!$I56))),OR(Query!$B$7="All",'Compliance Database'!$F56=Query!$B$7),OR(Query!$B$8="All",'Compliance Database'!$J56=Query!$B$8),OR(Query!$B$9="",ISNUMBER(SEARCH(Query!$B$9,'Compliance Database'!$D56&amp;" "&amp;'Compliance Database'!$K56&amp;" "&amp;'Compliance Database'!$L56&amp;" "&amp;'Compliance Database'!$M56&amp;" "&amp;'Compliance Database'!$N56&amp;" "&amp;'Compliance Database'!$O56))),OR(Query!$B$10&lt;&gt;"Yes",'Compliance Database'!$F56&lt;&gt;"None")),1,0)</f>
        <v>0</v>
      </c>
      <c r="B56" t="str">
        <f>IF($A56=1,SUM($A$2:$A56),"")</f>
        <v/>
      </c>
      <c r="C56">
        <f>IF($A56=1,SUM($A$2:$A56),0)</f>
        <v>0</v>
      </c>
    </row>
    <row r="57" spans="1:3" x14ac:dyDescent="0.3">
      <c r="A57">
        <f>IF(AND(OR(Query!$B$4="All",'Compliance Database'!$A57=Query!$B$4),OR(Query!$B$5="All",ISNUMBER(SEARCH(Query!$B$5,'Compliance Database'!$H57))),OR(Query!$B$6="All",ISNUMBER(SEARCH(Query!$B$6,'Compliance Database'!$I57))),OR(Query!$B$7="All",'Compliance Database'!$F57=Query!$B$7),OR(Query!$B$8="All",'Compliance Database'!$J57=Query!$B$8),OR(Query!$B$9="",ISNUMBER(SEARCH(Query!$B$9,'Compliance Database'!$D57&amp;" "&amp;'Compliance Database'!$K57&amp;" "&amp;'Compliance Database'!$L57&amp;" "&amp;'Compliance Database'!$M57&amp;" "&amp;'Compliance Database'!$N57&amp;" "&amp;'Compliance Database'!$O57))),OR(Query!$B$10&lt;&gt;"Yes",'Compliance Database'!$F57&lt;&gt;"None")),1,0)</f>
        <v>0</v>
      </c>
      <c r="B57" t="str">
        <f>IF($A57=1,SUM($A$2:$A57),"")</f>
        <v/>
      </c>
      <c r="C57">
        <f>IF($A57=1,SUM($A$2:$A57),0)</f>
        <v>0</v>
      </c>
    </row>
    <row r="58" spans="1:3" x14ac:dyDescent="0.3">
      <c r="A58">
        <f>IF(AND(OR(Query!$B$4="All",'Compliance Database'!$A58=Query!$B$4),OR(Query!$B$5="All",ISNUMBER(SEARCH(Query!$B$5,'Compliance Database'!$H58))),OR(Query!$B$6="All",ISNUMBER(SEARCH(Query!$B$6,'Compliance Database'!$I58))),OR(Query!$B$7="All",'Compliance Database'!$F58=Query!$B$7),OR(Query!$B$8="All",'Compliance Database'!$J58=Query!$B$8),OR(Query!$B$9="",ISNUMBER(SEARCH(Query!$B$9,'Compliance Database'!$D58&amp;" "&amp;'Compliance Database'!$K58&amp;" "&amp;'Compliance Database'!$L58&amp;" "&amp;'Compliance Database'!$M58&amp;" "&amp;'Compliance Database'!$N58&amp;" "&amp;'Compliance Database'!$O58))),OR(Query!$B$10&lt;&gt;"Yes",'Compliance Database'!$F58&lt;&gt;"None")),1,0)</f>
        <v>0</v>
      </c>
      <c r="B58" t="str">
        <f>IF($A58=1,SUM($A$2:$A58),"")</f>
        <v/>
      </c>
      <c r="C58">
        <f>IF($A58=1,SUM($A$2:$A58),0)</f>
        <v>0</v>
      </c>
    </row>
    <row r="59" spans="1:3" x14ac:dyDescent="0.3">
      <c r="A59">
        <f>IF(AND(OR(Query!$B$4="All",'Compliance Database'!$A59=Query!$B$4),OR(Query!$B$5="All",ISNUMBER(SEARCH(Query!$B$5,'Compliance Database'!$H59))),OR(Query!$B$6="All",ISNUMBER(SEARCH(Query!$B$6,'Compliance Database'!$I59))),OR(Query!$B$7="All",'Compliance Database'!$F59=Query!$B$7),OR(Query!$B$8="All",'Compliance Database'!$J59=Query!$B$8),OR(Query!$B$9="",ISNUMBER(SEARCH(Query!$B$9,'Compliance Database'!$D59&amp;" "&amp;'Compliance Database'!$K59&amp;" "&amp;'Compliance Database'!$L59&amp;" "&amp;'Compliance Database'!$M59&amp;" "&amp;'Compliance Database'!$N59&amp;" "&amp;'Compliance Database'!$O59))),OR(Query!$B$10&lt;&gt;"Yes",'Compliance Database'!$F59&lt;&gt;"None")),1,0)</f>
        <v>0</v>
      </c>
      <c r="B59" t="str">
        <f>IF($A59=1,SUM($A$2:$A59),"")</f>
        <v/>
      </c>
      <c r="C59">
        <f>IF($A59=1,SUM($A$2:$A59),0)</f>
        <v>0</v>
      </c>
    </row>
    <row r="60" spans="1:3" x14ac:dyDescent="0.3">
      <c r="A60">
        <f>IF(AND(OR(Query!$B$4="All",'Compliance Database'!$A60=Query!$B$4),OR(Query!$B$5="All",ISNUMBER(SEARCH(Query!$B$5,'Compliance Database'!$H60))),OR(Query!$B$6="All",ISNUMBER(SEARCH(Query!$B$6,'Compliance Database'!$I60))),OR(Query!$B$7="All",'Compliance Database'!$F60=Query!$B$7),OR(Query!$B$8="All",'Compliance Database'!$J60=Query!$B$8),OR(Query!$B$9="",ISNUMBER(SEARCH(Query!$B$9,'Compliance Database'!$D60&amp;" "&amp;'Compliance Database'!$K60&amp;" "&amp;'Compliance Database'!$L60&amp;" "&amp;'Compliance Database'!$M60&amp;" "&amp;'Compliance Database'!$N60&amp;" "&amp;'Compliance Database'!$O60))),OR(Query!$B$10&lt;&gt;"Yes",'Compliance Database'!$F60&lt;&gt;"None")),1,0)</f>
        <v>0</v>
      </c>
      <c r="B60" t="str">
        <f>IF($A60=1,SUM($A$2:$A60),"")</f>
        <v/>
      </c>
      <c r="C60">
        <f>IF($A60=1,SUM($A$2:$A60),0)</f>
        <v>0</v>
      </c>
    </row>
    <row r="61" spans="1:3" x14ac:dyDescent="0.3">
      <c r="A61">
        <f>IF(AND(OR(Query!$B$4="All",'Compliance Database'!$A61=Query!$B$4),OR(Query!$B$5="All",ISNUMBER(SEARCH(Query!$B$5,'Compliance Database'!$H61))),OR(Query!$B$6="All",ISNUMBER(SEARCH(Query!$B$6,'Compliance Database'!$I61))),OR(Query!$B$7="All",'Compliance Database'!$F61=Query!$B$7),OR(Query!$B$8="All",'Compliance Database'!$J61=Query!$B$8),OR(Query!$B$9="",ISNUMBER(SEARCH(Query!$B$9,'Compliance Database'!$D61&amp;" "&amp;'Compliance Database'!$K61&amp;" "&amp;'Compliance Database'!$L61&amp;" "&amp;'Compliance Database'!$M61&amp;" "&amp;'Compliance Database'!$N61&amp;" "&amp;'Compliance Database'!$O61))),OR(Query!$B$10&lt;&gt;"Yes",'Compliance Database'!$F61&lt;&gt;"None")),1,0)</f>
        <v>0</v>
      </c>
      <c r="B61" t="str">
        <f>IF($A61=1,SUM($A$2:$A61),"")</f>
        <v/>
      </c>
      <c r="C61">
        <f>IF($A61=1,SUM($A$2:$A61),0)</f>
        <v>0</v>
      </c>
    </row>
    <row r="62" spans="1:3" x14ac:dyDescent="0.3">
      <c r="A62">
        <f>IF(AND(OR(Query!$B$4="All",'Compliance Database'!$A62=Query!$B$4),OR(Query!$B$5="All",ISNUMBER(SEARCH(Query!$B$5,'Compliance Database'!$H62))),OR(Query!$B$6="All",ISNUMBER(SEARCH(Query!$B$6,'Compliance Database'!$I62))),OR(Query!$B$7="All",'Compliance Database'!$F62=Query!$B$7),OR(Query!$B$8="All",'Compliance Database'!$J62=Query!$B$8),OR(Query!$B$9="",ISNUMBER(SEARCH(Query!$B$9,'Compliance Database'!$D62&amp;" "&amp;'Compliance Database'!$K62&amp;" "&amp;'Compliance Database'!$L62&amp;" "&amp;'Compliance Database'!$M62&amp;" "&amp;'Compliance Database'!$N62&amp;" "&amp;'Compliance Database'!$O62))),OR(Query!$B$10&lt;&gt;"Yes",'Compliance Database'!$F62&lt;&gt;"None")),1,0)</f>
        <v>0</v>
      </c>
      <c r="B62" t="str">
        <f>IF($A62=1,SUM($A$2:$A62),"")</f>
        <v/>
      </c>
      <c r="C62">
        <f>IF($A62=1,SUM($A$2:$A62),0)</f>
        <v>0</v>
      </c>
    </row>
    <row r="63" spans="1:3" x14ac:dyDescent="0.3">
      <c r="A63">
        <f>IF(AND(OR(Query!$B$4="All",'Compliance Database'!$A63=Query!$B$4),OR(Query!$B$5="All",ISNUMBER(SEARCH(Query!$B$5,'Compliance Database'!$H63))),OR(Query!$B$6="All",ISNUMBER(SEARCH(Query!$B$6,'Compliance Database'!$I63))),OR(Query!$B$7="All",'Compliance Database'!$F63=Query!$B$7),OR(Query!$B$8="All",'Compliance Database'!$J63=Query!$B$8),OR(Query!$B$9="",ISNUMBER(SEARCH(Query!$B$9,'Compliance Database'!$D63&amp;" "&amp;'Compliance Database'!$K63&amp;" "&amp;'Compliance Database'!$L63&amp;" "&amp;'Compliance Database'!$M63&amp;" "&amp;'Compliance Database'!$N63&amp;" "&amp;'Compliance Database'!$O63))),OR(Query!$B$10&lt;&gt;"Yes",'Compliance Database'!$F63&lt;&gt;"None")),1,0)</f>
        <v>0</v>
      </c>
      <c r="B63" t="str">
        <f>IF($A63=1,SUM($A$2:$A63),"")</f>
        <v/>
      </c>
      <c r="C63">
        <f>IF($A63=1,SUM($A$2:$A63),0)</f>
        <v>0</v>
      </c>
    </row>
    <row r="64" spans="1:3" x14ac:dyDescent="0.3">
      <c r="A64">
        <f>IF(AND(OR(Query!$B$4="All",'Compliance Database'!$A64=Query!$B$4),OR(Query!$B$5="All",ISNUMBER(SEARCH(Query!$B$5,'Compliance Database'!$H64))),OR(Query!$B$6="All",ISNUMBER(SEARCH(Query!$B$6,'Compliance Database'!$I64))),OR(Query!$B$7="All",'Compliance Database'!$F64=Query!$B$7),OR(Query!$B$8="All",'Compliance Database'!$J64=Query!$B$8),OR(Query!$B$9="",ISNUMBER(SEARCH(Query!$B$9,'Compliance Database'!$D64&amp;" "&amp;'Compliance Database'!$K64&amp;" "&amp;'Compliance Database'!$L64&amp;" "&amp;'Compliance Database'!$M64&amp;" "&amp;'Compliance Database'!$N64&amp;" "&amp;'Compliance Database'!$O64))),OR(Query!$B$10&lt;&gt;"Yes",'Compliance Database'!$F64&lt;&gt;"None")),1,0)</f>
        <v>0</v>
      </c>
      <c r="B64" t="str">
        <f>IF($A64=1,SUM($A$2:$A64),"")</f>
        <v/>
      </c>
      <c r="C64">
        <f>IF($A64=1,SUM($A$2:$A64),0)</f>
        <v>0</v>
      </c>
    </row>
    <row r="65" spans="1:3" x14ac:dyDescent="0.3">
      <c r="A65">
        <f>IF(AND(OR(Query!$B$4="All",'Compliance Database'!$A65=Query!$B$4),OR(Query!$B$5="All",ISNUMBER(SEARCH(Query!$B$5,'Compliance Database'!$H65))),OR(Query!$B$6="All",ISNUMBER(SEARCH(Query!$B$6,'Compliance Database'!$I65))),OR(Query!$B$7="All",'Compliance Database'!$F65=Query!$B$7),OR(Query!$B$8="All",'Compliance Database'!$J65=Query!$B$8),OR(Query!$B$9="",ISNUMBER(SEARCH(Query!$B$9,'Compliance Database'!$D65&amp;" "&amp;'Compliance Database'!$K65&amp;" "&amp;'Compliance Database'!$L65&amp;" "&amp;'Compliance Database'!$M65&amp;" "&amp;'Compliance Database'!$N65&amp;" "&amp;'Compliance Database'!$O65))),OR(Query!$B$10&lt;&gt;"Yes",'Compliance Database'!$F65&lt;&gt;"None")),1,0)</f>
        <v>0</v>
      </c>
      <c r="B65" t="str">
        <f>IF($A65=1,SUM($A$2:$A65),"")</f>
        <v/>
      </c>
      <c r="C65">
        <f>IF($A65=1,SUM($A$2:$A65),0)</f>
        <v>0</v>
      </c>
    </row>
    <row r="66" spans="1:3" x14ac:dyDescent="0.3">
      <c r="A66">
        <f>IF(AND(OR(Query!$B$4="All",'Compliance Database'!$A66=Query!$B$4),OR(Query!$B$5="All",ISNUMBER(SEARCH(Query!$B$5,'Compliance Database'!$H66))),OR(Query!$B$6="All",ISNUMBER(SEARCH(Query!$B$6,'Compliance Database'!$I66))),OR(Query!$B$7="All",'Compliance Database'!$F66=Query!$B$7),OR(Query!$B$8="All",'Compliance Database'!$J66=Query!$B$8),OR(Query!$B$9="",ISNUMBER(SEARCH(Query!$B$9,'Compliance Database'!$D66&amp;" "&amp;'Compliance Database'!$K66&amp;" "&amp;'Compliance Database'!$L66&amp;" "&amp;'Compliance Database'!$M66&amp;" "&amp;'Compliance Database'!$N66&amp;" "&amp;'Compliance Database'!$O66))),OR(Query!$B$10&lt;&gt;"Yes",'Compliance Database'!$F66&lt;&gt;"None")),1,0)</f>
        <v>0</v>
      </c>
      <c r="B66" t="str">
        <f>IF($A66=1,SUM($A$2:$A66),"")</f>
        <v/>
      </c>
      <c r="C66">
        <f>IF($A66=1,SUM($A$2:$A66),0)</f>
        <v>0</v>
      </c>
    </row>
    <row r="67" spans="1:3" x14ac:dyDescent="0.3">
      <c r="A67">
        <f>IF(AND(OR(Query!$B$4="All",'Compliance Database'!$A67=Query!$B$4),OR(Query!$B$5="All",ISNUMBER(SEARCH(Query!$B$5,'Compliance Database'!$H67))),OR(Query!$B$6="All",ISNUMBER(SEARCH(Query!$B$6,'Compliance Database'!$I67))),OR(Query!$B$7="All",'Compliance Database'!$F67=Query!$B$7),OR(Query!$B$8="All",'Compliance Database'!$J67=Query!$B$8),OR(Query!$B$9="",ISNUMBER(SEARCH(Query!$B$9,'Compliance Database'!$D67&amp;" "&amp;'Compliance Database'!$K67&amp;" "&amp;'Compliance Database'!$L67&amp;" "&amp;'Compliance Database'!$M67&amp;" "&amp;'Compliance Database'!$N67&amp;" "&amp;'Compliance Database'!$O67))),OR(Query!$B$10&lt;&gt;"Yes",'Compliance Database'!$F67&lt;&gt;"None")),1,0)</f>
        <v>0</v>
      </c>
      <c r="B67" t="str">
        <f>IF($A67=1,SUM($A$2:$A67),"")</f>
        <v/>
      </c>
      <c r="C67">
        <f>IF($A67=1,SUM($A$2:$A67),0)</f>
        <v>0</v>
      </c>
    </row>
    <row r="68" spans="1:3" x14ac:dyDescent="0.3">
      <c r="A68">
        <f>IF(AND(OR(Query!$B$4="All",'Compliance Database'!$A68=Query!$B$4),OR(Query!$B$5="All",ISNUMBER(SEARCH(Query!$B$5,'Compliance Database'!$H68))),OR(Query!$B$6="All",ISNUMBER(SEARCH(Query!$B$6,'Compliance Database'!$I68))),OR(Query!$B$7="All",'Compliance Database'!$F68=Query!$B$7),OR(Query!$B$8="All",'Compliance Database'!$J68=Query!$B$8),OR(Query!$B$9="",ISNUMBER(SEARCH(Query!$B$9,'Compliance Database'!$D68&amp;" "&amp;'Compliance Database'!$K68&amp;" "&amp;'Compliance Database'!$L68&amp;" "&amp;'Compliance Database'!$M68&amp;" "&amp;'Compliance Database'!$N68&amp;" "&amp;'Compliance Database'!$O68))),OR(Query!$B$10&lt;&gt;"Yes",'Compliance Database'!$F68&lt;&gt;"None")),1,0)</f>
        <v>0</v>
      </c>
      <c r="B68" t="str">
        <f>IF($A68=1,SUM($A$2:$A68),"")</f>
        <v/>
      </c>
      <c r="C68">
        <f>IF($A68=1,SUM($A$2:$A68),0)</f>
        <v>0</v>
      </c>
    </row>
    <row r="69" spans="1:3" x14ac:dyDescent="0.3">
      <c r="A69">
        <f>IF(AND(OR(Query!$B$4="All",'Compliance Database'!$A69=Query!$B$4),OR(Query!$B$5="All",ISNUMBER(SEARCH(Query!$B$5,'Compliance Database'!$H69))),OR(Query!$B$6="All",ISNUMBER(SEARCH(Query!$B$6,'Compliance Database'!$I69))),OR(Query!$B$7="All",'Compliance Database'!$F69=Query!$B$7),OR(Query!$B$8="All",'Compliance Database'!$J69=Query!$B$8),OR(Query!$B$9="",ISNUMBER(SEARCH(Query!$B$9,'Compliance Database'!$D69&amp;" "&amp;'Compliance Database'!$K69&amp;" "&amp;'Compliance Database'!$L69&amp;" "&amp;'Compliance Database'!$M69&amp;" "&amp;'Compliance Database'!$N69&amp;" "&amp;'Compliance Database'!$O69))),OR(Query!$B$10&lt;&gt;"Yes",'Compliance Database'!$F69&lt;&gt;"None")),1,0)</f>
        <v>0</v>
      </c>
      <c r="B69" t="str">
        <f>IF($A69=1,SUM($A$2:$A69),"")</f>
        <v/>
      </c>
      <c r="C69">
        <f>IF($A69=1,SUM($A$2:$A69),0)</f>
        <v>0</v>
      </c>
    </row>
    <row r="70" spans="1:3" x14ac:dyDescent="0.3">
      <c r="A70">
        <f>IF(AND(OR(Query!$B$4="All",'Compliance Database'!$A70=Query!$B$4),OR(Query!$B$5="All",ISNUMBER(SEARCH(Query!$B$5,'Compliance Database'!$H70))),OR(Query!$B$6="All",ISNUMBER(SEARCH(Query!$B$6,'Compliance Database'!$I70))),OR(Query!$B$7="All",'Compliance Database'!$F70=Query!$B$7),OR(Query!$B$8="All",'Compliance Database'!$J70=Query!$B$8),OR(Query!$B$9="",ISNUMBER(SEARCH(Query!$B$9,'Compliance Database'!$D70&amp;" "&amp;'Compliance Database'!$K70&amp;" "&amp;'Compliance Database'!$L70&amp;" "&amp;'Compliance Database'!$M70&amp;" "&amp;'Compliance Database'!$N70&amp;" "&amp;'Compliance Database'!$O70))),OR(Query!$B$10&lt;&gt;"Yes",'Compliance Database'!$F70&lt;&gt;"None")),1,0)</f>
        <v>0</v>
      </c>
      <c r="B70" t="str">
        <f>IF($A70=1,SUM($A$2:$A70),"")</f>
        <v/>
      </c>
      <c r="C70">
        <f>IF($A70=1,SUM($A$2:$A70),0)</f>
        <v>0</v>
      </c>
    </row>
    <row r="71" spans="1:3" x14ac:dyDescent="0.3">
      <c r="A71">
        <f>IF(AND(OR(Query!$B$4="All",'Compliance Database'!$A71=Query!$B$4),OR(Query!$B$5="All",ISNUMBER(SEARCH(Query!$B$5,'Compliance Database'!$H71))),OR(Query!$B$6="All",ISNUMBER(SEARCH(Query!$B$6,'Compliance Database'!$I71))),OR(Query!$B$7="All",'Compliance Database'!$F71=Query!$B$7),OR(Query!$B$8="All",'Compliance Database'!$J71=Query!$B$8),OR(Query!$B$9="",ISNUMBER(SEARCH(Query!$B$9,'Compliance Database'!$D71&amp;" "&amp;'Compliance Database'!$K71&amp;" "&amp;'Compliance Database'!$L71&amp;" "&amp;'Compliance Database'!$M71&amp;" "&amp;'Compliance Database'!$N71&amp;" "&amp;'Compliance Database'!$O71))),OR(Query!$B$10&lt;&gt;"Yes",'Compliance Database'!$F71&lt;&gt;"None")),1,0)</f>
        <v>0</v>
      </c>
      <c r="B71" t="str">
        <f>IF($A71=1,SUM($A$2:$A71),"")</f>
        <v/>
      </c>
      <c r="C71">
        <f>IF($A71=1,SUM($A$2:$A71),0)</f>
        <v>0</v>
      </c>
    </row>
    <row r="72" spans="1:3" x14ac:dyDescent="0.3">
      <c r="A72">
        <f>IF(AND(OR(Query!$B$4="All",'Compliance Database'!$A72=Query!$B$4),OR(Query!$B$5="All",ISNUMBER(SEARCH(Query!$B$5,'Compliance Database'!$H72))),OR(Query!$B$6="All",ISNUMBER(SEARCH(Query!$B$6,'Compliance Database'!$I72))),OR(Query!$B$7="All",'Compliance Database'!$F72=Query!$B$7),OR(Query!$B$8="All",'Compliance Database'!$J72=Query!$B$8),OR(Query!$B$9="",ISNUMBER(SEARCH(Query!$B$9,'Compliance Database'!$D72&amp;" "&amp;'Compliance Database'!$K72&amp;" "&amp;'Compliance Database'!$L72&amp;" "&amp;'Compliance Database'!$M72&amp;" "&amp;'Compliance Database'!$N72&amp;" "&amp;'Compliance Database'!$O72))),OR(Query!$B$10&lt;&gt;"Yes",'Compliance Database'!$F72&lt;&gt;"None")),1,0)</f>
        <v>0</v>
      </c>
      <c r="B72" t="str">
        <f>IF($A72=1,SUM($A$2:$A72),"")</f>
        <v/>
      </c>
      <c r="C72">
        <f>IF($A72=1,SUM($A$2:$A72),0)</f>
        <v>0</v>
      </c>
    </row>
    <row r="73" spans="1:3" x14ac:dyDescent="0.3">
      <c r="A73">
        <f>IF(AND(OR(Query!$B$4="All",'Compliance Database'!$A73=Query!$B$4),OR(Query!$B$5="All",ISNUMBER(SEARCH(Query!$B$5,'Compliance Database'!$H73))),OR(Query!$B$6="All",ISNUMBER(SEARCH(Query!$B$6,'Compliance Database'!$I73))),OR(Query!$B$7="All",'Compliance Database'!$F73=Query!$B$7),OR(Query!$B$8="All",'Compliance Database'!$J73=Query!$B$8),OR(Query!$B$9="",ISNUMBER(SEARCH(Query!$B$9,'Compliance Database'!$D73&amp;" "&amp;'Compliance Database'!$K73&amp;" "&amp;'Compliance Database'!$L73&amp;" "&amp;'Compliance Database'!$M73&amp;" "&amp;'Compliance Database'!$N73&amp;" "&amp;'Compliance Database'!$O73))),OR(Query!$B$10&lt;&gt;"Yes",'Compliance Database'!$F73&lt;&gt;"None")),1,0)</f>
        <v>0</v>
      </c>
      <c r="B73" t="str">
        <f>IF($A73=1,SUM($A$2:$A73),"")</f>
        <v/>
      </c>
      <c r="C73">
        <f>IF($A73=1,SUM($A$2:$A73),0)</f>
        <v>0</v>
      </c>
    </row>
    <row r="74" spans="1:3" x14ac:dyDescent="0.3">
      <c r="A74">
        <f>IF(AND(OR(Query!$B$4="All",'Compliance Database'!$A74=Query!$B$4),OR(Query!$B$5="All",ISNUMBER(SEARCH(Query!$B$5,'Compliance Database'!$H74))),OR(Query!$B$6="All",ISNUMBER(SEARCH(Query!$B$6,'Compliance Database'!$I74))),OR(Query!$B$7="All",'Compliance Database'!$F74=Query!$B$7),OR(Query!$B$8="All",'Compliance Database'!$J74=Query!$B$8),OR(Query!$B$9="",ISNUMBER(SEARCH(Query!$B$9,'Compliance Database'!$D74&amp;" "&amp;'Compliance Database'!$K74&amp;" "&amp;'Compliance Database'!$L74&amp;" "&amp;'Compliance Database'!$M74&amp;" "&amp;'Compliance Database'!$N74&amp;" "&amp;'Compliance Database'!$O74))),OR(Query!$B$10&lt;&gt;"Yes",'Compliance Database'!$F74&lt;&gt;"None")),1,0)</f>
        <v>0</v>
      </c>
      <c r="B74" t="str">
        <f>IF($A74=1,SUM($A$2:$A74),"")</f>
        <v/>
      </c>
      <c r="C74">
        <f>IF($A74=1,SUM($A$2:$A74),0)</f>
        <v>0</v>
      </c>
    </row>
    <row r="75" spans="1:3" x14ac:dyDescent="0.3">
      <c r="A75">
        <f>IF(AND(OR(Query!$B$4="All",'Compliance Database'!$A75=Query!$B$4),OR(Query!$B$5="All",ISNUMBER(SEARCH(Query!$B$5,'Compliance Database'!$H75))),OR(Query!$B$6="All",ISNUMBER(SEARCH(Query!$B$6,'Compliance Database'!$I75))),OR(Query!$B$7="All",'Compliance Database'!$F75=Query!$B$7),OR(Query!$B$8="All",'Compliance Database'!$J75=Query!$B$8),OR(Query!$B$9="",ISNUMBER(SEARCH(Query!$B$9,'Compliance Database'!$D75&amp;" "&amp;'Compliance Database'!$K75&amp;" "&amp;'Compliance Database'!$L75&amp;" "&amp;'Compliance Database'!$M75&amp;" "&amp;'Compliance Database'!$N75&amp;" "&amp;'Compliance Database'!$O75))),OR(Query!$B$10&lt;&gt;"Yes",'Compliance Database'!$F75&lt;&gt;"None")),1,0)</f>
        <v>0</v>
      </c>
      <c r="B75" t="str">
        <f>IF($A75=1,SUM($A$2:$A75),"")</f>
        <v/>
      </c>
      <c r="C75">
        <f>IF($A75=1,SUM($A$2:$A75),0)</f>
        <v>0</v>
      </c>
    </row>
    <row r="76" spans="1:3" x14ac:dyDescent="0.3">
      <c r="A76">
        <f>IF(AND(OR(Query!$B$4="All",'Compliance Database'!$A76=Query!$B$4),OR(Query!$B$5="All",ISNUMBER(SEARCH(Query!$B$5,'Compliance Database'!$H76))),OR(Query!$B$6="All",ISNUMBER(SEARCH(Query!$B$6,'Compliance Database'!$I76))),OR(Query!$B$7="All",'Compliance Database'!$F76=Query!$B$7),OR(Query!$B$8="All",'Compliance Database'!$J76=Query!$B$8),OR(Query!$B$9="",ISNUMBER(SEARCH(Query!$B$9,'Compliance Database'!$D76&amp;" "&amp;'Compliance Database'!$K76&amp;" "&amp;'Compliance Database'!$L76&amp;" "&amp;'Compliance Database'!$M76&amp;" "&amp;'Compliance Database'!$N76&amp;" "&amp;'Compliance Database'!$O76))),OR(Query!$B$10&lt;&gt;"Yes",'Compliance Database'!$F76&lt;&gt;"None")),1,0)</f>
        <v>0</v>
      </c>
      <c r="B76" t="str">
        <f>IF($A76=1,SUM($A$2:$A76),"")</f>
        <v/>
      </c>
      <c r="C76">
        <f>IF($A76=1,SUM($A$2:$A76),0)</f>
        <v>0</v>
      </c>
    </row>
    <row r="77" spans="1:3" x14ac:dyDescent="0.3">
      <c r="A77">
        <f>IF(AND(OR(Query!$B$4="All",'Compliance Database'!$A77=Query!$B$4),OR(Query!$B$5="All",ISNUMBER(SEARCH(Query!$B$5,'Compliance Database'!$H77))),OR(Query!$B$6="All",ISNUMBER(SEARCH(Query!$B$6,'Compliance Database'!$I77))),OR(Query!$B$7="All",'Compliance Database'!$F77=Query!$B$7),OR(Query!$B$8="All",'Compliance Database'!$J77=Query!$B$8),OR(Query!$B$9="",ISNUMBER(SEARCH(Query!$B$9,'Compliance Database'!$D77&amp;" "&amp;'Compliance Database'!$K77&amp;" "&amp;'Compliance Database'!$L77&amp;" "&amp;'Compliance Database'!$M77&amp;" "&amp;'Compliance Database'!$N77&amp;" "&amp;'Compliance Database'!$O77))),OR(Query!$B$10&lt;&gt;"Yes",'Compliance Database'!$F77&lt;&gt;"None")),1,0)</f>
        <v>0</v>
      </c>
      <c r="B77" t="str">
        <f>IF($A77=1,SUM($A$2:$A77),"")</f>
        <v/>
      </c>
      <c r="C77">
        <f>IF($A77=1,SUM($A$2:$A77),0)</f>
        <v>0</v>
      </c>
    </row>
    <row r="78" spans="1:3" x14ac:dyDescent="0.3">
      <c r="A78">
        <f>IF(AND(OR(Query!$B$4="All",'Compliance Database'!$A78=Query!$B$4),OR(Query!$B$5="All",ISNUMBER(SEARCH(Query!$B$5,'Compliance Database'!$H78))),OR(Query!$B$6="All",ISNUMBER(SEARCH(Query!$B$6,'Compliance Database'!$I78))),OR(Query!$B$7="All",'Compliance Database'!$F78=Query!$B$7),OR(Query!$B$8="All",'Compliance Database'!$J78=Query!$B$8),OR(Query!$B$9="",ISNUMBER(SEARCH(Query!$B$9,'Compliance Database'!$D78&amp;" "&amp;'Compliance Database'!$K78&amp;" "&amp;'Compliance Database'!$L78&amp;" "&amp;'Compliance Database'!$M78&amp;" "&amp;'Compliance Database'!$N78&amp;" "&amp;'Compliance Database'!$O78))),OR(Query!$B$10&lt;&gt;"Yes",'Compliance Database'!$F78&lt;&gt;"None")),1,0)</f>
        <v>0</v>
      </c>
      <c r="B78" t="str">
        <f>IF($A78=1,SUM($A$2:$A78),"")</f>
        <v/>
      </c>
      <c r="C78">
        <f>IF($A78=1,SUM($A$2:$A78),0)</f>
        <v>0</v>
      </c>
    </row>
    <row r="79" spans="1:3" x14ac:dyDescent="0.3">
      <c r="A79">
        <f>IF(AND(OR(Query!$B$4="All",'Compliance Database'!$A79=Query!$B$4),OR(Query!$B$5="All",ISNUMBER(SEARCH(Query!$B$5,'Compliance Database'!$H79))),OR(Query!$B$6="All",ISNUMBER(SEARCH(Query!$B$6,'Compliance Database'!$I79))),OR(Query!$B$7="All",'Compliance Database'!$F79=Query!$B$7),OR(Query!$B$8="All",'Compliance Database'!$J79=Query!$B$8),OR(Query!$B$9="",ISNUMBER(SEARCH(Query!$B$9,'Compliance Database'!$D79&amp;" "&amp;'Compliance Database'!$K79&amp;" "&amp;'Compliance Database'!$L79&amp;" "&amp;'Compliance Database'!$M79&amp;" "&amp;'Compliance Database'!$N79&amp;" "&amp;'Compliance Database'!$O79))),OR(Query!$B$10&lt;&gt;"Yes",'Compliance Database'!$F79&lt;&gt;"None")),1,0)</f>
        <v>0</v>
      </c>
      <c r="B79" t="str">
        <f>IF($A79=1,SUM($A$2:$A79),"")</f>
        <v/>
      </c>
      <c r="C79">
        <f>IF($A79=1,SUM($A$2:$A79),0)</f>
        <v>0</v>
      </c>
    </row>
    <row r="80" spans="1:3" x14ac:dyDescent="0.3">
      <c r="A80">
        <f>IF(AND(OR(Query!$B$4="All",'Compliance Database'!$A80=Query!$B$4),OR(Query!$B$5="All",ISNUMBER(SEARCH(Query!$B$5,'Compliance Database'!$H80))),OR(Query!$B$6="All",ISNUMBER(SEARCH(Query!$B$6,'Compliance Database'!$I80))),OR(Query!$B$7="All",'Compliance Database'!$F80=Query!$B$7),OR(Query!$B$8="All",'Compliance Database'!$J80=Query!$B$8),OR(Query!$B$9="",ISNUMBER(SEARCH(Query!$B$9,'Compliance Database'!$D80&amp;" "&amp;'Compliance Database'!$K80&amp;" "&amp;'Compliance Database'!$L80&amp;" "&amp;'Compliance Database'!$M80&amp;" "&amp;'Compliance Database'!$N80&amp;" "&amp;'Compliance Database'!$O80))),OR(Query!$B$10&lt;&gt;"Yes",'Compliance Database'!$F80&lt;&gt;"None")),1,0)</f>
        <v>0</v>
      </c>
      <c r="B80" t="str">
        <f>IF($A80=1,SUM($A$2:$A80),"")</f>
        <v/>
      </c>
      <c r="C80">
        <f>IF($A80=1,SUM($A$2:$A80),0)</f>
        <v>0</v>
      </c>
    </row>
    <row r="81" spans="1:3" x14ac:dyDescent="0.3">
      <c r="A81">
        <f>IF(AND(OR(Query!$B$4="All",'Compliance Database'!$A81=Query!$B$4),OR(Query!$B$5="All",ISNUMBER(SEARCH(Query!$B$5,'Compliance Database'!$H81))),OR(Query!$B$6="All",ISNUMBER(SEARCH(Query!$B$6,'Compliance Database'!$I81))),OR(Query!$B$7="All",'Compliance Database'!$F81=Query!$B$7),OR(Query!$B$8="All",'Compliance Database'!$J81=Query!$B$8),OR(Query!$B$9="",ISNUMBER(SEARCH(Query!$B$9,'Compliance Database'!$D81&amp;" "&amp;'Compliance Database'!$K81&amp;" "&amp;'Compliance Database'!$L81&amp;" "&amp;'Compliance Database'!$M81&amp;" "&amp;'Compliance Database'!$N81&amp;" "&amp;'Compliance Database'!$O81))),OR(Query!$B$10&lt;&gt;"Yes",'Compliance Database'!$F81&lt;&gt;"None")),1,0)</f>
        <v>0</v>
      </c>
      <c r="B81" t="str">
        <f>IF($A81=1,SUM($A$2:$A81),"")</f>
        <v/>
      </c>
      <c r="C81">
        <f>IF($A81=1,SUM($A$2:$A81),0)</f>
        <v>0</v>
      </c>
    </row>
    <row r="82" spans="1:3" x14ac:dyDescent="0.3">
      <c r="A82">
        <f>IF(AND(OR(Query!$B$4="All",'Compliance Database'!$A82=Query!$B$4),OR(Query!$B$5="All",ISNUMBER(SEARCH(Query!$B$5,'Compliance Database'!$H82))),OR(Query!$B$6="All",ISNUMBER(SEARCH(Query!$B$6,'Compliance Database'!$I82))),OR(Query!$B$7="All",'Compliance Database'!$F82=Query!$B$7),OR(Query!$B$8="All",'Compliance Database'!$J82=Query!$B$8),OR(Query!$B$9="",ISNUMBER(SEARCH(Query!$B$9,'Compliance Database'!$D82&amp;" "&amp;'Compliance Database'!$K82&amp;" "&amp;'Compliance Database'!$L82&amp;" "&amp;'Compliance Database'!$M82&amp;" "&amp;'Compliance Database'!$N82&amp;" "&amp;'Compliance Database'!$O82))),OR(Query!$B$10&lt;&gt;"Yes",'Compliance Database'!$F82&lt;&gt;"None")),1,0)</f>
        <v>0</v>
      </c>
      <c r="B82" t="str">
        <f>IF($A82=1,SUM($A$2:$A82),"")</f>
        <v/>
      </c>
      <c r="C82">
        <f>IF($A82=1,SUM($A$2:$A82),0)</f>
        <v>0</v>
      </c>
    </row>
    <row r="83" spans="1:3" x14ac:dyDescent="0.3">
      <c r="A83">
        <f>IF(AND(OR(Query!$B$4="All",'Compliance Database'!$A83=Query!$B$4),OR(Query!$B$5="All",ISNUMBER(SEARCH(Query!$B$5,'Compliance Database'!$H83))),OR(Query!$B$6="All",ISNUMBER(SEARCH(Query!$B$6,'Compliance Database'!$I83))),OR(Query!$B$7="All",'Compliance Database'!$F83=Query!$B$7),OR(Query!$B$8="All",'Compliance Database'!$J83=Query!$B$8),OR(Query!$B$9="",ISNUMBER(SEARCH(Query!$B$9,'Compliance Database'!$D83&amp;" "&amp;'Compliance Database'!$K83&amp;" "&amp;'Compliance Database'!$L83&amp;" "&amp;'Compliance Database'!$M83&amp;" "&amp;'Compliance Database'!$N83&amp;" "&amp;'Compliance Database'!$O83))),OR(Query!$B$10&lt;&gt;"Yes",'Compliance Database'!$F83&lt;&gt;"None")),1,0)</f>
        <v>0</v>
      </c>
      <c r="B83" t="str">
        <f>IF($A83=1,SUM($A$2:$A83),"")</f>
        <v/>
      </c>
      <c r="C83">
        <f>IF($A83=1,SUM($A$2:$A83),0)</f>
        <v>0</v>
      </c>
    </row>
    <row r="84" spans="1:3" x14ac:dyDescent="0.3">
      <c r="A84">
        <f>IF(AND(OR(Query!$B$4="All",'Compliance Database'!$A84=Query!$B$4),OR(Query!$B$5="All",ISNUMBER(SEARCH(Query!$B$5,'Compliance Database'!$H84))),OR(Query!$B$6="All",ISNUMBER(SEARCH(Query!$B$6,'Compliance Database'!$I84))),OR(Query!$B$7="All",'Compliance Database'!$F84=Query!$B$7),OR(Query!$B$8="All",'Compliance Database'!$J84=Query!$B$8),OR(Query!$B$9="",ISNUMBER(SEARCH(Query!$B$9,'Compliance Database'!$D84&amp;" "&amp;'Compliance Database'!$K84&amp;" "&amp;'Compliance Database'!$L84&amp;" "&amp;'Compliance Database'!$M84&amp;" "&amp;'Compliance Database'!$N84&amp;" "&amp;'Compliance Database'!$O84))),OR(Query!$B$10&lt;&gt;"Yes",'Compliance Database'!$F84&lt;&gt;"None")),1,0)</f>
        <v>0</v>
      </c>
      <c r="B84" t="str">
        <f>IF($A84=1,SUM($A$2:$A84),"")</f>
        <v/>
      </c>
      <c r="C84">
        <f>IF($A84=1,SUM($A$2:$A84),0)</f>
        <v>0</v>
      </c>
    </row>
    <row r="85" spans="1:3" x14ac:dyDescent="0.3">
      <c r="A85">
        <f>IF(AND(OR(Query!$B$4="All",'Compliance Database'!$A85=Query!$B$4),OR(Query!$B$5="All",ISNUMBER(SEARCH(Query!$B$5,'Compliance Database'!$H85))),OR(Query!$B$6="All",ISNUMBER(SEARCH(Query!$B$6,'Compliance Database'!$I85))),OR(Query!$B$7="All",'Compliance Database'!$F85=Query!$B$7),OR(Query!$B$8="All",'Compliance Database'!$J85=Query!$B$8),OR(Query!$B$9="",ISNUMBER(SEARCH(Query!$B$9,'Compliance Database'!$D85&amp;" "&amp;'Compliance Database'!$K85&amp;" "&amp;'Compliance Database'!$L85&amp;" "&amp;'Compliance Database'!$M85&amp;" "&amp;'Compliance Database'!$N85&amp;" "&amp;'Compliance Database'!$O85))),OR(Query!$B$10&lt;&gt;"Yes",'Compliance Database'!$F85&lt;&gt;"None")),1,0)</f>
        <v>0</v>
      </c>
      <c r="B85" t="str">
        <f>IF($A85=1,SUM($A$2:$A85),"")</f>
        <v/>
      </c>
      <c r="C85">
        <f>IF($A85=1,SUM($A$2:$A85),0)</f>
        <v>0</v>
      </c>
    </row>
    <row r="86" spans="1:3" x14ac:dyDescent="0.3">
      <c r="A86">
        <f>IF(AND(OR(Query!$B$4="All",'Compliance Database'!$A86=Query!$B$4),OR(Query!$B$5="All",ISNUMBER(SEARCH(Query!$B$5,'Compliance Database'!$H86))),OR(Query!$B$6="All",ISNUMBER(SEARCH(Query!$B$6,'Compliance Database'!$I86))),OR(Query!$B$7="All",'Compliance Database'!$F86=Query!$B$7),OR(Query!$B$8="All",'Compliance Database'!$J86=Query!$B$8),OR(Query!$B$9="",ISNUMBER(SEARCH(Query!$B$9,'Compliance Database'!$D86&amp;" "&amp;'Compliance Database'!$K86&amp;" "&amp;'Compliance Database'!$L86&amp;" "&amp;'Compliance Database'!$M86&amp;" "&amp;'Compliance Database'!$N86&amp;" "&amp;'Compliance Database'!$O86))),OR(Query!$B$10&lt;&gt;"Yes",'Compliance Database'!$F86&lt;&gt;"None")),1,0)</f>
        <v>0</v>
      </c>
      <c r="B86" t="str">
        <f>IF($A86=1,SUM($A$2:$A86),"")</f>
        <v/>
      </c>
      <c r="C86">
        <f>IF($A86=1,SUM($A$2:$A86),0)</f>
        <v>0</v>
      </c>
    </row>
    <row r="87" spans="1:3" x14ac:dyDescent="0.3">
      <c r="A87">
        <f>IF(AND(OR(Query!$B$4="All",'Compliance Database'!$A87=Query!$B$4),OR(Query!$B$5="All",ISNUMBER(SEARCH(Query!$B$5,'Compliance Database'!$H87))),OR(Query!$B$6="All",ISNUMBER(SEARCH(Query!$B$6,'Compliance Database'!$I87))),OR(Query!$B$7="All",'Compliance Database'!$F87=Query!$B$7),OR(Query!$B$8="All",'Compliance Database'!$J87=Query!$B$8),OR(Query!$B$9="",ISNUMBER(SEARCH(Query!$B$9,'Compliance Database'!$D87&amp;" "&amp;'Compliance Database'!$K87&amp;" "&amp;'Compliance Database'!$L87&amp;" "&amp;'Compliance Database'!$M87&amp;" "&amp;'Compliance Database'!$N87&amp;" "&amp;'Compliance Database'!$O87))),OR(Query!$B$10&lt;&gt;"Yes",'Compliance Database'!$F87&lt;&gt;"None")),1,0)</f>
        <v>0</v>
      </c>
      <c r="B87" t="str">
        <f>IF($A87=1,SUM($A$2:$A87),"")</f>
        <v/>
      </c>
      <c r="C87">
        <f>IF($A87=1,SUM($A$2:$A87),0)</f>
        <v>0</v>
      </c>
    </row>
    <row r="88" spans="1:3" x14ac:dyDescent="0.3">
      <c r="A88">
        <f>IF(AND(OR(Query!$B$4="All",'Compliance Database'!$A88=Query!$B$4),OR(Query!$B$5="All",ISNUMBER(SEARCH(Query!$B$5,'Compliance Database'!$H88))),OR(Query!$B$6="All",ISNUMBER(SEARCH(Query!$B$6,'Compliance Database'!$I88))),OR(Query!$B$7="All",'Compliance Database'!$F88=Query!$B$7),OR(Query!$B$8="All",'Compliance Database'!$J88=Query!$B$8),OR(Query!$B$9="",ISNUMBER(SEARCH(Query!$B$9,'Compliance Database'!$D88&amp;" "&amp;'Compliance Database'!$K88&amp;" "&amp;'Compliance Database'!$L88&amp;" "&amp;'Compliance Database'!$M88&amp;" "&amp;'Compliance Database'!$N88&amp;" "&amp;'Compliance Database'!$O88))),OR(Query!$B$10&lt;&gt;"Yes",'Compliance Database'!$F88&lt;&gt;"None")),1,0)</f>
        <v>0</v>
      </c>
      <c r="B88" t="str">
        <f>IF($A88=1,SUM($A$2:$A88),"")</f>
        <v/>
      </c>
      <c r="C88">
        <f>IF($A88=1,SUM($A$2:$A88),0)</f>
        <v>0</v>
      </c>
    </row>
    <row r="89" spans="1:3" x14ac:dyDescent="0.3">
      <c r="A89">
        <f>IF(AND(OR(Query!$B$4="All",'Compliance Database'!$A89=Query!$B$4),OR(Query!$B$5="All",ISNUMBER(SEARCH(Query!$B$5,'Compliance Database'!$H89))),OR(Query!$B$6="All",ISNUMBER(SEARCH(Query!$B$6,'Compliance Database'!$I89))),OR(Query!$B$7="All",'Compliance Database'!$F89=Query!$B$7),OR(Query!$B$8="All",'Compliance Database'!$J89=Query!$B$8),OR(Query!$B$9="",ISNUMBER(SEARCH(Query!$B$9,'Compliance Database'!$D89&amp;" "&amp;'Compliance Database'!$K89&amp;" "&amp;'Compliance Database'!$L89&amp;" "&amp;'Compliance Database'!$M89&amp;" "&amp;'Compliance Database'!$N89&amp;" "&amp;'Compliance Database'!$O89))),OR(Query!$B$10&lt;&gt;"Yes",'Compliance Database'!$F89&lt;&gt;"None")),1,0)</f>
        <v>0</v>
      </c>
      <c r="B89" t="str">
        <f>IF($A89=1,SUM($A$2:$A89),"")</f>
        <v/>
      </c>
      <c r="C89">
        <f>IF($A89=1,SUM($A$2:$A89),0)</f>
        <v>0</v>
      </c>
    </row>
    <row r="90" spans="1:3" x14ac:dyDescent="0.3">
      <c r="A90">
        <f>IF(AND(OR(Query!$B$4="All",'Compliance Database'!$A90=Query!$B$4),OR(Query!$B$5="All",ISNUMBER(SEARCH(Query!$B$5,'Compliance Database'!$H90))),OR(Query!$B$6="All",ISNUMBER(SEARCH(Query!$B$6,'Compliance Database'!$I90))),OR(Query!$B$7="All",'Compliance Database'!$F90=Query!$B$7),OR(Query!$B$8="All",'Compliance Database'!$J90=Query!$B$8),OR(Query!$B$9="",ISNUMBER(SEARCH(Query!$B$9,'Compliance Database'!$D90&amp;" "&amp;'Compliance Database'!$K90&amp;" "&amp;'Compliance Database'!$L90&amp;" "&amp;'Compliance Database'!$M90&amp;" "&amp;'Compliance Database'!$N90&amp;" "&amp;'Compliance Database'!$O90))),OR(Query!$B$10&lt;&gt;"Yes",'Compliance Database'!$F90&lt;&gt;"None")),1,0)</f>
        <v>0</v>
      </c>
      <c r="B90" t="str">
        <f>IF($A90=1,SUM($A$2:$A90),"")</f>
        <v/>
      </c>
      <c r="C90">
        <f>IF($A90=1,SUM($A$2:$A90),0)</f>
        <v>0</v>
      </c>
    </row>
    <row r="91" spans="1:3" x14ac:dyDescent="0.3">
      <c r="A91">
        <f>IF(AND(OR(Query!$B$4="All",'Compliance Database'!$A91=Query!$B$4),OR(Query!$B$5="All",ISNUMBER(SEARCH(Query!$B$5,'Compliance Database'!$H91))),OR(Query!$B$6="All",ISNUMBER(SEARCH(Query!$B$6,'Compliance Database'!$I91))),OR(Query!$B$7="All",'Compliance Database'!$F91=Query!$B$7),OR(Query!$B$8="All",'Compliance Database'!$J91=Query!$B$8),OR(Query!$B$9="",ISNUMBER(SEARCH(Query!$B$9,'Compliance Database'!$D91&amp;" "&amp;'Compliance Database'!$K91&amp;" "&amp;'Compliance Database'!$L91&amp;" "&amp;'Compliance Database'!$M91&amp;" "&amp;'Compliance Database'!$N91&amp;" "&amp;'Compliance Database'!$O91))),OR(Query!$B$10&lt;&gt;"Yes",'Compliance Database'!$F91&lt;&gt;"None")),1,0)</f>
        <v>0</v>
      </c>
      <c r="B91" t="str">
        <f>IF($A91=1,SUM($A$2:$A91),"")</f>
        <v/>
      </c>
      <c r="C91">
        <f>IF($A91=1,SUM($A$2:$A91),0)</f>
        <v>0</v>
      </c>
    </row>
    <row r="92" spans="1:3" x14ac:dyDescent="0.3">
      <c r="A92">
        <f>IF(AND(OR(Query!$B$4="All",'Compliance Database'!$A92=Query!$B$4),OR(Query!$B$5="All",ISNUMBER(SEARCH(Query!$B$5,'Compliance Database'!$H92))),OR(Query!$B$6="All",ISNUMBER(SEARCH(Query!$B$6,'Compliance Database'!$I92))),OR(Query!$B$7="All",'Compliance Database'!$F92=Query!$B$7),OR(Query!$B$8="All",'Compliance Database'!$J92=Query!$B$8),OR(Query!$B$9="",ISNUMBER(SEARCH(Query!$B$9,'Compliance Database'!$D92&amp;" "&amp;'Compliance Database'!$K92&amp;" "&amp;'Compliance Database'!$L92&amp;" "&amp;'Compliance Database'!$M92&amp;" "&amp;'Compliance Database'!$N92&amp;" "&amp;'Compliance Database'!$O92))),OR(Query!$B$10&lt;&gt;"Yes",'Compliance Database'!$F92&lt;&gt;"None")),1,0)</f>
        <v>0</v>
      </c>
      <c r="B92" t="str">
        <f>IF($A92=1,SUM($A$2:$A92),"")</f>
        <v/>
      </c>
      <c r="C92">
        <f>IF($A92=1,SUM($A$2:$A92),0)</f>
        <v>0</v>
      </c>
    </row>
    <row r="93" spans="1:3" x14ac:dyDescent="0.3">
      <c r="A93">
        <f>IF(AND(OR(Query!$B$4="All",'Compliance Database'!$A93=Query!$B$4),OR(Query!$B$5="All",ISNUMBER(SEARCH(Query!$B$5,'Compliance Database'!$H93))),OR(Query!$B$6="All",ISNUMBER(SEARCH(Query!$B$6,'Compliance Database'!$I93))),OR(Query!$B$7="All",'Compliance Database'!$F93=Query!$B$7),OR(Query!$B$8="All",'Compliance Database'!$J93=Query!$B$8),OR(Query!$B$9="",ISNUMBER(SEARCH(Query!$B$9,'Compliance Database'!$D93&amp;" "&amp;'Compliance Database'!$K93&amp;" "&amp;'Compliance Database'!$L93&amp;" "&amp;'Compliance Database'!$M93&amp;" "&amp;'Compliance Database'!$N93&amp;" "&amp;'Compliance Database'!$O93))),OR(Query!$B$10&lt;&gt;"Yes",'Compliance Database'!$F93&lt;&gt;"None")),1,0)</f>
        <v>0</v>
      </c>
      <c r="B93" t="str">
        <f>IF($A93=1,SUM($A$2:$A93),"")</f>
        <v/>
      </c>
      <c r="C93">
        <f>IF($A93=1,SUM($A$2:$A93),0)</f>
        <v>0</v>
      </c>
    </row>
    <row r="94" spans="1:3" x14ac:dyDescent="0.3">
      <c r="A94">
        <f>IF(AND(OR(Query!$B$4="All",'Compliance Database'!$A94=Query!$B$4),OR(Query!$B$5="All",ISNUMBER(SEARCH(Query!$B$5,'Compliance Database'!$H94))),OR(Query!$B$6="All",ISNUMBER(SEARCH(Query!$B$6,'Compliance Database'!$I94))),OR(Query!$B$7="All",'Compliance Database'!$F94=Query!$B$7),OR(Query!$B$8="All",'Compliance Database'!$J94=Query!$B$8),OR(Query!$B$9="",ISNUMBER(SEARCH(Query!$B$9,'Compliance Database'!$D94&amp;" "&amp;'Compliance Database'!$K94&amp;" "&amp;'Compliance Database'!$L94&amp;" "&amp;'Compliance Database'!$M94&amp;" "&amp;'Compliance Database'!$N94&amp;" "&amp;'Compliance Database'!$O94))),OR(Query!$B$10&lt;&gt;"Yes",'Compliance Database'!$F94&lt;&gt;"None")),1,0)</f>
        <v>0</v>
      </c>
      <c r="B94" t="str">
        <f>IF($A94=1,SUM($A$2:$A94),"")</f>
        <v/>
      </c>
      <c r="C94">
        <f>IF($A94=1,SUM($A$2:$A94),0)</f>
        <v>0</v>
      </c>
    </row>
    <row r="95" spans="1:3" x14ac:dyDescent="0.3">
      <c r="A95">
        <f>IF(AND(OR(Query!$B$4="All",'Compliance Database'!$A95=Query!$B$4),OR(Query!$B$5="All",ISNUMBER(SEARCH(Query!$B$5,'Compliance Database'!$H95))),OR(Query!$B$6="All",ISNUMBER(SEARCH(Query!$B$6,'Compliance Database'!$I95))),OR(Query!$B$7="All",'Compliance Database'!$F95=Query!$B$7),OR(Query!$B$8="All",'Compliance Database'!$J95=Query!$B$8),OR(Query!$B$9="",ISNUMBER(SEARCH(Query!$B$9,'Compliance Database'!$D95&amp;" "&amp;'Compliance Database'!$K95&amp;" "&amp;'Compliance Database'!$L95&amp;" "&amp;'Compliance Database'!$M95&amp;" "&amp;'Compliance Database'!$N95&amp;" "&amp;'Compliance Database'!$O95))),OR(Query!$B$10&lt;&gt;"Yes",'Compliance Database'!$F95&lt;&gt;"None")),1,0)</f>
        <v>0</v>
      </c>
      <c r="B95" t="str">
        <f>IF($A95=1,SUM($A$2:$A95),"")</f>
        <v/>
      </c>
      <c r="C95">
        <f>IF($A95=1,SUM($A$2:$A95),0)</f>
        <v>0</v>
      </c>
    </row>
    <row r="96" spans="1:3" x14ac:dyDescent="0.3">
      <c r="A96">
        <f>IF(AND(OR(Query!$B$4="All",'Compliance Database'!$A96=Query!$B$4),OR(Query!$B$5="All",ISNUMBER(SEARCH(Query!$B$5,'Compliance Database'!$H96))),OR(Query!$B$6="All",ISNUMBER(SEARCH(Query!$B$6,'Compliance Database'!$I96))),OR(Query!$B$7="All",'Compliance Database'!$F96=Query!$B$7),OR(Query!$B$8="All",'Compliance Database'!$J96=Query!$B$8),OR(Query!$B$9="",ISNUMBER(SEARCH(Query!$B$9,'Compliance Database'!$D96&amp;" "&amp;'Compliance Database'!$K96&amp;" "&amp;'Compliance Database'!$L96&amp;" "&amp;'Compliance Database'!$M96&amp;" "&amp;'Compliance Database'!$N96&amp;" "&amp;'Compliance Database'!$O96))),OR(Query!$B$10&lt;&gt;"Yes",'Compliance Database'!$F96&lt;&gt;"None")),1,0)</f>
        <v>0</v>
      </c>
      <c r="B96" t="str">
        <f>IF($A96=1,SUM($A$2:$A96),"")</f>
        <v/>
      </c>
      <c r="C96">
        <f>IF($A96=1,SUM($A$2:$A96),0)</f>
        <v>0</v>
      </c>
    </row>
    <row r="97" spans="1:3" x14ac:dyDescent="0.3">
      <c r="A97">
        <f>IF(AND(OR(Query!$B$4="All",'Compliance Database'!$A97=Query!$B$4),OR(Query!$B$5="All",ISNUMBER(SEARCH(Query!$B$5,'Compliance Database'!$H97))),OR(Query!$B$6="All",ISNUMBER(SEARCH(Query!$B$6,'Compliance Database'!$I97))),OR(Query!$B$7="All",'Compliance Database'!$F97=Query!$B$7),OR(Query!$B$8="All",'Compliance Database'!$J97=Query!$B$8),OR(Query!$B$9="",ISNUMBER(SEARCH(Query!$B$9,'Compliance Database'!$D97&amp;" "&amp;'Compliance Database'!$K97&amp;" "&amp;'Compliance Database'!$L97&amp;" "&amp;'Compliance Database'!$M97&amp;" "&amp;'Compliance Database'!$N97&amp;" "&amp;'Compliance Database'!$O97))),OR(Query!$B$10&lt;&gt;"Yes",'Compliance Database'!$F97&lt;&gt;"None")),1,0)</f>
        <v>0</v>
      </c>
      <c r="B97" t="str">
        <f>IF($A97=1,SUM($A$2:$A97),"")</f>
        <v/>
      </c>
      <c r="C97">
        <f>IF($A97=1,SUM($A$2:$A97),0)</f>
        <v>0</v>
      </c>
    </row>
    <row r="98" spans="1:3" x14ac:dyDescent="0.3">
      <c r="A98">
        <f>IF(AND(OR(Query!$B$4="All",'Compliance Database'!$A98=Query!$B$4),OR(Query!$B$5="All",ISNUMBER(SEARCH(Query!$B$5,'Compliance Database'!$H98))),OR(Query!$B$6="All",ISNUMBER(SEARCH(Query!$B$6,'Compliance Database'!$I98))),OR(Query!$B$7="All",'Compliance Database'!$F98=Query!$B$7),OR(Query!$B$8="All",'Compliance Database'!$J98=Query!$B$8),OR(Query!$B$9="",ISNUMBER(SEARCH(Query!$B$9,'Compliance Database'!$D98&amp;" "&amp;'Compliance Database'!$K98&amp;" "&amp;'Compliance Database'!$L98&amp;" "&amp;'Compliance Database'!$M98&amp;" "&amp;'Compliance Database'!$N98&amp;" "&amp;'Compliance Database'!$O98))),OR(Query!$B$10&lt;&gt;"Yes",'Compliance Database'!$F98&lt;&gt;"None")),1,0)</f>
        <v>0</v>
      </c>
      <c r="B98" t="str">
        <f>IF($A98=1,SUM($A$2:$A98),"")</f>
        <v/>
      </c>
      <c r="C98">
        <f>IF($A98=1,SUM($A$2:$A98),0)</f>
        <v>0</v>
      </c>
    </row>
    <row r="99" spans="1:3" x14ac:dyDescent="0.3">
      <c r="A99">
        <f>IF(AND(OR(Query!$B$4="All",'Compliance Database'!$A99=Query!$B$4),OR(Query!$B$5="All",ISNUMBER(SEARCH(Query!$B$5,'Compliance Database'!$H99))),OR(Query!$B$6="All",ISNUMBER(SEARCH(Query!$B$6,'Compliance Database'!$I99))),OR(Query!$B$7="All",'Compliance Database'!$F99=Query!$B$7),OR(Query!$B$8="All",'Compliance Database'!$J99=Query!$B$8),OR(Query!$B$9="",ISNUMBER(SEARCH(Query!$B$9,'Compliance Database'!$D99&amp;" "&amp;'Compliance Database'!$K99&amp;" "&amp;'Compliance Database'!$L99&amp;" "&amp;'Compliance Database'!$M99&amp;" "&amp;'Compliance Database'!$N99&amp;" "&amp;'Compliance Database'!$O99))),OR(Query!$B$10&lt;&gt;"Yes",'Compliance Database'!$F99&lt;&gt;"None")),1,0)</f>
        <v>0</v>
      </c>
      <c r="B99" t="str">
        <f>IF($A99=1,SUM($A$2:$A99),"")</f>
        <v/>
      </c>
      <c r="C99">
        <f>IF($A99=1,SUM($A$2:$A99),0)</f>
        <v>0</v>
      </c>
    </row>
    <row r="100" spans="1:3" x14ac:dyDescent="0.3">
      <c r="A100">
        <f>IF(AND(OR(Query!$B$4="All",'Compliance Database'!$A100=Query!$B$4),OR(Query!$B$5="All",ISNUMBER(SEARCH(Query!$B$5,'Compliance Database'!$H100))),OR(Query!$B$6="All",ISNUMBER(SEARCH(Query!$B$6,'Compliance Database'!$I100))),OR(Query!$B$7="All",'Compliance Database'!$F100=Query!$B$7),OR(Query!$B$8="All",'Compliance Database'!$J100=Query!$B$8),OR(Query!$B$9="",ISNUMBER(SEARCH(Query!$B$9,'Compliance Database'!$D100&amp;" "&amp;'Compliance Database'!$K100&amp;" "&amp;'Compliance Database'!$L100&amp;" "&amp;'Compliance Database'!$M100&amp;" "&amp;'Compliance Database'!$N100&amp;" "&amp;'Compliance Database'!$O100))),OR(Query!$B$10&lt;&gt;"Yes",'Compliance Database'!$F100&lt;&gt;"None")),1,0)</f>
        <v>0</v>
      </c>
      <c r="B100" t="str">
        <f>IF($A100=1,SUM($A$2:$A100),"")</f>
        <v/>
      </c>
      <c r="C100">
        <f>IF($A100=1,SUM($A$2:$A100),0)</f>
        <v>0</v>
      </c>
    </row>
    <row r="101" spans="1:3" x14ac:dyDescent="0.3">
      <c r="A101">
        <f>IF(AND(OR(Query!$B$4="All",'Compliance Database'!$A101=Query!$B$4),OR(Query!$B$5="All",ISNUMBER(SEARCH(Query!$B$5,'Compliance Database'!$H101))),OR(Query!$B$6="All",ISNUMBER(SEARCH(Query!$B$6,'Compliance Database'!$I101))),OR(Query!$B$7="All",'Compliance Database'!$F101=Query!$B$7),OR(Query!$B$8="All",'Compliance Database'!$J101=Query!$B$8),OR(Query!$B$9="",ISNUMBER(SEARCH(Query!$B$9,'Compliance Database'!$D101&amp;" "&amp;'Compliance Database'!$K101&amp;" "&amp;'Compliance Database'!$L101&amp;" "&amp;'Compliance Database'!$M101&amp;" "&amp;'Compliance Database'!$N101&amp;" "&amp;'Compliance Database'!$O101))),OR(Query!$B$10&lt;&gt;"Yes",'Compliance Database'!$F101&lt;&gt;"None")),1,0)</f>
        <v>0</v>
      </c>
      <c r="B101" t="str">
        <f>IF($A101=1,SUM($A$2:$A101),"")</f>
        <v/>
      </c>
      <c r="C101">
        <f>IF($A101=1,SUM($A$2:$A101),0)</f>
        <v>0</v>
      </c>
    </row>
    <row r="102" spans="1:3" x14ac:dyDescent="0.3">
      <c r="A102">
        <f>IF(AND(OR(Query!$B$4="All",'Compliance Database'!$A102=Query!$B$4),OR(Query!$B$5="All",ISNUMBER(SEARCH(Query!$B$5,'Compliance Database'!$H102))),OR(Query!$B$6="All",ISNUMBER(SEARCH(Query!$B$6,'Compliance Database'!$I102))),OR(Query!$B$7="All",'Compliance Database'!$F102=Query!$B$7),OR(Query!$B$8="All",'Compliance Database'!$J102=Query!$B$8),OR(Query!$B$9="",ISNUMBER(SEARCH(Query!$B$9,'Compliance Database'!$D102&amp;" "&amp;'Compliance Database'!$K102&amp;" "&amp;'Compliance Database'!$L102&amp;" "&amp;'Compliance Database'!$M102&amp;" "&amp;'Compliance Database'!$N102&amp;" "&amp;'Compliance Database'!$O102))),OR(Query!$B$10&lt;&gt;"Yes",'Compliance Database'!$F102&lt;&gt;"None")),1,0)</f>
        <v>0</v>
      </c>
      <c r="B102" t="str">
        <f>IF($A102=1,SUM($A$2:$A102),"")</f>
        <v/>
      </c>
      <c r="C102">
        <f>IF($A102=1,SUM($A$2:$A102),0)</f>
        <v>0</v>
      </c>
    </row>
    <row r="103" spans="1:3" x14ac:dyDescent="0.3">
      <c r="A103">
        <f>IF(AND(OR(Query!$B$4="All",'Compliance Database'!$A103=Query!$B$4),OR(Query!$B$5="All",ISNUMBER(SEARCH(Query!$B$5,'Compliance Database'!$H103))),OR(Query!$B$6="All",ISNUMBER(SEARCH(Query!$B$6,'Compliance Database'!$I103))),OR(Query!$B$7="All",'Compliance Database'!$F103=Query!$B$7),OR(Query!$B$8="All",'Compliance Database'!$J103=Query!$B$8),OR(Query!$B$9="",ISNUMBER(SEARCH(Query!$B$9,'Compliance Database'!$D103&amp;" "&amp;'Compliance Database'!$K103&amp;" "&amp;'Compliance Database'!$L103&amp;" "&amp;'Compliance Database'!$M103&amp;" "&amp;'Compliance Database'!$N103&amp;" "&amp;'Compliance Database'!$O103))),OR(Query!$B$10&lt;&gt;"Yes",'Compliance Database'!$F103&lt;&gt;"None")),1,0)</f>
        <v>0</v>
      </c>
      <c r="B103" t="str">
        <f>IF($A103=1,SUM($A$2:$A103),"")</f>
        <v/>
      </c>
      <c r="C103">
        <f>IF($A103=1,SUM($A$2:$A103),0)</f>
        <v>0</v>
      </c>
    </row>
    <row r="104" spans="1:3" x14ac:dyDescent="0.3">
      <c r="A104">
        <f>IF(AND(OR(Query!$B$4="All",'Compliance Database'!$A104=Query!$B$4),OR(Query!$B$5="All",ISNUMBER(SEARCH(Query!$B$5,'Compliance Database'!$H104))),OR(Query!$B$6="All",ISNUMBER(SEARCH(Query!$B$6,'Compliance Database'!$I104))),OR(Query!$B$7="All",'Compliance Database'!$F104=Query!$B$7),OR(Query!$B$8="All",'Compliance Database'!$J104=Query!$B$8),OR(Query!$B$9="",ISNUMBER(SEARCH(Query!$B$9,'Compliance Database'!$D104&amp;" "&amp;'Compliance Database'!$K104&amp;" "&amp;'Compliance Database'!$L104&amp;" "&amp;'Compliance Database'!$M104&amp;" "&amp;'Compliance Database'!$N104&amp;" "&amp;'Compliance Database'!$O104))),OR(Query!$B$10&lt;&gt;"Yes",'Compliance Database'!$F104&lt;&gt;"None")),1,0)</f>
        <v>0</v>
      </c>
      <c r="B104" t="str">
        <f>IF($A104=1,SUM($A$2:$A104),"")</f>
        <v/>
      </c>
      <c r="C104">
        <f>IF($A104=1,SUM($A$2:$A104),0)</f>
        <v>0</v>
      </c>
    </row>
    <row r="105" spans="1:3" x14ac:dyDescent="0.3">
      <c r="A105">
        <f>IF(AND(OR(Query!$B$4="All",'Compliance Database'!$A105=Query!$B$4),OR(Query!$B$5="All",ISNUMBER(SEARCH(Query!$B$5,'Compliance Database'!$H105))),OR(Query!$B$6="All",ISNUMBER(SEARCH(Query!$B$6,'Compliance Database'!$I105))),OR(Query!$B$7="All",'Compliance Database'!$F105=Query!$B$7),OR(Query!$B$8="All",'Compliance Database'!$J105=Query!$B$8),OR(Query!$B$9="",ISNUMBER(SEARCH(Query!$B$9,'Compliance Database'!$D105&amp;" "&amp;'Compliance Database'!$K105&amp;" "&amp;'Compliance Database'!$L105&amp;" "&amp;'Compliance Database'!$M105&amp;" "&amp;'Compliance Database'!$N105&amp;" "&amp;'Compliance Database'!$O105))),OR(Query!$B$10&lt;&gt;"Yes",'Compliance Database'!$F105&lt;&gt;"None")),1,0)</f>
        <v>0</v>
      </c>
      <c r="B105" t="str">
        <f>IF($A105=1,SUM($A$2:$A105),"")</f>
        <v/>
      </c>
      <c r="C105">
        <f>IF($A105=1,SUM($A$2:$A105),0)</f>
        <v>0</v>
      </c>
    </row>
    <row r="106" spans="1:3" x14ac:dyDescent="0.3">
      <c r="A106">
        <f>IF(AND(OR(Query!$B$4="All",'Compliance Database'!$A106=Query!$B$4),OR(Query!$B$5="All",ISNUMBER(SEARCH(Query!$B$5,'Compliance Database'!$H106))),OR(Query!$B$6="All",ISNUMBER(SEARCH(Query!$B$6,'Compliance Database'!$I106))),OR(Query!$B$7="All",'Compliance Database'!$F106=Query!$B$7),OR(Query!$B$8="All",'Compliance Database'!$J106=Query!$B$8),OR(Query!$B$9="",ISNUMBER(SEARCH(Query!$B$9,'Compliance Database'!$D106&amp;" "&amp;'Compliance Database'!$K106&amp;" "&amp;'Compliance Database'!$L106&amp;" "&amp;'Compliance Database'!$M106&amp;" "&amp;'Compliance Database'!$N106&amp;" "&amp;'Compliance Database'!$O106))),OR(Query!$B$10&lt;&gt;"Yes",'Compliance Database'!$F106&lt;&gt;"None")),1,0)</f>
        <v>0</v>
      </c>
      <c r="B106" t="str">
        <f>IF($A106=1,SUM($A$2:$A106),"")</f>
        <v/>
      </c>
      <c r="C106">
        <f>IF($A106=1,SUM($A$2:$A106),0)</f>
        <v>0</v>
      </c>
    </row>
    <row r="107" spans="1:3" x14ac:dyDescent="0.3">
      <c r="A107">
        <f>IF(AND(OR(Query!$B$4="All",'Compliance Database'!$A107=Query!$B$4),OR(Query!$B$5="All",ISNUMBER(SEARCH(Query!$B$5,'Compliance Database'!$H107))),OR(Query!$B$6="All",ISNUMBER(SEARCH(Query!$B$6,'Compliance Database'!$I107))),OR(Query!$B$7="All",'Compliance Database'!$F107=Query!$B$7),OR(Query!$B$8="All",'Compliance Database'!$J107=Query!$B$8),OR(Query!$B$9="",ISNUMBER(SEARCH(Query!$B$9,'Compliance Database'!$D107&amp;" "&amp;'Compliance Database'!$K107&amp;" "&amp;'Compliance Database'!$L107&amp;" "&amp;'Compliance Database'!$M107&amp;" "&amp;'Compliance Database'!$N107&amp;" "&amp;'Compliance Database'!$O107))),OR(Query!$B$10&lt;&gt;"Yes",'Compliance Database'!$F107&lt;&gt;"None")),1,0)</f>
        <v>0</v>
      </c>
      <c r="B107" t="str">
        <f>IF($A107=1,SUM($A$2:$A107),"")</f>
        <v/>
      </c>
      <c r="C107">
        <f>IF($A107=1,SUM($A$2:$A107),0)</f>
        <v>0</v>
      </c>
    </row>
    <row r="108" spans="1:3" x14ac:dyDescent="0.3">
      <c r="A108">
        <f>IF(AND(OR(Query!$B$4="All",'Compliance Database'!$A108=Query!$B$4),OR(Query!$B$5="All",ISNUMBER(SEARCH(Query!$B$5,'Compliance Database'!$H108))),OR(Query!$B$6="All",ISNUMBER(SEARCH(Query!$B$6,'Compliance Database'!$I108))),OR(Query!$B$7="All",'Compliance Database'!$F108=Query!$B$7),OR(Query!$B$8="All",'Compliance Database'!$J108=Query!$B$8),OR(Query!$B$9="",ISNUMBER(SEARCH(Query!$B$9,'Compliance Database'!$D108&amp;" "&amp;'Compliance Database'!$K108&amp;" "&amp;'Compliance Database'!$L108&amp;" "&amp;'Compliance Database'!$M108&amp;" "&amp;'Compliance Database'!$N108&amp;" "&amp;'Compliance Database'!$O108))),OR(Query!$B$10&lt;&gt;"Yes",'Compliance Database'!$F108&lt;&gt;"None")),1,0)</f>
        <v>0</v>
      </c>
      <c r="B108" t="str">
        <f>IF($A108=1,SUM($A$2:$A108),"")</f>
        <v/>
      </c>
      <c r="C108">
        <f>IF($A108=1,SUM($A$2:$A108),0)</f>
        <v>0</v>
      </c>
    </row>
    <row r="109" spans="1:3" x14ac:dyDescent="0.3">
      <c r="A109">
        <f>IF(AND(OR(Query!$B$4="All",'Compliance Database'!$A109=Query!$B$4),OR(Query!$B$5="All",ISNUMBER(SEARCH(Query!$B$5,'Compliance Database'!$H109))),OR(Query!$B$6="All",ISNUMBER(SEARCH(Query!$B$6,'Compliance Database'!$I109))),OR(Query!$B$7="All",'Compliance Database'!$F109=Query!$B$7),OR(Query!$B$8="All",'Compliance Database'!$J109=Query!$B$8),OR(Query!$B$9="",ISNUMBER(SEARCH(Query!$B$9,'Compliance Database'!$D109&amp;" "&amp;'Compliance Database'!$K109&amp;" "&amp;'Compliance Database'!$L109&amp;" "&amp;'Compliance Database'!$M109&amp;" "&amp;'Compliance Database'!$N109&amp;" "&amp;'Compliance Database'!$O109))),OR(Query!$B$10&lt;&gt;"Yes",'Compliance Database'!$F109&lt;&gt;"None")),1,0)</f>
        <v>0</v>
      </c>
      <c r="B109" t="str">
        <f>IF($A109=1,SUM($A$2:$A109),"")</f>
        <v/>
      </c>
      <c r="C109">
        <f>IF($A109=1,SUM($A$2:$A109),0)</f>
        <v>0</v>
      </c>
    </row>
    <row r="110" spans="1:3" x14ac:dyDescent="0.3">
      <c r="A110">
        <f>IF(AND(OR(Query!$B$4="All",'Compliance Database'!$A110=Query!$B$4),OR(Query!$B$5="All",ISNUMBER(SEARCH(Query!$B$5,'Compliance Database'!$H110))),OR(Query!$B$6="All",ISNUMBER(SEARCH(Query!$B$6,'Compliance Database'!$I110))),OR(Query!$B$7="All",'Compliance Database'!$F110=Query!$B$7),OR(Query!$B$8="All",'Compliance Database'!$J110=Query!$B$8),OR(Query!$B$9="",ISNUMBER(SEARCH(Query!$B$9,'Compliance Database'!$D110&amp;" "&amp;'Compliance Database'!$K110&amp;" "&amp;'Compliance Database'!$L110&amp;" "&amp;'Compliance Database'!$M110&amp;" "&amp;'Compliance Database'!$N110&amp;" "&amp;'Compliance Database'!$O110))),OR(Query!$B$10&lt;&gt;"Yes",'Compliance Database'!$F110&lt;&gt;"None")),1,0)</f>
        <v>0</v>
      </c>
      <c r="B110" t="str">
        <f>IF($A110=1,SUM($A$2:$A110),"")</f>
        <v/>
      </c>
      <c r="C110">
        <f>IF($A110=1,SUM($A$2:$A110),0)</f>
        <v>0</v>
      </c>
    </row>
    <row r="111" spans="1:3" x14ac:dyDescent="0.3">
      <c r="A111">
        <f>IF(AND(OR(Query!$B$4="All",'Compliance Database'!$A111=Query!$B$4),OR(Query!$B$5="All",ISNUMBER(SEARCH(Query!$B$5,'Compliance Database'!$H111))),OR(Query!$B$6="All",ISNUMBER(SEARCH(Query!$B$6,'Compliance Database'!$I111))),OR(Query!$B$7="All",'Compliance Database'!$F111=Query!$B$7),OR(Query!$B$8="All",'Compliance Database'!$J111=Query!$B$8),OR(Query!$B$9="",ISNUMBER(SEARCH(Query!$B$9,'Compliance Database'!$D111&amp;" "&amp;'Compliance Database'!$K111&amp;" "&amp;'Compliance Database'!$L111&amp;" "&amp;'Compliance Database'!$M111&amp;" "&amp;'Compliance Database'!$N111&amp;" "&amp;'Compliance Database'!$O111))),OR(Query!$B$10&lt;&gt;"Yes",'Compliance Database'!$F111&lt;&gt;"None")),1,0)</f>
        <v>0</v>
      </c>
      <c r="B111" t="str">
        <f>IF($A111=1,SUM($A$2:$A111),"")</f>
        <v/>
      </c>
      <c r="C111">
        <f>IF($A111=1,SUM($A$2:$A111),0)</f>
        <v>0</v>
      </c>
    </row>
    <row r="112" spans="1:3" x14ac:dyDescent="0.3">
      <c r="A112">
        <f>IF(AND(OR(Query!$B$4="All",'Compliance Database'!$A112=Query!$B$4),OR(Query!$B$5="All",ISNUMBER(SEARCH(Query!$B$5,'Compliance Database'!$H112))),OR(Query!$B$6="All",ISNUMBER(SEARCH(Query!$B$6,'Compliance Database'!$I112))),OR(Query!$B$7="All",'Compliance Database'!$F112=Query!$B$7),OR(Query!$B$8="All",'Compliance Database'!$J112=Query!$B$8),OR(Query!$B$9="",ISNUMBER(SEARCH(Query!$B$9,'Compliance Database'!$D112&amp;" "&amp;'Compliance Database'!$K112&amp;" "&amp;'Compliance Database'!$L112&amp;" "&amp;'Compliance Database'!$M112&amp;" "&amp;'Compliance Database'!$N112&amp;" "&amp;'Compliance Database'!$O112))),OR(Query!$B$10&lt;&gt;"Yes",'Compliance Database'!$F112&lt;&gt;"None")),1,0)</f>
        <v>0</v>
      </c>
      <c r="B112" t="str">
        <f>IF($A112=1,SUM($A$2:$A112),"")</f>
        <v/>
      </c>
      <c r="C112">
        <f>IF($A112=1,SUM($A$2:$A112),0)</f>
        <v>0</v>
      </c>
    </row>
    <row r="113" spans="1:3" x14ac:dyDescent="0.3">
      <c r="A113">
        <f>IF(AND(OR(Query!$B$4="All",'Compliance Database'!$A113=Query!$B$4),OR(Query!$B$5="All",ISNUMBER(SEARCH(Query!$B$5,'Compliance Database'!$H113))),OR(Query!$B$6="All",ISNUMBER(SEARCH(Query!$B$6,'Compliance Database'!$I113))),OR(Query!$B$7="All",'Compliance Database'!$F113=Query!$B$7),OR(Query!$B$8="All",'Compliance Database'!$J113=Query!$B$8),OR(Query!$B$9="",ISNUMBER(SEARCH(Query!$B$9,'Compliance Database'!$D113&amp;" "&amp;'Compliance Database'!$K113&amp;" "&amp;'Compliance Database'!$L113&amp;" "&amp;'Compliance Database'!$M113&amp;" "&amp;'Compliance Database'!$N113&amp;" "&amp;'Compliance Database'!$O113))),OR(Query!$B$10&lt;&gt;"Yes",'Compliance Database'!$F113&lt;&gt;"None")),1,0)</f>
        <v>0</v>
      </c>
      <c r="B113" t="str">
        <f>IF($A113=1,SUM($A$2:$A113),"")</f>
        <v/>
      </c>
      <c r="C113">
        <f>IF($A113=1,SUM($A$2:$A113),0)</f>
        <v>0</v>
      </c>
    </row>
    <row r="114" spans="1:3" x14ac:dyDescent="0.3">
      <c r="A114">
        <f>IF(AND(OR(Query!$B$4="All",'Compliance Database'!$A114=Query!$B$4),OR(Query!$B$5="All",ISNUMBER(SEARCH(Query!$B$5,'Compliance Database'!$H114))),OR(Query!$B$6="All",ISNUMBER(SEARCH(Query!$B$6,'Compliance Database'!$I114))),OR(Query!$B$7="All",'Compliance Database'!$F114=Query!$B$7),OR(Query!$B$8="All",'Compliance Database'!$J114=Query!$B$8),OR(Query!$B$9="",ISNUMBER(SEARCH(Query!$B$9,'Compliance Database'!$D114&amp;" "&amp;'Compliance Database'!$K114&amp;" "&amp;'Compliance Database'!$L114&amp;" "&amp;'Compliance Database'!$M114&amp;" "&amp;'Compliance Database'!$N114&amp;" "&amp;'Compliance Database'!$O114))),OR(Query!$B$10&lt;&gt;"Yes",'Compliance Database'!$F114&lt;&gt;"None")),1,0)</f>
        <v>0</v>
      </c>
      <c r="B114" t="str">
        <f>IF($A114=1,SUM($A$2:$A114),"")</f>
        <v/>
      </c>
      <c r="C114">
        <f>IF($A114=1,SUM($A$2:$A114),0)</f>
        <v>0</v>
      </c>
    </row>
    <row r="115" spans="1:3" x14ac:dyDescent="0.3">
      <c r="A115">
        <f>IF(AND(OR(Query!$B$4="All",'Compliance Database'!$A115=Query!$B$4),OR(Query!$B$5="All",ISNUMBER(SEARCH(Query!$B$5,'Compliance Database'!$H115))),OR(Query!$B$6="All",ISNUMBER(SEARCH(Query!$B$6,'Compliance Database'!$I115))),OR(Query!$B$7="All",'Compliance Database'!$F115=Query!$B$7),OR(Query!$B$8="All",'Compliance Database'!$J115=Query!$B$8),OR(Query!$B$9="",ISNUMBER(SEARCH(Query!$B$9,'Compliance Database'!$D115&amp;" "&amp;'Compliance Database'!$K115&amp;" "&amp;'Compliance Database'!$L115&amp;" "&amp;'Compliance Database'!$M115&amp;" "&amp;'Compliance Database'!$N115&amp;" "&amp;'Compliance Database'!$O115))),OR(Query!$B$10&lt;&gt;"Yes",'Compliance Database'!$F115&lt;&gt;"None")),1,0)</f>
        <v>0</v>
      </c>
      <c r="B115" t="str">
        <f>IF($A115=1,SUM($A$2:$A115),"")</f>
        <v/>
      </c>
      <c r="C115">
        <f>IF($A115=1,SUM($A$2:$A115),0)</f>
        <v>0</v>
      </c>
    </row>
    <row r="116" spans="1:3" x14ac:dyDescent="0.3">
      <c r="A116">
        <f>IF(AND(OR(Query!$B$4="All",'Compliance Database'!$A116=Query!$B$4),OR(Query!$B$5="All",ISNUMBER(SEARCH(Query!$B$5,'Compliance Database'!$H116))),OR(Query!$B$6="All",ISNUMBER(SEARCH(Query!$B$6,'Compliance Database'!$I116))),OR(Query!$B$7="All",'Compliance Database'!$F116=Query!$B$7),OR(Query!$B$8="All",'Compliance Database'!$J116=Query!$B$8),OR(Query!$B$9="",ISNUMBER(SEARCH(Query!$B$9,'Compliance Database'!$D116&amp;" "&amp;'Compliance Database'!$K116&amp;" "&amp;'Compliance Database'!$L116&amp;" "&amp;'Compliance Database'!$M116&amp;" "&amp;'Compliance Database'!$N116&amp;" "&amp;'Compliance Database'!$O116))),OR(Query!$B$10&lt;&gt;"Yes",'Compliance Database'!$F116&lt;&gt;"None")),1,0)</f>
        <v>0</v>
      </c>
      <c r="B116" t="str">
        <f>IF($A116=1,SUM($A$2:$A116),"")</f>
        <v/>
      </c>
      <c r="C116">
        <f>IF($A116=1,SUM($A$2:$A116),0)</f>
        <v>0</v>
      </c>
    </row>
    <row r="117" spans="1:3" x14ac:dyDescent="0.3">
      <c r="A117">
        <f>IF(AND(OR(Query!$B$4="All",'Compliance Database'!$A117=Query!$B$4),OR(Query!$B$5="All",ISNUMBER(SEARCH(Query!$B$5,'Compliance Database'!$H117))),OR(Query!$B$6="All",ISNUMBER(SEARCH(Query!$B$6,'Compliance Database'!$I117))),OR(Query!$B$7="All",'Compliance Database'!$F117=Query!$B$7),OR(Query!$B$8="All",'Compliance Database'!$J117=Query!$B$8),OR(Query!$B$9="",ISNUMBER(SEARCH(Query!$B$9,'Compliance Database'!$D117&amp;" "&amp;'Compliance Database'!$K117&amp;" "&amp;'Compliance Database'!$L117&amp;" "&amp;'Compliance Database'!$M117&amp;" "&amp;'Compliance Database'!$N117&amp;" "&amp;'Compliance Database'!$O117))),OR(Query!$B$10&lt;&gt;"Yes",'Compliance Database'!$F117&lt;&gt;"None")),1,0)</f>
        <v>0</v>
      </c>
      <c r="B117" t="str">
        <f>IF($A117=1,SUM($A$2:$A117),"")</f>
        <v/>
      </c>
      <c r="C117">
        <f>IF($A117=1,SUM($A$2:$A117),0)</f>
        <v>0</v>
      </c>
    </row>
    <row r="118" spans="1:3" x14ac:dyDescent="0.3">
      <c r="A118">
        <f>IF(AND(OR(Query!$B$4="All",'Compliance Database'!$A118=Query!$B$4),OR(Query!$B$5="All",ISNUMBER(SEARCH(Query!$B$5,'Compliance Database'!$H118))),OR(Query!$B$6="All",ISNUMBER(SEARCH(Query!$B$6,'Compliance Database'!$I118))),OR(Query!$B$7="All",'Compliance Database'!$F118=Query!$B$7),OR(Query!$B$8="All",'Compliance Database'!$J118=Query!$B$8),OR(Query!$B$9="",ISNUMBER(SEARCH(Query!$B$9,'Compliance Database'!$D118&amp;" "&amp;'Compliance Database'!$K118&amp;" "&amp;'Compliance Database'!$L118&amp;" "&amp;'Compliance Database'!$M118&amp;" "&amp;'Compliance Database'!$N118&amp;" "&amp;'Compliance Database'!$O118))),OR(Query!$B$10&lt;&gt;"Yes",'Compliance Database'!$F118&lt;&gt;"None")),1,0)</f>
        <v>0</v>
      </c>
      <c r="B118" t="str">
        <f>IF($A118=1,SUM($A$2:$A118),"")</f>
        <v/>
      </c>
      <c r="C118">
        <f>IF($A118=1,SUM($A$2:$A118),0)</f>
        <v>0</v>
      </c>
    </row>
    <row r="119" spans="1:3" x14ac:dyDescent="0.3">
      <c r="A119">
        <f>IF(AND(OR(Query!$B$4="All",'Compliance Database'!$A119=Query!$B$4),OR(Query!$B$5="All",ISNUMBER(SEARCH(Query!$B$5,'Compliance Database'!$H119))),OR(Query!$B$6="All",ISNUMBER(SEARCH(Query!$B$6,'Compliance Database'!$I119))),OR(Query!$B$7="All",'Compliance Database'!$F119=Query!$B$7),OR(Query!$B$8="All",'Compliance Database'!$J119=Query!$B$8),OR(Query!$B$9="",ISNUMBER(SEARCH(Query!$B$9,'Compliance Database'!$D119&amp;" "&amp;'Compliance Database'!$K119&amp;" "&amp;'Compliance Database'!$L119&amp;" "&amp;'Compliance Database'!$M119&amp;" "&amp;'Compliance Database'!$N119&amp;" "&amp;'Compliance Database'!$O119))),OR(Query!$B$10&lt;&gt;"Yes",'Compliance Database'!$F119&lt;&gt;"None")),1,0)</f>
        <v>0</v>
      </c>
      <c r="B119" t="str">
        <f>IF($A119=1,SUM($A$2:$A119),"")</f>
        <v/>
      </c>
      <c r="C119">
        <f>IF($A119=1,SUM($A$2:$A119),0)</f>
        <v>0</v>
      </c>
    </row>
    <row r="120" spans="1:3" x14ac:dyDescent="0.3">
      <c r="A120">
        <f>IF(AND(OR(Query!$B$4="All",'Compliance Database'!$A120=Query!$B$4),OR(Query!$B$5="All",ISNUMBER(SEARCH(Query!$B$5,'Compliance Database'!$H120))),OR(Query!$B$6="All",ISNUMBER(SEARCH(Query!$B$6,'Compliance Database'!$I120))),OR(Query!$B$7="All",'Compliance Database'!$F120=Query!$B$7),OR(Query!$B$8="All",'Compliance Database'!$J120=Query!$B$8),OR(Query!$B$9="",ISNUMBER(SEARCH(Query!$B$9,'Compliance Database'!$D120&amp;" "&amp;'Compliance Database'!$K120&amp;" "&amp;'Compliance Database'!$L120&amp;" "&amp;'Compliance Database'!$M120&amp;" "&amp;'Compliance Database'!$N120&amp;" "&amp;'Compliance Database'!$O120))),OR(Query!$B$10&lt;&gt;"Yes",'Compliance Database'!$F120&lt;&gt;"None")),1,0)</f>
        <v>0</v>
      </c>
      <c r="B120" t="str">
        <f>IF($A120=1,SUM($A$2:$A120),"")</f>
        <v/>
      </c>
      <c r="C120">
        <f>IF($A120=1,SUM($A$2:$A120),0)</f>
        <v>0</v>
      </c>
    </row>
    <row r="121" spans="1:3" x14ac:dyDescent="0.3">
      <c r="A121">
        <f>IF(AND(OR(Query!$B$4="All",'Compliance Database'!$A121=Query!$B$4),OR(Query!$B$5="All",ISNUMBER(SEARCH(Query!$B$5,'Compliance Database'!$H121))),OR(Query!$B$6="All",ISNUMBER(SEARCH(Query!$B$6,'Compliance Database'!$I121))),OR(Query!$B$7="All",'Compliance Database'!$F121=Query!$B$7),OR(Query!$B$8="All",'Compliance Database'!$J121=Query!$B$8),OR(Query!$B$9="",ISNUMBER(SEARCH(Query!$B$9,'Compliance Database'!$D121&amp;" "&amp;'Compliance Database'!$K121&amp;" "&amp;'Compliance Database'!$L121&amp;" "&amp;'Compliance Database'!$M121&amp;" "&amp;'Compliance Database'!$N121&amp;" "&amp;'Compliance Database'!$O121))),OR(Query!$B$10&lt;&gt;"Yes",'Compliance Database'!$F121&lt;&gt;"None")),1,0)</f>
        <v>0</v>
      </c>
      <c r="B121" t="str">
        <f>IF($A121=1,SUM($A$2:$A121),"")</f>
        <v/>
      </c>
      <c r="C121">
        <f>IF($A121=1,SUM($A$2:$A121),0)</f>
        <v>0</v>
      </c>
    </row>
    <row r="122" spans="1:3" x14ac:dyDescent="0.3">
      <c r="A122">
        <f>IF(AND(OR(Query!$B$4="All",'Compliance Database'!$A122=Query!$B$4),OR(Query!$B$5="All",ISNUMBER(SEARCH(Query!$B$5,'Compliance Database'!$H122))),OR(Query!$B$6="All",ISNUMBER(SEARCH(Query!$B$6,'Compliance Database'!$I122))),OR(Query!$B$7="All",'Compliance Database'!$F122=Query!$B$7),OR(Query!$B$8="All",'Compliance Database'!$J122=Query!$B$8),OR(Query!$B$9="",ISNUMBER(SEARCH(Query!$B$9,'Compliance Database'!$D122&amp;" "&amp;'Compliance Database'!$K122&amp;" "&amp;'Compliance Database'!$L122&amp;" "&amp;'Compliance Database'!$M122&amp;" "&amp;'Compliance Database'!$N122&amp;" "&amp;'Compliance Database'!$O122))),OR(Query!$B$10&lt;&gt;"Yes",'Compliance Database'!$F122&lt;&gt;"None")),1,0)</f>
        <v>0</v>
      </c>
      <c r="B122" t="str">
        <f>IF($A122=1,SUM($A$2:$A122),"")</f>
        <v/>
      </c>
      <c r="C122">
        <f>IF($A122=1,SUM($A$2:$A122),0)</f>
        <v>0</v>
      </c>
    </row>
    <row r="123" spans="1:3" x14ac:dyDescent="0.3">
      <c r="A123">
        <f>IF(AND(OR(Query!$B$4="All",'Compliance Database'!$A123=Query!$B$4),OR(Query!$B$5="All",ISNUMBER(SEARCH(Query!$B$5,'Compliance Database'!$H123))),OR(Query!$B$6="All",ISNUMBER(SEARCH(Query!$B$6,'Compliance Database'!$I123))),OR(Query!$B$7="All",'Compliance Database'!$F123=Query!$B$7),OR(Query!$B$8="All",'Compliance Database'!$J123=Query!$B$8),OR(Query!$B$9="",ISNUMBER(SEARCH(Query!$B$9,'Compliance Database'!$D123&amp;" "&amp;'Compliance Database'!$K123&amp;" "&amp;'Compliance Database'!$L123&amp;" "&amp;'Compliance Database'!$M123&amp;" "&amp;'Compliance Database'!$N123&amp;" "&amp;'Compliance Database'!$O123))),OR(Query!$B$10&lt;&gt;"Yes",'Compliance Database'!$F123&lt;&gt;"None")),1,0)</f>
        <v>0</v>
      </c>
      <c r="B123" t="str">
        <f>IF($A123=1,SUM($A$2:$A123),"")</f>
        <v/>
      </c>
      <c r="C123">
        <f>IF($A123=1,SUM($A$2:$A123),0)</f>
        <v>0</v>
      </c>
    </row>
    <row r="124" spans="1:3" x14ac:dyDescent="0.3">
      <c r="A124">
        <f>IF(AND(OR(Query!$B$4="All",'Compliance Database'!$A124=Query!$B$4),OR(Query!$B$5="All",ISNUMBER(SEARCH(Query!$B$5,'Compliance Database'!$H124))),OR(Query!$B$6="All",ISNUMBER(SEARCH(Query!$B$6,'Compliance Database'!$I124))),OR(Query!$B$7="All",'Compliance Database'!$F124=Query!$B$7),OR(Query!$B$8="All",'Compliance Database'!$J124=Query!$B$8),OR(Query!$B$9="",ISNUMBER(SEARCH(Query!$B$9,'Compliance Database'!$D124&amp;" "&amp;'Compliance Database'!$K124&amp;" "&amp;'Compliance Database'!$L124&amp;" "&amp;'Compliance Database'!$M124&amp;" "&amp;'Compliance Database'!$N124&amp;" "&amp;'Compliance Database'!$O124))),OR(Query!$B$10&lt;&gt;"Yes",'Compliance Database'!$F124&lt;&gt;"None")),1,0)</f>
        <v>0</v>
      </c>
      <c r="B124" t="str">
        <f>IF($A124=1,SUM($A$2:$A124),"")</f>
        <v/>
      </c>
      <c r="C124">
        <f>IF($A124=1,SUM($A$2:$A124),0)</f>
        <v>0</v>
      </c>
    </row>
    <row r="125" spans="1:3" x14ac:dyDescent="0.3">
      <c r="A125">
        <f>IF(AND(OR(Query!$B$4="All",'Compliance Database'!$A125=Query!$B$4),OR(Query!$B$5="All",ISNUMBER(SEARCH(Query!$B$5,'Compliance Database'!$H125))),OR(Query!$B$6="All",ISNUMBER(SEARCH(Query!$B$6,'Compliance Database'!$I125))),OR(Query!$B$7="All",'Compliance Database'!$F125=Query!$B$7),OR(Query!$B$8="All",'Compliance Database'!$J125=Query!$B$8),OR(Query!$B$9="",ISNUMBER(SEARCH(Query!$B$9,'Compliance Database'!$D125&amp;" "&amp;'Compliance Database'!$K125&amp;" "&amp;'Compliance Database'!$L125&amp;" "&amp;'Compliance Database'!$M125&amp;" "&amp;'Compliance Database'!$N125&amp;" "&amp;'Compliance Database'!$O125))),OR(Query!$B$10&lt;&gt;"Yes",'Compliance Database'!$F125&lt;&gt;"None")),1,0)</f>
        <v>0</v>
      </c>
      <c r="B125" t="str">
        <f>IF($A125=1,SUM($A$2:$A125),"")</f>
        <v/>
      </c>
      <c r="C125">
        <f>IF($A125=1,SUM($A$2:$A125),0)</f>
        <v>0</v>
      </c>
    </row>
    <row r="126" spans="1:3" x14ac:dyDescent="0.3">
      <c r="A126">
        <f>IF(AND(OR(Query!$B$4="All",'Compliance Database'!$A126=Query!$B$4),OR(Query!$B$5="All",ISNUMBER(SEARCH(Query!$B$5,'Compliance Database'!$H126))),OR(Query!$B$6="All",ISNUMBER(SEARCH(Query!$B$6,'Compliance Database'!$I126))),OR(Query!$B$7="All",'Compliance Database'!$F126=Query!$B$7),OR(Query!$B$8="All",'Compliance Database'!$J126=Query!$B$8),OR(Query!$B$9="",ISNUMBER(SEARCH(Query!$B$9,'Compliance Database'!$D126&amp;" "&amp;'Compliance Database'!$K126&amp;" "&amp;'Compliance Database'!$L126&amp;" "&amp;'Compliance Database'!$M126&amp;" "&amp;'Compliance Database'!$N126&amp;" "&amp;'Compliance Database'!$O126))),OR(Query!$B$10&lt;&gt;"Yes",'Compliance Database'!$F126&lt;&gt;"None")),1,0)</f>
        <v>0</v>
      </c>
      <c r="B126" t="str">
        <f>IF($A126=1,SUM($A$2:$A126),"")</f>
        <v/>
      </c>
      <c r="C126">
        <f>IF($A126=1,SUM($A$2:$A126),0)</f>
        <v>0</v>
      </c>
    </row>
    <row r="127" spans="1:3" x14ac:dyDescent="0.3">
      <c r="A127">
        <f>IF(AND(OR(Query!$B$4="All",'Compliance Database'!$A127=Query!$B$4),OR(Query!$B$5="All",ISNUMBER(SEARCH(Query!$B$5,'Compliance Database'!$H127))),OR(Query!$B$6="All",ISNUMBER(SEARCH(Query!$B$6,'Compliance Database'!$I127))),OR(Query!$B$7="All",'Compliance Database'!$F127=Query!$B$7),OR(Query!$B$8="All",'Compliance Database'!$J127=Query!$B$8),OR(Query!$B$9="",ISNUMBER(SEARCH(Query!$B$9,'Compliance Database'!$D127&amp;" "&amp;'Compliance Database'!$K127&amp;" "&amp;'Compliance Database'!$L127&amp;" "&amp;'Compliance Database'!$M127&amp;" "&amp;'Compliance Database'!$N127&amp;" "&amp;'Compliance Database'!$O127))),OR(Query!$B$10&lt;&gt;"Yes",'Compliance Database'!$F127&lt;&gt;"None")),1,0)</f>
        <v>0</v>
      </c>
      <c r="B127" t="str">
        <f>IF($A127=1,SUM($A$2:$A127),"")</f>
        <v/>
      </c>
      <c r="C127">
        <f>IF($A127=1,SUM($A$2:$A127),0)</f>
        <v>0</v>
      </c>
    </row>
    <row r="128" spans="1:3" x14ac:dyDescent="0.3">
      <c r="A128">
        <f>IF(AND(OR(Query!$B$4="All",'Compliance Database'!$A128=Query!$B$4),OR(Query!$B$5="All",ISNUMBER(SEARCH(Query!$B$5,'Compliance Database'!$H128))),OR(Query!$B$6="All",ISNUMBER(SEARCH(Query!$B$6,'Compliance Database'!$I128))),OR(Query!$B$7="All",'Compliance Database'!$F128=Query!$B$7),OR(Query!$B$8="All",'Compliance Database'!$J128=Query!$B$8),OR(Query!$B$9="",ISNUMBER(SEARCH(Query!$B$9,'Compliance Database'!$D128&amp;" "&amp;'Compliance Database'!$K128&amp;" "&amp;'Compliance Database'!$L128&amp;" "&amp;'Compliance Database'!$M128&amp;" "&amp;'Compliance Database'!$N128&amp;" "&amp;'Compliance Database'!$O128))),OR(Query!$B$10&lt;&gt;"Yes",'Compliance Database'!$F128&lt;&gt;"None")),1,0)</f>
        <v>0</v>
      </c>
      <c r="B128" t="str">
        <f>IF($A128=1,SUM($A$2:$A128),"")</f>
        <v/>
      </c>
      <c r="C128">
        <f>IF($A128=1,SUM($A$2:$A128),0)</f>
        <v>0</v>
      </c>
    </row>
    <row r="129" spans="1:3" x14ac:dyDescent="0.3">
      <c r="A129">
        <f>IF(AND(OR(Query!$B$4="All",'Compliance Database'!$A129=Query!$B$4),OR(Query!$B$5="All",ISNUMBER(SEARCH(Query!$B$5,'Compliance Database'!$H129))),OR(Query!$B$6="All",ISNUMBER(SEARCH(Query!$B$6,'Compliance Database'!$I129))),OR(Query!$B$7="All",'Compliance Database'!$F129=Query!$B$7),OR(Query!$B$8="All",'Compliance Database'!$J129=Query!$B$8),OR(Query!$B$9="",ISNUMBER(SEARCH(Query!$B$9,'Compliance Database'!$D129&amp;" "&amp;'Compliance Database'!$K129&amp;" "&amp;'Compliance Database'!$L129&amp;" "&amp;'Compliance Database'!$M129&amp;" "&amp;'Compliance Database'!$N129&amp;" "&amp;'Compliance Database'!$O129))),OR(Query!$B$10&lt;&gt;"Yes",'Compliance Database'!$F129&lt;&gt;"None")),1,0)</f>
        <v>0</v>
      </c>
      <c r="B129" t="str">
        <f>IF($A129=1,SUM($A$2:$A129),"")</f>
        <v/>
      </c>
      <c r="C129">
        <f>IF($A129=1,SUM($A$2:$A129),0)</f>
        <v>0</v>
      </c>
    </row>
    <row r="130" spans="1:3" x14ac:dyDescent="0.3">
      <c r="A130">
        <f>IF(AND(OR(Query!$B$4="All",'Compliance Database'!$A130=Query!$B$4),OR(Query!$B$5="All",ISNUMBER(SEARCH(Query!$B$5,'Compliance Database'!$H130))),OR(Query!$B$6="All",ISNUMBER(SEARCH(Query!$B$6,'Compliance Database'!$I130))),OR(Query!$B$7="All",'Compliance Database'!$F130=Query!$B$7),OR(Query!$B$8="All",'Compliance Database'!$J130=Query!$B$8),OR(Query!$B$9="",ISNUMBER(SEARCH(Query!$B$9,'Compliance Database'!$D130&amp;" "&amp;'Compliance Database'!$K130&amp;" "&amp;'Compliance Database'!$L130&amp;" "&amp;'Compliance Database'!$M130&amp;" "&amp;'Compliance Database'!$N130&amp;" "&amp;'Compliance Database'!$O130))),OR(Query!$B$10&lt;&gt;"Yes",'Compliance Database'!$F130&lt;&gt;"None")),1,0)</f>
        <v>0</v>
      </c>
      <c r="B130" t="str">
        <f>IF($A130=1,SUM($A$2:$A130),"")</f>
        <v/>
      </c>
      <c r="C130">
        <f>IF($A130=1,SUM($A$2:$A130),0)</f>
        <v>0</v>
      </c>
    </row>
    <row r="131" spans="1:3" x14ac:dyDescent="0.3">
      <c r="A131">
        <f>IF(AND(OR(Query!$B$4="All",'Compliance Database'!$A131=Query!$B$4),OR(Query!$B$5="All",ISNUMBER(SEARCH(Query!$B$5,'Compliance Database'!$H131))),OR(Query!$B$6="All",ISNUMBER(SEARCH(Query!$B$6,'Compliance Database'!$I131))),OR(Query!$B$7="All",'Compliance Database'!$F131=Query!$B$7),OR(Query!$B$8="All",'Compliance Database'!$J131=Query!$B$8),OR(Query!$B$9="",ISNUMBER(SEARCH(Query!$B$9,'Compliance Database'!$D131&amp;" "&amp;'Compliance Database'!$K131&amp;" "&amp;'Compliance Database'!$L131&amp;" "&amp;'Compliance Database'!$M131&amp;" "&amp;'Compliance Database'!$N131&amp;" "&amp;'Compliance Database'!$O131))),OR(Query!$B$10&lt;&gt;"Yes",'Compliance Database'!$F131&lt;&gt;"None")),1,0)</f>
        <v>0</v>
      </c>
      <c r="B131" t="str">
        <f>IF($A131=1,SUM($A$2:$A131),"")</f>
        <v/>
      </c>
      <c r="C131">
        <f>IF($A131=1,SUM($A$2:$A131),0)</f>
        <v>0</v>
      </c>
    </row>
    <row r="132" spans="1:3" x14ac:dyDescent="0.3">
      <c r="A132">
        <f>IF(AND(OR(Query!$B$4="All",'Compliance Database'!$A132=Query!$B$4),OR(Query!$B$5="All",ISNUMBER(SEARCH(Query!$B$5,'Compliance Database'!$H132))),OR(Query!$B$6="All",ISNUMBER(SEARCH(Query!$B$6,'Compliance Database'!$I132))),OR(Query!$B$7="All",'Compliance Database'!$F132=Query!$B$7),OR(Query!$B$8="All",'Compliance Database'!$J132=Query!$B$8),OR(Query!$B$9="",ISNUMBER(SEARCH(Query!$B$9,'Compliance Database'!$D132&amp;" "&amp;'Compliance Database'!$K132&amp;" "&amp;'Compliance Database'!$L132&amp;" "&amp;'Compliance Database'!$M132&amp;" "&amp;'Compliance Database'!$N132&amp;" "&amp;'Compliance Database'!$O132))),OR(Query!$B$10&lt;&gt;"Yes",'Compliance Database'!$F132&lt;&gt;"None")),1,0)</f>
        <v>0</v>
      </c>
      <c r="B132" t="str">
        <f>IF($A132=1,SUM($A$2:$A132),"")</f>
        <v/>
      </c>
      <c r="C132">
        <f>IF($A132=1,SUM($A$2:$A132),0)</f>
        <v>0</v>
      </c>
    </row>
    <row r="133" spans="1:3" x14ac:dyDescent="0.3">
      <c r="A133">
        <f>IF(AND(OR(Query!$B$4="All",'Compliance Database'!$A133=Query!$B$4),OR(Query!$B$5="All",ISNUMBER(SEARCH(Query!$B$5,'Compliance Database'!$H133))),OR(Query!$B$6="All",ISNUMBER(SEARCH(Query!$B$6,'Compliance Database'!$I133))),OR(Query!$B$7="All",'Compliance Database'!$F133=Query!$B$7),OR(Query!$B$8="All",'Compliance Database'!$J133=Query!$B$8),OR(Query!$B$9="",ISNUMBER(SEARCH(Query!$B$9,'Compliance Database'!$D133&amp;" "&amp;'Compliance Database'!$K133&amp;" "&amp;'Compliance Database'!$L133&amp;" "&amp;'Compliance Database'!$M133&amp;" "&amp;'Compliance Database'!$N133&amp;" "&amp;'Compliance Database'!$O133))),OR(Query!$B$10&lt;&gt;"Yes",'Compliance Database'!$F133&lt;&gt;"None")),1,0)</f>
        <v>0</v>
      </c>
      <c r="B133" t="str">
        <f>IF($A133=1,SUM($A$2:$A133),"")</f>
        <v/>
      </c>
      <c r="C133">
        <f>IF($A133=1,SUM($A$2:$A133),0)</f>
        <v>0</v>
      </c>
    </row>
    <row r="134" spans="1:3" x14ac:dyDescent="0.3">
      <c r="A134">
        <f>IF(AND(OR(Query!$B$4="All",'Compliance Database'!$A134=Query!$B$4),OR(Query!$B$5="All",ISNUMBER(SEARCH(Query!$B$5,'Compliance Database'!$H134))),OR(Query!$B$6="All",ISNUMBER(SEARCH(Query!$B$6,'Compliance Database'!$I134))),OR(Query!$B$7="All",'Compliance Database'!$F134=Query!$B$7),OR(Query!$B$8="All",'Compliance Database'!$J134=Query!$B$8),OR(Query!$B$9="",ISNUMBER(SEARCH(Query!$B$9,'Compliance Database'!$D134&amp;" "&amp;'Compliance Database'!$K134&amp;" "&amp;'Compliance Database'!$L134&amp;" "&amp;'Compliance Database'!$M134&amp;" "&amp;'Compliance Database'!$N134&amp;" "&amp;'Compliance Database'!$O134))),OR(Query!$B$10&lt;&gt;"Yes",'Compliance Database'!$F134&lt;&gt;"None")),1,0)</f>
        <v>0</v>
      </c>
      <c r="B134" t="str">
        <f>IF($A134=1,SUM($A$2:$A134),"")</f>
        <v/>
      </c>
      <c r="C134">
        <f>IF($A134=1,SUM($A$2:$A134),0)</f>
        <v>0</v>
      </c>
    </row>
    <row r="135" spans="1:3" x14ac:dyDescent="0.3">
      <c r="A135">
        <f>IF(AND(OR(Query!$B$4="All",'Compliance Database'!$A135=Query!$B$4),OR(Query!$B$5="All",ISNUMBER(SEARCH(Query!$B$5,'Compliance Database'!$H135))),OR(Query!$B$6="All",ISNUMBER(SEARCH(Query!$B$6,'Compliance Database'!$I135))),OR(Query!$B$7="All",'Compliance Database'!$F135=Query!$B$7),OR(Query!$B$8="All",'Compliance Database'!$J135=Query!$B$8),OR(Query!$B$9="",ISNUMBER(SEARCH(Query!$B$9,'Compliance Database'!$D135&amp;" "&amp;'Compliance Database'!$K135&amp;" "&amp;'Compliance Database'!$L135&amp;" "&amp;'Compliance Database'!$M135&amp;" "&amp;'Compliance Database'!$N135&amp;" "&amp;'Compliance Database'!$O135))),OR(Query!$B$10&lt;&gt;"Yes",'Compliance Database'!$F135&lt;&gt;"None")),1,0)</f>
        <v>0</v>
      </c>
      <c r="B135" t="str">
        <f>IF($A135=1,SUM($A$2:$A135),"")</f>
        <v/>
      </c>
      <c r="C135">
        <f>IF($A135=1,SUM($A$2:$A135),0)</f>
        <v>0</v>
      </c>
    </row>
    <row r="136" spans="1:3" x14ac:dyDescent="0.3">
      <c r="A136">
        <f>IF(AND(OR(Query!$B$4="All",'Compliance Database'!$A136=Query!$B$4),OR(Query!$B$5="All",ISNUMBER(SEARCH(Query!$B$5,'Compliance Database'!$H136))),OR(Query!$B$6="All",ISNUMBER(SEARCH(Query!$B$6,'Compliance Database'!$I136))),OR(Query!$B$7="All",'Compliance Database'!$F136=Query!$B$7),OR(Query!$B$8="All",'Compliance Database'!$J136=Query!$B$8),OR(Query!$B$9="",ISNUMBER(SEARCH(Query!$B$9,'Compliance Database'!$D136&amp;" "&amp;'Compliance Database'!$K136&amp;" "&amp;'Compliance Database'!$L136&amp;" "&amp;'Compliance Database'!$M136&amp;" "&amp;'Compliance Database'!$N136&amp;" "&amp;'Compliance Database'!$O136))),OR(Query!$B$10&lt;&gt;"Yes",'Compliance Database'!$F136&lt;&gt;"None")),1,0)</f>
        <v>0</v>
      </c>
      <c r="B136" t="str">
        <f>IF($A136=1,SUM($A$2:$A136),"")</f>
        <v/>
      </c>
      <c r="C136">
        <f>IF($A136=1,SUM($A$2:$A136),0)</f>
        <v>0</v>
      </c>
    </row>
    <row r="137" spans="1:3" x14ac:dyDescent="0.3">
      <c r="A137">
        <f>IF(AND(OR(Query!$B$4="All",'Compliance Database'!$A137=Query!$B$4),OR(Query!$B$5="All",ISNUMBER(SEARCH(Query!$B$5,'Compliance Database'!$H137))),OR(Query!$B$6="All",ISNUMBER(SEARCH(Query!$B$6,'Compliance Database'!$I137))),OR(Query!$B$7="All",'Compliance Database'!$F137=Query!$B$7),OR(Query!$B$8="All",'Compliance Database'!$J137=Query!$B$8),OR(Query!$B$9="",ISNUMBER(SEARCH(Query!$B$9,'Compliance Database'!$D137&amp;" "&amp;'Compliance Database'!$K137&amp;" "&amp;'Compliance Database'!$L137&amp;" "&amp;'Compliance Database'!$M137&amp;" "&amp;'Compliance Database'!$N137&amp;" "&amp;'Compliance Database'!$O137))),OR(Query!$B$10&lt;&gt;"Yes",'Compliance Database'!$F137&lt;&gt;"None")),1,0)</f>
        <v>0</v>
      </c>
      <c r="B137" t="str">
        <f>IF($A137=1,SUM($A$2:$A137),"")</f>
        <v/>
      </c>
      <c r="C137">
        <f>IF($A137=1,SUM($A$2:$A137),0)</f>
        <v>0</v>
      </c>
    </row>
    <row r="138" spans="1:3" x14ac:dyDescent="0.3">
      <c r="A138">
        <f>IF(AND(OR(Query!$B$4="All",'Compliance Database'!$A138=Query!$B$4),OR(Query!$B$5="All",ISNUMBER(SEARCH(Query!$B$5,'Compliance Database'!$H138))),OR(Query!$B$6="All",ISNUMBER(SEARCH(Query!$B$6,'Compliance Database'!$I138))),OR(Query!$B$7="All",'Compliance Database'!$F138=Query!$B$7),OR(Query!$B$8="All",'Compliance Database'!$J138=Query!$B$8),OR(Query!$B$9="",ISNUMBER(SEARCH(Query!$B$9,'Compliance Database'!$D138&amp;" "&amp;'Compliance Database'!$K138&amp;" "&amp;'Compliance Database'!$L138&amp;" "&amp;'Compliance Database'!$M138&amp;" "&amp;'Compliance Database'!$N138&amp;" "&amp;'Compliance Database'!$O138))),OR(Query!$B$10&lt;&gt;"Yes",'Compliance Database'!$F138&lt;&gt;"None")),1,0)</f>
        <v>0</v>
      </c>
      <c r="B138" t="str">
        <f>IF($A138=1,SUM($A$2:$A138),"")</f>
        <v/>
      </c>
      <c r="C138">
        <f>IF($A138=1,SUM($A$2:$A138),0)</f>
        <v>0</v>
      </c>
    </row>
    <row r="139" spans="1:3" x14ac:dyDescent="0.3">
      <c r="A139">
        <f>IF(AND(OR(Query!$B$4="All",'Compliance Database'!$A139=Query!$B$4),OR(Query!$B$5="All",ISNUMBER(SEARCH(Query!$B$5,'Compliance Database'!$H139))),OR(Query!$B$6="All",ISNUMBER(SEARCH(Query!$B$6,'Compliance Database'!$I139))),OR(Query!$B$7="All",'Compliance Database'!$F139=Query!$B$7),OR(Query!$B$8="All",'Compliance Database'!$J139=Query!$B$8),OR(Query!$B$9="",ISNUMBER(SEARCH(Query!$B$9,'Compliance Database'!$D139&amp;" "&amp;'Compliance Database'!$K139&amp;" "&amp;'Compliance Database'!$L139&amp;" "&amp;'Compliance Database'!$M139&amp;" "&amp;'Compliance Database'!$N139&amp;" "&amp;'Compliance Database'!$O139))),OR(Query!$B$10&lt;&gt;"Yes",'Compliance Database'!$F139&lt;&gt;"None")),1,0)</f>
        <v>0</v>
      </c>
      <c r="B139" t="str">
        <f>IF($A139=1,SUM($A$2:$A139),"")</f>
        <v/>
      </c>
      <c r="C139">
        <f>IF($A139=1,SUM($A$2:$A139),0)</f>
        <v>0</v>
      </c>
    </row>
    <row r="140" spans="1:3" x14ac:dyDescent="0.3">
      <c r="A140">
        <f>IF(AND(OR(Query!$B$4="All",'Compliance Database'!$A140=Query!$B$4),OR(Query!$B$5="All",ISNUMBER(SEARCH(Query!$B$5,'Compliance Database'!$H140))),OR(Query!$B$6="All",ISNUMBER(SEARCH(Query!$B$6,'Compliance Database'!$I140))),OR(Query!$B$7="All",'Compliance Database'!$F140=Query!$B$7),OR(Query!$B$8="All",'Compliance Database'!$J140=Query!$B$8),OR(Query!$B$9="",ISNUMBER(SEARCH(Query!$B$9,'Compliance Database'!$D140&amp;" "&amp;'Compliance Database'!$K140&amp;" "&amp;'Compliance Database'!$L140&amp;" "&amp;'Compliance Database'!$M140&amp;" "&amp;'Compliance Database'!$N140&amp;" "&amp;'Compliance Database'!$O140))),OR(Query!$B$10&lt;&gt;"Yes",'Compliance Database'!$F140&lt;&gt;"None")),1,0)</f>
        <v>0</v>
      </c>
      <c r="B140" t="str">
        <f>IF($A140=1,SUM($A$2:$A140),"")</f>
        <v/>
      </c>
      <c r="C140">
        <f>IF($A140=1,SUM($A$2:$A140),0)</f>
        <v>0</v>
      </c>
    </row>
    <row r="141" spans="1:3" x14ac:dyDescent="0.3">
      <c r="A141">
        <f>IF(AND(OR(Query!$B$4="All",'Compliance Database'!$A141=Query!$B$4),OR(Query!$B$5="All",ISNUMBER(SEARCH(Query!$B$5,'Compliance Database'!$H141))),OR(Query!$B$6="All",ISNUMBER(SEARCH(Query!$B$6,'Compliance Database'!$I141))),OR(Query!$B$7="All",'Compliance Database'!$F141=Query!$B$7),OR(Query!$B$8="All",'Compliance Database'!$J141=Query!$B$8),OR(Query!$B$9="",ISNUMBER(SEARCH(Query!$B$9,'Compliance Database'!$D141&amp;" "&amp;'Compliance Database'!$K141&amp;" "&amp;'Compliance Database'!$L141&amp;" "&amp;'Compliance Database'!$M141&amp;" "&amp;'Compliance Database'!$N141&amp;" "&amp;'Compliance Database'!$O141))),OR(Query!$B$10&lt;&gt;"Yes",'Compliance Database'!$F141&lt;&gt;"None")),1,0)</f>
        <v>0</v>
      </c>
      <c r="B141" t="str">
        <f>IF($A141=1,SUM($A$2:$A141),"")</f>
        <v/>
      </c>
      <c r="C141">
        <f>IF($A141=1,SUM($A$2:$A141),0)</f>
        <v>0</v>
      </c>
    </row>
    <row r="142" spans="1:3" x14ac:dyDescent="0.3">
      <c r="A142">
        <f>IF(AND(OR(Query!$B$4="All",'Compliance Database'!$A142=Query!$B$4),OR(Query!$B$5="All",ISNUMBER(SEARCH(Query!$B$5,'Compliance Database'!$H142))),OR(Query!$B$6="All",ISNUMBER(SEARCH(Query!$B$6,'Compliance Database'!$I142))),OR(Query!$B$7="All",'Compliance Database'!$F142=Query!$B$7),OR(Query!$B$8="All",'Compliance Database'!$J142=Query!$B$8),OR(Query!$B$9="",ISNUMBER(SEARCH(Query!$B$9,'Compliance Database'!$D142&amp;" "&amp;'Compliance Database'!$K142&amp;" "&amp;'Compliance Database'!$L142&amp;" "&amp;'Compliance Database'!$M142&amp;" "&amp;'Compliance Database'!$N142&amp;" "&amp;'Compliance Database'!$O142))),OR(Query!$B$10&lt;&gt;"Yes",'Compliance Database'!$F142&lt;&gt;"None")),1,0)</f>
        <v>0</v>
      </c>
      <c r="B142" t="str">
        <f>IF($A142=1,SUM($A$2:$A142),"")</f>
        <v/>
      </c>
      <c r="C142">
        <f>IF($A142=1,SUM($A$2:$A142),0)</f>
        <v>0</v>
      </c>
    </row>
    <row r="143" spans="1:3" x14ac:dyDescent="0.3">
      <c r="A143">
        <f>IF(AND(OR(Query!$B$4="All",'Compliance Database'!$A143=Query!$B$4),OR(Query!$B$5="All",ISNUMBER(SEARCH(Query!$B$5,'Compliance Database'!$H143))),OR(Query!$B$6="All",ISNUMBER(SEARCH(Query!$B$6,'Compliance Database'!$I143))),OR(Query!$B$7="All",'Compliance Database'!$F143=Query!$B$7),OR(Query!$B$8="All",'Compliance Database'!$J143=Query!$B$8),OR(Query!$B$9="",ISNUMBER(SEARCH(Query!$B$9,'Compliance Database'!$D143&amp;" "&amp;'Compliance Database'!$K143&amp;" "&amp;'Compliance Database'!$L143&amp;" "&amp;'Compliance Database'!$M143&amp;" "&amp;'Compliance Database'!$N143&amp;" "&amp;'Compliance Database'!$O143))),OR(Query!$B$10&lt;&gt;"Yes",'Compliance Database'!$F143&lt;&gt;"None")),1,0)</f>
        <v>0</v>
      </c>
      <c r="B143" t="str">
        <f>IF($A143=1,SUM($A$2:$A143),"")</f>
        <v/>
      </c>
      <c r="C143">
        <f>IF($A143=1,SUM($A$2:$A143),0)</f>
        <v>0</v>
      </c>
    </row>
    <row r="144" spans="1:3" x14ac:dyDescent="0.3">
      <c r="A144">
        <f>IF(AND(OR(Query!$B$4="All",'Compliance Database'!$A144=Query!$B$4),OR(Query!$B$5="All",ISNUMBER(SEARCH(Query!$B$5,'Compliance Database'!$H144))),OR(Query!$B$6="All",ISNUMBER(SEARCH(Query!$B$6,'Compliance Database'!$I144))),OR(Query!$B$7="All",'Compliance Database'!$F144=Query!$B$7),OR(Query!$B$8="All",'Compliance Database'!$J144=Query!$B$8),OR(Query!$B$9="",ISNUMBER(SEARCH(Query!$B$9,'Compliance Database'!$D144&amp;" "&amp;'Compliance Database'!$K144&amp;" "&amp;'Compliance Database'!$L144&amp;" "&amp;'Compliance Database'!$M144&amp;" "&amp;'Compliance Database'!$N144&amp;" "&amp;'Compliance Database'!$O144))),OR(Query!$B$10&lt;&gt;"Yes",'Compliance Database'!$F144&lt;&gt;"None")),1,0)</f>
        <v>0</v>
      </c>
      <c r="B144" t="str">
        <f>IF($A144=1,SUM($A$2:$A144),"")</f>
        <v/>
      </c>
      <c r="C144">
        <f>IF($A144=1,SUM($A$2:$A144),0)</f>
        <v>0</v>
      </c>
    </row>
    <row r="145" spans="1:3" x14ac:dyDescent="0.3">
      <c r="A145">
        <f>IF(AND(OR(Query!$B$4="All",'Compliance Database'!$A145=Query!$B$4),OR(Query!$B$5="All",ISNUMBER(SEARCH(Query!$B$5,'Compliance Database'!$H145))),OR(Query!$B$6="All",ISNUMBER(SEARCH(Query!$B$6,'Compliance Database'!$I145))),OR(Query!$B$7="All",'Compliance Database'!$F145=Query!$B$7),OR(Query!$B$8="All",'Compliance Database'!$J145=Query!$B$8),OR(Query!$B$9="",ISNUMBER(SEARCH(Query!$B$9,'Compliance Database'!$D145&amp;" "&amp;'Compliance Database'!$K145&amp;" "&amp;'Compliance Database'!$L145&amp;" "&amp;'Compliance Database'!$M145&amp;" "&amp;'Compliance Database'!$N145&amp;" "&amp;'Compliance Database'!$O145))),OR(Query!$B$10&lt;&gt;"Yes",'Compliance Database'!$F145&lt;&gt;"None")),1,0)</f>
        <v>0</v>
      </c>
      <c r="B145" t="str">
        <f>IF($A145=1,SUM($A$2:$A145),"")</f>
        <v/>
      </c>
      <c r="C145">
        <f>IF($A145=1,SUM($A$2:$A145),0)</f>
        <v>0</v>
      </c>
    </row>
    <row r="146" spans="1:3" x14ac:dyDescent="0.3">
      <c r="A146">
        <f>IF(AND(OR(Query!$B$4="All",'Compliance Database'!$A146=Query!$B$4),OR(Query!$B$5="All",ISNUMBER(SEARCH(Query!$B$5,'Compliance Database'!$H146))),OR(Query!$B$6="All",ISNUMBER(SEARCH(Query!$B$6,'Compliance Database'!$I146))),OR(Query!$B$7="All",'Compliance Database'!$F146=Query!$B$7),OR(Query!$B$8="All",'Compliance Database'!$J146=Query!$B$8),OR(Query!$B$9="",ISNUMBER(SEARCH(Query!$B$9,'Compliance Database'!$D146&amp;" "&amp;'Compliance Database'!$K146&amp;" "&amp;'Compliance Database'!$L146&amp;" "&amp;'Compliance Database'!$M146&amp;" "&amp;'Compliance Database'!$N146&amp;" "&amp;'Compliance Database'!$O146))),OR(Query!$B$10&lt;&gt;"Yes",'Compliance Database'!$F146&lt;&gt;"None")),1,0)</f>
        <v>0</v>
      </c>
      <c r="B146" t="str">
        <f>IF($A146=1,SUM($A$2:$A146),"")</f>
        <v/>
      </c>
      <c r="C146">
        <f>IF($A146=1,SUM($A$2:$A146),0)</f>
        <v>0</v>
      </c>
    </row>
    <row r="147" spans="1:3" x14ac:dyDescent="0.3">
      <c r="A147">
        <f>IF(AND(OR(Query!$B$4="All",'Compliance Database'!$A147=Query!$B$4),OR(Query!$B$5="All",ISNUMBER(SEARCH(Query!$B$5,'Compliance Database'!$H147))),OR(Query!$B$6="All",ISNUMBER(SEARCH(Query!$B$6,'Compliance Database'!$I147))),OR(Query!$B$7="All",'Compliance Database'!$F147=Query!$B$7),OR(Query!$B$8="All",'Compliance Database'!$J147=Query!$B$8),OR(Query!$B$9="",ISNUMBER(SEARCH(Query!$B$9,'Compliance Database'!$D147&amp;" "&amp;'Compliance Database'!$K147&amp;" "&amp;'Compliance Database'!$L147&amp;" "&amp;'Compliance Database'!$M147&amp;" "&amp;'Compliance Database'!$N147&amp;" "&amp;'Compliance Database'!$O147))),OR(Query!$B$10&lt;&gt;"Yes",'Compliance Database'!$F147&lt;&gt;"None")),1,0)</f>
        <v>0</v>
      </c>
      <c r="B147" t="str">
        <f>IF($A147=1,SUM($A$2:$A147),"")</f>
        <v/>
      </c>
      <c r="C147">
        <f>IF($A147=1,SUM($A$2:$A147),0)</f>
        <v>0</v>
      </c>
    </row>
    <row r="148" spans="1:3" x14ac:dyDescent="0.3">
      <c r="A148">
        <f>IF(AND(OR(Query!$B$4="All",'Compliance Database'!$A148=Query!$B$4),OR(Query!$B$5="All",ISNUMBER(SEARCH(Query!$B$5,'Compliance Database'!$H148))),OR(Query!$B$6="All",ISNUMBER(SEARCH(Query!$B$6,'Compliance Database'!$I148))),OR(Query!$B$7="All",'Compliance Database'!$F148=Query!$B$7),OR(Query!$B$8="All",'Compliance Database'!$J148=Query!$B$8),OR(Query!$B$9="",ISNUMBER(SEARCH(Query!$B$9,'Compliance Database'!$D148&amp;" "&amp;'Compliance Database'!$K148&amp;" "&amp;'Compliance Database'!$L148&amp;" "&amp;'Compliance Database'!$M148&amp;" "&amp;'Compliance Database'!$N148&amp;" "&amp;'Compliance Database'!$O148))),OR(Query!$B$10&lt;&gt;"Yes",'Compliance Database'!$F148&lt;&gt;"None")),1,0)</f>
        <v>0</v>
      </c>
      <c r="B148" t="str">
        <f>IF($A148=1,SUM($A$2:$A148),"")</f>
        <v/>
      </c>
      <c r="C148">
        <f>IF($A148=1,SUM($A$2:$A148),0)</f>
        <v>0</v>
      </c>
    </row>
    <row r="149" spans="1:3" x14ac:dyDescent="0.3">
      <c r="A149">
        <f>IF(AND(OR(Query!$B$4="All",'Compliance Database'!$A149=Query!$B$4),OR(Query!$B$5="All",ISNUMBER(SEARCH(Query!$B$5,'Compliance Database'!$H149))),OR(Query!$B$6="All",ISNUMBER(SEARCH(Query!$B$6,'Compliance Database'!$I149))),OR(Query!$B$7="All",'Compliance Database'!$F149=Query!$B$7),OR(Query!$B$8="All",'Compliance Database'!$J149=Query!$B$8),OR(Query!$B$9="",ISNUMBER(SEARCH(Query!$B$9,'Compliance Database'!$D149&amp;" "&amp;'Compliance Database'!$K149&amp;" "&amp;'Compliance Database'!$L149&amp;" "&amp;'Compliance Database'!$M149&amp;" "&amp;'Compliance Database'!$N149&amp;" "&amp;'Compliance Database'!$O149))),OR(Query!$B$10&lt;&gt;"Yes",'Compliance Database'!$F149&lt;&gt;"None")),1,0)</f>
        <v>0</v>
      </c>
      <c r="B149" t="str">
        <f>IF($A149=1,SUM($A$2:$A149),"")</f>
        <v/>
      </c>
      <c r="C149">
        <f>IF($A149=1,SUM($A$2:$A149),0)</f>
        <v>0</v>
      </c>
    </row>
    <row r="150" spans="1:3" x14ac:dyDescent="0.3">
      <c r="A150">
        <f>IF(AND(OR(Query!$B$4="All",'Compliance Database'!$A150=Query!$B$4),OR(Query!$B$5="All",ISNUMBER(SEARCH(Query!$B$5,'Compliance Database'!$H150))),OR(Query!$B$6="All",ISNUMBER(SEARCH(Query!$B$6,'Compliance Database'!$I150))),OR(Query!$B$7="All",'Compliance Database'!$F150=Query!$B$7),OR(Query!$B$8="All",'Compliance Database'!$J150=Query!$B$8),OR(Query!$B$9="",ISNUMBER(SEARCH(Query!$B$9,'Compliance Database'!$D150&amp;" "&amp;'Compliance Database'!$K150&amp;" "&amp;'Compliance Database'!$L150&amp;" "&amp;'Compliance Database'!$M150&amp;" "&amp;'Compliance Database'!$N150&amp;" "&amp;'Compliance Database'!$O150))),OR(Query!$B$10&lt;&gt;"Yes",'Compliance Database'!$F150&lt;&gt;"None")),1,0)</f>
        <v>0</v>
      </c>
      <c r="B150" t="str">
        <f>IF($A150=1,SUM($A$2:$A150),"")</f>
        <v/>
      </c>
      <c r="C150">
        <f>IF($A150=1,SUM($A$2:$A150),0)</f>
        <v>0</v>
      </c>
    </row>
    <row r="151" spans="1:3" x14ac:dyDescent="0.3">
      <c r="A151">
        <f>IF(AND(OR(Query!$B$4="All",'Compliance Database'!$A151=Query!$B$4),OR(Query!$B$5="All",ISNUMBER(SEARCH(Query!$B$5,'Compliance Database'!$H151))),OR(Query!$B$6="All",ISNUMBER(SEARCH(Query!$B$6,'Compliance Database'!$I151))),OR(Query!$B$7="All",'Compliance Database'!$F151=Query!$B$7),OR(Query!$B$8="All",'Compliance Database'!$J151=Query!$B$8),OR(Query!$B$9="",ISNUMBER(SEARCH(Query!$B$9,'Compliance Database'!$D151&amp;" "&amp;'Compliance Database'!$K151&amp;" "&amp;'Compliance Database'!$L151&amp;" "&amp;'Compliance Database'!$M151&amp;" "&amp;'Compliance Database'!$N151&amp;" "&amp;'Compliance Database'!$O151))),OR(Query!$B$10&lt;&gt;"Yes",'Compliance Database'!$F151&lt;&gt;"None")),1,0)</f>
        <v>0</v>
      </c>
      <c r="B151" t="str">
        <f>IF($A151=1,SUM($A$2:$A151),"")</f>
        <v/>
      </c>
      <c r="C151">
        <f>IF($A151=1,SUM($A$2:$A151),0)</f>
        <v>0</v>
      </c>
    </row>
    <row r="152" spans="1:3" x14ac:dyDescent="0.3">
      <c r="A152">
        <f>IF(AND(OR(Query!$B$4="All",'Compliance Database'!$A152=Query!$B$4),OR(Query!$B$5="All",ISNUMBER(SEARCH(Query!$B$5,'Compliance Database'!$H152))),OR(Query!$B$6="All",ISNUMBER(SEARCH(Query!$B$6,'Compliance Database'!$I152))),OR(Query!$B$7="All",'Compliance Database'!$F152=Query!$B$7),OR(Query!$B$8="All",'Compliance Database'!$J152=Query!$B$8),OR(Query!$B$9="",ISNUMBER(SEARCH(Query!$B$9,'Compliance Database'!$D152&amp;" "&amp;'Compliance Database'!$K152&amp;" "&amp;'Compliance Database'!$L152&amp;" "&amp;'Compliance Database'!$M152&amp;" "&amp;'Compliance Database'!$N152&amp;" "&amp;'Compliance Database'!$O152))),OR(Query!$B$10&lt;&gt;"Yes",'Compliance Database'!$F152&lt;&gt;"None")),1,0)</f>
        <v>0</v>
      </c>
      <c r="B152" t="str">
        <f>IF($A152=1,SUM($A$2:$A152),"")</f>
        <v/>
      </c>
      <c r="C152">
        <f>IF($A152=1,SUM($A$2:$A152),0)</f>
        <v>0</v>
      </c>
    </row>
    <row r="153" spans="1:3" x14ac:dyDescent="0.3">
      <c r="A153">
        <f>IF(AND(OR(Query!$B$4="All",'Compliance Database'!$A153=Query!$B$4),OR(Query!$B$5="All",ISNUMBER(SEARCH(Query!$B$5,'Compliance Database'!$H153))),OR(Query!$B$6="All",ISNUMBER(SEARCH(Query!$B$6,'Compliance Database'!$I153))),OR(Query!$B$7="All",'Compliance Database'!$F153=Query!$B$7),OR(Query!$B$8="All",'Compliance Database'!$J153=Query!$B$8),OR(Query!$B$9="",ISNUMBER(SEARCH(Query!$B$9,'Compliance Database'!$D153&amp;" "&amp;'Compliance Database'!$K153&amp;" "&amp;'Compliance Database'!$L153&amp;" "&amp;'Compliance Database'!$M153&amp;" "&amp;'Compliance Database'!$N153&amp;" "&amp;'Compliance Database'!$O153))),OR(Query!$B$10&lt;&gt;"Yes",'Compliance Database'!$F153&lt;&gt;"None")),1,0)</f>
        <v>0</v>
      </c>
      <c r="B153" t="str">
        <f>IF($A153=1,SUM($A$2:$A153),"")</f>
        <v/>
      </c>
      <c r="C153">
        <f>IF($A153=1,SUM($A$2:$A153),0)</f>
        <v>0</v>
      </c>
    </row>
    <row r="154" spans="1:3" x14ac:dyDescent="0.3">
      <c r="A154">
        <f>IF(AND(OR(Query!$B$4="All",'Compliance Database'!$A154=Query!$B$4),OR(Query!$B$5="All",ISNUMBER(SEARCH(Query!$B$5,'Compliance Database'!$H154))),OR(Query!$B$6="All",ISNUMBER(SEARCH(Query!$B$6,'Compliance Database'!$I154))),OR(Query!$B$7="All",'Compliance Database'!$F154=Query!$B$7),OR(Query!$B$8="All",'Compliance Database'!$J154=Query!$B$8),OR(Query!$B$9="",ISNUMBER(SEARCH(Query!$B$9,'Compliance Database'!$D154&amp;" "&amp;'Compliance Database'!$K154&amp;" "&amp;'Compliance Database'!$L154&amp;" "&amp;'Compliance Database'!$M154&amp;" "&amp;'Compliance Database'!$N154&amp;" "&amp;'Compliance Database'!$O154))),OR(Query!$B$10&lt;&gt;"Yes",'Compliance Database'!$F154&lt;&gt;"None")),1,0)</f>
        <v>0</v>
      </c>
      <c r="B154" t="str">
        <f>IF($A154=1,SUM($A$2:$A154),"")</f>
        <v/>
      </c>
      <c r="C154">
        <f>IF($A154=1,SUM($A$2:$A154),0)</f>
        <v>0</v>
      </c>
    </row>
    <row r="155" spans="1:3" x14ac:dyDescent="0.3">
      <c r="A155">
        <f>IF(AND(OR(Query!$B$4="All",'Compliance Database'!$A155=Query!$B$4),OR(Query!$B$5="All",ISNUMBER(SEARCH(Query!$B$5,'Compliance Database'!$H155))),OR(Query!$B$6="All",ISNUMBER(SEARCH(Query!$B$6,'Compliance Database'!$I155))),OR(Query!$B$7="All",'Compliance Database'!$F155=Query!$B$7),OR(Query!$B$8="All",'Compliance Database'!$J155=Query!$B$8),OR(Query!$B$9="",ISNUMBER(SEARCH(Query!$B$9,'Compliance Database'!$D155&amp;" "&amp;'Compliance Database'!$K155&amp;" "&amp;'Compliance Database'!$L155&amp;" "&amp;'Compliance Database'!$M155&amp;" "&amp;'Compliance Database'!$N155&amp;" "&amp;'Compliance Database'!$O155))),OR(Query!$B$10&lt;&gt;"Yes",'Compliance Database'!$F155&lt;&gt;"None")),1,0)</f>
        <v>0</v>
      </c>
      <c r="B155" t="str">
        <f>IF($A155=1,SUM($A$2:$A155),"")</f>
        <v/>
      </c>
      <c r="C155">
        <f>IF($A155=1,SUM($A$2:$A155),0)</f>
        <v>0</v>
      </c>
    </row>
    <row r="156" spans="1:3" x14ac:dyDescent="0.3">
      <c r="A156">
        <f>IF(AND(OR(Query!$B$4="All",'Compliance Database'!$A156=Query!$B$4),OR(Query!$B$5="All",ISNUMBER(SEARCH(Query!$B$5,'Compliance Database'!$H156))),OR(Query!$B$6="All",ISNUMBER(SEARCH(Query!$B$6,'Compliance Database'!$I156))),OR(Query!$B$7="All",'Compliance Database'!$F156=Query!$B$7),OR(Query!$B$8="All",'Compliance Database'!$J156=Query!$B$8),OR(Query!$B$9="",ISNUMBER(SEARCH(Query!$B$9,'Compliance Database'!$D156&amp;" "&amp;'Compliance Database'!$K156&amp;" "&amp;'Compliance Database'!$L156&amp;" "&amp;'Compliance Database'!$M156&amp;" "&amp;'Compliance Database'!$N156&amp;" "&amp;'Compliance Database'!$O156))),OR(Query!$B$10&lt;&gt;"Yes",'Compliance Database'!$F156&lt;&gt;"None")),1,0)</f>
        <v>0</v>
      </c>
      <c r="B156" t="str">
        <f>IF($A156=1,SUM($A$2:$A156),"")</f>
        <v/>
      </c>
      <c r="C156">
        <f>IF($A156=1,SUM($A$2:$A156),0)</f>
        <v>0</v>
      </c>
    </row>
    <row r="157" spans="1:3" x14ac:dyDescent="0.3">
      <c r="A157">
        <f>IF(AND(OR(Query!$B$4="All",'Compliance Database'!$A157=Query!$B$4),OR(Query!$B$5="All",ISNUMBER(SEARCH(Query!$B$5,'Compliance Database'!$H157))),OR(Query!$B$6="All",ISNUMBER(SEARCH(Query!$B$6,'Compliance Database'!$I157))),OR(Query!$B$7="All",'Compliance Database'!$F157=Query!$B$7),OR(Query!$B$8="All",'Compliance Database'!$J157=Query!$B$8),OR(Query!$B$9="",ISNUMBER(SEARCH(Query!$B$9,'Compliance Database'!$D157&amp;" "&amp;'Compliance Database'!$K157&amp;" "&amp;'Compliance Database'!$L157&amp;" "&amp;'Compliance Database'!$M157&amp;" "&amp;'Compliance Database'!$N157&amp;" "&amp;'Compliance Database'!$O157))),OR(Query!$B$10&lt;&gt;"Yes",'Compliance Database'!$F157&lt;&gt;"None")),1,0)</f>
        <v>0</v>
      </c>
      <c r="B157" t="str">
        <f>IF($A157=1,SUM($A$2:$A157),"")</f>
        <v/>
      </c>
      <c r="C157">
        <f>IF($A157=1,SUM($A$2:$A157),0)</f>
        <v>0</v>
      </c>
    </row>
    <row r="158" spans="1:3" x14ac:dyDescent="0.3">
      <c r="A158">
        <f>IF(AND(OR(Query!$B$4="All",'Compliance Database'!$A158=Query!$B$4),OR(Query!$B$5="All",ISNUMBER(SEARCH(Query!$B$5,'Compliance Database'!$H158))),OR(Query!$B$6="All",ISNUMBER(SEARCH(Query!$B$6,'Compliance Database'!$I158))),OR(Query!$B$7="All",'Compliance Database'!$F158=Query!$B$7),OR(Query!$B$8="All",'Compliance Database'!$J158=Query!$B$8),OR(Query!$B$9="",ISNUMBER(SEARCH(Query!$B$9,'Compliance Database'!$D158&amp;" "&amp;'Compliance Database'!$K158&amp;" "&amp;'Compliance Database'!$L158&amp;" "&amp;'Compliance Database'!$M158&amp;" "&amp;'Compliance Database'!$N158&amp;" "&amp;'Compliance Database'!$O158))),OR(Query!$B$10&lt;&gt;"Yes",'Compliance Database'!$F158&lt;&gt;"None")),1,0)</f>
        <v>0</v>
      </c>
      <c r="B158" t="str">
        <f>IF($A158=1,SUM($A$2:$A158),"")</f>
        <v/>
      </c>
      <c r="C158">
        <f>IF($A158=1,SUM($A$2:$A158),0)</f>
        <v>0</v>
      </c>
    </row>
    <row r="159" spans="1:3" x14ac:dyDescent="0.3">
      <c r="A159">
        <f>IF(AND(OR(Query!$B$4="All",'Compliance Database'!$A159=Query!$B$4),OR(Query!$B$5="All",ISNUMBER(SEARCH(Query!$B$5,'Compliance Database'!$H159))),OR(Query!$B$6="All",ISNUMBER(SEARCH(Query!$B$6,'Compliance Database'!$I159))),OR(Query!$B$7="All",'Compliance Database'!$F159=Query!$B$7),OR(Query!$B$8="All",'Compliance Database'!$J159=Query!$B$8),OR(Query!$B$9="",ISNUMBER(SEARCH(Query!$B$9,'Compliance Database'!$D159&amp;" "&amp;'Compliance Database'!$K159&amp;" "&amp;'Compliance Database'!$L159&amp;" "&amp;'Compliance Database'!$M159&amp;" "&amp;'Compliance Database'!$N159&amp;" "&amp;'Compliance Database'!$O159))),OR(Query!$B$10&lt;&gt;"Yes",'Compliance Database'!$F159&lt;&gt;"None")),1,0)</f>
        <v>0</v>
      </c>
      <c r="B159" t="str">
        <f>IF($A159=1,SUM($A$2:$A159),"")</f>
        <v/>
      </c>
      <c r="C159">
        <f>IF($A159=1,SUM($A$2:$A159),0)</f>
        <v>0</v>
      </c>
    </row>
    <row r="160" spans="1:3" x14ac:dyDescent="0.3">
      <c r="A160">
        <f>IF(AND(OR(Query!$B$4="All",'Compliance Database'!$A160=Query!$B$4),OR(Query!$B$5="All",ISNUMBER(SEARCH(Query!$B$5,'Compliance Database'!$H160))),OR(Query!$B$6="All",ISNUMBER(SEARCH(Query!$B$6,'Compliance Database'!$I160))),OR(Query!$B$7="All",'Compliance Database'!$F160=Query!$B$7),OR(Query!$B$8="All",'Compliance Database'!$J160=Query!$B$8),OR(Query!$B$9="",ISNUMBER(SEARCH(Query!$B$9,'Compliance Database'!$D160&amp;" "&amp;'Compliance Database'!$K160&amp;" "&amp;'Compliance Database'!$L160&amp;" "&amp;'Compliance Database'!$M160&amp;" "&amp;'Compliance Database'!$N160&amp;" "&amp;'Compliance Database'!$O160))),OR(Query!$B$10&lt;&gt;"Yes",'Compliance Database'!$F160&lt;&gt;"None")),1,0)</f>
        <v>0</v>
      </c>
      <c r="B160" t="str">
        <f>IF($A160=1,SUM($A$2:$A160),"")</f>
        <v/>
      </c>
      <c r="C160">
        <f>IF($A160=1,SUM($A$2:$A160),0)</f>
        <v>0</v>
      </c>
    </row>
    <row r="161" spans="1:3" x14ac:dyDescent="0.3">
      <c r="A161">
        <f>IF(AND(OR(Query!$B$4="All",'Compliance Database'!$A161=Query!$B$4),OR(Query!$B$5="All",ISNUMBER(SEARCH(Query!$B$5,'Compliance Database'!$H161))),OR(Query!$B$6="All",ISNUMBER(SEARCH(Query!$B$6,'Compliance Database'!$I161))),OR(Query!$B$7="All",'Compliance Database'!$F161=Query!$B$7),OR(Query!$B$8="All",'Compliance Database'!$J161=Query!$B$8),OR(Query!$B$9="",ISNUMBER(SEARCH(Query!$B$9,'Compliance Database'!$D161&amp;" "&amp;'Compliance Database'!$K161&amp;" "&amp;'Compliance Database'!$L161&amp;" "&amp;'Compliance Database'!$M161&amp;" "&amp;'Compliance Database'!$N161&amp;" "&amp;'Compliance Database'!$O161))),OR(Query!$B$10&lt;&gt;"Yes",'Compliance Database'!$F161&lt;&gt;"None")),1,0)</f>
        <v>0</v>
      </c>
      <c r="B161" t="str">
        <f>IF($A161=1,SUM($A$2:$A161),"")</f>
        <v/>
      </c>
      <c r="C161">
        <f>IF($A161=1,SUM($A$2:$A161),0)</f>
        <v>0</v>
      </c>
    </row>
    <row r="162" spans="1:3" x14ac:dyDescent="0.3">
      <c r="A162">
        <f>IF(AND(OR(Query!$B$4="All",'Compliance Database'!$A162=Query!$B$4),OR(Query!$B$5="All",ISNUMBER(SEARCH(Query!$B$5,'Compliance Database'!$H162))),OR(Query!$B$6="All",ISNUMBER(SEARCH(Query!$B$6,'Compliance Database'!$I162))),OR(Query!$B$7="All",'Compliance Database'!$F162=Query!$B$7),OR(Query!$B$8="All",'Compliance Database'!$J162=Query!$B$8),OR(Query!$B$9="",ISNUMBER(SEARCH(Query!$B$9,'Compliance Database'!$D162&amp;" "&amp;'Compliance Database'!$K162&amp;" "&amp;'Compliance Database'!$L162&amp;" "&amp;'Compliance Database'!$M162&amp;" "&amp;'Compliance Database'!$N162&amp;" "&amp;'Compliance Database'!$O162))),OR(Query!$B$10&lt;&gt;"Yes",'Compliance Database'!$F162&lt;&gt;"None")),1,0)</f>
        <v>0</v>
      </c>
      <c r="B162" t="str">
        <f>IF($A162=1,SUM($A$2:$A162),"")</f>
        <v/>
      </c>
      <c r="C162">
        <f>IF($A162=1,SUM($A$2:$A162),0)</f>
        <v>0</v>
      </c>
    </row>
    <row r="163" spans="1:3" x14ac:dyDescent="0.3">
      <c r="A163">
        <f>IF(AND(OR(Query!$B$4="All",'Compliance Database'!$A163=Query!$B$4),OR(Query!$B$5="All",ISNUMBER(SEARCH(Query!$B$5,'Compliance Database'!$H163))),OR(Query!$B$6="All",ISNUMBER(SEARCH(Query!$B$6,'Compliance Database'!$I163))),OR(Query!$B$7="All",'Compliance Database'!$F163=Query!$B$7),OR(Query!$B$8="All",'Compliance Database'!$J163=Query!$B$8),OR(Query!$B$9="",ISNUMBER(SEARCH(Query!$B$9,'Compliance Database'!$D163&amp;" "&amp;'Compliance Database'!$K163&amp;" "&amp;'Compliance Database'!$L163&amp;" "&amp;'Compliance Database'!$M163&amp;" "&amp;'Compliance Database'!$N163&amp;" "&amp;'Compliance Database'!$O163))),OR(Query!$B$10&lt;&gt;"Yes",'Compliance Database'!$F163&lt;&gt;"None")),1,0)</f>
        <v>0</v>
      </c>
      <c r="B163" t="str">
        <f>IF($A163=1,SUM($A$2:$A163),"")</f>
        <v/>
      </c>
      <c r="C163">
        <f>IF($A163=1,SUM($A$2:$A163),0)</f>
        <v>0</v>
      </c>
    </row>
    <row r="164" spans="1:3" x14ac:dyDescent="0.3">
      <c r="A164">
        <f>IF(AND(OR(Query!$B$4="All",'Compliance Database'!$A164=Query!$B$4),OR(Query!$B$5="All",ISNUMBER(SEARCH(Query!$B$5,'Compliance Database'!$H164))),OR(Query!$B$6="All",ISNUMBER(SEARCH(Query!$B$6,'Compliance Database'!$I164))),OR(Query!$B$7="All",'Compliance Database'!$F164=Query!$B$7),OR(Query!$B$8="All",'Compliance Database'!$J164=Query!$B$8),OR(Query!$B$9="",ISNUMBER(SEARCH(Query!$B$9,'Compliance Database'!$D164&amp;" "&amp;'Compliance Database'!$K164&amp;" "&amp;'Compliance Database'!$L164&amp;" "&amp;'Compliance Database'!$M164&amp;" "&amp;'Compliance Database'!$N164&amp;" "&amp;'Compliance Database'!$O164))),OR(Query!$B$10&lt;&gt;"Yes",'Compliance Database'!$F164&lt;&gt;"None")),1,0)</f>
        <v>0</v>
      </c>
      <c r="B164" t="str">
        <f>IF($A164=1,SUM($A$2:$A164),"")</f>
        <v/>
      </c>
      <c r="C164">
        <f>IF($A164=1,SUM($A$2:$A164),0)</f>
        <v>0</v>
      </c>
    </row>
    <row r="165" spans="1:3" x14ac:dyDescent="0.3">
      <c r="A165">
        <f>IF(AND(OR(Query!$B$4="All",'Compliance Database'!$A165=Query!$B$4),OR(Query!$B$5="All",ISNUMBER(SEARCH(Query!$B$5,'Compliance Database'!$H165))),OR(Query!$B$6="All",ISNUMBER(SEARCH(Query!$B$6,'Compliance Database'!$I165))),OR(Query!$B$7="All",'Compliance Database'!$F165=Query!$B$7),OR(Query!$B$8="All",'Compliance Database'!$J165=Query!$B$8),OR(Query!$B$9="",ISNUMBER(SEARCH(Query!$B$9,'Compliance Database'!$D165&amp;" "&amp;'Compliance Database'!$K165&amp;" "&amp;'Compliance Database'!$L165&amp;" "&amp;'Compliance Database'!$M165&amp;" "&amp;'Compliance Database'!$N165&amp;" "&amp;'Compliance Database'!$O165))),OR(Query!$B$10&lt;&gt;"Yes",'Compliance Database'!$F165&lt;&gt;"None")),1,0)</f>
        <v>0</v>
      </c>
      <c r="B165" t="str">
        <f>IF($A165=1,SUM($A$2:$A165),"")</f>
        <v/>
      </c>
      <c r="C165">
        <f>IF($A165=1,SUM($A$2:$A165),0)</f>
        <v>0</v>
      </c>
    </row>
    <row r="166" spans="1:3" x14ac:dyDescent="0.3">
      <c r="A166">
        <f>IF(AND(OR(Query!$B$4="All",'Compliance Database'!$A166=Query!$B$4),OR(Query!$B$5="All",ISNUMBER(SEARCH(Query!$B$5,'Compliance Database'!$H166))),OR(Query!$B$6="All",ISNUMBER(SEARCH(Query!$B$6,'Compliance Database'!$I166))),OR(Query!$B$7="All",'Compliance Database'!$F166=Query!$B$7),OR(Query!$B$8="All",'Compliance Database'!$J166=Query!$B$8),OR(Query!$B$9="",ISNUMBER(SEARCH(Query!$B$9,'Compliance Database'!$D166&amp;" "&amp;'Compliance Database'!$K166&amp;" "&amp;'Compliance Database'!$L166&amp;" "&amp;'Compliance Database'!$M166&amp;" "&amp;'Compliance Database'!$N166&amp;" "&amp;'Compliance Database'!$O166))),OR(Query!$B$10&lt;&gt;"Yes",'Compliance Database'!$F166&lt;&gt;"None")),1,0)</f>
        <v>0</v>
      </c>
      <c r="B166" t="str">
        <f>IF($A166=1,SUM($A$2:$A166),"")</f>
        <v/>
      </c>
      <c r="C166">
        <f>IF($A166=1,SUM($A$2:$A166),0)</f>
        <v>0</v>
      </c>
    </row>
    <row r="167" spans="1:3" x14ac:dyDescent="0.3">
      <c r="A167">
        <f>IF(AND(OR(Query!$B$4="All",'Compliance Database'!$A167=Query!$B$4),OR(Query!$B$5="All",ISNUMBER(SEARCH(Query!$B$5,'Compliance Database'!$H167))),OR(Query!$B$6="All",ISNUMBER(SEARCH(Query!$B$6,'Compliance Database'!$I167))),OR(Query!$B$7="All",'Compliance Database'!$F167=Query!$B$7),OR(Query!$B$8="All",'Compliance Database'!$J167=Query!$B$8),OR(Query!$B$9="",ISNUMBER(SEARCH(Query!$B$9,'Compliance Database'!$D167&amp;" "&amp;'Compliance Database'!$K167&amp;" "&amp;'Compliance Database'!$L167&amp;" "&amp;'Compliance Database'!$M167&amp;" "&amp;'Compliance Database'!$N167&amp;" "&amp;'Compliance Database'!$O167))),OR(Query!$B$10&lt;&gt;"Yes",'Compliance Database'!$F167&lt;&gt;"None")),1,0)</f>
        <v>0</v>
      </c>
      <c r="B167" t="str">
        <f>IF($A167=1,SUM($A$2:$A167),"")</f>
        <v/>
      </c>
      <c r="C167">
        <f>IF($A167=1,SUM($A$2:$A167),0)</f>
        <v>0</v>
      </c>
    </row>
    <row r="168" spans="1:3" x14ac:dyDescent="0.3">
      <c r="A168">
        <f>IF(AND(OR(Query!$B$4="All",'Compliance Database'!$A168=Query!$B$4),OR(Query!$B$5="All",ISNUMBER(SEARCH(Query!$B$5,'Compliance Database'!$H168))),OR(Query!$B$6="All",ISNUMBER(SEARCH(Query!$B$6,'Compliance Database'!$I168))),OR(Query!$B$7="All",'Compliance Database'!$F168=Query!$B$7),OR(Query!$B$8="All",'Compliance Database'!$J168=Query!$B$8),OR(Query!$B$9="",ISNUMBER(SEARCH(Query!$B$9,'Compliance Database'!$D168&amp;" "&amp;'Compliance Database'!$K168&amp;" "&amp;'Compliance Database'!$L168&amp;" "&amp;'Compliance Database'!$M168&amp;" "&amp;'Compliance Database'!$N168&amp;" "&amp;'Compliance Database'!$O168))),OR(Query!$B$10&lt;&gt;"Yes",'Compliance Database'!$F168&lt;&gt;"None")),1,0)</f>
        <v>0</v>
      </c>
      <c r="B168" t="str">
        <f>IF($A168=1,SUM($A$2:$A168),"")</f>
        <v/>
      </c>
      <c r="C168">
        <f>IF($A168=1,SUM($A$2:$A168),0)</f>
        <v>0</v>
      </c>
    </row>
    <row r="169" spans="1:3" x14ac:dyDescent="0.3">
      <c r="A169">
        <f>IF(AND(OR(Query!$B$4="All",'Compliance Database'!$A169=Query!$B$4),OR(Query!$B$5="All",ISNUMBER(SEARCH(Query!$B$5,'Compliance Database'!$H169))),OR(Query!$B$6="All",ISNUMBER(SEARCH(Query!$B$6,'Compliance Database'!$I169))),OR(Query!$B$7="All",'Compliance Database'!$F169=Query!$B$7),OR(Query!$B$8="All",'Compliance Database'!$J169=Query!$B$8),OR(Query!$B$9="",ISNUMBER(SEARCH(Query!$B$9,'Compliance Database'!$D169&amp;" "&amp;'Compliance Database'!$K169&amp;" "&amp;'Compliance Database'!$L169&amp;" "&amp;'Compliance Database'!$M169&amp;" "&amp;'Compliance Database'!$N169&amp;" "&amp;'Compliance Database'!$O169))),OR(Query!$B$10&lt;&gt;"Yes",'Compliance Database'!$F169&lt;&gt;"None")),1,0)</f>
        <v>0</v>
      </c>
      <c r="B169" t="str">
        <f>IF($A169=1,SUM($A$2:$A169),"")</f>
        <v/>
      </c>
      <c r="C169">
        <f>IF($A169=1,SUM($A$2:$A169),0)</f>
        <v>0</v>
      </c>
    </row>
    <row r="170" spans="1:3" x14ac:dyDescent="0.3">
      <c r="A170">
        <f>IF(AND(OR(Query!$B$4="All",'Compliance Database'!$A170=Query!$B$4),OR(Query!$B$5="All",ISNUMBER(SEARCH(Query!$B$5,'Compliance Database'!$H170))),OR(Query!$B$6="All",ISNUMBER(SEARCH(Query!$B$6,'Compliance Database'!$I170))),OR(Query!$B$7="All",'Compliance Database'!$F170=Query!$B$7),OR(Query!$B$8="All",'Compliance Database'!$J170=Query!$B$8),OR(Query!$B$9="",ISNUMBER(SEARCH(Query!$B$9,'Compliance Database'!$D170&amp;" "&amp;'Compliance Database'!$K170&amp;" "&amp;'Compliance Database'!$L170&amp;" "&amp;'Compliance Database'!$M170&amp;" "&amp;'Compliance Database'!$N170&amp;" "&amp;'Compliance Database'!$O170))),OR(Query!$B$10&lt;&gt;"Yes",'Compliance Database'!$F170&lt;&gt;"None")),1,0)</f>
        <v>0</v>
      </c>
      <c r="B170" t="str">
        <f>IF($A170=1,SUM($A$2:$A170),"")</f>
        <v/>
      </c>
      <c r="C170">
        <f>IF($A170=1,SUM($A$2:$A170),0)</f>
        <v>0</v>
      </c>
    </row>
    <row r="171" spans="1:3" x14ac:dyDescent="0.3">
      <c r="A171">
        <f>IF(AND(OR(Query!$B$4="All",'Compliance Database'!$A171=Query!$B$4),OR(Query!$B$5="All",ISNUMBER(SEARCH(Query!$B$5,'Compliance Database'!$H171))),OR(Query!$B$6="All",ISNUMBER(SEARCH(Query!$B$6,'Compliance Database'!$I171))),OR(Query!$B$7="All",'Compliance Database'!$F171=Query!$B$7),OR(Query!$B$8="All",'Compliance Database'!$J171=Query!$B$8),OR(Query!$B$9="",ISNUMBER(SEARCH(Query!$B$9,'Compliance Database'!$D171&amp;" "&amp;'Compliance Database'!$K171&amp;" "&amp;'Compliance Database'!$L171&amp;" "&amp;'Compliance Database'!$M171&amp;" "&amp;'Compliance Database'!$N171&amp;" "&amp;'Compliance Database'!$O171))),OR(Query!$B$10&lt;&gt;"Yes",'Compliance Database'!$F171&lt;&gt;"None")),1,0)</f>
        <v>0</v>
      </c>
      <c r="B171" t="str">
        <f>IF($A171=1,SUM($A$2:$A171),"")</f>
        <v/>
      </c>
      <c r="C171">
        <f>IF($A171=1,SUM($A$2:$A171),0)</f>
        <v>0</v>
      </c>
    </row>
    <row r="172" spans="1:3" x14ac:dyDescent="0.3">
      <c r="A172">
        <f>IF(AND(OR(Query!$B$4="All",'Compliance Database'!$A172=Query!$B$4),OR(Query!$B$5="All",ISNUMBER(SEARCH(Query!$B$5,'Compliance Database'!$H172))),OR(Query!$B$6="All",ISNUMBER(SEARCH(Query!$B$6,'Compliance Database'!$I172))),OR(Query!$B$7="All",'Compliance Database'!$F172=Query!$B$7),OR(Query!$B$8="All",'Compliance Database'!$J172=Query!$B$8),OR(Query!$B$9="",ISNUMBER(SEARCH(Query!$B$9,'Compliance Database'!$D172&amp;" "&amp;'Compliance Database'!$K172&amp;" "&amp;'Compliance Database'!$L172&amp;" "&amp;'Compliance Database'!$M172&amp;" "&amp;'Compliance Database'!$N172&amp;" "&amp;'Compliance Database'!$O172))),OR(Query!$B$10&lt;&gt;"Yes",'Compliance Database'!$F172&lt;&gt;"None")),1,0)</f>
        <v>0</v>
      </c>
      <c r="B172" t="str">
        <f>IF($A172=1,SUM($A$2:$A172),"")</f>
        <v/>
      </c>
      <c r="C172">
        <f>IF($A172=1,SUM($A$2:$A172),0)</f>
        <v>0</v>
      </c>
    </row>
    <row r="173" spans="1:3" x14ac:dyDescent="0.3">
      <c r="A173">
        <f>IF(AND(OR(Query!$B$4="All",'Compliance Database'!$A173=Query!$B$4),OR(Query!$B$5="All",ISNUMBER(SEARCH(Query!$B$5,'Compliance Database'!$H173))),OR(Query!$B$6="All",ISNUMBER(SEARCH(Query!$B$6,'Compliance Database'!$I173))),OR(Query!$B$7="All",'Compliance Database'!$F173=Query!$B$7),OR(Query!$B$8="All",'Compliance Database'!$J173=Query!$B$8),OR(Query!$B$9="",ISNUMBER(SEARCH(Query!$B$9,'Compliance Database'!$D173&amp;" "&amp;'Compliance Database'!$K173&amp;" "&amp;'Compliance Database'!$L173&amp;" "&amp;'Compliance Database'!$M173&amp;" "&amp;'Compliance Database'!$N173&amp;" "&amp;'Compliance Database'!$O173))),OR(Query!$B$10&lt;&gt;"Yes",'Compliance Database'!$F173&lt;&gt;"None")),1,0)</f>
        <v>0</v>
      </c>
      <c r="B173" t="str">
        <f>IF($A173=1,SUM($A$2:$A173),"")</f>
        <v/>
      </c>
      <c r="C173">
        <f>IF($A173=1,SUM($A$2:$A173),0)</f>
        <v>0</v>
      </c>
    </row>
    <row r="174" spans="1:3" x14ac:dyDescent="0.3">
      <c r="A174">
        <f>IF(AND(OR(Query!$B$4="All",'Compliance Database'!$A174=Query!$B$4),OR(Query!$B$5="All",ISNUMBER(SEARCH(Query!$B$5,'Compliance Database'!$H174))),OR(Query!$B$6="All",ISNUMBER(SEARCH(Query!$B$6,'Compliance Database'!$I174))),OR(Query!$B$7="All",'Compliance Database'!$F174=Query!$B$7),OR(Query!$B$8="All",'Compliance Database'!$J174=Query!$B$8),OR(Query!$B$9="",ISNUMBER(SEARCH(Query!$B$9,'Compliance Database'!$D174&amp;" "&amp;'Compliance Database'!$K174&amp;" "&amp;'Compliance Database'!$L174&amp;" "&amp;'Compliance Database'!$M174&amp;" "&amp;'Compliance Database'!$N174&amp;" "&amp;'Compliance Database'!$O174))),OR(Query!$B$10&lt;&gt;"Yes",'Compliance Database'!$F174&lt;&gt;"None")),1,0)</f>
        <v>0</v>
      </c>
      <c r="B174" t="str">
        <f>IF($A174=1,SUM($A$2:$A174),"")</f>
        <v/>
      </c>
      <c r="C174">
        <f>IF($A174=1,SUM($A$2:$A174),0)</f>
        <v>0</v>
      </c>
    </row>
    <row r="175" spans="1:3" x14ac:dyDescent="0.3">
      <c r="A175">
        <f>IF(AND(OR(Query!$B$4="All",'Compliance Database'!$A175=Query!$B$4),OR(Query!$B$5="All",ISNUMBER(SEARCH(Query!$B$5,'Compliance Database'!$H175))),OR(Query!$B$6="All",ISNUMBER(SEARCH(Query!$B$6,'Compliance Database'!$I175))),OR(Query!$B$7="All",'Compliance Database'!$F175=Query!$B$7),OR(Query!$B$8="All",'Compliance Database'!$J175=Query!$B$8),OR(Query!$B$9="",ISNUMBER(SEARCH(Query!$B$9,'Compliance Database'!$D175&amp;" "&amp;'Compliance Database'!$K175&amp;" "&amp;'Compliance Database'!$L175&amp;" "&amp;'Compliance Database'!$M175&amp;" "&amp;'Compliance Database'!$N175&amp;" "&amp;'Compliance Database'!$O175))),OR(Query!$B$10&lt;&gt;"Yes",'Compliance Database'!$F175&lt;&gt;"None")),1,0)</f>
        <v>0</v>
      </c>
      <c r="B175" t="str">
        <f>IF($A175=1,SUM($A$2:$A175),"")</f>
        <v/>
      </c>
      <c r="C175">
        <f>IF($A175=1,SUM($A$2:$A175),0)</f>
        <v>0</v>
      </c>
    </row>
    <row r="176" spans="1:3" x14ac:dyDescent="0.3">
      <c r="A176">
        <f>IF(AND(OR(Query!$B$4="All",'Compliance Database'!$A176=Query!$B$4),OR(Query!$B$5="All",ISNUMBER(SEARCH(Query!$B$5,'Compliance Database'!$H176))),OR(Query!$B$6="All",ISNUMBER(SEARCH(Query!$B$6,'Compliance Database'!$I176))),OR(Query!$B$7="All",'Compliance Database'!$F176=Query!$B$7),OR(Query!$B$8="All",'Compliance Database'!$J176=Query!$B$8),OR(Query!$B$9="",ISNUMBER(SEARCH(Query!$B$9,'Compliance Database'!$D176&amp;" "&amp;'Compliance Database'!$K176&amp;" "&amp;'Compliance Database'!$L176&amp;" "&amp;'Compliance Database'!$M176&amp;" "&amp;'Compliance Database'!$N176&amp;" "&amp;'Compliance Database'!$O176))),OR(Query!$B$10&lt;&gt;"Yes",'Compliance Database'!$F176&lt;&gt;"None")),1,0)</f>
        <v>0</v>
      </c>
      <c r="B176" t="str">
        <f>IF($A176=1,SUM($A$2:$A176),"")</f>
        <v/>
      </c>
      <c r="C176">
        <f>IF($A176=1,SUM($A$2:$A176),0)</f>
        <v>0</v>
      </c>
    </row>
    <row r="177" spans="1:3" x14ac:dyDescent="0.3">
      <c r="A177">
        <f>IF(AND(OR(Query!$B$4="All",'Compliance Database'!$A177=Query!$B$4),OR(Query!$B$5="All",ISNUMBER(SEARCH(Query!$B$5,'Compliance Database'!$H177))),OR(Query!$B$6="All",ISNUMBER(SEARCH(Query!$B$6,'Compliance Database'!$I177))),OR(Query!$B$7="All",'Compliance Database'!$F177=Query!$B$7),OR(Query!$B$8="All",'Compliance Database'!$J177=Query!$B$8),OR(Query!$B$9="",ISNUMBER(SEARCH(Query!$B$9,'Compliance Database'!$D177&amp;" "&amp;'Compliance Database'!$K177&amp;" "&amp;'Compliance Database'!$L177&amp;" "&amp;'Compliance Database'!$M177&amp;" "&amp;'Compliance Database'!$N177&amp;" "&amp;'Compliance Database'!$O177))),OR(Query!$B$10&lt;&gt;"Yes",'Compliance Database'!$F177&lt;&gt;"None")),1,0)</f>
        <v>0</v>
      </c>
      <c r="B177" t="str">
        <f>IF($A177=1,SUM($A$2:$A177),"")</f>
        <v/>
      </c>
      <c r="C177">
        <f>IF($A177=1,SUM($A$2:$A177),0)</f>
        <v>0</v>
      </c>
    </row>
    <row r="178" spans="1:3" x14ac:dyDescent="0.3">
      <c r="A178">
        <f>IF(AND(OR(Query!$B$4="All",'Compliance Database'!$A178=Query!$B$4),OR(Query!$B$5="All",ISNUMBER(SEARCH(Query!$B$5,'Compliance Database'!$H178))),OR(Query!$B$6="All",ISNUMBER(SEARCH(Query!$B$6,'Compliance Database'!$I178))),OR(Query!$B$7="All",'Compliance Database'!$F178=Query!$B$7),OR(Query!$B$8="All",'Compliance Database'!$J178=Query!$B$8),OR(Query!$B$9="",ISNUMBER(SEARCH(Query!$B$9,'Compliance Database'!$D178&amp;" "&amp;'Compliance Database'!$K178&amp;" "&amp;'Compliance Database'!$L178&amp;" "&amp;'Compliance Database'!$M178&amp;" "&amp;'Compliance Database'!$N178&amp;" "&amp;'Compliance Database'!$O178))),OR(Query!$B$10&lt;&gt;"Yes",'Compliance Database'!$F178&lt;&gt;"None")),1,0)</f>
        <v>0</v>
      </c>
      <c r="B178" t="str">
        <f>IF($A178=1,SUM($A$2:$A178),"")</f>
        <v/>
      </c>
      <c r="C178">
        <f>IF($A178=1,SUM($A$2:$A178),0)</f>
        <v>0</v>
      </c>
    </row>
    <row r="179" spans="1:3" x14ac:dyDescent="0.3">
      <c r="A179">
        <f>IF(AND(OR(Query!$B$4="All",'Compliance Database'!$A179=Query!$B$4),OR(Query!$B$5="All",ISNUMBER(SEARCH(Query!$B$5,'Compliance Database'!$H179))),OR(Query!$B$6="All",ISNUMBER(SEARCH(Query!$B$6,'Compliance Database'!$I179))),OR(Query!$B$7="All",'Compliance Database'!$F179=Query!$B$7),OR(Query!$B$8="All",'Compliance Database'!$J179=Query!$B$8),OR(Query!$B$9="",ISNUMBER(SEARCH(Query!$B$9,'Compliance Database'!$D179&amp;" "&amp;'Compliance Database'!$K179&amp;" "&amp;'Compliance Database'!$L179&amp;" "&amp;'Compliance Database'!$M179&amp;" "&amp;'Compliance Database'!$N179&amp;" "&amp;'Compliance Database'!$O179))),OR(Query!$B$10&lt;&gt;"Yes",'Compliance Database'!$F179&lt;&gt;"None")),1,0)</f>
        <v>0</v>
      </c>
      <c r="B179" t="str">
        <f>IF($A179=1,SUM($A$2:$A179),"")</f>
        <v/>
      </c>
      <c r="C179">
        <f>IF($A179=1,SUM($A$2:$A179),0)</f>
        <v>0</v>
      </c>
    </row>
    <row r="180" spans="1:3" x14ac:dyDescent="0.3">
      <c r="A180">
        <f>IF(AND(OR(Query!$B$4="All",'Compliance Database'!$A180=Query!$B$4),OR(Query!$B$5="All",ISNUMBER(SEARCH(Query!$B$5,'Compliance Database'!$H180))),OR(Query!$B$6="All",ISNUMBER(SEARCH(Query!$B$6,'Compliance Database'!$I180))),OR(Query!$B$7="All",'Compliance Database'!$F180=Query!$B$7),OR(Query!$B$8="All",'Compliance Database'!$J180=Query!$B$8),OR(Query!$B$9="",ISNUMBER(SEARCH(Query!$B$9,'Compliance Database'!$D180&amp;" "&amp;'Compliance Database'!$K180&amp;" "&amp;'Compliance Database'!$L180&amp;" "&amp;'Compliance Database'!$M180&amp;" "&amp;'Compliance Database'!$N180&amp;" "&amp;'Compliance Database'!$O180))),OR(Query!$B$10&lt;&gt;"Yes",'Compliance Database'!$F180&lt;&gt;"None")),1,0)</f>
        <v>0</v>
      </c>
      <c r="B180" t="str">
        <f>IF($A180=1,SUM($A$2:$A180),"")</f>
        <v/>
      </c>
      <c r="C180">
        <f>IF($A180=1,SUM($A$2:$A180),0)</f>
        <v>0</v>
      </c>
    </row>
    <row r="181" spans="1:3" x14ac:dyDescent="0.3">
      <c r="A181">
        <f>IF(AND(OR(Query!$B$4="All",'Compliance Database'!$A181=Query!$B$4),OR(Query!$B$5="All",ISNUMBER(SEARCH(Query!$B$5,'Compliance Database'!$H181))),OR(Query!$B$6="All",ISNUMBER(SEARCH(Query!$B$6,'Compliance Database'!$I181))),OR(Query!$B$7="All",'Compliance Database'!$F181=Query!$B$7),OR(Query!$B$8="All",'Compliance Database'!$J181=Query!$B$8),OR(Query!$B$9="",ISNUMBER(SEARCH(Query!$B$9,'Compliance Database'!$D181&amp;" "&amp;'Compliance Database'!$K181&amp;" "&amp;'Compliance Database'!$L181&amp;" "&amp;'Compliance Database'!$M181&amp;" "&amp;'Compliance Database'!$N181&amp;" "&amp;'Compliance Database'!$O181))),OR(Query!$B$10&lt;&gt;"Yes",'Compliance Database'!$F181&lt;&gt;"None")),1,0)</f>
        <v>0</v>
      </c>
      <c r="B181" t="str">
        <f>IF($A181=1,SUM($A$2:$A181),"")</f>
        <v/>
      </c>
      <c r="C181">
        <f>IF($A181=1,SUM($A$2:$A181),0)</f>
        <v>0</v>
      </c>
    </row>
    <row r="182" spans="1:3" x14ac:dyDescent="0.3">
      <c r="A182">
        <f>IF(AND(OR(Query!$B$4="All",'Compliance Database'!$A182=Query!$B$4),OR(Query!$B$5="All",ISNUMBER(SEARCH(Query!$B$5,'Compliance Database'!$H182))),OR(Query!$B$6="All",ISNUMBER(SEARCH(Query!$B$6,'Compliance Database'!$I182))),OR(Query!$B$7="All",'Compliance Database'!$F182=Query!$B$7),OR(Query!$B$8="All",'Compliance Database'!$J182=Query!$B$8),OR(Query!$B$9="",ISNUMBER(SEARCH(Query!$B$9,'Compliance Database'!$D182&amp;" "&amp;'Compliance Database'!$K182&amp;" "&amp;'Compliance Database'!$L182&amp;" "&amp;'Compliance Database'!$M182&amp;" "&amp;'Compliance Database'!$N182&amp;" "&amp;'Compliance Database'!$O182))),OR(Query!$B$10&lt;&gt;"Yes",'Compliance Database'!$F182&lt;&gt;"None")),1,0)</f>
        <v>0</v>
      </c>
      <c r="B182" t="str">
        <f>IF($A182=1,SUM($A$2:$A182),"")</f>
        <v/>
      </c>
      <c r="C182">
        <f>IF($A182=1,SUM($A$2:$A182),0)</f>
        <v>0</v>
      </c>
    </row>
    <row r="183" spans="1:3" x14ac:dyDescent="0.3">
      <c r="A183">
        <f>IF(AND(OR(Query!$B$4="All",'Compliance Database'!$A183=Query!$B$4),OR(Query!$B$5="All",ISNUMBER(SEARCH(Query!$B$5,'Compliance Database'!$H183))),OR(Query!$B$6="All",ISNUMBER(SEARCH(Query!$B$6,'Compliance Database'!$I183))),OR(Query!$B$7="All",'Compliance Database'!$F183=Query!$B$7),OR(Query!$B$8="All",'Compliance Database'!$J183=Query!$B$8),OR(Query!$B$9="",ISNUMBER(SEARCH(Query!$B$9,'Compliance Database'!$D183&amp;" "&amp;'Compliance Database'!$K183&amp;" "&amp;'Compliance Database'!$L183&amp;" "&amp;'Compliance Database'!$M183&amp;" "&amp;'Compliance Database'!$N183&amp;" "&amp;'Compliance Database'!$O183))),OR(Query!$B$10&lt;&gt;"Yes",'Compliance Database'!$F183&lt;&gt;"None")),1,0)</f>
        <v>0</v>
      </c>
      <c r="B183" t="str">
        <f>IF($A183=1,SUM($A$2:$A183),"")</f>
        <v/>
      </c>
      <c r="C183">
        <f>IF($A183=1,SUM($A$2:$A183),0)</f>
        <v>0</v>
      </c>
    </row>
    <row r="184" spans="1:3" x14ac:dyDescent="0.3">
      <c r="A184">
        <f>IF(AND(OR(Query!$B$4="All",'Compliance Database'!$A184=Query!$B$4),OR(Query!$B$5="All",ISNUMBER(SEARCH(Query!$B$5,'Compliance Database'!$H184))),OR(Query!$B$6="All",ISNUMBER(SEARCH(Query!$B$6,'Compliance Database'!$I184))),OR(Query!$B$7="All",'Compliance Database'!$F184=Query!$B$7),OR(Query!$B$8="All",'Compliance Database'!$J184=Query!$B$8),OR(Query!$B$9="",ISNUMBER(SEARCH(Query!$B$9,'Compliance Database'!$D184&amp;" "&amp;'Compliance Database'!$K184&amp;" "&amp;'Compliance Database'!$L184&amp;" "&amp;'Compliance Database'!$M184&amp;" "&amp;'Compliance Database'!$N184&amp;" "&amp;'Compliance Database'!$O184))),OR(Query!$B$10&lt;&gt;"Yes",'Compliance Database'!$F184&lt;&gt;"None")),1,0)</f>
        <v>0</v>
      </c>
      <c r="B184" t="str">
        <f>IF($A184=1,SUM($A$2:$A184),"")</f>
        <v/>
      </c>
      <c r="C184">
        <f>IF($A184=1,SUM($A$2:$A184),0)</f>
        <v>0</v>
      </c>
    </row>
    <row r="185" spans="1:3" x14ac:dyDescent="0.3">
      <c r="A185">
        <f>IF(AND(OR(Query!$B$4="All",'Compliance Database'!$A185=Query!$B$4),OR(Query!$B$5="All",ISNUMBER(SEARCH(Query!$B$5,'Compliance Database'!$H185))),OR(Query!$B$6="All",ISNUMBER(SEARCH(Query!$B$6,'Compliance Database'!$I185))),OR(Query!$B$7="All",'Compliance Database'!$F185=Query!$B$7),OR(Query!$B$8="All",'Compliance Database'!$J185=Query!$B$8),OR(Query!$B$9="",ISNUMBER(SEARCH(Query!$B$9,'Compliance Database'!$D185&amp;" "&amp;'Compliance Database'!$K185&amp;" "&amp;'Compliance Database'!$L185&amp;" "&amp;'Compliance Database'!$M185&amp;" "&amp;'Compliance Database'!$N185&amp;" "&amp;'Compliance Database'!$O185))),OR(Query!$B$10&lt;&gt;"Yes",'Compliance Database'!$F185&lt;&gt;"None")),1,0)</f>
        <v>0</v>
      </c>
      <c r="B185" t="str">
        <f>IF($A185=1,SUM($A$2:$A185),"")</f>
        <v/>
      </c>
      <c r="C185">
        <f>IF($A185=1,SUM($A$2:$A185),0)</f>
        <v>0</v>
      </c>
    </row>
    <row r="186" spans="1:3" x14ac:dyDescent="0.3">
      <c r="A186">
        <f>IF(AND(OR(Query!$B$4="All",'Compliance Database'!$A186=Query!$B$4),OR(Query!$B$5="All",ISNUMBER(SEARCH(Query!$B$5,'Compliance Database'!$H186))),OR(Query!$B$6="All",ISNUMBER(SEARCH(Query!$B$6,'Compliance Database'!$I186))),OR(Query!$B$7="All",'Compliance Database'!$F186=Query!$B$7),OR(Query!$B$8="All",'Compliance Database'!$J186=Query!$B$8),OR(Query!$B$9="",ISNUMBER(SEARCH(Query!$B$9,'Compliance Database'!$D186&amp;" "&amp;'Compliance Database'!$K186&amp;" "&amp;'Compliance Database'!$L186&amp;" "&amp;'Compliance Database'!$M186&amp;" "&amp;'Compliance Database'!$N186&amp;" "&amp;'Compliance Database'!$O186))),OR(Query!$B$10&lt;&gt;"Yes",'Compliance Database'!$F186&lt;&gt;"None")),1,0)</f>
        <v>0</v>
      </c>
      <c r="B186" t="str">
        <f>IF($A186=1,SUM($A$2:$A186),"")</f>
        <v/>
      </c>
      <c r="C186">
        <f>IF($A186=1,SUM($A$2:$A186),0)</f>
        <v>0</v>
      </c>
    </row>
    <row r="187" spans="1:3" x14ac:dyDescent="0.3">
      <c r="A187">
        <f>IF(AND(OR(Query!$B$4="All",'Compliance Database'!$A187=Query!$B$4),OR(Query!$B$5="All",ISNUMBER(SEARCH(Query!$B$5,'Compliance Database'!$H187))),OR(Query!$B$6="All",ISNUMBER(SEARCH(Query!$B$6,'Compliance Database'!$I187))),OR(Query!$B$7="All",'Compliance Database'!$F187=Query!$B$7),OR(Query!$B$8="All",'Compliance Database'!$J187=Query!$B$8),OR(Query!$B$9="",ISNUMBER(SEARCH(Query!$B$9,'Compliance Database'!$D187&amp;" "&amp;'Compliance Database'!$K187&amp;" "&amp;'Compliance Database'!$L187&amp;" "&amp;'Compliance Database'!$M187&amp;" "&amp;'Compliance Database'!$N187&amp;" "&amp;'Compliance Database'!$O187))),OR(Query!$B$10&lt;&gt;"Yes",'Compliance Database'!$F187&lt;&gt;"None")),1,0)</f>
        <v>0</v>
      </c>
      <c r="B187" t="str">
        <f>IF($A187=1,SUM($A$2:$A187),"")</f>
        <v/>
      </c>
      <c r="C187">
        <f>IF($A187=1,SUM($A$2:$A187),0)</f>
        <v>0</v>
      </c>
    </row>
    <row r="188" spans="1:3" x14ac:dyDescent="0.3">
      <c r="A188">
        <f>IF(AND(OR(Query!$B$4="All",'Compliance Database'!$A188=Query!$B$4),OR(Query!$B$5="All",ISNUMBER(SEARCH(Query!$B$5,'Compliance Database'!$H188))),OR(Query!$B$6="All",ISNUMBER(SEARCH(Query!$B$6,'Compliance Database'!$I188))),OR(Query!$B$7="All",'Compliance Database'!$F188=Query!$B$7),OR(Query!$B$8="All",'Compliance Database'!$J188=Query!$B$8),OR(Query!$B$9="",ISNUMBER(SEARCH(Query!$B$9,'Compliance Database'!$D188&amp;" "&amp;'Compliance Database'!$K188&amp;" "&amp;'Compliance Database'!$L188&amp;" "&amp;'Compliance Database'!$M188&amp;" "&amp;'Compliance Database'!$N188&amp;" "&amp;'Compliance Database'!$O188))),OR(Query!$B$10&lt;&gt;"Yes",'Compliance Database'!$F188&lt;&gt;"None")),1,0)</f>
        <v>0</v>
      </c>
      <c r="B188" t="str">
        <f>IF($A188=1,SUM($A$2:$A188),"")</f>
        <v/>
      </c>
      <c r="C188">
        <f>IF($A188=1,SUM($A$2:$A188),0)</f>
        <v>0</v>
      </c>
    </row>
    <row r="189" spans="1:3" x14ac:dyDescent="0.3">
      <c r="A189">
        <f>IF(AND(OR(Query!$B$4="All",'Compliance Database'!$A189=Query!$B$4),OR(Query!$B$5="All",ISNUMBER(SEARCH(Query!$B$5,'Compliance Database'!$H189))),OR(Query!$B$6="All",ISNUMBER(SEARCH(Query!$B$6,'Compliance Database'!$I189))),OR(Query!$B$7="All",'Compliance Database'!$F189=Query!$B$7),OR(Query!$B$8="All",'Compliance Database'!$J189=Query!$B$8),OR(Query!$B$9="",ISNUMBER(SEARCH(Query!$B$9,'Compliance Database'!$D189&amp;" "&amp;'Compliance Database'!$K189&amp;" "&amp;'Compliance Database'!$L189&amp;" "&amp;'Compliance Database'!$M189&amp;" "&amp;'Compliance Database'!$N189&amp;" "&amp;'Compliance Database'!$O189))),OR(Query!$B$10&lt;&gt;"Yes",'Compliance Database'!$F189&lt;&gt;"None")),1,0)</f>
        <v>0</v>
      </c>
      <c r="B189" t="str">
        <f>IF($A189=1,SUM($A$2:$A189),"")</f>
        <v/>
      </c>
      <c r="C189">
        <f>IF($A189=1,SUM($A$2:$A189),0)</f>
        <v>0</v>
      </c>
    </row>
    <row r="190" spans="1:3" x14ac:dyDescent="0.3">
      <c r="A190">
        <f>IF(AND(OR(Query!$B$4="All",'Compliance Database'!$A190=Query!$B$4),OR(Query!$B$5="All",ISNUMBER(SEARCH(Query!$B$5,'Compliance Database'!$H190))),OR(Query!$B$6="All",ISNUMBER(SEARCH(Query!$B$6,'Compliance Database'!$I190))),OR(Query!$B$7="All",'Compliance Database'!$F190=Query!$B$7),OR(Query!$B$8="All",'Compliance Database'!$J190=Query!$B$8),OR(Query!$B$9="",ISNUMBER(SEARCH(Query!$B$9,'Compliance Database'!$D190&amp;" "&amp;'Compliance Database'!$K190&amp;" "&amp;'Compliance Database'!$L190&amp;" "&amp;'Compliance Database'!$M190&amp;" "&amp;'Compliance Database'!$N190&amp;" "&amp;'Compliance Database'!$O190))),OR(Query!$B$10&lt;&gt;"Yes",'Compliance Database'!$F190&lt;&gt;"None")),1,0)</f>
        <v>0</v>
      </c>
      <c r="B190" t="str">
        <f>IF($A190=1,SUM($A$2:$A190),"")</f>
        <v/>
      </c>
      <c r="C190">
        <f>IF($A190=1,SUM($A$2:$A190),0)</f>
        <v>0</v>
      </c>
    </row>
    <row r="191" spans="1:3" x14ac:dyDescent="0.3">
      <c r="A191">
        <f>IF(AND(OR(Query!$B$4="All",'Compliance Database'!$A191=Query!$B$4),OR(Query!$B$5="All",ISNUMBER(SEARCH(Query!$B$5,'Compliance Database'!$H191))),OR(Query!$B$6="All",ISNUMBER(SEARCH(Query!$B$6,'Compliance Database'!$I191))),OR(Query!$B$7="All",'Compliance Database'!$F191=Query!$B$7),OR(Query!$B$8="All",'Compliance Database'!$J191=Query!$B$8),OR(Query!$B$9="",ISNUMBER(SEARCH(Query!$B$9,'Compliance Database'!$D191&amp;" "&amp;'Compliance Database'!$K191&amp;" "&amp;'Compliance Database'!$L191&amp;" "&amp;'Compliance Database'!$M191&amp;" "&amp;'Compliance Database'!$N191&amp;" "&amp;'Compliance Database'!$O191))),OR(Query!$B$10&lt;&gt;"Yes",'Compliance Database'!$F191&lt;&gt;"None")),1,0)</f>
        <v>0</v>
      </c>
      <c r="B191" t="str">
        <f>IF($A191=1,SUM($A$2:$A191),"")</f>
        <v/>
      </c>
      <c r="C191">
        <f>IF($A191=1,SUM($A$2:$A191),0)</f>
        <v>0</v>
      </c>
    </row>
    <row r="192" spans="1:3" x14ac:dyDescent="0.3">
      <c r="A192">
        <f>IF(AND(OR(Query!$B$4="All",'Compliance Database'!$A192=Query!$B$4),OR(Query!$B$5="All",ISNUMBER(SEARCH(Query!$B$5,'Compliance Database'!$H192))),OR(Query!$B$6="All",ISNUMBER(SEARCH(Query!$B$6,'Compliance Database'!$I192))),OR(Query!$B$7="All",'Compliance Database'!$F192=Query!$B$7),OR(Query!$B$8="All",'Compliance Database'!$J192=Query!$B$8),OR(Query!$B$9="",ISNUMBER(SEARCH(Query!$B$9,'Compliance Database'!$D192&amp;" "&amp;'Compliance Database'!$K192&amp;" "&amp;'Compliance Database'!$L192&amp;" "&amp;'Compliance Database'!$M192&amp;" "&amp;'Compliance Database'!$N192&amp;" "&amp;'Compliance Database'!$O192))),OR(Query!$B$10&lt;&gt;"Yes",'Compliance Database'!$F192&lt;&gt;"None")),1,0)</f>
        <v>0</v>
      </c>
      <c r="B192" t="str">
        <f>IF($A192=1,SUM($A$2:$A192),"")</f>
        <v/>
      </c>
      <c r="C192">
        <f>IF($A192=1,SUM($A$2:$A192),0)</f>
        <v>0</v>
      </c>
    </row>
    <row r="193" spans="1:3" x14ac:dyDescent="0.3">
      <c r="A193">
        <f>IF(AND(OR(Query!$B$4="All",'Compliance Database'!$A193=Query!$B$4),OR(Query!$B$5="All",ISNUMBER(SEARCH(Query!$B$5,'Compliance Database'!$H193))),OR(Query!$B$6="All",ISNUMBER(SEARCH(Query!$B$6,'Compliance Database'!$I193))),OR(Query!$B$7="All",'Compliance Database'!$F193=Query!$B$7),OR(Query!$B$8="All",'Compliance Database'!$J193=Query!$B$8),OR(Query!$B$9="",ISNUMBER(SEARCH(Query!$B$9,'Compliance Database'!$D193&amp;" "&amp;'Compliance Database'!$K193&amp;" "&amp;'Compliance Database'!$L193&amp;" "&amp;'Compliance Database'!$M193&amp;" "&amp;'Compliance Database'!$N193&amp;" "&amp;'Compliance Database'!$O193))),OR(Query!$B$10&lt;&gt;"Yes",'Compliance Database'!$F193&lt;&gt;"None")),1,0)</f>
        <v>0</v>
      </c>
      <c r="B193" t="str">
        <f>IF($A193=1,SUM($A$2:$A193),"")</f>
        <v/>
      </c>
      <c r="C193">
        <f>IF($A193=1,SUM($A$2:$A193),0)</f>
        <v>0</v>
      </c>
    </row>
    <row r="194" spans="1:3" x14ac:dyDescent="0.3">
      <c r="A194">
        <f>IF(AND(OR(Query!$B$4="All",'Compliance Database'!$A194=Query!$B$4),OR(Query!$B$5="All",ISNUMBER(SEARCH(Query!$B$5,'Compliance Database'!$H194))),OR(Query!$B$6="All",ISNUMBER(SEARCH(Query!$B$6,'Compliance Database'!$I194))),OR(Query!$B$7="All",'Compliance Database'!$F194=Query!$B$7),OR(Query!$B$8="All",'Compliance Database'!$J194=Query!$B$8),OR(Query!$B$9="",ISNUMBER(SEARCH(Query!$B$9,'Compliance Database'!$D194&amp;" "&amp;'Compliance Database'!$K194&amp;" "&amp;'Compliance Database'!$L194&amp;" "&amp;'Compliance Database'!$M194&amp;" "&amp;'Compliance Database'!$N194&amp;" "&amp;'Compliance Database'!$O194))),OR(Query!$B$10&lt;&gt;"Yes",'Compliance Database'!$F194&lt;&gt;"None")),1,0)</f>
        <v>0</v>
      </c>
      <c r="B194" t="str">
        <f>IF($A194=1,SUM($A$2:$A194),"")</f>
        <v/>
      </c>
      <c r="C194">
        <f>IF($A194=1,SUM($A$2:$A194),0)</f>
        <v>0</v>
      </c>
    </row>
    <row r="195" spans="1:3" x14ac:dyDescent="0.3">
      <c r="A195">
        <f>IF(AND(OR(Query!$B$4="All",'Compliance Database'!$A195=Query!$B$4),OR(Query!$B$5="All",ISNUMBER(SEARCH(Query!$B$5,'Compliance Database'!$H195))),OR(Query!$B$6="All",ISNUMBER(SEARCH(Query!$B$6,'Compliance Database'!$I195))),OR(Query!$B$7="All",'Compliance Database'!$F195=Query!$B$7),OR(Query!$B$8="All",'Compliance Database'!$J195=Query!$B$8),OR(Query!$B$9="",ISNUMBER(SEARCH(Query!$B$9,'Compliance Database'!$D195&amp;" "&amp;'Compliance Database'!$K195&amp;" "&amp;'Compliance Database'!$L195&amp;" "&amp;'Compliance Database'!$M195&amp;" "&amp;'Compliance Database'!$N195&amp;" "&amp;'Compliance Database'!$O195))),OR(Query!$B$10&lt;&gt;"Yes",'Compliance Database'!$F195&lt;&gt;"None")),1,0)</f>
        <v>0</v>
      </c>
      <c r="B195" t="str">
        <f>IF($A195=1,SUM($A$2:$A195),"")</f>
        <v/>
      </c>
      <c r="C195">
        <f>IF($A195=1,SUM($A$2:$A195),0)</f>
        <v>0</v>
      </c>
    </row>
    <row r="196" spans="1:3" x14ac:dyDescent="0.3">
      <c r="A196">
        <f>IF(AND(OR(Query!$B$4="All",'Compliance Database'!$A196=Query!$B$4),OR(Query!$B$5="All",ISNUMBER(SEARCH(Query!$B$5,'Compliance Database'!$H196))),OR(Query!$B$6="All",ISNUMBER(SEARCH(Query!$B$6,'Compliance Database'!$I196))),OR(Query!$B$7="All",'Compliance Database'!$F196=Query!$B$7),OR(Query!$B$8="All",'Compliance Database'!$J196=Query!$B$8),OR(Query!$B$9="",ISNUMBER(SEARCH(Query!$B$9,'Compliance Database'!$D196&amp;" "&amp;'Compliance Database'!$K196&amp;" "&amp;'Compliance Database'!$L196&amp;" "&amp;'Compliance Database'!$M196&amp;" "&amp;'Compliance Database'!$N196&amp;" "&amp;'Compliance Database'!$O196))),OR(Query!$B$10&lt;&gt;"Yes",'Compliance Database'!$F196&lt;&gt;"None")),1,0)</f>
        <v>0</v>
      </c>
      <c r="B196" t="str">
        <f>IF($A196=1,SUM($A$2:$A196),"")</f>
        <v/>
      </c>
      <c r="C196">
        <f>IF($A196=1,SUM($A$2:$A196),0)</f>
        <v>0</v>
      </c>
    </row>
    <row r="197" spans="1:3" x14ac:dyDescent="0.3">
      <c r="A197">
        <f>IF(AND(OR(Query!$B$4="All",'Compliance Database'!$A197=Query!$B$4),OR(Query!$B$5="All",ISNUMBER(SEARCH(Query!$B$5,'Compliance Database'!$H197))),OR(Query!$B$6="All",ISNUMBER(SEARCH(Query!$B$6,'Compliance Database'!$I197))),OR(Query!$B$7="All",'Compliance Database'!$F197=Query!$B$7),OR(Query!$B$8="All",'Compliance Database'!$J197=Query!$B$8),OR(Query!$B$9="",ISNUMBER(SEARCH(Query!$B$9,'Compliance Database'!$D197&amp;" "&amp;'Compliance Database'!$K197&amp;" "&amp;'Compliance Database'!$L197&amp;" "&amp;'Compliance Database'!$M197&amp;" "&amp;'Compliance Database'!$N197&amp;" "&amp;'Compliance Database'!$O197))),OR(Query!$B$10&lt;&gt;"Yes",'Compliance Database'!$F197&lt;&gt;"None")),1,0)</f>
        <v>0</v>
      </c>
      <c r="B197" t="str">
        <f>IF($A197=1,SUM($A$2:$A197),"")</f>
        <v/>
      </c>
      <c r="C197">
        <f>IF($A197=1,SUM($A$2:$A197),0)</f>
        <v>0</v>
      </c>
    </row>
    <row r="198" spans="1:3" x14ac:dyDescent="0.3">
      <c r="A198">
        <f>IF(AND(OR(Query!$B$4="All",'Compliance Database'!$A198=Query!$B$4),OR(Query!$B$5="All",ISNUMBER(SEARCH(Query!$B$5,'Compliance Database'!$H198))),OR(Query!$B$6="All",ISNUMBER(SEARCH(Query!$B$6,'Compliance Database'!$I198))),OR(Query!$B$7="All",'Compliance Database'!$F198=Query!$B$7),OR(Query!$B$8="All",'Compliance Database'!$J198=Query!$B$8),OR(Query!$B$9="",ISNUMBER(SEARCH(Query!$B$9,'Compliance Database'!$D198&amp;" "&amp;'Compliance Database'!$K198&amp;" "&amp;'Compliance Database'!$L198&amp;" "&amp;'Compliance Database'!$M198&amp;" "&amp;'Compliance Database'!$N198&amp;" "&amp;'Compliance Database'!$O198))),OR(Query!$B$10&lt;&gt;"Yes",'Compliance Database'!$F198&lt;&gt;"None")),1,0)</f>
        <v>0</v>
      </c>
      <c r="B198" t="str">
        <f>IF($A198=1,SUM($A$2:$A198),"")</f>
        <v/>
      </c>
      <c r="C198">
        <f>IF($A198=1,SUM($A$2:$A198),0)</f>
        <v>0</v>
      </c>
    </row>
    <row r="199" spans="1:3" x14ac:dyDescent="0.3">
      <c r="A199">
        <f>IF(AND(OR(Query!$B$4="All",'Compliance Database'!$A199=Query!$B$4),OR(Query!$B$5="All",ISNUMBER(SEARCH(Query!$B$5,'Compliance Database'!$H199))),OR(Query!$B$6="All",ISNUMBER(SEARCH(Query!$B$6,'Compliance Database'!$I199))),OR(Query!$B$7="All",'Compliance Database'!$F199=Query!$B$7),OR(Query!$B$8="All",'Compliance Database'!$J199=Query!$B$8),OR(Query!$B$9="",ISNUMBER(SEARCH(Query!$B$9,'Compliance Database'!$D199&amp;" "&amp;'Compliance Database'!$K199&amp;" "&amp;'Compliance Database'!$L199&amp;" "&amp;'Compliance Database'!$M199&amp;" "&amp;'Compliance Database'!$N199&amp;" "&amp;'Compliance Database'!$O199))),OR(Query!$B$10&lt;&gt;"Yes",'Compliance Database'!$F199&lt;&gt;"None")),1,0)</f>
        <v>0</v>
      </c>
      <c r="B199" t="str">
        <f>IF($A199=1,SUM($A$2:$A199),"")</f>
        <v/>
      </c>
      <c r="C199">
        <f>IF($A199=1,SUM($A$2:$A199),0)</f>
        <v>0</v>
      </c>
    </row>
    <row r="200" spans="1:3" x14ac:dyDescent="0.3">
      <c r="A200">
        <f>IF(AND(OR(Query!$B$4="All",'Compliance Database'!$A200=Query!$B$4),OR(Query!$B$5="All",ISNUMBER(SEARCH(Query!$B$5,'Compliance Database'!$H200))),OR(Query!$B$6="All",ISNUMBER(SEARCH(Query!$B$6,'Compliance Database'!$I200))),OR(Query!$B$7="All",'Compliance Database'!$F200=Query!$B$7),OR(Query!$B$8="All",'Compliance Database'!$J200=Query!$B$8),OR(Query!$B$9="",ISNUMBER(SEARCH(Query!$B$9,'Compliance Database'!$D200&amp;" "&amp;'Compliance Database'!$K200&amp;" "&amp;'Compliance Database'!$L200&amp;" "&amp;'Compliance Database'!$M200&amp;" "&amp;'Compliance Database'!$N200&amp;" "&amp;'Compliance Database'!$O200))),OR(Query!$B$10&lt;&gt;"Yes",'Compliance Database'!$F200&lt;&gt;"None")),1,0)</f>
        <v>0</v>
      </c>
      <c r="B200" t="str">
        <f>IF($A200=1,SUM($A$2:$A200),"")</f>
        <v/>
      </c>
      <c r="C200">
        <f>IF($A200=1,SUM($A$2:$A200),0)</f>
        <v>0</v>
      </c>
    </row>
    <row r="201" spans="1:3" x14ac:dyDescent="0.3">
      <c r="A201">
        <f>IF(AND(OR(Query!$B$4="All",'Compliance Database'!$A201=Query!$B$4),OR(Query!$B$5="All",ISNUMBER(SEARCH(Query!$B$5,'Compliance Database'!$H201))),OR(Query!$B$6="All",ISNUMBER(SEARCH(Query!$B$6,'Compliance Database'!$I201))),OR(Query!$B$7="All",'Compliance Database'!$F201=Query!$B$7),OR(Query!$B$8="All",'Compliance Database'!$J201=Query!$B$8),OR(Query!$B$9="",ISNUMBER(SEARCH(Query!$B$9,'Compliance Database'!$D201&amp;" "&amp;'Compliance Database'!$K201&amp;" "&amp;'Compliance Database'!$L201&amp;" "&amp;'Compliance Database'!$M201&amp;" "&amp;'Compliance Database'!$N201&amp;" "&amp;'Compliance Database'!$O201))),OR(Query!$B$10&lt;&gt;"Yes",'Compliance Database'!$F201&lt;&gt;"None")),1,0)</f>
        <v>0</v>
      </c>
      <c r="B201" t="str">
        <f>IF($A201=1,SUM($A$2:$A201),"")</f>
        <v/>
      </c>
      <c r="C201">
        <f>IF($A201=1,SUM($A$2:$A201),0)</f>
        <v>0</v>
      </c>
    </row>
    <row r="202" spans="1:3" x14ac:dyDescent="0.3">
      <c r="A202">
        <f>IF(AND(OR(Query!$B$4="All",'Compliance Database'!$A202=Query!$B$4),OR(Query!$B$5="All",ISNUMBER(SEARCH(Query!$B$5,'Compliance Database'!$H202))),OR(Query!$B$6="All",ISNUMBER(SEARCH(Query!$B$6,'Compliance Database'!$I202))),OR(Query!$B$7="All",'Compliance Database'!$F202=Query!$B$7),OR(Query!$B$8="All",'Compliance Database'!$J202=Query!$B$8),OR(Query!$B$9="",ISNUMBER(SEARCH(Query!$B$9,'Compliance Database'!$D202&amp;" "&amp;'Compliance Database'!$K202&amp;" "&amp;'Compliance Database'!$L202&amp;" "&amp;'Compliance Database'!$M202&amp;" "&amp;'Compliance Database'!$N202&amp;" "&amp;'Compliance Database'!$O202))),OR(Query!$B$10&lt;&gt;"Yes",'Compliance Database'!$F202&lt;&gt;"None")),1,0)</f>
        <v>0</v>
      </c>
      <c r="B202" t="str">
        <f>IF($A202=1,SUM($A$2:$A202),"")</f>
        <v/>
      </c>
      <c r="C202">
        <f>IF($A202=1,SUM($A$2:$A202),0)</f>
        <v>0</v>
      </c>
    </row>
    <row r="203" spans="1:3" x14ac:dyDescent="0.3">
      <c r="A203">
        <f>IF(AND(OR(Query!$B$4="All",'Compliance Database'!$A203=Query!$B$4),OR(Query!$B$5="All",ISNUMBER(SEARCH(Query!$B$5,'Compliance Database'!$H203))),OR(Query!$B$6="All",ISNUMBER(SEARCH(Query!$B$6,'Compliance Database'!$I203))),OR(Query!$B$7="All",'Compliance Database'!$F203=Query!$B$7),OR(Query!$B$8="All",'Compliance Database'!$J203=Query!$B$8),OR(Query!$B$9="",ISNUMBER(SEARCH(Query!$B$9,'Compliance Database'!$D203&amp;" "&amp;'Compliance Database'!$K203&amp;" "&amp;'Compliance Database'!$L203&amp;" "&amp;'Compliance Database'!$M203&amp;" "&amp;'Compliance Database'!$N203&amp;" "&amp;'Compliance Database'!$O203))),OR(Query!$B$10&lt;&gt;"Yes",'Compliance Database'!$F203&lt;&gt;"None")),1,0)</f>
        <v>0</v>
      </c>
      <c r="B203" t="str">
        <f>IF($A203=1,SUM($A$2:$A203),"")</f>
        <v/>
      </c>
      <c r="C203">
        <f>IF($A203=1,SUM($A$2:$A203),0)</f>
        <v>0</v>
      </c>
    </row>
    <row r="204" spans="1:3" x14ac:dyDescent="0.3">
      <c r="A204">
        <f>IF(AND(OR(Query!$B$4="All",'Compliance Database'!$A204=Query!$B$4),OR(Query!$B$5="All",ISNUMBER(SEARCH(Query!$B$5,'Compliance Database'!$H204))),OR(Query!$B$6="All",ISNUMBER(SEARCH(Query!$B$6,'Compliance Database'!$I204))),OR(Query!$B$7="All",'Compliance Database'!$F204=Query!$B$7),OR(Query!$B$8="All",'Compliance Database'!$J204=Query!$B$8),OR(Query!$B$9="",ISNUMBER(SEARCH(Query!$B$9,'Compliance Database'!$D204&amp;" "&amp;'Compliance Database'!$K204&amp;" "&amp;'Compliance Database'!$L204&amp;" "&amp;'Compliance Database'!$M204&amp;" "&amp;'Compliance Database'!$N204&amp;" "&amp;'Compliance Database'!$O204))),OR(Query!$B$10&lt;&gt;"Yes",'Compliance Database'!$F204&lt;&gt;"None")),1,0)</f>
        <v>0</v>
      </c>
      <c r="B204" t="str">
        <f>IF($A204=1,SUM($A$2:$A204),"")</f>
        <v/>
      </c>
      <c r="C204">
        <f>IF($A204=1,SUM($A$2:$A204),0)</f>
        <v>0</v>
      </c>
    </row>
    <row r="205" spans="1:3" x14ac:dyDescent="0.3">
      <c r="A205">
        <f>IF(AND(OR(Query!$B$4="All",'Compliance Database'!$A205=Query!$B$4),OR(Query!$B$5="All",ISNUMBER(SEARCH(Query!$B$5,'Compliance Database'!$H205))),OR(Query!$B$6="All",ISNUMBER(SEARCH(Query!$B$6,'Compliance Database'!$I205))),OR(Query!$B$7="All",'Compliance Database'!$F205=Query!$B$7),OR(Query!$B$8="All",'Compliance Database'!$J205=Query!$B$8),OR(Query!$B$9="",ISNUMBER(SEARCH(Query!$B$9,'Compliance Database'!$D205&amp;" "&amp;'Compliance Database'!$K205&amp;" "&amp;'Compliance Database'!$L205&amp;" "&amp;'Compliance Database'!$M205&amp;" "&amp;'Compliance Database'!$N205&amp;" "&amp;'Compliance Database'!$O205))),OR(Query!$B$10&lt;&gt;"Yes",'Compliance Database'!$F205&lt;&gt;"None")),1,0)</f>
        <v>0</v>
      </c>
      <c r="B205" t="str">
        <f>IF($A205=1,SUM($A$2:$A205),"")</f>
        <v/>
      </c>
      <c r="C205">
        <f>IF($A205=1,SUM($A$2:$A205),0)</f>
        <v>0</v>
      </c>
    </row>
    <row r="206" spans="1:3" x14ac:dyDescent="0.3">
      <c r="A206">
        <f>IF(AND(OR(Query!$B$4="All",'Compliance Database'!$A206=Query!$B$4),OR(Query!$B$5="All",ISNUMBER(SEARCH(Query!$B$5,'Compliance Database'!$H206))),OR(Query!$B$6="All",ISNUMBER(SEARCH(Query!$B$6,'Compliance Database'!$I206))),OR(Query!$B$7="All",'Compliance Database'!$F206=Query!$B$7),OR(Query!$B$8="All",'Compliance Database'!$J206=Query!$B$8),OR(Query!$B$9="",ISNUMBER(SEARCH(Query!$B$9,'Compliance Database'!$D206&amp;" "&amp;'Compliance Database'!$K206&amp;" "&amp;'Compliance Database'!$L206&amp;" "&amp;'Compliance Database'!$M206&amp;" "&amp;'Compliance Database'!$N206&amp;" "&amp;'Compliance Database'!$O206))),OR(Query!$B$10&lt;&gt;"Yes",'Compliance Database'!$F206&lt;&gt;"None")),1,0)</f>
        <v>0</v>
      </c>
      <c r="B206" t="str">
        <f>IF($A206=1,SUM($A$2:$A206),"")</f>
        <v/>
      </c>
      <c r="C206">
        <f>IF($A206=1,SUM($A$2:$A206),0)</f>
        <v>0</v>
      </c>
    </row>
    <row r="207" spans="1:3" x14ac:dyDescent="0.3">
      <c r="A207">
        <f>IF(AND(OR(Query!$B$4="All",'Compliance Database'!$A207=Query!$B$4),OR(Query!$B$5="All",ISNUMBER(SEARCH(Query!$B$5,'Compliance Database'!$H207))),OR(Query!$B$6="All",ISNUMBER(SEARCH(Query!$B$6,'Compliance Database'!$I207))),OR(Query!$B$7="All",'Compliance Database'!$F207=Query!$B$7),OR(Query!$B$8="All",'Compliance Database'!$J207=Query!$B$8),OR(Query!$B$9="",ISNUMBER(SEARCH(Query!$B$9,'Compliance Database'!$D207&amp;" "&amp;'Compliance Database'!$K207&amp;" "&amp;'Compliance Database'!$L207&amp;" "&amp;'Compliance Database'!$M207&amp;" "&amp;'Compliance Database'!$N207&amp;" "&amp;'Compliance Database'!$O207))),OR(Query!$B$10&lt;&gt;"Yes",'Compliance Database'!$F207&lt;&gt;"None")),1,0)</f>
        <v>0</v>
      </c>
      <c r="B207" t="str">
        <f>IF($A207=1,SUM($A$2:$A207),"")</f>
        <v/>
      </c>
      <c r="C207">
        <f>IF($A207=1,SUM($A$2:$A207),0)</f>
        <v>0</v>
      </c>
    </row>
    <row r="208" spans="1:3" x14ac:dyDescent="0.3">
      <c r="A208">
        <f>IF(AND(OR(Query!$B$4="All",'Compliance Database'!$A208=Query!$B$4),OR(Query!$B$5="All",ISNUMBER(SEARCH(Query!$B$5,'Compliance Database'!$H208))),OR(Query!$B$6="All",ISNUMBER(SEARCH(Query!$B$6,'Compliance Database'!$I208))),OR(Query!$B$7="All",'Compliance Database'!$F208=Query!$B$7),OR(Query!$B$8="All",'Compliance Database'!$J208=Query!$B$8),OR(Query!$B$9="",ISNUMBER(SEARCH(Query!$B$9,'Compliance Database'!$D208&amp;" "&amp;'Compliance Database'!$K208&amp;" "&amp;'Compliance Database'!$L208&amp;" "&amp;'Compliance Database'!$M208&amp;" "&amp;'Compliance Database'!$N208&amp;" "&amp;'Compliance Database'!$O208))),OR(Query!$B$10&lt;&gt;"Yes",'Compliance Database'!$F208&lt;&gt;"None")),1,0)</f>
        <v>0</v>
      </c>
      <c r="B208" t="str">
        <f>IF($A208=1,SUM($A$2:$A208),"")</f>
        <v/>
      </c>
      <c r="C208">
        <f>IF($A208=1,SUM($A$2:$A208),0)</f>
        <v>0</v>
      </c>
    </row>
    <row r="209" spans="1:3" x14ac:dyDescent="0.3">
      <c r="A209">
        <f>IF(AND(OR(Query!$B$4="All",'Compliance Database'!$A209=Query!$B$4),OR(Query!$B$5="All",ISNUMBER(SEARCH(Query!$B$5,'Compliance Database'!$H209))),OR(Query!$B$6="All",ISNUMBER(SEARCH(Query!$B$6,'Compliance Database'!$I209))),OR(Query!$B$7="All",'Compliance Database'!$F209=Query!$B$7),OR(Query!$B$8="All",'Compliance Database'!$J209=Query!$B$8),OR(Query!$B$9="",ISNUMBER(SEARCH(Query!$B$9,'Compliance Database'!$D209&amp;" "&amp;'Compliance Database'!$K209&amp;" "&amp;'Compliance Database'!$L209&amp;" "&amp;'Compliance Database'!$M209&amp;" "&amp;'Compliance Database'!$N209&amp;" "&amp;'Compliance Database'!$O209))),OR(Query!$B$10&lt;&gt;"Yes",'Compliance Database'!$F209&lt;&gt;"None")),1,0)</f>
        <v>0</v>
      </c>
      <c r="B209" t="str">
        <f>IF($A209=1,SUM($A$2:$A209),"")</f>
        <v/>
      </c>
      <c r="C209">
        <f>IF($A209=1,SUM($A$2:$A209),0)</f>
        <v>0</v>
      </c>
    </row>
    <row r="210" spans="1:3" x14ac:dyDescent="0.3">
      <c r="A210">
        <f>IF(AND(OR(Query!$B$4="All",'Compliance Database'!$A210=Query!$B$4),OR(Query!$B$5="All",ISNUMBER(SEARCH(Query!$B$5,'Compliance Database'!$H210))),OR(Query!$B$6="All",ISNUMBER(SEARCH(Query!$B$6,'Compliance Database'!$I210))),OR(Query!$B$7="All",'Compliance Database'!$F210=Query!$B$7),OR(Query!$B$8="All",'Compliance Database'!$J210=Query!$B$8),OR(Query!$B$9="",ISNUMBER(SEARCH(Query!$B$9,'Compliance Database'!$D210&amp;" "&amp;'Compliance Database'!$K210&amp;" "&amp;'Compliance Database'!$L210&amp;" "&amp;'Compliance Database'!$M210&amp;" "&amp;'Compliance Database'!$N210&amp;" "&amp;'Compliance Database'!$O210))),OR(Query!$B$10&lt;&gt;"Yes",'Compliance Database'!$F210&lt;&gt;"None")),1,0)</f>
        <v>0</v>
      </c>
      <c r="B210" t="str">
        <f>IF($A210=1,SUM($A$2:$A210),"")</f>
        <v/>
      </c>
      <c r="C210">
        <f>IF($A210=1,SUM($A$2:$A210),0)</f>
        <v>0</v>
      </c>
    </row>
    <row r="211" spans="1:3" x14ac:dyDescent="0.3">
      <c r="A211">
        <f>IF(AND(OR(Query!$B$4="All",'Compliance Database'!$A211=Query!$B$4),OR(Query!$B$5="All",ISNUMBER(SEARCH(Query!$B$5,'Compliance Database'!$H211))),OR(Query!$B$6="All",ISNUMBER(SEARCH(Query!$B$6,'Compliance Database'!$I211))),OR(Query!$B$7="All",'Compliance Database'!$F211=Query!$B$7),OR(Query!$B$8="All",'Compliance Database'!$J211=Query!$B$8),OR(Query!$B$9="",ISNUMBER(SEARCH(Query!$B$9,'Compliance Database'!$D211&amp;" "&amp;'Compliance Database'!$K211&amp;" "&amp;'Compliance Database'!$L211&amp;" "&amp;'Compliance Database'!$M211&amp;" "&amp;'Compliance Database'!$N211&amp;" "&amp;'Compliance Database'!$O211))),OR(Query!$B$10&lt;&gt;"Yes",'Compliance Database'!$F211&lt;&gt;"None")),1,0)</f>
        <v>0</v>
      </c>
      <c r="B211" t="str">
        <f>IF($A211=1,SUM($A$2:$A211),"")</f>
        <v/>
      </c>
      <c r="C211">
        <f>IF($A211=1,SUM($A$2:$A211),0)</f>
        <v>0</v>
      </c>
    </row>
    <row r="212" spans="1:3" x14ac:dyDescent="0.3">
      <c r="A212">
        <f>IF(AND(OR(Query!$B$4="All",'Compliance Database'!$A212=Query!$B$4),OR(Query!$B$5="All",ISNUMBER(SEARCH(Query!$B$5,'Compliance Database'!$H212))),OR(Query!$B$6="All",ISNUMBER(SEARCH(Query!$B$6,'Compliance Database'!$I212))),OR(Query!$B$7="All",'Compliance Database'!$F212=Query!$B$7),OR(Query!$B$8="All",'Compliance Database'!$J212=Query!$B$8),OR(Query!$B$9="",ISNUMBER(SEARCH(Query!$B$9,'Compliance Database'!$D212&amp;" "&amp;'Compliance Database'!$K212&amp;" "&amp;'Compliance Database'!$L212&amp;" "&amp;'Compliance Database'!$M212&amp;" "&amp;'Compliance Database'!$N212&amp;" "&amp;'Compliance Database'!$O212))),OR(Query!$B$10&lt;&gt;"Yes",'Compliance Database'!$F212&lt;&gt;"None")),1,0)</f>
        <v>0</v>
      </c>
      <c r="B212" t="str">
        <f>IF($A212=1,SUM($A$2:$A212),"")</f>
        <v/>
      </c>
      <c r="C212">
        <f>IF($A212=1,SUM($A$2:$A212),0)</f>
        <v>0</v>
      </c>
    </row>
    <row r="213" spans="1:3" x14ac:dyDescent="0.3">
      <c r="A213">
        <f>IF(AND(OR(Query!$B$4="All",'Compliance Database'!$A213=Query!$B$4),OR(Query!$B$5="All",ISNUMBER(SEARCH(Query!$B$5,'Compliance Database'!$H213))),OR(Query!$B$6="All",ISNUMBER(SEARCH(Query!$B$6,'Compliance Database'!$I213))),OR(Query!$B$7="All",'Compliance Database'!$F213=Query!$B$7),OR(Query!$B$8="All",'Compliance Database'!$J213=Query!$B$8),OR(Query!$B$9="",ISNUMBER(SEARCH(Query!$B$9,'Compliance Database'!$D213&amp;" "&amp;'Compliance Database'!$K213&amp;" "&amp;'Compliance Database'!$L213&amp;" "&amp;'Compliance Database'!$M213&amp;" "&amp;'Compliance Database'!$N213&amp;" "&amp;'Compliance Database'!$O213))),OR(Query!$B$10&lt;&gt;"Yes",'Compliance Database'!$F213&lt;&gt;"None")),1,0)</f>
        <v>0</v>
      </c>
      <c r="B213" t="str">
        <f>IF($A213=1,SUM($A$2:$A213),"")</f>
        <v/>
      </c>
      <c r="C213">
        <f>IF($A213=1,SUM($A$2:$A213),0)</f>
        <v>0</v>
      </c>
    </row>
    <row r="214" spans="1:3" x14ac:dyDescent="0.3">
      <c r="A214">
        <f>IF(AND(OR(Query!$B$4="All",'Compliance Database'!$A214=Query!$B$4),OR(Query!$B$5="All",ISNUMBER(SEARCH(Query!$B$5,'Compliance Database'!$H214))),OR(Query!$B$6="All",ISNUMBER(SEARCH(Query!$B$6,'Compliance Database'!$I214))),OR(Query!$B$7="All",'Compliance Database'!$F214=Query!$B$7),OR(Query!$B$8="All",'Compliance Database'!$J214=Query!$B$8),OR(Query!$B$9="",ISNUMBER(SEARCH(Query!$B$9,'Compliance Database'!$D214&amp;" "&amp;'Compliance Database'!$K214&amp;" "&amp;'Compliance Database'!$L214&amp;" "&amp;'Compliance Database'!$M214&amp;" "&amp;'Compliance Database'!$N214&amp;" "&amp;'Compliance Database'!$O214))),OR(Query!$B$10&lt;&gt;"Yes",'Compliance Database'!$F214&lt;&gt;"None")),1,0)</f>
        <v>0</v>
      </c>
      <c r="B214" t="str">
        <f>IF($A214=1,SUM($A$2:$A214),"")</f>
        <v/>
      </c>
      <c r="C214">
        <f>IF($A214=1,SUM($A$2:$A214),0)</f>
        <v>0</v>
      </c>
    </row>
    <row r="215" spans="1:3" x14ac:dyDescent="0.3">
      <c r="A215">
        <f>IF(AND(OR(Query!$B$4="All",'Compliance Database'!$A215=Query!$B$4),OR(Query!$B$5="All",ISNUMBER(SEARCH(Query!$B$5,'Compliance Database'!$H215))),OR(Query!$B$6="All",ISNUMBER(SEARCH(Query!$B$6,'Compliance Database'!$I215))),OR(Query!$B$7="All",'Compliance Database'!$F215=Query!$B$7),OR(Query!$B$8="All",'Compliance Database'!$J215=Query!$B$8),OR(Query!$B$9="",ISNUMBER(SEARCH(Query!$B$9,'Compliance Database'!$D215&amp;" "&amp;'Compliance Database'!$K215&amp;" "&amp;'Compliance Database'!$L215&amp;" "&amp;'Compliance Database'!$M215&amp;" "&amp;'Compliance Database'!$N215&amp;" "&amp;'Compliance Database'!$O215))),OR(Query!$B$10&lt;&gt;"Yes",'Compliance Database'!$F215&lt;&gt;"None")),1,0)</f>
        <v>0</v>
      </c>
      <c r="B215" t="str">
        <f>IF($A215=1,SUM($A$2:$A215),"")</f>
        <v/>
      </c>
      <c r="C215">
        <f>IF($A215=1,SUM($A$2:$A215),0)</f>
        <v>0</v>
      </c>
    </row>
    <row r="216" spans="1:3" x14ac:dyDescent="0.3">
      <c r="A216">
        <f>IF(AND(OR(Query!$B$4="All",'Compliance Database'!$A216=Query!$B$4),OR(Query!$B$5="All",ISNUMBER(SEARCH(Query!$B$5,'Compliance Database'!$H216))),OR(Query!$B$6="All",ISNUMBER(SEARCH(Query!$B$6,'Compliance Database'!$I216))),OR(Query!$B$7="All",'Compliance Database'!$F216=Query!$B$7),OR(Query!$B$8="All",'Compliance Database'!$J216=Query!$B$8),OR(Query!$B$9="",ISNUMBER(SEARCH(Query!$B$9,'Compliance Database'!$D216&amp;" "&amp;'Compliance Database'!$K216&amp;" "&amp;'Compliance Database'!$L216&amp;" "&amp;'Compliance Database'!$M216&amp;" "&amp;'Compliance Database'!$N216&amp;" "&amp;'Compliance Database'!$O216))),OR(Query!$B$10&lt;&gt;"Yes",'Compliance Database'!$F216&lt;&gt;"None")),1,0)</f>
        <v>0</v>
      </c>
      <c r="B216" t="str">
        <f>IF($A216=1,SUM($A$2:$A216),"")</f>
        <v/>
      </c>
      <c r="C216">
        <f>IF($A216=1,SUM($A$2:$A216),0)</f>
        <v>0</v>
      </c>
    </row>
    <row r="217" spans="1:3" x14ac:dyDescent="0.3">
      <c r="A217">
        <f>IF(AND(OR(Query!$B$4="All",'Compliance Database'!$A217=Query!$B$4),OR(Query!$B$5="All",ISNUMBER(SEARCH(Query!$B$5,'Compliance Database'!$H217))),OR(Query!$B$6="All",ISNUMBER(SEARCH(Query!$B$6,'Compliance Database'!$I217))),OR(Query!$B$7="All",'Compliance Database'!$F217=Query!$B$7),OR(Query!$B$8="All",'Compliance Database'!$J217=Query!$B$8),OR(Query!$B$9="",ISNUMBER(SEARCH(Query!$B$9,'Compliance Database'!$D217&amp;" "&amp;'Compliance Database'!$K217&amp;" "&amp;'Compliance Database'!$L217&amp;" "&amp;'Compliance Database'!$M217&amp;" "&amp;'Compliance Database'!$N217&amp;" "&amp;'Compliance Database'!$O217))),OR(Query!$B$10&lt;&gt;"Yes",'Compliance Database'!$F217&lt;&gt;"None")),1,0)</f>
        <v>0</v>
      </c>
      <c r="B217" t="str">
        <f>IF($A217=1,SUM($A$2:$A217),"")</f>
        <v/>
      </c>
      <c r="C217">
        <f>IF($A217=1,SUM($A$2:$A217),0)</f>
        <v>0</v>
      </c>
    </row>
    <row r="218" spans="1:3" x14ac:dyDescent="0.3">
      <c r="A218">
        <f>IF(AND(OR(Query!$B$4="All",'Compliance Database'!$A218=Query!$B$4),OR(Query!$B$5="All",ISNUMBER(SEARCH(Query!$B$5,'Compliance Database'!$H218))),OR(Query!$B$6="All",ISNUMBER(SEARCH(Query!$B$6,'Compliance Database'!$I218))),OR(Query!$B$7="All",'Compliance Database'!$F218=Query!$B$7),OR(Query!$B$8="All",'Compliance Database'!$J218=Query!$B$8),OR(Query!$B$9="",ISNUMBER(SEARCH(Query!$B$9,'Compliance Database'!$D218&amp;" "&amp;'Compliance Database'!$K218&amp;" "&amp;'Compliance Database'!$L218&amp;" "&amp;'Compliance Database'!$M218&amp;" "&amp;'Compliance Database'!$N218&amp;" "&amp;'Compliance Database'!$O218))),OR(Query!$B$10&lt;&gt;"Yes",'Compliance Database'!$F218&lt;&gt;"None")),1,0)</f>
        <v>0</v>
      </c>
      <c r="B218" t="str">
        <f>IF($A218=1,SUM($A$2:$A218),"")</f>
        <v/>
      </c>
      <c r="C218">
        <f>IF($A218=1,SUM($A$2:$A218),0)</f>
        <v>0</v>
      </c>
    </row>
    <row r="219" spans="1:3" x14ac:dyDescent="0.3">
      <c r="A219">
        <f>IF(AND(OR(Query!$B$4="All",'Compliance Database'!$A219=Query!$B$4),OR(Query!$B$5="All",ISNUMBER(SEARCH(Query!$B$5,'Compliance Database'!$H219))),OR(Query!$B$6="All",ISNUMBER(SEARCH(Query!$B$6,'Compliance Database'!$I219))),OR(Query!$B$7="All",'Compliance Database'!$F219=Query!$B$7),OR(Query!$B$8="All",'Compliance Database'!$J219=Query!$B$8),OR(Query!$B$9="",ISNUMBER(SEARCH(Query!$B$9,'Compliance Database'!$D219&amp;" "&amp;'Compliance Database'!$K219&amp;" "&amp;'Compliance Database'!$L219&amp;" "&amp;'Compliance Database'!$M219&amp;" "&amp;'Compliance Database'!$N219&amp;" "&amp;'Compliance Database'!$O219))),OR(Query!$B$10&lt;&gt;"Yes",'Compliance Database'!$F219&lt;&gt;"None")),1,0)</f>
        <v>0</v>
      </c>
      <c r="B219" t="str">
        <f>IF($A219=1,SUM($A$2:$A219),"")</f>
        <v/>
      </c>
      <c r="C219">
        <f>IF($A219=1,SUM($A$2:$A219),0)</f>
        <v>0</v>
      </c>
    </row>
    <row r="220" spans="1:3" x14ac:dyDescent="0.3">
      <c r="A220">
        <f>IF(AND(OR(Query!$B$4="All",'Compliance Database'!$A220=Query!$B$4),OR(Query!$B$5="All",ISNUMBER(SEARCH(Query!$B$5,'Compliance Database'!$H220))),OR(Query!$B$6="All",ISNUMBER(SEARCH(Query!$B$6,'Compliance Database'!$I220))),OR(Query!$B$7="All",'Compliance Database'!$F220=Query!$B$7),OR(Query!$B$8="All",'Compliance Database'!$J220=Query!$B$8),OR(Query!$B$9="",ISNUMBER(SEARCH(Query!$B$9,'Compliance Database'!$D220&amp;" "&amp;'Compliance Database'!$K220&amp;" "&amp;'Compliance Database'!$L220&amp;" "&amp;'Compliance Database'!$M220&amp;" "&amp;'Compliance Database'!$N220&amp;" "&amp;'Compliance Database'!$O220))),OR(Query!$B$10&lt;&gt;"Yes",'Compliance Database'!$F220&lt;&gt;"None")),1,0)</f>
        <v>0</v>
      </c>
      <c r="B220" t="str">
        <f>IF($A220=1,SUM($A$2:$A220),"")</f>
        <v/>
      </c>
      <c r="C220">
        <f>IF($A220=1,SUM($A$2:$A220),0)</f>
        <v>0</v>
      </c>
    </row>
    <row r="221" spans="1:3" x14ac:dyDescent="0.3">
      <c r="A221">
        <f>IF(AND(OR(Query!$B$4="All",'Compliance Database'!$A221=Query!$B$4),OR(Query!$B$5="All",ISNUMBER(SEARCH(Query!$B$5,'Compliance Database'!$H221))),OR(Query!$B$6="All",ISNUMBER(SEARCH(Query!$B$6,'Compliance Database'!$I221))),OR(Query!$B$7="All",'Compliance Database'!$F221=Query!$B$7),OR(Query!$B$8="All",'Compliance Database'!$J221=Query!$B$8),OR(Query!$B$9="",ISNUMBER(SEARCH(Query!$B$9,'Compliance Database'!$D221&amp;" "&amp;'Compliance Database'!$K221&amp;" "&amp;'Compliance Database'!$L221&amp;" "&amp;'Compliance Database'!$M221&amp;" "&amp;'Compliance Database'!$N221&amp;" "&amp;'Compliance Database'!$O221))),OR(Query!$B$10&lt;&gt;"Yes",'Compliance Database'!$F221&lt;&gt;"None")),1,0)</f>
        <v>0</v>
      </c>
      <c r="B221" t="str">
        <f>IF($A221=1,SUM($A$2:$A221),"")</f>
        <v/>
      </c>
      <c r="C221">
        <f>IF($A221=1,SUM($A$2:$A221),0)</f>
        <v>0</v>
      </c>
    </row>
    <row r="222" spans="1:3" x14ac:dyDescent="0.3">
      <c r="A222">
        <f>IF(AND(OR(Query!$B$4="All",'Compliance Database'!$A222=Query!$B$4),OR(Query!$B$5="All",ISNUMBER(SEARCH(Query!$B$5,'Compliance Database'!$H222))),OR(Query!$B$6="All",ISNUMBER(SEARCH(Query!$B$6,'Compliance Database'!$I222))),OR(Query!$B$7="All",'Compliance Database'!$F222=Query!$B$7),OR(Query!$B$8="All",'Compliance Database'!$J222=Query!$B$8),OR(Query!$B$9="",ISNUMBER(SEARCH(Query!$B$9,'Compliance Database'!$D222&amp;" "&amp;'Compliance Database'!$K222&amp;" "&amp;'Compliance Database'!$L222&amp;" "&amp;'Compliance Database'!$M222&amp;" "&amp;'Compliance Database'!$N222&amp;" "&amp;'Compliance Database'!$O222))),OR(Query!$B$10&lt;&gt;"Yes",'Compliance Database'!$F222&lt;&gt;"None")),1,0)</f>
        <v>0</v>
      </c>
      <c r="B222" t="str">
        <f>IF($A222=1,SUM($A$2:$A222),"")</f>
        <v/>
      </c>
      <c r="C222">
        <f>IF($A222=1,SUM($A$2:$A222),0)</f>
        <v>0</v>
      </c>
    </row>
    <row r="223" spans="1:3" x14ac:dyDescent="0.3">
      <c r="A223">
        <f>IF(AND(OR(Query!$B$4="All",'Compliance Database'!$A223=Query!$B$4),OR(Query!$B$5="All",ISNUMBER(SEARCH(Query!$B$5,'Compliance Database'!$H223))),OR(Query!$B$6="All",ISNUMBER(SEARCH(Query!$B$6,'Compliance Database'!$I223))),OR(Query!$B$7="All",'Compliance Database'!$F223=Query!$B$7),OR(Query!$B$8="All",'Compliance Database'!$J223=Query!$B$8),OR(Query!$B$9="",ISNUMBER(SEARCH(Query!$B$9,'Compliance Database'!$D223&amp;" "&amp;'Compliance Database'!$K223&amp;" "&amp;'Compliance Database'!$L223&amp;" "&amp;'Compliance Database'!$M223&amp;" "&amp;'Compliance Database'!$N223&amp;" "&amp;'Compliance Database'!$O223))),OR(Query!$B$10&lt;&gt;"Yes",'Compliance Database'!$F223&lt;&gt;"None")),1,0)</f>
        <v>0</v>
      </c>
      <c r="B223" t="str">
        <f>IF($A223=1,SUM($A$2:$A223),"")</f>
        <v/>
      </c>
      <c r="C223">
        <f>IF($A223=1,SUM($A$2:$A223),0)</f>
        <v>0</v>
      </c>
    </row>
    <row r="224" spans="1:3" x14ac:dyDescent="0.3">
      <c r="A224">
        <f>IF(AND(OR(Query!$B$4="All",'Compliance Database'!$A224=Query!$B$4),OR(Query!$B$5="All",ISNUMBER(SEARCH(Query!$B$5,'Compliance Database'!$H224))),OR(Query!$B$6="All",ISNUMBER(SEARCH(Query!$B$6,'Compliance Database'!$I224))),OR(Query!$B$7="All",'Compliance Database'!$F224=Query!$B$7),OR(Query!$B$8="All",'Compliance Database'!$J224=Query!$B$8),OR(Query!$B$9="",ISNUMBER(SEARCH(Query!$B$9,'Compliance Database'!$D224&amp;" "&amp;'Compliance Database'!$K224&amp;" "&amp;'Compliance Database'!$L224&amp;" "&amp;'Compliance Database'!$M224&amp;" "&amp;'Compliance Database'!$N224&amp;" "&amp;'Compliance Database'!$O224))),OR(Query!$B$10&lt;&gt;"Yes",'Compliance Database'!$F224&lt;&gt;"None")),1,0)</f>
        <v>0</v>
      </c>
      <c r="B224" t="str">
        <f>IF($A224=1,SUM($A$2:$A224),"")</f>
        <v/>
      </c>
      <c r="C224">
        <f>IF($A224=1,SUM($A$2:$A224),0)</f>
        <v>0</v>
      </c>
    </row>
    <row r="225" spans="1:3" x14ac:dyDescent="0.3">
      <c r="A225">
        <f>IF(AND(OR(Query!$B$4="All",'Compliance Database'!$A225=Query!$B$4),OR(Query!$B$5="All",ISNUMBER(SEARCH(Query!$B$5,'Compliance Database'!$H225))),OR(Query!$B$6="All",ISNUMBER(SEARCH(Query!$B$6,'Compliance Database'!$I225))),OR(Query!$B$7="All",'Compliance Database'!$F225=Query!$B$7),OR(Query!$B$8="All",'Compliance Database'!$J225=Query!$B$8),OR(Query!$B$9="",ISNUMBER(SEARCH(Query!$B$9,'Compliance Database'!$D225&amp;" "&amp;'Compliance Database'!$K225&amp;" "&amp;'Compliance Database'!$L225&amp;" "&amp;'Compliance Database'!$M225&amp;" "&amp;'Compliance Database'!$N225&amp;" "&amp;'Compliance Database'!$O225))),OR(Query!$B$10&lt;&gt;"Yes",'Compliance Database'!$F225&lt;&gt;"None")),1,0)</f>
        <v>0</v>
      </c>
      <c r="B225" t="str">
        <f>IF($A225=1,SUM($A$2:$A225),"")</f>
        <v/>
      </c>
      <c r="C225">
        <f>IF($A225=1,SUM($A$2:$A225),0)</f>
        <v>0</v>
      </c>
    </row>
    <row r="226" spans="1:3" x14ac:dyDescent="0.3">
      <c r="A226">
        <f>IF(AND(OR(Query!$B$4="All",'Compliance Database'!$A226=Query!$B$4),OR(Query!$B$5="All",ISNUMBER(SEARCH(Query!$B$5,'Compliance Database'!$H226))),OR(Query!$B$6="All",ISNUMBER(SEARCH(Query!$B$6,'Compliance Database'!$I226))),OR(Query!$B$7="All",'Compliance Database'!$F226=Query!$B$7),OR(Query!$B$8="All",'Compliance Database'!$J226=Query!$B$8),OR(Query!$B$9="",ISNUMBER(SEARCH(Query!$B$9,'Compliance Database'!$D226&amp;" "&amp;'Compliance Database'!$K226&amp;" "&amp;'Compliance Database'!$L226&amp;" "&amp;'Compliance Database'!$M226&amp;" "&amp;'Compliance Database'!$N226&amp;" "&amp;'Compliance Database'!$O226))),OR(Query!$B$10&lt;&gt;"Yes",'Compliance Database'!$F226&lt;&gt;"None")),1,0)</f>
        <v>0</v>
      </c>
      <c r="B226" t="str">
        <f>IF($A226=1,SUM($A$2:$A226),"")</f>
        <v/>
      </c>
      <c r="C226">
        <f>IF($A226=1,SUM($A$2:$A226),0)</f>
        <v>0</v>
      </c>
    </row>
    <row r="227" spans="1:3" x14ac:dyDescent="0.3">
      <c r="A227">
        <f>IF(AND(OR(Query!$B$4="All",'Compliance Database'!$A227=Query!$B$4),OR(Query!$B$5="All",ISNUMBER(SEARCH(Query!$B$5,'Compliance Database'!$H227))),OR(Query!$B$6="All",ISNUMBER(SEARCH(Query!$B$6,'Compliance Database'!$I227))),OR(Query!$B$7="All",'Compliance Database'!$F227=Query!$B$7),OR(Query!$B$8="All",'Compliance Database'!$J227=Query!$B$8),OR(Query!$B$9="",ISNUMBER(SEARCH(Query!$B$9,'Compliance Database'!$D227&amp;" "&amp;'Compliance Database'!$K227&amp;" "&amp;'Compliance Database'!$L227&amp;" "&amp;'Compliance Database'!$M227&amp;" "&amp;'Compliance Database'!$N227&amp;" "&amp;'Compliance Database'!$O227))),OR(Query!$B$10&lt;&gt;"Yes",'Compliance Database'!$F227&lt;&gt;"None")),1,0)</f>
        <v>0</v>
      </c>
      <c r="B227" t="str">
        <f>IF($A227=1,SUM($A$2:$A227),"")</f>
        <v/>
      </c>
      <c r="C227">
        <f>IF($A227=1,SUM($A$2:$A227),0)</f>
        <v>0</v>
      </c>
    </row>
    <row r="228" spans="1:3" x14ac:dyDescent="0.3">
      <c r="A228">
        <f>IF(AND(OR(Query!$B$4="All",'Compliance Database'!$A228=Query!$B$4),OR(Query!$B$5="All",ISNUMBER(SEARCH(Query!$B$5,'Compliance Database'!$H228))),OR(Query!$B$6="All",ISNUMBER(SEARCH(Query!$B$6,'Compliance Database'!$I228))),OR(Query!$B$7="All",'Compliance Database'!$F228=Query!$B$7),OR(Query!$B$8="All",'Compliance Database'!$J228=Query!$B$8),OR(Query!$B$9="",ISNUMBER(SEARCH(Query!$B$9,'Compliance Database'!$D228&amp;" "&amp;'Compliance Database'!$K228&amp;" "&amp;'Compliance Database'!$L228&amp;" "&amp;'Compliance Database'!$M228&amp;" "&amp;'Compliance Database'!$N228&amp;" "&amp;'Compliance Database'!$O228))),OR(Query!$B$10&lt;&gt;"Yes",'Compliance Database'!$F228&lt;&gt;"None")),1,0)</f>
        <v>0</v>
      </c>
      <c r="B228" t="str">
        <f>IF($A228=1,SUM($A$2:$A228),"")</f>
        <v/>
      </c>
      <c r="C228">
        <f>IF($A228=1,SUM($A$2:$A228),0)</f>
        <v>0</v>
      </c>
    </row>
    <row r="229" spans="1:3" x14ac:dyDescent="0.3">
      <c r="A229">
        <f>IF(AND(OR(Query!$B$4="All",'Compliance Database'!$A229=Query!$B$4),OR(Query!$B$5="All",ISNUMBER(SEARCH(Query!$B$5,'Compliance Database'!$H229))),OR(Query!$B$6="All",ISNUMBER(SEARCH(Query!$B$6,'Compliance Database'!$I229))),OR(Query!$B$7="All",'Compliance Database'!$F229=Query!$B$7),OR(Query!$B$8="All",'Compliance Database'!$J229=Query!$B$8),OR(Query!$B$9="",ISNUMBER(SEARCH(Query!$B$9,'Compliance Database'!$D229&amp;" "&amp;'Compliance Database'!$K229&amp;" "&amp;'Compliance Database'!$L229&amp;" "&amp;'Compliance Database'!$M229&amp;" "&amp;'Compliance Database'!$N229&amp;" "&amp;'Compliance Database'!$O229))),OR(Query!$B$10&lt;&gt;"Yes",'Compliance Database'!$F229&lt;&gt;"None")),1,0)</f>
        <v>0</v>
      </c>
      <c r="B229" t="str">
        <f>IF($A229=1,SUM($A$2:$A229),"")</f>
        <v/>
      </c>
      <c r="C229">
        <f>IF($A229=1,SUM($A$2:$A229),0)</f>
        <v>0</v>
      </c>
    </row>
    <row r="230" spans="1:3" x14ac:dyDescent="0.3">
      <c r="A230">
        <f>IF(AND(OR(Query!$B$4="All",'Compliance Database'!$A230=Query!$B$4),OR(Query!$B$5="All",ISNUMBER(SEARCH(Query!$B$5,'Compliance Database'!$H230))),OR(Query!$B$6="All",ISNUMBER(SEARCH(Query!$B$6,'Compliance Database'!$I230))),OR(Query!$B$7="All",'Compliance Database'!$F230=Query!$B$7),OR(Query!$B$8="All",'Compliance Database'!$J230=Query!$B$8),OR(Query!$B$9="",ISNUMBER(SEARCH(Query!$B$9,'Compliance Database'!$D230&amp;" "&amp;'Compliance Database'!$K230&amp;" "&amp;'Compliance Database'!$L230&amp;" "&amp;'Compliance Database'!$M230&amp;" "&amp;'Compliance Database'!$N230&amp;" "&amp;'Compliance Database'!$O230))),OR(Query!$B$10&lt;&gt;"Yes",'Compliance Database'!$F230&lt;&gt;"None")),1,0)</f>
        <v>0</v>
      </c>
      <c r="B230" t="str">
        <f>IF($A230=1,SUM($A$2:$A230),"")</f>
        <v/>
      </c>
      <c r="C230">
        <f>IF($A230=1,SUM($A$2:$A230),0)</f>
        <v>0</v>
      </c>
    </row>
    <row r="231" spans="1:3" x14ac:dyDescent="0.3">
      <c r="A231">
        <f>IF(AND(OR(Query!$B$4="All",'Compliance Database'!$A231=Query!$B$4),OR(Query!$B$5="All",ISNUMBER(SEARCH(Query!$B$5,'Compliance Database'!$H231))),OR(Query!$B$6="All",ISNUMBER(SEARCH(Query!$B$6,'Compliance Database'!$I231))),OR(Query!$B$7="All",'Compliance Database'!$F231=Query!$B$7),OR(Query!$B$8="All",'Compliance Database'!$J231=Query!$B$8),OR(Query!$B$9="",ISNUMBER(SEARCH(Query!$B$9,'Compliance Database'!$D231&amp;" "&amp;'Compliance Database'!$K231&amp;" "&amp;'Compliance Database'!$L231&amp;" "&amp;'Compliance Database'!$M231&amp;" "&amp;'Compliance Database'!$N231&amp;" "&amp;'Compliance Database'!$O231))),OR(Query!$B$10&lt;&gt;"Yes",'Compliance Database'!$F231&lt;&gt;"None")),1,0)</f>
        <v>0</v>
      </c>
      <c r="B231" t="str">
        <f>IF($A231=1,SUM($A$2:$A231),"")</f>
        <v/>
      </c>
      <c r="C231">
        <f>IF($A231=1,SUM($A$2:$A231),0)</f>
        <v>0</v>
      </c>
    </row>
    <row r="232" spans="1:3" x14ac:dyDescent="0.3">
      <c r="A232">
        <f>IF(AND(OR(Query!$B$4="All",'Compliance Database'!$A232=Query!$B$4),OR(Query!$B$5="All",ISNUMBER(SEARCH(Query!$B$5,'Compliance Database'!$H232))),OR(Query!$B$6="All",ISNUMBER(SEARCH(Query!$B$6,'Compliance Database'!$I232))),OR(Query!$B$7="All",'Compliance Database'!$F232=Query!$B$7),OR(Query!$B$8="All",'Compliance Database'!$J232=Query!$B$8),OR(Query!$B$9="",ISNUMBER(SEARCH(Query!$B$9,'Compliance Database'!$D232&amp;" "&amp;'Compliance Database'!$K232&amp;" "&amp;'Compliance Database'!$L232&amp;" "&amp;'Compliance Database'!$M232&amp;" "&amp;'Compliance Database'!$N232&amp;" "&amp;'Compliance Database'!$O232))),OR(Query!$B$10&lt;&gt;"Yes",'Compliance Database'!$F232&lt;&gt;"None")),1,0)</f>
        <v>0</v>
      </c>
      <c r="B232" t="str">
        <f>IF($A232=1,SUM($A$2:$A232),"")</f>
        <v/>
      </c>
      <c r="C232">
        <f>IF($A232=1,SUM($A$2:$A232),0)</f>
        <v>0</v>
      </c>
    </row>
    <row r="233" spans="1:3" x14ac:dyDescent="0.3">
      <c r="A233">
        <f>IF(AND(OR(Query!$B$4="All",'Compliance Database'!$A233=Query!$B$4),OR(Query!$B$5="All",ISNUMBER(SEARCH(Query!$B$5,'Compliance Database'!$H233))),OR(Query!$B$6="All",ISNUMBER(SEARCH(Query!$B$6,'Compliance Database'!$I233))),OR(Query!$B$7="All",'Compliance Database'!$F233=Query!$B$7),OR(Query!$B$8="All",'Compliance Database'!$J233=Query!$B$8),OR(Query!$B$9="",ISNUMBER(SEARCH(Query!$B$9,'Compliance Database'!$D233&amp;" "&amp;'Compliance Database'!$K233&amp;" "&amp;'Compliance Database'!$L233&amp;" "&amp;'Compliance Database'!$M233&amp;" "&amp;'Compliance Database'!$N233&amp;" "&amp;'Compliance Database'!$O233))),OR(Query!$B$10&lt;&gt;"Yes",'Compliance Database'!$F233&lt;&gt;"None")),1,0)</f>
        <v>0</v>
      </c>
      <c r="B233" t="str">
        <f>IF($A233=1,SUM($A$2:$A233),"")</f>
        <v/>
      </c>
      <c r="C233">
        <f>IF($A233=1,SUM($A$2:$A233),0)</f>
        <v>0</v>
      </c>
    </row>
    <row r="234" spans="1:3" x14ac:dyDescent="0.3">
      <c r="A234">
        <f>IF(AND(OR(Query!$B$4="All",'Compliance Database'!$A234=Query!$B$4),OR(Query!$B$5="All",ISNUMBER(SEARCH(Query!$B$5,'Compliance Database'!$H234))),OR(Query!$B$6="All",ISNUMBER(SEARCH(Query!$B$6,'Compliance Database'!$I234))),OR(Query!$B$7="All",'Compliance Database'!$F234=Query!$B$7),OR(Query!$B$8="All",'Compliance Database'!$J234=Query!$B$8),OR(Query!$B$9="",ISNUMBER(SEARCH(Query!$B$9,'Compliance Database'!$D234&amp;" "&amp;'Compliance Database'!$K234&amp;" "&amp;'Compliance Database'!$L234&amp;" "&amp;'Compliance Database'!$M234&amp;" "&amp;'Compliance Database'!$N234&amp;" "&amp;'Compliance Database'!$O234))),OR(Query!$B$10&lt;&gt;"Yes",'Compliance Database'!$F234&lt;&gt;"None")),1,0)</f>
        <v>0</v>
      </c>
      <c r="B234" t="str">
        <f>IF($A234=1,SUM($A$2:$A234),"")</f>
        <v/>
      </c>
      <c r="C234">
        <f>IF($A234=1,SUM($A$2:$A234),0)</f>
        <v>0</v>
      </c>
    </row>
    <row r="235" spans="1:3" x14ac:dyDescent="0.3">
      <c r="A235">
        <f>IF(AND(OR(Query!$B$4="All",'Compliance Database'!$A235=Query!$B$4),OR(Query!$B$5="All",ISNUMBER(SEARCH(Query!$B$5,'Compliance Database'!$H235))),OR(Query!$B$6="All",ISNUMBER(SEARCH(Query!$B$6,'Compliance Database'!$I235))),OR(Query!$B$7="All",'Compliance Database'!$F235=Query!$B$7),OR(Query!$B$8="All",'Compliance Database'!$J235=Query!$B$8),OR(Query!$B$9="",ISNUMBER(SEARCH(Query!$B$9,'Compliance Database'!$D235&amp;" "&amp;'Compliance Database'!$K235&amp;" "&amp;'Compliance Database'!$L235&amp;" "&amp;'Compliance Database'!$M235&amp;" "&amp;'Compliance Database'!$N235&amp;" "&amp;'Compliance Database'!$O235))),OR(Query!$B$10&lt;&gt;"Yes",'Compliance Database'!$F235&lt;&gt;"None")),1,0)</f>
        <v>0</v>
      </c>
      <c r="B235" t="str">
        <f>IF($A235=1,SUM($A$2:$A235),"")</f>
        <v/>
      </c>
      <c r="C235">
        <f>IF($A235=1,SUM($A$2:$A235),0)</f>
        <v>0</v>
      </c>
    </row>
    <row r="236" spans="1:3" x14ac:dyDescent="0.3">
      <c r="A236">
        <f>IF(AND(OR(Query!$B$4="All",'Compliance Database'!$A236=Query!$B$4),OR(Query!$B$5="All",ISNUMBER(SEARCH(Query!$B$5,'Compliance Database'!$H236))),OR(Query!$B$6="All",ISNUMBER(SEARCH(Query!$B$6,'Compliance Database'!$I236))),OR(Query!$B$7="All",'Compliance Database'!$F236=Query!$B$7),OR(Query!$B$8="All",'Compliance Database'!$J236=Query!$B$8),OR(Query!$B$9="",ISNUMBER(SEARCH(Query!$B$9,'Compliance Database'!$D236&amp;" "&amp;'Compliance Database'!$K236&amp;" "&amp;'Compliance Database'!$L236&amp;" "&amp;'Compliance Database'!$M236&amp;" "&amp;'Compliance Database'!$N236&amp;" "&amp;'Compliance Database'!$O236))),OR(Query!$B$10&lt;&gt;"Yes",'Compliance Database'!$F236&lt;&gt;"None")),1,0)</f>
        <v>0</v>
      </c>
      <c r="B236" t="str">
        <f>IF($A236=1,SUM($A$2:$A236),"")</f>
        <v/>
      </c>
      <c r="C236">
        <f>IF($A236=1,SUM($A$2:$A236),0)</f>
        <v>0</v>
      </c>
    </row>
    <row r="237" spans="1:3" x14ac:dyDescent="0.3">
      <c r="A237">
        <f>IF(AND(OR(Query!$B$4="All",'Compliance Database'!$A237=Query!$B$4),OR(Query!$B$5="All",ISNUMBER(SEARCH(Query!$B$5,'Compliance Database'!$H237))),OR(Query!$B$6="All",ISNUMBER(SEARCH(Query!$B$6,'Compliance Database'!$I237))),OR(Query!$B$7="All",'Compliance Database'!$F237=Query!$B$7),OR(Query!$B$8="All",'Compliance Database'!$J237=Query!$B$8),OR(Query!$B$9="",ISNUMBER(SEARCH(Query!$B$9,'Compliance Database'!$D237&amp;" "&amp;'Compliance Database'!$K237&amp;" "&amp;'Compliance Database'!$L237&amp;" "&amp;'Compliance Database'!$M237&amp;" "&amp;'Compliance Database'!$N237&amp;" "&amp;'Compliance Database'!$O237))),OR(Query!$B$10&lt;&gt;"Yes",'Compliance Database'!$F237&lt;&gt;"None")),1,0)</f>
        <v>0</v>
      </c>
      <c r="B237" t="str">
        <f>IF($A237=1,SUM($A$2:$A237),"")</f>
        <v/>
      </c>
      <c r="C237">
        <f>IF($A237=1,SUM($A$2:$A237),0)</f>
        <v>0</v>
      </c>
    </row>
    <row r="238" spans="1:3" x14ac:dyDescent="0.3">
      <c r="A238">
        <f>IF(AND(OR(Query!$B$4="All",'Compliance Database'!$A238=Query!$B$4),OR(Query!$B$5="All",ISNUMBER(SEARCH(Query!$B$5,'Compliance Database'!$H238))),OR(Query!$B$6="All",ISNUMBER(SEARCH(Query!$B$6,'Compliance Database'!$I238))),OR(Query!$B$7="All",'Compliance Database'!$F238=Query!$B$7),OR(Query!$B$8="All",'Compliance Database'!$J238=Query!$B$8),OR(Query!$B$9="",ISNUMBER(SEARCH(Query!$B$9,'Compliance Database'!$D238&amp;" "&amp;'Compliance Database'!$K238&amp;" "&amp;'Compliance Database'!$L238&amp;" "&amp;'Compliance Database'!$M238&amp;" "&amp;'Compliance Database'!$N238&amp;" "&amp;'Compliance Database'!$O238))),OR(Query!$B$10&lt;&gt;"Yes",'Compliance Database'!$F238&lt;&gt;"None")),1,0)</f>
        <v>0</v>
      </c>
      <c r="B238" t="str">
        <f>IF($A238=1,SUM($A$2:$A238),"")</f>
        <v/>
      </c>
      <c r="C238">
        <f>IF($A238=1,SUM($A$2:$A238),0)</f>
        <v>0</v>
      </c>
    </row>
    <row r="239" spans="1:3" x14ac:dyDescent="0.3">
      <c r="A239">
        <f>IF(AND(OR(Query!$B$4="All",'Compliance Database'!$A239=Query!$B$4),OR(Query!$B$5="All",ISNUMBER(SEARCH(Query!$B$5,'Compliance Database'!$H239))),OR(Query!$B$6="All",ISNUMBER(SEARCH(Query!$B$6,'Compliance Database'!$I239))),OR(Query!$B$7="All",'Compliance Database'!$F239=Query!$B$7),OR(Query!$B$8="All",'Compliance Database'!$J239=Query!$B$8),OR(Query!$B$9="",ISNUMBER(SEARCH(Query!$B$9,'Compliance Database'!$D239&amp;" "&amp;'Compliance Database'!$K239&amp;" "&amp;'Compliance Database'!$L239&amp;" "&amp;'Compliance Database'!$M239&amp;" "&amp;'Compliance Database'!$N239&amp;" "&amp;'Compliance Database'!$O239))),OR(Query!$B$10&lt;&gt;"Yes",'Compliance Database'!$F239&lt;&gt;"None")),1,0)</f>
        <v>0</v>
      </c>
      <c r="B239" t="str">
        <f>IF($A239=1,SUM($A$2:$A239),"")</f>
        <v/>
      </c>
      <c r="C239">
        <f>IF($A239=1,SUM($A$2:$A239),0)</f>
        <v>0</v>
      </c>
    </row>
    <row r="240" spans="1:3" x14ac:dyDescent="0.3">
      <c r="A240">
        <f>IF(AND(OR(Query!$B$4="All",'Compliance Database'!$A240=Query!$B$4),OR(Query!$B$5="All",ISNUMBER(SEARCH(Query!$B$5,'Compliance Database'!$H240))),OR(Query!$B$6="All",ISNUMBER(SEARCH(Query!$B$6,'Compliance Database'!$I240))),OR(Query!$B$7="All",'Compliance Database'!$F240=Query!$B$7),OR(Query!$B$8="All",'Compliance Database'!$J240=Query!$B$8),OR(Query!$B$9="",ISNUMBER(SEARCH(Query!$B$9,'Compliance Database'!$D240&amp;" "&amp;'Compliance Database'!$K240&amp;" "&amp;'Compliance Database'!$L240&amp;" "&amp;'Compliance Database'!$M240&amp;" "&amp;'Compliance Database'!$N240&amp;" "&amp;'Compliance Database'!$O240))),OR(Query!$B$10&lt;&gt;"Yes",'Compliance Database'!$F240&lt;&gt;"None")),1,0)</f>
        <v>0</v>
      </c>
      <c r="B240" t="str">
        <f>IF($A240=1,SUM($A$2:$A240),"")</f>
        <v/>
      </c>
      <c r="C240">
        <f>IF($A240=1,SUM($A$2:$A240),0)</f>
        <v>0</v>
      </c>
    </row>
    <row r="241" spans="1:3" x14ac:dyDescent="0.3">
      <c r="A241">
        <f>IF(AND(OR(Query!$B$4="All",'Compliance Database'!$A241=Query!$B$4),OR(Query!$B$5="All",ISNUMBER(SEARCH(Query!$B$5,'Compliance Database'!$H241))),OR(Query!$B$6="All",ISNUMBER(SEARCH(Query!$B$6,'Compliance Database'!$I241))),OR(Query!$B$7="All",'Compliance Database'!$F241=Query!$B$7),OR(Query!$B$8="All",'Compliance Database'!$J241=Query!$B$8),OR(Query!$B$9="",ISNUMBER(SEARCH(Query!$B$9,'Compliance Database'!$D241&amp;" "&amp;'Compliance Database'!$K241&amp;" "&amp;'Compliance Database'!$L241&amp;" "&amp;'Compliance Database'!$M241&amp;" "&amp;'Compliance Database'!$N241&amp;" "&amp;'Compliance Database'!$O241))),OR(Query!$B$10&lt;&gt;"Yes",'Compliance Database'!$F241&lt;&gt;"None")),1,0)</f>
        <v>0</v>
      </c>
      <c r="B241" t="str">
        <f>IF($A241=1,SUM($A$2:$A241),"")</f>
        <v/>
      </c>
      <c r="C241">
        <f>IF($A241=1,SUM($A$2:$A241),0)</f>
        <v>0</v>
      </c>
    </row>
    <row r="242" spans="1:3" x14ac:dyDescent="0.3">
      <c r="A242">
        <f>IF(AND(OR(Query!$B$4="All",'Compliance Database'!$A242=Query!$B$4),OR(Query!$B$5="All",ISNUMBER(SEARCH(Query!$B$5,'Compliance Database'!$H242))),OR(Query!$B$6="All",ISNUMBER(SEARCH(Query!$B$6,'Compliance Database'!$I242))),OR(Query!$B$7="All",'Compliance Database'!$F242=Query!$B$7),OR(Query!$B$8="All",'Compliance Database'!$J242=Query!$B$8),OR(Query!$B$9="",ISNUMBER(SEARCH(Query!$B$9,'Compliance Database'!$D242&amp;" "&amp;'Compliance Database'!$K242&amp;" "&amp;'Compliance Database'!$L242&amp;" "&amp;'Compliance Database'!$M242&amp;" "&amp;'Compliance Database'!$N242&amp;" "&amp;'Compliance Database'!$O242))),OR(Query!$B$10&lt;&gt;"Yes",'Compliance Database'!$F242&lt;&gt;"None")),1,0)</f>
        <v>0</v>
      </c>
      <c r="B242" t="str">
        <f>IF($A242=1,SUM($A$2:$A242),"")</f>
        <v/>
      </c>
      <c r="C242">
        <f>IF($A242=1,SUM($A$2:$A242),0)</f>
        <v>0</v>
      </c>
    </row>
    <row r="243" spans="1:3" x14ac:dyDescent="0.3">
      <c r="A243">
        <f>IF(AND(OR(Query!$B$4="All",'Compliance Database'!$A243=Query!$B$4),OR(Query!$B$5="All",ISNUMBER(SEARCH(Query!$B$5,'Compliance Database'!$H243))),OR(Query!$B$6="All",ISNUMBER(SEARCH(Query!$B$6,'Compliance Database'!$I243))),OR(Query!$B$7="All",'Compliance Database'!$F243=Query!$B$7),OR(Query!$B$8="All",'Compliance Database'!$J243=Query!$B$8),OR(Query!$B$9="",ISNUMBER(SEARCH(Query!$B$9,'Compliance Database'!$D243&amp;" "&amp;'Compliance Database'!$K243&amp;" "&amp;'Compliance Database'!$L243&amp;" "&amp;'Compliance Database'!$M243&amp;" "&amp;'Compliance Database'!$N243&amp;" "&amp;'Compliance Database'!$O243))),OR(Query!$B$10&lt;&gt;"Yes",'Compliance Database'!$F243&lt;&gt;"None")),1,0)</f>
        <v>0</v>
      </c>
      <c r="B243" t="str">
        <f>IF($A243=1,SUM($A$2:$A243),"")</f>
        <v/>
      </c>
      <c r="C243">
        <f>IF($A243=1,SUM($A$2:$A243),0)</f>
        <v>0</v>
      </c>
    </row>
    <row r="244" spans="1:3" x14ac:dyDescent="0.3">
      <c r="A244">
        <f>IF(AND(OR(Query!$B$4="All",'Compliance Database'!$A244=Query!$B$4),OR(Query!$B$5="All",ISNUMBER(SEARCH(Query!$B$5,'Compliance Database'!$H244))),OR(Query!$B$6="All",ISNUMBER(SEARCH(Query!$B$6,'Compliance Database'!$I244))),OR(Query!$B$7="All",'Compliance Database'!$F244=Query!$B$7),OR(Query!$B$8="All",'Compliance Database'!$J244=Query!$B$8),OR(Query!$B$9="",ISNUMBER(SEARCH(Query!$B$9,'Compliance Database'!$D244&amp;" "&amp;'Compliance Database'!$K244&amp;" "&amp;'Compliance Database'!$L244&amp;" "&amp;'Compliance Database'!$M244&amp;" "&amp;'Compliance Database'!$N244&amp;" "&amp;'Compliance Database'!$O244))),OR(Query!$B$10&lt;&gt;"Yes",'Compliance Database'!$F244&lt;&gt;"None")),1,0)</f>
        <v>0</v>
      </c>
      <c r="B244" t="str">
        <f>IF($A244=1,SUM($A$2:$A244),"")</f>
        <v/>
      </c>
      <c r="C244">
        <f>IF($A244=1,SUM($A$2:$A244),0)</f>
        <v>0</v>
      </c>
    </row>
    <row r="245" spans="1:3" x14ac:dyDescent="0.3">
      <c r="A245">
        <f>IF(AND(OR(Query!$B$4="All",'Compliance Database'!$A245=Query!$B$4),OR(Query!$B$5="All",ISNUMBER(SEARCH(Query!$B$5,'Compliance Database'!$H245))),OR(Query!$B$6="All",ISNUMBER(SEARCH(Query!$B$6,'Compliance Database'!$I245))),OR(Query!$B$7="All",'Compliance Database'!$F245=Query!$B$7),OR(Query!$B$8="All",'Compliance Database'!$J245=Query!$B$8),OR(Query!$B$9="",ISNUMBER(SEARCH(Query!$B$9,'Compliance Database'!$D245&amp;" "&amp;'Compliance Database'!$K245&amp;" "&amp;'Compliance Database'!$L245&amp;" "&amp;'Compliance Database'!$M245&amp;" "&amp;'Compliance Database'!$N245&amp;" "&amp;'Compliance Database'!$O245))),OR(Query!$B$10&lt;&gt;"Yes",'Compliance Database'!$F245&lt;&gt;"None")),1,0)</f>
        <v>0</v>
      </c>
      <c r="B245" t="str">
        <f>IF($A245=1,SUM($A$2:$A245),"")</f>
        <v/>
      </c>
      <c r="C245">
        <f>IF($A245=1,SUM($A$2:$A245),0)</f>
        <v>0</v>
      </c>
    </row>
    <row r="246" spans="1:3" x14ac:dyDescent="0.3">
      <c r="A246">
        <f>IF(AND(OR(Query!$B$4="All",'Compliance Database'!$A246=Query!$B$4),OR(Query!$B$5="All",ISNUMBER(SEARCH(Query!$B$5,'Compliance Database'!$H246))),OR(Query!$B$6="All",ISNUMBER(SEARCH(Query!$B$6,'Compliance Database'!$I246))),OR(Query!$B$7="All",'Compliance Database'!$F246=Query!$B$7),OR(Query!$B$8="All",'Compliance Database'!$J246=Query!$B$8),OR(Query!$B$9="",ISNUMBER(SEARCH(Query!$B$9,'Compliance Database'!$D246&amp;" "&amp;'Compliance Database'!$K246&amp;" "&amp;'Compliance Database'!$L246&amp;" "&amp;'Compliance Database'!$M246&amp;" "&amp;'Compliance Database'!$N246&amp;" "&amp;'Compliance Database'!$O246))),OR(Query!$B$10&lt;&gt;"Yes",'Compliance Database'!$F246&lt;&gt;"None")),1,0)</f>
        <v>0</v>
      </c>
      <c r="B246" t="str">
        <f>IF($A246=1,SUM($A$2:$A246),"")</f>
        <v/>
      </c>
      <c r="C246">
        <f>IF($A246=1,SUM($A$2:$A246),0)</f>
        <v>0</v>
      </c>
    </row>
    <row r="247" spans="1:3" x14ac:dyDescent="0.3">
      <c r="A247">
        <f>IF(AND(OR(Query!$B$4="All",'Compliance Database'!$A247=Query!$B$4),OR(Query!$B$5="All",ISNUMBER(SEARCH(Query!$B$5,'Compliance Database'!$H247))),OR(Query!$B$6="All",ISNUMBER(SEARCH(Query!$B$6,'Compliance Database'!$I247))),OR(Query!$B$7="All",'Compliance Database'!$F247=Query!$B$7),OR(Query!$B$8="All",'Compliance Database'!$J247=Query!$B$8),OR(Query!$B$9="",ISNUMBER(SEARCH(Query!$B$9,'Compliance Database'!$D247&amp;" "&amp;'Compliance Database'!$K247&amp;" "&amp;'Compliance Database'!$L247&amp;" "&amp;'Compliance Database'!$M247&amp;" "&amp;'Compliance Database'!$N247&amp;" "&amp;'Compliance Database'!$O247))),OR(Query!$B$10&lt;&gt;"Yes",'Compliance Database'!$F247&lt;&gt;"None")),1,0)</f>
        <v>0</v>
      </c>
      <c r="B247" t="str">
        <f>IF($A247=1,SUM($A$2:$A247),"")</f>
        <v/>
      </c>
      <c r="C247">
        <f>IF($A247=1,SUM($A$2:$A247),0)</f>
        <v>0</v>
      </c>
    </row>
    <row r="248" spans="1:3" x14ac:dyDescent="0.3">
      <c r="A248">
        <f>IF(AND(OR(Query!$B$4="All",'Compliance Database'!$A248=Query!$B$4),OR(Query!$B$5="All",ISNUMBER(SEARCH(Query!$B$5,'Compliance Database'!$H248))),OR(Query!$B$6="All",ISNUMBER(SEARCH(Query!$B$6,'Compliance Database'!$I248))),OR(Query!$B$7="All",'Compliance Database'!$F248=Query!$B$7),OR(Query!$B$8="All",'Compliance Database'!$J248=Query!$B$8),OR(Query!$B$9="",ISNUMBER(SEARCH(Query!$B$9,'Compliance Database'!$D248&amp;" "&amp;'Compliance Database'!$K248&amp;" "&amp;'Compliance Database'!$L248&amp;" "&amp;'Compliance Database'!$M248&amp;" "&amp;'Compliance Database'!$N248&amp;" "&amp;'Compliance Database'!$O248))),OR(Query!$B$10&lt;&gt;"Yes",'Compliance Database'!$F248&lt;&gt;"None")),1,0)</f>
        <v>0</v>
      </c>
      <c r="B248" t="str">
        <f>IF($A248=1,SUM($A$2:$A248),"")</f>
        <v/>
      </c>
      <c r="C248">
        <f>IF($A248=1,SUM($A$2:$A248),0)</f>
        <v>0</v>
      </c>
    </row>
    <row r="249" spans="1:3" x14ac:dyDescent="0.3">
      <c r="A249">
        <f>IF(AND(OR(Query!$B$4="All",'Compliance Database'!$A249=Query!$B$4),OR(Query!$B$5="All",ISNUMBER(SEARCH(Query!$B$5,'Compliance Database'!$H249))),OR(Query!$B$6="All",ISNUMBER(SEARCH(Query!$B$6,'Compliance Database'!$I249))),OR(Query!$B$7="All",'Compliance Database'!$F249=Query!$B$7),OR(Query!$B$8="All",'Compliance Database'!$J249=Query!$B$8),OR(Query!$B$9="",ISNUMBER(SEARCH(Query!$B$9,'Compliance Database'!$D249&amp;" "&amp;'Compliance Database'!$K249&amp;" "&amp;'Compliance Database'!$L249&amp;" "&amp;'Compliance Database'!$M249&amp;" "&amp;'Compliance Database'!$N249&amp;" "&amp;'Compliance Database'!$O249))),OR(Query!$B$10&lt;&gt;"Yes",'Compliance Database'!$F249&lt;&gt;"None")),1,0)</f>
        <v>0</v>
      </c>
      <c r="B249" t="str">
        <f>IF($A249=1,SUM($A$2:$A249),"")</f>
        <v/>
      </c>
      <c r="C249">
        <f>IF($A249=1,SUM($A$2:$A249),0)</f>
        <v>0</v>
      </c>
    </row>
    <row r="250" spans="1:3" x14ac:dyDescent="0.3">
      <c r="A250">
        <f>IF(AND(OR(Query!$B$4="All",'Compliance Database'!$A250=Query!$B$4),OR(Query!$B$5="All",ISNUMBER(SEARCH(Query!$B$5,'Compliance Database'!$H250))),OR(Query!$B$6="All",ISNUMBER(SEARCH(Query!$B$6,'Compliance Database'!$I250))),OR(Query!$B$7="All",'Compliance Database'!$F250=Query!$B$7),OR(Query!$B$8="All",'Compliance Database'!$J250=Query!$B$8),OR(Query!$B$9="",ISNUMBER(SEARCH(Query!$B$9,'Compliance Database'!$D250&amp;" "&amp;'Compliance Database'!$K250&amp;" "&amp;'Compliance Database'!$L250&amp;" "&amp;'Compliance Database'!$M250&amp;" "&amp;'Compliance Database'!$N250&amp;" "&amp;'Compliance Database'!$O250))),OR(Query!$B$10&lt;&gt;"Yes",'Compliance Database'!$F250&lt;&gt;"None")),1,0)</f>
        <v>0</v>
      </c>
      <c r="B250" t="str">
        <f>IF($A250=1,SUM($A$2:$A250),"")</f>
        <v/>
      </c>
      <c r="C250">
        <f>IF($A250=1,SUM($A$2:$A250),0)</f>
        <v>0</v>
      </c>
    </row>
    <row r="251" spans="1:3" x14ac:dyDescent="0.3">
      <c r="A251">
        <f>IF(AND(OR(Query!$B$4="All",'Compliance Database'!$A251=Query!$B$4),OR(Query!$B$5="All",ISNUMBER(SEARCH(Query!$B$5,'Compliance Database'!$H251))),OR(Query!$B$6="All",ISNUMBER(SEARCH(Query!$B$6,'Compliance Database'!$I251))),OR(Query!$B$7="All",'Compliance Database'!$F251=Query!$B$7),OR(Query!$B$8="All",'Compliance Database'!$J251=Query!$B$8),OR(Query!$B$9="",ISNUMBER(SEARCH(Query!$B$9,'Compliance Database'!$D251&amp;" "&amp;'Compliance Database'!$K251&amp;" "&amp;'Compliance Database'!$L251&amp;" "&amp;'Compliance Database'!$M251&amp;" "&amp;'Compliance Database'!$N251&amp;" "&amp;'Compliance Database'!$O251))),OR(Query!$B$10&lt;&gt;"Yes",'Compliance Database'!$F251&lt;&gt;"None")),1,0)</f>
        <v>0</v>
      </c>
      <c r="B251" t="str">
        <f>IF($A251=1,SUM($A$2:$A251),"")</f>
        <v/>
      </c>
      <c r="C251">
        <f>IF($A251=1,SUM($A$2:$A251),0)</f>
        <v>0</v>
      </c>
    </row>
    <row r="252" spans="1:3" x14ac:dyDescent="0.3">
      <c r="A252">
        <f>IF(AND(OR(Query!$B$4="All",'Compliance Database'!$A252=Query!$B$4),OR(Query!$B$5="All",ISNUMBER(SEARCH(Query!$B$5,'Compliance Database'!$H252))),OR(Query!$B$6="All",ISNUMBER(SEARCH(Query!$B$6,'Compliance Database'!$I252))),OR(Query!$B$7="All",'Compliance Database'!$F252=Query!$B$7),OR(Query!$B$8="All",'Compliance Database'!$J252=Query!$B$8),OR(Query!$B$9="",ISNUMBER(SEARCH(Query!$B$9,'Compliance Database'!$D252&amp;" "&amp;'Compliance Database'!$K252&amp;" "&amp;'Compliance Database'!$L252&amp;" "&amp;'Compliance Database'!$M252&amp;" "&amp;'Compliance Database'!$N252&amp;" "&amp;'Compliance Database'!$O252))),OR(Query!$B$10&lt;&gt;"Yes",'Compliance Database'!$F252&lt;&gt;"None")),1,0)</f>
        <v>0</v>
      </c>
      <c r="B252" t="str">
        <f>IF($A252=1,SUM($A$2:$A252),"")</f>
        <v/>
      </c>
      <c r="C252">
        <f>IF($A252=1,SUM($A$2:$A252),0)</f>
        <v>0</v>
      </c>
    </row>
    <row r="253" spans="1:3" x14ac:dyDescent="0.3">
      <c r="A253">
        <f>IF(AND(OR(Query!$B$4="All",'Compliance Database'!$A253=Query!$B$4),OR(Query!$B$5="All",ISNUMBER(SEARCH(Query!$B$5,'Compliance Database'!$H253))),OR(Query!$B$6="All",ISNUMBER(SEARCH(Query!$B$6,'Compliance Database'!$I253))),OR(Query!$B$7="All",'Compliance Database'!$F253=Query!$B$7),OR(Query!$B$8="All",'Compliance Database'!$J253=Query!$B$8),OR(Query!$B$9="",ISNUMBER(SEARCH(Query!$B$9,'Compliance Database'!$D253&amp;" "&amp;'Compliance Database'!$K253&amp;" "&amp;'Compliance Database'!$L253&amp;" "&amp;'Compliance Database'!$M253&amp;" "&amp;'Compliance Database'!$N253&amp;" "&amp;'Compliance Database'!$O253))),OR(Query!$B$10&lt;&gt;"Yes",'Compliance Database'!$F253&lt;&gt;"None")),1,0)</f>
        <v>0</v>
      </c>
      <c r="B253" t="str">
        <f>IF($A253=1,SUM($A$2:$A253),"")</f>
        <v/>
      </c>
      <c r="C253">
        <f>IF($A253=1,SUM($A$2:$A253),0)</f>
        <v>0</v>
      </c>
    </row>
    <row r="254" spans="1:3" x14ac:dyDescent="0.3">
      <c r="A254">
        <f>IF(AND(OR(Query!$B$4="All",'Compliance Database'!$A254=Query!$B$4),OR(Query!$B$5="All",ISNUMBER(SEARCH(Query!$B$5,'Compliance Database'!$H254))),OR(Query!$B$6="All",ISNUMBER(SEARCH(Query!$B$6,'Compliance Database'!$I254))),OR(Query!$B$7="All",'Compliance Database'!$F254=Query!$B$7),OR(Query!$B$8="All",'Compliance Database'!$J254=Query!$B$8),OR(Query!$B$9="",ISNUMBER(SEARCH(Query!$B$9,'Compliance Database'!$D254&amp;" "&amp;'Compliance Database'!$K254&amp;" "&amp;'Compliance Database'!$L254&amp;" "&amp;'Compliance Database'!$M254&amp;" "&amp;'Compliance Database'!$N254&amp;" "&amp;'Compliance Database'!$O254))),OR(Query!$B$10&lt;&gt;"Yes",'Compliance Database'!$F254&lt;&gt;"None")),1,0)</f>
        <v>0</v>
      </c>
      <c r="B254" t="str">
        <f>IF($A254=1,SUM($A$2:$A254),"")</f>
        <v/>
      </c>
      <c r="C254">
        <f>IF($A254=1,SUM($A$2:$A254),0)</f>
        <v>0</v>
      </c>
    </row>
    <row r="255" spans="1:3" x14ac:dyDescent="0.3">
      <c r="A255">
        <f>IF(AND(OR(Query!$B$4="All",'Compliance Database'!$A255=Query!$B$4),OR(Query!$B$5="All",ISNUMBER(SEARCH(Query!$B$5,'Compliance Database'!$H255))),OR(Query!$B$6="All",ISNUMBER(SEARCH(Query!$B$6,'Compliance Database'!$I255))),OR(Query!$B$7="All",'Compliance Database'!$F255=Query!$B$7),OR(Query!$B$8="All",'Compliance Database'!$J255=Query!$B$8),OR(Query!$B$9="",ISNUMBER(SEARCH(Query!$B$9,'Compliance Database'!$D255&amp;" "&amp;'Compliance Database'!$K255&amp;" "&amp;'Compliance Database'!$L255&amp;" "&amp;'Compliance Database'!$M255&amp;" "&amp;'Compliance Database'!$N255&amp;" "&amp;'Compliance Database'!$O255))),OR(Query!$B$10&lt;&gt;"Yes",'Compliance Database'!$F255&lt;&gt;"None")),1,0)</f>
        <v>0</v>
      </c>
      <c r="B255" t="str">
        <f>IF($A255=1,SUM($A$2:$A255),"")</f>
        <v/>
      </c>
      <c r="C255">
        <f>IF($A255=1,SUM($A$2:$A255),0)</f>
        <v>0</v>
      </c>
    </row>
    <row r="256" spans="1:3" x14ac:dyDescent="0.3">
      <c r="A256">
        <f>IF(AND(OR(Query!$B$4="All",'Compliance Database'!$A256=Query!$B$4),OR(Query!$B$5="All",ISNUMBER(SEARCH(Query!$B$5,'Compliance Database'!$H256))),OR(Query!$B$6="All",ISNUMBER(SEARCH(Query!$B$6,'Compliance Database'!$I256))),OR(Query!$B$7="All",'Compliance Database'!$F256=Query!$B$7),OR(Query!$B$8="All",'Compliance Database'!$J256=Query!$B$8),OR(Query!$B$9="",ISNUMBER(SEARCH(Query!$B$9,'Compliance Database'!$D256&amp;" "&amp;'Compliance Database'!$K256&amp;" "&amp;'Compliance Database'!$L256&amp;" "&amp;'Compliance Database'!$M256&amp;" "&amp;'Compliance Database'!$N256&amp;" "&amp;'Compliance Database'!$O256))),OR(Query!$B$10&lt;&gt;"Yes",'Compliance Database'!$F256&lt;&gt;"None")),1,0)</f>
        <v>0</v>
      </c>
      <c r="B256" t="str">
        <f>IF($A256=1,SUM($A$2:$A256),"")</f>
        <v/>
      </c>
      <c r="C256">
        <f>IF($A256=1,SUM($A$2:$A256),0)</f>
        <v>0</v>
      </c>
    </row>
    <row r="257" spans="1:3" x14ac:dyDescent="0.3">
      <c r="A257">
        <f>IF(AND(OR(Query!$B$4="All",'Compliance Database'!$A257=Query!$B$4),OR(Query!$B$5="All",ISNUMBER(SEARCH(Query!$B$5,'Compliance Database'!$H257))),OR(Query!$B$6="All",ISNUMBER(SEARCH(Query!$B$6,'Compliance Database'!$I257))),OR(Query!$B$7="All",'Compliance Database'!$F257=Query!$B$7),OR(Query!$B$8="All",'Compliance Database'!$J257=Query!$B$8),OR(Query!$B$9="",ISNUMBER(SEARCH(Query!$B$9,'Compliance Database'!$D257&amp;" "&amp;'Compliance Database'!$K257&amp;" "&amp;'Compliance Database'!$L257&amp;" "&amp;'Compliance Database'!$M257&amp;" "&amp;'Compliance Database'!$N257&amp;" "&amp;'Compliance Database'!$O257))),OR(Query!$B$10&lt;&gt;"Yes",'Compliance Database'!$F257&lt;&gt;"None")),1,0)</f>
        <v>0</v>
      </c>
      <c r="B257" t="str">
        <f>IF($A257=1,SUM($A$2:$A257),"")</f>
        <v/>
      </c>
      <c r="C257">
        <f>IF($A257=1,SUM($A$2:$A257),0)</f>
        <v>0</v>
      </c>
    </row>
    <row r="258" spans="1:3" x14ac:dyDescent="0.3">
      <c r="A258">
        <f>IF(AND(OR(Query!$B$4="All",'Compliance Database'!$A258=Query!$B$4),OR(Query!$B$5="All",ISNUMBER(SEARCH(Query!$B$5,'Compliance Database'!$H258))),OR(Query!$B$6="All",ISNUMBER(SEARCH(Query!$B$6,'Compliance Database'!$I258))),OR(Query!$B$7="All",'Compliance Database'!$F258=Query!$B$7),OR(Query!$B$8="All",'Compliance Database'!$J258=Query!$B$8),OR(Query!$B$9="",ISNUMBER(SEARCH(Query!$B$9,'Compliance Database'!$D258&amp;" "&amp;'Compliance Database'!$K258&amp;" "&amp;'Compliance Database'!$L258&amp;" "&amp;'Compliance Database'!$M258&amp;" "&amp;'Compliance Database'!$N258&amp;" "&amp;'Compliance Database'!$O258))),OR(Query!$B$10&lt;&gt;"Yes",'Compliance Database'!$F258&lt;&gt;"None")),1,0)</f>
        <v>0</v>
      </c>
      <c r="B258" t="str">
        <f>IF($A258=1,SUM($A$2:$A258),"")</f>
        <v/>
      </c>
      <c r="C258">
        <f>IF($A258=1,SUM($A$2:$A258),0)</f>
        <v>0</v>
      </c>
    </row>
    <row r="259" spans="1:3" x14ac:dyDescent="0.3">
      <c r="A259">
        <f>IF(AND(OR(Query!$B$4="All",'Compliance Database'!$A259=Query!$B$4),OR(Query!$B$5="All",ISNUMBER(SEARCH(Query!$B$5,'Compliance Database'!$H259))),OR(Query!$B$6="All",ISNUMBER(SEARCH(Query!$B$6,'Compliance Database'!$I259))),OR(Query!$B$7="All",'Compliance Database'!$F259=Query!$B$7),OR(Query!$B$8="All",'Compliance Database'!$J259=Query!$B$8),OR(Query!$B$9="",ISNUMBER(SEARCH(Query!$B$9,'Compliance Database'!$D259&amp;" "&amp;'Compliance Database'!$K259&amp;" "&amp;'Compliance Database'!$L259&amp;" "&amp;'Compliance Database'!$M259&amp;" "&amp;'Compliance Database'!$N259&amp;" "&amp;'Compliance Database'!$O259))),OR(Query!$B$10&lt;&gt;"Yes",'Compliance Database'!$F259&lt;&gt;"None")),1,0)</f>
        <v>0</v>
      </c>
      <c r="B259" t="str">
        <f>IF($A259=1,SUM($A$2:$A259),"")</f>
        <v/>
      </c>
      <c r="C259">
        <f>IF($A259=1,SUM($A$2:$A259),0)</f>
        <v>0</v>
      </c>
    </row>
    <row r="260" spans="1:3" x14ac:dyDescent="0.3">
      <c r="A260">
        <f>IF(AND(OR(Query!$B$4="All",'Compliance Database'!$A260=Query!$B$4),OR(Query!$B$5="All",ISNUMBER(SEARCH(Query!$B$5,'Compliance Database'!$H260))),OR(Query!$B$6="All",ISNUMBER(SEARCH(Query!$B$6,'Compliance Database'!$I260))),OR(Query!$B$7="All",'Compliance Database'!$F260=Query!$B$7),OR(Query!$B$8="All",'Compliance Database'!$J260=Query!$B$8),OR(Query!$B$9="",ISNUMBER(SEARCH(Query!$B$9,'Compliance Database'!$D260&amp;" "&amp;'Compliance Database'!$K260&amp;" "&amp;'Compliance Database'!$L260&amp;" "&amp;'Compliance Database'!$M260&amp;" "&amp;'Compliance Database'!$N260&amp;" "&amp;'Compliance Database'!$O260))),OR(Query!$B$10&lt;&gt;"Yes",'Compliance Database'!$F260&lt;&gt;"None")),1,0)</f>
        <v>0</v>
      </c>
      <c r="B260" t="str">
        <f>IF($A260=1,SUM($A$2:$A260),"")</f>
        <v/>
      </c>
      <c r="C260">
        <f>IF($A260=1,SUM($A$2:$A260),0)</f>
        <v>0</v>
      </c>
    </row>
    <row r="261" spans="1:3" x14ac:dyDescent="0.3">
      <c r="A261">
        <f>IF(AND(OR(Query!$B$4="All",'Compliance Database'!$A261=Query!$B$4),OR(Query!$B$5="All",ISNUMBER(SEARCH(Query!$B$5,'Compliance Database'!$H261))),OR(Query!$B$6="All",ISNUMBER(SEARCH(Query!$B$6,'Compliance Database'!$I261))),OR(Query!$B$7="All",'Compliance Database'!$F261=Query!$B$7),OR(Query!$B$8="All",'Compliance Database'!$J261=Query!$B$8),OR(Query!$B$9="",ISNUMBER(SEARCH(Query!$B$9,'Compliance Database'!$D261&amp;" "&amp;'Compliance Database'!$K261&amp;" "&amp;'Compliance Database'!$L261&amp;" "&amp;'Compliance Database'!$M261&amp;" "&amp;'Compliance Database'!$N261&amp;" "&amp;'Compliance Database'!$O261))),OR(Query!$B$10&lt;&gt;"Yes",'Compliance Database'!$F261&lt;&gt;"None")),1,0)</f>
        <v>0</v>
      </c>
      <c r="B261" t="str">
        <f>IF($A261=1,SUM($A$2:$A261),"")</f>
        <v/>
      </c>
      <c r="C261">
        <f>IF($A261=1,SUM($A$2:$A261),0)</f>
        <v>0</v>
      </c>
    </row>
    <row r="262" spans="1:3" x14ac:dyDescent="0.3">
      <c r="A262">
        <f>IF(AND(OR(Query!$B$4="All",'Compliance Database'!$A262=Query!$B$4),OR(Query!$B$5="All",ISNUMBER(SEARCH(Query!$B$5,'Compliance Database'!$H262))),OR(Query!$B$6="All",ISNUMBER(SEARCH(Query!$B$6,'Compliance Database'!$I262))),OR(Query!$B$7="All",'Compliance Database'!$F262=Query!$B$7),OR(Query!$B$8="All",'Compliance Database'!$J262=Query!$B$8),OR(Query!$B$9="",ISNUMBER(SEARCH(Query!$B$9,'Compliance Database'!$D262&amp;" "&amp;'Compliance Database'!$K262&amp;" "&amp;'Compliance Database'!$L262&amp;" "&amp;'Compliance Database'!$M262&amp;" "&amp;'Compliance Database'!$N262&amp;" "&amp;'Compliance Database'!$O262))),OR(Query!$B$10&lt;&gt;"Yes",'Compliance Database'!$F262&lt;&gt;"None")),1,0)</f>
        <v>0</v>
      </c>
      <c r="B262" t="str">
        <f>IF($A262=1,SUM($A$2:$A262),"")</f>
        <v/>
      </c>
      <c r="C262">
        <f>IF($A262=1,SUM($A$2:$A262),0)</f>
        <v>0</v>
      </c>
    </row>
    <row r="263" spans="1:3" x14ac:dyDescent="0.3">
      <c r="A263">
        <f>IF(AND(OR(Query!$B$4="All",'Compliance Database'!$A263=Query!$B$4),OR(Query!$B$5="All",ISNUMBER(SEARCH(Query!$B$5,'Compliance Database'!$H263))),OR(Query!$B$6="All",ISNUMBER(SEARCH(Query!$B$6,'Compliance Database'!$I263))),OR(Query!$B$7="All",'Compliance Database'!$F263=Query!$B$7),OR(Query!$B$8="All",'Compliance Database'!$J263=Query!$B$8),OR(Query!$B$9="",ISNUMBER(SEARCH(Query!$B$9,'Compliance Database'!$D263&amp;" "&amp;'Compliance Database'!$K263&amp;" "&amp;'Compliance Database'!$L263&amp;" "&amp;'Compliance Database'!$M263&amp;" "&amp;'Compliance Database'!$N263&amp;" "&amp;'Compliance Database'!$O263))),OR(Query!$B$10&lt;&gt;"Yes",'Compliance Database'!$F263&lt;&gt;"None")),1,0)</f>
        <v>0</v>
      </c>
      <c r="B263" t="str">
        <f>IF($A263=1,SUM($A$2:$A263),"")</f>
        <v/>
      </c>
      <c r="C263">
        <f>IF($A263=1,SUM($A$2:$A263),0)</f>
        <v>0</v>
      </c>
    </row>
    <row r="264" spans="1:3" x14ac:dyDescent="0.3">
      <c r="A264">
        <f>IF(AND(OR(Query!$B$4="All",'Compliance Database'!$A264=Query!$B$4),OR(Query!$B$5="All",ISNUMBER(SEARCH(Query!$B$5,'Compliance Database'!$H264))),OR(Query!$B$6="All",ISNUMBER(SEARCH(Query!$B$6,'Compliance Database'!$I264))),OR(Query!$B$7="All",'Compliance Database'!$F264=Query!$B$7),OR(Query!$B$8="All",'Compliance Database'!$J264=Query!$B$8),OR(Query!$B$9="",ISNUMBER(SEARCH(Query!$B$9,'Compliance Database'!$D264&amp;" "&amp;'Compliance Database'!$K264&amp;" "&amp;'Compliance Database'!$L264&amp;" "&amp;'Compliance Database'!$M264&amp;" "&amp;'Compliance Database'!$N264&amp;" "&amp;'Compliance Database'!$O264))),OR(Query!$B$10&lt;&gt;"Yes",'Compliance Database'!$F264&lt;&gt;"None")),1,0)</f>
        <v>0</v>
      </c>
      <c r="B264" t="str">
        <f>IF($A264=1,SUM($A$2:$A264),"")</f>
        <v/>
      </c>
      <c r="C264">
        <f>IF($A264=1,SUM($A$2:$A264),0)</f>
        <v>0</v>
      </c>
    </row>
    <row r="265" spans="1:3" x14ac:dyDescent="0.3">
      <c r="A265">
        <f>IF(AND(OR(Query!$B$4="All",'Compliance Database'!$A265=Query!$B$4),OR(Query!$B$5="All",ISNUMBER(SEARCH(Query!$B$5,'Compliance Database'!$H265))),OR(Query!$B$6="All",ISNUMBER(SEARCH(Query!$B$6,'Compliance Database'!$I265))),OR(Query!$B$7="All",'Compliance Database'!$F265=Query!$B$7),OR(Query!$B$8="All",'Compliance Database'!$J265=Query!$B$8),OR(Query!$B$9="",ISNUMBER(SEARCH(Query!$B$9,'Compliance Database'!$D265&amp;" "&amp;'Compliance Database'!$K265&amp;" "&amp;'Compliance Database'!$L265&amp;" "&amp;'Compliance Database'!$M265&amp;" "&amp;'Compliance Database'!$N265&amp;" "&amp;'Compliance Database'!$O265))),OR(Query!$B$10&lt;&gt;"Yes",'Compliance Database'!$F265&lt;&gt;"None")),1,0)</f>
        <v>0</v>
      </c>
      <c r="B265" t="str">
        <f>IF($A265=1,SUM($A$2:$A265),"")</f>
        <v/>
      </c>
      <c r="C265">
        <f>IF($A265=1,SUM($A$2:$A265),0)</f>
        <v>0</v>
      </c>
    </row>
    <row r="266" spans="1:3" x14ac:dyDescent="0.3">
      <c r="A266">
        <f>IF(AND(OR(Query!$B$4="All",'Compliance Database'!$A266=Query!$B$4),OR(Query!$B$5="All",ISNUMBER(SEARCH(Query!$B$5,'Compliance Database'!$H266))),OR(Query!$B$6="All",ISNUMBER(SEARCH(Query!$B$6,'Compliance Database'!$I266))),OR(Query!$B$7="All",'Compliance Database'!$F266=Query!$B$7),OR(Query!$B$8="All",'Compliance Database'!$J266=Query!$B$8),OR(Query!$B$9="",ISNUMBER(SEARCH(Query!$B$9,'Compliance Database'!$D266&amp;" "&amp;'Compliance Database'!$K266&amp;" "&amp;'Compliance Database'!$L266&amp;" "&amp;'Compliance Database'!$M266&amp;" "&amp;'Compliance Database'!$N266&amp;" "&amp;'Compliance Database'!$O266))),OR(Query!$B$10&lt;&gt;"Yes",'Compliance Database'!$F266&lt;&gt;"None")),1,0)</f>
        <v>0</v>
      </c>
      <c r="B266" t="str">
        <f>IF($A266=1,SUM($A$2:$A266),"")</f>
        <v/>
      </c>
      <c r="C266">
        <f>IF($A266=1,SUM($A$2:$A266),0)</f>
        <v>0</v>
      </c>
    </row>
    <row r="267" spans="1:3" x14ac:dyDescent="0.3">
      <c r="A267">
        <f>IF(AND(OR(Query!$B$4="All",'Compliance Database'!$A267=Query!$B$4),OR(Query!$B$5="All",ISNUMBER(SEARCH(Query!$B$5,'Compliance Database'!$H267))),OR(Query!$B$6="All",ISNUMBER(SEARCH(Query!$B$6,'Compliance Database'!$I267))),OR(Query!$B$7="All",'Compliance Database'!$F267=Query!$B$7),OR(Query!$B$8="All",'Compliance Database'!$J267=Query!$B$8),OR(Query!$B$9="",ISNUMBER(SEARCH(Query!$B$9,'Compliance Database'!$D267&amp;" "&amp;'Compliance Database'!$K267&amp;" "&amp;'Compliance Database'!$L267&amp;" "&amp;'Compliance Database'!$M267&amp;" "&amp;'Compliance Database'!$N267&amp;" "&amp;'Compliance Database'!$O267))),OR(Query!$B$10&lt;&gt;"Yes",'Compliance Database'!$F267&lt;&gt;"None")),1,0)</f>
        <v>0</v>
      </c>
      <c r="B267" t="str">
        <f>IF($A267=1,SUM($A$2:$A267),"")</f>
        <v/>
      </c>
      <c r="C267">
        <f>IF($A267=1,SUM($A$2:$A267),0)</f>
        <v>0</v>
      </c>
    </row>
    <row r="268" spans="1:3" x14ac:dyDescent="0.3">
      <c r="A268">
        <f>IF(AND(OR(Query!$B$4="All",'Compliance Database'!$A268=Query!$B$4),OR(Query!$B$5="All",ISNUMBER(SEARCH(Query!$B$5,'Compliance Database'!$H268))),OR(Query!$B$6="All",ISNUMBER(SEARCH(Query!$B$6,'Compliance Database'!$I268))),OR(Query!$B$7="All",'Compliance Database'!$F268=Query!$B$7),OR(Query!$B$8="All",'Compliance Database'!$J268=Query!$B$8),OR(Query!$B$9="",ISNUMBER(SEARCH(Query!$B$9,'Compliance Database'!$D268&amp;" "&amp;'Compliance Database'!$K268&amp;" "&amp;'Compliance Database'!$L268&amp;" "&amp;'Compliance Database'!$M268&amp;" "&amp;'Compliance Database'!$N268&amp;" "&amp;'Compliance Database'!$O268))),OR(Query!$B$10&lt;&gt;"Yes",'Compliance Database'!$F268&lt;&gt;"None")),1,0)</f>
        <v>0</v>
      </c>
      <c r="B268" t="str">
        <f>IF($A268=1,SUM($A$2:$A268),"")</f>
        <v/>
      </c>
      <c r="C268">
        <f>IF($A268=1,SUM($A$2:$A268),0)</f>
        <v>0</v>
      </c>
    </row>
    <row r="269" spans="1:3" x14ac:dyDescent="0.3">
      <c r="A269">
        <f>IF(AND(OR(Query!$B$4="All",'Compliance Database'!$A269=Query!$B$4),OR(Query!$B$5="All",ISNUMBER(SEARCH(Query!$B$5,'Compliance Database'!$H269))),OR(Query!$B$6="All",ISNUMBER(SEARCH(Query!$B$6,'Compliance Database'!$I269))),OR(Query!$B$7="All",'Compliance Database'!$F269=Query!$B$7),OR(Query!$B$8="All",'Compliance Database'!$J269=Query!$B$8),OR(Query!$B$9="",ISNUMBER(SEARCH(Query!$B$9,'Compliance Database'!$D269&amp;" "&amp;'Compliance Database'!$K269&amp;" "&amp;'Compliance Database'!$L269&amp;" "&amp;'Compliance Database'!$M269&amp;" "&amp;'Compliance Database'!$N269&amp;" "&amp;'Compliance Database'!$O269))),OR(Query!$B$10&lt;&gt;"Yes",'Compliance Database'!$F269&lt;&gt;"None")),1,0)</f>
        <v>0</v>
      </c>
      <c r="B269" t="str">
        <f>IF($A269=1,SUM($A$2:$A269),"")</f>
        <v/>
      </c>
      <c r="C269">
        <f>IF($A269=1,SUM($A$2:$A269),0)</f>
        <v>0</v>
      </c>
    </row>
    <row r="270" spans="1:3" x14ac:dyDescent="0.3">
      <c r="A270">
        <f>IF(AND(OR(Query!$B$4="All",'Compliance Database'!$A270=Query!$B$4),OR(Query!$B$5="All",ISNUMBER(SEARCH(Query!$B$5,'Compliance Database'!$H270))),OR(Query!$B$6="All",ISNUMBER(SEARCH(Query!$B$6,'Compliance Database'!$I270))),OR(Query!$B$7="All",'Compliance Database'!$F270=Query!$B$7),OR(Query!$B$8="All",'Compliance Database'!$J270=Query!$B$8),OR(Query!$B$9="",ISNUMBER(SEARCH(Query!$B$9,'Compliance Database'!$D270&amp;" "&amp;'Compliance Database'!$K270&amp;" "&amp;'Compliance Database'!$L270&amp;" "&amp;'Compliance Database'!$M270&amp;" "&amp;'Compliance Database'!$N270&amp;" "&amp;'Compliance Database'!$O270))),OR(Query!$B$10&lt;&gt;"Yes",'Compliance Database'!$F270&lt;&gt;"None")),1,0)</f>
        <v>0</v>
      </c>
      <c r="B270" t="str">
        <f>IF($A270=1,SUM($A$2:$A270),"")</f>
        <v/>
      </c>
      <c r="C270">
        <f>IF($A270=1,SUM($A$2:$A270),0)</f>
        <v>0</v>
      </c>
    </row>
    <row r="271" spans="1:3" x14ac:dyDescent="0.3">
      <c r="A271">
        <f>IF(AND(OR(Query!$B$4="All",'Compliance Database'!$A271=Query!$B$4),OR(Query!$B$5="All",ISNUMBER(SEARCH(Query!$B$5,'Compliance Database'!$H271))),OR(Query!$B$6="All",ISNUMBER(SEARCH(Query!$B$6,'Compliance Database'!$I271))),OR(Query!$B$7="All",'Compliance Database'!$F271=Query!$B$7),OR(Query!$B$8="All",'Compliance Database'!$J271=Query!$B$8),OR(Query!$B$9="",ISNUMBER(SEARCH(Query!$B$9,'Compliance Database'!$D271&amp;" "&amp;'Compliance Database'!$K271&amp;" "&amp;'Compliance Database'!$L271&amp;" "&amp;'Compliance Database'!$M271&amp;" "&amp;'Compliance Database'!$N271&amp;" "&amp;'Compliance Database'!$O271))),OR(Query!$B$10&lt;&gt;"Yes",'Compliance Database'!$F271&lt;&gt;"None")),1,0)</f>
        <v>0</v>
      </c>
      <c r="B271" t="str">
        <f>IF($A271=1,SUM($A$2:$A271),"")</f>
        <v/>
      </c>
      <c r="C271">
        <f>IF($A271=1,SUM($A$2:$A271),0)</f>
        <v>0</v>
      </c>
    </row>
    <row r="272" spans="1:3" x14ac:dyDescent="0.3">
      <c r="A272">
        <f>IF(AND(OR(Query!$B$4="All",'Compliance Database'!$A272=Query!$B$4),OR(Query!$B$5="All",ISNUMBER(SEARCH(Query!$B$5,'Compliance Database'!$H272))),OR(Query!$B$6="All",ISNUMBER(SEARCH(Query!$B$6,'Compliance Database'!$I272))),OR(Query!$B$7="All",'Compliance Database'!$F272=Query!$B$7),OR(Query!$B$8="All",'Compliance Database'!$J272=Query!$B$8),OR(Query!$B$9="",ISNUMBER(SEARCH(Query!$B$9,'Compliance Database'!$D272&amp;" "&amp;'Compliance Database'!$K272&amp;" "&amp;'Compliance Database'!$L272&amp;" "&amp;'Compliance Database'!$M272&amp;" "&amp;'Compliance Database'!$N272&amp;" "&amp;'Compliance Database'!$O272))),OR(Query!$B$10&lt;&gt;"Yes",'Compliance Database'!$F272&lt;&gt;"None")),1,0)</f>
        <v>0</v>
      </c>
      <c r="B272" t="str">
        <f>IF($A272=1,SUM($A$2:$A272),"")</f>
        <v/>
      </c>
      <c r="C272">
        <f>IF($A272=1,SUM($A$2:$A272),0)</f>
        <v>0</v>
      </c>
    </row>
    <row r="273" spans="1:3" x14ac:dyDescent="0.3">
      <c r="A273">
        <f>IF(AND(OR(Query!$B$4="All",'Compliance Database'!$A273=Query!$B$4),OR(Query!$B$5="All",ISNUMBER(SEARCH(Query!$B$5,'Compliance Database'!$H273))),OR(Query!$B$6="All",ISNUMBER(SEARCH(Query!$B$6,'Compliance Database'!$I273))),OR(Query!$B$7="All",'Compliance Database'!$F273=Query!$B$7),OR(Query!$B$8="All",'Compliance Database'!$J273=Query!$B$8),OR(Query!$B$9="",ISNUMBER(SEARCH(Query!$B$9,'Compliance Database'!$D273&amp;" "&amp;'Compliance Database'!$K273&amp;" "&amp;'Compliance Database'!$L273&amp;" "&amp;'Compliance Database'!$M273&amp;" "&amp;'Compliance Database'!$N273&amp;" "&amp;'Compliance Database'!$O273))),OR(Query!$B$10&lt;&gt;"Yes",'Compliance Database'!$F273&lt;&gt;"None")),1,0)</f>
        <v>0</v>
      </c>
      <c r="B273" t="str">
        <f>IF($A273=1,SUM($A$2:$A273),"")</f>
        <v/>
      </c>
      <c r="C273">
        <f>IF($A273=1,SUM($A$2:$A273),0)</f>
        <v>0</v>
      </c>
    </row>
    <row r="274" spans="1:3" x14ac:dyDescent="0.3">
      <c r="A274">
        <f>IF(AND(OR(Query!$B$4="All",'Compliance Database'!$A274=Query!$B$4),OR(Query!$B$5="All",ISNUMBER(SEARCH(Query!$B$5,'Compliance Database'!$H274))),OR(Query!$B$6="All",ISNUMBER(SEARCH(Query!$B$6,'Compliance Database'!$I274))),OR(Query!$B$7="All",'Compliance Database'!$F274=Query!$B$7),OR(Query!$B$8="All",'Compliance Database'!$J274=Query!$B$8),OR(Query!$B$9="",ISNUMBER(SEARCH(Query!$B$9,'Compliance Database'!$D274&amp;" "&amp;'Compliance Database'!$K274&amp;" "&amp;'Compliance Database'!$L274&amp;" "&amp;'Compliance Database'!$M274&amp;" "&amp;'Compliance Database'!$N274&amp;" "&amp;'Compliance Database'!$O274))),OR(Query!$B$10&lt;&gt;"Yes",'Compliance Database'!$F274&lt;&gt;"None")),1,0)</f>
        <v>0</v>
      </c>
      <c r="B274" t="str">
        <f>IF($A274=1,SUM($A$2:$A274),"")</f>
        <v/>
      </c>
      <c r="C274">
        <f>IF($A274=1,SUM($A$2:$A274),0)</f>
        <v>0</v>
      </c>
    </row>
    <row r="275" spans="1:3" x14ac:dyDescent="0.3">
      <c r="A275">
        <f>IF(AND(OR(Query!$B$4="All",'Compliance Database'!$A275=Query!$B$4),OR(Query!$B$5="All",ISNUMBER(SEARCH(Query!$B$5,'Compliance Database'!$H275))),OR(Query!$B$6="All",ISNUMBER(SEARCH(Query!$B$6,'Compliance Database'!$I275))),OR(Query!$B$7="All",'Compliance Database'!$F275=Query!$B$7),OR(Query!$B$8="All",'Compliance Database'!$J275=Query!$B$8),OR(Query!$B$9="",ISNUMBER(SEARCH(Query!$B$9,'Compliance Database'!$D275&amp;" "&amp;'Compliance Database'!$K275&amp;" "&amp;'Compliance Database'!$L275&amp;" "&amp;'Compliance Database'!$M275&amp;" "&amp;'Compliance Database'!$N275&amp;" "&amp;'Compliance Database'!$O275))),OR(Query!$B$10&lt;&gt;"Yes",'Compliance Database'!$F275&lt;&gt;"None")),1,0)</f>
        <v>0</v>
      </c>
      <c r="B275" t="str">
        <f>IF($A275=1,SUM($A$2:$A275),"")</f>
        <v/>
      </c>
      <c r="C275">
        <f>IF($A275=1,SUM($A$2:$A275),0)</f>
        <v>0</v>
      </c>
    </row>
    <row r="276" spans="1:3" x14ac:dyDescent="0.3">
      <c r="A276">
        <f>IF(AND(OR(Query!$B$4="All",'Compliance Database'!$A276=Query!$B$4),OR(Query!$B$5="All",ISNUMBER(SEARCH(Query!$B$5,'Compliance Database'!$H276))),OR(Query!$B$6="All",ISNUMBER(SEARCH(Query!$B$6,'Compliance Database'!$I276))),OR(Query!$B$7="All",'Compliance Database'!$F276=Query!$B$7),OR(Query!$B$8="All",'Compliance Database'!$J276=Query!$B$8),OR(Query!$B$9="",ISNUMBER(SEARCH(Query!$B$9,'Compliance Database'!$D276&amp;" "&amp;'Compliance Database'!$K276&amp;" "&amp;'Compliance Database'!$L276&amp;" "&amp;'Compliance Database'!$M276&amp;" "&amp;'Compliance Database'!$N276&amp;" "&amp;'Compliance Database'!$O276))),OR(Query!$B$10&lt;&gt;"Yes",'Compliance Database'!$F276&lt;&gt;"None")),1,0)</f>
        <v>0</v>
      </c>
      <c r="B276" t="str">
        <f>IF($A276=1,SUM($A$2:$A276),"")</f>
        <v/>
      </c>
      <c r="C276">
        <f>IF($A276=1,SUM($A$2:$A276),0)</f>
        <v>0</v>
      </c>
    </row>
    <row r="277" spans="1:3" x14ac:dyDescent="0.3">
      <c r="A277">
        <f>IF(AND(OR(Query!$B$4="All",'Compliance Database'!$A277=Query!$B$4),OR(Query!$B$5="All",ISNUMBER(SEARCH(Query!$B$5,'Compliance Database'!$H277))),OR(Query!$B$6="All",ISNUMBER(SEARCH(Query!$B$6,'Compliance Database'!$I277))),OR(Query!$B$7="All",'Compliance Database'!$F277=Query!$B$7),OR(Query!$B$8="All",'Compliance Database'!$J277=Query!$B$8),OR(Query!$B$9="",ISNUMBER(SEARCH(Query!$B$9,'Compliance Database'!$D277&amp;" "&amp;'Compliance Database'!$K277&amp;" "&amp;'Compliance Database'!$L277&amp;" "&amp;'Compliance Database'!$M277&amp;" "&amp;'Compliance Database'!$N277&amp;" "&amp;'Compliance Database'!$O277))),OR(Query!$B$10&lt;&gt;"Yes",'Compliance Database'!$F277&lt;&gt;"None")),1,0)</f>
        <v>0</v>
      </c>
      <c r="B277" t="str">
        <f>IF($A277=1,SUM($A$2:$A277),"")</f>
        <v/>
      </c>
      <c r="C277">
        <f>IF($A277=1,SUM($A$2:$A277),0)</f>
        <v>0</v>
      </c>
    </row>
    <row r="278" spans="1:3" x14ac:dyDescent="0.3">
      <c r="A278">
        <f>IF(AND(OR(Query!$B$4="All",'Compliance Database'!$A278=Query!$B$4),OR(Query!$B$5="All",ISNUMBER(SEARCH(Query!$B$5,'Compliance Database'!$H278))),OR(Query!$B$6="All",ISNUMBER(SEARCH(Query!$B$6,'Compliance Database'!$I278))),OR(Query!$B$7="All",'Compliance Database'!$F278=Query!$B$7),OR(Query!$B$8="All",'Compliance Database'!$J278=Query!$B$8),OR(Query!$B$9="",ISNUMBER(SEARCH(Query!$B$9,'Compliance Database'!$D278&amp;" "&amp;'Compliance Database'!$K278&amp;" "&amp;'Compliance Database'!$L278&amp;" "&amp;'Compliance Database'!$M278&amp;" "&amp;'Compliance Database'!$N278&amp;" "&amp;'Compliance Database'!$O278))),OR(Query!$B$10&lt;&gt;"Yes",'Compliance Database'!$F278&lt;&gt;"None")),1,0)</f>
        <v>0</v>
      </c>
      <c r="B278" t="str">
        <f>IF($A278=1,SUM($A$2:$A278),"")</f>
        <v/>
      </c>
      <c r="C278">
        <f>IF($A278=1,SUM($A$2:$A278),0)</f>
        <v>0</v>
      </c>
    </row>
    <row r="279" spans="1:3" x14ac:dyDescent="0.3">
      <c r="A279">
        <f>IF(AND(OR(Query!$B$4="All",'Compliance Database'!$A279=Query!$B$4),OR(Query!$B$5="All",ISNUMBER(SEARCH(Query!$B$5,'Compliance Database'!$H279))),OR(Query!$B$6="All",ISNUMBER(SEARCH(Query!$B$6,'Compliance Database'!$I279))),OR(Query!$B$7="All",'Compliance Database'!$F279=Query!$B$7),OR(Query!$B$8="All",'Compliance Database'!$J279=Query!$B$8),OR(Query!$B$9="",ISNUMBER(SEARCH(Query!$B$9,'Compliance Database'!$D279&amp;" "&amp;'Compliance Database'!$K279&amp;" "&amp;'Compliance Database'!$L279&amp;" "&amp;'Compliance Database'!$M279&amp;" "&amp;'Compliance Database'!$N279&amp;" "&amp;'Compliance Database'!$O279))),OR(Query!$B$10&lt;&gt;"Yes",'Compliance Database'!$F279&lt;&gt;"None")),1,0)</f>
        <v>0</v>
      </c>
      <c r="B279" t="str">
        <f>IF($A279=1,SUM($A$2:$A279),"")</f>
        <v/>
      </c>
      <c r="C279">
        <f>IF($A279=1,SUM($A$2:$A279),0)</f>
        <v>0</v>
      </c>
    </row>
    <row r="280" spans="1:3" x14ac:dyDescent="0.3">
      <c r="A280">
        <f>IF(AND(OR(Query!$B$4="All",'Compliance Database'!$A280=Query!$B$4),OR(Query!$B$5="All",ISNUMBER(SEARCH(Query!$B$5,'Compliance Database'!$H280))),OR(Query!$B$6="All",ISNUMBER(SEARCH(Query!$B$6,'Compliance Database'!$I280))),OR(Query!$B$7="All",'Compliance Database'!$F280=Query!$B$7),OR(Query!$B$8="All",'Compliance Database'!$J280=Query!$B$8),OR(Query!$B$9="",ISNUMBER(SEARCH(Query!$B$9,'Compliance Database'!$D280&amp;" "&amp;'Compliance Database'!$K280&amp;" "&amp;'Compliance Database'!$L280&amp;" "&amp;'Compliance Database'!$M280&amp;" "&amp;'Compliance Database'!$N280&amp;" "&amp;'Compliance Database'!$O280))),OR(Query!$B$10&lt;&gt;"Yes",'Compliance Database'!$F280&lt;&gt;"None")),1,0)</f>
        <v>0</v>
      </c>
      <c r="B280" t="str">
        <f>IF($A280=1,SUM($A$2:$A280),"")</f>
        <v/>
      </c>
      <c r="C280">
        <f>IF($A280=1,SUM($A$2:$A280),0)</f>
        <v>0</v>
      </c>
    </row>
    <row r="281" spans="1:3" x14ac:dyDescent="0.3">
      <c r="A281">
        <f>IF(AND(OR(Query!$B$4="All",'Compliance Database'!$A281=Query!$B$4),OR(Query!$B$5="All",ISNUMBER(SEARCH(Query!$B$5,'Compliance Database'!$H281))),OR(Query!$B$6="All",ISNUMBER(SEARCH(Query!$B$6,'Compliance Database'!$I281))),OR(Query!$B$7="All",'Compliance Database'!$F281=Query!$B$7),OR(Query!$B$8="All",'Compliance Database'!$J281=Query!$B$8),OR(Query!$B$9="",ISNUMBER(SEARCH(Query!$B$9,'Compliance Database'!$D281&amp;" "&amp;'Compliance Database'!$K281&amp;" "&amp;'Compliance Database'!$L281&amp;" "&amp;'Compliance Database'!$M281&amp;" "&amp;'Compliance Database'!$N281&amp;" "&amp;'Compliance Database'!$O281))),OR(Query!$B$10&lt;&gt;"Yes",'Compliance Database'!$F281&lt;&gt;"None")),1,0)</f>
        <v>0</v>
      </c>
      <c r="B281" t="str">
        <f>IF($A281=1,SUM($A$2:$A281),"")</f>
        <v/>
      </c>
      <c r="C281">
        <f>IF($A281=1,SUM($A$2:$A281),0)</f>
        <v>0</v>
      </c>
    </row>
    <row r="282" spans="1:3" x14ac:dyDescent="0.3">
      <c r="A282">
        <f>IF(AND(OR(Query!$B$4="All",'Compliance Database'!$A282=Query!$B$4),OR(Query!$B$5="All",ISNUMBER(SEARCH(Query!$B$5,'Compliance Database'!$H282))),OR(Query!$B$6="All",ISNUMBER(SEARCH(Query!$B$6,'Compliance Database'!$I282))),OR(Query!$B$7="All",'Compliance Database'!$F282=Query!$B$7),OR(Query!$B$8="All",'Compliance Database'!$J282=Query!$B$8),OR(Query!$B$9="",ISNUMBER(SEARCH(Query!$B$9,'Compliance Database'!$D282&amp;" "&amp;'Compliance Database'!$K282&amp;" "&amp;'Compliance Database'!$L282&amp;" "&amp;'Compliance Database'!$M282&amp;" "&amp;'Compliance Database'!$N282&amp;" "&amp;'Compliance Database'!$O282))),OR(Query!$B$10&lt;&gt;"Yes",'Compliance Database'!$F282&lt;&gt;"None")),1,0)</f>
        <v>0</v>
      </c>
      <c r="B282" t="str">
        <f>IF($A282=1,SUM($A$2:$A282),"")</f>
        <v/>
      </c>
      <c r="C282">
        <f>IF($A282=1,SUM($A$2:$A282),0)</f>
        <v>0</v>
      </c>
    </row>
    <row r="283" spans="1:3" x14ac:dyDescent="0.3">
      <c r="A283">
        <f>IF(AND(OR(Query!$B$4="All",'Compliance Database'!$A283=Query!$B$4),OR(Query!$B$5="All",ISNUMBER(SEARCH(Query!$B$5,'Compliance Database'!$H283))),OR(Query!$B$6="All",ISNUMBER(SEARCH(Query!$B$6,'Compliance Database'!$I283))),OR(Query!$B$7="All",'Compliance Database'!$F283=Query!$B$7),OR(Query!$B$8="All",'Compliance Database'!$J283=Query!$B$8),OR(Query!$B$9="",ISNUMBER(SEARCH(Query!$B$9,'Compliance Database'!$D283&amp;" "&amp;'Compliance Database'!$K283&amp;" "&amp;'Compliance Database'!$L283&amp;" "&amp;'Compliance Database'!$M283&amp;" "&amp;'Compliance Database'!$N283&amp;" "&amp;'Compliance Database'!$O283))),OR(Query!$B$10&lt;&gt;"Yes",'Compliance Database'!$F283&lt;&gt;"None")),1,0)</f>
        <v>0</v>
      </c>
      <c r="B283" t="str">
        <f>IF($A283=1,SUM($A$2:$A283),"")</f>
        <v/>
      </c>
      <c r="C283">
        <f>IF($A283=1,SUM($A$2:$A283),0)</f>
        <v>0</v>
      </c>
    </row>
    <row r="284" spans="1:3" x14ac:dyDescent="0.3">
      <c r="A284">
        <f>IF(AND(OR(Query!$B$4="All",'Compliance Database'!$A284=Query!$B$4),OR(Query!$B$5="All",ISNUMBER(SEARCH(Query!$B$5,'Compliance Database'!$H284))),OR(Query!$B$6="All",ISNUMBER(SEARCH(Query!$B$6,'Compliance Database'!$I284))),OR(Query!$B$7="All",'Compliance Database'!$F284=Query!$B$7),OR(Query!$B$8="All",'Compliance Database'!$J284=Query!$B$8),OR(Query!$B$9="",ISNUMBER(SEARCH(Query!$B$9,'Compliance Database'!$D284&amp;" "&amp;'Compliance Database'!$K284&amp;" "&amp;'Compliance Database'!$L284&amp;" "&amp;'Compliance Database'!$M284&amp;" "&amp;'Compliance Database'!$N284&amp;" "&amp;'Compliance Database'!$O284))),OR(Query!$B$10&lt;&gt;"Yes",'Compliance Database'!$F284&lt;&gt;"None")),1,0)</f>
        <v>0</v>
      </c>
      <c r="B284" t="str">
        <f>IF($A284=1,SUM($A$2:$A284),"")</f>
        <v/>
      </c>
      <c r="C284">
        <f>IF($A284=1,SUM($A$2:$A284),0)</f>
        <v>0</v>
      </c>
    </row>
    <row r="285" spans="1:3" x14ac:dyDescent="0.3">
      <c r="A285">
        <f>IF(AND(OR(Query!$B$4="All",'Compliance Database'!$A285=Query!$B$4),OR(Query!$B$5="All",ISNUMBER(SEARCH(Query!$B$5,'Compliance Database'!$H285))),OR(Query!$B$6="All",ISNUMBER(SEARCH(Query!$B$6,'Compliance Database'!$I285))),OR(Query!$B$7="All",'Compliance Database'!$F285=Query!$B$7),OR(Query!$B$8="All",'Compliance Database'!$J285=Query!$B$8),OR(Query!$B$9="",ISNUMBER(SEARCH(Query!$B$9,'Compliance Database'!$D285&amp;" "&amp;'Compliance Database'!$K285&amp;" "&amp;'Compliance Database'!$L285&amp;" "&amp;'Compliance Database'!$M285&amp;" "&amp;'Compliance Database'!$N285&amp;" "&amp;'Compliance Database'!$O285))),OR(Query!$B$10&lt;&gt;"Yes",'Compliance Database'!$F285&lt;&gt;"None")),1,0)</f>
        <v>0</v>
      </c>
      <c r="B285" t="str">
        <f>IF($A285=1,SUM($A$2:$A285),"")</f>
        <v/>
      </c>
      <c r="C285">
        <f>IF($A285=1,SUM($A$2:$A285),0)</f>
        <v>0</v>
      </c>
    </row>
    <row r="286" spans="1:3" x14ac:dyDescent="0.3">
      <c r="A286">
        <f>IF(AND(OR(Query!$B$4="All",'Compliance Database'!$A286=Query!$B$4),OR(Query!$B$5="All",ISNUMBER(SEARCH(Query!$B$5,'Compliance Database'!$H286))),OR(Query!$B$6="All",ISNUMBER(SEARCH(Query!$B$6,'Compliance Database'!$I286))),OR(Query!$B$7="All",'Compliance Database'!$F286=Query!$B$7),OR(Query!$B$8="All",'Compliance Database'!$J286=Query!$B$8),OR(Query!$B$9="",ISNUMBER(SEARCH(Query!$B$9,'Compliance Database'!$D286&amp;" "&amp;'Compliance Database'!$K286&amp;" "&amp;'Compliance Database'!$L286&amp;" "&amp;'Compliance Database'!$M286&amp;" "&amp;'Compliance Database'!$N286&amp;" "&amp;'Compliance Database'!$O286))),OR(Query!$B$10&lt;&gt;"Yes",'Compliance Database'!$F286&lt;&gt;"None")),1,0)</f>
        <v>0</v>
      </c>
      <c r="B286" t="str">
        <f>IF($A286=1,SUM($A$2:$A286),"")</f>
        <v/>
      </c>
      <c r="C286">
        <f>IF($A286=1,SUM($A$2:$A286),0)</f>
        <v>0</v>
      </c>
    </row>
    <row r="287" spans="1:3" x14ac:dyDescent="0.3">
      <c r="A287">
        <f>IF(AND(OR(Query!$B$4="All",'Compliance Database'!$A287=Query!$B$4),OR(Query!$B$5="All",ISNUMBER(SEARCH(Query!$B$5,'Compliance Database'!$H287))),OR(Query!$B$6="All",ISNUMBER(SEARCH(Query!$B$6,'Compliance Database'!$I287))),OR(Query!$B$7="All",'Compliance Database'!$F287=Query!$B$7),OR(Query!$B$8="All",'Compliance Database'!$J287=Query!$B$8),OR(Query!$B$9="",ISNUMBER(SEARCH(Query!$B$9,'Compliance Database'!$D287&amp;" "&amp;'Compliance Database'!$K287&amp;" "&amp;'Compliance Database'!$L287&amp;" "&amp;'Compliance Database'!$M287&amp;" "&amp;'Compliance Database'!$N287&amp;" "&amp;'Compliance Database'!$O287))),OR(Query!$B$10&lt;&gt;"Yes",'Compliance Database'!$F287&lt;&gt;"None")),1,0)</f>
        <v>0</v>
      </c>
      <c r="B287" t="str">
        <f>IF($A287=1,SUM($A$2:$A287),"")</f>
        <v/>
      </c>
      <c r="C287">
        <f>IF($A287=1,SUM($A$2:$A287),0)</f>
        <v>0</v>
      </c>
    </row>
    <row r="288" spans="1:3" x14ac:dyDescent="0.3">
      <c r="A288">
        <f>IF(AND(OR(Query!$B$4="All",'Compliance Database'!$A288=Query!$B$4),OR(Query!$B$5="All",ISNUMBER(SEARCH(Query!$B$5,'Compliance Database'!$H288))),OR(Query!$B$6="All",ISNUMBER(SEARCH(Query!$B$6,'Compliance Database'!$I288))),OR(Query!$B$7="All",'Compliance Database'!$F288=Query!$B$7),OR(Query!$B$8="All",'Compliance Database'!$J288=Query!$B$8),OR(Query!$B$9="",ISNUMBER(SEARCH(Query!$B$9,'Compliance Database'!$D288&amp;" "&amp;'Compliance Database'!$K288&amp;" "&amp;'Compliance Database'!$L288&amp;" "&amp;'Compliance Database'!$M288&amp;" "&amp;'Compliance Database'!$N288&amp;" "&amp;'Compliance Database'!$O288))),OR(Query!$B$10&lt;&gt;"Yes",'Compliance Database'!$F288&lt;&gt;"None")),1,0)</f>
        <v>0</v>
      </c>
      <c r="B288" t="str">
        <f>IF($A288=1,SUM($A$2:$A288),"")</f>
        <v/>
      </c>
      <c r="C288">
        <f>IF($A288=1,SUM($A$2:$A288),0)</f>
        <v>0</v>
      </c>
    </row>
    <row r="289" spans="1:3" x14ac:dyDescent="0.3">
      <c r="A289">
        <f>IF(AND(OR(Query!$B$4="All",'Compliance Database'!$A289=Query!$B$4),OR(Query!$B$5="All",ISNUMBER(SEARCH(Query!$B$5,'Compliance Database'!$H289))),OR(Query!$B$6="All",ISNUMBER(SEARCH(Query!$B$6,'Compliance Database'!$I289))),OR(Query!$B$7="All",'Compliance Database'!$F289=Query!$B$7),OR(Query!$B$8="All",'Compliance Database'!$J289=Query!$B$8),OR(Query!$B$9="",ISNUMBER(SEARCH(Query!$B$9,'Compliance Database'!$D289&amp;" "&amp;'Compliance Database'!$K289&amp;" "&amp;'Compliance Database'!$L289&amp;" "&amp;'Compliance Database'!$M289&amp;" "&amp;'Compliance Database'!$N289&amp;" "&amp;'Compliance Database'!$O289))),OR(Query!$B$10&lt;&gt;"Yes",'Compliance Database'!$F289&lt;&gt;"None")),1,0)</f>
        <v>0</v>
      </c>
      <c r="B289" t="str">
        <f>IF($A289=1,SUM($A$2:$A289),"")</f>
        <v/>
      </c>
      <c r="C289">
        <f>IF($A289=1,SUM($A$2:$A289),0)</f>
        <v>0</v>
      </c>
    </row>
    <row r="290" spans="1:3" x14ac:dyDescent="0.3">
      <c r="A290">
        <f>IF(AND(OR(Query!$B$4="All",'Compliance Database'!$A290=Query!$B$4),OR(Query!$B$5="All",ISNUMBER(SEARCH(Query!$B$5,'Compliance Database'!$H290))),OR(Query!$B$6="All",ISNUMBER(SEARCH(Query!$B$6,'Compliance Database'!$I290))),OR(Query!$B$7="All",'Compliance Database'!$F290=Query!$B$7),OR(Query!$B$8="All",'Compliance Database'!$J290=Query!$B$8),OR(Query!$B$9="",ISNUMBER(SEARCH(Query!$B$9,'Compliance Database'!$D290&amp;" "&amp;'Compliance Database'!$K290&amp;" "&amp;'Compliance Database'!$L290&amp;" "&amp;'Compliance Database'!$M290&amp;" "&amp;'Compliance Database'!$N290&amp;" "&amp;'Compliance Database'!$O290))),OR(Query!$B$10&lt;&gt;"Yes",'Compliance Database'!$F290&lt;&gt;"None")),1,0)</f>
        <v>0</v>
      </c>
      <c r="B290" t="str">
        <f>IF($A290=1,SUM($A$2:$A290),"")</f>
        <v/>
      </c>
      <c r="C290">
        <f>IF($A290=1,SUM($A$2:$A290),0)</f>
        <v>0</v>
      </c>
    </row>
    <row r="291" spans="1:3" x14ac:dyDescent="0.3">
      <c r="A291">
        <f>IF(AND(OR(Query!$B$4="All",'Compliance Database'!$A291=Query!$B$4),OR(Query!$B$5="All",ISNUMBER(SEARCH(Query!$B$5,'Compliance Database'!$H291))),OR(Query!$B$6="All",ISNUMBER(SEARCH(Query!$B$6,'Compliance Database'!$I291))),OR(Query!$B$7="All",'Compliance Database'!$F291=Query!$B$7),OR(Query!$B$8="All",'Compliance Database'!$J291=Query!$B$8),OR(Query!$B$9="",ISNUMBER(SEARCH(Query!$B$9,'Compliance Database'!$D291&amp;" "&amp;'Compliance Database'!$K291&amp;" "&amp;'Compliance Database'!$L291&amp;" "&amp;'Compliance Database'!$M291&amp;" "&amp;'Compliance Database'!$N291&amp;" "&amp;'Compliance Database'!$O291))),OR(Query!$B$10&lt;&gt;"Yes",'Compliance Database'!$F291&lt;&gt;"None")),1,0)</f>
        <v>0</v>
      </c>
      <c r="B291" t="str">
        <f>IF($A291=1,SUM($A$2:$A291),"")</f>
        <v/>
      </c>
      <c r="C291">
        <f>IF($A291=1,SUM($A$2:$A291),0)</f>
        <v>0</v>
      </c>
    </row>
    <row r="292" spans="1:3" x14ac:dyDescent="0.3">
      <c r="A292">
        <f>IF(AND(OR(Query!$B$4="All",'Compliance Database'!$A292=Query!$B$4),OR(Query!$B$5="All",ISNUMBER(SEARCH(Query!$B$5,'Compliance Database'!$H292))),OR(Query!$B$6="All",ISNUMBER(SEARCH(Query!$B$6,'Compliance Database'!$I292))),OR(Query!$B$7="All",'Compliance Database'!$F292=Query!$B$7),OR(Query!$B$8="All",'Compliance Database'!$J292=Query!$B$8),OR(Query!$B$9="",ISNUMBER(SEARCH(Query!$B$9,'Compliance Database'!$D292&amp;" "&amp;'Compliance Database'!$K292&amp;" "&amp;'Compliance Database'!$L292&amp;" "&amp;'Compliance Database'!$M292&amp;" "&amp;'Compliance Database'!$N292&amp;" "&amp;'Compliance Database'!$O292))),OR(Query!$B$10&lt;&gt;"Yes",'Compliance Database'!$F292&lt;&gt;"None")),1,0)</f>
        <v>0</v>
      </c>
      <c r="B292" t="str">
        <f>IF($A292=1,SUM($A$2:$A292),"")</f>
        <v/>
      </c>
      <c r="C292">
        <f>IF($A292=1,SUM($A$2:$A292),0)</f>
        <v>0</v>
      </c>
    </row>
    <row r="293" spans="1:3" x14ac:dyDescent="0.3">
      <c r="A293">
        <f>IF(AND(OR(Query!$B$4="All",'Compliance Database'!$A293=Query!$B$4),OR(Query!$B$5="All",ISNUMBER(SEARCH(Query!$B$5,'Compliance Database'!$H293))),OR(Query!$B$6="All",ISNUMBER(SEARCH(Query!$B$6,'Compliance Database'!$I293))),OR(Query!$B$7="All",'Compliance Database'!$F293=Query!$B$7),OR(Query!$B$8="All",'Compliance Database'!$J293=Query!$B$8),OR(Query!$B$9="",ISNUMBER(SEARCH(Query!$B$9,'Compliance Database'!$D293&amp;" "&amp;'Compliance Database'!$K293&amp;" "&amp;'Compliance Database'!$L293&amp;" "&amp;'Compliance Database'!$M293&amp;" "&amp;'Compliance Database'!$N293&amp;" "&amp;'Compliance Database'!$O293))),OR(Query!$B$10&lt;&gt;"Yes",'Compliance Database'!$F293&lt;&gt;"None")),1,0)</f>
        <v>0</v>
      </c>
      <c r="B293" t="str">
        <f>IF($A293=1,SUM($A$2:$A293),"")</f>
        <v/>
      </c>
      <c r="C293">
        <f>IF($A293=1,SUM($A$2:$A293),0)</f>
        <v>0</v>
      </c>
    </row>
    <row r="294" spans="1:3" x14ac:dyDescent="0.3">
      <c r="A294">
        <f>IF(AND(OR(Query!$B$4="All",'Compliance Database'!$A294=Query!$B$4),OR(Query!$B$5="All",ISNUMBER(SEARCH(Query!$B$5,'Compliance Database'!$H294))),OR(Query!$B$6="All",ISNUMBER(SEARCH(Query!$B$6,'Compliance Database'!$I294))),OR(Query!$B$7="All",'Compliance Database'!$F294=Query!$B$7),OR(Query!$B$8="All",'Compliance Database'!$J294=Query!$B$8),OR(Query!$B$9="",ISNUMBER(SEARCH(Query!$B$9,'Compliance Database'!$D294&amp;" "&amp;'Compliance Database'!$K294&amp;" "&amp;'Compliance Database'!$L294&amp;" "&amp;'Compliance Database'!$M294&amp;" "&amp;'Compliance Database'!$N294&amp;" "&amp;'Compliance Database'!$O294))),OR(Query!$B$10&lt;&gt;"Yes",'Compliance Database'!$F294&lt;&gt;"None")),1,0)</f>
        <v>0</v>
      </c>
      <c r="B294" t="str">
        <f>IF($A294=1,SUM($A$2:$A294),"")</f>
        <v/>
      </c>
      <c r="C294">
        <f>IF($A294=1,SUM($A$2:$A294),0)</f>
        <v>0</v>
      </c>
    </row>
    <row r="295" spans="1:3" x14ac:dyDescent="0.3">
      <c r="A295">
        <f>IF(AND(OR(Query!$B$4="All",'Compliance Database'!$A295=Query!$B$4),OR(Query!$B$5="All",ISNUMBER(SEARCH(Query!$B$5,'Compliance Database'!$H295))),OR(Query!$B$6="All",ISNUMBER(SEARCH(Query!$B$6,'Compliance Database'!$I295))),OR(Query!$B$7="All",'Compliance Database'!$F295=Query!$B$7),OR(Query!$B$8="All",'Compliance Database'!$J295=Query!$B$8),OR(Query!$B$9="",ISNUMBER(SEARCH(Query!$B$9,'Compliance Database'!$D295&amp;" "&amp;'Compliance Database'!$K295&amp;" "&amp;'Compliance Database'!$L295&amp;" "&amp;'Compliance Database'!$M295&amp;" "&amp;'Compliance Database'!$N295&amp;" "&amp;'Compliance Database'!$O295))),OR(Query!$B$10&lt;&gt;"Yes",'Compliance Database'!$F295&lt;&gt;"None")),1,0)</f>
        <v>0</v>
      </c>
      <c r="B295" t="str">
        <f>IF($A295=1,SUM($A$2:$A295),"")</f>
        <v/>
      </c>
      <c r="C295">
        <f>IF($A295=1,SUM($A$2:$A295),0)</f>
        <v>0</v>
      </c>
    </row>
    <row r="296" spans="1:3" x14ac:dyDescent="0.3">
      <c r="A296">
        <f>IF(AND(OR(Query!$B$4="All",'Compliance Database'!$A296=Query!$B$4),OR(Query!$B$5="All",ISNUMBER(SEARCH(Query!$B$5,'Compliance Database'!$H296))),OR(Query!$B$6="All",ISNUMBER(SEARCH(Query!$B$6,'Compliance Database'!$I296))),OR(Query!$B$7="All",'Compliance Database'!$F296=Query!$B$7),OR(Query!$B$8="All",'Compliance Database'!$J296=Query!$B$8),OR(Query!$B$9="",ISNUMBER(SEARCH(Query!$B$9,'Compliance Database'!$D296&amp;" "&amp;'Compliance Database'!$K296&amp;" "&amp;'Compliance Database'!$L296&amp;" "&amp;'Compliance Database'!$M296&amp;" "&amp;'Compliance Database'!$N296&amp;" "&amp;'Compliance Database'!$O296))),OR(Query!$B$10&lt;&gt;"Yes",'Compliance Database'!$F296&lt;&gt;"None")),1,0)</f>
        <v>0</v>
      </c>
      <c r="B296" t="str">
        <f>IF($A296=1,SUM($A$2:$A296),"")</f>
        <v/>
      </c>
      <c r="C296">
        <f>IF($A296=1,SUM($A$2:$A296),0)</f>
        <v>0</v>
      </c>
    </row>
    <row r="297" spans="1:3" x14ac:dyDescent="0.3">
      <c r="A297">
        <f>IF(AND(OR(Query!$B$4="All",'Compliance Database'!$A297=Query!$B$4),OR(Query!$B$5="All",ISNUMBER(SEARCH(Query!$B$5,'Compliance Database'!$H297))),OR(Query!$B$6="All",ISNUMBER(SEARCH(Query!$B$6,'Compliance Database'!$I297))),OR(Query!$B$7="All",'Compliance Database'!$F297=Query!$B$7),OR(Query!$B$8="All",'Compliance Database'!$J297=Query!$B$8),OR(Query!$B$9="",ISNUMBER(SEARCH(Query!$B$9,'Compliance Database'!$D297&amp;" "&amp;'Compliance Database'!$K297&amp;" "&amp;'Compliance Database'!$L297&amp;" "&amp;'Compliance Database'!$M297&amp;" "&amp;'Compliance Database'!$N297&amp;" "&amp;'Compliance Database'!$O297))),OR(Query!$B$10&lt;&gt;"Yes",'Compliance Database'!$F297&lt;&gt;"None")),1,0)</f>
        <v>0</v>
      </c>
      <c r="B297" t="str">
        <f>IF($A297=1,SUM($A$2:$A297),"")</f>
        <v/>
      </c>
      <c r="C297">
        <f>IF($A297=1,SUM($A$2:$A297),0)</f>
        <v>0</v>
      </c>
    </row>
    <row r="298" spans="1:3" x14ac:dyDescent="0.3">
      <c r="A298">
        <f>IF(AND(OR(Query!$B$4="All",'Compliance Database'!$A298=Query!$B$4),OR(Query!$B$5="All",ISNUMBER(SEARCH(Query!$B$5,'Compliance Database'!$H298))),OR(Query!$B$6="All",ISNUMBER(SEARCH(Query!$B$6,'Compliance Database'!$I298))),OR(Query!$B$7="All",'Compliance Database'!$F298=Query!$B$7),OR(Query!$B$8="All",'Compliance Database'!$J298=Query!$B$8),OR(Query!$B$9="",ISNUMBER(SEARCH(Query!$B$9,'Compliance Database'!$D298&amp;" "&amp;'Compliance Database'!$K298&amp;" "&amp;'Compliance Database'!$L298&amp;" "&amp;'Compliance Database'!$M298&amp;" "&amp;'Compliance Database'!$N298&amp;" "&amp;'Compliance Database'!$O298))),OR(Query!$B$10&lt;&gt;"Yes",'Compliance Database'!$F298&lt;&gt;"None")),1,0)</f>
        <v>0</v>
      </c>
      <c r="B298" t="str">
        <f>IF($A298=1,SUM($A$2:$A298),"")</f>
        <v/>
      </c>
      <c r="C298">
        <f>IF($A298=1,SUM($A$2:$A298),0)</f>
        <v>0</v>
      </c>
    </row>
    <row r="299" spans="1:3" x14ac:dyDescent="0.3">
      <c r="A299">
        <f>IF(AND(OR(Query!$B$4="All",'Compliance Database'!$A299=Query!$B$4),OR(Query!$B$5="All",ISNUMBER(SEARCH(Query!$B$5,'Compliance Database'!$H299))),OR(Query!$B$6="All",ISNUMBER(SEARCH(Query!$B$6,'Compliance Database'!$I299))),OR(Query!$B$7="All",'Compliance Database'!$F299=Query!$B$7),OR(Query!$B$8="All",'Compliance Database'!$J299=Query!$B$8),OR(Query!$B$9="",ISNUMBER(SEARCH(Query!$B$9,'Compliance Database'!$D299&amp;" "&amp;'Compliance Database'!$K299&amp;" "&amp;'Compliance Database'!$L299&amp;" "&amp;'Compliance Database'!$M299&amp;" "&amp;'Compliance Database'!$N299&amp;" "&amp;'Compliance Database'!$O299))),OR(Query!$B$10&lt;&gt;"Yes",'Compliance Database'!$F299&lt;&gt;"None")),1,0)</f>
        <v>0</v>
      </c>
      <c r="B299" t="str">
        <f>IF($A299=1,SUM($A$2:$A299),"")</f>
        <v/>
      </c>
      <c r="C299">
        <f>IF($A299=1,SUM($A$2:$A299),0)</f>
        <v>0</v>
      </c>
    </row>
    <row r="300" spans="1:3" x14ac:dyDescent="0.3">
      <c r="A300">
        <f>IF(AND(OR(Query!$B$4="All",'Compliance Database'!$A300=Query!$B$4),OR(Query!$B$5="All",ISNUMBER(SEARCH(Query!$B$5,'Compliance Database'!$H300))),OR(Query!$B$6="All",ISNUMBER(SEARCH(Query!$B$6,'Compliance Database'!$I300))),OR(Query!$B$7="All",'Compliance Database'!$F300=Query!$B$7),OR(Query!$B$8="All",'Compliance Database'!$J300=Query!$B$8),OR(Query!$B$9="",ISNUMBER(SEARCH(Query!$B$9,'Compliance Database'!$D300&amp;" "&amp;'Compliance Database'!$K300&amp;" "&amp;'Compliance Database'!$L300&amp;" "&amp;'Compliance Database'!$M300&amp;" "&amp;'Compliance Database'!$N300&amp;" "&amp;'Compliance Database'!$O300))),OR(Query!$B$10&lt;&gt;"Yes",'Compliance Database'!$F300&lt;&gt;"None")),1,0)</f>
        <v>0</v>
      </c>
      <c r="B300" t="str">
        <f>IF($A300=1,SUM($A$2:$A300),"")</f>
        <v/>
      </c>
      <c r="C300">
        <f>IF($A300=1,SUM($A$2:$A300),0)</f>
        <v>0</v>
      </c>
    </row>
    <row r="301" spans="1:3" x14ac:dyDescent="0.3">
      <c r="A301">
        <f>IF(AND(OR(Query!$B$4="All",'Compliance Database'!$A301=Query!$B$4),OR(Query!$B$5="All",ISNUMBER(SEARCH(Query!$B$5,'Compliance Database'!$H301))),OR(Query!$B$6="All",ISNUMBER(SEARCH(Query!$B$6,'Compliance Database'!$I301))),OR(Query!$B$7="All",'Compliance Database'!$F301=Query!$B$7),OR(Query!$B$8="All",'Compliance Database'!$J301=Query!$B$8),OR(Query!$B$9="",ISNUMBER(SEARCH(Query!$B$9,'Compliance Database'!$D301&amp;" "&amp;'Compliance Database'!$K301&amp;" "&amp;'Compliance Database'!$L301&amp;" "&amp;'Compliance Database'!$M301&amp;" "&amp;'Compliance Database'!$N301&amp;" "&amp;'Compliance Database'!$O301))),OR(Query!$B$10&lt;&gt;"Yes",'Compliance Database'!$F301&lt;&gt;"None")),1,0)</f>
        <v>0</v>
      </c>
      <c r="B301" t="str">
        <f>IF($A301=1,SUM($A$2:$A301),"")</f>
        <v/>
      </c>
      <c r="C301">
        <f>IF($A301=1,SUM($A$2:$A301),0)</f>
        <v>0</v>
      </c>
    </row>
    <row r="302" spans="1:3" x14ac:dyDescent="0.3">
      <c r="A302">
        <f>IF(AND(OR(Query!$B$4="All",'Compliance Database'!$A302=Query!$B$4),OR(Query!$B$5="All",ISNUMBER(SEARCH(Query!$B$5,'Compliance Database'!$H302))),OR(Query!$B$6="All",ISNUMBER(SEARCH(Query!$B$6,'Compliance Database'!$I302))),OR(Query!$B$7="All",'Compliance Database'!$F302=Query!$B$7),OR(Query!$B$8="All",'Compliance Database'!$J302=Query!$B$8),OR(Query!$B$9="",ISNUMBER(SEARCH(Query!$B$9,'Compliance Database'!$D302&amp;" "&amp;'Compliance Database'!$K302&amp;" "&amp;'Compliance Database'!$L302&amp;" "&amp;'Compliance Database'!$M302&amp;" "&amp;'Compliance Database'!$N302&amp;" "&amp;'Compliance Database'!$O302))),OR(Query!$B$10&lt;&gt;"Yes",'Compliance Database'!$F302&lt;&gt;"None")),1,0)</f>
        <v>0</v>
      </c>
      <c r="B302" t="str">
        <f>IF($A302=1,SUM($A$2:$A302),"")</f>
        <v/>
      </c>
      <c r="C302">
        <f>IF($A302=1,SUM($A$2:$A302),0)</f>
        <v>0</v>
      </c>
    </row>
    <row r="303" spans="1:3" x14ac:dyDescent="0.3">
      <c r="A303">
        <f>IF(AND(OR(Query!$B$4="All",'Compliance Database'!$A303=Query!$B$4),OR(Query!$B$5="All",ISNUMBER(SEARCH(Query!$B$5,'Compliance Database'!$H303))),OR(Query!$B$6="All",ISNUMBER(SEARCH(Query!$B$6,'Compliance Database'!$I303))),OR(Query!$B$7="All",'Compliance Database'!$F303=Query!$B$7),OR(Query!$B$8="All",'Compliance Database'!$J303=Query!$B$8),OR(Query!$B$9="",ISNUMBER(SEARCH(Query!$B$9,'Compliance Database'!$D303&amp;" "&amp;'Compliance Database'!$K303&amp;" "&amp;'Compliance Database'!$L303&amp;" "&amp;'Compliance Database'!$M303&amp;" "&amp;'Compliance Database'!$N303&amp;" "&amp;'Compliance Database'!$O303))),OR(Query!$B$10&lt;&gt;"Yes",'Compliance Database'!$F303&lt;&gt;"None")),1,0)</f>
        <v>0</v>
      </c>
      <c r="B303" t="str">
        <f>IF($A303=1,SUM($A$2:$A303),"")</f>
        <v/>
      </c>
      <c r="C303">
        <f>IF($A303=1,SUM($A$2:$A303),0)</f>
        <v>0</v>
      </c>
    </row>
    <row r="304" spans="1:3" x14ac:dyDescent="0.3">
      <c r="A304">
        <f>IF(AND(OR(Query!$B$4="All",'Compliance Database'!$A304=Query!$B$4),OR(Query!$B$5="All",ISNUMBER(SEARCH(Query!$B$5,'Compliance Database'!$H304))),OR(Query!$B$6="All",ISNUMBER(SEARCH(Query!$B$6,'Compliance Database'!$I304))),OR(Query!$B$7="All",'Compliance Database'!$F304=Query!$B$7),OR(Query!$B$8="All",'Compliance Database'!$J304=Query!$B$8),OR(Query!$B$9="",ISNUMBER(SEARCH(Query!$B$9,'Compliance Database'!$D304&amp;" "&amp;'Compliance Database'!$K304&amp;" "&amp;'Compliance Database'!$L304&amp;" "&amp;'Compliance Database'!$M304&amp;" "&amp;'Compliance Database'!$N304&amp;" "&amp;'Compliance Database'!$O304))),OR(Query!$B$10&lt;&gt;"Yes",'Compliance Database'!$F304&lt;&gt;"None")),1,0)</f>
        <v>0</v>
      </c>
      <c r="B304" t="str">
        <f>IF($A304=1,SUM($A$2:$A304),"")</f>
        <v/>
      </c>
      <c r="C304">
        <f>IF($A304=1,SUM($A$2:$A304),0)</f>
        <v>0</v>
      </c>
    </row>
    <row r="305" spans="1:3" x14ac:dyDescent="0.3">
      <c r="A305">
        <f>IF(AND(OR(Query!$B$4="All",'Compliance Database'!$A305=Query!$B$4),OR(Query!$B$5="All",ISNUMBER(SEARCH(Query!$B$5,'Compliance Database'!$H305))),OR(Query!$B$6="All",ISNUMBER(SEARCH(Query!$B$6,'Compliance Database'!$I305))),OR(Query!$B$7="All",'Compliance Database'!$F305=Query!$B$7),OR(Query!$B$8="All",'Compliance Database'!$J305=Query!$B$8),OR(Query!$B$9="",ISNUMBER(SEARCH(Query!$B$9,'Compliance Database'!$D305&amp;" "&amp;'Compliance Database'!$K305&amp;" "&amp;'Compliance Database'!$L305&amp;" "&amp;'Compliance Database'!$M305&amp;" "&amp;'Compliance Database'!$N305&amp;" "&amp;'Compliance Database'!$O305))),OR(Query!$B$10&lt;&gt;"Yes",'Compliance Database'!$F305&lt;&gt;"None")),1,0)</f>
        <v>0</v>
      </c>
      <c r="B305" t="str">
        <f>IF($A305=1,SUM($A$2:$A305),"")</f>
        <v/>
      </c>
      <c r="C305">
        <f>IF($A305=1,SUM($A$2:$A305),0)</f>
        <v>0</v>
      </c>
    </row>
    <row r="306" spans="1:3" x14ac:dyDescent="0.3">
      <c r="A306">
        <f>IF(AND(OR(Query!$B$4="All",'Compliance Database'!$A306=Query!$B$4),OR(Query!$B$5="All",ISNUMBER(SEARCH(Query!$B$5,'Compliance Database'!$H306))),OR(Query!$B$6="All",ISNUMBER(SEARCH(Query!$B$6,'Compliance Database'!$I306))),OR(Query!$B$7="All",'Compliance Database'!$F306=Query!$B$7),OR(Query!$B$8="All",'Compliance Database'!$J306=Query!$B$8),OR(Query!$B$9="",ISNUMBER(SEARCH(Query!$B$9,'Compliance Database'!$D306&amp;" "&amp;'Compliance Database'!$K306&amp;" "&amp;'Compliance Database'!$L306&amp;" "&amp;'Compliance Database'!$M306&amp;" "&amp;'Compliance Database'!$N306&amp;" "&amp;'Compliance Database'!$O306))),OR(Query!$B$10&lt;&gt;"Yes",'Compliance Database'!$F306&lt;&gt;"None")),1,0)</f>
        <v>0</v>
      </c>
      <c r="B306" t="str">
        <f>IF($A306=1,SUM($A$2:$A306),"")</f>
        <v/>
      </c>
      <c r="C306">
        <f>IF($A306=1,SUM($A$2:$A306),0)</f>
        <v>0</v>
      </c>
    </row>
    <row r="307" spans="1:3" x14ac:dyDescent="0.3">
      <c r="A307">
        <f>IF(AND(OR(Query!$B$4="All",'Compliance Database'!$A307=Query!$B$4),OR(Query!$B$5="All",ISNUMBER(SEARCH(Query!$B$5,'Compliance Database'!$H307))),OR(Query!$B$6="All",ISNUMBER(SEARCH(Query!$B$6,'Compliance Database'!$I307))),OR(Query!$B$7="All",'Compliance Database'!$F307=Query!$B$7),OR(Query!$B$8="All",'Compliance Database'!$J307=Query!$B$8),OR(Query!$B$9="",ISNUMBER(SEARCH(Query!$B$9,'Compliance Database'!$D307&amp;" "&amp;'Compliance Database'!$K307&amp;" "&amp;'Compliance Database'!$L307&amp;" "&amp;'Compliance Database'!$M307&amp;" "&amp;'Compliance Database'!$N307&amp;" "&amp;'Compliance Database'!$O307))),OR(Query!$B$10&lt;&gt;"Yes",'Compliance Database'!$F307&lt;&gt;"None")),1,0)</f>
        <v>0</v>
      </c>
      <c r="B307" t="str">
        <f>IF($A307=1,SUM($A$2:$A307),"")</f>
        <v/>
      </c>
      <c r="C307">
        <f>IF($A307=1,SUM($A$2:$A307),0)</f>
        <v>0</v>
      </c>
    </row>
    <row r="308" spans="1:3" x14ac:dyDescent="0.3">
      <c r="A308">
        <f>IF(AND(OR(Query!$B$4="All",'Compliance Database'!$A308=Query!$B$4),OR(Query!$B$5="All",ISNUMBER(SEARCH(Query!$B$5,'Compliance Database'!$H308))),OR(Query!$B$6="All",ISNUMBER(SEARCH(Query!$B$6,'Compliance Database'!$I308))),OR(Query!$B$7="All",'Compliance Database'!$F308=Query!$B$7),OR(Query!$B$8="All",'Compliance Database'!$J308=Query!$B$8),OR(Query!$B$9="",ISNUMBER(SEARCH(Query!$B$9,'Compliance Database'!$D308&amp;" "&amp;'Compliance Database'!$K308&amp;" "&amp;'Compliance Database'!$L308&amp;" "&amp;'Compliance Database'!$M308&amp;" "&amp;'Compliance Database'!$N308&amp;" "&amp;'Compliance Database'!$O308))),OR(Query!$B$10&lt;&gt;"Yes",'Compliance Database'!$F308&lt;&gt;"None")),1,0)</f>
        <v>0</v>
      </c>
      <c r="B308" t="str">
        <f>IF($A308=1,SUM($A$2:$A308),"")</f>
        <v/>
      </c>
      <c r="C308">
        <f>IF($A308=1,SUM($A$2:$A308),0)</f>
        <v>0</v>
      </c>
    </row>
    <row r="309" spans="1:3" x14ac:dyDescent="0.3">
      <c r="A309">
        <f>IF(AND(OR(Query!$B$4="All",'Compliance Database'!$A309=Query!$B$4),OR(Query!$B$5="All",ISNUMBER(SEARCH(Query!$B$5,'Compliance Database'!$H309))),OR(Query!$B$6="All",ISNUMBER(SEARCH(Query!$B$6,'Compliance Database'!$I309))),OR(Query!$B$7="All",'Compliance Database'!$F309=Query!$B$7),OR(Query!$B$8="All",'Compliance Database'!$J309=Query!$B$8),OR(Query!$B$9="",ISNUMBER(SEARCH(Query!$B$9,'Compliance Database'!$D309&amp;" "&amp;'Compliance Database'!$K309&amp;" "&amp;'Compliance Database'!$L309&amp;" "&amp;'Compliance Database'!$M309&amp;" "&amp;'Compliance Database'!$N309&amp;" "&amp;'Compliance Database'!$O309))),OR(Query!$B$10&lt;&gt;"Yes",'Compliance Database'!$F309&lt;&gt;"None")),1,0)</f>
        <v>0</v>
      </c>
      <c r="B309" t="str">
        <f>IF($A309=1,SUM($A$2:$A309),"")</f>
        <v/>
      </c>
      <c r="C309">
        <f>IF($A309=1,SUM($A$2:$A309),0)</f>
        <v>0</v>
      </c>
    </row>
    <row r="310" spans="1:3" x14ac:dyDescent="0.3">
      <c r="A310">
        <f>IF(AND(OR(Query!$B$4="All",'Compliance Database'!$A310=Query!$B$4),OR(Query!$B$5="All",ISNUMBER(SEARCH(Query!$B$5,'Compliance Database'!$H310))),OR(Query!$B$6="All",ISNUMBER(SEARCH(Query!$B$6,'Compliance Database'!$I310))),OR(Query!$B$7="All",'Compliance Database'!$F310=Query!$B$7),OR(Query!$B$8="All",'Compliance Database'!$J310=Query!$B$8),OR(Query!$B$9="",ISNUMBER(SEARCH(Query!$B$9,'Compliance Database'!$D310&amp;" "&amp;'Compliance Database'!$K310&amp;" "&amp;'Compliance Database'!$L310&amp;" "&amp;'Compliance Database'!$M310&amp;" "&amp;'Compliance Database'!$N310&amp;" "&amp;'Compliance Database'!$O310))),OR(Query!$B$10&lt;&gt;"Yes",'Compliance Database'!$F310&lt;&gt;"None")),1,0)</f>
        <v>0</v>
      </c>
      <c r="B310" t="str">
        <f>IF($A310=1,SUM($A$2:$A310),"")</f>
        <v/>
      </c>
      <c r="C310">
        <f>IF($A310=1,SUM($A$2:$A310),0)</f>
        <v>0</v>
      </c>
    </row>
    <row r="311" spans="1:3" x14ac:dyDescent="0.3">
      <c r="A311">
        <f>IF(AND(OR(Query!$B$4="All",'Compliance Database'!$A311=Query!$B$4),OR(Query!$B$5="All",ISNUMBER(SEARCH(Query!$B$5,'Compliance Database'!$H311))),OR(Query!$B$6="All",ISNUMBER(SEARCH(Query!$B$6,'Compliance Database'!$I311))),OR(Query!$B$7="All",'Compliance Database'!$F311=Query!$B$7),OR(Query!$B$8="All",'Compliance Database'!$J311=Query!$B$8),OR(Query!$B$9="",ISNUMBER(SEARCH(Query!$B$9,'Compliance Database'!$D311&amp;" "&amp;'Compliance Database'!$K311&amp;" "&amp;'Compliance Database'!$L311&amp;" "&amp;'Compliance Database'!$M311&amp;" "&amp;'Compliance Database'!$N311&amp;" "&amp;'Compliance Database'!$O311))),OR(Query!$B$10&lt;&gt;"Yes",'Compliance Database'!$F311&lt;&gt;"None")),1,0)</f>
        <v>0</v>
      </c>
      <c r="B311" t="str">
        <f>IF($A311=1,SUM($A$2:$A311),"")</f>
        <v/>
      </c>
      <c r="C311">
        <f>IF($A311=1,SUM($A$2:$A311),0)</f>
        <v>0</v>
      </c>
    </row>
    <row r="312" spans="1:3" x14ac:dyDescent="0.3">
      <c r="A312">
        <f>IF(AND(OR(Query!$B$4="All",'Compliance Database'!$A312=Query!$B$4),OR(Query!$B$5="All",ISNUMBER(SEARCH(Query!$B$5,'Compliance Database'!$H312))),OR(Query!$B$6="All",ISNUMBER(SEARCH(Query!$B$6,'Compliance Database'!$I312))),OR(Query!$B$7="All",'Compliance Database'!$F312=Query!$B$7),OR(Query!$B$8="All",'Compliance Database'!$J312=Query!$B$8),OR(Query!$B$9="",ISNUMBER(SEARCH(Query!$B$9,'Compliance Database'!$D312&amp;" "&amp;'Compliance Database'!$K312&amp;" "&amp;'Compliance Database'!$L312&amp;" "&amp;'Compliance Database'!$M312&amp;" "&amp;'Compliance Database'!$N312&amp;" "&amp;'Compliance Database'!$O312))),OR(Query!$B$10&lt;&gt;"Yes",'Compliance Database'!$F312&lt;&gt;"None")),1,0)</f>
        <v>0</v>
      </c>
      <c r="B312" t="str">
        <f>IF($A312=1,SUM($A$2:$A312),"")</f>
        <v/>
      </c>
      <c r="C312">
        <f>IF($A312=1,SUM($A$2:$A312),0)</f>
        <v>0</v>
      </c>
    </row>
    <row r="313" spans="1:3" x14ac:dyDescent="0.3">
      <c r="A313">
        <f>IF(AND(OR(Query!$B$4="All",'Compliance Database'!$A313=Query!$B$4),OR(Query!$B$5="All",ISNUMBER(SEARCH(Query!$B$5,'Compliance Database'!$H313))),OR(Query!$B$6="All",ISNUMBER(SEARCH(Query!$B$6,'Compliance Database'!$I313))),OR(Query!$B$7="All",'Compliance Database'!$F313=Query!$B$7),OR(Query!$B$8="All",'Compliance Database'!$J313=Query!$B$8),OR(Query!$B$9="",ISNUMBER(SEARCH(Query!$B$9,'Compliance Database'!$D313&amp;" "&amp;'Compliance Database'!$K313&amp;" "&amp;'Compliance Database'!$L313&amp;" "&amp;'Compliance Database'!$M313&amp;" "&amp;'Compliance Database'!$N313&amp;" "&amp;'Compliance Database'!$O313))),OR(Query!$B$10&lt;&gt;"Yes",'Compliance Database'!$F313&lt;&gt;"None")),1,0)</f>
        <v>0</v>
      </c>
      <c r="B313" t="str">
        <f>IF($A313=1,SUM($A$2:$A313),"")</f>
        <v/>
      </c>
      <c r="C313">
        <f>IF($A313=1,SUM($A$2:$A313),0)</f>
        <v>0</v>
      </c>
    </row>
    <row r="314" spans="1:3" x14ac:dyDescent="0.3">
      <c r="A314">
        <f>IF(AND(OR(Query!$B$4="All",'Compliance Database'!$A314=Query!$B$4),OR(Query!$B$5="All",ISNUMBER(SEARCH(Query!$B$5,'Compliance Database'!$H314))),OR(Query!$B$6="All",ISNUMBER(SEARCH(Query!$B$6,'Compliance Database'!$I314))),OR(Query!$B$7="All",'Compliance Database'!$F314=Query!$B$7),OR(Query!$B$8="All",'Compliance Database'!$J314=Query!$B$8),OR(Query!$B$9="",ISNUMBER(SEARCH(Query!$B$9,'Compliance Database'!$D314&amp;" "&amp;'Compliance Database'!$K314&amp;" "&amp;'Compliance Database'!$L314&amp;" "&amp;'Compliance Database'!$M314&amp;" "&amp;'Compliance Database'!$N314&amp;" "&amp;'Compliance Database'!$O314))),OR(Query!$B$10&lt;&gt;"Yes",'Compliance Database'!$F314&lt;&gt;"None")),1,0)</f>
        <v>0</v>
      </c>
      <c r="B314" t="str">
        <f>IF($A314=1,SUM($A$2:$A314),"")</f>
        <v/>
      </c>
      <c r="C314">
        <f>IF($A314=1,SUM($A$2:$A314),0)</f>
        <v>0</v>
      </c>
    </row>
    <row r="315" spans="1:3" x14ac:dyDescent="0.3">
      <c r="A315">
        <f>IF(AND(OR(Query!$B$4="All",'Compliance Database'!$A315=Query!$B$4),OR(Query!$B$5="All",ISNUMBER(SEARCH(Query!$B$5,'Compliance Database'!$H315))),OR(Query!$B$6="All",ISNUMBER(SEARCH(Query!$B$6,'Compliance Database'!$I315))),OR(Query!$B$7="All",'Compliance Database'!$F315=Query!$B$7),OR(Query!$B$8="All",'Compliance Database'!$J315=Query!$B$8),OR(Query!$B$9="",ISNUMBER(SEARCH(Query!$B$9,'Compliance Database'!$D315&amp;" "&amp;'Compliance Database'!$K315&amp;" "&amp;'Compliance Database'!$L315&amp;" "&amp;'Compliance Database'!$M315&amp;" "&amp;'Compliance Database'!$N315&amp;" "&amp;'Compliance Database'!$O315))),OR(Query!$B$10&lt;&gt;"Yes",'Compliance Database'!$F315&lt;&gt;"None")),1,0)</f>
        <v>0</v>
      </c>
      <c r="B315" t="str">
        <f>IF($A315=1,SUM($A$2:$A315),"")</f>
        <v/>
      </c>
      <c r="C315">
        <f>IF($A315=1,SUM($A$2:$A315),0)</f>
        <v>0</v>
      </c>
    </row>
    <row r="316" spans="1:3" x14ac:dyDescent="0.3">
      <c r="A316">
        <f>IF(AND(OR(Query!$B$4="All",'Compliance Database'!$A316=Query!$B$4),OR(Query!$B$5="All",ISNUMBER(SEARCH(Query!$B$5,'Compliance Database'!$H316))),OR(Query!$B$6="All",ISNUMBER(SEARCH(Query!$B$6,'Compliance Database'!$I316))),OR(Query!$B$7="All",'Compliance Database'!$F316=Query!$B$7),OR(Query!$B$8="All",'Compliance Database'!$J316=Query!$B$8),OR(Query!$B$9="",ISNUMBER(SEARCH(Query!$B$9,'Compliance Database'!$D316&amp;" "&amp;'Compliance Database'!$K316&amp;" "&amp;'Compliance Database'!$L316&amp;" "&amp;'Compliance Database'!$M316&amp;" "&amp;'Compliance Database'!$N316&amp;" "&amp;'Compliance Database'!$O316))),OR(Query!$B$10&lt;&gt;"Yes",'Compliance Database'!$F316&lt;&gt;"None")),1,0)</f>
        <v>0</v>
      </c>
      <c r="B316" t="str">
        <f>IF($A316=1,SUM($A$2:$A316),"")</f>
        <v/>
      </c>
      <c r="C316">
        <f>IF($A316=1,SUM($A$2:$A316),0)</f>
        <v>0</v>
      </c>
    </row>
    <row r="317" spans="1:3" x14ac:dyDescent="0.3">
      <c r="A317">
        <f>IF(AND(OR(Query!$B$4="All",'Compliance Database'!$A317=Query!$B$4),OR(Query!$B$5="All",ISNUMBER(SEARCH(Query!$B$5,'Compliance Database'!$H317))),OR(Query!$B$6="All",ISNUMBER(SEARCH(Query!$B$6,'Compliance Database'!$I317))),OR(Query!$B$7="All",'Compliance Database'!$F317=Query!$B$7),OR(Query!$B$8="All",'Compliance Database'!$J317=Query!$B$8),OR(Query!$B$9="",ISNUMBER(SEARCH(Query!$B$9,'Compliance Database'!$D317&amp;" "&amp;'Compliance Database'!$K317&amp;" "&amp;'Compliance Database'!$L317&amp;" "&amp;'Compliance Database'!$M317&amp;" "&amp;'Compliance Database'!$N317&amp;" "&amp;'Compliance Database'!$O317))),OR(Query!$B$10&lt;&gt;"Yes",'Compliance Database'!$F317&lt;&gt;"None")),1,0)</f>
        <v>0</v>
      </c>
      <c r="B317" t="str">
        <f>IF($A317=1,SUM($A$2:$A317),"")</f>
        <v/>
      </c>
      <c r="C317">
        <f>IF($A317=1,SUM($A$2:$A317),0)</f>
        <v>0</v>
      </c>
    </row>
    <row r="318" spans="1:3" x14ac:dyDescent="0.3">
      <c r="A318">
        <f>IF(AND(OR(Query!$B$4="All",'Compliance Database'!$A318=Query!$B$4),OR(Query!$B$5="All",ISNUMBER(SEARCH(Query!$B$5,'Compliance Database'!$H318))),OR(Query!$B$6="All",ISNUMBER(SEARCH(Query!$B$6,'Compliance Database'!$I318))),OR(Query!$B$7="All",'Compliance Database'!$F318=Query!$B$7),OR(Query!$B$8="All",'Compliance Database'!$J318=Query!$B$8),OR(Query!$B$9="",ISNUMBER(SEARCH(Query!$B$9,'Compliance Database'!$D318&amp;" "&amp;'Compliance Database'!$K318&amp;" "&amp;'Compliance Database'!$L318&amp;" "&amp;'Compliance Database'!$M318&amp;" "&amp;'Compliance Database'!$N318&amp;" "&amp;'Compliance Database'!$O318))),OR(Query!$B$10&lt;&gt;"Yes",'Compliance Database'!$F318&lt;&gt;"None")),1,0)</f>
        <v>0</v>
      </c>
      <c r="B318" t="str">
        <f>IF($A318=1,SUM($A$2:$A318),"")</f>
        <v/>
      </c>
      <c r="C318">
        <f>IF($A318=1,SUM($A$2:$A318),0)</f>
        <v>0</v>
      </c>
    </row>
    <row r="319" spans="1:3" x14ac:dyDescent="0.3">
      <c r="A319">
        <f>IF(AND(OR(Query!$B$4="All",'Compliance Database'!$A319=Query!$B$4),OR(Query!$B$5="All",ISNUMBER(SEARCH(Query!$B$5,'Compliance Database'!$H319))),OR(Query!$B$6="All",ISNUMBER(SEARCH(Query!$B$6,'Compliance Database'!$I319))),OR(Query!$B$7="All",'Compliance Database'!$F319=Query!$B$7),OR(Query!$B$8="All",'Compliance Database'!$J319=Query!$B$8),OR(Query!$B$9="",ISNUMBER(SEARCH(Query!$B$9,'Compliance Database'!$D319&amp;" "&amp;'Compliance Database'!$K319&amp;" "&amp;'Compliance Database'!$L319&amp;" "&amp;'Compliance Database'!$M319&amp;" "&amp;'Compliance Database'!$N319&amp;" "&amp;'Compliance Database'!$O319))),OR(Query!$B$10&lt;&gt;"Yes",'Compliance Database'!$F319&lt;&gt;"None")),1,0)</f>
        <v>0</v>
      </c>
      <c r="B319" t="str">
        <f>IF($A319=1,SUM($A$2:$A319),"")</f>
        <v/>
      </c>
      <c r="C319">
        <f>IF($A319=1,SUM($A$2:$A319),0)</f>
        <v>0</v>
      </c>
    </row>
    <row r="320" spans="1:3" x14ac:dyDescent="0.3">
      <c r="A320">
        <f>IF(AND(OR(Query!$B$4="All",'Compliance Database'!$A320=Query!$B$4),OR(Query!$B$5="All",ISNUMBER(SEARCH(Query!$B$5,'Compliance Database'!$H320))),OR(Query!$B$6="All",ISNUMBER(SEARCH(Query!$B$6,'Compliance Database'!$I320))),OR(Query!$B$7="All",'Compliance Database'!$F320=Query!$B$7),OR(Query!$B$8="All",'Compliance Database'!$J320=Query!$B$8),OR(Query!$B$9="",ISNUMBER(SEARCH(Query!$B$9,'Compliance Database'!$D320&amp;" "&amp;'Compliance Database'!$K320&amp;" "&amp;'Compliance Database'!$L320&amp;" "&amp;'Compliance Database'!$M320&amp;" "&amp;'Compliance Database'!$N320&amp;" "&amp;'Compliance Database'!$O320))),OR(Query!$B$10&lt;&gt;"Yes",'Compliance Database'!$F320&lt;&gt;"None")),1,0)</f>
        <v>0</v>
      </c>
      <c r="B320" t="str">
        <f>IF($A320=1,SUM($A$2:$A320),"")</f>
        <v/>
      </c>
      <c r="C320">
        <f>IF($A320=1,SUM($A$2:$A320),0)</f>
        <v>0</v>
      </c>
    </row>
    <row r="321" spans="1:3" x14ac:dyDescent="0.3">
      <c r="A321">
        <f>IF(AND(OR(Query!$B$4="All",'Compliance Database'!$A321=Query!$B$4),OR(Query!$B$5="All",ISNUMBER(SEARCH(Query!$B$5,'Compliance Database'!$H321))),OR(Query!$B$6="All",ISNUMBER(SEARCH(Query!$B$6,'Compliance Database'!$I321))),OR(Query!$B$7="All",'Compliance Database'!$F321=Query!$B$7),OR(Query!$B$8="All",'Compliance Database'!$J321=Query!$B$8),OR(Query!$B$9="",ISNUMBER(SEARCH(Query!$B$9,'Compliance Database'!$D321&amp;" "&amp;'Compliance Database'!$K321&amp;" "&amp;'Compliance Database'!$L321&amp;" "&amp;'Compliance Database'!$M321&amp;" "&amp;'Compliance Database'!$N321&amp;" "&amp;'Compliance Database'!$O321))),OR(Query!$B$10&lt;&gt;"Yes",'Compliance Database'!$F321&lt;&gt;"None")),1,0)</f>
        <v>0</v>
      </c>
      <c r="B321" t="str">
        <f>IF($A321=1,SUM($A$2:$A321),"")</f>
        <v/>
      </c>
      <c r="C321">
        <f>IF($A321=1,SUM($A$2:$A321),0)</f>
        <v>0</v>
      </c>
    </row>
    <row r="322" spans="1:3" x14ac:dyDescent="0.3">
      <c r="A322">
        <f>IF(AND(OR(Query!$B$4="All",'Compliance Database'!$A322=Query!$B$4),OR(Query!$B$5="All",ISNUMBER(SEARCH(Query!$B$5,'Compliance Database'!$H322))),OR(Query!$B$6="All",ISNUMBER(SEARCH(Query!$B$6,'Compliance Database'!$I322))),OR(Query!$B$7="All",'Compliance Database'!$F322=Query!$B$7),OR(Query!$B$8="All",'Compliance Database'!$J322=Query!$B$8),OR(Query!$B$9="",ISNUMBER(SEARCH(Query!$B$9,'Compliance Database'!$D322&amp;" "&amp;'Compliance Database'!$K322&amp;" "&amp;'Compliance Database'!$L322&amp;" "&amp;'Compliance Database'!$M322&amp;" "&amp;'Compliance Database'!$N322&amp;" "&amp;'Compliance Database'!$O322))),OR(Query!$B$10&lt;&gt;"Yes",'Compliance Database'!$F322&lt;&gt;"None")),1,0)</f>
        <v>0</v>
      </c>
      <c r="B322" t="str">
        <f>IF($A322=1,SUM($A$2:$A322),"")</f>
        <v/>
      </c>
      <c r="C322">
        <f>IF($A322=1,SUM($A$2:$A322),0)</f>
        <v>0</v>
      </c>
    </row>
    <row r="323" spans="1:3" x14ac:dyDescent="0.3">
      <c r="A323">
        <f>IF(AND(OR(Query!$B$4="All",'Compliance Database'!$A323=Query!$B$4),OR(Query!$B$5="All",ISNUMBER(SEARCH(Query!$B$5,'Compliance Database'!$H323))),OR(Query!$B$6="All",ISNUMBER(SEARCH(Query!$B$6,'Compliance Database'!$I323))),OR(Query!$B$7="All",'Compliance Database'!$F323=Query!$B$7),OR(Query!$B$8="All",'Compliance Database'!$J323=Query!$B$8),OR(Query!$B$9="",ISNUMBER(SEARCH(Query!$B$9,'Compliance Database'!$D323&amp;" "&amp;'Compliance Database'!$K323&amp;" "&amp;'Compliance Database'!$L323&amp;" "&amp;'Compliance Database'!$M323&amp;" "&amp;'Compliance Database'!$N323&amp;" "&amp;'Compliance Database'!$O323))),OR(Query!$B$10&lt;&gt;"Yes",'Compliance Database'!$F323&lt;&gt;"None")),1,0)</f>
        <v>0</v>
      </c>
      <c r="B323" t="str">
        <f>IF($A323=1,SUM($A$2:$A323),"")</f>
        <v/>
      </c>
      <c r="C323">
        <f>IF($A323=1,SUM($A$2:$A323),0)</f>
        <v>0</v>
      </c>
    </row>
    <row r="324" spans="1:3" x14ac:dyDescent="0.3">
      <c r="A324">
        <f>IF(AND(OR(Query!$B$4="All",'Compliance Database'!$A324=Query!$B$4),OR(Query!$B$5="All",ISNUMBER(SEARCH(Query!$B$5,'Compliance Database'!$H324))),OR(Query!$B$6="All",ISNUMBER(SEARCH(Query!$B$6,'Compliance Database'!$I324))),OR(Query!$B$7="All",'Compliance Database'!$F324=Query!$B$7),OR(Query!$B$8="All",'Compliance Database'!$J324=Query!$B$8),OR(Query!$B$9="",ISNUMBER(SEARCH(Query!$B$9,'Compliance Database'!$D324&amp;" "&amp;'Compliance Database'!$K324&amp;" "&amp;'Compliance Database'!$L324&amp;" "&amp;'Compliance Database'!$M324&amp;" "&amp;'Compliance Database'!$N324&amp;" "&amp;'Compliance Database'!$O324))),OR(Query!$B$10&lt;&gt;"Yes",'Compliance Database'!$F324&lt;&gt;"None")),1,0)</f>
        <v>0</v>
      </c>
      <c r="B324" t="str">
        <f>IF($A324=1,SUM($A$2:$A324),"")</f>
        <v/>
      </c>
      <c r="C324">
        <f>IF($A324=1,SUM($A$2:$A324),0)</f>
        <v>0</v>
      </c>
    </row>
    <row r="325" spans="1:3" x14ac:dyDescent="0.3">
      <c r="A325">
        <f>IF(AND(OR(Query!$B$4="All",'Compliance Database'!$A325=Query!$B$4),OR(Query!$B$5="All",ISNUMBER(SEARCH(Query!$B$5,'Compliance Database'!$H325))),OR(Query!$B$6="All",ISNUMBER(SEARCH(Query!$B$6,'Compliance Database'!$I325))),OR(Query!$B$7="All",'Compliance Database'!$F325=Query!$B$7),OR(Query!$B$8="All",'Compliance Database'!$J325=Query!$B$8),OR(Query!$B$9="",ISNUMBER(SEARCH(Query!$B$9,'Compliance Database'!$D325&amp;" "&amp;'Compliance Database'!$K325&amp;" "&amp;'Compliance Database'!$L325&amp;" "&amp;'Compliance Database'!$M325&amp;" "&amp;'Compliance Database'!$N325&amp;" "&amp;'Compliance Database'!$O325))),OR(Query!$B$10&lt;&gt;"Yes",'Compliance Database'!$F325&lt;&gt;"None")),1,0)</f>
        <v>0</v>
      </c>
      <c r="B325" t="str">
        <f>IF($A325=1,SUM($A$2:$A325),"")</f>
        <v/>
      </c>
      <c r="C325">
        <f>IF($A325=1,SUM($A$2:$A325),0)</f>
        <v>0</v>
      </c>
    </row>
    <row r="326" spans="1:3" x14ac:dyDescent="0.3">
      <c r="A326">
        <f>IF(AND(OR(Query!$B$4="All",'Compliance Database'!$A326=Query!$B$4),OR(Query!$B$5="All",ISNUMBER(SEARCH(Query!$B$5,'Compliance Database'!$H326))),OR(Query!$B$6="All",ISNUMBER(SEARCH(Query!$B$6,'Compliance Database'!$I326))),OR(Query!$B$7="All",'Compliance Database'!$F326=Query!$B$7),OR(Query!$B$8="All",'Compliance Database'!$J326=Query!$B$8),OR(Query!$B$9="",ISNUMBER(SEARCH(Query!$B$9,'Compliance Database'!$D326&amp;" "&amp;'Compliance Database'!$K326&amp;" "&amp;'Compliance Database'!$L326&amp;" "&amp;'Compliance Database'!$M326&amp;" "&amp;'Compliance Database'!$N326&amp;" "&amp;'Compliance Database'!$O326))),OR(Query!$B$10&lt;&gt;"Yes",'Compliance Database'!$F326&lt;&gt;"None")),1,0)</f>
        <v>0</v>
      </c>
      <c r="B326" t="str">
        <f>IF($A326=1,SUM($A$2:$A326),"")</f>
        <v/>
      </c>
      <c r="C326">
        <f>IF($A326=1,SUM($A$2:$A326),0)</f>
        <v>0</v>
      </c>
    </row>
    <row r="327" spans="1:3" x14ac:dyDescent="0.3">
      <c r="A327">
        <f>IF(AND(OR(Query!$B$4="All",'Compliance Database'!$A327=Query!$B$4),OR(Query!$B$5="All",ISNUMBER(SEARCH(Query!$B$5,'Compliance Database'!$H327))),OR(Query!$B$6="All",ISNUMBER(SEARCH(Query!$B$6,'Compliance Database'!$I327))),OR(Query!$B$7="All",'Compliance Database'!$F327=Query!$B$7),OR(Query!$B$8="All",'Compliance Database'!$J327=Query!$B$8),OR(Query!$B$9="",ISNUMBER(SEARCH(Query!$B$9,'Compliance Database'!$D327&amp;" "&amp;'Compliance Database'!$K327&amp;" "&amp;'Compliance Database'!$L327&amp;" "&amp;'Compliance Database'!$M327&amp;" "&amp;'Compliance Database'!$N327&amp;" "&amp;'Compliance Database'!$O327))),OR(Query!$B$10&lt;&gt;"Yes",'Compliance Database'!$F327&lt;&gt;"None")),1,0)</f>
        <v>0</v>
      </c>
      <c r="B327" t="str">
        <f>IF($A327=1,SUM($A$2:$A327),"")</f>
        <v/>
      </c>
      <c r="C327">
        <f>IF($A327=1,SUM($A$2:$A327),0)</f>
        <v>0</v>
      </c>
    </row>
    <row r="328" spans="1:3" x14ac:dyDescent="0.3">
      <c r="A328">
        <f>IF(AND(OR(Query!$B$4="All",'Compliance Database'!$A328=Query!$B$4),OR(Query!$B$5="All",ISNUMBER(SEARCH(Query!$B$5,'Compliance Database'!$H328))),OR(Query!$B$6="All",ISNUMBER(SEARCH(Query!$B$6,'Compliance Database'!$I328))),OR(Query!$B$7="All",'Compliance Database'!$F328=Query!$B$7),OR(Query!$B$8="All",'Compliance Database'!$J328=Query!$B$8),OR(Query!$B$9="",ISNUMBER(SEARCH(Query!$B$9,'Compliance Database'!$D328&amp;" "&amp;'Compliance Database'!$K328&amp;" "&amp;'Compliance Database'!$L328&amp;" "&amp;'Compliance Database'!$M328&amp;" "&amp;'Compliance Database'!$N328&amp;" "&amp;'Compliance Database'!$O328))),OR(Query!$B$10&lt;&gt;"Yes",'Compliance Database'!$F328&lt;&gt;"None")),1,0)</f>
        <v>0</v>
      </c>
      <c r="B328" t="str">
        <f>IF($A328=1,SUM($A$2:$A328),"")</f>
        <v/>
      </c>
      <c r="C328">
        <f>IF($A328=1,SUM($A$2:$A328),0)</f>
        <v>0</v>
      </c>
    </row>
    <row r="329" spans="1:3" x14ac:dyDescent="0.3">
      <c r="A329">
        <f>IF(AND(OR(Query!$B$4="All",'Compliance Database'!$A329=Query!$B$4),OR(Query!$B$5="All",ISNUMBER(SEARCH(Query!$B$5,'Compliance Database'!$H329))),OR(Query!$B$6="All",ISNUMBER(SEARCH(Query!$B$6,'Compliance Database'!$I329))),OR(Query!$B$7="All",'Compliance Database'!$F329=Query!$B$7),OR(Query!$B$8="All",'Compliance Database'!$J329=Query!$B$8),OR(Query!$B$9="",ISNUMBER(SEARCH(Query!$B$9,'Compliance Database'!$D329&amp;" "&amp;'Compliance Database'!$K329&amp;" "&amp;'Compliance Database'!$L329&amp;" "&amp;'Compliance Database'!$M329&amp;" "&amp;'Compliance Database'!$N329&amp;" "&amp;'Compliance Database'!$O329))),OR(Query!$B$10&lt;&gt;"Yes",'Compliance Database'!$F329&lt;&gt;"None")),1,0)</f>
        <v>0</v>
      </c>
      <c r="B329" t="str">
        <f>IF($A329=1,SUM($A$2:$A329),"")</f>
        <v/>
      </c>
      <c r="C329">
        <f>IF($A329=1,SUM($A$2:$A329),0)</f>
        <v>0</v>
      </c>
    </row>
    <row r="330" spans="1:3" x14ac:dyDescent="0.3">
      <c r="A330">
        <f>IF(AND(OR(Query!$B$4="All",'Compliance Database'!$A330=Query!$B$4),OR(Query!$B$5="All",ISNUMBER(SEARCH(Query!$B$5,'Compliance Database'!$H330))),OR(Query!$B$6="All",ISNUMBER(SEARCH(Query!$B$6,'Compliance Database'!$I330))),OR(Query!$B$7="All",'Compliance Database'!$F330=Query!$B$7),OR(Query!$B$8="All",'Compliance Database'!$J330=Query!$B$8),OR(Query!$B$9="",ISNUMBER(SEARCH(Query!$B$9,'Compliance Database'!$D330&amp;" "&amp;'Compliance Database'!$K330&amp;" "&amp;'Compliance Database'!$L330&amp;" "&amp;'Compliance Database'!$M330&amp;" "&amp;'Compliance Database'!$N330&amp;" "&amp;'Compliance Database'!$O330))),OR(Query!$B$10&lt;&gt;"Yes",'Compliance Database'!$F330&lt;&gt;"None")),1,0)</f>
        <v>0</v>
      </c>
      <c r="B330" t="str">
        <f>IF($A330=1,SUM($A$2:$A330),"")</f>
        <v/>
      </c>
      <c r="C330">
        <f>IF($A330=1,SUM($A$2:$A330),0)</f>
        <v>0</v>
      </c>
    </row>
    <row r="331" spans="1:3" x14ac:dyDescent="0.3">
      <c r="A331">
        <f>IF(AND(OR(Query!$B$4="All",'Compliance Database'!$A331=Query!$B$4),OR(Query!$B$5="All",ISNUMBER(SEARCH(Query!$B$5,'Compliance Database'!$H331))),OR(Query!$B$6="All",ISNUMBER(SEARCH(Query!$B$6,'Compliance Database'!$I331))),OR(Query!$B$7="All",'Compliance Database'!$F331=Query!$B$7),OR(Query!$B$8="All",'Compliance Database'!$J331=Query!$B$8),OR(Query!$B$9="",ISNUMBER(SEARCH(Query!$B$9,'Compliance Database'!$D331&amp;" "&amp;'Compliance Database'!$K331&amp;" "&amp;'Compliance Database'!$L331&amp;" "&amp;'Compliance Database'!$M331&amp;" "&amp;'Compliance Database'!$N331&amp;" "&amp;'Compliance Database'!$O331))),OR(Query!$B$10&lt;&gt;"Yes",'Compliance Database'!$F331&lt;&gt;"None")),1,0)</f>
        <v>0</v>
      </c>
      <c r="B331" t="str">
        <f>IF($A331=1,SUM($A$2:$A331),"")</f>
        <v/>
      </c>
      <c r="C331">
        <f>IF($A331=1,SUM($A$2:$A331),0)</f>
        <v>0</v>
      </c>
    </row>
    <row r="332" spans="1:3" x14ac:dyDescent="0.3">
      <c r="A332">
        <f>IF(AND(OR(Query!$B$4="All",'Compliance Database'!$A332=Query!$B$4),OR(Query!$B$5="All",ISNUMBER(SEARCH(Query!$B$5,'Compliance Database'!$H332))),OR(Query!$B$6="All",ISNUMBER(SEARCH(Query!$B$6,'Compliance Database'!$I332))),OR(Query!$B$7="All",'Compliance Database'!$F332=Query!$B$7),OR(Query!$B$8="All",'Compliance Database'!$J332=Query!$B$8),OR(Query!$B$9="",ISNUMBER(SEARCH(Query!$B$9,'Compliance Database'!$D332&amp;" "&amp;'Compliance Database'!$K332&amp;" "&amp;'Compliance Database'!$L332&amp;" "&amp;'Compliance Database'!$M332&amp;" "&amp;'Compliance Database'!$N332&amp;" "&amp;'Compliance Database'!$O332))),OR(Query!$B$10&lt;&gt;"Yes",'Compliance Database'!$F332&lt;&gt;"None")),1,0)</f>
        <v>0</v>
      </c>
      <c r="B332" t="str">
        <f>IF($A332=1,SUM($A$2:$A332),"")</f>
        <v/>
      </c>
      <c r="C332">
        <f>IF($A332=1,SUM($A$2:$A332),0)</f>
        <v>0</v>
      </c>
    </row>
    <row r="333" spans="1:3" x14ac:dyDescent="0.3">
      <c r="A333">
        <f>IF(AND(OR(Query!$B$4="All",'Compliance Database'!$A333=Query!$B$4),OR(Query!$B$5="All",ISNUMBER(SEARCH(Query!$B$5,'Compliance Database'!$H333))),OR(Query!$B$6="All",ISNUMBER(SEARCH(Query!$B$6,'Compliance Database'!$I333))),OR(Query!$B$7="All",'Compliance Database'!$F333=Query!$B$7),OR(Query!$B$8="All",'Compliance Database'!$J333=Query!$B$8),OR(Query!$B$9="",ISNUMBER(SEARCH(Query!$B$9,'Compliance Database'!$D333&amp;" "&amp;'Compliance Database'!$K333&amp;" "&amp;'Compliance Database'!$L333&amp;" "&amp;'Compliance Database'!$M333&amp;" "&amp;'Compliance Database'!$N333&amp;" "&amp;'Compliance Database'!$O333))),OR(Query!$B$10&lt;&gt;"Yes",'Compliance Database'!$F333&lt;&gt;"None")),1,0)</f>
        <v>0</v>
      </c>
      <c r="B333" t="str">
        <f>IF($A333=1,SUM($A$2:$A333),"")</f>
        <v/>
      </c>
      <c r="C333">
        <f>IF($A333=1,SUM($A$2:$A333),0)</f>
        <v>0</v>
      </c>
    </row>
    <row r="334" spans="1:3" x14ac:dyDescent="0.3">
      <c r="A334">
        <f>IF(AND(OR(Query!$B$4="All",'Compliance Database'!$A334=Query!$B$4),OR(Query!$B$5="All",ISNUMBER(SEARCH(Query!$B$5,'Compliance Database'!$H334))),OR(Query!$B$6="All",ISNUMBER(SEARCH(Query!$B$6,'Compliance Database'!$I334))),OR(Query!$B$7="All",'Compliance Database'!$F334=Query!$B$7),OR(Query!$B$8="All",'Compliance Database'!$J334=Query!$B$8),OR(Query!$B$9="",ISNUMBER(SEARCH(Query!$B$9,'Compliance Database'!$D334&amp;" "&amp;'Compliance Database'!$K334&amp;" "&amp;'Compliance Database'!$L334&amp;" "&amp;'Compliance Database'!$M334&amp;" "&amp;'Compliance Database'!$N334&amp;" "&amp;'Compliance Database'!$O334))),OR(Query!$B$10&lt;&gt;"Yes",'Compliance Database'!$F334&lt;&gt;"None")),1,0)</f>
        <v>0</v>
      </c>
      <c r="B334" t="str">
        <f>IF($A334=1,SUM($A$2:$A334),"")</f>
        <v/>
      </c>
      <c r="C334">
        <f>IF($A334=1,SUM($A$2:$A334),0)</f>
        <v>0</v>
      </c>
    </row>
    <row r="335" spans="1:3" x14ac:dyDescent="0.3">
      <c r="A335">
        <f>IF(AND(OR(Query!$B$4="All",'Compliance Database'!$A335=Query!$B$4),OR(Query!$B$5="All",ISNUMBER(SEARCH(Query!$B$5,'Compliance Database'!$H335))),OR(Query!$B$6="All",ISNUMBER(SEARCH(Query!$B$6,'Compliance Database'!$I335))),OR(Query!$B$7="All",'Compliance Database'!$F335=Query!$B$7),OR(Query!$B$8="All",'Compliance Database'!$J335=Query!$B$8),OR(Query!$B$9="",ISNUMBER(SEARCH(Query!$B$9,'Compliance Database'!$D335&amp;" "&amp;'Compliance Database'!$K335&amp;" "&amp;'Compliance Database'!$L335&amp;" "&amp;'Compliance Database'!$M335&amp;" "&amp;'Compliance Database'!$N335&amp;" "&amp;'Compliance Database'!$O335))),OR(Query!$B$10&lt;&gt;"Yes",'Compliance Database'!$F335&lt;&gt;"None")),1,0)</f>
        <v>0</v>
      </c>
      <c r="B335" t="str">
        <f>IF($A335=1,SUM($A$2:$A335),"")</f>
        <v/>
      </c>
      <c r="C335">
        <f>IF($A335=1,SUM($A$2:$A335),0)</f>
        <v>0</v>
      </c>
    </row>
    <row r="336" spans="1:3" x14ac:dyDescent="0.3">
      <c r="A336">
        <f>IF(AND(OR(Query!$B$4="All",'Compliance Database'!$A336=Query!$B$4),OR(Query!$B$5="All",ISNUMBER(SEARCH(Query!$B$5,'Compliance Database'!$H336))),OR(Query!$B$6="All",ISNUMBER(SEARCH(Query!$B$6,'Compliance Database'!$I336))),OR(Query!$B$7="All",'Compliance Database'!$F336=Query!$B$7),OR(Query!$B$8="All",'Compliance Database'!$J336=Query!$B$8),OR(Query!$B$9="",ISNUMBER(SEARCH(Query!$B$9,'Compliance Database'!$D336&amp;" "&amp;'Compliance Database'!$K336&amp;" "&amp;'Compliance Database'!$L336&amp;" "&amp;'Compliance Database'!$M336&amp;" "&amp;'Compliance Database'!$N336&amp;" "&amp;'Compliance Database'!$O336))),OR(Query!$B$10&lt;&gt;"Yes",'Compliance Database'!$F336&lt;&gt;"None")),1,0)</f>
        <v>0</v>
      </c>
      <c r="B336" t="str">
        <f>IF($A336=1,SUM($A$2:$A336),"")</f>
        <v/>
      </c>
      <c r="C336">
        <f>IF($A336=1,SUM($A$2:$A336),0)</f>
        <v>0</v>
      </c>
    </row>
    <row r="337" spans="1:3" x14ac:dyDescent="0.3">
      <c r="A337">
        <f>IF(AND(OR(Query!$B$4="All",'Compliance Database'!$A337=Query!$B$4),OR(Query!$B$5="All",ISNUMBER(SEARCH(Query!$B$5,'Compliance Database'!$H337))),OR(Query!$B$6="All",ISNUMBER(SEARCH(Query!$B$6,'Compliance Database'!$I337))),OR(Query!$B$7="All",'Compliance Database'!$F337=Query!$B$7),OR(Query!$B$8="All",'Compliance Database'!$J337=Query!$B$8),OR(Query!$B$9="",ISNUMBER(SEARCH(Query!$B$9,'Compliance Database'!$D337&amp;" "&amp;'Compliance Database'!$K337&amp;" "&amp;'Compliance Database'!$L337&amp;" "&amp;'Compliance Database'!$M337&amp;" "&amp;'Compliance Database'!$N337&amp;" "&amp;'Compliance Database'!$O337))),OR(Query!$B$10&lt;&gt;"Yes",'Compliance Database'!$F337&lt;&gt;"None")),1,0)</f>
        <v>0</v>
      </c>
      <c r="B337" t="str">
        <f>IF($A337=1,SUM($A$2:$A337),"")</f>
        <v/>
      </c>
      <c r="C337">
        <f>IF($A337=1,SUM($A$2:$A337),0)</f>
        <v>0</v>
      </c>
    </row>
    <row r="338" spans="1:3" x14ac:dyDescent="0.3">
      <c r="A338">
        <f>IF(AND(OR(Query!$B$4="All",'Compliance Database'!$A338=Query!$B$4),OR(Query!$B$5="All",ISNUMBER(SEARCH(Query!$B$5,'Compliance Database'!$H338))),OR(Query!$B$6="All",ISNUMBER(SEARCH(Query!$B$6,'Compliance Database'!$I338))),OR(Query!$B$7="All",'Compliance Database'!$F338=Query!$B$7),OR(Query!$B$8="All",'Compliance Database'!$J338=Query!$B$8),OR(Query!$B$9="",ISNUMBER(SEARCH(Query!$B$9,'Compliance Database'!$D338&amp;" "&amp;'Compliance Database'!$K338&amp;" "&amp;'Compliance Database'!$L338&amp;" "&amp;'Compliance Database'!$M338&amp;" "&amp;'Compliance Database'!$N338&amp;" "&amp;'Compliance Database'!$O338))),OR(Query!$B$10&lt;&gt;"Yes",'Compliance Database'!$F338&lt;&gt;"None")),1,0)</f>
        <v>0</v>
      </c>
      <c r="B338" t="str">
        <f>IF($A338=1,SUM($A$2:$A338),"")</f>
        <v/>
      </c>
      <c r="C338">
        <f>IF($A338=1,SUM($A$2:$A338),0)</f>
        <v>0</v>
      </c>
    </row>
    <row r="339" spans="1:3" x14ac:dyDescent="0.3">
      <c r="A339">
        <f>IF(AND(OR(Query!$B$4="All",'Compliance Database'!$A339=Query!$B$4),OR(Query!$B$5="All",ISNUMBER(SEARCH(Query!$B$5,'Compliance Database'!$H339))),OR(Query!$B$6="All",ISNUMBER(SEARCH(Query!$B$6,'Compliance Database'!$I339))),OR(Query!$B$7="All",'Compliance Database'!$F339=Query!$B$7),OR(Query!$B$8="All",'Compliance Database'!$J339=Query!$B$8),OR(Query!$B$9="",ISNUMBER(SEARCH(Query!$B$9,'Compliance Database'!$D339&amp;" "&amp;'Compliance Database'!$K339&amp;" "&amp;'Compliance Database'!$L339&amp;" "&amp;'Compliance Database'!$M339&amp;" "&amp;'Compliance Database'!$N339&amp;" "&amp;'Compliance Database'!$O339))),OR(Query!$B$10&lt;&gt;"Yes",'Compliance Database'!$F339&lt;&gt;"None")),1,0)</f>
        <v>0</v>
      </c>
      <c r="B339" t="str">
        <f>IF($A339=1,SUM($A$2:$A339),"")</f>
        <v/>
      </c>
      <c r="C339">
        <f>IF($A339=1,SUM($A$2:$A339),0)</f>
        <v>0</v>
      </c>
    </row>
    <row r="340" spans="1:3" x14ac:dyDescent="0.3">
      <c r="A340">
        <f>IF(AND(OR(Query!$B$4="All",'Compliance Database'!$A340=Query!$B$4),OR(Query!$B$5="All",ISNUMBER(SEARCH(Query!$B$5,'Compliance Database'!$H340))),OR(Query!$B$6="All",ISNUMBER(SEARCH(Query!$B$6,'Compliance Database'!$I340))),OR(Query!$B$7="All",'Compliance Database'!$F340=Query!$B$7),OR(Query!$B$8="All",'Compliance Database'!$J340=Query!$B$8),OR(Query!$B$9="",ISNUMBER(SEARCH(Query!$B$9,'Compliance Database'!$D340&amp;" "&amp;'Compliance Database'!$K340&amp;" "&amp;'Compliance Database'!$L340&amp;" "&amp;'Compliance Database'!$M340&amp;" "&amp;'Compliance Database'!$N340&amp;" "&amp;'Compliance Database'!$O340))),OR(Query!$B$10&lt;&gt;"Yes",'Compliance Database'!$F340&lt;&gt;"None")),1,0)</f>
        <v>0</v>
      </c>
      <c r="B340" t="str">
        <f>IF($A340=1,SUM($A$2:$A340),"")</f>
        <v/>
      </c>
      <c r="C340">
        <f>IF($A340=1,SUM($A$2:$A340),0)</f>
        <v>0</v>
      </c>
    </row>
    <row r="341" spans="1:3" x14ac:dyDescent="0.3">
      <c r="A341">
        <f>IF(AND(OR(Query!$B$4="All",'Compliance Database'!$A341=Query!$B$4),OR(Query!$B$5="All",ISNUMBER(SEARCH(Query!$B$5,'Compliance Database'!$H341))),OR(Query!$B$6="All",ISNUMBER(SEARCH(Query!$B$6,'Compliance Database'!$I341))),OR(Query!$B$7="All",'Compliance Database'!$F341=Query!$B$7),OR(Query!$B$8="All",'Compliance Database'!$J341=Query!$B$8),OR(Query!$B$9="",ISNUMBER(SEARCH(Query!$B$9,'Compliance Database'!$D341&amp;" "&amp;'Compliance Database'!$K341&amp;" "&amp;'Compliance Database'!$L341&amp;" "&amp;'Compliance Database'!$M341&amp;" "&amp;'Compliance Database'!$N341&amp;" "&amp;'Compliance Database'!$O341))),OR(Query!$B$10&lt;&gt;"Yes",'Compliance Database'!$F341&lt;&gt;"None")),1,0)</f>
        <v>0</v>
      </c>
      <c r="B341" t="str">
        <f>IF($A341=1,SUM($A$2:$A341),"")</f>
        <v/>
      </c>
      <c r="C341">
        <f>IF($A341=1,SUM($A$2:$A341),0)</f>
        <v>0</v>
      </c>
    </row>
    <row r="342" spans="1:3" x14ac:dyDescent="0.3">
      <c r="A342">
        <f>IF(AND(OR(Query!$B$4="All",'Compliance Database'!$A342=Query!$B$4),OR(Query!$B$5="All",ISNUMBER(SEARCH(Query!$B$5,'Compliance Database'!$H342))),OR(Query!$B$6="All",ISNUMBER(SEARCH(Query!$B$6,'Compliance Database'!$I342))),OR(Query!$B$7="All",'Compliance Database'!$F342=Query!$B$7),OR(Query!$B$8="All",'Compliance Database'!$J342=Query!$B$8),OR(Query!$B$9="",ISNUMBER(SEARCH(Query!$B$9,'Compliance Database'!$D342&amp;" "&amp;'Compliance Database'!$K342&amp;" "&amp;'Compliance Database'!$L342&amp;" "&amp;'Compliance Database'!$M342&amp;" "&amp;'Compliance Database'!$N342&amp;" "&amp;'Compliance Database'!$O342))),OR(Query!$B$10&lt;&gt;"Yes",'Compliance Database'!$F342&lt;&gt;"None")),1,0)</f>
        <v>0</v>
      </c>
      <c r="B342" t="str">
        <f>IF($A342=1,SUM($A$2:$A342),"")</f>
        <v/>
      </c>
      <c r="C342">
        <f>IF($A342=1,SUM($A$2:$A342),0)</f>
        <v>0</v>
      </c>
    </row>
    <row r="343" spans="1:3" x14ac:dyDescent="0.3">
      <c r="A343">
        <f>IF(AND(OR(Query!$B$4="All",'Compliance Database'!$A343=Query!$B$4),OR(Query!$B$5="All",ISNUMBER(SEARCH(Query!$B$5,'Compliance Database'!$H343))),OR(Query!$B$6="All",ISNUMBER(SEARCH(Query!$B$6,'Compliance Database'!$I343))),OR(Query!$B$7="All",'Compliance Database'!$F343=Query!$B$7),OR(Query!$B$8="All",'Compliance Database'!$J343=Query!$B$8),OR(Query!$B$9="",ISNUMBER(SEARCH(Query!$B$9,'Compliance Database'!$D343&amp;" "&amp;'Compliance Database'!$K343&amp;" "&amp;'Compliance Database'!$L343&amp;" "&amp;'Compliance Database'!$M343&amp;" "&amp;'Compliance Database'!$N343&amp;" "&amp;'Compliance Database'!$O343))),OR(Query!$B$10&lt;&gt;"Yes",'Compliance Database'!$F343&lt;&gt;"None")),1,0)</f>
        <v>0</v>
      </c>
      <c r="B343" t="str">
        <f>IF($A343=1,SUM($A$2:$A343),"")</f>
        <v/>
      </c>
      <c r="C343">
        <f>IF($A343=1,SUM($A$2:$A343),0)</f>
        <v>0</v>
      </c>
    </row>
    <row r="344" spans="1:3" x14ac:dyDescent="0.3">
      <c r="A344">
        <f>IF(AND(OR(Query!$B$4="All",'Compliance Database'!$A344=Query!$B$4),OR(Query!$B$5="All",ISNUMBER(SEARCH(Query!$B$5,'Compliance Database'!$H344))),OR(Query!$B$6="All",ISNUMBER(SEARCH(Query!$B$6,'Compliance Database'!$I344))),OR(Query!$B$7="All",'Compliance Database'!$F344=Query!$B$7),OR(Query!$B$8="All",'Compliance Database'!$J344=Query!$B$8),OR(Query!$B$9="",ISNUMBER(SEARCH(Query!$B$9,'Compliance Database'!$D344&amp;" "&amp;'Compliance Database'!$K344&amp;" "&amp;'Compliance Database'!$L344&amp;" "&amp;'Compliance Database'!$M344&amp;" "&amp;'Compliance Database'!$N344&amp;" "&amp;'Compliance Database'!$O344))),OR(Query!$B$10&lt;&gt;"Yes",'Compliance Database'!$F344&lt;&gt;"None")),1,0)</f>
        <v>0</v>
      </c>
      <c r="B344" t="str">
        <f>IF($A344=1,SUM($A$2:$A344),"")</f>
        <v/>
      </c>
      <c r="C344">
        <f>IF($A344=1,SUM($A$2:$A344),0)</f>
        <v>0</v>
      </c>
    </row>
    <row r="345" spans="1:3" x14ac:dyDescent="0.3">
      <c r="A345">
        <f>IF(AND(OR(Query!$B$4="All",'Compliance Database'!$A345=Query!$B$4),OR(Query!$B$5="All",ISNUMBER(SEARCH(Query!$B$5,'Compliance Database'!$H345))),OR(Query!$B$6="All",ISNUMBER(SEARCH(Query!$B$6,'Compliance Database'!$I345))),OR(Query!$B$7="All",'Compliance Database'!$F345=Query!$B$7),OR(Query!$B$8="All",'Compliance Database'!$J345=Query!$B$8),OR(Query!$B$9="",ISNUMBER(SEARCH(Query!$B$9,'Compliance Database'!$D345&amp;" "&amp;'Compliance Database'!$K345&amp;" "&amp;'Compliance Database'!$L345&amp;" "&amp;'Compliance Database'!$M345&amp;" "&amp;'Compliance Database'!$N345&amp;" "&amp;'Compliance Database'!$O345))),OR(Query!$B$10&lt;&gt;"Yes",'Compliance Database'!$F345&lt;&gt;"None")),1,0)</f>
        <v>0</v>
      </c>
      <c r="B345" t="str">
        <f>IF($A345=1,SUM($A$2:$A345),"")</f>
        <v/>
      </c>
      <c r="C345">
        <f>IF($A345=1,SUM($A$2:$A345),0)</f>
        <v>0</v>
      </c>
    </row>
    <row r="346" spans="1:3" x14ac:dyDescent="0.3">
      <c r="A346">
        <f>IF(AND(OR(Query!$B$4="All",'Compliance Database'!$A346=Query!$B$4),OR(Query!$B$5="All",ISNUMBER(SEARCH(Query!$B$5,'Compliance Database'!$H346))),OR(Query!$B$6="All",ISNUMBER(SEARCH(Query!$B$6,'Compliance Database'!$I346))),OR(Query!$B$7="All",'Compliance Database'!$F346=Query!$B$7),OR(Query!$B$8="All",'Compliance Database'!$J346=Query!$B$8),OR(Query!$B$9="",ISNUMBER(SEARCH(Query!$B$9,'Compliance Database'!$D346&amp;" "&amp;'Compliance Database'!$K346&amp;" "&amp;'Compliance Database'!$L346&amp;" "&amp;'Compliance Database'!$M346&amp;" "&amp;'Compliance Database'!$N346&amp;" "&amp;'Compliance Database'!$O346))),OR(Query!$B$10&lt;&gt;"Yes",'Compliance Database'!$F346&lt;&gt;"None")),1,0)</f>
        <v>0</v>
      </c>
      <c r="B346" t="str">
        <f>IF($A346=1,SUM($A$2:$A346),"")</f>
        <v/>
      </c>
      <c r="C346">
        <f>IF($A346=1,SUM($A$2:$A346),0)</f>
        <v>0</v>
      </c>
    </row>
    <row r="347" spans="1:3" x14ac:dyDescent="0.3">
      <c r="A347">
        <f>IF(AND(OR(Query!$B$4="All",'Compliance Database'!$A347=Query!$B$4),OR(Query!$B$5="All",ISNUMBER(SEARCH(Query!$B$5,'Compliance Database'!$H347))),OR(Query!$B$6="All",ISNUMBER(SEARCH(Query!$B$6,'Compliance Database'!$I347))),OR(Query!$B$7="All",'Compliance Database'!$F347=Query!$B$7),OR(Query!$B$8="All",'Compliance Database'!$J347=Query!$B$8),OR(Query!$B$9="",ISNUMBER(SEARCH(Query!$B$9,'Compliance Database'!$D347&amp;" "&amp;'Compliance Database'!$K347&amp;" "&amp;'Compliance Database'!$L347&amp;" "&amp;'Compliance Database'!$M347&amp;" "&amp;'Compliance Database'!$N347&amp;" "&amp;'Compliance Database'!$O347))),OR(Query!$B$10&lt;&gt;"Yes",'Compliance Database'!$F347&lt;&gt;"None")),1,0)</f>
        <v>0</v>
      </c>
      <c r="B347" t="str">
        <f>IF($A347=1,SUM($A$2:$A347),"")</f>
        <v/>
      </c>
      <c r="C347">
        <f>IF($A347=1,SUM($A$2:$A347),0)</f>
        <v>0</v>
      </c>
    </row>
    <row r="348" spans="1:3" x14ac:dyDescent="0.3">
      <c r="A348">
        <f>IF(AND(OR(Query!$B$4="All",'Compliance Database'!$A348=Query!$B$4),OR(Query!$B$5="All",ISNUMBER(SEARCH(Query!$B$5,'Compliance Database'!$H348))),OR(Query!$B$6="All",ISNUMBER(SEARCH(Query!$B$6,'Compliance Database'!$I348))),OR(Query!$B$7="All",'Compliance Database'!$F348=Query!$B$7),OR(Query!$B$8="All",'Compliance Database'!$J348=Query!$B$8),OR(Query!$B$9="",ISNUMBER(SEARCH(Query!$B$9,'Compliance Database'!$D348&amp;" "&amp;'Compliance Database'!$K348&amp;" "&amp;'Compliance Database'!$L348&amp;" "&amp;'Compliance Database'!$M348&amp;" "&amp;'Compliance Database'!$N348&amp;" "&amp;'Compliance Database'!$O348))),OR(Query!$B$10&lt;&gt;"Yes",'Compliance Database'!$F348&lt;&gt;"None")),1,0)</f>
        <v>0</v>
      </c>
      <c r="B348" t="str">
        <f>IF($A348=1,SUM($A$2:$A348),"")</f>
        <v/>
      </c>
      <c r="C348">
        <f>IF($A348=1,SUM($A$2:$A348),0)</f>
        <v>0</v>
      </c>
    </row>
    <row r="349" spans="1:3" x14ac:dyDescent="0.3">
      <c r="A349">
        <f>IF(AND(OR(Query!$B$4="All",'Compliance Database'!$A349=Query!$B$4),OR(Query!$B$5="All",ISNUMBER(SEARCH(Query!$B$5,'Compliance Database'!$H349))),OR(Query!$B$6="All",ISNUMBER(SEARCH(Query!$B$6,'Compliance Database'!$I349))),OR(Query!$B$7="All",'Compliance Database'!$F349=Query!$B$7),OR(Query!$B$8="All",'Compliance Database'!$J349=Query!$B$8),OR(Query!$B$9="",ISNUMBER(SEARCH(Query!$B$9,'Compliance Database'!$D349&amp;" "&amp;'Compliance Database'!$K349&amp;" "&amp;'Compliance Database'!$L349&amp;" "&amp;'Compliance Database'!$M349&amp;" "&amp;'Compliance Database'!$N349&amp;" "&amp;'Compliance Database'!$O349))),OR(Query!$B$10&lt;&gt;"Yes",'Compliance Database'!$F349&lt;&gt;"None")),1,0)</f>
        <v>0</v>
      </c>
      <c r="B349" t="str">
        <f>IF($A349=1,SUM($A$2:$A349),"")</f>
        <v/>
      </c>
      <c r="C349">
        <f>IF($A349=1,SUM($A$2:$A349),0)</f>
        <v>0</v>
      </c>
    </row>
    <row r="350" spans="1:3" x14ac:dyDescent="0.3">
      <c r="A350">
        <f>IF(AND(OR(Query!$B$4="All",'Compliance Database'!$A350=Query!$B$4),OR(Query!$B$5="All",ISNUMBER(SEARCH(Query!$B$5,'Compliance Database'!$H350))),OR(Query!$B$6="All",ISNUMBER(SEARCH(Query!$B$6,'Compliance Database'!$I350))),OR(Query!$B$7="All",'Compliance Database'!$F350=Query!$B$7),OR(Query!$B$8="All",'Compliance Database'!$J350=Query!$B$8),OR(Query!$B$9="",ISNUMBER(SEARCH(Query!$B$9,'Compliance Database'!$D350&amp;" "&amp;'Compliance Database'!$K350&amp;" "&amp;'Compliance Database'!$L350&amp;" "&amp;'Compliance Database'!$M350&amp;" "&amp;'Compliance Database'!$N350&amp;" "&amp;'Compliance Database'!$O350))),OR(Query!$B$10&lt;&gt;"Yes",'Compliance Database'!$F350&lt;&gt;"None")),1,0)</f>
        <v>0</v>
      </c>
      <c r="B350" t="str">
        <f>IF($A350=1,SUM($A$2:$A350),"")</f>
        <v/>
      </c>
      <c r="C350">
        <f>IF($A350=1,SUM($A$2:$A350),0)</f>
        <v>0</v>
      </c>
    </row>
    <row r="351" spans="1:3" x14ac:dyDescent="0.3">
      <c r="A351">
        <f>IF(AND(OR(Query!$B$4="All",'Compliance Database'!$A351=Query!$B$4),OR(Query!$B$5="All",ISNUMBER(SEARCH(Query!$B$5,'Compliance Database'!$H351))),OR(Query!$B$6="All",ISNUMBER(SEARCH(Query!$B$6,'Compliance Database'!$I351))),OR(Query!$B$7="All",'Compliance Database'!$F351=Query!$B$7),OR(Query!$B$8="All",'Compliance Database'!$J351=Query!$B$8),OR(Query!$B$9="",ISNUMBER(SEARCH(Query!$B$9,'Compliance Database'!$D351&amp;" "&amp;'Compliance Database'!$K351&amp;" "&amp;'Compliance Database'!$L351&amp;" "&amp;'Compliance Database'!$M351&amp;" "&amp;'Compliance Database'!$N351&amp;" "&amp;'Compliance Database'!$O351))),OR(Query!$B$10&lt;&gt;"Yes",'Compliance Database'!$F351&lt;&gt;"None")),1,0)</f>
        <v>0</v>
      </c>
      <c r="B351" t="str">
        <f>IF($A351=1,SUM($A$2:$A351),"")</f>
        <v/>
      </c>
      <c r="C351">
        <f>IF($A351=1,SUM($A$2:$A351),0)</f>
        <v>0</v>
      </c>
    </row>
    <row r="352" spans="1:3" x14ac:dyDescent="0.3">
      <c r="A352">
        <f>IF(AND(OR(Query!$B$4="All",'Compliance Database'!$A352=Query!$B$4),OR(Query!$B$5="All",ISNUMBER(SEARCH(Query!$B$5,'Compliance Database'!$H352))),OR(Query!$B$6="All",ISNUMBER(SEARCH(Query!$B$6,'Compliance Database'!$I352))),OR(Query!$B$7="All",'Compliance Database'!$F352=Query!$B$7),OR(Query!$B$8="All",'Compliance Database'!$J352=Query!$B$8),OR(Query!$B$9="",ISNUMBER(SEARCH(Query!$B$9,'Compliance Database'!$D352&amp;" "&amp;'Compliance Database'!$K352&amp;" "&amp;'Compliance Database'!$L352&amp;" "&amp;'Compliance Database'!$M352&amp;" "&amp;'Compliance Database'!$N352&amp;" "&amp;'Compliance Database'!$O352))),OR(Query!$B$10&lt;&gt;"Yes",'Compliance Database'!$F352&lt;&gt;"None")),1,0)</f>
        <v>0</v>
      </c>
      <c r="B352" t="str">
        <f>IF($A352=1,SUM($A$2:$A352),"")</f>
        <v/>
      </c>
      <c r="C352">
        <f>IF($A352=1,SUM($A$2:$A352),0)</f>
        <v>0</v>
      </c>
    </row>
    <row r="353" spans="1:3" x14ac:dyDescent="0.3">
      <c r="A353">
        <f>IF(AND(OR(Query!$B$4="All",'Compliance Database'!$A353=Query!$B$4),OR(Query!$B$5="All",ISNUMBER(SEARCH(Query!$B$5,'Compliance Database'!$H353))),OR(Query!$B$6="All",ISNUMBER(SEARCH(Query!$B$6,'Compliance Database'!$I353))),OR(Query!$B$7="All",'Compliance Database'!$F353=Query!$B$7),OR(Query!$B$8="All",'Compliance Database'!$J353=Query!$B$8),OR(Query!$B$9="",ISNUMBER(SEARCH(Query!$B$9,'Compliance Database'!$D353&amp;" "&amp;'Compliance Database'!$K353&amp;" "&amp;'Compliance Database'!$L353&amp;" "&amp;'Compliance Database'!$M353&amp;" "&amp;'Compliance Database'!$N353&amp;" "&amp;'Compliance Database'!$O353))),OR(Query!$B$10&lt;&gt;"Yes",'Compliance Database'!$F353&lt;&gt;"None")),1,0)</f>
        <v>0</v>
      </c>
      <c r="B353" t="str">
        <f>IF($A353=1,SUM($A$2:$A353),"")</f>
        <v/>
      </c>
      <c r="C353">
        <f>IF($A353=1,SUM($A$2:$A353),0)</f>
        <v>0</v>
      </c>
    </row>
    <row r="354" spans="1:3" x14ac:dyDescent="0.3">
      <c r="A354">
        <f>IF(AND(OR(Query!$B$4="All",'Compliance Database'!$A354=Query!$B$4),OR(Query!$B$5="All",ISNUMBER(SEARCH(Query!$B$5,'Compliance Database'!$H354))),OR(Query!$B$6="All",ISNUMBER(SEARCH(Query!$B$6,'Compliance Database'!$I354))),OR(Query!$B$7="All",'Compliance Database'!$F354=Query!$B$7),OR(Query!$B$8="All",'Compliance Database'!$J354=Query!$B$8),OR(Query!$B$9="",ISNUMBER(SEARCH(Query!$B$9,'Compliance Database'!$D354&amp;" "&amp;'Compliance Database'!$K354&amp;" "&amp;'Compliance Database'!$L354&amp;" "&amp;'Compliance Database'!$M354&amp;" "&amp;'Compliance Database'!$N354&amp;" "&amp;'Compliance Database'!$O354))),OR(Query!$B$10&lt;&gt;"Yes",'Compliance Database'!$F354&lt;&gt;"None")),1,0)</f>
        <v>0</v>
      </c>
      <c r="B354" t="str">
        <f>IF($A354=1,SUM($A$2:$A354),"")</f>
        <v/>
      </c>
      <c r="C354">
        <f>IF($A354=1,SUM($A$2:$A354),0)</f>
        <v>0</v>
      </c>
    </row>
    <row r="355" spans="1:3" x14ac:dyDescent="0.3">
      <c r="A355">
        <f>IF(AND(OR(Query!$B$4="All",'Compliance Database'!$A355=Query!$B$4),OR(Query!$B$5="All",ISNUMBER(SEARCH(Query!$B$5,'Compliance Database'!$H355))),OR(Query!$B$6="All",ISNUMBER(SEARCH(Query!$B$6,'Compliance Database'!$I355))),OR(Query!$B$7="All",'Compliance Database'!$F355=Query!$B$7),OR(Query!$B$8="All",'Compliance Database'!$J355=Query!$B$8),OR(Query!$B$9="",ISNUMBER(SEARCH(Query!$B$9,'Compliance Database'!$D355&amp;" "&amp;'Compliance Database'!$K355&amp;" "&amp;'Compliance Database'!$L355&amp;" "&amp;'Compliance Database'!$M355&amp;" "&amp;'Compliance Database'!$N355&amp;" "&amp;'Compliance Database'!$O355))),OR(Query!$B$10&lt;&gt;"Yes",'Compliance Database'!$F355&lt;&gt;"None")),1,0)</f>
        <v>0</v>
      </c>
      <c r="B355" t="str">
        <f>IF($A355=1,SUM($A$2:$A355),"")</f>
        <v/>
      </c>
      <c r="C355">
        <f>IF($A355=1,SUM($A$2:$A355),0)</f>
        <v>0</v>
      </c>
    </row>
    <row r="356" spans="1:3" x14ac:dyDescent="0.3">
      <c r="A356">
        <f>IF(AND(OR(Query!$B$4="All",'Compliance Database'!$A356=Query!$B$4),OR(Query!$B$5="All",ISNUMBER(SEARCH(Query!$B$5,'Compliance Database'!$H356))),OR(Query!$B$6="All",ISNUMBER(SEARCH(Query!$B$6,'Compliance Database'!$I356))),OR(Query!$B$7="All",'Compliance Database'!$F356=Query!$B$7),OR(Query!$B$8="All",'Compliance Database'!$J356=Query!$B$8),OR(Query!$B$9="",ISNUMBER(SEARCH(Query!$B$9,'Compliance Database'!$D356&amp;" "&amp;'Compliance Database'!$K356&amp;" "&amp;'Compliance Database'!$L356&amp;" "&amp;'Compliance Database'!$M356&amp;" "&amp;'Compliance Database'!$N356&amp;" "&amp;'Compliance Database'!$O356))),OR(Query!$B$10&lt;&gt;"Yes",'Compliance Database'!$F356&lt;&gt;"None")),1,0)</f>
        <v>0</v>
      </c>
      <c r="B356" t="str">
        <f>IF($A356=1,SUM($A$2:$A356),"")</f>
        <v/>
      </c>
      <c r="C356">
        <f>IF($A356=1,SUM($A$2:$A356),0)</f>
        <v>0</v>
      </c>
    </row>
    <row r="357" spans="1:3" x14ac:dyDescent="0.3">
      <c r="A357">
        <f>IF(AND(OR(Query!$B$4="All",'Compliance Database'!$A357=Query!$B$4),OR(Query!$B$5="All",ISNUMBER(SEARCH(Query!$B$5,'Compliance Database'!$H357))),OR(Query!$B$6="All",ISNUMBER(SEARCH(Query!$B$6,'Compliance Database'!$I357))),OR(Query!$B$7="All",'Compliance Database'!$F357=Query!$B$7),OR(Query!$B$8="All",'Compliance Database'!$J357=Query!$B$8),OR(Query!$B$9="",ISNUMBER(SEARCH(Query!$B$9,'Compliance Database'!$D357&amp;" "&amp;'Compliance Database'!$K357&amp;" "&amp;'Compliance Database'!$L357&amp;" "&amp;'Compliance Database'!$M357&amp;" "&amp;'Compliance Database'!$N357&amp;" "&amp;'Compliance Database'!$O357))),OR(Query!$B$10&lt;&gt;"Yes",'Compliance Database'!$F357&lt;&gt;"None")),1,0)</f>
        <v>0</v>
      </c>
      <c r="B357" t="str">
        <f>IF($A357=1,SUM($A$2:$A357),"")</f>
        <v/>
      </c>
      <c r="C357">
        <f>IF($A357=1,SUM($A$2:$A357),0)</f>
        <v>0</v>
      </c>
    </row>
    <row r="358" spans="1:3" x14ac:dyDescent="0.3">
      <c r="A358">
        <f>IF(AND(OR(Query!$B$4="All",'Compliance Database'!$A358=Query!$B$4),OR(Query!$B$5="All",ISNUMBER(SEARCH(Query!$B$5,'Compliance Database'!$H358))),OR(Query!$B$6="All",ISNUMBER(SEARCH(Query!$B$6,'Compliance Database'!$I358))),OR(Query!$B$7="All",'Compliance Database'!$F358=Query!$B$7),OR(Query!$B$8="All",'Compliance Database'!$J358=Query!$B$8),OR(Query!$B$9="",ISNUMBER(SEARCH(Query!$B$9,'Compliance Database'!$D358&amp;" "&amp;'Compliance Database'!$K358&amp;" "&amp;'Compliance Database'!$L358&amp;" "&amp;'Compliance Database'!$M358&amp;" "&amp;'Compliance Database'!$N358&amp;" "&amp;'Compliance Database'!$O358))),OR(Query!$B$10&lt;&gt;"Yes",'Compliance Database'!$F358&lt;&gt;"None")),1,0)</f>
        <v>0</v>
      </c>
      <c r="B358" t="str">
        <f>IF($A358=1,SUM($A$2:$A358),"")</f>
        <v/>
      </c>
      <c r="C358">
        <f>IF($A358=1,SUM($A$2:$A358),0)</f>
        <v>0</v>
      </c>
    </row>
    <row r="359" spans="1:3" x14ac:dyDescent="0.3">
      <c r="A359">
        <f>IF(AND(OR(Query!$B$4="All",'Compliance Database'!$A359=Query!$B$4),OR(Query!$B$5="All",ISNUMBER(SEARCH(Query!$B$5,'Compliance Database'!$H359))),OR(Query!$B$6="All",ISNUMBER(SEARCH(Query!$B$6,'Compliance Database'!$I359))),OR(Query!$B$7="All",'Compliance Database'!$F359=Query!$B$7),OR(Query!$B$8="All",'Compliance Database'!$J359=Query!$B$8),OR(Query!$B$9="",ISNUMBER(SEARCH(Query!$B$9,'Compliance Database'!$D359&amp;" "&amp;'Compliance Database'!$K359&amp;" "&amp;'Compliance Database'!$L359&amp;" "&amp;'Compliance Database'!$M359&amp;" "&amp;'Compliance Database'!$N359&amp;" "&amp;'Compliance Database'!$O359))),OR(Query!$B$10&lt;&gt;"Yes",'Compliance Database'!$F359&lt;&gt;"None")),1,0)</f>
        <v>0</v>
      </c>
      <c r="B359" t="str">
        <f>IF($A359=1,SUM($A$2:$A359),"")</f>
        <v/>
      </c>
      <c r="C359">
        <f>IF($A359=1,SUM($A$2:$A359),0)</f>
        <v>0</v>
      </c>
    </row>
    <row r="360" spans="1:3" x14ac:dyDescent="0.3">
      <c r="A360">
        <f>IF(AND(OR(Query!$B$4="All",'Compliance Database'!$A360=Query!$B$4),OR(Query!$B$5="All",ISNUMBER(SEARCH(Query!$B$5,'Compliance Database'!$H360))),OR(Query!$B$6="All",ISNUMBER(SEARCH(Query!$B$6,'Compliance Database'!$I360))),OR(Query!$B$7="All",'Compliance Database'!$F360=Query!$B$7),OR(Query!$B$8="All",'Compliance Database'!$J360=Query!$B$8),OR(Query!$B$9="",ISNUMBER(SEARCH(Query!$B$9,'Compliance Database'!$D360&amp;" "&amp;'Compliance Database'!$K360&amp;" "&amp;'Compliance Database'!$L360&amp;" "&amp;'Compliance Database'!$M360&amp;" "&amp;'Compliance Database'!$N360&amp;" "&amp;'Compliance Database'!$O360))),OR(Query!$B$10&lt;&gt;"Yes",'Compliance Database'!$F360&lt;&gt;"None")),1,0)</f>
        <v>0</v>
      </c>
      <c r="B360" t="str">
        <f>IF($A360=1,SUM($A$2:$A360),"")</f>
        <v/>
      </c>
      <c r="C360">
        <f>IF($A360=1,SUM($A$2:$A360),0)</f>
        <v>0</v>
      </c>
    </row>
    <row r="361" spans="1:3" x14ac:dyDescent="0.3">
      <c r="A361">
        <f>IF(AND(OR(Query!$B$4="All",'Compliance Database'!$A361=Query!$B$4),OR(Query!$B$5="All",ISNUMBER(SEARCH(Query!$B$5,'Compliance Database'!$H361))),OR(Query!$B$6="All",ISNUMBER(SEARCH(Query!$B$6,'Compliance Database'!$I361))),OR(Query!$B$7="All",'Compliance Database'!$F361=Query!$B$7),OR(Query!$B$8="All",'Compliance Database'!$J361=Query!$B$8),OR(Query!$B$9="",ISNUMBER(SEARCH(Query!$B$9,'Compliance Database'!$D361&amp;" "&amp;'Compliance Database'!$K361&amp;" "&amp;'Compliance Database'!$L361&amp;" "&amp;'Compliance Database'!$M361&amp;" "&amp;'Compliance Database'!$N361&amp;" "&amp;'Compliance Database'!$O361))),OR(Query!$B$10&lt;&gt;"Yes",'Compliance Database'!$F361&lt;&gt;"None")),1,0)</f>
        <v>0</v>
      </c>
      <c r="B361" t="str">
        <f>IF($A361=1,SUM($A$2:$A361),"")</f>
        <v/>
      </c>
      <c r="C361">
        <f>IF($A361=1,SUM($A$2:$A361),0)</f>
        <v>0</v>
      </c>
    </row>
    <row r="362" spans="1:3" x14ac:dyDescent="0.3">
      <c r="A362">
        <f>IF(AND(OR(Query!$B$4="All",'Compliance Database'!$A362=Query!$B$4),OR(Query!$B$5="All",ISNUMBER(SEARCH(Query!$B$5,'Compliance Database'!$H362))),OR(Query!$B$6="All",ISNUMBER(SEARCH(Query!$B$6,'Compliance Database'!$I362))),OR(Query!$B$7="All",'Compliance Database'!$F362=Query!$B$7),OR(Query!$B$8="All",'Compliance Database'!$J362=Query!$B$8),OR(Query!$B$9="",ISNUMBER(SEARCH(Query!$B$9,'Compliance Database'!$D362&amp;" "&amp;'Compliance Database'!$K362&amp;" "&amp;'Compliance Database'!$L362&amp;" "&amp;'Compliance Database'!$M362&amp;" "&amp;'Compliance Database'!$N362&amp;" "&amp;'Compliance Database'!$O362))),OR(Query!$B$10&lt;&gt;"Yes",'Compliance Database'!$F362&lt;&gt;"None")),1,0)</f>
        <v>0</v>
      </c>
      <c r="B362" t="str">
        <f>IF($A362=1,SUM($A$2:$A362),"")</f>
        <v/>
      </c>
      <c r="C362">
        <f>IF($A362=1,SUM($A$2:$A362),0)</f>
        <v>0</v>
      </c>
    </row>
    <row r="363" spans="1:3" x14ac:dyDescent="0.3">
      <c r="A363">
        <f>IF(AND(OR(Query!$B$4="All",'Compliance Database'!$A363=Query!$B$4),OR(Query!$B$5="All",ISNUMBER(SEARCH(Query!$B$5,'Compliance Database'!$H363))),OR(Query!$B$6="All",ISNUMBER(SEARCH(Query!$B$6,'Compliance Database'!$I363))),OR(Query!$B$7="All",'Compliance Database'!$F363=Query!$B$7),OR(Query!$B$8="All",'Compliance Database'!$J363=Query!$B$8),OR(Query!$B$9="",ISNUMBER(SEARCH(Query!$B$9,'Compliance Database'!$D363&amp;" "&amp;'Compliance Database'!$K363&amp;" "&amp;'Compliance Database'!$L363&amp;" "&amp;'Compliance Database'!$M363&amp;" "&amp;'Compliance Database'!$N363&amp;" "&amp;'Compliance Database'!$O363))),OR(Query!$B$10&lt;&gt;"Yes",'Compliance Database'!$F363&lt;&gt;"None")),1,0)</f>
        <v>0</v>
      </c>
      <c r="B363" t="str">
        <f>IF($A363=1,SUM($A$2:$A363),"")</f>
        <v/>
      </c>
      <c r="C363">
        <f>IF($A363=1,SUM($A$2:$A363),0)</f>
        <v>0</v>
      </c>
    </row>
    <row r="364" spans="1:3" x14ac:dyDescent="0.3">
      <c r="A364">
        <f>IF(AND(OR(Query!$B$4="All",'Compliance Database'!$A364=Query!$B$4),OR(Query!$B$5="All",ISNUMBER(SEARCH(Query!$B$5,'Compliance Database'!$H364))),OR(Query!$B$6="All",ISNUMBER(SEARCH(Query!$B$6,'Compliance Database'!$I364))),OR(Query!$B$7="All",'Compliance Database'!$F364=Query!$B$7),OR(Query!$B$8="All",'Compliance Database'!$J364=Query!$B$8),OR(Query!$B$9="",ISNUMBER(SEARCH(Query!$B$9,'Compliance Database'!$D364&amp;" "&amp;'Compliance Database'!$K364&amp;" "&amp;'Compliance Database'!$L364&amp;" "&amp;'Compliance Database'!$M364&amp;" "&amp;'Compliance Database'!$N364&amp;" "&amp;'Compliance Database'!$O364))),OR(Query!$B$10&lt;&gt;"Yes",'Compliance Database'!$F364&lt;&gt;"None")),1,0)</f>
        <v>0</v>
      </c>
      <c r="B364" t="str">
        <f>IF($A364=1,SUM($A$2:$A364),"")</f>
        <v/>
      </c>
      <c r="C364">
        <f>IF($A364=1,SUM($A$2:$A364),0)</f>
        <v>0</v>
      </c>
    </row>
    <row r="365" spans="1:3" x14ac:dyDescent="0.3">
      <c r="A365">
        <f>IF(AND(OR(Query!$B$4="All",'Compliance Database'!$A365=Query!$B$4),OR(Query!$B$5="All",ISNUMBER(SEARCH(Query!$B$5,'Compliance Database'!$H365))),OR(Query!$B$6="All",ISNUMBER(SEARCH(Query!$B$6,'Compliance Database'!$I365))),OR(Query!$B$7="All",'Compliance Database'!$F365=Query!$B$7),OR(Query!$B$8="All",'Compliance Database'!$J365=Query!$B$8),OR(Query!$B$9="",ISNUMBER(SEARCH(Query!$B$9,'Compliance Database'!$D365&amp;" "&amp;'Compliance Database'!$K365&amp;" "&amp;'Compliance Database'!$L365&amp;" "&amp;'Compliance Database'!$M365&amp;" "&amp;'Compliance Database'!$N365&amp;" "&amp;'Compliance Database'!$O365))),OR(Query!$B$10&lt;&gt;"Yes",'Compliance Database'!$F365&lt;&gt;"None")),1,0)</f>
        <v>0</v>
      </c>
      <c r="B365" t="str">
        <f>IF($A365=1,SUM($A$2:$A365),"")</f>
        <v/>
      </c>
      <c r="C365">
        <f>IF($A365=1,SUM($A$2:$A365),0)</f>
        <v>0</v>
      </c>
    </row>
    <row r="366" spans="1:3" x14ac:dyDescent="0.3">
      <c r="A366">
        <f>IF(AND(OR(Query!$B$4="All",'Compliance Database'!$A366=Query!$B$4),OR(Query!$B$5="All",ISNUMBER(SEARCH(Query!$B$5,'Compliance Database'!$H366))),OR(Query!$B$6="All",ISNUMBER(SEARCH(Query!$B$6,'Compliance Database'!$I366))),OR(Query!$B$7="All",'Compliance Database'!$F366=Query!$B$7),OR(Query!$B$8="All",'Compliance Database'!$J366=Query!$B$8),OR(Query!$B$9="",ISNUMBER(SEARCH(Query!$B$9,'Compliance Database'!$D366&amp;" "&amp;'Compliance Database'!$K366&amp;" "&amp;'Compliance Database'!$L366&amp;" "&amp;'Compliance Database'!$M366&amp;" "&amp;'Compliance Database'!$N366&amp;" "&amp;'Compliance Database'!$O366))),OR(Query!$B$10&lt;&gt;"Yes",'Compliance Database'!$F366&lt;&gt;"None")),1,0)</f>
        <v>0</v>
      </c>
      <c r="B366" t="str">
        <f>IF($A366=1,SUM($A$2:$A366),"")</f>
        <v/>
      </c>
      <c r="C366">
        <f>IF($A366=1,SUM($A$2:$A366),0)</f>
        <v>0</v>
      </c>
    </row>
    <row r="367" spans="1:3" x14ac:dyDescent="0.3">
      <c r="A367">
        <f>IF(AND(OR(Query!$B$4="All",'Compliance Database'!$A367=Query!$B$4),OR(Query!$B$5="All",ISNUMBER(SEARCH(Query!$B$5,'Compliance Database'!$H367))),OR(Query!$B$6="All",ISNUMBER(SEARCH(Query!$B$6,'Compliance Database'!$I367))),OR(Query!$B$7="All",'Compliance Database'!$F367=Query!$B$7),OR(Query!$B$8="All",'Compliance Database'!$J367=Query!$B$8),OR(Query!$B$9="",ISNUMBER(SEARCH(Query!$B$9,'Compliance Database'!$D367&amp;" "&amp;'Compliance Database'!$K367&amp;" "&amp;'Compliance Database'!$L367&amp;" "&amp;'Compliance Database'!$M367&amp;" "&amp;'Compliance Database'!$N367&amp;" "&amp;'Compliance Database'!$O367))),OR(Query!$B$10&lt;&gt;"Yes",'Compliance Database'!$F367&lt;&gt;"None")),1,0)</f>
        <v>0</v>
      </c>
      <c r="B367" t="str">
        <f>IF($A367=1,SUM($A$2:$A367),"")</f>
        <v/>
      </c>
      <c r="C367">
        <f>IF($A367=1,SUM($A$2:$A367),0)</f>
        <v>0</v>
      </c>
    </row>
    <row r="368" spans="1:3" x14ac:dyDescent="0.3">
      <c r="A368">
        <f>IF(AND(OR(Query!$B$4="All",'Compliance Database'!$A368=Query!$B$4),OR(Query!$B$5="All",ISNUMBER(SEARCH(Query!$B$5,'Compliance Database'!$H368))),OR(Query!$B$6="All",ISNUMBER(SEARCH(Query!$B$6,'Compliance Database'!$I368))),OR(Query!$B$7="All",'Compliance Database'!$F368=Query!$B$7),OR(Query!$B$8="All",'Compliance Database'!$J368=Query!$B$8),OR(Query!$B$9="",ISNUMBER(SEARCH(Query!$B$9,'Compliance Database'!$D368&amp;" "&amp;'Compliance Database'!$K368&amp;" "&amp;'Compliance Database'!$L368&amp;" "&amp;'Compliance Database'!$M368&amp;" "&amp;'Compliance Database'!$N368&amp;" "&amp;'Compliance Database'!$O368))),OR(Query!$B$10&lt;&gt;"Yes",'Compliance Database'!$F368&lt;&gt;"None")),1,0)</f>
        <v>0</v>
      </c>
      <c r="B368" t="str">
        <f>IF($A368=1,SUM($A$2:$A368),"")</f>
        <v/>
      </c>
      <c r="C368">
        <f>IF($A368=1,SUM($A$2:$A368),0)</f>
        <v>0</v>
      </c>
    </row>
    <row r="369" spans="1:3" x14ac:dyDescent="0.3">
      <c r="A369">
        <f>IF(AND(OR(Query!$B$4="All",'Compliance Database'!$A369=Query!$B$4),OR(Query!$B$5="All",ISNUMBER(SEARCH(Query!$B$5,'Compliance Database'!$H369))),OR(Query!$B$6="All",ISNUMBER(SEARCH(Query!$B$6,'Compliance Database'!$I369))),OR(Query!$B$7="All",'Compliance Database'!$F369=Query!$B$7),OR(Query!$B$8="All",'Compliance Database'!$J369=Query!$B$8),OR(Query!$B$9="",ISNUMBER(SEARCH(Query!$B$9,'Compliance Database'!$D369&amp;" "&amp;'Compliance Database'!$K369&amp;" "&amp;'Compliance Database'!$L369&amp;" "&amp;'Compliance Database'!$M369&amp;" "&amp;'Compliance Database'!$N369&amp;" "&amp;'Compliance Database'!$O369))),OR(Query!$B$10&lt;&gt;"Yes",'Compliance Database'!$F369&lt;&gt;"None")),1,0)</f>
        <v>0</v>
      </c>
      <c r="B369" t="str">
        <f>IF($A369=1,SUM($A$2:$A369),"")</f>
        <v/>
      </c>
      <c r="C369">
        <f>IF($A369=1,SUM($A$2:$A369),0)</f>
        <v>0</v>
      </c>
    </row>
    <row r="370" spans="1:3" x14ac:dyDescent="0.3">
      <c r="A370">
        <f>IF(AND(OR(Query!$B$4="All",'Compliance Database'!$A370=Query!$B$4),OR(Query!$B$5="All",ISNUMBER(SEARCH(Query!$B$5,'Compliance Database'!$H370))),OR(Query!$B$6="All",ISNUMBER(SEARCH(Query!$B$6,'Compliance Database'!$I370))),OR(Query!$B$7="All",'Compliance Database'!$F370=Query!$B$7),OR(Query!$B$8="All",'Compliance Database'!$J370=Query!$B$8),OR(Query!$B$9="",ISNUMBER(SEARCH(Query!$B$9,'Compliance Database'!$D370&amp;" "&amp;'Compliance Database'!$K370&amp;" "&amp;'Compliance Database'!$L370&amp;" "&amp;'Compliance Database'!$M370&amp;" "&amp;'Compliance Database'!$N370&amp;" "&amp;'Compliance Database'!$O370))),OR(Query!$B$10&lt;&gt;"Yes",'Compliance Database'!$F370&lt;&gt;"None")),1,0)</f>
        <v>0</v>
      </c>
      <c r="B370" t="str">
        <f>IF($A370=1,SUM($A$2:$A370),"")</f>
        <v/>
      </c>
      <c r="C370">
        <f>IF($A370=1,SUM($A$2:$A370),0)</f>
        <v>0</v>
      </c>
    </row>
    <row r="371" spans="1:3" x14ac:dyDescent="0.3">
      <c r="A371">
        <f>IF(AND(OR(Query!$B$4="All",'Compliance Database'!$A371=Query!$B$4),OR(Query!$B$5="All",ISNUMBER(SEARCH(Query!$B$5,'Compliance Database'!$H371))),OR(Query!$B$6="All",ISNUMBER(SEARCH(Query!$B$6,'Compliance Database'!$I371))),OR(Query!$B$7="All",'Compliance Database'!$F371=Query!$B$7),OR(Query!$B$8="All",'Compliance Database'!$J371=Query!$B$8),OR(Query!$B$9="",ISNUMBER(SEARCH(Query!$B$9,'Compliance Database'!$D371&amp;" "&amp;'Compliance Database'!$K371&amp;" "&amp;'Compliance Database'!$L371&amp;" "&amp;'Compliance Database'!$M371&amp;" "&amp;'Compliance Database'!$N371&amp;" "&amp;'Compliance Database'!$O371))),OR(Query!$B$10&lt;&gt;"Yes",'Compliance Database'!$F371&lt;&gt;"None")),1,0)</f>
        <v>0</v>
      </c>
      <c r="B371" t="str">
        <f>IF($A371=1,SUM($A$2:$A371),"")</f>
        <v/>
      </c>
      <c r="C371">
        <f>IF($A371=1,SUM($A$2:$A371),0)</f>
        <v>0</v>
      </c>
    </row>
    <row r="372" spans="1:3" x14ac:dyDescent="0.3">
      <c r="A372">
        <f>IF(AND(OR(Query!$B$4="All",'Compliance Database'!$A372=Query!$B$4),OR(Query!$B$5="All",ISNUMBER(SEARCH(Query!$B$5,'Compliance Database'!$H372))),OR(Query!$B$6="All",ISNUMBER(SEARCH(Query!$B$6,'Compliance Database'!$I372))),OR(Query!$B$7="All",'Compliance Database'!$F372=Query!$B$7),OR(Query!$B$8="All",'Compliance Database'!$J372=Query!$B$8),OR(Query!$B$9="",ISNUMBER(SEARCH(Query!$B$9,'Compliance Database'!$D372&amp;" "&amp;'Compliance Database'!$K372&amp;" "&amp;'Compliance Database'!$L372&amp;" "&amp;'Compliance Database'!$M372&amp;" "&amp;'Compliance Database'!$N372&amp;" "&amp;'Compliance Database'!$O372))),OR(Query!$B$10&lt;&gt;"Yes",'Compliance Database'!$F372&lt;&gt;"None")),1,0)</f>
        <v>0</v>
      </c>
      <c r="B372" t="str">
        <f>IF($A372=1,SUM($A$2:$A372),"")</f>
        <v/>
      </c>
      <c r="C372">
        <f>IF($A372=1,SUM($A$2:$A372),0)</f>
        <v>0</v>
      </c>
    </row>
    <row r="373" spans="1:3" x14ac:dyDescent="0.3">
      <c r="A373">
        <f>IF(AND(OR(Query!$B$4="All",'Compliance Database'!$A373=Query!$B$4),OR(Query!$B$5="All",ISNUMBER(SEARCH(Query!$B$5,'Compliance Database'!$H373))),OR(Query!$B$6="All",ISNUMBER(SEARCH(Query!$B$6,'Compliance Database'!$I373))),OR(Query!$B$7="All",'Compliance Database'!$F373=Query!$B$7),OR(Query!$B$8="All",'Compliance Database'!$J373=Query!$B$8),OR(Query!$B$9="",ISNUMBER(SEARCH(Query!$B$9,'Compliance Database'!$D373&amp;" "&amp;'Compliance Database'!$K373&amp;" "&amp;'Compliance Database'!$L373&amp;" "&amp;'Compliance Database'!$M373&amp;" "&amp;'Compliance Database'!$N373&amp;" "&amp;'Compliance Database'!$O373))),OR(Query!$B$10&lt;&gt;"Yes",'Compliance Database'!$F373&lt;&gt;"None")),1,0)</f>
        <v>0</v>
      </c>
      <c r="B373" t="str">
        <f>IF($A373=1,SUM($A$2:$A373),"")</f>
        <v/>
      </c>
      <c r="C373">
        <f>IF($A373=1,SUM($A$2:$A373),0)</f>
        <v>0</v>
      </c>
    </row>
    <row r="374" spans="1:3" x14ac:dyDescent="0.3">
      <c r="A374">
        <f>IF(AND(OR(Query!$B$4="All",'Compliance Database'!$A374=Query!$B$4),OR(Query!$B$5="All",ISNUMBER(SEARCH(Query!$B$5,'Compliance Database'!$H374))),OR(Query!$B$6="All",ISNUMBER(SEARCH(Query!$B$6,'Compliance Database'!$I374))),OR(Query!$B$7="All",'Compliance Database'!$F374=Query!$B$7),OR(Query!$B$8="All",'Compliance Database'!$J374=Query!$B$8),OR(Query!$B$9="",ISNUMBER(SEARCH(Query!$B$9,'Compliance Database'!$D374&amp;" "&amp;'Compliance Database'!$K374&amp;" "&amp;'Compliance Database'!$L374&amp;" "&amp;'Compliance Database'!$M374&amp;" "&amp;'Compliance Database'!$N374&amp;" "&amp;'Compliance Database'!$O374))),OR(Query!$B$10&lt;&gt;"Yes",'Compliance Database'!$F374&lt;&gt;"None")),1,0)</f>
        <v>0</v>
      </c>
      <c r="B374" t="str">
        <f>IF($A374=1,SUM($A$2:$A374),"")</f>
        <v/>
      </c>
      <c r="C374">
        <f>IF($A374=1,SUM($A$2:$A374),0)</f>
        <v>0</v>
      </c>
    </row>
    <row r="375" spans="1:3" x14ac:dyDescent="0.3">
      <c r="A375">
        <f>IF(AND(OR(Query!$B$4="All",'Compliance Database'!$A375=Query!$B$4),OR(Query!$B$5="All",ISNUMBER(SEARCH(Query!$B$5,'Compliance Database'!$H375))),OR(Query!$B$6="All",ISNUMBER(SEARCH(Query!$B$6,'Compliance Database'!$I375))),OR(Query!$B$7="All",'Compliance Database'!$F375=Query!$B$7),OR(Query!$B$8="All",'Compliance Database'!$J375=Query!$B$8),OR(Query!$B$9="",ISNUMBER(SEARCH(Query!$B$9,'Compliance Database'!$D375&amp;" "&amp;'Compliance Database'!$K375&amp;" "&amp;'Compliance Database'!$L375&amp;" "&amp;'Compliance Database'!$M375&amp;" "&amp;'Compliance Database'!$N375&amp;" "&amp;'Compliance Database'!$O375))),OR(Query!$B$10&lt;&gt;"Yes",'Compliance Database'!$F375&lt;&gt;"None")),1,0)</f>
        <v>0</v>
      </c>
      <c r="B375" t="str">
        <f>IF($A375=1,SUM($A$2:$A375),"")</f>
        <v/>
      </c>
      <c r="C375">
        <f>IF($A375=1,SUM($A$2:$A375),0)</f>
        <v>0</v>
      </c>
    </row>
    <row r="376" spans="1:3" x14ac:dyDescent="0.3">
      <c r="A376">
        <f>IF(AND(OR(Query!$B$4="All",'Compliance Database'!$A376=Query!$B$4),OR(Query!$B$5="All",ISNUMBER(SEARCH(Query!$B$5,'Compliance Database'!$H376))),OR(Query!$B$6="All",ISNUMBER(SEARCH(Query!$B$6,'Compliance Database'!$I376))),OR(Query!$B$7="All",'Compliance Database'!$F376=Query!$B$7),OR(Query!$B$8="All",'Compliance Database'!$J376=Query!$B$8),OR(Query!$B$9="",ISNUMBER(SEARCH(Query!$B$9,'Compliance Database'!$D376&amp;" "&amp;'Compliance Database'!$K376&amp;" "&amp;'Compliance Database'!$L376&amp;" "&amp;'Compliance Database'!$M376&amp;" "&amp;'Compliance Database'!$N376&amp;" "&amp;'Compliance Database'!$O376))),OR(Query!$B$10&lt;&gt;"Yes",'Compliance Database'!$F376&lt;&gt;"None")),1,0)</f>
        <v>0</v>
      </c>
      <c r="B376" t="str">
        <f>IF($A376=1,SUM($A$2:$A376),"")</f>
        <v/>
      </c>
      <c r="C376">
        <f>IF($A376=1,SUM($A$2:$A376),0)</f>
        <v>0</v>
      </c>
    </row>
    <row r="377" spans="1:3" x14ac:dyDescent="0.3">
      <c r="A377">
        <f>IF(AND(OR(Query!$B$4="All",'Compliance Database'!$A377=Query!$B$4),OR(Query!$B$5="All",ISNUMBER(SEARCH(Query!$B$5,'Compliance Database'!$H377))),OR(Query!$B$6="All",ISNUMBER(SEARCH(Query!$B$6,'Compliance Database'!$I377))),OR(Query!$B$7="All",'Compliance Database'!$F377=Query!$B$7),OR(Query!$B$8="All",'Compliance Database'!$J377=Query!$B$8),OR(Query!$B$9="",ISNUMBER(SEARCH(Query!$B$9,'Compliance Database'!$D377&amp;" "&amp;'Compliance Database'!$K377&amp;" "&amp;'Compliance Database'!$L377&amp;" "&amp;'Compliance Database'!$M377&amp;" "&amp;'Compliance Database'!$N377&amp;" "&amp;'Compliance Database'!$O377))),OR(Query!$B$10&lt;&gt;"Yes",'Compliance Database'!$F377&lt;&gt;"None")),1,0)</f>
        <v>0</v>
      </c>
      <c r="B377" t="str">
        <f>IF($A377=1,SUM($A$2:$A377),"")</f>
        <v/>
      </c>
      <c r="C377">
        <f>IF($A377=1,SUM($A$2:$A377),0)</f>
        <v>0</v>
      </c>
    </row>
    <row r="378" spans="1:3" x14ac:dyDescent="0.3">
      <c r="A378">
        <f>IF(AND(OR(Query!$B$4="All",'Compliance Database'!$A378=Query!$B$4),OR(Query!$B$5="All",ISNUMBER(SEARCH(Query!$B$5,'Compliance Database'!$H378))),OR(Query!$B$6="All",ISNUMBER(SEARCH(Query!$B$6,'Compliance Database'!$I378))),OR(Query!$B$7="All",'Compliance Database'!$F378=Query!$B$7),OR(Query!$B$8="All",'Compliance Database'!$J378=Query!$B$8),OR(Query!$B$9="",ISNUMBER(SEARCH(Query!$B$9,'Compliance Database'!$D378&amp;" "&amp;'Compliance Database'!$K378&amp;" "&amp;'Compliance Database'!$L378&amp;" "&amp;'Compliance Database'!$M378&amp;" "&amp;'Compliance Database'!$N378&amp;" "&amp;'Compliance Database'!$O378))),OR(Query!$B$10&lt;&gt;"Yes",'Compliance Database'!$F378&lt;&gt;"None")),1,0)</f>
        <v>0</v>
      </c>
      <c r="B378" t="str">
        <f>IF($A378=1,SUM($A$2:$A378),"")</f>
        <v/>
      </c>
      <c r="C378">
        <f>IF($A378=1,SUM($A$2:$A378),0)</f>
        <v>0</v>
      </c>
    </row>
    <row r="379" spans="1:3" x14ac:dyDescent="0.3">
      <c r="A379">
        <f>IF(AND(OR(Query!$B$4="All",'Compliance Database'!$A379=Query!$B$4),OR(Query!$B$5="All",ISNUMBER(SEARCH(Query!$B$5,'Compliance Database'!$H379))),OR(Query!$B$6="All",ISNUMBER(SEARCH(Query!$B$6,'Compliance Database'!$I379))),OR(Query!$B$7="All",'Compliance Database'!$F379=Query!$B$7),OR(Query!$B$8="All",'Compliance Database'!$J379=Query!$B$8),OR(Query!$B$9="",ISNUMBER(SEARCH(Query!$B$9,'Compliance Database'!$D379&amp;" "&amp;'Compliance Database'!$K379&amp;" "&amp;'Compliance Database'!$L379&amp;" "&amp;'Compliance Database'!$M379&amp;" "&amp;'Compliance Database'!$N379&amp;" "&amp;'Compliance Database'!$O379))),OR(Query!$B$10&lt;&gt;"Yes",'Compliance Database'!$F379&lt;&gt;"None")),1,0)</f>
        <v>0</v>
      </c>
      <c r="B379" t="str">
        <f>IF($A379=1,SUM($A$2:$A379),"")</f>
        <v/>
      </c>
      <c r="C379">
        <f>IF($A379=1,SUM($A$2:$A379),0)</f>
        <v>0</v>
      </c>
    </row>
    <row r="380" spans="1:3" x14ac:dyDescent="0.3">
      <c r="A380">
        <f>IF(AND(OR(Query!$B$4="All",'Compliance Database'!$A380=Query!$B$4),OR(Query!$B$5="All",ISNUMBER(SEARCH(Query!$B$5,'Compliance Database'!$H380))),OR(Query!$B$6="All",ISNUMBER(SEARCH(Query!$B$6,'Compliance Database'!$I380))),OR(Query!$B$7="All",'Compliance Database'!$F380=Query!$B$7),OR(Query!$B$8="All",'Compliance Database'!$J380=Query!$B$8),OR(Query!$B$9="",ISNUMBER(SEARCH(Query!$B$9,'Compliance Database'!$D380&amp;" "&amp;'Compliance Database'!$K380&amp;" "&amp;'Compliance Database'!$L380&amp;" "&amp;'Compliance Database'!$M380&amp;" "&amp;'Compliance Database'!$N380&amp;" "&amp;'Compliance Database'!$O380))),OR(Query!$B$10&lt;&gt;"Yes",'Compliance Database'!$F380&lt;&gt;"None")),1,0)</f>
        <v>0</v>
      </c>
      <c r="B380" t="str">
        <f>IF($A380=1,SUM($A$2:$A380),"")</f>
        <v/>
      </c>
      <c r="C380">
        <f>IF($A380=1,SUM($A$2:$A380),0)</f>
        <v>0</v>
      </c>
    </row>
    <row r="381" spans="1:3" x14ac:dyDescent="0.3">
      <c r="A381">
        <f>IF(AND(OR(Query!$B$4="All",'Compliance Database'!$A381=Query!$B$4),OR(Query!$B$5="All",ISNUMBER(SEARCH(Query!$B$5,'Compliance Database'!$H381))),OR(Query!$B$6="All",ISNUMBER(SEARCH(Query!$B$6,'Compliance Database'!$I381))),OR(Query!$B$7="All",'Compliance Database'!$F381=Query!$B$7),OR(Query!$B$8="All",'Compliance Database'!$J381=Query!$B$8),OR(Query!$B$9="",ISNUMBER(SEARCH(Query!$B$9,'Compliance Database'!$D381&amp;" "&amp;'Compliance Database'!$K381&amp;" "&amp;'Compliance Database'!$L381&amp;" "&amp;'Compliance Database'!$M381&amp;" "&amp;'Compliance Database'!$N381&amp;" "&amp;'Compliance Database'!$O381))),OR(Query!$B$10&lt;&gt;"Yes",'Compliance Database'!$F381&lt;&gt;"None")),1,0)</f>
        <v>0</v>
      </c>
      <c r="B381" t="str">
        <f>IF($A381=1,SUM($A$2:$A381),"")</f>
        <v/>
      </c>
      <c r="C381">
        <f>IF($A381=1,SUM($A$2:$A381),0)</f>
        <v>0</v>
      </c>
    </row>
    <row r="382" spans="1:3" x14ac:dyDescent="0.3">
      <c r="A382">
        <f>IF(AND(OR(Query!$B$4="All",'Compliance Database'!$A382=Query!$B$4),OR(Query!$B$5="All",ISNUMBER(SEARCH(Query!$B$5,'Compliance Database'!$H382))),OR(Query!$B$6="All",ISNUMBER(SEARCH(Query!$B$6,'Compliance Database'!$I382))),OR(Query!$B$7="All",'Compliance Database'!$F382=Query!$B$7),OR(Query!$B$8="All",'Compliance Database'!$J382=Query!$B$8),OR(Query!$B$9="",ISNUMBER(SEARCH(Query!$B$9,'Compliance Database'!$D382&amp;" "&amp;'Compliance Database'!$K382&amp;" "&amp;'Compliance Database'!$L382&amp;" "&amp;'Compliance Database'!$M382&amp;" "&amp;'Compliance Database'!$N382&amp;" "&amp;'Compliance Database'!$O382))),OR(Query!$B$10&lt;&gt;"Yes",'Compliance Database'!$F382&lt;&gt;"None")),1,0)</f>
        <v>0</v>
      </c>
      <c r="B382" t="str">
        <f>IF($A382=1,SUM($A$2:$A382),"")</f>
        <v/>
      </c>
      <c r="C382">
        <f>IF($A382=1,SUM($A$2:$A382),0)</f>
        <v>0</v>
      </c>
    </row>
    <row r="383" spans="1:3" x14ac:dyDescent="0.3">
      <c r="A383">
        <f>IF(AND(OR(Query!$B$4="All",'Compliance Database'!$A383=Query!$B$4),OR(Query!$B$5="All",ISNUMBER(SEARCH(Query!$B$5,'Compliance Database'!$H383))),OR(Query!$B$6="All",ISNUMBER(SEARCH(Query!$B$6,'Compliance Database'!$I383))),OR(Query!$B$7="All",'Compliance Database'!$F383=Query!$B$7),OR(Query!$B$8="All",'Compliance Database'!$J383=Query!$B$8),OR(Query!$B$9="",ISNUMBER(SEARCH(Query!$B$9,'Compliance Database'!$D383&amp;" "&amp;'Compliance Database'!$K383&amp;" "&amp;'Compliance Database'!$L383&amp;" "&amp;'Compliance Database'!$M383&amp;" "&amp;'Compliance Database'!$N383&amp;" "&amp;'Compliance Database'!$O383))),OR(Query!$B$10&lt;&gt;"Yes",'Compliance Database'!$F383&lt;&gt;"None")),1,0)</f>
        <v>0</v>
      </c>
      <c r="B383" t="str">
        <f>IF($A383=1,SUM($A$2:$A383),"")</f>
        <v/>
      </c>
      <c r="C383">
        <f>IF($A383=1,SUM($A$2:$A383),0)</f>
        <v>0</v>
      </c>
    </row>
    <row r="384" spans="1:3" x14ac:dyDescent="0.3">
      <c r="A384">
        <f>IF(AND(OR(Query!$B$4="All",'Compliance Database'!$A384=Query!$B$4),OR(Query!$B$5="All",ISNUMBER(SEARCH(Query!$B$5,'Compliance Database'!$H384))),OR(Query!$B$6="All",ISNUMBER(SEARCH(Query!$B$6,'Compliance Database'!$I384))),OR(Query!$B$7="All",'Compliance Database'!$F384=Query!$B$7),OR(Query!$B$8="All",'Compliance Database'!$J384=Query!$B$8),OR(Query!$B$9="",ISNUMBER(SEARCH(Query!$B$9,'Compliance Database'!$D384&amp;" "&amp;'Compliance Database'!$K384&amp;" "&amp;'Compliance Database'!$L384&amp;" "&amp;'Compliance Database'!$M384&amp;" "&amp;'Compliance Database'!$N384&amp;" "&amp;'Compliance Database'!$O384))),OR(Query!$B$10&lt;&gt;"Yes",'Compliance Database'!$F384&lt;&gt;"None")),1,0)</f>
        <v>0</v>
      </c>
      <c r="B384" t="str">
        <f>IF($A384=1,SUM($A$2:$A384),"")</f>
        <v/>
      </c>
      <c r="C384">
        <f>IF($A384=1,SUM($A$2:$A384),0)</f>
        <v>0</v>
      </c>
    </row>
    <row r="385" spans="1:3" x14ac:dyDescent="0.3">
      <c r="A385">
        <f>IF(AND(OR(Query!$B$4="All",'Compliance Database'!$A385=Query!$B$4),OR(Query!$B$5="All",ISNUMBER(SEARCH(Query!$B$5,'Compliance Database'!$H385))),OR(Query!$B$6="All",ISNUMBER(SEARCH(Query!$B$6,'Compliance Database'!$I385))),OR(Query!$B$7="All",'Compliance Database'!$F385=Query!$B$7),OR(Query!$B$8="All",'Compliance Database'!$J385=Query!$B$8),OR(Query!$B$9="",ISNUMBER(SEARCH(Query!$B$9,'Compliance Database'!$D385&amp;" "&amp;'Compliance Database'!$K385&amp;" "&amp;'Compliance Database'!$L385&amp;" "&amp;'Compliance Database'!$M385&amp;" "&amp;'Compliance Database'!$N385&amp;" "&amp;'Compliance Database'!$O385))),OR(Query!$B$10&lt;&gt;"Yes",'Compliance Database'!$F385&lt;&gt;"None")),1,0)</f>
        <v>0</v>
      </c>
      <c r="B385" t="str">
        <f>IF($A385=1,SUM($A$2:$A385),"")</f>
        <v/>
      </c>
      <c r="C385">
        <f>IF($A385=1,SUM($A$2:$A385),0)</f>
        <v>0</v>
      </c>
    </row>
    <row r="386" spans="1:3" x14ac:dyDescent="0.3">
      <c r="A386">
        <f>IF(AND(OR(Query!$B$4="All",'Compliance Database'!$A386=Query!$B$4),OR(Query!$B$5="All",ISNUMBER(SEARCH(Query!$B$5,'Compliance Database'!$H386))),OR(Query!$B$6="All",ISNUMBER(SEARCH(Query!$B$6,'Compliance Database'!$I386))),OR(Query!$B$7="All",'Compliance Database'!$F386=Query!$B$7),OR(Query!$B$8="All",'Compliance Database'!$J386=Query!$B$8),OR(Query!$B$9="",ISNUMBER(SEARCH(Query!$B$9,'Compliance Database'!$D386&amp;" "&amp;'Compliance Database'!$K386&amp;" "&amp;'Compliance Database'!$L386&amp;" "&amp;'Compliance Database'!$M386&amp;" "&amp;'Compliance Database'!$N386&amp;" "&amp;'Compliance Database'!$O386))),OR(Query!$B$10&lt;&gt;"Yes",'Compliance Database'!$F386&lt;&gt;"None")),1,0)</f>
        <v>0</v>
      </c>
      <c r="B386" t="str">
        <f>IF($A386=1,SUM($A$2:$A386),"")</f>
        <v/>
      </c>
      <c r="C386">
        <f>IF($A386=1,SUM($A$2:$A386),0)</f>
        <v>0</v>
      </c>
    </row>
    <row r="387" spans="1:3" x14ac:dyDescent="0.3">
      <c r="A387">
        <f>IF(AND(OR(Query!$B$4="All",'Compliance Database'!$A387=Query!$B$4),OR(Query!$B$5="All",ISNUMBER(SEARCH(Query!$B$5,'Compliance Database'!$H387))),OR(Query!$B$6="All",ISNUMBER(SEARCH(Query!$B$6,'Compliance Database'!$I387))),OR(Query!$B$7="All",'Compliance Database'!$F387=Query!$B$7),OR(Query!$B$8="All",'Compliance Database'!$J387=Query!$B$8),OR(Query!$B$9="",ISNUMBER(SEARCH(Query!$B$9,'Compliance Database'!$D387&amp;" "&amp;'Compliance Database'!$K387&amp;" "&amp;'Compliance Database'!$L387&amp;" "&amp;'Compliance Database'!$M387&amp;" "&amp;'Compliance Database'!$N387&amp;" "&amp;'Compliance Database'!$O387))),OR(Query!$B$10&lt;&gt;"Yes",'Compliance Database'!$F387&lt;&gt;"None")),1,0)</f>
        <v>0</v>
      </c>
      <c r="B387" t="str">
        <f>IF($A387=1,SUM($A$2:$A387),"")</f>
        <v/>
      </c>
      <c r="C387">
        <f>IF($A387=1,SUM($A$2:$A387),0)</f>
        <v>0</v>
      </c>
    </row>
    <row r="388" spans="1:3" x14ac:dyDescent="0.3">
      <c r="A388">
        <f>IF(AND(OR(Query!$B$4="All",'Compliance Database'!$A388=Query!$B$4),OR(Query!$B$5="All",ISNUMBER(SEARCH(Query!$B$5,'Compliance Database'!$H388))),OR(Query!$B$6="All",ISNUMBER(SEARCH(Query!$B$6,'Compliance Database'!$I388))),OR(Query!$B$7="All",'Compliance Database'!$F388=Query!$B$7),OR(Query!$B$8="All",'Compliance Database'!$J388=Query!$B$8),OR(Query!$B$9="",ISNUMBER(SEARCH(Query!$B$9,'Compliance Database'!$D388&amp;" "&amp;'Compliance Database'!$K388&amp;" "&amp;'Compliance Database'!$L388&amp;" "&amp;'Compliance Database'!$M388&amp;" "&amp;'Compliance Database'!$N388&amp;" "&amp;'Compliance Database'!$O388))),OR(Query!$B$10&lt;&gt;"Yes",'Compliance Database'!$F388&lt;&gt;"None")),1,0)</f>
        <v>0</v>
      </c>
      <c r="B388" t="str">
        <f>IF($A388=1,SUM($A$2:$A388),"")</f>
        <v/>
      </c>
      <c r="C388">
        <f>IF($A388=1,SUM($A$2:$A388),0)</f>
        <v>0</v>
      </c>
    </row>
    <row r="389" spans="1:3" x14ac:dyDescent="0.3">
      <c r="A389">
        <f>IF(AND(OR(Query!$B$4="All",'Compliance Database'!$A389=Query!$B$4),OR(Query!$B$5="All",ISNUMBER(SEARCH(Query!$B$5,'Compliance Database'!$H389))),OR(Query!$B$6="All",ISNUMBER(SEARCH(Query!$B$6,'Compliance Database'!$I389))),OR(Query!$B$7="All",'Compliance Database'!$F389=Query!$B$7),OR(Query!$B$8="All",'Compliance Database'!$J389=Query!$B$8),OR(Query!$B$9="",ISNUMBER(SEARCH(Query!$B$9,'Compliance Database'!$D389&amp;" "&amp;'Compliance Database'!$K389&amp;" "&amp;'Compliance Database'!$L389&amp;" "&amp;'Compliance Database'!$M389&amp;" "&amp;'Compliance Database'!$N389&amp;" "&amp;'Compliance Database'!$O389))),OR(Query!$B$10&lt;&gt;"Yes",'Compliance Database'!$F389&lt;&gt;"None")),1,0)</f>
        <v>0</v>
      </c>
      <c r="B389" t="str">
        <f>IF($A389=1,SUM($A$2:$A389),"")</f>
        <v/>
      </c>
      <c r="C389">
        <f>IF($A389=1,SUM($A$2:$A389),0)</f>
        <v>0</v>
      </c>
    </row>
    <row r="390" spans="1:3" x14ac:dyDescent="0.3">
      <c r="A390">
        <f>IF(AND(OR(Query!$B$4="All",'Compliance Database'!$A390=Query!$B$4),OR(Query!$B$5="All",ISNUMBER(SEARCH(Query!$B$5,'Compliance Database'!$H390))),OR(Query!$B$6="All",ISNUMBER(SEARCH(Query!$B$6,'Compliance Database'!$I390))),OR(Query!$B$7="All",'Compliance Database'!$F390=Query!$B$7),OR(Query!$B$8="All",'Compliance Database'!$J390=Query!$B$8),OR(Query!$B$9="",ISNUMBER(SEARCH(Query!$B$9,'Compliance Database'!$D390&amp;" "&amp;'Compliance Database'!$K390&amp;" "&amp;'Compliance Database'!$L390&amp;" "&amp;'Compliance Database'!$M390&amp;" "&amp;'Compliance Database'!$N390&amp;" "&amp;'Compliance Database'!$O390))),OR(Query!$B$10&lt;&gt;"Yes",'Compliance Database'!$F390&lt;&gt;"None")),1,0)</f>
        <v>0</v>
      </c>
      <c r="B390" t="str">
        <f>IF($A390=1,SUM($A$2:$A390),"")</f>
        <v/>
      </c>
      <c r="C390">
        <f>IF($A390=1,SUM($A$2:$A390),0)</f>
        <v>0</v>
      </c>
    </row>
    <row r="391" spans="1:3" x14ac:dyDescent="0.3">
      <c r="A391">
        <f>IF(AND(OR(Query!$B$4="All",'Compliance Database'!$A391=Query!$B$4),OR(Query!$B$5="All",ISNUMBER(SEARCH(Query!$B$5,'Compliance Database'!$H391))),OR(Query!$B$6="All",ISNUMBER(SEARCH(Query!$B$6,'Compliance Database'!$I391))),OR(Query!$B$7="All",'Compliance Database'!$F391=Query!$B$7),OR(Query!$B$8="All",'Compliance Database'!$J391=Query!$B$8),OR(Query!$B$9="",ISNUMBER(SEARCH(Query!$B$9,'Compliance Database'!$D391&amp;" "&amp;'Compliance Database'!$K391&amp;" "&amp;'Compliance Database'!$L391&amp;" "&amp;'Compliance Database'!$M391&amp;" "&amp;'Compliance Database'!$N391&amp;" "&amp;'Compliance Database'!$O391))),OR(Query!$B$10&lt;&gt;"Yes",'Compliance Database'!$F391&lt;&gt;"None")),1,0)</f>
        <v>0</v>
      </c>
      <c r="B391" t="str">
        <f>IF($A391=1,SUM($A$2:$A391),"")</f>
        <v/>
      </c>
      <c r="C391">
        <f>IF($A391=1,SUM($A$2:$A391),0)</f>
        <v>0</v>
      </c>
    </row>
    <row r="392" spans="1:3" x14ac:dyDescent="0.3">
      <c r="A392">
        <f>IF(AND(OR(Query!$B$4="All",'Compliance Database'!$A392=Query!$B$4),OR(Query!$B$5="All",ISNUMBER(SEARCH(Query!$B$5,'Compliance Database'!$H392))),OR(Query!$B$6="All",ISNUMBER(SEARCH(Query!$B$6,'Compliance Database'!$I392))),OR(Query!$B$7="All",'Compliance Database'!$F392=Query!$B$7),OR(Query!$B$8="All",'Compliance Database'!$J392=Query!$B$8),OR(Query!$B$9="",ISNUMBER(SEARCH(Query!$B$9,'Compliance Database'!$D392&amp;" "&amp;'Compliance Database'!$K392&amp;" "&amp;'Compliance Database'!$L392&amp;" "&amp;'Compliance Database'!$M392&amp;" "&amp;'Compliance Database'!$N392&amp;" "&amp;'Compliance Database'!$O392))),OR(Query!$B$10&lt;&gt;"Yes",'Compliance Database'!$F392&lt;&gt;"None")),1,0)</f>
        <v>0</v>
      </c>
      <c r="B392" t="str">
        <f>IF($A392=1,SUM($A$2:$A392),"")</f>
        <v/>
      </c>
      <c r="C392">
        <f>IF($A392=1,SUM($A$2:$A392),0)</f>
        <v>0</v>
      </c>
    </row>
    <row r="393" spans="1:3" x14ac:dyDescent="0.3">
      <c r="A393">
        <f>IF(AND(OR(Query!$B$4="All",'Compliance Database'!$A393=Query!$B$4),OR(Query!$B$5="All",ISNUMBER(SEARCH(Query!$B$5,'Compliance Database'!$H393))),OR(Query!$B$6="All",ISNUMBER(SEARCH(Query!$B$6,'Compliance Database'!$I393))),OR(Query!$B$7="All",'Compliance Database'!$F393=Query!$B$7),OR(Query!$B$8="All",'Compliance Database'!$J393=Query!$B$8),OR(Query!$B$9="",ISNUMBER(SEARCH(Query!$B$9,'Compliance Database'!$D393&amp;" "&amp;'Compliance Database'!$K393&amp;" "&amp;'Compliance Database'!$L393&amp;" "&amp;'Compliance Database'!$M393&amp;" "&amp;'Compliance Database'!$N393&amp;" "&amp;'Compliance Database'!$O393))),OR(Query!$B$10&lt;&gt;"Yes",'Compliance Database'!$F393&lt;&gt;"None")),1,0)</f>
        <v>0</v>
      </c>
      <c r="B393" t="str">
        <f>IF($A393=1,SUM($A$2:$A393),"")</f>
        <v/>
      </c>
      <c r="C393">
        <f>IF($A393=1,SUM($A$2:$A393),0)</f>
        <v>0</v>
      </c>
    </row>
    <row r="394" spans="1:3" x14ac:dyDescent="0.3">
      <c r="A394">
        <f>IF(AND(OR(Query!$B$4="All",'Compliance Database'!$A394=Query!$B$4),OR(Query!$B$5="All",ISNUMBER(SEARCH(Query!$B$5,'Compliance Database'!$H394))),OR(Query!$B$6="All",ISNUMBER(SEARCH(Query!$B$6,'Compliance Database'!$I394))),OR(Query!$B$7="All",'Compliance Database'!$F394=Query!$B$7),OR(Query!$B$8="All",'Compliance Database'!$J394=Query!$B$8),OR(Query!$B$9="",ISNUMBER(SEARCH(Query!$B$9,'Compliance Database'!$D394&amp;" "&amp;'Compliance Database'!$K394&amp;" "&amp;'Compliance Database'!$L394&amp;" "&amp;'Compliance Database'!$M394&amp;" "&amp;'Compliance Database'!$N394&amp;" "&amp;'Compliance Database'!$O394))),OR(Query!$B$10&lt;&gt;"Yes",'Compliance Database'!$F394&lt;&gt;"None")),1,0)</f>
        <v>0</v>
      </c>
      <c r="B394" t="str">
        <f>IF($A394=1,SUM($A$2:$A394),"")</f>
        <v/>
      </c>
      <c r="C394">
        <f>IF($A394=1,SUM($A$2:$A394),0)</f>
        <v>0</v>
      </c>
    </row>
    <row r="395" spans="1:3" x14ac:dyDescent="0.3">
      <c r="A395">
        <f>IF(AND(OR(Query!$B$4="All",'Compliance Database'!$A395=Query!$B$4),OR(Query!$B$5="All",ISNUMBER(SEARCH(Query!$B$5,'Compliance Database'!$H395))),OR(Query!$B$6="All",ISNUMBER(SEARCH(Query!$B$6,'Compliance Database'!$I395))),OR(Query!$B$7="All",'Compliance Database'!$F395=Query!$B$7),OR(Query!$B$8="All",'Compliance Database'!$J395=Query!$B$8),OR(Query!$B$9="",ISNUMBER(SEARCH(Query!$B$9,'Compliance Database'!$D395&amp;" "&amp;'Compliance Database'!$K395&amp;" "&amp;'Compliance Database'!$L395&amp;" "&amp;'Compliance Database'!$M395&amp;" "&amp;'Compliance Database'!$N395&amp;" "&amp;'Compliance Database'!$O395))),OR(Query!$B$10&lt;&gt;"Yes",'Compliance Database'!$F395&lt;&gt;"None")),1,0)</f>
        <v>0</v>
      </c>
      <c r="B395" t="str">
        <f>IF($A395=1,SUM($A$2:$A395),"")</f>
        <v/>
      </c>
      <c r="C395">
        <f>IF($A395=1,SUM($A$2:$A395),0)</f>
        <v>0</v>
      </c>
    </row>
    <row r="396" spans="1:3" x14ac:dyDescent="0.3">
      <c r="A396">
        <f>IF(AND(OR(Query!$B$4="All",'Compliance Database'!$A396=Query!$B$4),OR(Query!$B$5="All",ISNUMBER(SEARCH(Query!$B$5,'Compliance Database'!$H396))),OR(Query!$B$6="All",ISNUMBER(SEARCH(Query!$B$6,'Compliance Database'!$I396))),OR(Query!$B$7="All",'Compliance Database'!$F396=Query!$B$7),OR(Query!$B$8="All",'Compliance Database'!$J396=Query!$B$8),OR(Query!$B$9="",ISNUMBER(SEARCH(Query!$B$9,'Compliance Database'!$D396&amp;" "&amp;'Compliance Database'!$K396&amp;" "&amp;'Compliance Database'!$L396&amp;" "&amp;'Compliance Database'!$M396&amp;" "&amp;'Compliance Database'!$N396&amp;" "&amp;'Compliance Database'!$O396))),OR(Query!$B$10&lt;&gt;"Yes",'Compliance Database'!$F396&lt;&gt;"None")),1,0)</f>
        <v>0</v>
      </c>
      <c r="B396" t="str">
        <f>IF($A396=1,SUM($A$2:$A396),"")</f>
        <v/>
      </c>
      <c r="C396">
        <f>IF($A396=1,SUM($A$2:$A396),0)</f>
        <v>0</v>
      </c>
    </row>
    <row r="397" spans="1:3" x14ac:dyDescent="0.3">
      <c r="A397">
        <f>IF(AND(OR(Query!$B$4="All",'Compliance Database'!$A397=Query!$B$4),OR(Query!$B$5="All",ISNUMBER(SEARCH(Query!$B$5,'Compliance Database'!$H397))),OR(Query!$B$6="All",ISNUMBER(SEARCH(Query!$B$6,'Compliance Database'!$I397))),OR(Query!$B$7="All",'Compliance Database'!$F397=Query!$B$7),OR(Query!$B$8="All",'Compliance Database'!$J397=Query!$B$8),OR(Query!$B$9="",ISNUMBER(SEARCH(Query!$B$9,'Compliance Database'!$D397&amp;" "&amp;'Compliance Database'!$K397&amp;" "&amp;'Compliance Database'!$L397&amp;" "&amp;'Compliance Database'!$M397&amp;" "&amp;'Compliance Database'!$N397&amp;" "&amp;'Compliance Database'!$O397))),OR(Query!$B$10&lt;&gt;"Yes",'Compliance Database'!$F397&lt;&gt;"None")),1,0)</f>
        <v>0</v>
      </c>
      <c r="B397" t="str">
        <f>IF($A397=1,SUM($A$2:$A397),"")</f>
        <v/>
      </c>
      <c r="C397">
        <f>IF($A397=1,SUM($A$2:$A397),0)</f>
        <v>0</v>
      </c>
    </row>
    <row r="398" spans="1:3" x14ac:dyDescent="0.3">
      <c r="A398">
        <f>IF(AND(OR(Query!$B$4="All",'Compliance Database'!$A398=Query!$B$4),OR(Query!$B$5="All",ISNUMBER(SEARCH(Query!$B$5,'Compliance Database'!$H398))),OR(Query!$B$6="All",ISNUMBER(SEARCH(Query!$B$6,'Compliance Database'!$I398))),OR(Query!$B$7="All",'Compliance Database'!$F398=Query!$B$7),OR(Query!$B$8="All",'Compliance Database'!$J398=Query!$B$8),OR(Query!$B$9="",ISNUMBER(SEARCH(Query!$B$9,'Compliance Database'!$D398&amp;" "&amp;'Compliance Database'!$K398&amp;" "&amp;'Compliance Database'!$L398&amp;" "&amp;'Compliance Database'!$M398&amp;" "&amp;'Compliance Database'!$N398&amp;" "&amp;'Compliance Database'!$O398))),OR(Query!$B$10&lt;&gt;"Yes",'Compliance Database'!$F398&lt;&gt;"None")),1,0)</f>
        <v>0</v>
      </c>
      <c r="B398" t="str">
        <f>IF($A398=1,SUM($A$2:$A398),"")</f>
        <v/>
      </c>
      <c r="C398">
        <f>IF($A398=1,SUM($A$2:$A398),0)</f>
        <v>0</v>
      </c>
    </row>
    <row r="399" spans="1:3" x14ac:dyDescent="0.3">
      <c r="A399">
        <f>IF(AND(OR(Query!$B$4="All",'Compliance Database'!$A399=Query!$B$4),OR(Query!$B$5="All",ISNUMBER(SEARCH(Query!$B$5,'Compliance Database'!$H399))),OR(Query!$B$6="All",ISNUMBER(SEARCH(Query!$B$6,'Compliance Database'!$I399))),OR(Query!$B$7="All",'Compliance Database'!$F399=Query!$B$7),OR(Query!$B$8="All",'Compliance Database'!$J399=Query!$B$8),OR(Query!$B$9="",ISNUMBER(SEARCH(Query!$B$9,'Compliance Database'!$D399&amp;" "&amp;'Compliance Database'!$K399&amp;" "&amp;'Compliance Database'!$L399&amp;" "&amp;'Compliance Database'!$M399&amp;" "&amp;'Compliance Database'!$N399&amp;" "&amp;'Compliance Database'!$O399))),OR(Query!$B$10&lt;&gt;"Yes",'Compliance Database'!$F399&lt;&gt;"None")),1,0)</f>
        <v>0</v>
      </c>
      <c r="B399" t="str">
        <f>IF($A399=1,SUM($A$2:$A399),"")</f>
        <v/>
      </c>
      <c r="C399">
        <f>IF($A399=1,SUM($A$2:$A399),0)</f>
        <v>0</v>
      </c>
    </row>
    <row r="400" spans="1:3" x14ac:dyDescent="0.3">
      <c r="A400">
        <f>IF(AND(OR(Query!$B$4="All",'Compliance Database'!$A400=Query!$B$4),OR(Query!$B$5="All",ISNUMBER(SEARCH(Query!$B$5,'Compliance Database'!$H400))),OR(Query!$B$6="All",ISNUMBER(SEARCH(Query!$B$6,'Compliance Database'!$I400))),OR(Query!$B$7="All",'Compliance Database'!$F400=Query!$B$7),OR(Query!$B$8="All",'Compliance Database'!$J400=Query!$B$8),OR(Query!$B$9="",ISNUMBER(SEARCH(Query!$B$9,'Compliance Database'!$D400&amp;" "&amp;'Compliance Database'!$K400&amp;" "&amp;'Compliance Database'!$L400&amp;" "&amp;'Compliance Database'!$M400&amp;" "&amp;'Compliance Database'!$N400&amp;" "&amp;'Compliance Database'!$O400))),OR(Query!$B$10&lt;&gt;"Yes",'Compliance Database'!$F400&lt;&gt;"None")),1,0)</f>
        <v>0</v>
      </c>
      <c r="B400" t="str">
        <f>IF($A400=1,SUM($A$2:$A400),"")</f>
        <v/>
      </c>
      <c r="C400">
        <f>IF($A400=1,SUM($A$2:$A400),0)</f>
        <v>0</v>
      </c>
    </row>
    <row r="401" spans="1:3" x14ac:dyDescent="0.3">
      <c r="A401">
        <f>IF(AND(OR(Query!$B$4="All",'Compliance Database'!$A401=Query!$B$4),OR(Query!$B$5="All",ISNUMBER(SEARCH(Query!$B$5,'Compliance Database'!$H401))),OR(Query!$B$6="All",ISNUMBER(SEARCH(Query!$B$6,'Compliance Database'!$I401))),OR(Query!$B$7="All",'Compliance Database'!$F401=Query!$B$7),OR(Query!$B$8="All",'Compliance Database'!$J401=Query!$B$8),OR(Query!$B$9="",ISNUMBER(SEARCH(Query!$B$9,'Compliance Database'!$D401&amp;" "&amp;'Compliance Database'!$K401&amp;" "&amp;'Compliance Database'!$L401&amp;" "&amp;'Compliance Database'!$M401&amp;" "&amp;'Compliance Database'!$N401&amp;" "&amp;'Compliance Database'!$O401))),OR(Query!$B$10&lt;&gt;"Yes",'Compliance Database'!$F401&lt;&gt;"None")),1,0)</f>
        <v>0</v>
      </c>
      <c r="B401" t="str">
        <f>IF($A401=1,SUM($A$2:$A401),"")</f>
        <v/>
      </c>
      <c r="C401">
        <f>IF($A401=1,SUM($A$2:$A401),0)</f>
        <v>0</v>
      </c>
    </row>
    <row r="402" spans="1:3" x14ac:dyDescent="0.3">
      <c r="A402">
        <f>IF(AND(OR(Query!$B$4="All",'Compliance Database'!$A402=Query!$B$4),OR(Query!$B$5="All",ISNUMBER(SEARCH(Query!$B$5,'Compliance Database'!$H402))),OR(Query!$B$6="All",ISNUMBER(SEARCH(Query!$B$6,'Compliance Database'!$I402))),OR(Query!$B$7="All",'Compliance Database'!$F402=Query!$B$7),OR(Query!$B$8="All",'Compliance Database'!$J402=Query!$B$8),OR(Query!$B$9="",ISNUMBER(SEARCH(Query!$B$9,'Compliance Database'!$D402&amp;" "&amp;'Compliance Database'!$K402&amp;" "&amp;'Compliance Database'!$L402&amp;" "&amp;'Compliance Database'!$M402&amp;" "&amp;'Compliance Database'!$N402&amp;" "&amp;'Compliance Database'!$O402))),OR(Query!$B$10&lt;&gt;"Yes",'Compliance Database'!$F402&lt;&gt;"None")),1,0)</f>
        <v>0</v>
      </c>
      <c r="B402" t="str">
        <f>IF($A402=1,SUM($A$2:$A402),"")</f>
        <v/>
      </c>
      <c r="C402">
        <f>IF($A402=1,SUM($A$2:$A402),0)</f>
        <v>0</v>
      </c>
    </row>
    <row r="403" spans="1:3" x14ac:dyDescent="0.3">
      <c r="A403">
        <f>IF(AND(OR(Query!$B$4="All",'Compliance Database'!$A403=Query!$B$4),OR(Query!$B$5="All",ISNUMBER(SEARCH(Query!$B$5,'Compliance Database'!$H403))),OR(Query!$B$6="All",ISNUMBER(SEARCH(Query!$B$6,'Compliance Database'!$I403))),OR(Query!$B$7="All",'Compliance Database'!$F403=Query!$B$7),OR(Query!$B$8="All",'Compliance Database'!$J403=Query!$B$8),OR(Query!$B$9="",ISNUMBER(SEARCH(Query!$B$9,'Compliance Database'!$D403&amp;" "&amp;'Compliance Database'!$K403&amp;" "&amp;'Compliance Database'!$L403&amp;" "&amp;'Compliance Database'!$M403&amp;" "&amp;'Compliance Database'!$N403&amp;" "&amp;'Compliance Database'!$O403))),OR(Query!$B$10&lt;&gt;"Yes",'Compliance Database'!$F403&lt;&gt;"None")),1,0)</f>
        <v>0</v>
      </c>
      <c r="B403" t="str">
        <f>IF($A403=1,SUM($A$2:$A403),"")</f>
        <v/>
      </c>
      <c r="C403">
        <f>IF($A403=1,SUM($A$2:$A403),0)</f>
        <v>0</v>
      </c>
    </row>
    <row r="404" spans="1:3" x14ac:dyDescent="0.3">
      <c r="A404">
        <f>IF(AND(OR(Query!$B$4="All",'Compliance Database'!$A404=Query!$B$4),OR(Query!$B$5="All",ISNUMBER(SEARCH(Query!$B$5,'Compliance Database'!$H404))),OR(Query!$B$6="All",ISNUMBER(SEARCH(Query!$B$6,'Compliance Database'!$I404))),OR(Query!$B$7="All",'Compliance Database'!$F404=Query!$B$7),OR(Query!$B$8="All",'Compliance Database'!$J404=Query!$B$8),OR(Query!$B$9="",ISNUMBER(SEARCH(Query!$B$9,'Compliance Database'!$D404&amp;" "&amp;'Compliance Database'!$K404&amp;" "&amp;'Compliance Database'!$L404&amp;" "&amp;'Compliance Database'!$M404&amp;" "&amp;'Compliance Database'!$N404&amp;" "&amp;'Compliance Database'!$O404))),OR(Query!$B$10&lt;&gt;"Yes",'Compliance Database'!$F404&lt;&gt;"None")),1,0)</f>
        <v>0</v>
      </c>
      <c r="B404" t="str">
        <f>IF($A404=1,SUM($A$2:$A404),"")</f>
        <v/>
      </c>
      <c r="C404">
        <f>IF($A404=1,SUM($A$2:$A404),0)</f>
        <v>0</v>
      </c>
    </row>
    <row r="405" spans="1:3" x14ac:dyDescent="0.3">
      <c r="A405">
        <f>IF(AND(OR(Query!$B$4="All",'Compliance Database'!$A405=Query!$B$4),OR(Query!$B$5="All",ISNUMBER(SEARCH(Query!$B$5,'Compliance Database'!$H405))),OR(Query!$B$6="All",ISNUMBER(SEARCH(Query!$B$6,'Compliance Database'!$I405))),OR(Query!$B$7="All",'Compliance Database'!$F405=Query!$B$7),OR(Query!$B$8="All",'Compliance Database'!$J405=Query!$B$8),OR(Query!$B$9="",ISNUMBER(SEARCH(Query!$B$9,'Compliance Database'!$D405&amp;" "&amp;'Compliance Database'!$K405&amp;" "&amp;'Compliance Database'!$L405&amp;" "&amp;'Compliance Database'!$M405&amp;" "&amp;'Compliance Database'!$N405&amp;" "&amp;'Compliance Database'!$O405))),OR(Query!$B$10&lt;&gt;"Yes",'Compliance Database'!$F405&lt;&gt;"None")),1,0)</f>
        <v>0</v>
      </c>
      <c r="B405" t="str">
        <f>IF($A405=1,SUM($A$2:$A405),"")</f>
        <v/>
      </c>
      <c r="C405">
        <f>IF($A405=1,SUM($A$2:$A405),0)</f>
        <v>0</v>
      </c>
    </row>
    <row r="406" spans="1:3" x14ac:dyDescent="0.3">
      <c r="A406">
        <f>IF(AND(OR(Query!$B$4="All",'Compliance Database'!$A406=Query!$B$4),OR(Query!$B$5="All",ISNUMBER(SEARCH(Query!$B$5,'Compliance Database'!$H406))),OR(Query!$B$6="All",ISNUMBER(SEARCH(Query!$B$6,'Compliance Database'!$I406))),OR(Query!$B$7="All",'Compliance Database'!$F406=Query!$B$7),OR(Query!$B$8="All",'Compliance Database'!$J406=Query!$B$8),OR(Query!$B$9="",ISNUMBER(SEARCH(Query!$B$9,'Compliance Database'!$D406&amp;" "&amp;'Compliance Database'!$K406&amp;" "&amp;'Compliance Database'!$L406&amp;" "&amp;'Compliance Database'!$M406&amp;" "&amp;'Compliance Database'!$N406&amp;" "&amp;'Compliance Database'!$O406))),OR(Query!$B$10&lt;&gt;"Yes",'Compliance Database'!$F406&lt;&gt;"None")),1,0)</f>
        <v>0</v>
      </c>
      <c r="B406" t="str">
        <f>IF($A406=1,SUM($A$2:$A406),"")</f>
        <v/>
      </c>
      <c r="C406">
        <f>IF($A406=1,SUM($A$2:$A406),0)</f>
        <v>0</v>
      </c>
    </row>
    <row r="407" spans="1:3" x14ac:dyDescent="0.3">
      <c r="A407">
        <f>IF(AND(OR(Query!$B$4="All",'Compliance Database'!$A407=Query!$B$4),OR(Query!$B$5="All",ISNUMBER(SEARCH(Query!$B$5,'Compliance Database'!$H407))),OR(Query!$B$6="All",ISNUMBER(SEARCH(Query!$B$6,'Compliance Database'!$I407))),OR(Query!$B$7="All",'Compliance Database'!$F407=Query!$B$7),OR(Query!$B$8="All",'Compliance Database'!$J407=Query!$B$8),OR(Query!$B$9="",ISNUMBER(SEARCH(Query!$B$9,'Compliance Database'!$D407&amp;" "&amp;'Compliance Database'!$K407&amp;" "&amp;'Compliance Database'!$L407&amp;" "&amp;'Compliance Database'!$M407&amp;" "&amp;'Compliance Database'!$N407&amp;" "&amp;'Compliance Database'!$O407))),OR(Query!$B$10&lt;&gt;"Yes",'Compliance Database'!$F407&lt;&gt;"None")),1,0)</f>
        <v>0</v>
      </c>
      <c r="B407" t="str">
        <f>IF($A407=1,SUM($A$2:$A407),"")</f>
        <v/>
      </c>
      <c r="C407">
        <f>IF($A407=1,SUM($A$2:$A407),0)</f>
        <v>0</v>
      </c>
    </row>
    <row r="408" spans="1:3" x14ac:dyDescent="0.3">
      <c r="A408">
        <f>IF(AND(OR(Query!$B$4="All",'Compliance Database'!$A408=Query!$B$4),OR(Query!$B$5="All",ISNUMBER(SEARCH(Query!$B$5,'Compliance Database'!$H408))),OR(Query!$B$6="All",ISNUMBER(SEARCH(Query!$B$6,'Compliance Database'!$I408))),OR(Query!$B$7="All",'Compliance Database'!$F408=Query!$B$7),OR(Query!$B$8="All",'Compliance Database'!$J408=Query!$B$8),OR(Query!$B$9="",ISNUMBER(SEARCH(Query!$B$9,'Compliance Database'!$D408&amp;" "&amp;'Compliance Database'!$K408&amp;" "&amp;'Compliance Database'!$L408&amp;" "&amp;'Compliance Database'!$M408&amp;" "&amp;'Compliance Database'!$N408&amp;" "&amp;'Compliance Database'!$O408))),OR(Query!$B$10&lt;&gt;"Yes",'Compliance Database'!$F408&lt;&gt;"None")),1,0)</f>
        <v>0</v>
      </c>
      <c r="B408" t="str">
        <f>IF($A408=1,SUM($A$2:$A408),"")</f>
        <v/>
      </c>
      <c r="C408">
        <f>IF($A408=1,SUM($A$2:$A408),0)</f>
        <v>0</v>
      </c>
    </row>
    <row r="409" spans="1:3" x14ac:dyDescent="0.3">
      <c r="A409">
        <f>IF(AND(OR(Query!$B$4="All",'Compliance Database'!$A409=Query!$B$4),OR(Query!$B$5="All",ISNUMBER(SEARCH(Query!$B$5,'Compliance Database'!$H409))),OR(Query!$B$6="All",ISNUMBER(SEARCH(Query!$B$6,'Compliance Database'!$I409))),OR(Query!$B$7="All",'Compliance Database'!$F409=Query!$B$7),OR(Query!$B$8="All",'Compliance Database'!$J409=Query!$B$8),OR(Query!$B$9="",ISNUMBER(SEARCH(Query!$B$9,'Compliance Database'!$D409&amp;" "&amp;'Compliance Database'!$K409&amp;" "&amp;'Compliance Database'!$L409&amp;" "&amp;'Compliance Database'!$M409&amp;" "&amp;'Compliance Database'!$N409&amp;" "&amp;'Compliance Database'!$O409))),OR(Query!$B$10&lt;&gt;"Yes",'Compliance Database'!$F409&lt;&gt;"None")),1,0)</f>
        <v>0</v>
      </c>
      <c r="B409" t="str">
        <f>IF($A409=1,SUM($A$2:$A409),"")</f>
        <v/>
      </c>
      <c r="C409">
        <f>IF($A409=1,SUM($A$2:$A409),0)</f>
        <v>0</v>
      </c>
    </row>
    <row r="410" spans="1:3" x14ac:dyDescent="0.3">
      <c r="A410">
        <f>IF(AND(OR(Query!$B$4="All",'Compliance Database'!$A410=Query!$B$4),OR(Query!$B$5="All",ISNUMBER(SEARCH(Query!$B$5,'Compliance Database'!$H410))),OR(Query!$B$6="All",ISNUMBER(SEARCH(Query!$B$6,'Compliance Database'!$I410))),OR(Query!$B$7="All",'Compliance Database'!$F410=Query!$B$7),OR(Query!$B$8="All",'Compliance Database'!$J410=Query!$B$8),OR(Query!$B$9="",ISNUMBER(SEARCH(Query!$B$9,'Compliance Database'!$D410&amp;" "&amp;'Compliance Database'!$K410&amp;" "&amp;'Compliance Database'!$L410&amp;" "&amp;'Compliance Database'!$M410&amp;" "&amp;'Compliance Database'!$N410&amp;" "&amp;'Compliance Database'!$O410))),OR(Query!$B$10&lt;&gt;"Yes",'Compliance Database'!$F410&lt;&gt;"None")),1,0)</f>
        <v>0</v>
      </c>
      <c r="B410" t="str">
        <f>IF($A410=1,SUM($A$2:$A410),"")</f>
        <v/>
      </c>
      <c r="C410">
        <f>IF($A410=1,SUM($A$2:$A410),0)</f>
        <v>0</v>
      </c>
    </row>
    <row r="411" spans="1:3" x14ac:dyDescent="0.3">
      <c r="A411">
        <f>IF(AND(OR(Query!$B$4="All",'Compliance Database'!$A411=Query!$B$4),OR(Query!$B$5="All",ISNUMBER(SEARCH(Query!$B$5,'Compliance Database'!$H411))),OR(Query!$B$6="All",ISNUMBER(SEARCH(Query!$B$6,'Compliance Database'!$I411))),OR(Query!$B$7="All",'Compliance Database'!$F411=Query!$B$7),OR(Query!$B$8="All",'Compliance Database'!$J411=Query!$B$8),OR(Query!$B$9="",ISNUMBER(SEARCH(Query!$B$9,'Compliance Database'!$D411&amp;" "&amp;'Compliance Database'!$K411&amp;" "&amp;'Compliance Database'!$L411&amp;" "&amp;'Compliance Database'!$M411&amp;" "&amp;'Compliance Database'!$N411&amp;" "&amp;'Compliance Database'!$O411))),OR(Query!$B$10&lt;&gt;"Yes",'Compliance Database'!$F411&lt;&gt;"None")),1,0)</f>
        <v>0</v>
      </c>
      <c r="B411" t="str">
        <f>IF($A411=1,SUM($A$2:$A411),"")</f>
        <v/>
      </c>
      <c r="C411">
        <f>IF($A411=1,SUM($A$2:$A411),0)</f>
        <v>0</v>
      </c>
    </row>
    <row r="412" spans="1:3" x14ac:dyDescent="0.3">
      <c r="A412">
        <f>IF(AND(OR(Query!$B$4="All",'Compliance Database'!$A412=Query!$B$4),OR(Query!$B$5="All",ISNUMBER(SEARCH(Query!$B$5,'Compliance Database'!$H412))),OR(Query!$B$6="All",ISNUMBER(SEARCH(Query!$B$6,'Compliance Database'!$I412))),OR(Query!$B$7="All",'Compliance Database'!$F412=Query!$B$7),OR(Query!$B$8="All",'Compliance Database'!$J412=Query!$B$8),OR(Query!$B$9="",ISNUMBER(SEARCH(Query!$B$9,'Compliance Database'!$D412&amp;" "&amp;'Compliance Database'!$K412&amp;" "&amp;'Compliance Database'!$L412&amp;" "&amp;'Compliance Database'!$M412&amp;" "&amp;'Compliance Database'!$N412&amp;" "&amp;'Compliance Database'!$O412))),OR(Query!$B$10&lt;&gt;"Yes",'Compliance Database'!$F412&lt;&gt;"None")),1,0)</f>
        <v>0</v>
      </c>
      <c r="B412" t="str">
        <f>IF($A412=1,SUM($A$2:$A412),"")</f>
        <v/>
      </c>
      <c r="C412">
        <f>IF($A412=1,SUM($A$2:$A412),0)</f>
        <v>0</v>
      </c>
    </row>
    <row r="413" spans="1:3" x14ac:dyDescent="0.3">
      <c r="A413">
        <f>IF(AND(OR(Query!$B$4="All",'Compliance Database'!$A413=Query!$B$4),OR(Query!$B$5="All",ISNUMBER(SEARCH(Query!$B$5,'Compliance Database'!$H413))),OR(Query!$B$6="All",ISNUMBER(SEARCH(Query!$B$6,'Compliance Database'!$I413))),OR(Query!$B$7="All",'Compliance Database'!$F413=Query!$B$7),OR(Query!$B$8="All",'Compliance Database'!$J413=Query!$B$8),OR(Query!$B$9="",ISNUMBER(SEARCH(Query!$B$9,'Compliance Database'!$D413&amp;" "&amp;'Compliance Database'!$K413&amp;" "&amp;'Compliance Database'!$L413&amp;" "&amp;'Compliance Database'!$M413&amp;" "&amp;'Compliance Database'!$N413&amp;" "&amp;'Compliance Database'!$O413))),OR(Query!$B$10&lt;&gt;"Yes",'Compliance Database'!$F413&lt;&gt;"None")),1,0)</f>
        <v>0</v>
      </c>
      <c r="B413" t="str">
        <f>IF($A413=1,SUM($A$2:$A413),"")</f>
        <v/>
      </c>
      <c r="C413">
        <f>IF($A413=1,SUM($A$2:$A413),0)</f>
        <v>0</v>
      </c>
    </row>
    <row r="414" spans="1:3" x14ac:dyDescent="0.3">
      <c r="A414">
        <f>IF(AND(OR(Query!$B$4="All",'Compliance Database'!$A414=Query!$B$4),OR(Query!$B$5="All",ISNUMBER(SEARCH(Query!$B$5,'Compliance Database'!$H414))),OR(Query!$B$6="All",ISNUMBER(SEARCH(Query!$B$6,'Compliance Database'!$I414))),OR(Query!$B$7="All",'Compliance Database'!$F414=Query!$B$7),OR(Query!$B$8="All",'Compliance Database'!$J414=Query!$B$8),OR(Query!$B$9="",ISNUMBER(SEARCH(Query!$B$9,'Compliance Database'!$D414&amp;" "&amp;'Compliance Database'!$K414&amp;" "&amp;'Compliance Database'!$L414&amp;" "&amp;'Compliance Database'!$M414&amp;" "&amp;'Compliance Database'!$N414&amp;" "&amp;'Compliance Database'!$O414))),OR(Query!$B$10&lt;&gt;"Yes",'Compliance Database'!$F414&lt;&gt;"None")),1,0)</f>
        <v>0</v>
      </c>
      <c r="B414" t="str">
        <f>IF($A414=1,SUM($A$2:$A414),"")</f>
        <v/>
      </c>
      <c r="C414">
        <f>IF($A414=1,SUM($A$2:$A414),0)</f>
        <v>0</v>
      </c>
    </row>
    <row r="415" spans="1:3" x14ac:dyDescent="0.3">
      <c r="A415">
        <f>IF(AND(OR(Query!$B$4="All",'Compliance Database'!$A415=Query!$B$4),OR(Query!$B$5="All",ISNUMBER(SEARCH(Query!$B$5,'Compliance Database'!$H415))),OR(Query!$B$6="All",ISNUMBER(SEARCH(Query!$B$6,'Compliance Database'!$I415))),OR(Query!$B$7="All",'Compliance Database'!$F415=Query!$B$7),OR(Query!$B$8="All",'Compliance Database'!$J415=Query!$B$8),OR(Query!$B$9="",ISNUMBER(SEARCH(Query!$B$9,'Compliance Database'!$D415&amp;" "&amp;'Compliance Database'!$K415&amp;" "&amp;'Compliance Database'!$L415&amp;" "&amp;'Compliance Database'!$M415&amp;" "&amp;'Compliance Database'!$N415&amp;" "&amp;'Compliance Database'!$O415))),OR(Query!$B$10&lt;&gt;"Yes",'Compliance Database'!$F415&lt;&gt;"None")),1,0)</f>
        <v>0</v>
      </c>
      <c r="B415" t="str">
        <f>IF($A415=1,SUM($A$2:$A415),"")</f>
        <v/>
      </c>
      <c r="C415">
        <f>IF($A415=1,SUM($A$2:$A415),0)</f>
        <v>0</v>
      </c>
    </row>
    <row r="416" spans="1:3" x14ac:dyDescent="0.3">
      <c r="A416">
        <f>IF(AND(OR(Query!$B$4="All",'Compliance Database'!$A416=Query!$B$4),OR(Query!$B$5="All",ISNUMBER(SEARCH(Query!$B$5,'Compliance Database'!$H416))),OR(Query!$B$6="All",ISNUMBER(SEARCH(Query!$B$6,'Compliance Database'!$I416))),OR(Query!$B$7="All",'Compliance Database'!$F416=Query!$B$7),OR(Query!$B$8="All",'Compliance Database'!$J416=Query!$B$8),OR(Query!$B$9="",ISNUMBER(SEARCH(Query!$B$9,'Compliance Database'!$D416&amp;" "&amp;'Compliance Database'!$K416&amp;" "&amp;'Compliance Database'!$L416&amp;" "&amp;'Compliance Database'!$M416&amp;" "&amp;'Compliance Database'!$N416&amp;" "&amp;'Compliance Database'!$O416))),OR(Query!$B$10&lt;&gt;"Yes",'Compliance Database'!$F416&lt;&gt;"None")),1,0)</f>
        <v>0</v>
      </c>
      <c r="B416" t="str">
        <f>IF($A416=1,SUM($A$2:$A416),"")</f>
        <v/>
      </c>
      <c r="C416">
        <f>IF($A416=1,SUM($A$2:$A416),0)</f>
        <v>0</v>
      </c>
    </row>
    <row r="417" spans="1:3" x14ac:dyDescent="0.3">
      <c r="A417">
        <f>IF(AND(OR(Query!$B$4="All",'Compliance Database'!$A417=Query!$B$4),OR(Query!$B$5="All",ISNUMBER(SEARCH(Query!$B$5,'Compliance Database'!$H417))),OR(Query!$B$6="All",ISNUMBER(SEARCH(Query!$B$6,'Compliance Database'!$I417))),OR(Query!$B$7="All",'Compliance Database'!$F417=Query!$B$7),OR(Query!$B$8="All",'Compliance Database'!$J417=Query!$B$8),OR(Query!$B$9="",ISNUMBER(SEARCH(Query!$B$9,'Compliance Database'!$D417&amp;" "&amp;'Compliance Database'!$K417&amp;" "&amp;'Compliance Database'!$L417&amp;" "&amp;'Compliance Database'!$M417&amp;" "&amp;'Compliance Database'!$N417&amp;" "&amp;'Compliance Database'!$O417))),OR(Query!$B$10&lt;&gt;"Yes",'Compliance Database'!$F417&lt;&gt;"None")),1,0)</f>
        <v>0</v>
      </c>
      <c r="B417" t="str">
        <f>IF($A417=1,SUM($A$2:$A417),"")</f>
        <v/>
      </c>
      <c r="C417">
        <f>IF($A417=1,SUM($A$2:$A417),0)</f>
        <v>0</v>
      </c>
    </row>
    <row r="418" spans="1:3" x14ac:dyDescent="0.3">
      <c r="A418">
        <f>IF(AND(OR(Query!$B$4="All",'Compliance Database'!$A418=Query!$B$4),OR(Query!$B$5="All",ISNUMBER(SEARCH(Query!$B$5,'Compliance Database'!$H418))),OR(Query!$B$6="All",ISNUMBER(SEARCH(Query!$B$6,'Compliance Database'!$I418))),OR(Query!$B$7="All",'Compliance Database'!$F418=Query!$B$7),OR(Query!$B$8="All",'Compliance Database'!$J418=Query!$B$8),OR(Query!$B$9="",ISNUMBER(SEARCH(Query!$B$9,'Compliance Database'!$D418&amp;" "&amp;'Compliance Database'!$K418&amp;" "&amp;'Compliance Database'!$L418&amp;" "&amp;'Compliance Database'!$M418&amp;" "&amp;'Compliance Database'!$N418&amp;" "&amp;'Compliance Database'!$O418))),OR(Query!$B$10&lt;&gt;"Yes",'Compliance Database'!$F418&lt;&gt;"None")),1,0)</f>
        <v>0</v>
      </c>
      <c r="B418" t="str">
        <f>IF($A418=1,SUM($A$2:$A418),"")</f>
        <v/>
      </c>
      <c r="C418">
        <f>IF($A418=1,SUM($A$2:$A418),0)</f>
        <v>0</v>
      </c>
    </row>
    <row r="419" spans="1:3" x14ac:dyDescent="0.3">
      <c r="A419">
        <f>IF(AND(OR(Query!$B$4="All",'Compliance Database'!$A419=Query!$B$4),OR(Query!$B$5="All",ISNUMBER(SEARCH(Query!$B$5,'Compliance Database'!$H419))),OR(Query!$B$6="All",ISNUMBER(SEARCH(Query!$B$6,'Compliance Database'!$I419))),OR(Query!$B$7="All",'Compliance Database'!$F419=Query!$B$7),OR(Query!$B$8="All",'Compliance Database'!$J419=Query!$B$8),OR(Query!$B$9="",ISNUMBER(SEARCH(Query!$B$9,'Compliance Database'!$D419&amp;" "&amp;'Compliance Database'!$K419&amp;" "&amp;'Compliance Database'!$L419&amp;" "&amp;'Compliance Database'!$M419&amp;" "&amp;'Compliance Database'!$N419&amp;" "&amp;'Compliance Database'!$O419))),OR(Query!$B$10&lt;&gt;"Yes",'Compliance Database'!$F419&lt;&gt;"None")),1,0)</f>
        <v>0</v>
      </c>
      <c r="B419" t="str">
        <f>IF($A419=1,SUM($A$2:$A419),"")</f>
        <v/>
      </c>
      <c r="C419">
        <f>IF($A419=1,SUM($A$2:$A419),0)</f>
        <v>0</v>
      </c>
    </row>
    <row r="420" spans="1:3" x14ac:dyDescent="0.3">
      <c r="A420">
        <f>IF(AND(OR(Query!$B$4="All",'Compliance Database'!$A420=Query!$B$4),OR(Query!$B$5="All",ISNUMBER(SEARCH(Query!$B$5,'Compliance Database'!$H420))),OR(Query!$B$6="All",ISNUMBER(SEARCH(Query!$B$6,'Compliance Database'!$I420))),OR(Query!$B$7="All",'Compliance Database'!$F420=Query!$B$7),OR(Query!$B$8="All",'Compliance Database'!$J420=Query!$B$8),OR(Query!$B$9="",ISNUMBER(SEARCH(Query!$B$9,'Compliance Database'!$D420&amp;" "&amp;'Compliance Database'!$K420&amp;" "&amp;'Compliance Database'!$L420&amp;" "&amp;'Compliance Database'!$M420&amp;" "&amp;'Compliance Database'!$N420&amp;" "&amp;'Compliance Database'!$O420))),OR(Query!$B$10&lt;&gt;"Yes",'Compliance Database'!$F420&lt;&gt;"None")),1,0)</f>
        <v>0</v>
      </c>
      <c r="B420" t="str">
        <f>IF($A420=1,SUM($A$2:$A420),"")</f>
        <v/>
      </c>
      <c r="C420">
        <f>IF($A420=1,SUM($A$2:$A420),0)</f>
        <v>0</v>
      </c>
    </row>
    <row r="421" spans="1:3" x14ac:dyDescent="0.3">
      <c r="A421">
        <f>IF(AND(OR(Query!$B$4="All",'Compliance Database'!$A421=Query!$B$4),OR(Query!$B$5="All",ISNUMBER(SEARCH(Query!$B$5,'Compliance Database'!$H421))),OR(Query!$B$6="All",ISNUMBER(SEARCH(Query!$B$6,'Compliance Database'!$I421))),OR(Query!$B$7="All",'Compliance Database'!$F421=Query!$B$7),OR(Query!$B$8="All",'Compliance Database'!$J421=Query!$B$8),OR(Query!$B$9="",ISNUMBER(SEARCH(Query!$B$9,'Compliance Database'!$D421&amp;" "&amp;'Compliance Database'!$K421&amp;" "&amp;'Compliance Database'!$L421&amp;" "&amp;'Compliance Database'!$M421&amp;" "&amp;'Compliance Database'!$N421&amp;" "&amp;'Compliance Database'!$O421))),OR(Query!$B$10&lt;&gt;"Yes",'Compliance Database'!$F421&lt;&gt;"None")),1,0)</f>
        <v>0</v>
      </c>
      <c r="B421" t="str">
        <f>IF($A421=1,SUM($A$2:$A421),"")</f>
        <v/>
      </c>
      <c r="C421">
        <f>IF($A421=1,SUM($A$2:$A421),0)</f>
        <v>0</v>
      </c>
    </row>
    <row r="422" spans="1:3" x14ac:dyDescent="0.3">
      <c r="A422">
        <f>IF(AND(OR(Query!$B$4="All",'Compliance Database'!$A422=Query!$B$4),OR(Query!$B$5="All",ISNUMBER(SEARCH(Query!$B$5,'Compliance Database'!$H422))),OR(Query!$B$6="All",ISNUMBER(SEARCH(Query!$B$6,'Compliance Database'!$I422))),OR(Query!$B$7="All",'Compliance Database'!$F422=Query!$B$7),OR(Query!$B$8="All",'Compliance Database'!$J422=Query!$B$8),OR(Query!$B$9="",ISNUMBER(SEARCH(Query!$B$9,'Compliance Database'!$D422&amp;" "&amp;'Compliance Database'!$K422&amp;" "&amp;'Compliance Database'!$L422&amp;" "&amp;'Compliance Database'!$M422&amp;" "&amp;'Compliance Database'!$N422&amp;" "&amp;'Compliance Database'!$O422))),OR(Query!$B$10&lt;&gt;"Yes",'Compliance Database'!$F422&lt;&gt;"None")),1,0)</f>
        <v>0</v>
      </c>
      <c r="B422" t="str">
        <f>IF($A422=1,SUM($A$2:$A422),"")</f>
        <v/>
      </c>
      <c r="C422">
        <f>IF($A422=1,SUM($A$2:$A422),0)</f>
        <v>0</v>
      </c>
    </row>
    <row r="423" spans="1:3" x14ac:dyDescent="0.3">
      <c r="A423">
        <f>IF(AND(OR(Query!$B$4="All",'Compliance Database'!$A423=Query!$B$4),OR(Query!$B$5="All",ISNUMBER(SEARCH(Query!$B$5,'Compliance Database'!$H423))),OR(Query!$B$6="All",ISNUMBER(SEARCH(Query!$B$6,'Compliance Database'!$I423))),OR(Query!$B$7="All",'Compliance Database'!$F423=Query!$B$7),OR(Query!$B$8="All",'Compliance Database'!$J423=Query!$B$8),OR(Query!$B$9="",ISNUMBER(SEARCH(Query!$B$9,'Compliance Database'!$D423&amp;" "&amp;'Compliance Database'!$K423&amp;" "&amp;'Compliance Database'!$L423&amp;" "&amp;'Compliance Database'!$M423&amp;" "&amp;'Compliance Database'!$N423&amp;" "&amp;'Compliance Database'!$O423))),OR(Query!$B$10&lt;&gt;"Yes",'Compliance Database'!$F423&lt;&gt;"None")),1,0)</f>
        <v>0</v>
      </c>
      <c r="B423" t="str">
        <f>IF($A423=1,SUM($A$2:$A423),"")</f>
        <v/>
      </c>
      <c r="C423">
        <f>IF($A423=1,SUM($A$2:$A423),0)</f>
        <v>0</v>
      </c>
    </row>
    <row r="424" spans="1:3" x14ac:dyDescent="0.3">
      <c r="A424">
        <f>IF(AND(OR(Query!$B$4="All",'Compliance Database'!$A424=Query!$B$4),OR(Query!$B$5="All",ISNUMBER(SEARCH(Query!$B$5,'Compliance Database'!$H424))),OR(Query!$B$6="All",ISNUMBER(SEARCH(Query!$B$6,'Compliance Database'!$I424))),OR(Query!$B$7="All",'Compliance Database'!$F424=Query!$B$7),OR(Query!$B$8="All",'Compliance Database'!$J424=Query!$B$8),OR(Query!$B$9="",ISNUMBER(SEARCH(Query!$B$9,'Compliance Database'!$D424&amp;" "&amp;'Compliance Database'!$K424&amp;" "&amp;'Compliance Database'!$L424&amp;" "&amp;'Compliance Database'!$M424&amp;" "&amp;'Compliance Database'!$N424&amp;" "&amp;'Compliance Database'!$O424))),OR(Query!$B$10&lt;&gt;"Yes",'Compliance Database'!$F424&lt;&gt;"None")),1,0)</f>
        <v>0</v>
      </c>
      <c r="B424" t="str">
        <f>IF($A424=1,SUM($A$2:$A424),"")</f>
        <v/>
      </c>
      <c r="C424">
        <f>IF($A424=1,SUM($A$2:$A424),0)</f>
        <v>0</v>
      </c>
    </row>
    <row r="425" spans="1:3" x14ac:dyDescent="0.3">
      <c r="A425">
        <f>IF(AND(OR(Query!$B$4="All",'Compliance Database'!$A425=Query!$B$4),OR(Query!$B$5="All",ISNUMBER(SEARCH(Query!$B$5,'Compliance Database'!$H425))),OR(Query!$B$6="All",ISNUMBER(SEARCH(Query!$B$6,'Compliance Database'!$I425))),OR(Query!$B$7="All",'Compliance Database'!$F425=Query!$B$7),OR(Query!$B$8="All",'Compliance Database'!$J425=Query!$B$8),OR(Query!$B$9="",ISNUMBER(SEARCH(Query!$B$9,'Compliance Database'!$D425&amp;" "&amp;'Compliance Database'!$K425&amp;" "&amp;'Compliance Database'!$L425&amp;" "&amp;'Compliance Database'!$M425&amp;" "&amp;'Compliance Database'!$N425&amp;" "&amp;'Compliance Database'!$O425))),OR(Query!$B$10&lt;&gt;"Yes",'Compliance Database'!$F425&lt;&gt;"None")),1,0)</f>
        <v>0</v>
      </c>
      <c r="B425" t="str">
        <f>IF($A425=1,SUM($A$2:$A425),"")</f>
        <v/>
      </c>
      <c r="C425">
        <f>IF($A425=1,SUM($A$2:$A425),0)</f>
        <v>0</v>
      </c>
    </row>
    <row r="426" spans="1:3" x14ac:dyDescent="0.3">
      <c r="A426">
        <f>IF(AND(OR(Query!$B$4="All",'Compliance Database'!$A426=Query!$B$4),OR(Query!$B$5="All",ISNUMBER(SEARCH(Query!$B$5,'Compliance Database'!$H426))),OR(Query!$B$6="All",ISNUMBER(SEARCH(Query!$B$6,'Compliance Database'!$I426))),OR(Query!$B$7="All",'Compliance Database'!$F426=Query!$B$7),OR(Query!$B$8="All",'Compliance Database'!$J426=Query!$B$8),OR(Query!$B$9="",ISNUMBER(SEARCH(Query!$B$9,'Compliance Database'!$D426&amp;" "&amp;'Compliance Database'!$K426&amp;" "&amp;'Compliance Database'!$L426&amp;" "&amp;'Compliance Database'!$M426&amp;" "&amp;'Compliance Database'!$N426&amp;" "&amp;'Compliance Database'!$O426))),OR(Query!$B$10&lt;&gt;"Yes",'Compliance Database'!$F426&lt;&gt;"None")),1,0)</f>
        <v>0</v>
      </c>
      <c r="B426" t="str">
        <f>IF($A426=1,SUM($A$2:$A426),"")</f>
        <v/>
      </c>
      <c r="C426">
        <f>IF($A426=1,SUM($A$2:$A426),0)</f>
        <v>0</v>
      </c>
    </row>
    <row r="427" spans="1:3" x14ac:dyDescent="0.3">
      <c r="A427">
        <f>IF(AND(OR(Query!$B$4="All",'Compliance Database'!$A427=Query!$B$4),OR(Query!$B$5="All",ISNUMBER(SEARCH(Query!$B$5,'Compliance Database'!$H427))),OR(Query!$B$6="All",ISNUMBER(SEARCH(Query!$B$6,'Compliance Database'!$I427))),OR(Query!$B$7="All",'Compliance Database'!$F427=Query!$B$7),OR(Query!$B$8="All",'Compliance Database'!$J427=Query!$B$8),OR(Query!$B$9="",ISNUMBER(SEARCH(Query!$B$9,'Compliance Database'!$D427&amp;" "&amp;'Compliance Database'!$K427&amp;" "&amp;'Compliance Database'!$L427&amp;" "&amp;'Compliance Database'!$M427&amp;" "&amp;'Compliance Database'!$N427&amp;" "&amp;'Compliance Database'!$O427))),OR(Query!$B$10&lt;&gt;"Yes",'Compliance Database'!$F427&lt;&gt;"None")),1,0)</f>
        <v>0</v>
      </c>
      <c r="B427" t="str">
        <f>IF($A427=1,SUM($A$2:$A427),"")</f>
        <v/>
      </c>
      <c r="C427">
        <f>IF($A427=1,SUM($A$2:$A427),0)</f>
        <v>0</v>
      </c>
    </row>
    <row r="428" spans="1:3" x14ac:dyDescent="0.3">
      <c r="A428">
        <f>IF(AND(OR(Query!$B$4="All",'Compliance Database'!$A428=Query!$B$4),OR(Query!$B$5="All",ISNUMBER(SEARCH(Query!$B$5,'Compliance Database'!$H428))),OR(Query!$B$6="All",ISNUMBER(SEARCH(Query!$B$6,'Compliance Database'!$I428))),OR(Query!$B$7="All",'Compliance Database'!$F428=Query!$B$7),OR(Query!$B$8="All",'Compliance Database'!$J428=Query!$B$8),OR(Query!$B$9="",ISNUMBER(SEARCH(Query!$B$9,'Compliance Database'!$D428&amp;" "&amp;'Compliance Database'!$K428&amp;" "&amp;'Compliance Database'!$L428&amp;" "&amp;'Compliance Database'!$M428&amp;" "&amp;'Compliance Database'!$N428&amp;" "&amp;'Compliance Database'!$O428))),OR(Query!$B$10&lt;&gt;"Yes",'Compliance Database'!$F428&lt;&gt;"None")),1,0)</f>
        <v>0</v>
      </c>
      <c r="B428" t="str">
        <f>IF($A428=1,SUM($A$2:$A428),"")</f>
        <v/>
      </c>
      <c r="C428">
        <f>IF($A428=1,SUM($A$2:$A428),0)</f>
        <v>0</v>
      </c>
    </row>
    <row r="429" spans="1:3" x14ac:dyDescent="0.3">
      <c r="A429">
        <f>IF(AND(OR(Query!$B$4="All",'Compliance Database'!$A429=Query!$B$4),OR(Query!$B$5="All",ISNUMBER(SEARCH(Query!$B$5,'Compliance Database'!$H429))),OR(Query!$B$6="All",ISNUMBER(SEARCH(Query!$B$6,'Compliance Database'!$I429))),OR(Query!$B$7="All",'Compliance Database'!$F429=Query!$B$7),OR(Query!$B$8="All",'Compliance Database'!$J429=Query!$B$8),OR(Query!$B$9="",ISNUMBER(SEARCH(Query!$B$9,'Compliance Database'!$D429&amp;" "&amp;'Compliance Database'!$K429&amp;" "&amp;'Compliance Database'!$L429&amp;" "&amp;'Compliance Database'!$M429&amp;" "&amp;'Compliance Database'!$N429&amp;" "&amp;'Compliance Database'!$O429))),OR(Query!$B$10&lt;&gt;"Yes",'Compliance Database'!$F429&lt;&gt;"None")),1,0)</f>
        <v>0</v>
      </c>
      <c r="B429" t="str">
        <f>IF($A429=1,SUM($A$2:$A429),"")</f>
        <v/>
      </c>
      <c r="C429">
        <f>IF($A429=1,SUM($A$2:$A429),0)</f>
        <v>0</v>
      </c>
    </row>
    <row r="430" spans="1:3" x14ac:dyDescent="0.3">
      <c r="A430">
        <f>IF(AND(OR(Query!$B$4="All",'Compliance Database'!$A430=Query!$B$4),OR(Query!$B$5="All",ISNUMBER(SEARCH(Query!$B$5,'Compliance Database'!$H430))),OR(Query!$B$6="All",ISNUMBER(SEARCH(Query!$B$6,'Compliance Database'!$I430))),OR(Query!$B$7="All",'Compliance Database'!$F430=Query!$B$7),OR(Query!$B$8="All",'Compliance Database'!$J430=Query!$B$8),OR(Query!$B$9="",ISNUMBER(SEARCH(Query!$B$9,'Compliance Database'!$D430&amp;" "&amp;'Compliance Database'!$K430&amp;" "&amp;'Compliance Database'!$L430&amp;" "&amp;'Compliance Database'!$M430&amp;" "&amp;'Compliance Database'!$N430&amp;" "&amp;'Compliance Database'!$O430))),OR(Query!$B$10&lt;&gt;"Yes",'Compliance Database'!$F430&lt;&gt;"None")),1,0)</f>
        <v>0</v>
      </c>
      <c r="B430" t="str">
        <f>IF($A430=1,SUM($A$2:$A430),"")</f>
        <v/>
      </c>
      <c r="C430">
        <f>IF($A430=1,SUM($A$2:$A430),0)</f>
        <v>0</v>
      </c>
    </row>
    <row r="431" spans="1:3" x14ac:dyDescent="0.3">
      <c r="A431">
        <f>IF(AND(OR(Query!$B$4="All",'Compliance Database'!$A431=Query!$B$4),OR(Query!$B$5="All",ISNUMBER(SEARCH(Query!$B$5,'Compliance Database'!$H431))),OR(Query!$B$6="All",ISNUMBER(SEARCH(Query!$B$6,'Compliance Database'!$I431))),OR(Query!$B$7="All",'Compliance Database'!$F431=Query!$B$7),OR(Query!$B$8="All",'Compliance Database'!$J431=Query!$B$8),OR(Query!$B$9="",ISNUMBER(SEARCH(Query!$B$9,'Compliance Database'!$D431&amp;" "&amp;'Compliance Database'!$K431&amp;" "&amp;'Compliance Database'!$L431&amp;" "&amp;'Compliance Database'!$M431&amp;" "&amp;'Compliance Database'!$N431&amp;" "&amp;'Compliance Database'!$O431))),OR(Query!$B$10&lt;&gt;"Yes",'Compliance Database'!$F431&lt;&gt;"None")),1,0)</f>
        <v>0</v>
      </c>
      <c r="B431" t="str">
        <f>IF($A431=1,SUM($A$2:$A431),"")</f>
        <v/>
      </c>
      <c r="C431">
        <f>IF($A431=1,SUM($A$2:$A431),0)</f>
        <v>0</v>
      </c>
    </row>
    <row r="432" spans="1:3" x14ac:dyDescent="0.3">
      <c r="A432">
        <f>IF(AND(OR(Query!$B$4="All",'Compliance Database'!$A432=Query!$B$4),OR(Query!$B$5="All",ISNUMBER(SEARCH(Query!$B$5,'Compliance Database'!$H432))),OR(Query!$B$6="All",ISNUMBER(SEARCH(Query!$B$6,'Compliance Database'!$I432))),OR(Query!$B$7="All",'Compliance Database'!$F432=Query!$B$7),OR(Query!$B$8="All",'Compliance Database'!$J432=Query!$B$8),OR(Query!$B$9="",ISNUMBER(SEARCH(Query!$B$9,'Compliance Database'!$D432&amp;" "&amp;'Compliance Database'!$K432&amp;" "&amp;'Compliance Database'!$L432&amp;" "&amp;'Compliance Database'!$M432&amp;" "&amp;'Compliance Database'!$N432&amp;" "&amp;'Compliance Database'!$O432))),OR(Query!$B$10&lt;&gt;"Yes",'Compliance Database'!$F432&lt;&gt;"None")),1,0)</f>
        <v>0</v>
      </c>
      <c r="B432" t="str">
        <f>IF($A432=1,SUM($A$2:$A432),"")</f>
        <v/>
      </c>
      <c r="C432">
        <f>IF($A432=1,SUM($A$2:$A432),0)</f>
        <v>0</v>
      </c>
    </row>
    <row r="433" spans="1:3" x14ac:dyDescent="0.3">
      <c r="A433">
        <f>IF(AND(OR(Query!$B$4="All",'Compliance Database'!$A433=Query!$B$4),OR(Query!$B$5="All",ISNUMBER(SEARCH(Query!$B$5,'Compliance Database'!$H433))),OR(Query!$B$6="All",ISNUMBER(SEARCH(Query!$B$6,'Compliance Database'!$I433))),OR(Query!$B$7="All",'Compliance Database'!$F433=Query!$B$7),OR(Query!$B$8="All",'Compliance Database'!$J433=Query!$B$8),OR(Query!$B$9="",ISNUMBER(SEARCH(Query!$B$9,'Compliance Database'!$D433&amp;" "&amp;'Compliance Database'!$K433&amp;" "&amp;'Compliance Database'!$L433&amp;" "&amp;'Compliance Database'!$M433&amp;" "&amp;'Compliance Database'!$N433&amp;" "&amp;'Compliance Database'!$O433))),OR(Query!$B$10&lt;&gt;"Yes",'Compliance Database'!$F433&lt;&gt;"None")),1,0)</f>
        <v>0</v>
      </c>
      <c r="B433" t="str">
        <f>IF($A433=1,SUM($A$2:$A433),"")</f>
        <v/>
      </c>
      <c r="C433">
        <f>IF($A433=1,SUM($A$2:$A433),0)</f>
        <v>0</v>
      </c>
    </row>
    <row r="434" spans="1:3" x14ac:dyDescent="0.3">
      <c r="A434">
        <f>IF(AND(OR(Query!$B$4="All",'Compliance Database'!$A434=Query!$B$4),OR(Query!$B$5="All",ISNUMBER(SEARCH(Query!$B$5,'Compliance Database'!$H434))),OR(Query!$B$6="All",ISNUMBER(SEARCH(Query!$B$6,'Compliance Database'!$I434))),OR(Query!$B$7="All",'Compliance Database'!$F434=Query!$B$7),OR(Query!$B$8="All",'Compliance Database'!$J434=Query!$B$8),OR(Query!$B$9="",ISNUMBER(SEARCH(Query!$B$9,'Compliance Database'!$D434&amp;" "&amp;'Compliance Database'!$K434&amp;" "&amp;'Compliance Database'!$L434&amp;" "&amp;'Compliance Database'!$M434&amp;" "&amp;'Compliance Database'!$N434&amp;" "&amp;'Compliance Database'!$O434))),OR(Query!$B$10&lt;&gt;"Yes",'Compliance Database'!$F434&lt;&gt;"None")),1,0)</f>
        <v>0</v>
      </c>
      <c r="B434" t="str">
        <f>IF($A434=1,SUM($A$2:$A434),"")</f>
        <v/>
      </c>
      <c r="C434">
        <f>IF($A434=1,SUM($A$2:$A434),0)</f>
        <v>0</v>
      </c>
    </row>
    <row r="435" spans="1:3" x14ac:dyDescent="0.3">
      <c r="A435">
        <f>IF(AND(OR(Query!$B$4="All",'Compliance Database'!$A435=Query!$B$4),OR(Query!$B$5="All",ISNUMBER(SEARCH(Query!$B$5,'Compliance Database'!$H435))),OR(Query!$B$6="All",ISNUMBER(SEARCH(Query!$B$6,'Compliance Database'!$I435))),OR(Query!$B$7="All",'Compliance Database'!$F435=Query!$B$7),OR(Query!$B$8="All",'Compliance Database'!$J435=Query!$B$8),OR(Query!$B$9="",ISNUMBER(SEARCH(Query!$B$9,'Compliance Database'!$D435&amp;" "&amp;'Compliance Database'!$K435&amp;" "&amp;'Compliance Database'!$L435&amp;" "&amp;'Compliance Database'!$M435&amp;" "&amp;'Compliance Database'!$N435&amp;" "&amp;'Compliance Database'!$O435))),OR(Query!$B$10&lt;&gt;"Yes",'Compliance Database'!$F435&lt;&gt;"None")),1,0)</f>
        <v>0</v>
      </c>
      <c r="B435" t="str">
        <f>IF($A435=1,SUM($A$2:$A435),"")</f>
        <v/>
      </c>
      <c r="C435">
        <f>IF($A435=1,SUM($A$2:$A435),0)</f>
        <v>0</v>
      </c>
    </row>
    <row r="436" spans="1:3" x14ac:dyDescent="0.3">
      <c r="A436">
        <f>IF(AND(OR(Query!$B$4="All",'Compliance Database'!$A436=Query!$B$4),OR(Query!$B$5="All",ISNUMBER(SEARCH(Query!$B$5,'Compliance Database'!$H436))),OR(Query!$B$6="All",ISNUMBER(SEARCH(Query!$B$6,'Compliance Database'!$I436))),OR(Query!$B$7="All",'Compliance Database'!$F436=Query!$B$7),OR(Query!$B$8="All",'Compliance Database'!$J436=Query!$B$8),OR(Query!$B$9="",ISNUMBER(SEARCH(Query!$B$9,'Compliance Database'!$D436&amp;" "&amp;'Compliance Database'!$K436&amp;" "&amp;'Compliance Database'!$L436&amp;" "&amp;'Compliance Database'!$M436&amp;" "&amp;'Compliance Database'!$N436&amp;" "&amp;'Compliance Database'!$O436))),OR(Query!$B$10&lt;&gt;"Yes",'Compliance Database'!$F436&lt;&gt;"None")),1,0)</f>
        <v>0</v>
      </c>
      <c r="B436" t="str">
        <f>IF($A436=1,SUM($A$2:$A436),"")</f>
        <v/>
      </c>
      <c r="C436">
        <f>IF($A436=1,SUM($A$2:$A436),0)</f>
        <v>0</v>
      </c>
    </row>
    <row r="437" spans="1:3" x14ac:dyDescent="0.3">
      <c r="A437">
        <f>IF(AND(OR(Query!$B$4="All",'Compliance Database'!$A437=Query!$B$4),OR(Query!$B$5="All",ISNUMBER(SEARCH(Query!$B$5,'Compliance Database'!$H437))),OR(Query!$B$6="All",ISNUMBER(SEARCH(Query!$B$6,'Compliance Database'!$I437))),OR(Query!$B$7="All",'Compliance Database'!$F437=Query!$B$7),OR(Query!$B$8="All",'Compliance Database'!$J437=Query!$B$8),OR(Query!$B$9="",ISNUMBER(SEARCH(Query!$B$9,'Compliance Database'!$D437&amp;" "&amp;'Compliance Database'!$K437&amp;" "&amp;'Compliance Database'!$L437&amp;" "&amp;'Compliance Database'!$M437&amp;" "&amp;'Compliance Database'!$N437&amp;" "&amp;'Compliance Database'!$O437))),OR(Query!$B$10&lt;&gt;"Yes",'Compliance Database'!$F437&lt;&gt;"None")),1,0)</f>
        <v>0</v>
      </c>
      <c r="B437" t="str">
        <f>IF($A437=1,SUM($A$2:$A437),"")</f>
        <v/>
      </c>
      <c r="C437">
        <f>IF($A437=1,SUM($A$2:$A437),0)</f>
        <v>0</v>
      </c>
    </row>
    <row r="438" spans="1:3" x14ac:dyDescent="0.3">
      <c r="A438">
        <f>IF(AND(OR(Query!$B$4="All",'Compliance Database'!$A438=Query!$B$4),OR(Query!$B$5="All",ISNUMBER(SEARCH(Query!$B$5,'Compliance Database'!$H438))),OR(Query!$B$6="All",ISNUMBER(SEARCH(Query!$B$6,'Compliance Database'!$I438))),OR(Query!$B$7="All",'Compliance Database'!$F438=Query!$B$7),OR(Query!$B$8="All",'Compliance Database'!$J438=Query!$B$8),OR(Query!$B$9="",ISNUMBER(SEARCH(Query!$B$9,'Compliance Database'!$D438&amp;" "&amp;'Compliance Database'!$K438&amp;" "&amp;'Compliance Database'!$L438&amp;" "&amp;'Compliance Database'!$M438&amp;" "&amp;'Compliance Database'!$N438&amp;" "&amp;'Compliance Database'!$O438))),OR(Query!$B$10&lt;&gt;"Yes",'Compliance Database'!$F438&lt;&gt;"None")),1,0)</f>
        <v>0</v>
      </c>
      <c r="B438" t="str">
        <f>IF($A438=1,SUM($A$2:$A438),"")</f>
        <v/>
      </c>
      <c r="C438">
        <f>IF($A438=1,SUM($A$2:$A438),0)</f>
        <v>0</v>
      </c>
    </row>
    <row r="439" spans="1:3" x14ac:dyDescent="0.3">
      <c r="A439">
        <f>IF(AND(OR(Query!$B$4="All",'Compliance Database'!$A439=Query!$B$4),OR(Query!$B$5="All",ISNUMBER(SEARCH(Query!$B$5,'Compliance Database'!$H439))),OR(Query!$B$6="All",ISNUMBER(SEARCH(Query!$B$6,'Compliance Database'!$I439))),OR(Query!$B$7="All",'Compliance Database'!$F439=Query!$B$7),OR(Query!$B$8="All",'Compliance Database'!$J439=Query!$B$8),OR(Query!$B$9="",ISNUMBER(SEARCH(Query!$B$9,'Compliance Database'!$D439&amp;" "&amp;'Compliance Database'!$K439&amp;" "&amp;'Compliance Database'!$L439&amp;" "&amp;'Compliance Database'!$M439&amp;" "&amp;'Compliance Database'!$N439&amp;" "&amp;'Compliance Database'!$O439))),OR(Query!$B$10&lt;&gt;"Yes",'Compliance Database'!$F439&lt;&gt;"None")),1,0)</f>
        <v>0</v>
      </c>
      <c r="B439" t="str">
        <f>IF($A439=1,SUM($A$2:$A439),"")</f>
        <v/>
      </c>
      <c r="C439">
        <f>IF($A439=1,SUM($A$2:$A439),0)</f>
        <v>0</v>
      </c>
    </row>
    <row r="440" spans="1:3" x14ac:dyDescent="0.3">
      <c r="A440">
        <f>IF(AND(OR(Query!$B$4="All",'Compliance Database'!$A440=Query!$B$4),OR(Query!$B$5="All",ISNUMBER(SEARCH(Query!$B$5,'Compliance Database'!$H440))),OR(Query!$B$6="All",ISNUMBER(SEARCH(Query!$B$6,'Compliance Database'!$I440))),OR(Query!$B$7="All",'Compliance Database'!$F440=Query!$B$7),OR(Query!$B$8="All",'Compliance Database'!$J440=Query!$B$8),OR(Query!$B$9="",ISNUMBER(SEARCH(Query!$B$9,'Compliance Database'!$D440&amp;" "&amp;'Compliance Database'!$K440&amp;" "&amp;'Compliance Database'!$L440&amp;" "&amp;'Compliance Database'!$M440&amp;" "&amp;'Compliance Database'!$N440&amp;" "&amp;'Compliance Database'!$O440))),OR(Query!$B$10&lt;&gt;"Yes",'Compliance Database'!$F440&lt;&gt;"None")),1,0)</f>
        <v>0</v>
      </c>
      <c r="B440" t="str">
        <f>IF($A440=1,SUM($A$2:$A440),"")</f>
        <v/>
      </c>
      <c r="C440">
        <f>IF($A440=1,SUM($A$2:$A440),0)</f>
        <v>0</v>
      </c>
    </row>
    <row r="441" spans="1:3" x14ac:dyDescent="0.3">
      <c r="A441">
        <f>IF(AND(OR(Query!$B$4="All",'Compliance Database'!$A441=Query!$B$4),OR(Query!$B$5="All",ISNUMBER(SEARCH(Query!$B$5,'Compliance Database'!$H441))),OR(Query!$B$6="All",ISNUMBER(SEARCH(Query!$B$6,'Compliance Database'!$I441))),OR(Query!$B$7="All",'Compliance Database'!$F441=Query!$B$7),OR(Query!$B$8="All",'Compliance Database'!$J441=Query!$B$8),OR(Query!$B$9="",ISNUMBER(SEARCH(Query!$B$9,'Compliance Database'!$D441&amp;" "&amp;'Compliance Database'!$K441&amp;" "&amp;'Compliance Database'!$L441&amp;" "&amp;'Compliance Database'!$M441&amp;" "&amp;'Compliance Database'!$N441&amp;" "&amp;'Compliance Database'!$O441))),OR(Query!$B$10&lt;&gt;"Yes",'Compliance Database'!$F441&lt;&gt;"None")),1,0)</f>
        <v>0</v>
      </c>
      <c r="B441" t="str">
        <f>IF($A441=1,SUM($A$2:$A441),"")</f>
        <v/>
      </c>
      <c r="C441">
        <f>IF($A441=1,SUM($A$2:$A441),0)</f>
        <v>0</v>
      </c>
    </row>
    <row r="442" spans="1:3" x14ac:dyDescent="0.3">
      <c r="A442">
        <f>IF(AND(OR(Query!$B$4="All",'Compliance Database'!$A442=Query!$B$4),OR(Query!$B$5="All",ISNUMBER(SEARCH(Query!$B$5,'Compliance Database'!$H442))),OR(Query!$B$6="All",ISNUMBER(SEARCH(Query!$B$6,'Compliance Database'!$I442))),OR(Query!$B$7="All",'Compliance Database'!$F442=Query!$B$7),OR(Query!$B$8="All",'Compliance Database'!$J442=Query!$B$8),OR(Query!$B$9="",ISNUMBER(SEARCH(Query!$B$9,'Compliance Database'!$D442&amp;" "&amp;'Compliance Database'!$K442&amp;" "&amp;'Compliance Database'!$L442&amp;" "&amp;'Compliance Database'!$M442&amp;" "&amp;'Compliance Database'!$N442&amp;" "&amp;'Compliance Database'!$O442))),OR(Query!$B$10&lt;&gt;"Yes",'Compliance Database'!$F442&lt;&gt;"None")),1,0)</f>
        <v>0</v>
      </c>
      <c r="B442" t="str">
        <f>IF($A442=1,SUM($A$2:$A442),"")</f>
        <v/>
      </c>
      <c r="C442">
        <f>IF($A442=1,SUM($A$2:$A442),0)</f>
        <v>0</v>
      </c>
    </row>
    <row r="443" spans="1:3" x14ac:dyDescent="0.3">
      <c r="A443">
        <f>IF(AND(OR(Query!$B$4="All",'Compliance Database'!$A443=Query!$B$4),OR(Query!$B$5="All",ISNUMBER(SEARCH(Query!$B$5,'Compliance Database'!$H443))),OR(Query!$B$6="All",ISNUMBER(SEARCH(Query!$B$6,'Compliance Database'!$I443))),OR(Query!$B$7="All",'Compliance Database'!$F443=Query!$B$7),OR(Query!$B$8="All",'Compliance Database'!$J443=Query!$B$8),OR(Query!$B$9="",ISNUMBER(SEARCH(Query!$B$9,'Compliance Database'!$D443&amp;" "&amp;'Compliance Database'!$K443&amp;" "&amp;'Compliance Database'!$L443&amp;" "&amp;'Compliance Database'!$M443&amp;" "&amp;'Compliance Database'!$N443&amp;" "&amp;'Compliance Database'!$O443))),OR(Query!$B$10&lt;&gt;"Yes",'Compliance Database'!$F443&lt;&gt;"None")),1,0)</f>
        <v>0</v>
      </c>
      <c r="B443" t="str">
        <f>IF($A443=1,SUM($A$2:$A443),"")</f>
        <v/>
      </c>
      <c r="C443">
        <f>IF($A443=1,SUM($A$2:$A443),0)</f>
        <v>0</v>
      </c>
    </row>
    <row r="444" spans="1:3" x14ac:dyDescent="0.3">
      <c r="A444">
        <f>IF(AND(OR(Query!$B$4="All",'Compliance Database'!$A444=Query!$B$4),OR(Query!$B$5="All",ISNUMBER(SEARCH(Query!$B$5,'Compliance Database'!$H444))),OR(Query!$B$6="All",ISNUMBER(SEARCH(Query!$B$6,'Compliance Database'!$I444))),OR(Query!$B$7="All",'Compliance Database'!$F444=Query!$B$7),OR(Query!$B$8="All",'Compliance Database'!$J444=Query!$B$8),OR(Query!$B$9="",ISNUMBER(SEARCH(Query!$B$9,'Compliance Database'!$D444&amp;" "&amp;'Compliance Database'!$K444&amp;" "&amp;'Compliance Database'!$L444&amp;" "&amp;'Compliance Database'!$M444&amp;" "&amp;'Compliance Database'!$N444&amp;" "&amp;'Compliance Database'!$O444))),OR(Query!$B$10&lt;&gt;"Yes",'Compliance Database'!$F444&lt;&gt;"None")),1,0)</f>
        <v>0</v>
      </c>
      <c r="B444" t="str">
        <f>IF($A444=1,SUM($A$2:$A444),"")</f>
        <v/>
      </c>
      <c r="C444">
        <f>IF($A444=1,SUM($A$2:$A444),0)</f>
        <v>0</v>
      </c>
    </row>
    <row r="445" spans="1:3" x14ac:dyDescent="0.3">
      <c r="A445">
        <f>IF(AND(OR(Query!$B$4="All",'Compliance Database'!$A445=Query!$B$4),OR(Query!$B$5="All",ISNUMBER(SEARCH(Query!$B$5,'Compliance Database'!$H445))),OR(Query!$B$6="All",ISNUMBER(SEARCH(Query!$B$6,'Compliance Database'!$I445))),OR(Query!$B$7="All",'Compliance Database'!$F445=Query!$B$7),OR(Query!$B$8="All",'Compliance Database'!$J445=Query!$B$8),OR(Query!$B$9="",ISNUMBER(SEARCH(Query!$B$9,'Compliance Database'!$D445&amp;" "&amp;'Compliance Database'!$K445&amp;" "&amp;'Compliance Database'!$L445&amp;" "&amp;'Compliance Database'!$M445&amp;" "&amp;'Compliance Database'!$N445&amp;" "&amp;'Compliance Database'!$O445))),OR(Query!$B$10&lt;&gt;"Yes",'Compliance Database'!$F445&lt;&gt;"None")),1,0)</f>
        <v>0</v>
      </c>
      <c r="B445" t="str">
        <f>IF($A445=1,SUM($A$2:$A445),"")</f>
        <v/>
      </c>
      <c r="C445">
        <f>IF($A445=1,SUM($A$2:$A445),0)</f>
        <v>0</v>
      </c>
    </row>
    <row r="446" spans="1:3" x14ac:dyDescent="0.3">
      <c r="A446">
        <f>IF(AND(OR(Query!$B$4="All",'Compliance Database'!$A446=Query!$B$4),OR(Query!$B$5="All",ISNUMBER(SEARCH(Query!$B$5,'Compliance Database'!$H446))),OR(Query!$B$6="All",ISNUMBER(SEARCH(Query!$B$6,'Compliance Database'!$I446))),OR(Query!$B$7="All",'Compliance Database'!$F446=Query!$B$7),OR(Query!$B$8="All",'Compliance Database'!$J446=Query!$B$8),OR(Query!$B$9="",ISNUMBER(SEARCH(Query!$B$9,'Compliance Database'!$D446&amp;" "&amp;'Compliance Database'!$K446&amp;" "&amp;'Compliance Database'!$L446&amp;" "&amp;'Compliance Database'!$M446&amp;" "&amp;'Compliance Database'!$N446&amp;" "&amp;'Compliance Database'!$O446))),OR(Query!$B$10&lt;&gt;"Yes",'Compliance Database'!$F446&lt;&gt;"None")),1,0)</f>
        <v>0</v>
      </c>
      <c r="B446" t="str">
        <f>IF($A446=1,SUM($A$2:$A446),"")</f>
        <v/>
      </c>
      <c r="C446">
        <f>IF($A446=1,SUM($A$2:$A446),0)</f>
        <v>0</v>
      </c>
    </row>
    <row r="447" spans="1:3" x14ac:dyDescent="0.3">
      <c r="A447">
        <f>IF(AND(OR(Query!$B$4="All",'Compliance Database'!$A447=Query!$B$4),OR(Query!$B$5="All",ISNUMBER(SEARCH(Query!$B$5,'Compliance Database'!$H447))),OR(Query!$B$6="All",ISNUMBER(SEARCH(Query!$B$6,'Compliance Database'!$I447))),OR(Query!$B$7="All",'Compliance Database'!$F447=Query!$B$7),OR(Query!$B$8="All",'Compliance Database'!$J447=Query!$B$8),OR(Query!$B$9="",ISNUMBER(SEARCH(Query!$B$9,'Compliance Database'!$D447&amp;" "&amp;'Compliance Database'!$K447&amp;" "&amp;'Compliance Database'!$L447&amp;" "&amp;'Compliance Database'!$M447&amp;" "&amp;'Compliance Database'!$N447&amp;" "&amp;'Compliance Database'!$O447))),OR(Query!$B$10&lt;&gt;"Yes",'Compliance Database'!$F447&lt;&gt;"None")),1,0)</f>
        <v>0</v>
      </c>
      <c r="B447" t="str">
        <f>IF($A447=1,SUM($A$2:$A447),"")</f>
        <v/>
      </c>
      <c r="C447">
        <f>IF($A447=1,SUM($A$2:$A447),0)</f>
        <v>0</v>
      </c>
    </row>
    <row r="448" spans="1:3" x14ac:dyDescent="0.3">
      <c r="A448">
        <f>IF(AND(OR(Query!$B$4="All",'Compliance Database'!$A448=Query!$B$4),OR(Query!$B$5="All",ISNUMBER(SEARCH(Query!$B$5,'Compliance Database'!$H448))),OR(Query!$B$6="All",ISNUMBER(SEARCH(Query!$B$6,'Compliance Database'!$I448))),OR(Query!$B$7="All",'Compliance Database'!$F448=Query!$B$7),OR(Query!$B$8="All",'Compliance Database'!$J448=Query!$B$8),OR(Query!$B$9="",ISNUMBER(SEARCH(Query!$B$9,'Compliance Database'!$D448&amp;" "&amp;'Compliance Database'!$K448&amp;" "&amp;'Compliance Database'!$L448&amp;" "&amp;'Compliance Database'!$M448&amp;" "&amp;'Compliance Database'!$N448&amp;" "&amp;'Compliance Database'!$O448))),OR(Query!$B$10&lt;&gt;"Yes",'Compliance Database'!$F448&lt;&gt;"None")),1,0)</f>
        <v>0</v>
      </c>
      <c r="B448" t="str">
        <f>IF($A448=1,SUM($A$2:$A448),"")</f>
        <v/>
      </c>
      <c r="C448">
        <f>IF($A448=1,SUM($A$2:$A448),0)</f>
        <v>0</v>
      </c>
    </row>
    <row r="449" spans="1:3" x14ac:dyDescent="0.3">
      <c r="A449">
        <f>IF(AND(OR(Query!$B$4="All",'Compliance Database'!$A449=Query!$B$4),OR(Query!$B$5="All",ISNUMBER(SEARCH(Query!$B$5,'Compliance Database'!$H449))),OR(Query!$B$6="All",ISNUMBER(SEARCH(Query!$B$6,'Compliance Database'!$I449))),OR(Query!$B$7="All",'Compliance Database'!$F449=Query!$B$7),OR(Query!$B$8="All",'Compliance Database'!$J449=Query!$B$8),OR(Query!$B$9="",ISNUMBER(SEARCH(Query!$B$9,'Compliance Database'!$D449&amp;" "&amp;'Compliance Database'!$K449&amp;" "&amp;'Compliance Database'!$L449&amp;" "&amp;'Compliance Database'!$M449&amp;" "&amp;'Compliance Database'!$N449&amp;" "&amp;'Compliance Database'!$O449))),OR(Query!$B$10&lt;&gt;"Yes",'Compliance Database'!$F449&lt;&gt;"None")),1,0)</f>
        <v>0</v>
      </c>
      <c r="B449" t="str">
        <f>IF($A449=1,SUM($A$2:$A449),"")</f>
        <v/>
      </c>
      <c r="C449">
        <f>IF($A449=1,SUM($A$2:$A449),0)</f>
        <v>0</v>
      </c>
    </row>
    <row r="450" spans="1:3" x14ac:dyDescent="0.3">
      <c r="A450">
        <f>IF(AND(OR(Query!$B$4="All",'Compliance Database'!$A450=Query!$B$4),OR(Query!$B$5="All",ISNUMBER(SEARCH(Query!$B$5,'Compliance Database'!$H450))),OR(Query!$B$6="All",ISNUMBER(SEARCH(Query!$B$6,'Compliance Database'!$I450))),OR(Query!$B$7="All",'Compliance Database'!$F450=Query!$B$7),OR(Query!$B$8="All",'Compliance Database'!$J450=Query!$B$8),OR(Query!$B$9="",ISNUMBER(SEARCH(Query!$B$9,'Compliance Database'!$D450&amp;" "&amp;'Compliance Database'!$K450&amp;" "&amp;'Compliance Database'!$L450&amp;" "&amp;'Compliance Database'!$M450&amp;" "&amp;'Compliance Database'!$N450&amp;" "&amp;'Compliance Database'!$O450))),OR(Query!$B$10&lt;&gt;"Yes",'Compliance Database'!$F450&lt;&gt;"None")),1,0)</f>
        <v>0</v>
      </c>
      <c r="B450" t="str">
        <f>IF($A450=1,SUM($A$2:$A450),"")</f>
        <v/>
      </c>
      <c r="C450">
        <f>IF($A450=1,SUM($A$2:$A450),0)</f>
        <v>0</v>
      </c>
    </row>
    <row r="451" spans="1:3" x14ac:dyDescent="0.3">
      <c r="A451">
        <f>IF(AND(OR(Query!$B$4="All",'Compliance Database'!$A451=Query!$B$4),OR(Query!$B$5="All",ISNUMBER(SEARCH(Query!$B$5,'Compliance Database'!$H451))),OR(Query!$B$6="All",ISNUMBER(SEARCH(Query!$B$6,'Compliance Database'!$I451))),OR(Query!$B$7="All",'Compliance Database'!$F451=Query!$B$7),OR(Query!$B$8="All",'Compliance Database'!$J451=Query!$B$8),OR(Query!$B$9="",ISNUMBER(SEARCH(Query!$B$9,'Compliance Database'!$D451&amp;" "&amp;'Compliance Database'!$K451&amp;" "&amp;'Compliance Database'!$L451&amp;" "&amp;'Compliance Database'!$M451&amp;" "&amp;'Compliance Database'!$N451&amp;" "&amp;'Compliance Database'!$O451))),OR(Query!$B$10&lt;&gt;"Yes",'Compliance Database'!$F451&lt;&gt;"None")),1,0)</f>
        <v>0</v>
      </c>
      <c r="B451" t="str">
        <f>IF($A451=1,SUM($A$2:$A451),"")</f>
        <v/>
      </c>
      <c r="C451">
        <f>IF($A451=1,SUM($A$2:$A451),0)</f>
        <v>0</v>
      </c>
    </row>
    <row r="452" spans="1:3" x14ac:dyDescent="0.3">
      <c r="A452">
        <f>IF(AND(OR(Query!$B$4="All",'Compliance Database'!$A452=Query!$B$4),OR(Query!$B$5="All",ISNUMBER(SEARCH(Query!$B$5,'Compliance Database'!$H452))),OR(Query!$B$6="All",ISNUMBER(SEARCH(Query!$B$6,'Compliance Database'!$I452))),OR(Query!$B$7="All",'Compliance Database'!$F452=Query!$B$7),OR(Query!$B$8="All",'Compliance Database'!$J452=Query!$B$8),OR(Query!$B$9="",ISNUMBER(SEARCH(Query!$B$9,'Compliance Database'!$D452&amp;" "&amp;'Compliance Database'!$K452&amp;" "&amp;'Compliance Database'!$L452&amp;" "&amp;'Compliance Database'!$M452&amp;" "&amp;'Compliance Database'!$N452&amp;" "&amp;'Compliance Database'!$O452))),OR(Query!$B$10&lt;&gt;"Yes",'Compliance Database'!$F452&lt;&gt;"None")),1,0)</f>
        <v>0</v>
      </c>
      <c r="B452" t="str">
        <f>IF($A452=1,SUM($A$2:$A452),"")</f>
        <v/>
      </c>
      <c r="C452">
        <f>IF($A452=1,SUM($A$2:$A452),0)</f>
        <v>0</v>
      </c>
    </row>
    <row r="453" spans="1:3" x14ac:dyDescent="0.3">
      <c r="A453">
        <f>IF(AND(OR(Query!$B$4="All",'Compliance Database'!$A453=Query!$B$4),OR(Query!$B$5="All",ISNUMBER(SEARCH(Query!$B$5,'Compliance Database'!$H453))),OR(Query!$B$6="All",ISNUMBER(SEARCH(Query!$B$6,'Compliance Database'!$I453))),OR(Query!$B$7="All",'Compliance Database'!$F453=Query!$B$7),OR(Query!$B$8="All",'Compliance Database'!$J453=Query!$B$8),OR(Query!$B$9="",ISNUMBER(SEARCH(Query!$B$9,'Compliance Database'!$D453&amp;" "&amp;'Compliance Database'!$K453&amp;" "&amp;'Compliance Database'!$L453&amp;" "&amp;'Compliance Database'!$M453&amp;" "&amp;'Compliance Database'!$N453&amp;" "&amp;'Compliance Database'!$O453))),OR(Query!$B$10&lt;&gt;"Yes",'Compliance Database'!$F453&lt;&gt;"None")),1,0)</f>
        <v>0</v>
      </c>
      <c r="B453" t="str">
        <f>IF($A453=1,SUM($A$2:$A453),"")</f>
        <v/>
      </c>
      <c r="C453">
        <f>IF($A453=1,SUM($A$2:$A453),0)</f>
        <v>0</v>
      </c>
    </row>
    <row r="454" spans="1:3" x14ac:dyDescent="0.3">
      <c r="A454">
        <f>IF(AND(OR(Query!$B$4="All",'Compliance Database'!$A454=Query!$B$4),OR(Query!$B$5="All",ISNUMBER(SEARCH(Query!$B$5,'Compliance Database'!$H454))),OR(Query!$B$6="All",ISNUMBER(SEARCH(Query!$B$6,'Compliance Database'!$I454))),OR(Query!$B$7="All",'Compliance Database'!$F454=Query!$B$7),OR(Query!$B$8="All",'Compliance Database'!$J454=Query!$B$8),OR(Query!$B$9="",ISNUMBER(SEARCH(Query!$B$9,'Compliance Database'!$D454&amp;" "&amp;'Compliance Database'!$K454&amp;" "&amp;'Compliance Database'!$L454&amp;" "&amp;'Compliance Database'!$M454&amp;" "&amp;'Compliance Database'!$N454&amp;" "&amp;'Compliance Database'!$O454))),OR(Query!$B$10&lt;&gt;"Yes",'Compliance Database'!$F454&lt;&gt;"None")),1,0)</f>
        <v>0</v>
      </c>
      <c r="B454" t="str">
        <f>IF($A454=1,SUM($A$2:$A454),"")</f>
        <v/>
      </c>
      <c r="C454">
        <f>IF($A454=1,SUM($A$2:$A454),0)</f>
        <v>0</v>
      </c>
    </row>
    <row r="455" spans="1:3" x14ac:dyDescent="0.3">
      <c r="A455">
        <f>IF(AND(OR(Query!$B$4="All",'Compliance Database'!$A455=Query!$B$4),OR(Query!$B$5="All",ISNUMBER(SEARCH(Query!$B$5,'Compliance Database'!$H455))),OR(Query!$B$6="All",ISNUMBER(SEARCH(Query!$B$6,'Compliance Database'!$I455))),OR(Query!$B$7="All",'Compliance Database'!$F455=Query!$B$7),OR(Query!$B$8="All",'Compliance Database'!$J455=Query!$B$8),OR(Query!$B$9="",ISNUMBER(SEARCH(Query!$B$9,'Compliance Database'!$D455&amp;" "&amp;'Compliance Database'!$K455&amp;" "&amp;'Compliance Database'!$L455&amp;" "&amp;'Compliance Database'!$M455&amp;" "&amp;'Compliance Database'!$N455&amp;" "&amp;'Compliance Database'!$O455))),OR(Query!$B$10&lt;&gt;"Yes",'Compliance Database'!$F455&lt;&gt;"None")),1,0)</f>
        <v>0</v>
      </c>
      <c r="B455" t="str">
        <f>IF($A455=1,SUM($A$2:$A455),"")</f>
        <v/>
      </c>
      <c r="C455">
        <f>IF($A455=1,SUM($A$2:$A455),0)</f>
        <v>0</v>
      </c>
    </row>
    <row r="456" spans="1:3" x14ac:dyDescent="0.3">
      <c r="A456">
        <f>IF(AND(OR(Query!$B$4="All",'Compliance Database'!$A456=Query!$B$4),OR(Query!$B$5="All",ISNUMBER(SEARCH(Query!$B$5,'Compliance Database'!$H456))),OR(Query!$B$6="All",ISNUMBER(SEARCH(Query!$B$6,'Compliance Database'!$I456))),OR(Query!$B$7="All",'Compliance Database'!$F456=Query!$B$7),OR(Query!$B$8="All",'Compliance Database'!$J456=Query!$B$8),OR(Query!$B$9="",ISNUMBER(SEARCH(Query!$B$9,'Compliance Database'!$D456&amp;" "&amp;'Compliance Database'!$K456&amp;" "&amp;'Compliance Database'!$L456&amp;" "&amp;'Compliance Database'!$M456&amp;" "&amp;'Compliance Database'!$N456&amp;" "&amp;'Compliance Database'!$O456))),OR(Query!$B$10&lt;&gt;"Yes",'Compliance Database'!$F456&lt;&gt;"None")),1,0)</f>
        <v>0</v>
      </c>
      <c r="B456" t="str">
        <f>IF($A456=1,SUM($A$2:$A456),"")</f>
        <v/>
      </c>
      <c r="C456">
        <f>IF($A456=1,SUM($A$2:$A456),0)</f>
        <v>0</v>
      </c>
    </row>
    <row r="457" spans="1:3" x14ac:dyDescent="0.3">
      <c r="A457">
        <f>IF(AND(OR(Query!$B$4="All",'Compliance Database'!$A457=Query!$B$4),OR(Query!$B$5="All",ISNUMBER(SEARCH(Query!$B$5,'Compliance Database'!$H457))),OR(Query!$B$6="All",ISNUMBER(SEARCH(Query!$B$6,'Compliance Database'!$I457))),OR(Query!$B$7="All",'Compliance Database'!$F457=Query!$B$7),OR(Query!$B$8="All",'Compliance Database'!$J457=Query!$B$8),OR(Query!$B$9="",ISNUMBER(SEARCH(Query!$B$9,'Compliance Database'!$D457&amp;" "&amp;'Compliance Database'!$K457&amp;" "&amp;'Compliance Database'!$L457&amp;" "&amp;'Compliance Database'!$M457&amp;" "&amp;'Compliance Database'!$N457&amp;" "&amp;'Compliance Database'!$O457))),OR(Query!$B$10&lt;&gt;"Yes",'Compliance Database'!$F457&lt;&gt;"None")),1,0)</f>
        <v>0</v>
      </c>
      <c r="B457" t="str">
        <f>IF($A457=1,SUM($A$2:$A457),"")</f>
        <v/>
      </c>
      <c r="C457">
        <f>IF($A457=1,SUM($A$2:$A457),0)</f>
        <v>0</v>
      </c>
    </row>
    <row r="458" spans="1:3" x14ac:dyDescent="0.3">
      <c r="A458">
        <f>IF(AND(OR(Query!$B$4="All",'Compliance Database'!$A458=Query!$B$4),OR(Query!$B$5="All",ISNUMBER(SEARCH(Query!$B$5,'Compliance Database'!$H458))),OR(Query!$B$6="All",ISNUMBER(SEARCH(Query!$B$6,'Compliance Database'!$I458))),OR(Query!$B$7="All",'Compliance Database'!$F458=Query!$B$7),OR(Query!$B$8="All",'Compliance Database'!$J458=Query!$B$8),OR(Query!$B$9="",ISNUMBER(SEARCH(Query!$B$9,'Compliance Database'!$D458&amp;" "&amp;'Compliance Database'!$K458&amp;" "&amp;'Compliance Database'!$L458&amp;" "&amp;'Compliance Database'!$M458&amp;" "&amp;'Compliance Database'!$N458&amp;" "&amp;'Compliance Database'!$O458))),OR(Query!$B$10&lt;&gt;"Yes",'Compliance Database'!$F458&lt;&gt;"None")),1,0)</f>
        <v>0</v>
      </c>
      <c r="B458" t="str">
        <f>IF($A458=1,SUM($A$2:$A458),"")</f>
        <v/>
      </c>
      <c r="C458">
        <f>IF($A458=1,SUM($A$2:$A458),0)</f>
        <v>0</v>
      </c>
    </row>
    <row r="459" spans="1:3" x14ac:dyDescent="0.3">
      <c r="A459">
        <f>IF(AND(OR(Query!$B$4="All",'Compliance Database'!$A459=Query!$B$4),OR(Query!$B$5="All",ISNUMBER(SEARCH(Query!$B$5,'Compliance Database'!$H459))),OR(Query!$B$6="All",ISNUMBER(SEARCH(Query!$B$6,'Compliance Database'!$I459))),OR(Query!$B$7="All",'Compliance Database'!$F459=Query!$B$7),OR(Query!$B$8="All",'Compliance Database'!$J459=Query!$B$8),OR(Query!$B$9="",ISNUMBER(SEARCH(Query!$B$9,'Compliance Database'!$D459&amp;" "&amp;'Compliance Database'!$K459&amp;" "&amp;'Compliance Database'!$L459&amp;" "&amp;'Compliance Database'!$M459&amp;" "&amp;'Compliance Database'!$N459&amp;" "&amp;'Compliance Database'!$O459))),OR(Query!$B$10&lt;&gt;"Yes",'Compliance Database'!$F459&lt;&gt;"None")),1,0)</f>
        <v>0</v>
      </c>
      <c r="B459" t="str">
        <f>IF($A459=1,SUM($A$2:$A459),"")</f>
        <v/>
      </c>
      <c r="C459">
        <f>IF($A459=1,SUM($A$2:$A459),0)</f>
        <v>0</v>
      </c>
    </row>
    <row r="460" spans="1:3" x14ac:dyDescent="0.3">
      <c r="A460">
        <f>IF(AND(OR(Query!$B$4="All",'Compliance Database'!$A460=Query!$B$4),OR(Query!$B$5="All",ISNUMBER(SEARCH(Query!$B$5,'Compliance Database'!$H460))),OR(Query!$B$6="All",ISNUMBER(SEARCH(Query!$B$6,'Compliance Database'!$I460))),OR(Query!$B$7="All",'Compliance Database'!$F460=Query!$B$7),OR(Query!$B$8="All",'Compliance Database'!$J460=Query!$B$8),OR(Query!$B$9="",ISNUMBER(SEARCH(Query!$B$9,'Compliance Database'!$D460&amp;" "&amp;'Compliance Database'!$K460&amp;" "&amp;'Compliance Database'!$L460&amp;" "&amp;'Compliance Database'!$M460&amp;" "&amp;'Compliance Database'!$N460&amp;" "&amp;'Compliance Database'!$O460))),OR(Query!$B$10&lt;&gt;"Yes",'Compliance Database'!$F460&lt;&gt;"None")),1,0)</f>
        <v>0</v>
      </c>
      <c r="B460" t="str">
        <f>IF($A460=1,SUM($A$2:$A460),"")</f>
        <v/>
      </c>
      <c r="C460">
        <f>IF($A460=1,SUM($A$2:$A460),0)</f>
        <v>0</v>
      </c>
    </row>
    <row r="461" spans="1:3" x14ac:dyDescent="0.3">
      <c r="A461">
        <f>IF(AND(OR(Query!$B$4="All",'Compliance Database'!$A461=Query!$B$4),OR(Query!$B$5="All",ISNUMBER(SEARCH(Query!$B$5,'Compliance Database'!$H461))),OR(Query!$B$6="All",ISNUMBER(SEARCH(Query!$B$6,'Compliance Database'!$I461))),OR(Query!$B$7="All",'Compliance Database'!$F461=Query!$B$7),OR(Query!$B$8="All",'Compliance Database'!$J461=Query!$B$8),OR(Query!$B$9="",ISNUMBER(SEARCH(Query!$B$9,'Compliance Database'!$D461&amp;" "&amp;'Compliance Database'!$K461&amp;" "&amp;'Compliance Database'!$L461&amp;" "&amp;'Compliance Database'!$M461&amp;" "&amp;'Compliance Database'!$N461&amp;" "&amp;'Compliance Database'!$O461))),OR(Query!$B$10&lt;&gt;"Yes",'Compliance Database'!$F461&lt;&gt;"None")),1,0)</f>
        <v>0</v>
      </c>
      <c r="B461" t="str">
        <f>IF($A461=1,SUM($A$2:$A461),"")</f>
        <v/>
      </c>
      <c r="C461">
        <f>IF($A461=1,SUM($A$2:$A461),0)</f>
        <v>0</v>
      </c>
    </row>
    <row r="462" spans="1:3" x14ac:dyDescent="0.3">
      <c r="A462">
        <f>IF(AND(OR(Query!$B$4="All",'Compliance Database'!$A462=Query!$B$4),OR(Query!$B$5="All",ISNUMBER(SEARCH(Query!$B$5,'Compliance Database'!$H462))),OR(Query!$B$6="All",ISNUMBER(SEARCH(Query!$B$6,'Compliance Database'!$I462))),OR(Query!$B$7="All",'Compliance Database'!$F462=Query!$B$7),OR(Query!$B$8="All",'Compliance Database'!$J462=Query!$B$8),OR(Query!$B$9="",ISNUMBER(SEARCH(Query!$B$9,'Compliance Database'!$D462&amp;" "&amp;'Compliance Database'!$K462&amp;" "&amp;'Compliance Database'!$L462&amp;" "&amp;'Compliance Database'!$M462&amp;" "&amp;'Compliance Database'!$N462&amp;" "&amp;'Compliance Database'!$O462))),OR(Query!$B$10&lt;&gt;"Yes",'Compliance Database'!$F462&lt;&gt;"None")),1,0)</f>
        <v>0</v>
      </c>
      <c r="B462" t="str">
        <f>IF($A462=1,SUM($A$2:$A462),"")</f>
        <v/>
      </c>
      <c r="C462">
        <f>IF($A462=1,SUM($A$2:$A462),0)</f>
        <v>0</v>
      </c>
    </row>
    <row r="463" spans="1:3" x14ac:dyDescent="0.3">
      <c r="A463">
        <f>IF(AND(OR(Query!$B$4="All",'Compliance Database'!$A463=Query!$B$4),OR(Query!$B$5="All",ISNUMBER(SEARCH(Query!$B$5,'Compliance Database'!$H463))),OR(Query!$B$6="All",ISNUMBER(SEARCH(Query!$B$6,'Compliance Database'!$I463))),OR(Query!$B$7="All",'Compliance Database'!$F463=Query!$B$7),OR(Query!$B$8="All",'Compliance Database'!$J463=Query!$B$8),OR(Query!$B$9="",ISNUMBER(SEARCH(Query!$B$9,'Compliance Database'!$D463&amp;" "&amp;'Compliance Database'!$K463&amp;" "&amp;'Compliance Database'!$L463&amp;" "&amp;'Compliance Database'!$M463&amp;" "&amp;'Compliance Database'!$N463&amp;" "&amp;'Compliance Database'!$O463))),OR(Query!$B$10&lt;&gt;"Yes",'Compliance Database'!$F463&lt;&gt;"None")),1,0)</f>
        <v>0</v>
      </c>
      <c r="B463" t="str">
        <f>IF($A463=1,SUM($A$2:$A463),"")</f>
        <v/>
      </c>
      <c r="C463">
        <f>IF($A463=1,SUM($A$2:$A463),0)</f>
        <v>0</v>
      </c>
    </row>
    <row r="464" spans="1:3" x14ac:dyDescent="0.3">
      <c r="A464">
        <f>IF(AND(OR(Query!$B$4="All",'Compliance Database'!$A464=Query!$B$4),OR(Query!$B$5="All",ISNUMBER(SEARCH(Query!$B$5,'Compliance Database'!$H464))),OR(Query!$B$6="All",ISNUMBER(SEARCH(Query!$B$6,'Compliance Database'!$I464))),OR(Query!$B$7="All",'Compliance Database'!$F464=Query!$B$7),OR(Query!$B$8="All",'Compliance Database'!$J464=Query!$B$8),OR(Query!$B$9="",ISNUMBER(SEARCH(Query!$B$9,'Compliance Database'!$D464&amp;" "&amp;'Compliance Database'!$K464&amp;" "&amp;'Compliance Database'!$L464&amp;" "&amp;'Compliance Database'!$M464&amp;" "&amp;'Compliance Database'!$N464&amp;" "&amp;'Compliance Database'!$O464))),OR(Query!$B$10&lt;&gt;"Yes",'Compliance Database'!$F464&lt;&gt;"None")),1,0)</f>
        <v>0</v>
      </c>
      <c r="B464" t="str">
        <f>IF($A464=1,SUM($A$2:$A464),"")</f>
        <v/>
      </c>
      <c r="C464">
        <f>IF($A464=1,SUM($A$2:$A464),0)</f>
        <v>0</v>
      </c>
    </row>
    <row r="465" spans="1:3" x14ac:dyDescent="0.3">
      <c r="A465">
        <f>IF(AND(OR(Query!$B$4="All",'Compliance Database'!$A465=Query!$B$4),OR(Query!$B$5="All",ISNUMBER(SEARCH(Query!$B$5,'Compliance Database'!$H465))),OR(Query!$B$6="All",ISNUMBER(SEARCH(Query!$B$6,'Compliance Database'!$I465))),OR(Query!$B$7="All",'Compliance Database'!$F465=Query!$B$7),OR(Query!$B$8="All",'Compliance Database'!$J465=Query!$B$8),OR(Query!$B$9="",ISNUMBER(SEARCH(Query!$B$9,'Compliance Database'!$D465&amp;" "&amp;'Compliance Database'!$K465&amp;" "&amp;'Compliance Database'!$L465&amp;" "&amp;'Compliance Database'!$M465&amp;" "&amp;'Compliance Database'!$N465&amp;" "&amp;'Compliance Database'!$O465))),OR(Query!$B$10&lt;&gt;"Yes",'Compliance Database'!$F465&lt;&gt;"None")),1,0)</f>
        <v>0</v>
      </c>
      <c r="B465" t="str">
        <f>IF($A465=1,SUM($A$2:$A465),"")</f>
        <v/>
      </c>
      <c r="C465">
        <f>IF($A465=1,SUM($A$2:$A465),0)</f>
        <v>0</v>
      </c>
    </row>
    <row r="466" spans="1:3" x14ac:dyDescent="0.3">
      <c r="A466">
        <f>IF(AND(OR(Query!$B$4="All",'Compliance Database'!$A466=Query!$B$4),OR(Query!$B$5="All",ISNUMBER(SEARCH(Query!$B$5,'Compliance Database'!$H466))),OR(Query!$B$6="All",ISNUMBER(SEARCH(Query!$B$6,'Compliance Database'!$I466))),OR(Query!$B$7="All",'Compliance Database'!$F466=Query!$B$7),OR(Query!$B$8="All",'Compliance Database'!$J466=Query!$B$8),OR(Query!$B$9="",ISNUMBER(SEARCH(Query!$B$9,'Compliance Database'!$D466&amp;" "&amp;'Compliance Database'!$K466&amp;" "&amp;'Compliance Database'!$L466&amp;" "&amp;'Compliance Database'!$M466&amp;" "&amp;'Compliance Database'!$N466&amp;" "&amp;'Compliance Database'!$O466))),OR(Query!$B$10&lt;&gt;"Yes",'Compliance Database'!$F466&lt;&gt;"None")),1,0)</f>
        <v>0</v>
      </c>
      <c r="B466" t="str">
        <f>IF($A466=1,SUM($A$2:$A466),"")</f>
        <v/>
      </c>
      <c r="C466">
        <f>IF($A466=1,SUM($A$2:$A466),0)</f>
        <v>0</v>
      </c>
    </row>
    <row r="467" spans="1:3" x14ac:dyDescent="0.3">
      <c r="A467">
        <f>IF(AND(OR(Query!$B$4="All",'Compliance Database'!$A467=Query!$B$4),OR(Query!$B$5="All",ISNUMBER(SEARCH(Query!$B$5,'Compliance Database'!$H467))),OR(Query!$B$6="All",ISNUMBER(SEARCH(Query!$B$6,'Compliance Database'!$I467))),OR(Query!$B$7="All",'Compliance Database'!$F467=Query!$B$7),OR(Query!$B$8="All",'Compliance Database'!$J467=Query!$B$8),OR(Query!$B$9="",ISNUMBER(SEARCH(Query!$B$9,'Compliance Database'!$D467&amp;" "&amp;'Compliance Database'!$K467&amp;" "&amp;'Compliance Database'!$L467&amp;" "&amp;'Compliance Database'!$M467&amp;" "&amp;'Compliance Database'!$N467&amp;" "&amp;'Compliance Database'!$O467))),OR(Query!$B$10&lt;&gt;"Yes",'Compliance Database'!$F467&lt;&gt;"None")),1,0)</f>
        <v>0</v>
      </c>
      <c r="B467" t="str">
        <f>IF($A467=1,SUM($A$2:$A467),"")</f>
        <v/>
      </c>
      <c r="C467">
        <f>IF($A467=1,SUM($A$2:$A467),0)</f>
        <v>0</v>
      </c>
    </row>
    <row r="468" spans="1:3" x14ac:dyDescent="0.3">
      <c r="A468">
        <f>IF(AND(OR(Query!$B$4="All",'Compliance Database'!$A468=Query!$B$4),OR(Query!$B$5="All",ISNUMBER(SEARCH(Query!$B$5,'Compliance Database'!$H468))),OR(Query!$B$6="All",ISNUMBER(SEARCH(Query!$B$6,'Compliance Database'!$I468))),OR(Query!$B$7="All",'Compliance Database'!$F468=Query!$B$7),OR(Query!$B$8="All",'Compliance Database'!$J468=Query!$B$8),OR(Query!$B$9="",ISNUMBER(SEARCH(Query!$B$9,'Compliance Database'!$D468&amp;" "&amp;'Compliance Database'!$K468&amp;" "&amp;'Compliance Database'!$L468&amp;" "&amp;'Compliance Database'!$M468&amp;" "&amp;'Compliance Database'!$N468&amp;" "&amp;'Compliance Database'!$O468))),OR(Query!$B$10&lt;&gt;"Yes",'Compliance Database'!$F468&lt;&gt;"None")),1,0)</f>
        <v>0</v>
      </c>
      <c r="B468" t="str">
        <f>IF($A468=1,SUM($A$2:$A468),"")</f>
        <v/>
      </c>
      <c r="C468">
        <f>IF($A468=1,SUM($A$2:$A468),0)</f>
        <v>0</v>
      </c>
    </row>
    <row r="469" spans="1:3" x14ac:dyDescent="0.3">
      <c r="A469">
        <f>IF(AND(OR(Query!$B$4="All",'Compliance Database'!$A469=Query!$B$4),OR(Query!$B$5="All",ISNUMBER(SEARCH(Query!$B$5,'Compliance Database'!$H469))),OR(Query!$B$6="All",ISNUMBER(SEARCH(Query!$B$6,'Compliance Database'!$I469))),OR(Query!$B$7="All",'Compliance Database'!$F469=Query!$B$7),OR(Query!$B$8="All",'Compliance Database'!$J469=Query!$B$8),OR(Query!$B$9="",ISNUMBER(SEARCH(Query!$B$9,'Compliance Database'!$D469&amp;" "&amp;'Compliance Database'!$K469&amp;" "&amp;'Compliance Database'!$L469&amp;" "&amp;'Compliance Database'!$M469&amp;" "&amp;'Compliance Database'!$N469&amp;" "&amp;'Compliance Database'!$O469))),OR(Query!$B$10&lt;&gt;"Yes",'Compliance Database'!$F469&lt;&gt;"None")),1,0)</f>
        <v>0</v>
      </c>
      <c r="B469" t="str">
        <f>IF($A469=1,SUM($A$2:$A469),"")</f>
        <v/>
      </c>
      <c r="C469">
        <f>IF($A469=1,SUM($A$2:$A469),0)</f>
        <v>0</v>
      </c>
    </row>
    <row r="470" spans="1:3" x14ac:dyDescent="0.3">
      <c r="A470">
        <f>IF(AND(OR(Query!$B$4="All",'Compliance Database'!$A470=Query!$B$4),OR(Query!$B$5="All",ISNUMBER(SEARCH(Query!$B$5,'Compliance Database'!$H470))),OR(Query!$B$6="All",ISNUMBER(SEARCH(Query!$B$6,'Compliance Database'!$I470))),OR(Query!$B$7="All",'Compliance Database'!$F470=Query!$B$7),OR(Query!$B$8="All",'Compliance Database'!$J470=Query!$B$8),OR(Query!$B$9="",ISNUMBER(SEARCH(Query!$B$9,'Compliance Database'!$D470&amp;" "&amp;'Compliance Database'!$K470&amp;" "&amp;'Compliance Database'!$L470&amp;" "&amp;'Compliance Database'!$M470&amp;" "&amp;'Compliance Database'!$N470&amp;" "&amp;'Compliance Database'!$O470))),OR(Query!$B$10&lt;&gt;"Yes",'Compliance Database'!$F470&lt;&gt;"None")),1,0)</f>
        <v>0</v>
      </c>
      <c r="B470" t="str">
        <f>IF($A470=1,SUM($A$2:$A470),"")</f>
        <v/>
      </c>
      <c r="C470">
        <f>IF($A470=1,SUM($A$2:$A470),0)</f>
        <v>0</v>
      </c>
    </row>
    <row r="471" spans="1:3" x14ac:dyDescent="0.3">
      <c r="A471">
        <f>IF(AND(OR(Query!$B$4="All",'Compliance Database'!$A471=Query!$B$4),OR(Query!$B$5="All",ISNUMBER(SEARCH(Query!$B$5,'Compliance Database'!$H471))),OR(Query!$B$6="All",ISNUMBER(SEARCH(Query!$B$6,'Compliance Database'!$I471))),OR(Query!$B$7="All",'Compliance Database'!$F471=Query!$B$7),OR(Query!$B$8="All",'Compliance Database'!$J471=Query!$B$8),OR(Query!$B$9="",ISNUMBER(SEARCH(Query!$B$9,'Compliance Database'!$D471&amp;" "&amp;'Compliance Database'!$K471&amp;" "&amp;'Compliance Database'!$L471&amp;" "&amp;'Compliance Database'!$M471&amp;" "&amp;'Compliance Database'!$N471&amp;" "&amp;'Compliance Database'!$O471))),OR(Query!$B$10&lt;&gt;"Yes",'Compliance Database'!$F471&lt;&gt;"None")),1,0)</f>
        <v>0</v>
      </c>
      <c r="B471" t="str">
        <f>IF($A471=1,SUM($A$2:$A471),"")</f>
        <v/>
      </c>
      <c r="C471">
        <f>IF($A471=1,SUM($A$2:$A471),0)</f>
        <v>0</v>
      </c>
    </row>
    <row r="472" spans="1:3" x14ac:dyDescent="0.3">
      <c r="A472">
        <f>IF(AND(OR(Query!$B$4="All",'Compliance Database'!$A472=Query!$B$4),OR(Query!$B$5="All",ISNUMBER(SEARCH(Query!$B$5,'Compliance Database'!$H472))),OR(Query!$B$6="All",ISNUMBER(SEARCH(Query!$B$6,'Compliance Database'!$I472))),OR(Query!$B$7="All",'Compliance Database'!$F472=Query!$B$7),OR(Query!$B$8="All",'Compliance Database'!$J472=Query!$B$8),OR(Query!$B$9="",ISNUMBER(SEARCH(Query!$B$9,'Compliance Database'!$D472&amp;" "&amp;'Compliance Database'!$K472&amp;" "&amp;'Compliance Database'!$L472&amp;" "&amp;'Compliance Database'!$M472&amp;" "&amp;'Compliance Database'!$N472&amp;" "&amp;'Compliance Database'!$O472))),OR(Query!$B$10&lt;&gt;"Yes",'Compliance Database'!$F472&lt;&gt;"None")),1,0)</f>
        <v>0</v>
      </c>
      <c r="B472" t="str">
        <f>IF($A472=1,SUM($A$2:$A472),"")</f>
        <v/>
      </c>
      <c r="C472">
        <f>IF($A472=1,SUM($A$2:$A472),0)</f>
        <v>0</v>
      </c>
    </row>
    <row r="473" spans="1:3" x14ac:dyDescent="0.3">
      <c r="A473">
        <f>IF(AND(OR(Query!$B$4="All",'Compliance Database'!$A473=Query!$B$4),OR(Query!$B$5="All",ISNUMBER(SEARCH(Query!$B$5,'Compliance Database'!$H473))),OR(Query!$B$6="All",ISNUMBER(SEARCH(Query!$B$6,'Compliance Database'!$I473))),OR(Query!$B$7="All",'Compliance Database'!$F473=Query!$B$7),OR(Query!$B$8="All",'Compliance Database'!$J473=Query!$B$8),OR(Query!$B$9="",ISNUMBER(SEARCH(Query!$B$9,'Compliance Database'!$D473&amp;" "&amp;'Compliance Database'!$K473&amp;" "&amp;'Compliance Database'!$L473&amp;" "&amp;'Compliance Database'!$M473&amp;" "&amp;'Compliance Database'!$N473&amp;" "&amp;'Compliance Database'!$O473))),OR(Query!$B$10&lt;&gt;"Yes",'Compliance Database'!$F473&lt;&gt;"None")),1,0)</f>
        <v>0</v>
      </c>
      <c r="B473" t="str">
        <f>IF($A473=1,SUM($A$2:$A473),"")</f>
        <v/>
      </c>
      <c r="C473">
        <f>IF($A473=1,SUM($A$2:$A473),0)</f>
        <v>0</v>
      </c>
    </row>
    <row r="474" spans="1:3" x14ac:dyDescent="0.3">
      <c r="A474">
        <f>IF(AND(OR(Query!$B$4="All",'Compliance Database'!$A474=Query!$B$4),OR(Query!$B$5="All",ISNUMBER(SEARCH(Query!$B$5,'Compliance Database'!$H474))),OR(Query!$B$6="All",ISNUMBER(SEARCH(Query!$B$6,'Compliance Database'!$I474))),OR(Query!$B$7="All",'Compliance Database'!$F474=Query!$B$7),OR(Query!$B$8="All",'Compliance Database'!$J474=Query!$B$8),OR(Query!$B$9="",ISNUMBER(SEARCH(Query!$B$9,'Compliance Database'!$D474&amp;" "&amp;'Compliance Database'!$K474&amp;" "&amp;'Compliance Database'!$L474&amp;" "&amp;'Compliance Database'!$M474&amp;" "&amp;'Compliance Database'!$N474&amp;" "&amp;'Compliance Database'!$O474))),OR(Query!$B$10&lt;&gt;"Yes",'Compliance Database'!$F474&lt;&gt;"None")),1,0)</f>
        <v>0</v>
      </c>
      <c r="B474" t="str">
        <f>IF($A474=1,SUM($A$2:$A474),"")</f>
        <v/>
      </c>
      <c r="C474">
        <f>IF($A474=1,SUM($A$2:$A474),0)</f>
        <v>0</v>
      </c>
    </row>
    <row r="475" spans="1:3" x14ac:dyDescent="0.3">
      <c r="A475">
        <f>IF(AND(OR(Query!$B$4="All",'Compliance Database'!$A475=Query!$B$4),OR(Query!$B$5="All",ISNUMBER(SEARCH(Query!$B$5,'Compliance Database'!$H475))),OR(Query!$B$6="All",ISNUMBER(SEARCH(Query!$B$6,'Compliance Database'!$I475))),OR(Query!$B$7="All",'Compliance Database'!$F475=Query!$B$7),OR(Query!$B$8="All",'Compliance Database'!$J475=Query!$B$8),OR(Query!$B$9="",ISNUMBER(SEARCH(Query!$B$9,'Compliance Database'!$D475&amp;" "&amp;'Compliance Database'!$K475&amp;" "&amp;'Compliance Database'!$L475&amp;" "&amp;'Compliance Database'!$M475&amp;" "&amp;'Compliance Database'!$N475&amp;" "&amp;'Compliance Database'!$O475))),OR(Query!$B$10&lt;&gt;"Yes",'Compliance Database'!$F475&lt;&gt;"None")),1,0)</f>
        <v>0</v>
      </c>
      <c r="B475" t="str">
        <f>IF($A475=1,SUM($A$2:$A475),"")</f>
        <v/>
      </c>
      <c r="C475">
        <f>IF($A475=1,SUM($A$2:$A475),0)</f>
        <v>0</v>
      </c>
    </row>
    <row r="476" spans="1:3" x14ac:dyDescent="0.3">
      <c r="A476">
        <f>IF(AND(OR(Query!$B$4="All",'Compliance Database'!$A476=Query!$B$4),OR(Query!$B$5="All",ISNUMBER(SEARCH(Query!$B$5,'Compliance Database'!$H476))),OR(Query!$B$6="All",ISNUMBER(SEARCH(Query!$B$6,'Compliance Database'!$I476))),OR(Query!$B$7="All",'Compliance Database'!$F476=Query!$B$7),OR(Query!$B$8="All",'Compliance Database'!$J476=Query!$B$8),OR(Query!$B$9="",ISNUMBER(SEARCH(Query!$B$9,'Compliance Database'!$D476&amp;" "&amp;'Compliance Database'!$K476&amp;" "&amp;'Compliance Database'!$L476&amp;" "&amp;'Compliance Database'!$M476&amp;" "&amp;'Compliance Database'!$N476&amp;" "&amp;'Compliance Database'!$O476))),OR(Query!$B$10&lt;&gt;"Yes",'Compliance Database'!$F476&lt;&gt;"None")),1,0)</f>
        <v>0</v>
      </c>
      <c r="B476" t="str">
        <f>IF($A476=1,SUM($A$2:$A476),"")</f>
        <v/>
      </c>
      <c r="C476">
        <f>IF($A476=1,SUM($A$2:$A476),0)</f>
        <v>0</v>
      </c>
    </row>
    <row r="477" spans="1:3" x14ac:dyDescent="0.3">
      <c r="A477">
        <f>IF(AND(OR(Query!$B$4="All",'Compliance Database'!$A477=Query!$B$4),OR(Query!$B$5="All",ISNUMBER(SEARCH(Query!$B$5,'Compliance Database'!$H477))),OR(Query!$B$6="All",ISNUMBER(SEARCH(Query!$B$6,'Compliance Database'!$I477))),OR(Query!$B$7="All",'Compliance Database'!$F477=Query!$B$7),OR(Query!$B$8="All",'Compliance Database'!$J477=Query!$B$8),OR(Query!$B$9="",ISNUMBER(SEARCH(Query!$B$9,'Compliance Database'!$D477&amp;" "&amp;'Compliance Database'!$K477&amp;" "&amp;'Compliance Database'!$L477&amp;" "&amp;'Compliance Database'!$M477&amp;" "&amp;'Compliance Database'!$N477&amp;" "&amp;'Compliance Database'!$O477))),OR(Query!$B$10&lt;&gt;"Yes",'Compliance Database'!$F477&lt;&gt;"None")),1,0)</f>
        <v>0</v>
      </c>
      <c r="B477" t="str">
        <f>IF($A477=1,SUM($A$2:$A477),"")</f>
        <v/>
      </c>
      <c r="C477">
        <f>IF($A477=1,SUM($A$2:$A477),0)</f>
        <v>0</v>
      </c>
    </row>
    <row r="478" spans="1:3" x14ac:dyDescent="0.3">
      <c r="A478">
        <f>IF(AND(OR(Query!$B$4="All",'Compliance Database'!$A478=Query!$B$4),OR(Query!$B$5="All",ISNUMBER(SEARCH(Query!$B$5,'Compliance Database'!$H478))),OR(Query!$B$6="All",ISNUMBER(SEARCH(Query!$B$6,'Compliance Database'!$I478))),OR(Query!$B$7="All",'Compliance Database'!$F478=Query!$B$7),OR(Query!$B$8="All",'Compliance Database'!$J478=Query!$B$8),OR(Query!$B$9="",ISNUMBER(SEARCH(Query!$B$9,'Compliance Database'!$D478&amp;" "&amp;'Compliance Database'!$K478&amp;" "&amp;'Compliance Database'!$L478&amp;" "&amp;'Compliance Database'!$M478&amp;" "&amp;'Compliance Database'!$N478&amp;" "&amp;'Compliance Database'!$O478))),OR(Query!$B$10&lt;&gt;"Yes",'Compliance Database'!$F478&lt;&gt;"None")),1,0)</f>
        <v>0</v>
      </c>
      <c r="B478" t="str">
        <f>IF($A478=1,SUM($A$2:$A478),"")</f>
        <v/>
      </c>
      <c r="C478">
        <f>IF($A478=1,SUM($A$2:$A478),0)</f>
        <v>0</v>
      </c>
    </row>
    <row r="479" spans="1:3" x14ac:dyDescent="0.3">
      <c r="A479">
        <f>IF(AND(OR(Query!$B$4="All",'Compliance Database'!$A479=Query!$B$4),OR(Query!$B$5="All",ISNUMBER(SEARCH(Query!$B$5,'Compliance Database'!$H479))),OR(Query!$B$6="All",ISNUMBER(SEARCH(Query!$B$6,'Compliance Database'!$I479))),OR(Query!$B$7="All",'Compliance Database'!$F479=Query!$B$7),OR(Query!$B$8="All",'Compliance Database'!$J479=Query!$B$8),OR(Query!$B$9="",ISNUMBER(SEARCH(Query!$B$9,'Compliance Database'!$D479&amp;" "&amp;'Compliance Database'!$K479&amp;" "&amp;'Compliance Database'!$L479&amp;" "&amp;'Compliance Database'!$M479&amp;" "&amp;'Compliance Database'!$N479&amp;" "&amp;'Compliance Database'!$O479))),OR(Query!$B$10&lt;&gt;"Yes",'Compliance Database'!$F479&lt;&gt;"None")),1,0)</f>
        <v>0</v>
      </c>
      <c r="B479" t="str">
        <f>IF($A479=1,SUM($A$2:$A479),"")</f>
        <v/>
      </c>
      <c r="C479">
        <f>IF($A479=1,SUM($A$2:$A479),0)</f>
        <v>0</v>
      </c>
    </row>
    <row r="480" spans="1:3" x14ac:dyDescent="0.3">
      <c r="A480">
        <f>IF(AND(OR(Query!$B$4="All",'Compliance Database'!$A480=Query!$B$4),OR(Query!$B$5="All",ISNUMBER(SEARCH(Query!$B$5,'Compliance Database'!$H480))),OR(Query!$B$6="All",ISNUMBER(SEARCH(Query!$B$6,'Compliance Database'!$I480))),OR(Query!$B$7="All",'Compliance Database'!$F480=Query!$B$7),OR(Query!$B$8="All",'Compliance Database'!$J480=Query!$B$8),OR(Query!$B$9="",ISNUMBER(SEARCH(Query!$B$9,'Compliance Database'!$D480&amp;" "&amp;'Compliance Database'!$K480&amp;" "&amp;'Compliance Database'!$L480&amp;" "&amp;'Compliance Database'!$M480&amp;" "&amp;'Compliance Database'!$N480&amp;" "&amp;'Compliance Database'!$O480))),OR(Query!$B$10&lt;&gt;"Yes",'Compliance Database'!$F480&lt;&gt;"None")),1,0)</f>
        <v>0</v>
      </c>
      <c r="B480" t="str">
        <f>IF($A480=1,SUM($A$2:$A480),"")</f>
        <v/>
      </c>
      <c r="C480">
        <f>IF($A480=1,SUM($A$2:$A480),0)</f>
        <v>0</v>
      </c>
    </row>
    <row r="481" spans="1:3" x14ac:dyDescent="0.3">
      <c r="A481">
        <f>IF(AND(OR(Query!$B$4="All",'Compliance Database'!$A481=Query!$B$4),OR(Query!$B$5="All",ISNUMBER(SEARCH(Query!$B$5,'Compliance Database'!$H481))),OR(Query!$B$6="All",ISNUMBER(SEARCH(Query!$B$6,'Compliance Database'!$I481))),OR(Query!$B$7="All",'Compliance Database'!$F481=Query!$B$7),OR(Query!$B$8="All",'Compliance Database'!$J481=Query!$B$8),OR(Query!$B$9="",ISNUMBER(SEARCH(Query!$B$9,'Compliance Database'!$D481&amp;" "&amp;'Compliance Database'!$K481&amp;" "&amp;'Compliance Database'!$L481&amp;" "&amp;'Compliance Database'!$M481&amp;" "&amp;'Compliance Database'!$N481&amp;" "&amp;'Compliance Database'!$O481))),OR(Query!$B$10&lt;&gt;"Yes",'Compliance Database'!$F481&lt;&gt;"None")),1,0)</f>
        <v>0</v>
      </c>
      <c r="B481" t="str">
        <f>IF($A481=1,SUM($A$2:$A481),"")</f>
        <v/>
      </c>
      <c r="C481">
        <f>IF($A481=1,SUM($A$2:$A481),0)</f>
        <v>0</v>
      </c>
    </row>
    <row r="482" spans="1:3" x14ac:dyDescent="0.3">
      <c r="A482">
        <f>IF(AND(OR(Query!$B$4="All",'Compliance Database'!$A482=Query!$B$4),OR(Query!$B$5="All",ISNUMBER(SEARCH(Query!$B$5,'Compliance Database'!$H482))),OR(Query!$B$6="All",ISNUMBER(SEARCH(Query!$B$6,'Compliance Database'!$I482))),OR(Query!$B$7="All",'Compliance Database'!$F482=Query!$B$7),OR(Query!$B$8="All",'Compliance Database'!$J482=Query!$B$8),OR(Query!$B$9="",ISNUMBER(SEARCH(Query!$B$9,'Compliance Database'!$D482&amp;" "&amp;'Compliance Database'!$K482&amp;" "&amp;'Compliance Database'!$L482&amp;" "&amp;'Compliance Database'!$M482&amp;" "&amp;'Compliance Database'!$N482&amp;" "&amp;'Compliance Database'!$O482))),OR(Query!$B$10&lt;&gt;"Yes",'Compliance Database'!$F482&lt;&gt;"None")),1,0)</f>
        <v>0</v>
      </c>
      <c r="B482" t="str">
        <f>IF($A482=1,SUM($A$2:$A482),"")</f>
        <v/>
      </c>
      <c r="C482">
        <f>IF($A482=1,SUM($A$2:$A482),0)</f>
        <v>0</v>
      </c>
    </row>
    <row r="483" spans="1:3" x14ac:dyDescent="0.3">
      <c r="A483">
        <f>IF(AND(OR(Query!$B$4="All",'Compliance Database'!$A483=Query!$B$4),OR(Query!$B$5="All",ISNUMBER(SEARCH(Query!$B$5,'Compliance Database'!$H483))),OR(Query!$B$6="All",ISNUMBER(SEARCH(Query!$B$6,'Compliance Database'!$I483))),OR(Query!$B$7="All",'Compliance Database'!$F483=Query!$B$7),OR(Query!$B$8="All",'Compliance Database'!$J483=Query!$B$8),OR(Query!$B$9="",ISNUMBER(SEARCH(Query!$B$9,'Compliance Database'!$D483&amp;" "&amp;'Compliance Database'!$K483&amp;" "&amp;'Compliance Database'!$L483&amp;" "&amp;'Compliance Database'!$M483&amp;" "&amp;'Compliance Database'!$N483&amp;" "&amp;'Compliance Database'!$O483))),OR(Query!$B$10&lt;&gt;"Yes",'Compliance Database'!$F483&lt;&gt;"None")),1,0)</f>
        <v>0</v>
      </c>
      <c r="B483" t="str">
        <f>IF($A483=1,SUM($A$2:$A483),"")</f>
        <v/>
      </c>
      <c r="C483">
        <f>IF($A483=1,SUM($A$2:$A483),0)</f>
        <v>0</v>
      </c>
    </row>
    <row r="484" spans="1:3" x14ac:dyDescent="0.3">
      <c r="A484">
        <f>IF(AND(OR(Query!$B$4="All",'Compliance Database'!$A484=Query!$B$4),OR(Query!$B$5="All",ISNUMBER(SEARCH(Query!$B$5,'Compliance Database'!$H484))),OR(Query!$B$6="All",ISNUMBER(SEARCH(Query!$B$6,'Compliance Database'!$I484))),OR(Query!$B$7="All",'Compliance Database'!$F484=Query!$B$7),OR(Query!$B$8="All",'Compliance Database'!$J484=Query!$B$8),OR(Query!$B$9="",ISNUMBER(SEARCH(Query!$B$9,'Compliance Database'!$D484&amp;" "&amp;'Compliance Database'!$K484&amp;" "&amp;'Compliance Database'!$L484&amp;" "&amp;'Compliance Database'!$M484&amp;" "&amp;'Compliance Database'!$N484&amp;" "&amp;'Compliance Database'!$O484))),OR(Query!$B$10&lt;&gt;"Yes",'Compliance Database'!$F484&lt;&gt;"None")),1,0)</f>
        <v>0</v>
      </c>
      <c r="B484" t="str">
        <f>IF($A484=1,SUM($A$2:$A484),"")</f>
        <v/>
      </c>
      <c r="C484">
        <f>IF($A484=1,SUM($A$2:$A484),0)</f>
        <v>0</v>
      </c>
    </row>
    <row r="485" spans="1:3" x14ac:dyDescent="0.3">
      <c r="A485">
        <f>IF(AND(OR(Query!$B$4="All",'Compliance Database'!$A485=Query!$B$4),OR(Query!$B$5="All",ISNUMBER(SEARCH(Query!$B$5,'Compliance Database'!$H485))),OR(Query!$B$6="All",ISNUMBER(SEARCH(Query!$B$6,'Compliance Database'!$I485))),OR(Query!$B$7="All",'Compliance Database'!$F485=Query!$B$7),OR(Query!$B$8="All",'Compliance Database'!$J485=Query!$B$8),OR(Query!$B$9="",ISNUMBER(SEARCH(Query!$B$9,'Compliance Database'!$D485&amp;" "&amp;'Compliance Database'!$K485&amp;" "&amp;'Compliance Database'!$L485&amp;" "&amp;'Compliance Database'!$M485&amp;" "&amp;'Compliance Database'!$N485&amp;" "&amp;'Compliance Database'!$O485))),OR(Query!$B$10&lt;&gt;"Yes",'Compliance Database'!$F485&lt;&gt;"None")),1,0)</f>
        <v>0</v>
      </c>
      <c r="B485" t="str">
        <f>IF($A485=1,SUM($A$2:$A485),"")</f>
        <v/>
      </c>
      <c r="C485">
        <f>IF($A485=1,SUM($A$2:$A485),0)</f>
        <v>0</v>
      </c>
    </row>
    <row r="486" spans="1:3" x14ac:dyDescent="0.3">
      <c r="A486">
        <f>IF(AND(OR(Query!$B$4="All",'Compliance Database'!$A486=Query!$B$4),OR(Query!$B$5="All",ISNUMBER(SEARCH(Query!$B$5,'Compliance Database'!$H486))),OR(Query!$B$6="All",ISNUMBER(SEARCH(Query!$B$6,'Compliance Database'!$I486))),OR(Query!$B$7="All",'Compliance Database'!$F486=Query!$B$7),OR(Query!$B$8="All",'Compliance Database'!$J486=Query!$B$8),OR(Query!$B$9="",ISNUMBER(SEARCH(Query!$B$9,'Compliance Database'!$D486&amp;" "&amp;'Compliance Database'!$K486&amp;" "&amp;'Compliance Database'!$L486&amp;" "&amp;'Compliance Database'!$M486&amp;" "&amp;'Compliance Database'!$N486&amp;" "&amp;'Compliance Database'!$O486))),OR(Query!$B$10&lt;&gt;"Yes",'Compliance Database'!$F486&lt;&gt;"None")),1,0)</f>
        <v>0</v>
      </c>
      <c r="B486" t="str">
        <f>IF($A486=1,SUM($A$2:$A486),"")</f>
        <v/>
      </c>
      <c r="C486">
        <f>IF($A486=1,SUM($A$2:$A486),0)</f>
        <v>0</v>
      </c>
    </row>
    <row r="487" spans="1:3" x14ac:dyDescent="0.3">
      <c r="A487">
        <f>IF(AND(OR(Query!$B$4="All",'Compliance Database'!$A487=Query!$B$4),OR(Query!$B$5="All",ISNUMBER(SEARCH(Query!$B$5,'Compliance Database'!$H487))),OR(Query!$B$6="All",ISNUMBER(SEARCH(Query!$B$6,'Compliance Database'!$I487))),OR(Query!$B$7="All",'Compliance Database'!$F487=Query!$B$7),OR(Query!$B$8="All",'Compliance Database'!$J487=Query!$B$8),OR(Query!$B$9="",ISNUMBER(SEARCH(Query!$B$9,'Compliance Database'!$D487&amp;" "&amp;'Compliance Database'!$K487&amp;" "&amp;'Compliance Database'!$L487&amp;" "&amp;'Compliance Database'!$M487&amp;" "&amp;'Compliance Database'!$N487&amp;" "&amp;'Compliance Database'!$O487))),OR(Query!$B$10&lt;&gt;"Yes",'Compliance Database'!$F487&lt;&gt;"None")),1,0)</f>
        <v>0</v>
      </c>
      <c r="B487" t="str">
        <f>IF($A487=1,SUM($A$2:$A487),"")</f>
        <v/>
      </c>
      <c r="C487">
        <f>IF($A487=1,SUM($A$2:$A487),0)</f>
        <v>0</v>
      </c>
    </row>
    <row r="488" spans="1:3" x14ac:dyDescent="0.3">
      <c r="A488">
        <f>IF(AND(OR(Query!$B$4="All",'Compliance Database'!$A488=Query!$B$4),OR(Query!$B$5="All",ISNUMBER(SEARCH(Query!$B$5,'Compliance Database'!$H488))),OR(Query!$B$6="All",ISNUMBER(SEARCH(Query!$B$6,'Compliance Database'!$I488))),OR(Query!$B$7="All",'Compliance Database'!$F488=Query!$B$7),OR(Query!$B$8="All",'Compliance Database'!$J488=Query!$B$8),OR(Query!$B$9="",ISNUMBER(SEARCH(Query!$B$9,'Compliance Database'!$D488&amp;" "&amp;'Compliance Database'!$K488&amp;" "&amp;'Compliance Database'!$L488&amp;" "&amp;'Compliance Database'!$M488&amp;" "&amp;'Compliance Database'!$N488&amp;" "&amp;'Compliance Database'!$O488))),OR(Query!$B$10&lt;&gt;"Yes",'Compliance Database'!$F488&lt;&gt;"None")),1,0)</f>
        <v>0</v>
      </c>
      <c r="B488" t="str">
        <f>IF($A488=1,SUM($A$2:$A488),"")</f>
        <v/>
      </c>
      <c r="C488">
        <f>IF($A488=1,SUM($A$2:$A488),0)</f>
        <v>0</v>
      </c>
    </row>
    <row r="489" spans="1:3" x14ac:dyDescent="0.3">
      <c r="A489">
        <f>IF(AND(OR(Query!$B$4="All",'Compliance Database'!$A489=Query!$B$4),OR(Query!$B$5="All",ISNUMBER(SEARCH(Query!$B$5,'Compliance Database'!$H489))),OR(Query!$B$6="All",ISNUMBER(SEARCH(Query!$B$6,'Compliance Database'!$I489))),OR(Query!$B$7="All",'Compliance Database'!$F489=Query!$B$7),OR(Query!$B$8="All",'Compliance Database'!$J489=Query!$B$8),OR(Query!$B$9="",ISNUMBER(SEARCH(Query!$B$9,'Compliance Database'!$D489&amp;" "&amp;'Compliance Database'!$K489&amp;" "&amp;'Compliance Database'!$L489&amp;" "&amp;'Compliance Database'!$M489&amp;" "&amp;'Compliance Database'!$N489&amp;" "&amp;'Compliance Database'!$O489))),OR(Query!$B$10&lt;&gt;"Yes",'Compliance Database'!$F489&lt;&gt;"None")),1,0)</f>
        <v>0</v>
      </c>
      <c r="B489" t="str">
        <f>IF($A489=1,SUM($A$2:$A489),"")</f>
        <v/>
      </c>
      <c r="C489">
        <f>IF($A489=1,SUM($A$2:$A489),0)</f>
        <v>0</v>
      </c>
    </row>
    <row r="490" spans="1:3" x14ac:dyDescent="0.3">
      <c r="A490">
        <f>IF(AND(OR(Query!$B$4="All",'Compliance Database'!$A490=Query!$B$4),OR(Query!$B$5="All",ISNUMBER(SEARCH(Query!$B$5,'Compliance Database'!$H490))),OR(Query!$B$6="All",ISNUMBER(SEARCH(Query!$B$6,'Compliance Database'!$I490))),OR(Query!$B$7="All",'Compliance Database'!$F490=Query!$B$7),OR(Query!$B$8="All",'Compliance Database'!$J490=Query!$B$8),OR(Query!$B$9="",ISNUMBER(SEARCH(Query!$B$9,'Compliance Database'!$D490&amp;" "&amp;'Compliance Database'!$K490&amp;" "&amp;'Compliance Database'!$L490&amp;" "&amp;'Compliance Database'!$M490&amp;" "&amp;'Compliance Database'!$N490&amp;" "&amp;'Compliance Database'!$O490))),OR(Query!$B$10&lt;&gt;"Yes",'Compliance Database'!$F490&lt;&gt;"None")),1,0)</f>
        <v>0</v>
      </c>
      <c r="B490" t="str">
        <f>IF($A490=1,SUM($A$2:$A490),"")</f>
        <v/>
      </c>
      <c r="C490">
        <f>IF($A490=1,SUM($A$2:$A490),0)</f>
        <v>0</v>
      </c>
    </row>
    <row r="491" spans="1:3" x14ac:dyDescent="0.3">
      <c r="A491">
        <f>IF(AND(OR(Query!$B$4="All",'Compliance Database'!$A491=Query!$B$4),OR(Query!$B$5="All",ISNUMBER(SEARCH(Query!$B$5,'Compliance Database'!$H491))),OR(Query!$B$6="All",ISNUMBER(SEARCH(Query!$B$6,'Compliance Database'!$I491))),OR(Query!$B$7="All",'Compliance Database'!$F491=Query!$B$7),OR(Query!$B$8="All",'Compliance Database'!$J491=Query!$B$8),OR(Query!$B$9="",ISNUMBER(SEARCH(Query!$B$9,'Compliance Database'!$D491&amp;" "&amp;'Compliance Database'!$K491&amp;" "&amp;'Compliance Database'!$L491&amp;" "&amp;'Compliance Database'!$M491&amp;" "&amp;'Compliance Database'!$N491&amp;" "&amp;'Compliance Database'!$O491))),OR(Query!$B$10&lt;&gt;"Yes",'Compliance Database'!$F491&lt;&gt;"None")),1,0)</f>
        <v>0</v>
      </c>
      <c r="B491" t="str">
        <f>IF($A491=1,SUM($A$2:$A491),"")</f>
        <v/>
      </c>
      <c r="C491">
        <f>IF($A491=1,SUM($A$2:$A491),0)</f>
        <v>0</v>
      </c>
    </row>
    <row r="492" spans="1:3" x14ac:dyDescent="0.3">
      <c r="A492">
        <f>IF(AND(OR(Query!$B$4="All",'Compliance Database'!$A492=Query!$B$4),OR(Query!$B$5="All",ISNUMBER(SEARCH(Query!$B$5,'Compliance Database'!$H492))),OR(Query!$B$6="All",ISNUMBER(SEARCH(Query!$B$6,'Compliance Database'!$I492))),OR(Query!$B$7="All",'Compliance Database'!$F492=Query!$B$7),OR(Query!$B$8="All",'Compliance Database'!$J492=Query!$B$8),OR(Query!$B$9="",ISNUMBER(SEARCH(Query!$B$9,'Compliance Database'!$D492&amp;" "&amp;'Compliance Database'!$K492&amp;" "&amp;'Compliance Database'!$L492&amp;" "&amp;'Compliance Database'!$M492&amp;" "&amp;'Compliance Database'!$N492&amp;" "&amp;'Compliance Database'!$O492))),OR(Query!$B$10&lt;&gt;"Yes",'Compliance Database'!$F492&lt;&gt;"None")),1,0)</f>
        <v>0</v>
      </c>
      <c r="B492" t="str">
        <f>IF($A492=1,SUM($A$2:$A492),"")</f>
        <v/>
      </c>
      <c r="C492">
        <f>IF($A492=1,SUM($A$2:$A492),0)</f>
        <v>0</v>
      </c>
    </row>
    <row r="493" spans="1:3" x14ac:dyDescent="0.3">
      <c r="A493">
        <f>IF(AND(OR(Query!$B$4="All",'Compliance Database'!$A493=Query!$B$4),OR(Query!$B$5="All",ISNUMBER(SEARCH(Query!$B$5,'Compliance Database'!$H493))),OR(Query!$B$6="All",ISNUMBER(SEARCH(Query!$B$6,'Compliance Database'!$I493))),OR(Query!$B$7="All",'Compliance Database'!$F493=Query!$B$7),OR(Query!$B$8="All",'Compliance Database'!$J493=Query!$B$8),OR(Query!$B$9="",ISNUMBER(SEARCH(Query!$B$9,'Compliance Database'!$D493&amp;" "&amp;'Compliance Database'!$K493&amp;" "&amp;'Compliance Database'!$L493&amp;" "&amp;'Compliance Database'!$M493&amp;" "&amp;'Compliance Database'!$N493&amp;" "&amp;'Compliance Database'!$O493))),OR(Query!$B$10&lt;&gt;"Yes",'Compliance Database'!$F493&lt;&gt;"None")),1,0)</f>
        <v>0</v>
      </c>
      <c r="B493" t="str">
        <f>IF($A493=1,SUM($A$2:$A493),"")</f>
        <v/>
      </c>
      <c r="C493">
        <f>IF($A493=1,SUM($A$2:$A493),0)</f>
        <v>0</v>
      </c>
    </row>
    <row r="494" spans="1:3" x14ac:dyDescent="0.3">
      <c r="A494">
        <f>IF(AND(OR(Query!$B$4="All",'Compliance Database'!$A494=Query!$B$4),OR(Query!$B$5="All",ISNUMBER(SEARCH(Query!$B$5,'Compliance Database'!$H494))),OR(Query!$B$6="All",ISNUMBER(SEARCH(Query!$B$6,'Compliance Database'!$I494))),OR(Query!$B$7="All",'Compliance Database'!$F494=Query!$B$7),OR(Query!$B$8="All",'Compliance Database'!$J494=Query!$B$8),OR(Query!$B$9="",ISNUMBER(SEARCH(Query!$B$9,'Compliance Database'!$D494&amp;" "&amp;'Compliance Database'!$K494&amp;" "&amp;'Compliance Database'!$L494&amp;" "&amp;'Compliance Database'!$M494&amp;" "&amp;'Compliance Database'!$N494&amp;" "&amp;'Compliance Database'!$O494))),OR(Query!$B$10&lt;&gt;"Yes",'Compliance Database'!$F494&lt;&gt;"None")),1,0)</f>
        <v>0</v>
      </c>
      <c r="B494" t="str">
        <f>IF($A494=1,SUM($A$2:$A494),"")</f>
        <v/>
      </c>
      <c r="C494">
        <f>IF($A494=1,SUM($A$2:$A494),0)</f>
        <v>0</v>
      </c>
    </row>
    <row r="495" spans="1:3" x14ac:dyDescent="0.3">
      <c r="A495">
        <f>IF(AND(OR(Query!$B$4="All",'Compliance Database'!$A495=Query!$B$4),OR(Query!$B$5="All",ISNUMBER(SEARCH(Query!$B$5,'Compliance Database'!$H495))),OR(Query!$B$6="All",ISNUMBER(SEARCH(Query!$B$6,'Compliance Database'!$I495))),OR(Query!$B$7="All",'Compliance Database'!$F495=Query!$B$7),OR(Query!$B$8="All",'Compliance Database'!$J495=Query!$B$8),OR(Query!$B$9="",ISNUMBER(SEARCH(Query!$B$9,'Compliance Database'!$D495&amp;" "&amp;'Compliance Database'!$K495&amp;" "&amp;'Compliance Database'!$L495&amp;" "&amp;'Compliance Database'!$M495&amp;" "&amp;'Compliance Database'!$N495&amp;" "&amp;'Compliance Database'!$O495))),OR(Query!$B$10&lt;&gt;"Yes",'Compliance Database'!$F495&lt;&gt;"None")),1,0)</f>
        <v>0</v>
      </c>
      <c r="B495" t="str">
        <f>IF($A495=1,SUM($A$2:$A495),"")</f>
        <v/>
      </c>
      <c r="C495">
        <f>IF($A495=1,SUM($A$2:$A495),0)</f>
        <v>0</v>
      </c>
    </row>
    <row r="496" spans="1:3" x14ac:dyDescent="0.3">
      <c r="A496">
        <f>IF(AND(OR(Query!$B$4="All",'Compliance Database'!$A496=Query!$B$4),OR(Query!$B$5="All",ISNUMBER(SEARCH(Query!$B$5,'Compliance Database'!$H496))),OR(Query!$B$6="All",ISNUMBER(SEARCH(Query!$B$6,'Compliance Database'!$I496))),OR(Query!$B$7="All",'Compliance Database'!$F496=Query!$B$7),OR(Query!$B$8="All",'Compliance Database'!$J496=Query!$B$8),OR(Query!$B$9="",ISNUMBER(SEARCH(Query!$B$9,'Compliance Database'!$D496&amp;" "&amp;'Compliance Database'!$K496&amp;" "&amp;'Compliance Database'!$L496&amp;" "&amp;'Compliance Database'!$M496&amp;" "&amp;'Compliance Database'!$N496&amp;" "&amp;'Compliance Database'!$O496))),OR(Query!$B$10&lt;&gt;"Yes",'Compliance Database'!$F496&lt;&gt;"None")),1,0)</f>
        <v>0</v>
      </c>
      <c r="B496" t="str">
        <f>IF($A496=1,SUM($A$2:$A496),"")</f>
        <v/>
      </c>
      <c r="C496">
        <f>IF($A496=1,SUM($A$2:$A496),0)</f>
        <v>0</v>
      </c>
    </row>
    <row r="497" spans="1:3" x14ac:dyDescent="0.3">
      <c r="A497">
        <f>IF(AND(OR(Query!$B$4="All",'Compliance Database'!$A497=Query!$B$4),OR(Query!$B$5="All",ISNUMBER(SEARCH(Query!$B$5,'Compliance Database'!$H497))),OR(Query!$B$6="All",ISNUMBER(SEARCH(Query!$B$6,'Compliance Database'!$I497))),OR(Query!$B$7="All",'Compliance Database'!$F497=Query!$B$7),OR(Query!$B$8="All",'Compliance Database'!$J497=Query!$B$8),OR(Query!$B$9="",ISNUMBER(SEARCH(Query!$B$9,'Compliance Database'!$D497&amp;" "&amp;'Compliance Database'!$K497&amp;" "&amp;'Compliance Database'!$L497&amp;" "&amp;'Compliance Database'!$M497&amp;" "&amp;'Compliance Database'!$N497&amp;" "&amp;'Compliance Database'!$O497))),OR(Query!$B$10&lt;&gt;"Yes",'Compliance Database'!$F497&lt;&gt;"None")),1,0)</f>
        <v>0</v>
      </c>
      <c r="B497" t="str">
        <f>IF($A497=1,SUM($A$2:$A497),"")</f>
        <v/>
      </c>
      <c r="C497">
        <f>IF($A497=1,SUM($A$2:$A497),0)</f>
        <v>0</v>
      </c>
    </row>
    <row r="498" spans="1:3" x14ac:dyDescent="0.3">
      <c r="A498">
        <f>IF(AND(OR(Query!$B$4="All",'Compliance Database'!$A498=Query!$B$4),OR(Query!$B$5="All",ISNUMBER(SEARCH(Query!$B$5,'Compliance Database'!$H498))),OR(Query!$B$6="All",ISNUMBER(SEARCH(Query!$B$6,'Compliance Database'!$I498))),OR(Query!$B$7="All",'Compliance Database'!$F498=Query!$B$7),OR(Query!$B$8="All",'Compliance Database'!$J498=Query!$B$8),OR(Query!$B$9="",ISNUMBER(SEARCH(Query!$B$9,'Compliance Database'!$D498&amp;" "&amp;'Compliance Database'!$K498&amp;" "&amp;'Compliance Database'!$L498&amp;" "&amp;'Compliance Database'!$M498&amp;" "&amp;'Compliance Database'!$N498&amp;" "&amp;'Compliance Database'!$O498))),OR(Query!$B$10&lt;&gt;"Yes",'Compliance Database'!$F498&lt;&gt;"None")),1,0)</f>
        <v>0</v>
      </c>
      <c r="B498" t="str">
        <f>IF($A498=1,SUM($A$2:$A498),"")</f>
        <v/>
      </c>
      <c r="C498">
        <f>IF($A498=1,SUM($A$2:$A498),0)</f>
        <v>0</v>
      </c>
    </row>
    <row r="499" spans="1:3" x14ac:dyDescent="0.3">
      <c r="A499">
        <f>IF(AND(OR(Query!$B$4="All",'Compliance Database'!$A499=Query!$B$4),OR(Query!$B$5="All",ISNUMBER(SEARCH(Query!$B$5,'Compliance Database'!$H499))),OR(Query!$B$6="All",ISNUMBER(SEARCH(Query!$B$6,'Compliance Database'!$I499))),OR(Query!$B$7="All",'Compliance Database'!$F499=Query!$B$7),OR(Query!$B$8="All",'Compliance Database'!$J499=Query!$B$8),OR(Query!$B$9="",ISNUMBER(SEARCH(Query!$B$9,'Compliance Database'!$D499&amp;" "&amp;'Compliance Database'!$K499&amp;" "&amp;'Compliance Database'!$L499&amp;" "&amp;'Compliance Database'!$M499&amp;" "&amp;'Compliance Database'!$N499&amp;" "&amp;'Compliance Database'!$O499))),OR(Query!$B$10&lt;&gt;"Yes",'Compliance Database'!$F499&lt;&gt;"None")),1,0)</f>
        <v>0</v>
      </c>
      <c r="B499" t="str">
        <f>IF($A499=1,SUM($A$2:$A499),"")</f>
        <v/>
      </c>
      <c r="C499">
        <f>IF($A499=1,SUM($A$2:$A499),0)</f>
        <v>0</v>
      </c>
    </row>
    <row r="500" spans="1:3" x14ac:dyDescent="0.3">
      <c r="A500">
        <f>IF(AND(OR(Query!$B$4="All",'Compliance Database'!$A500=Query!$B$4),OR(Query!$B$5="All",ISNUMBER(SEARCH(Query!$B$5,'Compliance Database'!$H500))),OR(Query!$B$6="All",ISNUMBER(SEARCH(Query!$B$6,'Compliance Database'!$I500))),OR(Query!$B$7="All",'Compliance Database'!$F500=Query!$B$7),OR(Query!$B$8="All",'Compliance Database'!$J500=Query!$B$8),OR(Query!$B$9="",ISNUMBER(SEARCH(Query!$B$9,'Compliance Database'!$D500&amp;" "&amp;'Compliance Database'!$K500&amp;" "&amp;'Compliance Database'!$L500&amp;" "&amp;'Compliance Database'!$M500&amp;" "&amp;'Compliance Database'!$N500&amp;" "&amp;'Compliance Database'!$O500))),OR(Query!$B$10&lt;&gt;"Yes",'Compliance Database'!$F500&lt;&gt;"None")),1,0)</f>
        <v>0</v>
      </c>
      <c r="B500" t="str">
        <f>IF($A500=1,SUM($A$2:$A500),"")</f>
        <v/>
      </c>
      <c r="C500">
        <f>IF($A500=1,SUM($A$2:$A500),0)</f>
        <v>0</v>
      </c>
    </row>
    <row r="501" spans="1:3" x14ac:dyDescent="0.3">
      <c r="A501">
        <f>IF(AND(OR(Query!$B$4="All",'Compliance Database'!$A501=Query!$B$4),OR(Query!$B$5="All",ISNUMBER(SEARCH(Query!$B$5,'Compliance Database'!$H501))),OR(Query!$B$6="All",ISNUMBER(SEARCH(Query!$B$6,'Compliance Database'!$I501))),OR(Query!$B$7="All",'Compliance Database'!$F501=Query!$B$7),OR(Query!$B$8="All",'Compliance Database'!$J501=Query!$B$8),OR(Query!$B$9="",ISNUMBER(SEARCH(Query!$B$9,'Compliance Database'!$D501&amp;" "&amp;'Compliance Database'!$K501&amp;" "&amp;'Compliance Database'!$L501&amp;" "&amp;'Compliance Database'!$M501&amp;" "&amp;'Compliance Database'!$N501&amp;" "&amp;'Compliance Database'!$O501))),OR(Query!$B$10&lt;&gt;"Yes",'Compliance Database'!$F501&lt;&gt;"None")),1,0)</f>
        <v>0</v>
      </c>
      <c r="B501" t="str">
        <f>IF($A501=1,SUM($A$2:$A501),"")</f>
        <v/>
      </c>
      <c r="C501">
        <f>IF($A501=1,SUM($A$2:$A501),0)</f>
        <v>0</v>
      </c>
    </row>
    <row r="502" spans="1:3" x14ac:dyDescent="0.3">
      <c r="A502">
        <f>IF(AND(OR(Query!$B$4="All",'Compliance Database'!$A502=Query!$B$4),OR(Query!$B$5="All",ISNUMBER(SEARCH(Query!$B$5,'Compliance Database'!$H502))),OR(Query!$B$6="All",ISNUMBER(SEARCH(Query!$B$6,'Compliance Database'!$I502))),OR(Query!$B$7="All",'Compliance Database'!$F502=Query!$B$7),OR(Query!$B$8="All",'Compliance Database'!$J502=Query!$B$8),OR(Query!$B$9="",ISNUMBER(SEARCH(Query!$B$9,'Compliance Database'!$D502&amp;" "&amp;'Compliance Database'!$K502&amp;" "&amp;'Compliance Database'!$L502&amp;" "&amp;'Compliance Database'!$M502&amp;" "&amp;'Compliance Database'!$N502&amp;" "&amp;'Compliance Database'!$O502))),OR(Query!$B$10&lt;&gt;"Yes",'Compliance Database'!$F502&lt;&gt;"None")),1,0)</f>
        <v>0</v>
      </c>
      <c r="B502" t="str">
        <f>IF($A502=1,SUM($A$2:$A502),"")</f>
        <v/>
      </c>
      <c r="C502">
        <f>IF($A502=1,SUM($A$2:$A502),0)</f>
        <v>0</v>
      </c>
    </row>
    <row r="503" spans="1:3" x14ac:dyDescent="0.3">
      <c r="A503">
        <f>IF(AND(OR(Query!$B$4="All",'Compliance Database'!$A503=Query!$B$4),OR(Query!$B$5="All",ISNUMBER(SEARCH(Query!$B$5,'Compliance Database'!$H503))),OR(Query!$B$6="All",ISNUMBER(SEARCH(Query!$B$6,'Compliance Database'!$I503))),OR(Query!$B$7="All",'Compliance Database'!$F503=Query!$B$7),OR(Query!$B$8="All",'Compliance Database'!$J503=Query!$B$8),OR(Query!$B$9="",ISNUMBER(SEARCH(Query!$B$9,'Compliance Database'!$D503&amp;" "&amp;'Compliance Database'!$K503&amp;" "&amp;'Compliance Database'!$L503&amp;" "&amp;'Compliance Database'!$M503&amp;" "&amp;'Compliance Database'!$N503&amp;" "&amp;'Compliance Database'!$O503))),OR(Query!$B$10&lt;&gt;"Yes",'Compliance Database'!$F503&lt;&gt;"None")),1,0)</f>
        <v>0</v>
      </c>
      <c r="B503" t="str">
        <f>IF($A503=1,SUM($A$2:$A503),"")</f>
        <v/>
      </c>
      <c r="C503">
        <f>IF($A503=1,SUM($A$2:$A503),0)</f>
        <v>0</v>
      </c>
    </row>
    <row r="504" spans="1:3" x14ac:dyDescent="0.3">
      <c r="A504">
        <f>IF(AND(OR(Query!$B$4="All",'Compliance Database'!$A504=Query!$B$4),OR(Query!$B$5="All",ISNUMBER(SEARCH(Query!$B$5,'Compliance Database'!$H504))),OR(Query!$B$6="All",ISNUMBER(SEARCH(Query!$B$6,'Compliance Database'!$I504))),OR(Query!$B$7="All",'Compliance Database'!$F504=Query!$B$7),OR(Query!$B$8="All",'Compliance Database'!$J504=Query!$B$8),OR(Query!$B$9="",ISNUMBER(SEARCH(Query!$B$9,'Compliance Database'!$D504&amp;" "&amp;'Compliance Database'!$K504&amp;" "&amp;'Compliance Database'!$L504&amp;" "&amp;'Compliance Database'!$M504&amp;" "&amp;'Compliance Database'!$N504&amp;" "&amp;'Compliance Database'!$O504))),OR(Query!$B$10&lt;&gt;"Yes",'Compliance Database'!$F504&lt;&gt;"None")),1,0)</f>
        <v>0</v>
      </c>
      <c r="B504" t="str">
        <f>IF($A504=1,SUM($A$2:$A504),"")</f>
        <v/>
      </c>
      <c r="C504">
        <f>IF($A504=1,SUM($A$2:$A504),0)</f>
        <v>0</v>
      </c>
    </row>
    <row r="505" spans="1:3" x14ac:dyDescent="0.3">
      <c r="A505">
        <f>IF(AND(OR(Query!$B$4="All",'Compliance Database'!$A505=Query!$B$4),OR(Query!$B$5="All",ISNUMBER(SEARCH(Query!$B$5,'Compliance Database'!$H505))),OR(Query!$B$6="All",ISNUMBER(SEARCH(Query!$B$6,'Compliance Database'!$I505))),OR(Query!$B$7="All",'Compliance Database'!$F505=Query!$B$7),OR(Query!$B$8="All",'Compliance Database'!$J505=Query!$B$8),OR(Query!$B$9="",ISNUMBER(SEARCH(Query!$B$9,'Compliance Database'!$D505&amp;" "&amp;'Compliance Database'!$K505&amp;" "&amp;'Compliance Database'!$L505&amp;" "&amp;'Compliance Database'!$M505&amp;" "&amp;'Compliance Database'!$N505&amp;" "&amp;'Compliance Database'!$O505))),OR(Query!$B$10&lt;&gt;"Yes",'Compliance Database'!$F505&lt;&gt;"None")),1,0)</f>
        <v>0</v>
      </c>
      <c r="B505" t="str">
        <f>IF($A505=1,SUM($A$2:$A505),"")</f>
        <v/>
      </c>
      <c r="C505">
        <f>IF($A505=1,SUM($A$2:$A505),0)</f>
        <v>0</v>
      </c>
    </row>
    <row r="506" spans="1:3" x14ac:dyDescent="0.3">
      <c r="A506">
        <f>IF(AND(OR(Query!$B$4="All",'Compliance Database'!$A506=Query!$B$4),OR(Query!$B$5="All",ISNUMBER(SEARCH(Query!$B$5,'Compliance Database'!$H506))),OR(Query!$B$6="All",ISNUMBER(SEARCH(Query!$B$6,'Compliance Database'!$I506))),OR(Query!$B$7="All",'Compliance Database'!$F506=Query!$B$7),OR(Query!$B$8="All",'Compliance Database'!$J506=Query!$B$8),OR(Query!$B$9="",ISNUMBER(SEARCH(Query!$B$9,'Compliance Database'!$D506&amp;" "&amp;'Compliance Database'!$K506&amp;" "&amp;'Compliance Database'!$L506&amp;" "&amp;'Compliance Database'!$M506&amp;" "&amp;'Compliance Database'!$N506&amp;" "&amp;'Compliance Database'!$O506))),OR(Query!$B$10&lt;&gt;"Yes",'Compliance Database'!$F506&lt;&gt;"None")),1,0)</f>
        <v>0</v>
      </c>
      <c r="B506" t="str">
        <f>IF($A506=1,SUM($A$2:$A506),"")</f>
        <v/>
      </c>
      <c r="C506">
        <f>IF($A506=1,SUM($A$2:$A506),0)</f>
        <v>0</v>
      </c>
    </row>
    <row r="507" spans="1:3" x14ac:dyDescent="0.3">
      <c r="A507">
        <f>IF(AND(OR(Query!$B$4="All",'Compliance Database'!$A507=Query!$B$4),OR(Query!$B$5="All",ISNUMBER(SEARCH(Query!$B$5,'Compliance Database'!$H507))),OR(Query!$B$6="All",ISNUMBER(SEARCH(Query!$B$6,'Compliance Database'!$I507))),OR(Query!$B$7="All",'Compliance Database'!$F507=Query!$B$7),OR(Query!$B$8="All",'Compliance Database'!$J507=Query!$B$8),OR(Query!$B$9="",ISNUMBER(SEARCH(Query!$B$9,'Compliance Database'!$D507&amp;" "&amp;'Compliance Database'!$K507&amp;" "&amp;'Compliance Database'!$L507&amp;" "&amp;'Compliance Database'!$M507&amp;" "&amp;'Compliance Database'!$N507&amp;" "&amp;'Compliance Database'!$O507))),OR(Query!$B$10&lt;&gt;"Yes",'Compliance Database'!$F507&lt;&gt;"None")),1,0)</f>
        <v>0</v>
      </c>
      <c r="B507" t="str">
        <f>IF($A507=1,SUM($A$2:$A507),"")</f>
        <v/>
      </c>
      <c r="C507">
        <f>IF($A507=1,SUM($A$2:$A507),0)</f>
        <v>0</v>
      </c>
    </row>
    <row r="508" spans="1:3" x14ac:dyDescent="0.3">
      <c r="A508">
        <f>IF(AND(OR(Query!$B$4="All",'Compliance Database'!$A508=Query!$B$4),OR(Query!$B$5="All",ISNUMBER(SEARCH(Query!$B$5,'Compliance Database'!$H508))),OR(Query!$B$6="All",ISNUMBER(SEARCH(Query!$B$6,'Compliance Database'!$I508))),OR(Query!$B$7="All",'Compliance Database'!$F508=Query!$B$7),OR(Query!$B$8="All",'Compliance Database'!$J508=Query!$B$8),OR(Query!$B$9="",ISNUMBER(SEARCH(Query!$B$9,'Compliance Database'!$D508&amp;" "&amp;'Compliance Database'!$K508&amp;" "&amp;'Compliance Database'!$L508&amp;" "&amp;'Compliance Database'!$M508&amp;" "&amp;'Compliance Database'!$N508&amp;" "&amp;'Compliance Database'!$O508))),OR(Query!$B$10&lt;&gt;"Yes",'Compliance Database'!$F508&lt;&gt;"None")),1,0)</f>
        <v>0</v>
      </c>
      <c r="B508" t="str">
        <f>IF($A508=1,SUM($A$2:$A508),"")</f>
        <v/>
      </c>
      <c r="C508">
        <f>IF($A508=1,SUM($A$2:$A508),0)</f>
        <v>0</v>
      </c>
    </row>
    <row r="509" spans="1:3" x14ac:dyDescent="0.3">
      <c r="A509">
        <f>IF(AND(OR(Query!$B$4="All",'Compliance Database'!$A509=Query!$B$4),OR(Query!$B$5="All",ISNUMBER(SEARCH(Query!$B$5,'Compliance Database'!$H509))),OR(Query!$B$6="All",ISNUMBER(SEARCH(Query!$B$6,'Compliance Database'!$I509))),OR(Query!$B$7="All",'Compliance Database'!$F509=Query!$B$7),OR(Query!$B$8="All",'Compliance Database'!$J509=Query!$B$8),OR(Query!$B$9="",ISNUMBER(SEARCH(Query!$B$9,'Compliance Database'!$D509&amp;" "&amp;'Compliance Database'!$K509&amp;" "&amp;'Compliance Database'!$L509&amp;" "&amp;'Compliance Database'!$M509&amp;" "&amp;'Compliance Database'!$N509&amp;" "&amp;'Compliance Database'!$O509))),OR(Query!$B$10&lt;&gt;"Yes",'Compliance Database'!$F509&lt;&gt;"None")),1,0)</f>
        <v>0</v>
      </c>
      <c r="B509" t="str">
        <f>IF($A509=1,SUM($A$2:$A509),"")</f>
        <v/>
      </c>
      <c r="C509">
        <f>IF($A509=1,SUM($A$2:$A509),0)</f>
        <v>0</v>
      </c>
    </row>
    <row r="510" spans="1:3" x14ac:dyDescent="0.3">
      <c r="A510">
        <f>IF(AND(OR(Query!$B$4="All",'Compliance Database'!$A510=Query!$B$4),OR(Query!$B$5="All",ISNUMBER(SEARCH(Query!$B$5,'Compliance Database'!$H510))),OR(Query!$B$6="All",ISNUMBER(SEARCH(Query!$B$6,'Compliance Database'!$I510))),OR(Query!$B$7="All",'Compliance Database'!$F510=Query!$B$7),OR(Query!$B$8="All",'Compliance Database'!$J510=Query!$B$8),OR(Query!$B$9="",ISNUMBER(SEARCH(Query!$B$9,'Compliance Database'!$D510&amp;" "&amp;'Compliance Database'!$K510&amp;" "&amp;'Compliance Database'!$L510&amp;" "&amp;'Compliance Database'!$M510&amp;" "&amp;'Compliance Database'!$N510&amp;" "&amp;'Compliance Database'!$O510))),OR(Query!$B$10&lt;&gt;"Yes",'Compliance Database'!$F510&lt;&gt;"None")),1,0)</f>
        <v>0</v>
      </c>
      <c r="B510" t="str">
        <f>IF($A510=1,SUM($A$2:$A510),"")</f>
        <v/>
      </c>
      <c r="C510">
        <f>IF($A510=1,SUM($A$2:$A510),0)</f>
        <v>0</v>
      </c>
    </row>
    <row r="511" spans="1:3" x14ac:dyDescent="0.3">
      <c r="A511">
        <f>IF(AND(OR(Query!$B$4="All",'Compliance Database'!$A511=Query!$B$4),OR(Query!$B$5="All",ISNUMBER(SEARCH(Query!$B$5,'Compliance Database'!$H511))),OR(Query!$B$6="All",ISNUMBER(SEARCH(Query!$B$6,'Compliance Database'!$I511))),OR(Query!$B$7="All",'Compliance Database'!$F511=Query!$B$7),OR(Query!$B$8="All",'Compliance Database'!$J511=Query!$B$8),OR(Query!$B$9="",ISNUMBER(SEARCH(Query!$B$9,'Compliance Database'!$D511&amp;" "&amp;'Compliance Database'!$K511&amp;" "&amp;'Compliance Database'!$L511&amp;" "&amp;'Compliance Database'!$M511&amp;" "&amp;'Compliance Database'!$N511&amp;" "&amp;'Compliance Database'!$O511))),OR(Query!$B$10&lt;&gt;"Yes",'Compliance Database'!$F511&lt;&gt;"None")),1,0)</f>
        <v>0</v>
      </c>
      <c r="B511" t="str">
        <f>IF($A511=1,SUM($A$2:$A511),"")</f>
        <v/>
      </c>
      <c r="C511">
        <f>IF($A511=1,SUM($A$2:$A511),0)</f>
        <v>0</v>
      </c>
    </row>
    <row r="512" spans="1:3" x14ac:dyDescent="0.3">
      <c r="A512">
        <f>IF(AND(OR(Query!$B$4="All",'Compliance Database'!$A512=Query!$B$4),OR(Query!$B$5="All",ISNUMBER(SEARCH(Query!$B$5,'Compliance Database'!$H512))),OR(Query!$B$6="All",ISNUMBER(SEARCH(Query!$B$6,'Compliance Database'!$I512))),OR(Query!$B$7="All",'Compliance Database'!$F512=Query!$B$7),OR(Query!$B$8="All",'Compliance Database'!$J512=Query!$B$8),OR(Query!$B$9="",ISNUMBER(SEARCH(Query!$B$9,'Compliance Database'!$D512&amp;" "&amp;'Compliance Database'!$K512&amp;" "&amp;'Compliance Database'!$L512&amp;" "&amp;'Compliance Database'!$M512&amp;" "&amp;'Compliance Database'!$N512&amp;" "&amp;'Compliance Database'!$O512))),OR(Query!$B$10&lt;&gt;"Yes",'Compliance Database'!$F512&lt;&gt;"None")),1,0)</f>
        <v>0</v>
      </c>
      <c r="B512" t="str">
        <f>IF($A512=1,SUM($A$2:$A512),"")</f>
        <v/>
      </c>
      <c r="C512">
        <f>IF($A512=1,SUM($A$2:$A512),0)</f>
        <v>0</v>
      </c>
    </row>
    <row r="513" spans="1:3" x14ac:dyDescent="0.3">
      <c r="A513">
        <f>IF(AND(OR(Query!$B$4="All",'Compliance Database'!$A513=Query!$B$4),OR(Query!$B$5="All",ISNUMBER(SEARCH(Query!$B$5,'Compliance Database'!$H513))),OR(Query!$B$6="All",ISNUMBER(SEARCH(Query!$B$6,'Compliance Database'!$I513))),OR(Query!$B$7="All",'Compliance Database'!$F513=Query!$B$7),OR(Query!$B$8="All",'Compliance Database'!$J513=Query!$B$8),OR(Query!$B$9="",ISNUMBER(SEARCH(Query!$B$9,'Compliance Database'!$D513&amp;" "&amp;'Compliance Database'!$K513&amp;" "&amp;'Compliance Database'!$L513&amp;" "&amp;'Compliance Database'!$M513&amp;" "&amp;'Compliance Database'!$N513&amp;" "&amp;'Compliance Database'!$O513))),OR(Query!$B$10&lt;&gt;"Yes",'Compliance Database'!$F513&lt;&gt;"None")),1,0)</f>
        <v>0</v>
      </c>
      <c r="B513" t="str">
        <f>IF($A513=1,SUM($A$2:$A513),"")</f>
        <v/>
      </c>
      <c r="C513">
        <f>IF($A513=1,SUM($A$2:$A513),0)</f>
        <v>0</v>
      </c>
    </row>
    <row r="514" spans="1:3" x14ac:dyDescent="0.3">
      <c r="A514">
        <f>IF(AND(OR(Query!$B$4="All",'Compliance Database'!$A514=Query!$B$4),OR(Query!$B$5="All",ISNUMBER(SEARCH(Query!$B$5,'Compliance Database'!$H514))),OR(Query!$B$6="All",ISNUMBER(SEARCH(Query!$B$6,'Compliance Database'!$I514))),OR(Query!$B$7="All",'Compliance Database'!$F514=Query!$B$7),OR(Query!$B$8="All",'Compliance Database'!$J514=Query!$B$8),OR(Query!$B$9="",ISNUMBER(SEARCH(Query!$B$9,'Compliance Database'!$D514&amp;" "&amp;'Compliance Database'!$K514&amp;" "&amp;'Compliance Database'!$L514&amp;" "&amp;'Compliance Database'!$M514&amp;" "&amp;'Compliance Database'!$N514&amp;" "&amp;'Compliance Database'!$O514))),OR(Query!$B$10&lt;&gt;"Yes",'Compliance Database'!$F514&lt;&gt;"None")),1,0)</f>
        <v>0</v>
      </c>
      <c r="B514" t="str">
        <f>IF($A514=1,SUM($A$2:$A514),"")</f>
        <v/>
      </c>
      <c r="C514">
        <f>IF($A514=1,SUM($A$2:$A514),0)</f>
        <v>0</v>
      </c>
    </row>
    <row r="515" spans="1:3" x14ac:dyDescent="0.3">
      <c r="A515">
        <f>IF(AND(OR(Query!$B$4="All",'Compliance Database'!$A515=Query!$B$4),OR(Query!$B$5="All",ISNUMBER(SEARCH(Query!$B$5,'Compliance Database'!$H515))),OR(Query!$B$6="All",ISNUMBER(SEARCH(Query!$B$6,'Compliance Database'!$I515))),OR(Query!$B$7="All",'Compliance Database'!$F515=Query!$B$7),OR(Query!$B$8="All",'Compliance Database'!$J515=Query!$B$8),OR(Query!$B$9="",ISNUMBER(SEARCH(Query!$B$9,'Compliance Database'!$D515&amp;" "&amp;'Compliance Database'!$K515&amp;" "&amp;'Compliance Database'!$L515&amp;" "&amp;'Compliance Database'!$M515&amp;" "&amp;'Compliance Database'!$N515&amp;" "&amp;'Compliance Database'!$O515))),OR(Query!$B$10&lt;&gt;"Yes",'Compliance Database'!$F515&lt;&gt;"None")),1,0)</f>
        <v>0</v>
      </c>
      <c r="B515" t="str">
        <f>IF($A515=1,SUM($A$2:$A515),"")</f>
        <v/>
      </c>
      <c r="C515">
        <f>IF($A515=1,SUM($A$2:$A515),0)</f>
        <v>0</v>
      </c>
    </row>
    <row r="516" spans="1:3" x14ac:dyDescent="0.3">
      <c r="A516">
        <f>IF(AND(OR(Query!$B$4="All",'Compliance Database'!$A516=Query!$B$4),OR(Query!$B$5="All",ISNUMBER(SEARCH(Query!$B$5,'Compliance Database'!$H516))),OR(Query!$B$6="All",ISNUMBER(SEARCH(Query!$B$6,'Compliance Database'!$I516))),OR(Query!$B$7="All",'Compliance Database'!$F516=Query!$B$7),OR(Query!$B$8="All",'Compliance Database'!$J516=Query!$B$8),OR(Query!$B$9="",ISNUMBER(SEARCH(Query!$B$9,'Compliance Database'!$D516&amp;" "&amp;'Compliance Database'!$K516&amp;" "&amp;'Compliance Database'!$L516&amp;" "&amp;'Compliance Database'!$M516&amp;" "&amp;'Compliance Database'!$N516&amp;" "&amp;'Compliance Database'!$O516))),OR(Query!$B$10&lt;&gt;"Yes",'Compliance Database'!$F516&lt;&gt;"None")),1,0)</f>
        <v>0</v>
      </c>
      <c r="B516" t="str">
        <f>IF($A516=1,SUM($A$2:$A516),"")</f>
        <v/>
      </c>
      <c r="C516">
        <f>IF($A516=1,SUM($A$2:$A516),0)</f>
        <v>0</v>
      </c>
    </row>
    <row r="517" spans="1:3" x14ac:dyDescent="0.3">
      <c r="A517">
        <f>IF(AND(OR(Query!$B$4="All",'Compliance Database'!$A517=Query!$B$4),OR(Query!$B$5="All",ISNUMBER(SEARCH(Query!$B$5,'Compliance Database'!$H517))),OR(Query!$B$6="All",ISNUMBER(SEARCH(Query!$B$6,'Compliance Database'!$I517))),OR(Query!$B$7="All",'Compliance Database'!$F517=Query!$B$7),OR(Query!$B$8="All",'Compliance Database'!$J517=Query!$B$8),OR(Query!$B$9="",ISNUMBER(SEARCH(Query!$B$9,'Compliance Database'!$D517&amp;" "&amp;'Compliance Database'!$K517&amp;" "&amp;'Compliance Database'!$L517&amp;" "&amp;'Compliance Database'!$M517&amp;" "&amp;'Compliance Database'!$N517&amp;" "&amp;'Compliance Database'!$O517))),OR(Query!$B$10&lt;&gt;"Yes",'Compliance Database'!$F517&lt;&gt;"None")),1,0)</f>
        <v>0</v>
      </c>
      <c r="B517" t="str">
        <f>IF($A517=1,SUM($A$2:$A517),"")</f>
        <v/>
      </c>
      <c r="C517">
        <f>IF($A517=1,SUM($A$2:$A517),0)</f>
        <v>0</v>
      </c>
    </row>
    <row r="518" spans="1:3" x14ac:dyDescent="0.3">
      <c r="A518">
        <f>IF(AND(OR(Query!$B$4="All",'Compliance Database'!$A518=Query!$B$4),OR(Query!$B$5="All",ISNUMBER(SEARCH(Query!$B$5,'Compliance Database'!$H518))),OR(Query!$B$6="All",ISNUMBER(SEARCH(Query!$B$6,'Compliance Database'!$I518))),OR(Query!$B$7="All",'Compliance Database'!$F518=Query!$B$7),OR(Query!$B$8="All",'Compliance Database'!$J518=Query!$B$8),OR(Query!$B$9="",ISNUMBER(SEARCH(Query!$B$9,'Compliance Database'!$D518&amp;" "&amp;'Compliance Database'!$K518&amp;" "&amp;'Compliance Database'!$L518&amp;" "&amp;'Compliance Database'!$M518&amp;" "&amp;'Compliance Database'!$N518&amp;" "&amp;'Compliance Database'!$O518))),OR(Query!$B$10&lt;&gt;"Yes",'Compliance Database'!$F518&lt;&gt;"None")),1,0)</f>
        <v>0</v>
      </c>
      <c r="B518" t="str">
        <f>IF($A518=1,SUM($A$2:$A518),"")</f>
        <v/>
      </c>
      <c r="C518">
        <f>IF($A518=1,SUM($A$2:$A518),0)</f>
        <v>0</v>
      </c>
    </row>
    <row r="519" spans="1:3" x14ac:dyDescent="0.3">
      <c r="A519">
        <f>IF(AND(OR(Query!$B$4="All",'Compliance Database'!$A519=Query!$B$4),OR(Query!$B$5="All",ISNUMBER(SEARCH(Query!$B$5,'Compliance Database'!$H519))),OR(Query!$B$6="All",ISNUMBER(SEARCH(Query!$B$6,'Compliance Database'!$I519))),OR(Query!$B$7="All",'Compliance Database'!$F519=Query!$B$7),OR(Query!$B$8="All",'Compliance Database'!$J519=Query!$B$8),OR(Query!$B$9="",ISNUMBER(SEARCH(Query!$B$9,'Compliance Database'!$D519&amp;" "&amp;'Compliance Database'!$K519&amp;" "&amp;'Compliance Database'!$L519&amp;" "&amp;'Compliance Database'!$M519&amp;" "&amp;'Compliance Database'!$N519&amp;" "&amp;'Compliance Database'!$O519))),OR(Query!$B$10&lt;&gt;"Yes",'Compliance Database'!$F519&lt;&gt;"None")),1,0)</f>
        <v>0</v>
      </c>
      <c r="B519" t="str">
        <f>IF($A519=1,SUM($A$2:$A519),"")</f>
        <v/>
      </c>
      <c r="C519">
        <f>IF($A519=1,SUM($A$2:$A519),0)</f>
        <v>0</v>
      </c>
    </row>
    <row r="520" spans="1:3" x14ac:dyDescent="0.3">
      <c r="A520">
        <f>IF(AND(OR(Query!$B$4="All",'Compliance Database'!$A520=Query!$B$4),OR(Query!$B$5="All",ISNUMBER(SEARCH(Query!$B$5,'Compliance Database'!$H520))),OR(Query!$B$6="All",ISNUMBER(SEARCH(Query!$B$6,'Compliance Database'!$I520))),OR(Query!$B$7="All",'Compliance Database'!$F520=Query!$B$7),OR(Query!$B$8="All",'Compliance Database'!$J520=Query!$B$8),OR(Query!$B$9="",ISNUMBER(SEARCH(Query!$B$9,'Compliance Database'!$D520&amp;" "&amp;'Compliance Database'!$K520&amp;" "&amp;'Compliance Database'!$L520&amp;" "&amp;'Compliance Database'!$M520&amp;" "&amp;'Compliance Database'!$N520&amp;" "&amp;'Compliance Database'!$O520))),OR(Query!$B$10&lt;&gt;"Yes",'Compliance Database'!$F520&lt;&gt;"None")),1,0)</f>
        <v>0</v>
      </c>
      <c r="B520" t="str">
        <f>IF($A520=1,SUM($A$2:$A520),"")</f>
        <v/>
      </c>
      <c r="C520">
        <f>IF($A520=1,SUM($A$2:$A520),0)</f>
        <v>0</v>
      </c>
    </row>
    <row r="521" spans="1:3" x14ac:dyDescent="0.3">
      <c r="A521">
        <f>IF(AND(OR(Query!$B$4="All",'Compliance Database'!$A521=Query!$B$4),OR(Query!$B$5="All",ISNUMBER(SEARCH(Query!$B$5,'Compliance Database'!$H521))),OR(Query!$B$6="All",ISNUMBER(SEARCH(Query!$B$6,'Compliance Database'!$I521))),OR(Query!$B$7="All",'Compliance Database'!$F521=Query!$B$7),OR(Query!$B$8="All",'Compliance Database'!$J521=Query!$B$8),OR(Query!$B$9="",ISNUMBER(SEARCH(Query!$B$9,'Compliance Database'!$D521&amp;" "&amp;'Compliance Database'!$K521&amp;" "&amp;'Compliance Database'!$L521&amp;" "&amp;'Compliance Database'!$M521&amp;" "&amp;'Compliance Database'!$N521&amp;" "&amp;'Compliance Database'!$O521))),OR(Query!$B$10&lt;&gt;"Yes",'Compliance Database'!$F521&lt;&gt;"None")),1,0)</f>
        <v>0</v>
      </c>
      <c r="B521" t="str">
        <f>IF($A521=1,SUM($A$2:$A521),"")</f>
        <v/>
      </c>
      <c r="C521">
        <f>IF($A521=1,SUM($A$2:$A521),0)</f>
        <v>0</v>
      </c>
    </row>
    <row r="522" spans="1:3" x14ac:dyDescent="0.3">
      <c r="A522">
        <f>IF(AND(OR(Query!$B$4="All",'Compliance Database'!$A522=Query!$B$4),OR(Query!$B$5="All",ISNUMBER(SEARCH(Query!$B$5,'Compliance Database'!$H522))),OR(Query!$B$6="All",ISNUMBER(SEARCH(Query!$B$6,'Compliance Database'!$I522))),OR(Query!$B$7="All",'Compliance Database'!$F522=Query!$B$7),OR(Query!$B$8="All",'Compliance Database'!$J522=Query!$B$8),OR(Query!$B$9="",ISNUMBER(SEARCH(Query!$B$9,'Compliance Database'!$D522&amp;" "&amp;'Compliance Database'!$K522&amp;" "&amp;'Compliance Database'!$L522&amp;" "&amp;'Compliance Database'!$M522&amp;" "&amp;'Compliance Database'!$N522&amp;" "&amp;'Compliance Database'!$O522))),OR(Query!$B$10&lt;&gt;"Yes",'Compliance Database'!$F522&lt;&gt;"None")),1,0)</f>
        <v>0</v>
      </c>
      <c r="B522" t="str">
        <f>IF($A522=1,SUM($A$2:$A522),"")</f>
        <v/>
      </c>
      <c r="C522">
        <f>IF($A522=1,SUM($A$2:$A522),0)</f>
        <v>0</v>
      </c>
    </row>
    <row r="523" spans="1:3" x14ac:dyDescent="0.3">
      <c r="A523">
        <f>IF(AND(OR(Query!$B$4="All",'Compliance Database'!$A523=Query!$B$4),OR(Query!$B$5="All",ISNUMBER(SEARCH(Query!$B$5,'Compliance Database'!$H523))),OR(Query!$B$6="All",ISNUMBER(SEARCH(Query!$B$6,'Compliance Database'!$I523))),OR(Query!$B$7="All",'Compliance Database'!$F523=Query!$B$7),OR(Query!$B$8="All",'Compliance Database'!$J523=Query!$B$8),OR(Query!$B$9="",ISNUMBER(SEARCH(Query!$B$9,'Compliance Database'!$D523&amp;" "&amp;'Compliance Database'!$K523&amp;" "&amp;'Compliance Database'!$L523&amp;" "&amp;'Compliance Database'!$M523&amp;" "&amp;'Compliance Database'!$N523&amp;" "&amp;'Compliance Database'!$O523))),OR(Query!$B$10&lt;&gt;"Yes",'Compliance Database'!$F523&lt;&gt;"None")),1,0)</f>
        <v>0</v>
      </c>
      <c r="B523" t="str">
        <f>IF($A523=1,SUM($A$2:$A523),"")</f>
        <v/>
      </c>
      <c r="C523">
        <f>IF($A523=1,SUM($A$2:$A523),0)</f>
        <v>0</v>
      </c>
    </row>
    <row r="524" spans="1:3" x14ac:dyDescent="0.3">
      <c r="A524">
        <f>IF(AND(OR(Query!$B$4="All",'Compliance Database'!$A524=Query!$B$4),OR(Query!$B$5="All",ISNUMBER(SEARCH(Query!$B$5,'Compliance Database'!$H524))),OR(Query!$B$6="All",ISNUMBER(SEARCH(Query!$B$6,'Compliance Database'!$I524))),OR(Query!$B$7="All",'Compliance Database'!$F524=Query!$B$7),OR(Query!$B$8="All",'Compliance Database'!$J524=Query!$B$8),OR(Query!$B$9="",ISNUMBER(SEARCH(Query!$B$9,'Compliance Database'!$D524&amp;" "&amp;'Compliance Database'!$K524&amp;" "&amp;'Compliance Database'!$L524&amp;" "&amp;'Compliance Database'!$M524&amp;" "&amp;'Compliance Database'!$N524&amp;" "&amp;'Compliance Database'!$O524))),OR(Query!$B$10&lt;&gt;"Yes",'Compliance Database'!$F524&lt;&gt;"None")),1,0)</f>
        <v>0</v>
      </c>
      <c r="B524" t="str">
        <f>IF($A524=1,SUM($A$2:$A524),"")</f>
        <v/>
      </c>
      <c r="C524">
        <f>IF($A524=1,SUM($A$2:$A524),0)</f>
        <v>0</v>
      </c>
    </row>
    <row r="525" spans="1:3" x14ac:dyDescent="0.3">
      <c r="A525">
        <f>IF(AND(OR(Query!$B$4="All",'Compliance Database'!$A525=Query!$B$4),OR(Query!$B$5="All",ISNUMBER(SEARCH(Query!$B$5,'Compliance Database'!$H525))),OR(Query!$B$6="All",ISNUMBER(SEARCH(Query!$B$6,'Compliance Database'!$I525))),OR(Query!$B$7="All",'Compliance Database'!$F525=Query!$B$7),OR(Query!$B$8="All",'Compliance Database'!$J525=Query!$B$8),OR(Query!$B$9="",ISNUMBER(SEARCH(Query!$B$9,'Compliance Database'!$D525&amp;" "&amp;'Compliance Database'!$K525&amp;" "&amp;'Compliance Database'!$L525&amp;" "&amp;'Compliance Database'!$M525&amp;" "&amp;'Compliance Database'!$N525&amp;" "&amp;'Compliance Database'!$O525))),OR(Query!$B$10&lt;&gt;"Yes",'Compliance Database'!$F525&lt;&gt;"None")),1,0)</f>
        <v>0</v>
      </c>
      <c r="B525" t="str">
        <f>IF($A525=1,SUM($A$2:$A525),"")</f>
        <v/>
      </c>
      <c r="C525">
        <f>IF($A525=1,SUM($A$2:$A525),0)</f>
        <v>0</v>
      </c>
    </row>
    <row r="526" spans="1:3" x14ac:dyDescent="0.3">
      <c r="A526">
        <f>IF(AND(OR(Query!$B$4="All",'Compliance Database'!$A526=Query!$B$4),OR(Query!$B$5="All",ISNUMBER(SEARCH(Query!$B$5,'Compliance Database'!$H526))),OR(Query!$B$6="All",ISNUMBER(SEARCH(Query!$B$6,'Compliance Database'!$I526))),OR(Query!$B$7="All",'Compliance Database'!$F526=Query!$B$7),OR(Query!$B$8="All",'Compliance Database'!$J526=Query!$B$8),OR(Query!$B$9="",ISNUMBER(SEARCH(Query!$B$9,'Compliance Database'!$D526&amp;" "&amp;'Compliance Database'!$K526&amp;" "&amp;'Compliance Database'!$L526&amp;" "&amp;'Compliance Database'!$M526&amp;" "&amp;'Compliance Database'!$N526&amp;" "&amp;'Compliance Database'!$O526))),OR(Query!$B$10&lt;&gt;"Yes",'Compliance Database'!$F526&lt;&gt;"None")),1,0)</f>
        <v>0</v>
      </c>
      <c r="B526" t="str">
        <f>IF($A526=1,SUM($A$2:$A526),"")</f>
        <v/>
      </c>
      <c r="C526">
        <f>IF($A526=1,SUM($A$2:$A526),0)</f>
        <v>0</v>
      </c>
    </row>
    <row r="527" spans="1:3" x14ac:dyDescent="0.3">
      <c r="A527">
        <f>IF(AND(OR(Query!$B$4="All",'Compliance Database'!$A527=Query!$B$4),OR(Query!$B$5="All",ISNUMBER(SEARCH(Query!$B$5,'Compliance Database'!$H527))),OR(Query!$B$6="All",ISNUMBER(SEARCH(Query!$B$6,'Compliance Database'!$I527))),OR(Query!$B$7="All",'Compliance Database'!$F527=Query!$B$7),OR(Query!$B$8="All",'Compliance Database'!$J527=Query!$B$8),OR(Query!$B$9="",ISNUMBER(SEARCH(Query!$B$9,'Compliance Database'!$D527&amp;" "&amp;'Compliance Database'!$K527&amp;" "&amp;'Compliance Database'!$L527&amp;" "&amp;'Compliance Database'!$M527&amp;" "&amp;'Compliance Database'!$N527&amp;" "&amp;'Compliance Database'!$O527))),OR(Query!$B$10&lt;&gt;"Yes",'Compliance Database'!$F527&lt;&gt;"None")),1,0)</f>
        <v>0</v>
      </c>
      <c r="B527" t="str">
        <f>IF($A527=1,SUM($A$2:$A527),"")</f>
        <v/>
      </c>
      <c r="C527">
        <f>IF($A527=1,SUM($A$2:$A527),0)</f>
        <v>0</v>
      </c>
    </row>
    <row r="528" spans="1:3" x14ac:dyDescent="0.3">
      <c r="A528">
        <f>IF(AND(OR(Query!$B$4="All",'Compliance Database'!$A528=Query!$B$4),OR(Query!$B$5="All",ISNUMBER(SEARCH(Query!$B$5,'Compliance Database'!$H528))),OR(Query!$B$6="All",ISNUMBER(SEARCH(Query!$B$6,'Compliance Database'!$I528))),OR(Query!$B$7="All",'Compliance Database'!$F528=Query!$B$7),OR(Query!$B$8="All",'Compliance Database'!$J528=Query!$B$8),OR(Query!$B$9="",ISNUMBER(SEARCH(Query!$B$9,'Compliance Database'!$D528&amp;" "&amp;'Compliance Database'!$K528&amp;" "&amp;'Compliance Database'!$L528&amp;" "&amp;'Compliance Database'!$M528&amp;" "&amp;'Compliance Database'!$N528&amp;" "&amp;'Compliance Database'!$O528))),OR(Query!$B$10&lt;&gt;"Yes",'Compliance Database'!$F528&lt;&gt;"None")),1,0)</f>
        <v>0</v>
      </c>
      <c r="B528" t="str">
        <f>IF($A528=1,SUM($A$2:$A528),"")</f>
        <v/>
      </c>
      <c r="C528">
        <f>IF($A528=1,SUM($A$2:$A528),0)</f>
        <v>0</v>
      </c>
    </row>
    <row r="529" spans="1:3" x14ac:dyDescent="0.3">
      <c r="A529">
        <f>IF(AND(OR(Query!$B$4="All",'Compliance Database'!$A529=Query!$B$4),OR(Query!$B$5="All",ISNUMBER(SEARCH(Query!$B$5,'Compliance Database'!$H529))),OR(Query!$B$6="All",ISNUMBER(SEARCH(Query!$B$6,'Compliance Database'!$I529))),OR(Query!$B$7="All",'Compliance Database'!$F529=Query!$B$7),OR(Query!$B$8="All",'Compliance Database'!$J529=Query!$B$8),OR(Query!$B$9="",ISNUMBER(SEARCH(Query!$B$9,'Compliance Database'!$D529&amp;" "&amp;'Compliance Database'!$K529&amp;" "&amp;'Compliance Database'!$L529&amp;" "&amp;'Compliance Database'!$M529&amp;" "&amp;'Compliance Database'!$N529&amp;" "&amp;'Compliance Database'!$O529))),OR(Query!$B$10&lt;&gt;"Yes",'Compliance Database'!$F529&lt;&gt;"None")),1,0)</f>
        <v>0</v>
      </c>
      <c r="B529" t="str">
        <f>IF($A529=1,SUM($A$2:$A529),"")</f>
        <v/>
      </c>
      <c r="C529">
        <f>IF($A529=1,SUM($A$2:$A529),0)</f>
        <v>0</v>
      </c>
    </row>
    <row r="530" spans="1:3" x14ac:dyDescent="0.3">
      <c r="A530">
        <f>IF(AND(OR(Query!$B$4="All",'Compliance Database'!$A530=Query!$B$4),OR(Query!$B$5="All",ISNUMBER(SEARCH(Query!$B$5,'Compliance Database'!$H530))),OR(Query!$B$6="All",ISNUMBER(SEARCH(Query!$B$6,'Compliance Database'!$I530))),OR(Query!$B$7="All",'Compliance Database'!$F530=Query!$B$7),OR(Query!$B$8="All",'Compliance Database'!$J530=Query!$B$8),OR(Query!$B$9="",ISNUMBER(SEARCH(Query!$B$9,'Compliance Database'!$D530&amp;" "&amp;'Compliance Database'!$K530&amp;" "&amp;'Compliance Database'!$L530&amp;" "&amp;'Compliance Database'!$M530&amp;" "&amp;'Compliance Database'!$N530&amp;" "&amp;'Compliance Database'!$O530))),OR(Query!$B$10&lt;&gt;"Yes",'Compliance Database'!$F530&lt;&gt;"None")),1,0)</f>
        <v>0</v>
      </c>
      <c r="B530" t="str">
        <f>IF($A530=1,SUM($A$2:$A530),"")</f>
        <v/>
      </c>
      <c r="C530">
        <f>IF($A530=1,SUM($A$2:$A530),0)</f>
        <v>0</v>
      </c>
    </row>
    <row r="531" spans="1:3" x14ac:dyDescent="0.3">
      <c r="A531">
        <f>IF(AND(OR(Query!$B$4="All",'Compliance Database'!$A531=Query!$B$4),OR(Query!$B$5="All",ISNUMBER(SEARCH(Query!$B$5,'Compliance Database'!$H531))),OR(Query!$B$6="All",ISNUMBER(SEARCH(Query!$B$6,'Compliance Database'!$I531))),OR(Query!$B$7="All",'Compliance Database'!$F531=Query!$B$7),OR(Query!$B$8="All",'Compliance Database'!$J531=Query!$B$8),OR(Query!$B$9="",ISNUMBER(SEARCH(Query!$B$9,'Compliance Database'!$D531&amp;" "&amp;'Compliance Database'!$K531&amp;" "&amp;'Compliance Database'!$L531&amp;" "&amp;'Compliance Database'!$M531&amp;" "&amp;'Compliance Database'!$N531&amp;" "&amp;'Compliance Database'!$O531))),OR(Query!$B$10&lt;&gt;"Yes",'Compliance Database'!$F531&lt;&gt;"None")),1,0)</f>
        <v>0</v>
      </c>
      <c r="B531" t="str">
        <f>IF($A531=1,SUM($A$2:$A531),"")</f>
        <v/>
      </c>
      <c r="C531">
        <f>IF($A531=1,SUM($A$2:$A531),0)</f>
        <v>0</v>
      </c>
    </row>
    <row r="532" spans="1:3" x14ac:dyDescent="0.3">
      <c r="A532">
        <f>IF(AND(OR(Query!$B$4="All",'Compliance Database'!$A532=Query!$B$4),OR(Query!$B$5="All",ISNUMBER(SEARCH(Query!$B$5,'Compliance Database'!$H532))),OR(Query!$B$6="All",ISNUMBER(SEARCH(Query!$B$6,'Compliance Database'!$I532))),OR(Query!$B$7="All",'Compliance Database'!$F532=Query!$B$7),OR(Query!$B$8="All",'Compliance Database'!$J532=Query!$B$8),OR(Query!$B$9="",ISNUMBER(SEARCH(Query!$B$9,'Compliance Database'!$D532&amp;" "&amp;'Compliance Database'!$K532&amp;" "&amp;'Compliance Database'!$L532&amp;" "&amp;'Compliance Database'!$M532&amp;" "&amp;'Compliance Database'!$N532&amp;" "&amp;'Compliance Database'!$O532))),OR(Query!$B$10&lt;&gt;"Yes",'Compliance Database'!$F532&lt;&gt;"None")),1,0)</f>
        <v>0</v>
      </c>
      <c r="B532" t="str">
        <f>IF($A532=1,SUM($A$2:$A532),"")</f>
        <v/>
      </c>
      <c r="C532">
        <f>IF($A532=1,SUM($A$2:$A532),0)</f>
        <v>0</v>
      </c>
    </row>
    <row r="533" spans="1:3" x14ac:dyDescent="0.3">
      <c r="A533">
        <f>IF(AND(OR(Query!$B$4="All",'Compliance Database'!$A533=Query!$B$4),OR(Query!$B$5="All",ISNUMBER(SEARCH(Query!$B$5,'Compliance Database'!$H533))),OR(Query!$B$6="All",ISNUMBER(SEARCH(Query!$B$6,'Compliance Database'!$I533))),OR(Query!$B$7="All",'Compliance Database'!$F533=Query!$B$7),OR(Query!$B$8="All",'Compliance Database'!$J533=Query!$B$8),OR(Query!$B$9="",ISNUMBER(SEARCH(Query!$B$9,'Compliance Database'!$D533&amp;" "&amp;'Compliance Database'!$K533&amp;" "&amp;'Compliance Database'!$L533&amp;" "&amp;'Compliance Database'!$M533&amp;" "&amp;'Compliance Database'!$N533&amp;" "&amp;'Compliance Database'!$O533))),OR(Query!$B$10&lt;&gt;"Yes",'Compliance Database'!$F533&lt;&gt;"None")),1,0)</f>
        <v>0</v>
      </c>
      <c r="B533" t="str">
        <f>IF($A533=1,SUM($A$2:$A533),"")</f>
        <v/>
      </c>
      <c r="C533">
        <f>IF($A533=1,SUM($A$2:$A533),0)</f>
        <v>0</v>
      </c>
    </row>
    <row r="534" spans="1:3" x14ac:dyDescent="0.3">
      <c r="A534">
        <f>IF(AND(OR(Query!$B$4="All",'Compliance Database'!$A534=Query!$B$4),OR(Query!$B$5="All",ISNUMBER(SEARCH(Query!$B$5,'Compliance Database'!$H534))),OR(Query!$B$6="All",ISNUMBER(SEARCH(Query!$B$6,'Compliance Database'!$I534))),OR(Query!$B$7="All",'Compliance Database'!$F534=Query!$B$7),OR(Query!$B$8="All",'Compliance Database'!$J534=Query!$B$8),OR(Query!$B$9="",ISNUMBER(SEARCH(Query!$B$9,'Compliance Database'!$D534&amp;" "&amp;'Compliance Database'!$K534&amp;" "&amp;'Compliance Database'!$L534&amp;" "&amp;'Compliance Database'!$M534&amp;" "&amp;'Compliance Database'!$N534&amp;" "&amp;'Compliance Database'!$O534))),OR(Query!$B$10&lt;&gt;"Yes",'Compliance Database'!$F534&lt;&gt;"None")),1,0)</f>
        <v>0</v>
      </c>
      <c r="B534" t="str">
        <f>IF($A534=1,SUM($A$2:$A534),"")</f>
        <v/>
      </c>
      <c r="C534">
        <f>IF($A534=1,SUM($A$2:$A534),0)</f>
        <v>0</v>
      </c>
    </row>
    <row r="535" spans="1:3" x14ac:dyDescent="0.3">
      <c r="A535">
        <f>IF(AND(OR(Query!$B$4="All",'Compliance Database'!$A535=Query!$B$4),OR(Query!$B$5="All",ISNUMBER(SEARCH(Query!$B$5,'Compliance Database'!$H535))),OR(Query!$B$6="All",ISNUMBER(SEARCH(Query!$B$6,'Compliance Database'!$I535))),OR(Query!$B$7="All",'Compliance Database'!$F535=Query!$B$7),OR(Query!$B$8="All",'Compliance Database'!$J535=Query!$B$8),OR(Query!$B$9="",ISNUMBER(SEARCH(Query!$B$9,'Compliance Database'!$D535&amp;" "&amp;'Compliance Database'!$K535&amp;" "&amp;'Compliance Database'!$L535&amp;" "&amp;'Compliance Database'!$M535&amp;" "&amp;'Compliance Database'!$N535&amp;" "&amp;'Compliance Database'!$O535))),OR(Query!$B$10&lt;&gt;"Yes",'Compliance Database'!$F535&lt;&gt;"None")),1,0)</f>
        <v>0</v>
      </c>
      <c r="B535" t="str">
        <f>IF($A535=1,SUM($A$2:$A535),"")</f>
        <v/>
      </c>
      <c r="C535">
        <f>IF($A535=1,SUM($A$2:$A535),0)</f>
        <v>0</v>
      </c>
    </row>
    <row r="536" spans="1:3" x14ac:dyDescent="0.3">
      <c r="A536">
        <f>IF(AND(OR(Query!$B$4="All",'Compliance Database'!$A536=Query!$B$4),OR(Query!$B$5="All",ISNUMBER(SEARCH(Query!$B$5,'Compliance Database'!$H536))),OR(Query!$B$6="All",ISNUMBER(SEARCH(Query!$B$6,'Compliance Database'!$I536))),OR(Query!$B$7="All",'Compliance Database'!$F536=Query!$B$7),OR(Query!$B$8="All",'Compliance Database'!$J536=Query!$B$8),OR(Query!$B$9="",ISNUMBER(SEARCH(Query!$B$9,'Compliance Database'!$D536&amp;" "&amp;'Compliance Database'!$K536&amp;" "&amp;'Compliance Database'!$L536&amp;" "&amp;'Compliance Database'!$M536&amp;" "&amp;'Compliance Database'!$N536&amp;" "&amp;'Compliance Database'!$O536))),OR(Query!$B$10&lt;&gt;"Yes",'Compliance Database'!$F536&lt;&gt;"None")),1,0)</f>
        <v>0</v>
      </c>
      <c r="B536" t="str">
        <f>IF($A536=1,SUM($A$2:$A536),"")</f>
        <v/>
      </c>
      <c r="C536">
        <f>IF($A536=1,SUM($A$2:$A536),0)</f>
        <v>0</v>
      </c>
    </row>
    <row r="537" spans="1:3" x14ac:dyDescent="0.3">
      <c r="A537">
        <f>IF(AND(OR(Query!$B$4="All",'Compliance Database'!$A537=Query!$B$4),OR(Query!$B$5="All",ISNUMBER(SEARCH(Query!$B$5,'Compliance Database'!$H537))),OR(Query!$B$6="All",ISNUMBER(SEARCH(Query!$B$6,'Compliance Database'!$I537))),OR(Query!$B$7="All",'Compliance Database'!$F537=Query!$B$7),OR(Query!$B$8="All",'Compliance Database'!$J537=Query!$B$8),OR(Query!$B$9="",ISNUMBER(SEARCH(Query!$B$9,'Compliance Database'!$D537&amp;" "&amp;'Compliance Database'!$K537&amp;" "&amp;'Compliance Database'!$L537&amp;" "&amp;'Compliance Database'!$M537&amp;" "&amp;'Compliance Database'!$N537&amp;" "&amp;'Compliance Database'!$O537))),OR(Query!$B$10&lt;&gt;"Yes",'Compliance Database'!$F537&lt;&gt;"None")),1,0)</f>
        <v>0</v>
      </c>
      <c r="B537" t="str">
        <f>IF($A537=1,SUM($A$2:$A537),"")</f>
        <v/>
      </c>
      <c r="C537">
        <f>IF($A537=1,SUM($A$2:$A537),0)</f>
        <v>0</v>
      </c>
    </row>
    <row r="538" spans="1:3" x14ac:dyDescent="0.3">
      <c r="A538">
        <f>IF(AND(OR(Query!$B$4="All",'Compliance Database'!$A538=Query!$B$4),OR(Query!$B$5="All",ISNUMBER(SEARCH(Query!$B$5,'Compliance Database'!$H538))),OR(Query!$B$6="All",ISNUMBER(SEARCH(Query!$B$6,'Compliance Database'!$I538))),OR(Query!$B$7="All",'Compliance Database'!$F538=Query!$B$7),OR(Query!$B$8="All",'Compliance Database'!$J538=Query!$B$8),OR(Query!$B$9="",ISNUMBER(SEARCH(Query!$B$9,'Compliance Database'!$D538&amp;" "&amp;'Compliance Database'!$K538&amp;" "&amp;'Compliance Database'!$L538&amp;" "&amp;'Compliance Database'!$M538&amp;" "&amp;'Compliance Database'!$N538&amp;" "&amp;'Compliance Database'!$O538))),OR(Query!$B$10&lt;&gt;"Yes",'Compliance Database'!$F538&lt;&gt;"None")),1,0)</f>
        <v>0</v>
      </c>
      <c r="B538" t="str">
        <f>IF($A538=1,SUM($A$2:$A538),"")</f>
        <v/>
      </c>
      <c r="C538">
        <f>IF($A538=1,SUM($A$2:$A538),0)</f>
        <v>0</v>
      </c>
    </row>
    <row r="539" spans="1:3" x14ac:dyDescent="0.3">
      <c r="A539">
        <f>IF(AND(OR(Query!$B$4="All",'Compliance Database'!$A539=Query!$B$4),OR(Query!$B$5="All",ISNUMBER(SEARCH(Query!$B$5,'Compliance Database'!$H539))),OR(Query!$B$6="All",ISNUMBER(SEARCH(Query!$B$6,'Compliance Database'!$I539))),OR(Query!$B$7="All",'Compliance Database'!$F539=Query!$B$7),OR(Query!$B$8="All",'Compliance Database'!$J539=Query!$B$8),OR(Query!$B$9="",ISNUMBER(SEARCH(Query!$B$9,'Compliance Database'!$D539&amp;" "&amp;'Compliance Database'!$K539&amp;" "&amp;'Compliance Database'!$L539&amp;" "&amp;'Compliance Database'!$M539&amp;" "&amp;'Compliance Database'!$N539&amp;" "&amp;'Compliance Database'!$O539))),OR(Query!$B$10&lt;&gt;"Yes",'Compliance Database'!$F539&lt;&gt;"None")),1,0)</f>
        <v>0</v>
      </c>
      <c r="B539" t="str">
        <f>IF($A539=1,SUM($A$2:$A539),"")</f>
        <v/>
      </c>
      <c r="C539">
        <f>IF($A539=1,SUM($A$2:$A539),0)</f>
        <v>0</v>
      </c>
    </row>
    <row r="540" spans="1:3" x14ac:dyDescent="0.3">
      <c r="A540">
        <f>IF(AND(OR(Query!$B$4="All",'Compliance Database'!$A540=Query!$B$4),OR(Query!$B$5="All",ISNUMBER(SEARCH(Query!$B$5,'Compliance Database'!$H540))),OR(Query!$B$6="All",ISNUMBER(SEARCH(Query!$B$6,'Compliance Database'!$I540))),OR(Query!$B$7="All",'Compliance Database'!$F540=Query!$B$7),OR(Query!$B$8="All",'Compliance Database'!$J540=Query!$B$8),OR(Query!$B$9="",ISNUMBER(SEARCH(Query!$B$9,'Compliance Database'!$D540&amp;" "&amp;'Compliance Database'!$K540&amp;" "&amp;'Compliance Database'!$L540&amp;" "&amp;'Compliance Database'!$M540&amp;" "&amp;'Compliance Database'!$N540&amp;" "&amp;'Compliance Database'!$O540))),OR(Query!$B$10&lt;&gt;"Yes",'Compliance Database'!$F540&lt;&gt;"None")),1,0)</f>
        <v>0</v>
      </c>
      <c r="B540" t="str">
        <f>IF($A540=1,SUM($A$2:$A540),"")</f>
        <v/>
      </c>
      <c r="C540">
        <f>IF($A540=1,SUM($A$2:$A540),0)</f>
        <v>0</v>
      </c>
    </row>
    <row r="541" spans="1:3" x14ac:dyDescent="0.3">
      <c r="A541">
        <f>IF(AND(OR(Query!$B$4="All",'Compliance Database'!$A541=Query!$B$4),OR(Query!$B$5="All",ISNUMBER(SEARCH(Query!$B$5,'Compliance Database'!$H541))),OR(Query!$B$6="All",ISNUMBER(SEARCH(Query!$B$6,'Compliance Database'!$I541))),OR(Query!$B$7="All",'Compliance Database'!$F541=Query!$B$7),OR(Query!$B$8="All",'Compliance Database'!$J541=Query!$B$8),OR(Query!$B$9="",ISNUMBER(SEARCH(Query!$B$9,'Compliance Database'!$D541&amp;" "&amp;'Compliance Database'!$K541&amp;" "&amp;'Compliance Database'!$L541&amp;" "&amp;'Compliance Database'!$M541&amp;" "&amp;'Compliance Database'!$N541&amp;" "&amp;'Compliance Database'!$O541))),OR(Query!$B$10&lt;&gt;"Yes",'Compliance Database'!$F541&lt;&gt;"None")),1,0)</f>
        <v>0</v>
      </c>
      <c r="B541" t="str">
        <f>IF($A541=1,SUM($A$2:$A541),"")</f>
        <v/>
      </c>
      <c r="C541">
        <f>IF($A541=1,SUM($A$2:$A541),0)</f>
        <v>0</v>
      </c>
    </row>
    <row r="542" spans="1:3" x14ac:dyDescent="0.3">
      <c r="A542">
        <f>IF(AND(OR(Query!$B$4="All",'Compliance Database'!$A542=Query!$B$4),OR(Query!$B$5="All",ISNUMBER(SEARCH(Query!$B$5,'Compliance Database'!$H542))),OR(Query!$B$6="All",ISNUMBER(SEARCH(Query!$B$6,'Compliance Database'!$I542))),OR(Query!$B$7="All",'Compliance Database'!$F542=Query!$B$7),OR(Query!$B$8="All",'Compliance Database'!$J542=Query!$B$8),OR(Query!$B$9="",ISNUMBER(SEARCH(Query!$B$9,'Compliance Database'!$D542&amp;" "&amp;'Compliance Database'!$K542&amp;" "&amp;'Compliance Database'!$L542&amp;" "&amp;'Compliance Database'!$M542&amp;" "&amp;'Compliance Database'!$N542&amp;" "&amp;'Compliance Database'!$O542))),OR(Query!$B$10&lt;&gt;"Yes",'Compliance Database'!$F542&lt;&gt;"None")),1,0)</f>
        <v>0</v>
      </c>
      <c r="B542" t="str">
        <f>IF($A542=1,SUM($A$2:$A542),"")</f>
        <v/>
      </c>
      <c r="C542">
        <f>IF($A542=1,SUM($A$2:$A542),0)</f>
        <v>0</v>
      </c>
    </row>
    <row r="543" spans="1:3" x14ac:dyDescent="0.3">
      <c r="A543">
        <f>IF(AND(OR(Query!$B$4="All",'Compliance Database'!$A543=Query!$B$4),OR(Query!$B$5="All",ISNUMBER(SEARCH(Query!$B$5,'Compliance Database'!$H543))),OR(Query!$B$6="All",ISNUMBER(SEARCH(Query!$B$6,'Compliance Database'!$I543))),OR(Query!$B$7="All",'Compliance Database'!$F543=Query!$B$7),OR(Query!$B$8="All",'Compliance Database'!$J543=Query!$B$8),OR(Query!$B$9="",ISNUMBER(SEARCH(Query!$B$9,'Compliance Database'!$D543&amp;" "&amp;'Compliance Database'!$K543&amp;" "&amp;'Compliance Database'!$L543&amp;" "&amp;'Compliance Database'!$M543&amp;" "&amp;'Compliance Database'!$N543&amp;" "&amp;'Compliance Database'!$O543))),OR(Query!$B$10&lt;&gt;"Yes",'Compliance Database'!$F543&lt;&gt;"None")),1,0)</f>
        <v>0</v>
      </c>
      <c r="B543" t="str">
        <f>IF($A543=1,SUM($A$2:$A543),"")</f>
        <v/>
      </c>
      <c r="C543">
        <f>IF($A543=1,SUM($A$2:$A543),0)</f>
        <v>0</v>
      </c>
    </row>
    <row r="544" spans="1:3" x14ac:dyDescent="0.3">
      <c r="A544">
        <f>IF(AND(OR(Query!$B$4="All",'Compliance Database'!$A544=Query!$B$4),OR(Query!$B$5="All",ISNUMBER(SEARCH(Query!$B$5,'Compliance Database'!$H544))),OR(Query!$B$6="All",ISNUMBER(SEARCH(Query!$B$6,'Compliance Database'!$I544))),OR(Query!$B$7="All",'Compliance Database'!$F544=Query!$B$7),OR(Query!$B$8="All",'Compliance Database'!$J544=Query!$B$8),OR(Query!$B$9="",ISNUMBER(SEARCH(Query!$B$9,'Compliance Database'!$D544&amp;" "&amp;'Compliance Database'!$K544&amp;" "&amp;'Compliance Database'!$L544&amp;" "&amp;'Compliance Database'!$M544&amp;" "&amp;'Compliance Database'!$N544&amp;" "&amp;'Compliance Database'!$O544))),OR(Query!$B$10&lt;&gt;"Yes",'Compliance Database'!$F544&lt;&gt;"None")),1,0)</f>
        <v>0</v>
      </c>
      <c r="B544" t="str">
        <f>IF($A544=1,SUM($A$2:$A544),"")</f>
        <v/>
      </c>
      <c r="C544">
        <f>IF($A544=1,SUM($A$2:$A544),0)</f>
        <v>0</v>
      </c>
    </row>
    <row r="545" spans="1:3" x14ac:dyDescent="0.3">
      <c r="A545">
        <f>IF(AND(OR(Query!$B$4="All",'Compliance Database'!$A545=Query!$B$4),OR(Query!$B$5="All",ISNUMBER(SEARCH(Query!$B$5,'Compliance Database'!$H545))),OR(Query!$B$6="All",ISNUMBER(SEARCH(Query!$B$6,'Compliance Database'!$I545))),OR(Query!$B$7="All",'Compliance Database'!$F545=Query!$B$7),OR(Query!$B$8="All",'Compliance Database'!$J545=Query!$B$8),OR(Query!$B$9="",ISNUMBER(SEARCH(Query!$B$9,'Compliance Database'!$D545&amp;" "&amp;'Compliance Database'!$K545&amp;" "&amp;'Compliance Database'!$L545&amp;" "&amp;'Compliance Database'!$M545&amp;" "&amp;'Compliance Database'!$N545&amp;" "&amp;'Compliance Database'!$O545))),OR(Query!$B$10&lt;&gt;"Yes",'Compliance Database'!$F545&lt;&gt;"None")),1,0)</f>
        <v>0</v>
      </c>
      <c r="B545" t="str">
        <f>IF($A545=1,SUM($A$2:$A545),"")</f>
        <v/>
      </c>
      <c r="C545">
        <f>IF($A545=1,SUM($A$2:$A545),0)</f>
        <v>0</v>
      </c>
    </row>
    <row r="546" spans="1:3" x14ac:dyDescent="0.3">
      <c r="A546">
        <f>IF(AND(OR(Query!$B$4="All",'Compliance Database'!$A546=Query!$B$4),OR(Query!$B$5="All",ISNUMBER(SEARCH(Query!$B$5,'Compliance Database'!$H546))),OR(Query!$B$6="All",ISNUMBER(SEARCH(Query!$B$6,'Compliance Database'!$I546))),OR(Query!$B$7="All",'Compliance Database'!$F546=Query!$B$7),OR(Query!$B$8="All",'Compliance Database'!$J546=Query!$B$8),OR(Query!$B$9="",ISNUMBER(SEARCH(Query!$B$9,'Compliance Database'!$D546&amp;" "&amp;'Compliance Database'!$K546&amp;" "&amp;'Compliance Database'!$L546&amp;" "&amp;'Compliance Database'!$M546&amp;" "&amp;'Compliance Database'!$N546&amp;" "&amp;'Compliance Database'!$O546))),OR(Query!$B$10&lt;&gt;"Yes",'Compliance Database'!$F546&lt;&gt;"None")),1,0)</f>
        <v>0</v>
      </c>
      <c r="B546" t="str">
        <f>IF($A546=1,SUM($A$2:$A546),"")</f>
        <v/>
      </c>
      <c r="C546">
        <f>IF($A546=1,SUM($A$2:$A546),0)</f>
        <v>0</v>
      </c>
    </row>
    <row r="547" spans="1:3" x14ac:dyDescent="0.3">
      <c r="A547">
        <f>IF(AND(OR(Query!$B$4="All",'Compliance Database'!$A547=Query!$B$4),OR(Query!$B$5="All",ISNUMBER(SEARCH(Query!$B$5,'Compliance Database'!$H547))),OR(Query!$B$6="All",ISNUMBER(SEARCH(Query!$B$6,'Compliance Database'!$I547))),OR(Query!$B$7="All",'Compliance Database'!$F547=Query!$B$7),OR(Query!$B$8="All",'Compliance Database'!$J547=Query!$B$8),OR(Query!$B$9="",ISNUMBER(SEARCH(Query!$B$9,'Compliance Database'!$D547&amp;" "&amp;'Compliance Database'!$K547&amp;" "&amp;'Compliance Database'!$L547&amp;" "&amp;'Compliance Database'!$M547&amp;" "&amp;'Compliance Database'!$N547&amp;" "&amp;'Compliance Database'!$O547))),OR(Query!$B$10&lt;&gt;"Yes",'Compliance Database'!$F547&lt;&gt;"None")),1,0)</f>
        <v>0</v>
      </c>
      <c r="B547" t="str">
        <f>IF($A547=1,SUM($A$2:$A547),"")</f>
        <v/>
      </c>
      <c r="C547">
        <f>IF($A547=1,SUM($A$2:$A547),0)</f>
        <v>0</v>
      </c>
    </row>
    <row r="548" spans="1:3" x14ac:dyDescent="0.3">
      <c r="A548">
        <f>IF(AND(OR(Query!$B$4="All",'Compliance Database'!$A548=Query!$B$4),OR(Query!$B$5="All",ISNUMBER(SEARCH(Query!$B$5,'Compliance Database'!$H548))),OR(Query!$B$6="All",ISNUMBER(SEARCH(Query!$B$6,'Compliance Database'!$I548))),OR(Query!$B$7="All",'Compliance Database'!$F548=Query!$B$7),OR(Query!$B$8="All",'Compliance Database'!$J548=Query!$B$8),OR(Query!$B$9="",ISNUMBER(SEARCH(Query!$B$9,'Compliance Database'!$D548&amp;" "&amp;'Compliance Database'!$K548&amp;" "&amp;'Compliance Database'!$L548&amp;" "&amp;'Compliance Database'!$M548&amp;" "&amp;'Compliance Database'!$N548&amp;" "&amp;'Compliance Database'!$O548))),OR(Query!$B$10&lt;&gt;"Yes",'Compliance Database'!$F548&lt;&gt;"None")),1,0)</f>
        <v>0</v>
      </c>
      <c r="B548" t="str">
        <f>IF($A548=1,SUM($A$2:$A548),"")</f>
        <v/>
      </c>
      <c r="C548">
        <f>IF($A548=1,SUM($A$2:$A548),0)</f>
        <v>0</v>
      </c>
    </row>
    <row r="549" spans="1:3" x14ac:dyDescent="0.3">
      <c r="A549">
        <f>IF(AND(OR(Query!$B$4="All",'Compliance Database'!$A549=Query!$B$4),OR(Query!$B$5="All",ISNUMBER(SEARCH(Query!$B$5,'Compliance Database'!$H549))),OR(Query!$B$6="All",ISNUMBER(SEARCH(Query!$B$6,'Compliance Database'!$I549))),OR(Query!$B$7="All",'Compliance Database'!$F549=Query!$B$7),OR(Query!$B$8="All",'Compliance Database'!$J549=Query!$B$8),OR(Query!$B$9="",ISNUMBER(SEARCH(Query!$B$9,'Compliance Database'!$D549&amp;" "&amp;'Compliance Database'!$K549&amp;" "&amp;'Compliance Database'!$L549&amp;" "&amp;'Compliance Database'!$M549&amp;" "&amp;'Compliance Database'!$N549&amp;" "&amp;'Compliance Database'!$O549))),OR(Query!$B$10&lt;&gt;"Yes",'Compliance Database'!$F549&lt;&gt;"None")),1,0)</f>
        <v>0</v>
      </c>
      <c r="B549" t="str">
        <f>IF($A549=1,SUM($A$2:$A549),"")</f>
        <v/>
      </c>
      <c r="C549">
        <f>IF($A549=1,SUM($A$2:$A549),0)</f>
        <v>0</v>
      </c>
    </row>
    <row r="550" spans="1:3" x14ac:dyDescent="0.3">
      <c r="A550">
        <f>IF(AND(OR(Query!$B$4="All",'Compliance Database'!$A550=Query!$B$4),OR(Query!$B$5="All",ISNUMBER(SEARCH(Query!$B$5,'Compliance Database'!$H550))),OR(Query!$B$6="All",ISNUMBER(SEARCH(Query!$B$6,'Compliance Database'!$I550))),OR(Query!$B$7="All",'Compliance Database'!$F550=Query!$B$7),OR(Query!$B$8="All",'Compliance Database'!$J550=Query!$B$8),OR(Query!$B$9="",ISNUMBER(SEARCH(Query!$B$9,'Compliance Database'!$D550&amp;" "&amp;'Compliance Database'!$K550&amp;" "&amp;'Compliance Database'!$L550&amp;" "&amp;'Compliance Database'!$M550&amp;" "&amp;'Compliance Database'!$N550&amp;" "&amp;'Compliance Database'!$O550))),OR(Query!$B$10&lt;&gt;"Yes",'Compliance Database'!$F550&lt;&gt;"None")),1,0)</f>
        <v>0</v>
      </c>
      <c r="B550" t="str">
        <f>IF($A550=1,SUM($A$2:$A550),"")</f>
        <v/>
      </c>
      <c r="C550">
        <f>IF($A550=1,SUM($A$2:$A550),0)</f>
        <v>0</v>
      </c>
    </row>
    <row r="551" spans="1:3" x14ac:dyDescent="0.3">
      <c r="A551">
        <f>IF(AND(OR(Query!$B$4="All",'Compliance Database'!$A551=Query!$B$4),OR(Query!$B$5="All",ISNUMBER(SEARCH(Query!$B$5,'Compliance Database'!$H551))),OR(Query!$B$6="All",ISNUMBER(SEARCH(Query!$B$6,'Compliance Database'!$I551))),OR(Query!$B$7="All",'Compliance Database'!$F551=Query!$B$7),OR(Query!$B$8="All",'Compliance Database'!$J551=Query!$B$8),OR(Query!$B$9="",ISNUMBER(SEARCH(Query!$B$9,'Compliance Database'!$D551&amp;" "&amp;'Compliance Database'!$K551&amp;" "&amp;'Compliance Database'!$L551&amp;" "&amp;'Compliance Database'!$M551&amp;" "&amp;'Compliance Database'!$N551&amp;" "&amp;'Compliance Database'!$O551))),OR(Query!$B$10&lt;&gt;"Yes",'Compliance Database'!$F551&lt;&gt;"None")),1,0)</f>
        <v>0</v>
      </c>
      <c r="B551" t="str">
        <f>IF($A551=1,SUM($A$2:$A551),"")</f>
        <v/>
      </c>
      <c r="C551">
        <f>IF($A551=1,SUM($A$2:$A551),0)</f>
        <v>0</v>
      </c>
    </row>
    <row r="552" spans="1:3" x14ac:dyDescent="0.3">
      <c r="A552">
        <f>IF(AND(OR(Query!$B$4="All",'Compliance Database'!$A552=Query!$B$4),OR(Query!$B$5="All",ISNUMBER(SEARCH(Query!$B$5,'Compliance Database'!$H552))),OR(Query!$B$6="All",ISNUMBER(SEARCH(Query!$B$6,'Compliance Database'!$I552))),OR(Query!$B$7="All",'Compliance Database'!$F552=Query!$B$7),OR(Query!$B$8="All",'Compliance Database'!$J552=Query!$B$8),OR(Query!$B$9="",ISNUMBER(SEARCH(Query!$B$9,'Compliance Database'!$D552&amp;" "&amp;'Compliance Database'!$K552&amp;" "&amp;'Compliance Database'!$L552&amp;" "&amp;'Compliance Database'!$M552&amp;" "&amp;'Compliance Database'!$N552&amp;" "&amp;'Compliance Database'!$O552))),OR(Query!$B$10&lt;&gt;"Yes",'Compliance Database'!$F552&lt;&gt;"None")),1,0)</f>
        <v>0</v>
      </c>
      <c r="B552" t="str">
        <f>IF($A552=1,SUM($A$2:$A552),"")</f>
        <v/>
      </c>
      <c r="C552">
        <f>IF($A552=1,SUM($A$2:$A552),0)</f>
        <v>0</v>
      </c>
    </row>
    <row r="553" spans="1:3" x14ac:dyDescent="0.3">
      <c r="A553">
        <f>IF(AND(OR(Query!$B$4="All",'Compliance Database'!$A553=Query!$B$4),OR(Query!$B$5="All",ISNUMBER(SEARCH(Query!$B$5,'Compliance Database'!$H553))),OR(Query!$B$6="All",ISNUMBER(SEARCH(Query!$B$6,'Compliance Database'!$I553))),OR(Query!$B$7="All",'Compliance Database'!$F553=Query!$B$7),OR(Query!$B$8="All",'Compliance Database'!$J553=Query!$B$8),OR(Query!$B$9="",ISNUMBER(SEARCH(Query!$B$9,'Compliance Database'!$D553&amp;" "&amp;'Compliance Database'!$K553&amp;" "&amp;'Compliance Database'!$L553&amp;" "&amp;'Compliance Database'!$M553&amp;" "&amp;'Compliance Database'!$N553&amp;" "&amp;'Compliance Database'!$O553))),OR(Query!$B$10&lt;&gt;"Yes",'Compliance Database'!$F553&lt;&gt;"None")),1,0)</f>
        <v>0</v>
      </c>
      <c r="B553" t="str">
        <f>IF($A553=1,SUM($A$2:$A553),"")</f>
        <v/>
      </c>
      <c r="C553">
        <f>IF($A553=1,SUM($A$2:$A553),0)</f>
        <v>0</v>
      </c>
    </row>
    <row r="554" spans="1:3" x14ac:dyDescent="0.3">
      <c r="A554">
        <f>IF(AND(OR(Query!$B$4="All",'Compliance Database'!$A554=Query!$B$4),OR(Query!$B$5="All",ISNUMBER(SEARCH(Query!$B$5,'Compliance Database'!$H554))),OR(Query!$B$6="All",ISNUMBER(SEARCH(Query!$B$6,'Compliance Database'!$I554))),OR(Query!$B$7="All",'Compliance Database'!$F554=Query!$B$7),OR(Query!$B$8="All",'Compliance Database'!$J554=Query!$B$8),OR(Query!$B$9="",ISNUMBER(SEARCH(Query!$B$9,'Compliance Database'!$D554&amp;" "&amp;'Compliance Database'!$K554&amp;" "&amp;'Compliance Database'!$L554&amp;" "&amp;'Compliance Database'!$M554&amp;" "&amp;'Compliance Database'!$N554&amp;" "&amp;'Compliance Database'!$O554))),OR(Query!$B$10&lt;&gt;"Yes",'Compliance Database'!$F554&lt;&gt;"None")),1,0)</f>
        <v>0</v>
      </c>
      <c r="B554" t="str">
        <f>IF($A554=1,SUM($A$2:$A554),"")</f>
        <v/>
      </c>
      <c r="C554">
        <f>IF($A554=1,SUM($A$2:$A554),0)</f>
        <v>0</v>
      </c>
    </row>
    <row r="555" spans="1:3" x14ac:dyDescent="0.3">
      <c r="A555">
        <f>IF(AND(OR(Query!$B$4="All",'Compliance Database'!$A555=Query!$B$4),OR(Query!$B$5="All",ISNUMBER(SEARCH(Query!$B$5,'Compliance Database'!$H555))),OR(Query!$B$6="All",ISNUMBER(SEARCH(Query!$B$6,'Compliance Database'!$I555))),OR(Query!$B$7="All",'Compliance Database'!$F555=Query!$B$7),OR(Query!$B$8="All",'Compliance Database'!$J555=Query!$B$8),OR(Query!$B$9="",ISNUMBER(SEARCH(Query!$B$9,'Compliance Database'!$D555&amp;" "&amp;'Compliance Database'!$K555&amp;" "&amp;'Compliance Database'!$L555&amp;" "&amp;'Compliance Database'!$M555&amp;" "&amp;'Compliance Database'!$N555&amp;" "&amp;'Compliance Database'!$O555))),OR(Query!$B$10&lt;&gt;"Yes",'Compliance Database'!$F555&lt;&gt;"None")),1,0)</f>
        <v>0</v>
      </c>
      <c r="B555" t="str">
        <f>IF($A555=1,SUM($A$2:$A555),"")</f>
        <v/>
      </c>
      <c r="C555">
        <f>IF($A555=1,SUM($A$2:$A555),0)</f>
        <v>0</v>
      </c>
    </row>
    <row r="556" spans="1:3" x14ac:dyDescent="0.3">
      <c r="A556">
        <f>IF(AND(OR(Query!$B$4="All",'Compliance Database'!$A556=Query!$B$4),OR(Query!$B$5="All",ISNUMBER(SEARCH(Query!$B$5,'Compliance Database'!$H556))),OR(Query!$B$6="All",ISNUMBER(SEARCH(Query!$B$6,'Compliance Database'!$I556))),OR(Query!$B$7="All",'Compliance Database'!$F556=Query!$B$7),OR(Query!$B$8="All",'Compliance Database'!$J556=Query!$B$8),OR(Query!$B$9="",ISNUMBER(SEARCH(Query!$B$9,'Compliance Database'!$D556&amp;" "&amp;'Compliance Database'!$K556&amp;" "&amp;'Compliance Database'!$L556&amp;" "&amp;'Compliance Database'!$M556&amp;" "&amp;'Compliance Database'!$N556&amp;" "&amp;'Compliance Database'!$O556))),OR(Query!$B$10&lt;&gt;"Yes",'Compliance Database'!$F556&lt;&gt;"None")),1,0)</f>
        <v>0</v>
      </c>
      <c r="B556" t="str">
        <f>IF($A556=1,SUM($A$2:$A556),"")</f>
        <v/>
      </c>
      <c r="C556">
        <f>IF($A556=1,SUM($A$2:$A556),0)</f>
        <v>0</v>
      </c>
    </row>
    <row r="557" spans="1:3" x14ac:dyDescent="0.3">
      <c r="A557">
        <f>IF(AND(OR(Query!$B$4="All",'Compliance Database'!$A557=Query!$B$4),OR(Query!$B$5="All",ISNUMBER(SEARCH(Query!$B$5,'Compliance Database'!$H557))),OR(Query!$B$6="All",ISNUMBER(SEARCH(Query!$B$6,'Compliance Database'!$I557))),OR(Query!$B$7="All",'Compliance Database'!$F557=Query!$B$7),OR(Query!$B$8="All",'Compliance Database'!$J557=Query!$B$8),OR(Query!$B$9="",ISNUMBER(SEARCH(Query!$B$9,'Compliance Database'!$D557&amp;" "&amp;'Compliance Database'!$K557&amp;" "&amp;'Compliance Database'!$L557&amp;" "&amp;'Compliance Database'!$M557&amp;" "&amp;'Compliance Database'!$N557&amp;" "&amp;'Compliance Database'!$O557))),OR(Query!$B$10&lt;&gt;"Yes",'Compliance Database'!$F557&lt;&gt;"None")),1,0)</f>
        <v>0</v>
      </c>
      <c r="B557" t="str">
        <f>IF($A557=1,SUM($A$2:$A557),"")</f>
        <v/>
      </c>
      <c r="C557">
        <f>IF($A557=1,SUM($A$2:$A557),0)</f>
        <v>0</v>
      </c>
    </row>
    <row r="558" spans="1:3" x14ac:dyDescent="0.3">
      <c r="A558">
        <f>IF(AND(OR(Query!$B$4="All",'Compliance Database'!$A558=Query!$B$4),OR(Query!$B$5="All",ISNUMBER(SEARCH(Query!$B$5,'Compliance Database'!$H558))),OR(Query!$B$6="All",ISNUMBER(SEARCH(Query!$B$6,'Compliance Database'!$I558))),OR(Query!$B$7="All",'Compliance Database'!$F558=Query!$B$7),OR(Query!$B$8="All",'Compliance Database'!$J558=Query!$B$8),OR(Query!$B$9="",ISNUMBER(SEARCH(Query!$B$9,'Compliance Database'!$D558&amp;" "&amp;'Compliance Database'!$K558&amp;" "&amp;'Compliance Database'!$L558&amp;" "&amp;'Compliance Database'!$M558&amp;" "&amp;'Compliance Database'!$N558&amp;" "&amp;'Compliance Database'!$O558))),OR(Query!$B$10&lt;&gt;"Yes",'Compliance Database'!$F558&lt;&gt;"None")),1,0)</f>
        <v>0</v>
      </c>
      <c r="B558" t="str">
        <f>IF($A558=1,SUM($A$2:$A558),"")</f>
        <v/>
      </c>
      <c r="C558">
        <f>IF($A558=1,SUM($A$2:$A558),0)</f>
        <v>0</v>
      </c>
    </row>
    <row r="559" spans="1:3" x14ac:dyDescent="0.3">
      <c r="A559">
        <f>IF(AND(OR(Query!$B$4="All",'Compliance Database'!$A559=Query!$B$4),OR(Query!$B$5="All",ISNUMBER(SEARCH(Query!$B$5,'Compliance Database'!$H559))),OR(Query!$B$6="All",ISNUMBER(SEARCH(Query!$B$6,'Compliance Database'!$I559))),OR(Query!$B$7="All",'Compliance Database'!$F559=Query!$B$7),OR(Query!$B$8="All",'Compliance Database'!$J559=Query!$B$8),OR(Query!$B$9="",ISNUMBER(SEARCH(Query!$B$9,'Compliance Database'!$D559&amp;" "&amp;'Compliance Database'!$K559&amp;" "&amp;'Compliance Database'!$L559&amp;" "&amp;'Compliance Database'!$M559&amp;" "&amp;'Compliance Database'!$N559&amp;" "&amp;'Compliance Database'!$O559))),OR(Query!$B$10&lt;&gt;"Yes",'Compliance Database'!$F559&lt;&gt;"None")),1,0)</f>
        <v>0</v>
      </c>
      <c r="B559" t="str">
        <f>IF($A559=1,SUM($A$2:$A559),"")</f>
        <v/>
      </c>
      <c r="C559">
        <f>IF($A559=1,SUM($A$2:$A559),0)</f>
        <v>0</v>
      </c>
    </row>
    <row r="560" spans="1:3" x14ac:dyDescent="0.3">
      <c r="A560">
        <f>IF(AND(OR(Query!$B$4="All",'Compliance Database'!$A560=Query!$B$4),OR(Query!$B$5="All",ISNUMBER(SEARCH(Query!$B$5,'Compliance Database'!$H560))),OR(Query!$B$6="All",ISNUMBER(SEARCH(Query!$B$6,'Compliance Database'!$I560))),OR(Query!$B$7="All",'Compliance Database'!$F560=Query!$B$7),OR(Query!$B$8="All",'Compliance Database'!$J560=Query!$B$8),OR(Query!$B$9="",ISNUMBER(SEARCH(Query!$B$9,'Compliance Database'!$D560&amp;" "&amp;'Compliance Database'!$K560&amp;" "&amp;'Compliance Database'!$L560&amp;" "&amp;'Compliance Database'!$M560&amp;" "&amp;'Compliance Database'!$N560&amp;" "&amp;'Compliance Database'!$O560))),OR(Query!$B$10&lt;&gt;"Yes",'Compliance Database'!$F560&lt;&gt;"None")),1,0)</f>
        <v>0</v>
      </c>
      <c r="B560" t="str">
        <f>IF($A560=1,SUM($A$2:$A560),"")</f>
        <v/>
      </c>
      <c r="C560">
        <f>IF($A560=1,SUM($A$2:$A560),0)</f>
        <v>0</v>
      </c>
    </row>
    <row r="561" spans="1:3" x14ac:dyDescent="0.3">
      <c r="A561">
        <f>IF(AND(OR(Query!$B$4="All",'Compliance Database'!$A561=Query!$B$4),OR(Query!$B$5="All",ISNUMBER(SEARCH(Query!$B$5,'Compliance Database'!$H561))),OR(Query!$B$6="All",ISNUMBER(SEARCH(Query!$B$6,'Compliance Database'!$I561))),OR(Query!$B$7="All",'Compliance Database'!$F561=Query!$B$7),OR(Query!$B$8="All",'Compliance Database'!$J561=Query!$B$8),OR(Query!$B$9="",ISNUMBER(SEARCH(Query!$B$9,'Compliance Database'!$D561&amp;" "&amp;'Compliance Database'!$K561&amp;" "&amp;'Compliance Database'!$L561&amp;" "&amp;'Compliance Database'!$M561&amp;" "&amp;'Compliance Database'!$N561&amp;" "&amp;'Compliance Database'!$O561))),OR(Query!$B$10&lt;&gt;"Yes",'Compliance Database'!$F561&lt;&gt;"None")),1,0)</f>
        <v>0</v>
      </c>
      <c r="B561" t="str">
        <f>IF($A561=1,SUM($A$2:$A561),"")</f>
        <v/>
      </c>
      <c r="C561">
        <f>IF($A561=1,SUM($A$2:$A561),0)</f>
        <v>0</v>
      </c>
    </row>
    <row r="562" spans="1:3" x14ac:dyDescent="0.3">
      <c r="A562">
        <f>IF(AND(OR(Query!$B$4="All",'Compliance Database'!$A562=Query!$B$4),OR(Query!$B$5="All",ISNUMBER(SEARCH(Query!$B$5,'Compliance Database'!$H562))),OR(Query!$B$6="All",ISNUMBER(SEARCH(Query!$B$6,'Compliance Database'!$I562))),OR(Query!$B$7="All",'Compliance Database'!$F562=Query!$B$7),OR(Query!$B$8="All",'Compliance Database'!$J562=Query!$B$8),OR(Query!$B$9="",ISNUMBER(SEARCH(Query!$B$9,'Compliance Database'!$D562&amp;" "&amp;'Compliance Database'!$K562&amp;" "&amp;'Compliance Database'!$L562&amp;" "&amp;'Compliance Database'!$M562&amp;" "&amp;'Compliance Database'!$N562&amp;" "&amp;'Compliance Database'!$O562))),OR(Query!$B$10&lt;&gt;"Yes",'Compliance Database'!$F562&lt;&gt;"None")),1,0)</f>
        <v>0</v>
      </c>
      <c r="B562" t="str">
        <f>IF($A562=1,SUM($A$2:$A562),"")</f>
        <v/>
      </c>
      <c r="C562">
        <f>IF($A562=1,SUM($A$2:$A562),0)</f>
        <v>0</v>
      </c>
    </row>
    <row r="563" spans="1:3" x14ac:dyDescent="0.3">
      <c r="A563">
        <f>IF(AND(OR(Query!$B$4="All",'Compliance Database'!$A563=Query!$B$4),OR(Query!$B$5="All",ISNUMBER(SEARCH(Query!$B$5,'Compliance Database'!$H563))),OR(Query!$B$6="All",ISNUMBER(SEARCH(Query!$B$6,'Compliance Database'!$I563))),OR(Query!$B$7="All",'Compliance Database'!$F563=Query!$B$7),OR(Query!$B$8="All",'Compliance Database'!$J563=Query!$B$8),OR(Query!$B$9="",ISNUMBER(SEARCH(Query!$B$9,'Compliance Database'!$D563&amp;" "&amp;'Compliance Database'!$K563&amp;" "&amp;'Compliance Database'!$L563&amp;" "&amp;'Compliance Database'!$M563&amp;" "&amp;'Compliance Database'!$N563&amp;" "&amp;'Compliance Database'!$O563))),OR(Query!$B$10&lt;&gt;"Yes",'Compliance Database'!$F563&lt;&gt;"None")),1,0)</f>
        <v>0</v>
      </c>
      <c r="B563" t="str">
        <f>IF($A563=1,SUM($A$2:$A563),"")</f>
        <v/>
      </c>
      <c r="C563">
        <f>IF($A563=1,SUM($A$2:$A563),0)</f>
        <v>0</v>
      </c>
    </row>
    <row r="564" spans="1:3" x14ac:dyDescent="0.3">
      <c r="A564">
        <f>IF(AND(OR(Query!$B$4="All",'Compliance Database'!$A564=Query!$B$4),OR(Query!$B$5="All",ISNUMBER(SEARCH(Query!$B$5,'Compliance Database'!$H564))),OR(Query!$B$6="All",ISNUMBER(SEARCH(Query!$B$6,'Compliance Database'!$I564))),OR(Query!$B$7="All",'Compliance Database'!$F564=Query!$B$7),OR(Query!$B$8="All",'Compliance Database'!$J564=Query!$B$8),OR(Query!$B$9="",ISNUMBER(SEARCH(Query!$B$9,'Compliance Database'!$D564&amp;" "&amp;'Compliance Database'!$K564&amp;" "&amp;'Compliance Database'!$L564&amp;" "&amp;'Compliance Database'!$M564&amp;" "&amp;'Compliance Database'!$N564&amp;" "&amp;'Compliance Database'!$O564))),OR(Query!$B$10&lt;&gt;"Yes",'Compliance Database'!$F564&lt;&gt;"None")),1,0)</f>
        <v>0</v>
      </c>
      <c r="B564" t="str">
        <f>IF($A564=1,SUM($A$2:$A564),"")</f>
        <v/>
      </c>
      <c r="C564">
        <f>IF($A564=1,SUM($A$2:$A564),0)</f>
        <v>0</v>
      </c>
    </row>
    <row r="565" spans="1:3" x14ac:dyDescent="0.3">
      <c r="A565">
        <f>IF(AND(OR(Query!$B$4="All",'Compliance Database'!$A565=Query!$B$4),OR(Query!$B$5="All",ISNUMBER(SEARCH(Query!$B$5,'Compliance Database'!$H565))),OR(Query!$B$6="All",ISNUMBER(SEARCH(Query!$B$6,'Compliance Database'!$I565))),OR(Query!$B$7="All",'Compliance Database'!$F565=Query!$B$7),OR(Query!$B$8="All",'Compliance Database'!$J565=Query!$B$8),OR(Query!$B$9="",ISNUMBER(SEARCH(Query!$B$9,'Compliance Database'!$D565&amp;" "&amp;'Compliance Database'!$K565&amp;" "&amp;'Compliance Database'!$L565&amp;" "&amp;'Compliance Database'!$M565&amp;" "&amp;'Compliance Database'!$N565&amp;" "&amp;'Compliance Database'!$O565))),OR(Query!$B$10&lt;&gt;"Yes",'Compliance Database'!$F565&lt;&gt;"None")),1,0)</f>
        <v>0</v>
      </c>
      <c r="B565" t="str">
        <f>IF($A565=1,SUM($A$2:$A565),"")</f>
        <v/>
      </c>
      <c r="C565">
        <f>IF($A565=1,SUM($A$2:$A565),0)</f>
        <v>0</v>
      </c>
    </row>
    <row r="566" spans="1:3" x14ac:dyDescent="0.3">
      <c r="A566">
        <f>IF(AND(OR(Query!$B$4="All",'Compliance Database'!$A566=Query!$B$4),OR(Query!$B$5="All",ISNUMBER(SEARCH(Query!$B$5,'Compliance Database'!$H566))),OR(Query!$B$6="All",ISNUMBER(SEARCH(Query!$B$6,'Compliance Database'!$I566))),OR(Query!$B$7="All",'Compliance Database'!$F566=Query!$B$7),OR(Query!$B$8="All",'Compliance Database'!$J566=Query!$B$8),OR(Query!$B$9="",ISNUMBER(SEARCH(Query!$B$9,'Compliance Database'!$D566&amp;" "&amp;'Compliance Database'!$K566&amp;" "&amp;'Compliance Database'!$L566&amp;" "&amp;'Compliance Database'!$M566&amp;" "&amp;'Compliance Database'!$N566&amp;" "&amp;'Compliance Database'!$O566))),OR(Query!$B$10&lt;&gt;"Yes",'Compliance Database'!$F566&lt;&gt;"None")),1,0)</f>
        <v>0</v>
      </c>
      <c r="B566" t="str">
        <f>IF($A566=1,SUM($A$2:$A566),"")</f>
        <v/>
      </c>
      <c r="C566">
        <f>IF($A566=1,SUM($A$2:$A566),0)</f>
        <v>0</v>
      </c>
    </row>
    <row r="567" spans="1:3" x14ac:dyDescent="0.3">
      <c r="A567">
        <f>IF(AND(OR(Query!$B$4="All",'Compliance Database'!$A567=Query!$B$4),OR(Query!$B$5="All",ISNUMBER(SEARCH(Query!$B$5,'Compliance Database'!$H567))),OR(Query!$B$6="All",ISNUMBER(SEARCH(Query!$B$6,'Compliance Database'!$I567))),OR(Query!$B$7="All",'Compliance Database'!$F567=Query!$B$7),OR(Query!$B$8="All",'Compliance Database'!$J567=Query!$B$8),OR(Query!$B$9="",ISNUMBER(SEARCH(Query!$B$9,'Compliance Database'!$D567&amp;" "&amp;'Compliance Database'!$K567&amp;" "&amp;'Compliance Database'!$L567&amp;" "&amp;'Compliance Database'!$M567&amp;" "&amp;'Compliance Database'!$N567&amp;" "&amp;'Compliance Database'!$O567))),OR(Query!$B$10&lt;&gt;"Yes",'Compliance Database'!$F567&lt;&gt;"None")),1,0)</f>
        <v>0</v>
      </c>
      <c r="B567" t="str">
        <f>IF($A567=1,SUM($A$2:$A567),"")</f>
        <v/>
      </c>
      <c r="C567">
        <f>IF($A567=1,SUM($A$2:$A567),0)</f>
        <v>0</v>
      </c>
    </row>
    <row r="568" spans="1:3" x14ac:dyDescent="0.3">
      <c r="A568">
        <f>IF(AND(OR(Query!$B$4="All",'Compliance Database'!$A568=Query!$B$4),OR(Query!$B$5="All",ISNUMBER(SEARCH(Query!$B$5,'Compliance Database'!$H568))),OR(Query!$B$6="All",ISNUMBER(SEARCH(Query!$B$6,'Compliance Database'!$I568))),OR(Query!$B$7="All",'Compliance Database'!$F568=Query!$B$7),OR(Query!$B$8="All",'Compliance Database'!$J568=Query!$B$8),OR(Query!$B$9="",ISNUMBER(SEARCH(Query!$B$9,'Compliance Database'!$D568&amp;" "&amp;'Compliance Database'!$K568&amp;" "&amp;'Compliance Database'!$L568&amp;" "&amp;'Compliance Database'!$M568&amp;" "&amp;'Compliance Database'!$N568&amp;" "&amp;'Compliance Database'!$O568))),OR(Query!$B$10&lt;&gt;"Yes",'Compliance Database'!$F568&lt;&gt;"None")),1,0)</f>
        <v>0</v>
      </c>
      <c r="B568" t="str">
        <f>IF($A568=1,SUM($A$2:$A568),"")</f>
        <v/>
      </c>
      <c r="C568">
        <f>IF($A568=1,SUM($A$2:$A568),0)</f>
        <v>0</v>
      </c>
    </row>
    <row r="569" spans="1:3" x14ac:dyDescent="0.3">
      <c r="A569">
        <f>IF(AND(OR(Query!$B$4="All",'Compliance Database'!$A569=Query!$B$4),OR(Query!$B$5="All",ISNUMBER(SEARCH(Query!$B$5,'Compliance Database'!$H569))),OR(Query!$B$6="All",ISNUMBER(SEARCH(Query!$B$6,'Compliance Database'!$I569))),OR(Query!$B$7="All",'Compliance Database'!$F569=Query!$B$7),OR(Query!$B$8="All",'Compliance Database'!$J569=Query!$B$8),OR(Query!$B$9="",ISNUMBER(SEARCH(Query!$B$9,'Compliance Database'!$D569&amp;" "&amp;'Compliance Database'!$K569&amp;" "&amp;'Compliance Database'!$L569&amp;" "&amp;'Compliance Database'!$M569&amp;" "&amp;'Compliance Database'!$N569&amp;" "&amp;'Compliance Database'!$O569))),OR(Query!$B$10&lt;&gt;"Yes",'Compliance Database'!$F569&lt;&gt;"None")),1,0)</f>
        <v>0</v>
      </c>
      <c r="B569" t="str">
        <f>IF($A569=1,SUM($A$2:$A569),"")</f>
        <v/>
      </c>
      <c r="C569">
        <f>IF($A569=1,SUM($A$2:$A569),0)</f>
        <v>0</v>
      </c>
    </row>
    <row r="570" spans="1:3" x14ac:dyDescent="0.3">
      <c r="A570">
        <f>IF(AND(OR(Query!$B$4="All",'Compliance Database'!$A570=Query!$B$4),OR(Query!$B$5="All",ISNUMBER(SEARCH(Query!$B$5,'Compliance Database'!$H570))),OR(Query!$B$6="All",ISNUMBER(SEARCH(Query!$B$6,'Compliance Database'!$I570))),OR(Query!$B$7="All",'Compliance Database'!$F570=Query!$B$7),OR(Query!$B$8="All",'Compliance Database'!$J570=Query!$B$8),OR(Query!$B$9="",ISNUMBER(SEARCH(Query!$B$9,'Compliance Database'!$D570&amp;" "&amp;'Compliance Database'!$K570&amp;" "&amp;'Compliance Database'!$L570&amp;" "&amp;'Compliance Database'!$M570&amp;" "&amp;'Compliance Database'!$N570&amp;" "&amp;'Compliance Database'!$O570))),OR(Query!$B$10&lt;&gt;"Yes",'Compliance Database'!$F570&lt;&gt;"None")),1,0)</f>
        <v>0</v>
      </c>
      <c r="B570" t="str">
        <f>IF($A570=1,SUM($A$2:$A570),"")</f>
        <v/>
      </c>
      <c r="C570">
        <f>IF($A570=1,SUM($A$2:$A570),0)</f>
        <v>0</v>
      </c>
    </row>
    <row r="571" spans="1:3" x14ac:dyDescent="0.3">
      <c r="A571">
        <f>IF(AND(OR(Query!$B$4="All",'Compliance Database'!$A571=Query!$B$4),OR(Query!$B$5="All",ISNUMBER(SEARCH(Query!$B$5,'Compliance Database'!$H571))),OR(Query!$B$6="All",ISNUMBER(SEARCH(Query!$B$6,'Compliance Database'!$I571))),OR(Query!$B$7="All",'Compliance Database'!$F571=Query!$B$7),OR(Query!$B$8="All",'Compliance Database'!$J571=Query!$B$8),OR(Query!$B$9="",ISNUMBER(SEARCH(Query!$B$9,'Compliance Database'!$D571&amp;" "&amp;'Compliance Database'!$K571&amp;" "&amp;'Compliance Database'!$L571&amp;" "&amp;'Compliance Database'!$M571&amp;" "&amp;'Compliance Database'!$N571&amp;" "&amp;'Compliance Database'!$O571))),OR(Query!$B$10&lt;&gt;"Yes",'Compliance Database'!$F571&lt;&gt;"None")),1,0)</f>
        <v>0</v>
      </c>
      <c r="B571" t="str">
        <f>IF($A571=1,SUM($A$2:$A571),"")</f>
        <v/>
      </c>
      <c r="C571">
        <f>IF($A571=1,SUM($A$2:$A571),0)</f>
        <v>0</v>
      </c>
    </row>
    <row r="572" spans="1:3" x14ac:dyDescent="0.3">
      <c r="A572">
        <f>IF(AND(OR(Query!$B$4="All",'Compliance Database'!$A572=Query!$B$4),OR(Query!$B$5="All",ISNUMBER(SEARCH(Query!$B$5,'Compliance Database'!$H572))),OR(Query!$B$6="All",ISNUMBER(SEARCH(Query!$B$6,'Compliance Database'!$I572))),OR(Query!$B$7="All",'Compliance Database'!$F572=Query!$B$7),OR(Query!$B$8="All",'Compliance Database'!$J572=Query!$B$8),OR(Query!$B$9="",ISNUMBER(SEARCH(Query!$B$9,'Compliance Database'!$D572&amp;" "&amp;'Compliance Database'!$K572&amp;" "&amp;'Compliance Database'!$L572&amp;" "&amp;'Compliance Database'!$M572&amp;" "&amp;'Compliance Database'!$N572&amp;" "&amp;'Compliance Database'!$O572))),OR(Query!$B$10&lt;&gt;"Yes",'Compliance Database'!$F572&lt;&gt;"None")),1,0)</f>
        <v>0</v>
      </c>
      <c r="B572" t="str">
        <f>IF($A572=1,SUM($A$2:$A572),"")</f>
        <v/>
      </c>
      <c r="C572">
        <f>IF($A572=1,SUM($A$2:$A572),0)</f>
        <v>0</v>
      </c>
    </row>
    <row r="573" spans="1:3" x14ac:dyDescent="0.3">
      <c r="A573">
        <f>IF(AND(OR(Query!$B$4="All",'Compliance Database'!$A573=Query!$B$4),OR(Query!$B$5="All",ISNUMBER(SEARCH(Query!$B$5,'Compliance Database'!$H573))),OR(Query!$B$6="All",ISNUMBER(SEARCH(Query!$B$6,'Compliance Database'!$I573))),OR(Query!$B$7="All",'Compliance Database'!$F573=Query!$B$7),OR(Query!$B$8="All",'Compliance Database'!$J573=Query!$B$8),OR(Query!$B$9="",ISNUMBER(SEARCH(Query!$B$9,'Compliance Database'!$D573&amp;" "&amp;'Compliance Database'!$K573&amp;" "&amp;'Compliance Database'!$L573&amp;" "&amp;'Compliance Database'!$M573&amp;" "&amp;'Compliance Database'!$N573&amp;" "&amp;'Compliance Database'!$O573))),OR(Query!$B$10&lt;&gt;"Yes",'Compliance Database'!$F573&lt;&gt;"None")),1,0)</f>
        <v>0</v>
      </c>
      <c r="B573" t="str">
        <f>IF($A573=1,SUM($A$2:$A573),"")</f>
        <v/>
      </c>
      <c r="C573">
        <f>IF($A573=1,SUM($A$2:$A573),0)</f>
        <v>0</v>
      </c>
    </row>
    <row r="574" spans="1:3" x14ac:dyDescent="0.3">
      <c r="A574">
        <f>IF(AND(OR(Query!$B$4="All",'Compliance Database'!$A574=Query!$B$4),OR(Query!$B$5="All",ISNUMBER(SEARCH(Query!$B$5,'Compliance Database'!$H574))),OR(Query!$B$6="All",ISNUMBER(SEARCH(Query!$B$6,'Compliance Database'!$I574))),OR(Query!$B$7="All",'Compliance Database'!$F574=Query!$B$7),OR(Query!$B$8="All",'Compliance Database'!$J574=Query!$B$8),OR(Query!$B$9="",ISNUMBER(SEARCH(Query!$B$9,'Compliance Database'!$D574&amp;" "&amp;'Compliance Database'!$K574&amp;" "&amp;'Compliance Database'!$L574&amp;" "&amp;'Compliance Database'!$M574&amp;" "&amp;'Compliance Database'!$N574&amp;" "&amp;'Compliance Database'!$O574))),OR(Query!$B$10&lt;&gt;"Yes",'Compliance Database'!$F574&lt;&gt;"None")),1,0)</f>
        <v>0</v>
      </c>
      <c r="B574" t="str">
        <f>IF($A574=1,SUM($A$2:$A574),"")</f>
        <v/>
      </c>
      <c r="C574">
        <f>IF($A574=1,SUM($A$2:$A574),0)</f>
        <v>0</v>
      </c>
    </row>
    <row r="575" spans="1:3" x14ac:dyDescent="0.3">
      <c r="A575">
        <f>IF(AND(OR(Query!$B$4="All",'Compliance Database'!$A575=Query!$B$4),OR(Query!$B$5="All",ISNUMBER(SEARCH(Query!$B$5,'Compliance Database'!$H575))),OR(Query!$B$6="All",ISNUMBER(SEARCH(Query!$B$6,'Compliance Database'!$I575))),OR(Query!$B$7="All",'Compliance Database'!$F575=Query!$B$7),OR(Query!$B$8="All",'Compliance Database'!$J575=Query!$B$8),OR(Query!$B$9="",ISNUMBER(SEARCH(Query!$B$9,'Compliance Database'!$D575&amp;" "&amp;'Compliance Database'!$K575&amp;" "&amp;'Compliance Database'!$L575&amp;" "&amp;'Compliance Database'!$M575&amp;" "&amp;'Compliance Database'!$N575&amp;" "&amp;'Compliance Database'!$O575))),OR(Query!$B$10&lt;&gt;"Yes",'Compliance Database'!$F575&lt;&gt;"None")),1,0)</f>
        <v>0</v>
      </c>
      <c r="B575" t="str">
        <f>IF($A575=1,SUM($A$2:$A575),"")</f>
        <v/>
      </c>
      <c r="C575">
        <f>IF($A575=1,SUM($A$2:$A575),0)</f>
        <v>0</v>
      </c>
    </row>
    <row r="576" spans="1:3" x14ac:dyDescent="0.3">
      <c r="A576">
        <f>IF(AND(OR(Query!$B$4="All",'Compliance Database'!$A576=Query!$B$4),OR(Query!$B$5="All",ISNUMBER(SEARCH(Query!$B$5,'Compliance Database'!$H576))),OR(Query!$B$6="All",ISNUMBER(SEARCH(Query!$B$6,'Compliance Database'!$I576))),OR(Query!$B$7="All",'Compliance Database'!$F576=Query!$B$7),OR(Query!$B$8="All",'Compliance Database'!$J576=Query!$B$8),OR(Query!$B$9="",ISNUMBER(SEARCH(Query!$B$9,'Compliance Database'!$D576&amp;" "&amp;'Compliance Database'!$K576&amp;" "&amp;'Compliance Database'!$L576&amp;" "&amp;'Compliance Database'!$M576&amp;" "&amp;'Compliance Database'!$N576&amp;" "&amp;'Compliance Database'!$O576))),OR(Query!$B$10&lt;&gt;"Yes",'Compliance Database'!$F576&lt;&gt;"None")),1,0)</f>
        <v>0</v>
      </c>
      <c r="B576" t="str">
        <f>IF($A576=1,SUM($A$2:$A576),"")</f>
        <v/>
      </c>
      <c r="C576">
        <f>IF($A576=1,SUM($A$2:$A576),0)</f>
        <v>0</v>
      </c>
    </row>
    <row r="577" spans="1:3" x14ac:dyDescent="0.3">
      <c r="A577">
        <f>IF(AND(OR(Query!$B$4="All",'Compliance Database'!$A577=Query!$B$4),OR(Query!$B$5="All",ISNUMBER(SEARCH(Query!$B$5,'Compliance Database'!$H577))),OR(Query!$B$6="All",ISNUMBER(SEARCH(Query!$B$6,'Compliance Database'!$I577))),OR(Query!$B$7="All",'Compliance Database'!$F577=Query!$B$7),OR(Query!$B$8="All",'Compliance Database'!$J577=Query!$B$8),OR(Query!$B$9="",ISNUMBER(SEARCH(Query!$B$9,'Compliance Database'!$D577&amp;" "&amp;'Compliance Database'!$K577&amp;" "&amp;'Compliance Database'!$L577&amp;" "&amp;'Compliance Database'!$M577&amp;" "&amp;'Compliance Database'!$N577&amp;" "&amp;'Compliance Database'!$O577))),OR(Query!$B$10&lt;&gt;"Yes",'Compliance Database'!$F577&lt;&gt;"None")),1,0)</f>
        <v>0</v>
      </c>
      <c r="B577" t="str">
        <f>IF($A577=1,SUM($A$2:$A577),"")</f>
        <v/>
      </c>
      <c r="C577">
        <f>IF($A577=1,SUM($A$2:$A577),0)</f>
        <v>0</v>
      </c>
    </row>
    <row r="578" spans="1:3" x14ac:dyDescent="0.3">
      <c r="A578">
        <f>IF(AND(OR(Query!$B$4="All",'Compliance Database'!$A578=Query!$B$4),OR(Query!$B$5="All",ISNUMBER(SEARCH(Query!$B$5,'Compliance Database'!$H578))),OR(Query!$B$6="All",ISNUMBER(SEARCH(Query!$B$6,'Compliance Database'!$I578))),OR(Query!$B$7="All",'Compliance Database'!$F578=Query!$B$7),OR(Query!$B$8="All",'Compliance Database'!$J578=Query!$B$8),OR(Query!$B$9="",ISNUMBER(SEARCH(Query!$B$9,'Compliance Database'!$D578&amp;" "&amp;'Compliance Database'!$K578&amp;" "&amp;'Compliance Database'!$L578&amp;" "&amp;'Compliance Database'!$M578&amp;" "&amp;'Compliance Database'!$N578&amp;" "&amp;'Compliance Database'!$O578))),OR(Query!$B$10&lt;&gt;"Yes",'Compliance Database'!$F578&lt;&gt;"None")),1,0)</f>
        <v>0</v>
      </c>
      <c r="B578" t="str">
        <f>IF($A578=1,SUM($A$2:$A578),"")</f>
        <v/>
      </c>
      <c r="C578">
        <f>IF($A578=1,SUM($A$2:$A578),0)</f>
        <v>0</v>
      </c>
    </row>
    <row r="579" spans="1:3" x14ac:dyDescent="0.3">
      <c r="A579">
        <f>IF(AND(OR(Query!$B$4="All",'Compliance Database'!$A579=Query!$B$4),OR(Query!$B$5="All",ISNUMBER(SEARCH(Query!$B$5,'Compliance Database'!$H579))),OR(Query!$B$6="All",ISNUMBER(SEARCH(Query!$B$6,'Compliance Database'!$I579))),OR(Query!$B$7="All",'Compliance Database'!$F579=Query!$B$7),OR(Query!$B$8="All",'Compliance Database'!$J579=Query!$B$8),OR(Query!$B$9="",ISNUMBER(SEARCH(Query!$B$9,'Compliance Database'!$D579&amp;" "&amp;'Compliance Database'!$K579&amp;" "&amp;'Compliance Database'!$L579&amp;" "&amp;'Compliance Database'!$M579&amp;" "&amp;'Compliance Database'!$N579&amp;" "&amp;'Compliance Database'!$O579))),OR(Query!$B$10&lt;&gt;"Yes",'Compliance Database'!$F579&lt;&gt;"None")),1,0)</f>
        <v>0</v>
      </c>
      <c r="B579" t="str">
        <f>IF($A579=1,SUM($A$2:$A579),"")</f>
        <v/>
      </c>
      <c r="C579">
        <f>IF($A579=1,SUM($A$2:$A579),0)</f>
        <v>0</v>
      </c>
    </row>
    <row r="580" spans="1:3" x14ac:dyDescent="0.3">
      <c r="A580">
        <f>IF(AND(OR(Query!$B$4="All",'Compliance Database'!$A580=Query!$B$4),OR(Query!$B$5="All",ISNUMBER(SEARCH(Query!$B$5,'Compliance Database'!$H580))),OR(Query!$B$6="All",ISNUMBER(SEARCH(Query!$B$6,'Compliance Database'!$I580))),OR(Query!$B$7="All",'Compliance Database'!$F580=Query!$B$7),OR(Query!$B$8="All",'Compliance Database'!$J580=Query!$B$8),OR(Query!$B$9="",ISNUMBER(SEARCH(Query!$B$9,'Compliance Database'!$D580&amp;" "&amp;'Compliance Database'!$K580&amp;" "&amp;'Compliance Database'!$L580&amp;" "&amp;'Compliance Database'!$M580&amp;" "&amp;'Compliance Database'!$N580&amp;" "&amp;'Compliance Database'!$O580))),OR(Query!$B$10&lt;&gt;"Yes",'Compliance Database'!$F580&lt;&gt;"None")),1,0)</f>
        <v>0</v>
      </c>
      <c r="B580" t="str">
        <f>IF($A580=1,SUM($A$2:$A580),"")</f>
        <v/>
      </c>
      <c r="C580">
        <f>IF($A580=1,SUM($A$2:$A580),0)</f>
        <v>0</v>
      </c>
    </row>
    <row r="581" spans="1:3" x14ac:dyDescent="0.3">
      <c r="A581">
        <f>IF(AND(OR(Query!$B$4="All",'Compliance Database'!$A581=Query!$B$4),OR(Query!$B$5="All",ISNUMBER(SEARCH(Query!$B$5,'Compliance Database'!$H581))),OR(Query!$B$6="All",ISNUMBER(SEARCH(Query!$B$6,'Compliance Database'!$I581))),OR(Query!$B$7="All",'Compliance Database'!$F581=Query!$B$7),OR(Query!$B$8="All",'Compliance Database'!$J581=Query!$B$8),OR(Query!$B$9="",ISNUMBER(SEARCH(Query!$B$9,'Compliance Database'!$D581&amp;" "&amp;'Compliance Database'!$K581&amp;" "&amp;'Compliance Database'!$L581&amp;" "&amp;'Compliance Database'!$M581&amp;" "&amp;'Compliance Database'!$N581&amp;" "&amp;'Compliance Database'!$O581))),OR(Query!$B$10&lt;&gt;"Yes",'Compliance Database'!$F581&lt;&gt;"None")),1,0)</f>
        <v>0</v>
      </c>
      <c r="B581" t="str">
        <f>IF($A581=1,SUM($A$2:$A581),"")</f>
        <v/>
      </c>
      <c r="C581">
        <f>IF($A581=1,SUM($A$2:$A581),0)</f>
        <v>0</v>
      </c>
    </row>
    <row r="582" spans="1:3" x14ac:dyDescent="0.3">
      <c r="A582">
        <f>IF(AND(OR(Query!$B$4="All",'Compliance Database'!$A582=Query!$B$4),OR(Query!$B$5="All",ISNUMBER(SEARCH(Query!$B$5,'Compliance Database'!$H582))),OR(Query!$B$6="All",ISNUMBER(SEARCH(Query!$B$6,'Compliance Database'!$I582))),OR(Query!$B$7="All",'Compliance Database'!$F582=Query!$B$7),OR(Query!$B$8="All",'Compliance Database'!$J582=Query!$B$8),OR(Query!$B$9="",ISNUMBER(SEARCH(Query!$B$9,'Compliance Database'!$D582&amp;" "&amp;'Compliance Database'!$K582&amp;" "&amp;'Compliance Database'!$L582&amp;" "&amp;'Compliance Database'!$M582&amp;" "&amp;'Compliance Database'!$N582&amp;" "&amp;'Compliance Database'!$O582))),OR(Query!$B$10&lt;&gt;"Yes",'Compliance Database'!$F582&lt;&gt;"None")),1,0)</f>
        <v>0</v>
      </c>
      <c r="B582" t="str">
        <f>IF($A582=1,SUM($A$2:$A582),"")</f>
        <v/>
      </c>
      <c r="C582">
        <f>IF($A582=1,SUM($A$2:$A582),0)</f>
        <v>0</v>
      </c>
    </row>
    <row r="583" spans="1:3" x14ac:dyDescent="0.3">
      <c r="A583">
        <f>IF(AND(OR(Query!$B$4="All",'Compliance Database'!$A583=Query!$B$4),OR(Query!$B$5="All",ISNUMBER(SEARCH(Query!$B$5,'Compliance Database'!$H583))),OR(Query!$B$6="All",ISNUMBER(SEARCH(Query!$B$6,'Compliance Database'!$I583))),OR(Query!$B$7="All",'Compliance Database'!$F583=Query!$B$7),OR(Query!$B$8="All",'Compliance Database'!$J583=Query!$B$8),OR(Query!$B$9="",ISNUMBER(SEARCH(Query!$B$9,'Compliance Database'!$D583&amp;" "&amp;'Compliance Database'!$K583&amp;" "&amp;'Compliance Database'!$L583&amp;" "&amp;'Compliance Database'!$M583&amp;" "&amp;'Compliance Database'!$N583&amp;" "&amp;'Compliance Database'!$O583))),OR(Query!$B$10&lt;&gt;"Yes",'Compliance Database'!$F583&lt;&gt;"None")),1,0)</f>
        <v>0</v>
      </c>
      <c r="B583" t="str">
        <f>IF($A583=1,SUM($A$2:$A583),"")</f>
        <v/>
      </c>
      <c r="C583">
        <f>IF($A583=1,SUM($A$2:$A583),0)</f>
        <v>0</v>
      </c>
    </row>
    <row r="584" spans="1:3" x14ac:dyDescent="0.3">
      <c r="A584">
        <f>IF(AND(OR(Query!$B$4="All",'Compliance Database'!$A584=Query!$B$4),OR(Query!$B$5="All",ISNUMBER(SEARCH(Query!$B$5,'Compliance Database'!$H584))),OR(Query!$B$6="All",ISNUMBER(SEARCH(Query!$B$6,'Compliance Database'!$I584))),OR(Query!$B$7="All",'Compliance Database'!$F584=Query!$B$7),OR(Query!$B$8="All",'Compliance Database'!$J584=Query!$B$8),OR(Query!$B$9="",ISNUMBER(SEARCH(Query!$B$9,'Compliance Database'!$D584&amp;" "&amp;'Compliance Database'!$K584&amp;" "&amp;'Compliance Database'!$L584&amp;" "&amp;'Compliance Database'!$M584&amp;" "&amp;'Compliance Database'!$N584&amp;" "&amp;'Compliance Database'!$O584))),OR(Query!$B$10&lt;&gt;"Yes",'Compliance Database'!$F584&lt;&gt;"None")),1,0)</f>
        <v>0</v>
      </c>
      <c r="B584" t="str">
        <f>IF($A584=1,SUM($A$2:$A584),"")</f>
        <v/>
      </c>
      <c r="C584">
        <f>IF($A584=1,SUM($A$2:$A584),0)</f>
        <v>0</v>
      </c>
    </row>
    <row r="585" spans="1:3" x14ac:dyDescent="0.3">
      <c r="A585">
        <f>IF(AND(OR(Query!$B$4="All",'Compliance Database'!$A585=Query!$B$4),OR(Query!$B$5="All",ISNUMBER(SEARCH(Query!$B$5,'Compliance Database'!$H585))),OR(Query!$B$6="All",ISNUMBER(SEARCH(Query!$B$6,'Compliance Database'!$I585))),OR(Query!$B$7="All",'Compliance Database'!$F585=Query!$B$7),OR(Query!$B$8="All",'Compliance Database'!$J585=Query!$B$8),OR(Query!$B$9="",ISNUMBER(SEARCH(Query!$B$9,'Compliance Database'!$D585&amp;" "&amp;'Compliance Database'!$K585&amp;" "&amp;'Compliance Database'!$L585&amp;" "&amp;'Compliance Database'!$M585&amp;" "&amp;'Compliance Database'!$N585&amp;" "&amp;'Compliance Database'!$O585))),OR(Query!$B$10&lt;&gt;"Yes",'Compliance Database'!$F585&lt;&gt;"None")),1,0)</f>
        <v>0</v>
      </c>
      <c r="B585" t="str">
        <f>IF($A585=1,SUM($A$2:$A585),"")</f>
        <v/>
      </c>
      <c r="C585">
        <f>IF($A585=1,SUM($A$2:$A585),0)</f>
        <v>0</v>
      </c>
    </row>
    <row r="586" spans="1:3" x14ac:dyDescent="0.3">
      <c r="A586">
        <f>IF(AND(OR(Query!$B$4="All",'Compliance Database'!$A586=Query!$B$4),OR(Query!$B$5="All",ISNUMBER(SEARCH(Query!$B$5,'Compliance Database'!$H586))),OR(Query!$B$6="All",ISNUMBER(SEARCH(Query!$B$6,'Compliance Database'!$I586))),OR(Query!$B$7="All",'Compliance Database'!$F586=Query!$B$7),OR(Query!$B$8="All",'Compliance Database'!$J586=Query!$B$8),OR(Query!$B$9="",ISNUMBER(SEARCH(Query!$B$9,'Compliance Database'!$D586&amp;" "&amp;'Compliance Database'!$K586&amp;" "&amp;'Compliance Database'!$L586&amp;" "&amp;'Compliance Database'!$M586&amp;" "&amp;'Compliance Database'!$N586&amp;" "&amp;'Compliance Database'!$O586))),OR(Query!$B$10&lt;&gt;"Yes",'Compliance Database'!$F586&lt;&gt;"None")),1,0)</f>
        <v>0</v>
      </c>
      <c r="B586" t="str">
        <f>IF($A586=1,SUM($A$2:$A586),"")</f>
        <v/>
      </c>
      <c r="C586">
        <f>IF($A586=1,SUM($A$2:$A586),0)</f>
        <v>0</v>
      </c>
    </row>
    <row r="587" spans="1:3" x14ac:dyDescent="0.3">
      <c r="A587">
        <f>IF(AND(OR(Query!$B$4="All",'Compliance Database'!$A587=Query!$B$4),OR(Query!$B$5="All",ISNUMBER(SEARCH(Query!$B$5,'Compliance Database'!$H587))),OR(Query!$B$6="All",ISNUMBER(SEARCH(Query!$B$6,'Compliance Database'!$I587))),OR(Query!$B$7="All",'Compliance Database'!$F587=Query!$B$7),OR(Query!$B$8="All",'Compliance Database'!$J587=Query!$B$8),OR(Query!$B$9="",ISNUMBER(SEARCH(Query!$B$9,'Compliance Database'!$D587&amp;" "&amp;'Compliance Database'!$K587&amp;" "&amp;'Compliance Database'!$L587&amp;" "&amp;'Compliance Database'!$M587&amp;" "&amp;'Compliance Database'!$N587&amp;" "&amp;'Compliance Database'!$O587))),OR(Query!$B$10&lt;&gt;"Yes",'Compliance Database'!$F587&lt;&gt;"None")),1,0)</f>
        <v>0</v>
      </c>
      <c r="B587" t="str">
        <f>IF($A587=1,SUM($A$2:$A587),"")</f>
        <v/>
      </c>
      <c r="C587">
        <f>IF($A587=1,SUM($A$2:$A587),0)</f>
        <v>0</v>
      </c>
    </row>
    <row r="588" spans="1:3" x14ac:dyDescent="0.3">
      <c r="A588">
        <f>IF(AND(OR(Query!$B$4="All",'Compliance Database'!$A588=Query!$B$4),OR(Query!$B$5="All",ISNUMBER(SEARCH(Query!$B$5,'Compliance Database'!$H588))),OR(Query!$B$6="All",ISNUMBER(SEARCH(Query!$B$6,'Compliance Database'!$I588))),OR(Query!$B$7="All",'Compliance Database'!$F588=Query!$B$7),OR(Query!$B$8="All",'Compliance Database'!$J588=Query!$B$8),OR(Query!$B$9="",ISNUMBER(SEARCH(Query!$B$9,'Compliance Database'!$D588&amp;" "&amp;'Compliance Database'!$K588&amp;" "&amp;'Compliance Database'!$L588&amp;" "&amp;'Compliance Database'!$M588&amp;" "&amp;'Compliance Database'!$N588&amp;" "&amp;'Compliance Database'!$O588))),OR(Query!$B$10&lt;&gt;"Yes",'Compliance Database'!$F588&lt;&gt;"None")),1,0)</f>
        <v>0</v>
      </c>
      <c r="B588" t="str">
        <f>IF($A588=1,SUM($A$2:$A588),"")</f>
        <v/>
      </c>
      <c r="C588">
        <f>IF($A588=1,SUM($A$2:$A588),0)</f>
        <v>0</v>
      </c>
    </row>
    <row r="589" spans="1:3" x14ac:dyDescent="0.3">
      <c r="A589">
        <f>IF(AND(OR(Query!$B$4="All",'Compliance Database'!$A589=Query!$B$4),OR(Query!$B$5="All",ISNUMBER(SEARCH(Query!$B$5,'Compliance Database'!$H589))),OR(Query!$B$6="All",ISNUMBER(SEARCH(Query!$B$6,'Compliance Database'!$I589))),OR(Query!$B$7="All",'Compliance Database'!$F589=Query!$B$7),OR(Query!$B$8="All",'Compliance Database'!$J589=Query!$B$8),OR(Query!$B$9="",ISNUMBER(SEARCH(Query!$B$9,'Compliance Database'!$D589&amp;" "&amp;'Compliance Database'!$K589&amp;" "&amp;'Compliance Database'!$L589&amp;" "&amp;'Compliance Database'!$M589&amp;" "&amp;'Compliance Database'!$N589&amp;" "&amp;'Compliance Database'!$O589))),OR(Query!$B$10&lt;&gt;"Yes",'Compliance Database'!$F589&lt;&gt;"None")),1,0)</f>
        <v>0</v>
      </c>
      <c r="B589" t="str">
        <f>IF($A589=1,SUM($A$2:$A589),"")</f>
        <v/>
      </c>
      <c r="C589">
        <f>IF($A589=1,SUM($A$2:$A589),0)</f>
        <v>0</v>
      </c>
    </row>
    <row r="590" spans="1:3" x14ac:dyDescent="0.3">
      <c r="A590">
        <f>IF(AND(OR(Query!$B$4="All",'Compliance Database'!$A590=Query!$B$4),OR(Query!$B$5="All",ISNUMBER(SEARCH(Query!$B$5,'Compliance Database'!$H590))),OR(Query!$B$6="All",ISNUMBER(SEARCH(Query!$B$6,'Compliance Database'!$I590))),OR(Query!$B$7="All",'Compliance Database'!$F590=Query!$B$7),OR(Query!$B$8="All",'Compliance Database'!$J590=Query!$B$8),OR(Query!$B$9="",ISNUMBER(SEARCH(Query!$B$9,'Compliance Database'!$D590&amp;" "&amp;'Compliance Database'!$K590&amp;" "&amp;'Compliance Database'!$L590&amp;" "&amp;'Compliance Database'!$M590&amp;" "&amp;'Compliance Database'!$N590&amp;" "&amp;'Compliance Database'!$O590))),OR(Query!$B$10&lt;&gt;"Yes",'Compliance Database'!$F590&lt;&gt;"None")),1,0)</f>
        <v>0</v>
      </c>
      <c r="B590" t="str">
        <f>IF($A590=1,SUM($A$2:$A590),"")</f>
        <v/>
      </c>
      <c r="C590">
        <f>IF($A590=1,SUM($A$2:$A590),0)</f>
        <v>0</v>
      </c>
    </row>
    <row r="591" spans="1:3" x14ac:dyDescent="0.3">
      <c r="A591">
        <f>IF(AND(OR(Query!$B$4="All",'Compliance Database'!$A591=Query!$B$4),OR(Query!$B$5="All",ISNUMBER(SEARCH(Query!$B$5,'Compliance Database'!$H591))),OR(Query!$B$6="All",ISNUMBER(SEARCH(Query!$B$6,'Compliance Database'!$I591))),OR(Query!$B$7="All",'Compliance Database'!$F591=Query!$B$7),OR(Query!$B$8="All",'Compliance Database'!$J591=Query!$B$8),OR(Query!$B$9="",ISNUMBER(SEARCH(Query!$B$9,'Compliance Database'!$D591&amp;" "&amp;'Compliance Database'!$K591&amp;" "&amp;'Compliance Database'!$L591&amp;" "&amp;'Compliance Database'!$M591&amp;" "&amp;'Compliance Database'!$N591&amp;" "&amp;'Compliance Database'!$O591))),OR(Query!$B$10&lt;&gt;"Yes",'Compliance Database'!$F591&lt;&gt;"None")),1,0)</f>
        <v>0</v>
      </c>
      <c r="B591" t="str">
        <f>IF($A591=1,SUM($A$2:$A591),"")</f>
        <v/>
      </c>
      <c r="C591">
        <f>IF($A591=1,SUM($A$2:$A591),0)</f>
        <v>0</v>
      </c>
    </row>
    <row r="592" spans="1:3" x14ac:dyDescent="0.3">
      <c r="A592">
        <f>IF(AND(OR(Query!$B$4="All",'Compliance Database'!$A592=Query!$B$4),OR(Query!$B$5="All",ISNUMBER(SEARCH(Query!$B$5,'Compliance Database'!$H592))),OR(Query!$B$6="All",ISNUMBER(SEARCH(Query!$B$6,'Compliance Database'!$I592))),OR(Query!$B$7="All",'Compliance Database'!$F592=Query!$B$7),OR(Query!$B$8="All",'Compliance Database'!$J592=Query!$B$8),OR(Query!$B$9="",ISNUMBER(SEARCH(Query!$B$9,'Compliance Database'!$D592&amp;" "&amp;'Compliance Database'!$K592&amp;" "&amp;'Compliance Database'!$L592&amp;" "&amp;'Compliance Database'!$M592&amp;" "&amp;'Compliance Database'!$N592&amp;" "&amp;'Compliance Database'!$O592))),OR(Query!$B$10&lt;&gt;"Yes",'Compliance Database'!$F592&lt;&gt;"None")),1,0)</f>
        <v>0</v>
      </c>
      <c r="B592" t="str">
        <f>IF($A592=1,SUM($A$2:$A592),"")</f>
        <v/>
      </c>
      <c r="C592">
        <f>IF($A592=1,SUM($A$2:$A592),0)</f>
        <v>0</v>
      </c>
    </row>
    <row r="593" spans="1:3" x14ac:dyDescent="0.3">
      <c r="A593">
        <f>IF(AND(OR(Query!$B$4="All",'Compliance Database'!$A593=Query!$B$4),OR(Query!$B$5="All",ISNUMBER(SEARCH(Query!$B$5,'Compliance Database'!$H593))),OR(Query!$B$6="All",ISNUMBER(SEARCH(Query!$B$6,'Compliance Database'!$I593))),OR(Query!$B$7="All",'Compliance Database'!$F593=Query!$B$7),OR(Query!$B$8="All",'Compliance Database'!$J593=Query!$B$8),OR(Query!$B$9="",ISNUMBER(SEARCH(Query!$B$9,'Compliance Database'!$D593&amp;" "&amp;'Compliance Database'!$K593&amp;" "&amp;'Compliance Database'!$L593&amp;" "&amp;'Compliance Database'!$M593&amp;" "&amp;'Compliance Database'!$N593&amp;" "&amp;'Compliance Database'!$O593))),OR(Query!$B$10&lt;&gt;"Yes",'Compliance Database'!$F593&lt;&gt;"None")),1,0)</f>
        <v>0</v>
      </c>
      <c r="B593" t="str">
        <f>IF($A593=1,SUM($A$2:$A593),"")</f>
        <v/>
      </c>
      <c r="C593">
        <f>IF($A593=1,SUM($A$2:$A593),0)</f>
        <v>0</v>
      </c>
    </row>
    <row r="594" spans="1:3" x14ac:dyDescent="0.3">
      <c r="A594">
        <f>IF(AND(OR(Query!$B$4="All",'Compliance Database'!$A594=Query!$B$4),OR(Query!$B$5="All",ISNUMBER(SEARCH(Query!$B$5,'Compliance Database'!$H594))),OR(Query!$B$6="All",ISNUMBER(SEARCH(Query!$B$6,'Compliance Database'!$I594))),OR(Query!$B$7="All",'Compliance Database'!$F594=Query!$B$7),OR(Query!$B$8="All",'Compliance Database'!$J594=Query!$B$8),OR(Query!$B$9="",ISNUMBER(SEARCH(Query!$B$9,'Compliance Database'!$D594&amp;" "&amp;'Compliance Database'!$K594&amp;" "&amp;'Compliance Database'!$L594&amp;" "&amp;'Compliance Database'!$M594&amp;" "&amp;'Compliance Database'!$N594&amp;" "&amp;'Compliance Database'!$O594))),OR(Query!$B$10&lt;&gt;"Yes",'Compliance Database'!$F594&lt;&gt;"None")),1,0)</f>
        <v>0</v>
      </c>
      <c r="B594" t="str">
        <f>IF($A594=1,SUM($A$2:$A594),"")</f>
        <v/>
      </c>
      <c r="C594">
        <f>IF($A594=1,SUM($A$2:$A594),0)</f>
        <v>0</v>
      </c>
    </row>
    <row r="595" spans="1:3" x14ac:dyDescent="0.3">
      <c r="A595">
        <f>IF(AND(OR(Query!$B$4="All",'Compliance Database'!$A595=Query!$B$4),OR(Query!$B$5="All",ISNUMBER(SEARCH(Query!$B$5,'Compliance Database'!$H595))),OR(Query!$B$6="All",ISNUMBER(SEARCH(Query!$B$6,'Compliance Database'!$I595))),OR(Query!$B$7="All",'Compliance Database'!$F595=Query!$B$7),OR(Query!$B$8="All",'Compliance Database'!$J595=Query!$B$8),OR(Query!$B$9="",ISNUMBER(SEARCH(Query!$B$9,'Compliance Database'!$D595&amp;" "&amp;'Compliance Database'!$K595&amp;" "&amp;'Compliance Database'!$L595&amp;" "&amp;'Compliance Database'!$M595&amp;" "&amp;'Compliance Database'!$N595&amp;" "&amp;'Compliance Database'!$O595))),OR(Query!$B$10&lt;&gt;"Yes",'Compliance Database'!$F595&lt;&gt;"None")),1,0)</f>
        <v>0</v>
      </c>
      <c r="B595" t="str">
        <f>IF($A595=1,SUM($A$2:$A595),"")</f>
        <v/>
      </c>
      <c r="C595">
        <f>IF($A595=1,SUM($A$2:$A595),0)</f>
        <v>0</v>
      </c>
    </row>
    <row r="596" spans="1:3" x14ac:dyDescent="0.3">
      <c r="A596">
        <f>IF(AND(OR(Query!$B$4="All",'Compliance Database'!$A596=Query!$B$4),OR(Query!$B$5="All",ISNUMBER(SEARCH(Query!$B$5,'Compliance Database'!$H596))),OR(Query!$B$6="All",ISNUMBER(SEARCH(Query!$B$6,'Compliance Database'!$I596))),OR(Query!$B$7="All",'Compliance Database'!$F596=Query!$B$7),OR(Query!$B$8="All",'Compliance Database'!$J596=Query!$B$8),OR(Query!$B$9="",ISNUMBER(SEARCH(Query!$B$9,'Compliance Database'!$D596&amp;" "&amp;'Compliance Database'!$K596&amp;" "&amp;'Compliance Database'!$L596&amp;" "&amp;'Compliance Database'!$M596&amp;" "&amp;'Compliance Database'!$N596&amp;" "&amp;'Compliance Database'!$O596))),OR(Query!$B$10&lt;&gt;"Yes",'Compliance Database'!$F596&lt;&gt;"None")),1,0)</f>
        <v>0</v>
      </c>
      <c r="B596" t="str">
        <f>IF($A596=1,SUM($A$2:$A596),"")</f>
        <v/>
      </c>
      <c r="C596">
        <f>IF($A596=1,SUM($A$2:$A596),0)</f>
        <v>0</v>
      </c>
    </row>
    <row r="597" spans="1:3" x14ac:dyDescent="0.3">
      <c r="A597">
        <f>IF(AND(OR(Query!$B$4="All",'Compliance Database'!$A597=Query!$B$4),OR(Query!$B$5="All",ISNUMBER(SEARCH(Query!$B$5,'Compliance Database'!$H597))),OR(Query!$B$6="All",ISNUMBER(SEARCH(Query!$B$6,'Compliance Database'!$I597))),OR(Query!$B$7="All",'Compliance Database'!$F597=Query!$B$7),OR(Query!$B$8="All",'Compliance Database'!$J597=Query!$B$8),OR(Query!$B$9="",ISNUMBER(SEARCH(Query!$B$9,'Compliance Database'!$D597&amp;" "&amp;'Compliance Database'!$K597&amp;" "&amp;'Compliance Database'!$L597&amp;" "&amp;'Compliance Database'!$M597&amp;" "&amp;'Compliance Database'!$N597&amp;" "&amp;'Compliance Database'!$O597))),OR(Query!$B$10&lt;&gt;"Yes",'Compliance Database'!$F597&lt;&gt;"None")),1,0)</f>
        <v>0</v>
      </c>
      <c r="B597" t="str">
        <f>IF($A597=1,SUM($A$2:$A597),"")</f>
        <v/>
      </c>
      <c r="C597">
        <f>IF($A597=1,SUM($A$2:$A597),0)</f>
        <v>0</v>
      </c>
    </row>
    <row r="598" spans="1:3" x14ac:dyDescent="0.3">
      <c r="A598">
        <f>IF(AND(OR(Query!$B$4="All",'Compliance Database'!$A598=Query!$B$4),OR(Query!$B$5="All",ISNUMBER(SEARCH(Query!$B$5,'Compliance Database'!$H598))),OR(Query!$B$6="All",ISNUMBER(SEARCH(Query!$B$6,'Compliance Database'!$I598))),OR(Query!$B$7="All",'Compliance Database'!$F598=Query!$B$7),OR(Query!$B$8="All",'Compliance Database'!$J598=Query!$B$8),OR(Query!$B$9="",ISNUMBER(SEARCH(Query!$B$9,'Compliance Database'!$D598&amp;" "&amp;'Compliance Database'!$K598&amp;" "&amp;'Compliance Database'!$L598&amp;" "&amp;'Compliance Database'!$M598&amp;" "&amp;'Compliance Database'!$N598&amp;" "&amp;'Compliance Database'!$O598))),OR(Query!$B$10&lt;&gt;"Yes",'Compliance Database'!$F598&lt;&gt;"None")),1,0)</f>
        <v>0</v>
      </c>
      <c r="B598" t="str">
        <f>IF($A598=1,SUM($A$2:$A598),"")</f>
        <v/>
      </c>
      <c r="C598">
        <f>IF($A598=1,SUM($A$2:$A598),0)</f>
        <v>0</v>
      </c>
    </row>
    <row r="599" spans="1:3" x14ac:dyDescent="0.3">
      <c r="A599">
        <f>IF(AND(OR(Query!$B$4="All",'Compliance Database'!$A599=Query!$B$4),OR(Query!$B$5="All",ISNUMBER(SEARCH(Query!$B$5,'Compliance Database'!$H599))),OR(Query!$B$6="All",ISNUMBER(SEARCH(Query!$B$6,'Compliance Database'!$I599))),OR(Query!$B$7="All",'Compliance Database'!$F599=Query!$B$7),OR(Query!$B$8="All",'Compliance Database'!$J599=Query!$B$8),OR(Query!$B$9="",ISNUMBER(SEARCH(Query!$B$9,'Compliance Database'!$D599&amp;" "&amp;'Compliance Database'!$K599&amp;" "&amp;'Compliance Database'!$L599&amp;" "&amp;'Compliance Database'!$M599&amp;" "&amp;'Compliance Database'!$N599&amp;" "&amp;'Compliance Database'!$O599))),OR(Query!$B$10&lt;&gt;"Yes",'Compliance Database'!$F599&lt;&gt;"None")),1,0)</f>
        <v>0</v>
      </c>
      <c r="B599" t="str">
        <f>IF($A599=1,SUM($A$2:$A599),"")</f>
        <v/>
      </c>
      <c r="C599">
        <f>IF($A599=1,SUM($A$2:$A599),0)</f>
        <v>0</v>
      </c>
    </row>
    <row r="600" spans="1:3" x14ac:dyDescent="0.3">
      <c r="A600">
        <f>IF(AND(OR(Query!$B$4="All",'Compliance Database'!$A600=Query!$B$4),OR(Query!$B$5="All",ISNUMBER(SEARCH(Query!$B$5,'Compliance Database'!$H600))),OR(Query!$B$6="All",ISNUMBER(SEARCH(Query!$B$6,'Compliance Database'!$I600))),OR(Query!$B$7="All",'Compliance Database'!$F600=Query!$B$7),OR(Query!$B$8="All",'Compliance Database'!$J600=Query!$B$8),OR(Query!$B$9="",ISNUMBER(SEARCH(Query!$B$9,'Compliance Database'!$D600&amp;" "&amp;'Compliance Database'!$K600&amp;" "&amp;'Compliance Database'!$L600&amp;" "&amp;'Compliance Database'!$M600&amp;" "&amp;'Compliance Database'!$N600&amp;" "&amp;'Compliance Database'!$O600))),OR(Query!$B$10&lt;&gt;"Yes",'Compliance Database'!$F600&lt;&gt;"None")),1,0)</f>
        <v>0</v>
      </c>
      <c r="B600" t="str">
        <f>IF($A600=1,SUM($A$2:$A600),"")</f>
        <v/>
      </c>
      <c r="C600">
        <f>IF($A600=1,SUM($A$2:$A600),0)</f>
        <v>0</v>
      </c>
    </row>
    <row r="601" spans="1:3" x14ac:dyDescent="0.3">
      <c r="A601">
        <f>IF(AND(OR(Query!$B$4="All",'Compliance Database'!$A601=Query!$B$4),OR(Query!$B$5="All",ISNUMBER(SEARCH(Query!$B$5,'Compliance Database'!$H601))),OR(Query!$B$6="All",ISNUMBER(SEARCH(Query!$B$6,'Compliance Database'!$I601))),OR(Query!$B$7="All",'Compliance Database'!$F601=Query!$B$7),OR(Query!$B$8="All",'Compliance Database'!$J601=Query!$B$8),OR(Query!$B$9="",ISNUMBER(SEARCH(Query!$B$9,'Compliance Database'!$D601&amp;" "&amp;'Compliance Database'!$K601&amp;" "&amp;'Compliance Database'!$L601&amp;" "&amp;'Compliance Database'!$M601&amp;" "&amp;'Compliance Database'!$N601&amp;" "&amp;'Compliance Database'!$O601))),OR(Query!$B$10&lt;&gt;"Yes",'Compliance Database'!$F601&lt;&gt;"None")),1,0)</f>
        <v>0</v>
      </c>
      <c r="B601" t="str">
        <f>IF($A601=1,SUM($A$2:$A601),"")</f>
        <v/>
      </c>
      <c r="C601">
        <f>IF($A601=1,SUM($A$2:$A601),0)</f>
        <v>0</v>
      </c>
    </row>
    <row r="602" spans="1:3" x14ac:dyDescent="0.3">
      <c r="A602">
        <f>IF(AND(OR(Query!$B$4="All",'Compliance Database'!$A602=Query!$B$4),OR(Query!$B$5="All",ISNUMBER(SEARCH(Query!$B$5,'Compliance Database'!$H602))),OR(Query!$B$6="All",ISNUMBER(SEARCH(Query!$B$6,'Compliance Database'!$I602))),OR(Query!$B$7="All",'Compliance Database'!$F602=Query!$B$7),OR(Query!$B$8="All",'Compliance Database'!$J602=Query!$B$8),OR(Query!$B$9="",ISNUMBER(SEARCH(Query!$B$9,'Compliance Database'!$D602&amp;" "&amp;'Compliance Database'!$K602&amp;" "&amp;'Compliance Database'!$L602&amp;" "&amp;'Compliance Database'!$M602&amp;" "&amp;'Compliance Database'!$N602&amp;" "&amp;'Compliance Database'!$O602))),OR(Query!$B$10&lt;&gt;"Yes",'Compliance Database'!$F602&lt;&gt;"None")),1,0)</f>
        <v>0</v>
      </c>
      <c r="B602" t="str">
        <f>IF($A602=1,SUM($A$2:$A602),"")</f>
        <v/>
      </c>
      <c r="C602">
        <f>IF($A602=1,SUM($A$2:$A602),0)</f>
        <v>0</v>
      </c>
    </row>
    <row r="603" spans="1:3" x14ac:dyDescent="0.3">
      <c r="A603">
        <f>IF(AND(OR(Query!$B$4="All",'Compliance Database'!$A603=Query!$B$4),OR(Query!$B$5="All",ISNUMBER(SEARCH(Query!$B$5,'Compliance Database'!$H603))),OR(Query!$B$6="All",ISNUMBER(SEARCH(Query!$B$6,'Compliance Database'!$I603))),OR(Query!$B$7="All",'Compliance Database'!$F603=Query!$B$7),OR(Query!$B$8="All",'Compliance Database'!$J603=Query!$B$8),OR(Query!$B$9="",ISNUMBER(SEARCH(Query!$B$9,'Compliance Database'!$D603&amp;" "&amp;'Compliance Database'!$K603&amp;" "&amp;'Compliance Database'!$L603&amp;" "&amp;'Compliance Database'!$M603&amp;" "&amp;'Compliance Database'!$N603&amp;" "&amp;'Compliance Database'!$O603))),OR(Query!$B$10&lt;&gt;"Yes",'Compliance Database'!$F603&lt;&gt;"None")),1,0)</f>
        <v>0</v>
      </c>
      <c r="B603" t="str">
        <f>IF($A603=1,SUM($A$2:$A603),"")</f>
        <v/>
      </c>
      <c r="C603">
        <f>IF($A603=1,SUM($A$2:$A603),0)</f>
        <v>0</v>
      </c>
    </row>
    <row r="604" spans="1:3" x14ac:dyDescent="0.3">
      <c r="A604">
        <f>IF(AND(OR(Query!$B$4="All",'Compliance Database'!$A604=Query!$B$4),OR(Query!$B$5="All",ISNUMBER(SEARCH(Query!$B$5,'Compliance Database'!$H604))),OR(Query!$B$6="All",ISNUMBER(SEARCH(Query!$B$6,'Compliance Database'!$I604))),OR(Query!$B$7="All",'Compliance Database'!$F604=Query!$B$7),OR(Query!$B$8="All",'Compliance Database'!$J604=Query!$B$8),OR(Query!$B$9="",ISNUMBER(SEARCH(Query!$B$9,'Compliance Database'!$D604&amp;" "&amp;'Compliance Database'!$K604&amp;" "&amp;'Compliance Database'!$L604&amp;" "&amp;'Compliance Database'!$M604&amp;" "&amp;'Compliance Database'!$N604&amp;" "&amp;'Compliance Database'!$O604))),OR(Query!$B$10&lt;&gt;"Yes",'Compliance Database'!$F604&lt;&gt;"None")),1,0)</f>
        <v>0</v>
      </c>
      <c r="B604" t="str">
        <f>IF($A604=1,SUM($A$2:$A604),"")</f>
        <v/>
      </c>
      <c r="C604">
        <f>IF($A604=1,SUM($A$2:$A604),0)</f>
        <v>0</v>
      </c>
    </row>
    <row r="605" spans="1:3" x14ac:dyDescent="0.3">
      <c r="A605">
        <f>IF(AND(OR(Query!$B$4="All",'Compliance Database'!$A605=Query!$B$4),OR(Query!$B$5="All",ISNUMBER(SEARCH(Query!$B$5,'Compliance Database'!$H605))),OR(Query!$B$6="All",ISNUMBER(SEARCH(Query!$B$6,'Compliance Database'!$I605))),OR(Query!$B$7="All",'Compliance Database'!$F605=Query!$B$7),OR(Query!$B$8="All",'Compliance Database'!$J605=Query!$B$8),OR(Query!$B$9="",ISNUMBER(SEARCH(Query!$B$9,'Compliance Database'!$D605&amp;" "&amp;'Compliance Database'!$K605&amp;" "&amp;'Compliance Database'!$L605&amp;" "&amp;'Compliance Database'!$M605&amp;" "&amp;'Compliance Database'!$N605&amp;" "&amp;'Compliance Database'!$O605))),OR(Query!$B$10&lt;&gt;"Yes",'Compliance Database'!$F605&lt;&gt;"None")),1,0)</f>
        <v>0</v>
      </c>
      <c r="B605" t="str">
        <f>IF($A605=1,SUM($A$2:$A605),"")</f>
        <v/>
      </c>
      <c r="C605">
        <f>IF($A605=1,SUM($A$2:$A605),0)</f>
        <v>0</v>
      </c>
    </row>
    <row r="606" spans="1:3" x14ac:dyDescent="0.3">
      <c r="A606">
        <f>IF(AND(OR(Query!$B$4="All",'Compliance Database'!$A606=Query!$B$4),OR(Query!$B$5="All",ISNUMBER(SEARCH(Query!$B$5,'Compliance Database'!$H606))),OR(Query!$B$6="All",ISNUMBER(SEARCH(Query!$B$6,'Compliance Database'!$I606))),OR(Query!$B$7="All",'Compliance Database'!$F606=Query!$B$7),OR(Query!$B$8="All",'Compliance Database'!$J606=Query!$B$8),OR(Query!$B$9="",ISNUMBER(SEARCH(Query!$B$9,'Compliance Database'!$D606&amp;" "&amp;'Compliance Database'!$K606&amp;" "&amp;'Compliance Database'!$L606&amp;" "&amp;'Compliance Database'!$M606&amp;" "&amp;'Compliance Database'!$N606&amp;" "&amp;'Compliance Database'!$O606))),OR(Query!$B$10&lt;&gt;"Yes",'Compliance Database'!$F606&lt;&gt;"None")),1,0)</f>
        <v>0</v>
      </c>
      <c r="B606" t="str">
        <f>IF($A606=1,SUM($A$2:$A606),"")</f>
        <v/>
      </c>
      <c r="C606">
        <f>IF($A606=1,SUM($A$2:$A606),0)</f>
        <v>0</v>
      </c>
    </row>
    <row r="607" spans="1:3" x14ac:dyDescent="0.3">
      <c r="A607">
        <f>IF(AND(OR(Query!$B$4="All",'Compliance Database'!$A607=Query!$B$4),OR(Query!$B$5="All",ISNUMBER(SEARCH(Query!$B$5,'Compliance Database'!$H607))),OR(Query!$B$6="All",ISNUMBER(SEARCH(Query!$B$6,'Compliance Database'!$I607))),OR(Query!$B$7="All",'Compliance Database'!$F607=Query!$B$7),OR(Query!$B$8="All",'Compliance Database'!$J607=Query!$B$8),OR(Query!$B$9="",ISNUMBER(SEARCH(Query!$B$9,'Compliance Database'!$D607&amp;" "&amp;'Compliance Database'!$K607&amp;" "&amp;'Compliance Database'!$L607&amp;" "&amp;'Compliance Database'!$M607&amp;" "&amp;'Compliance Database'!$N607&amp;" "&amp;'Compliance Database'!$O607))),OR(Query!$B$10&lt;&gt;"Yes",'Compliance Database'!$F607&lt;&gt;"None")),1,0)</f>
        <v>0</v>
      </c>
      <c r="B607" t="str">
        <f>IF($A607=1,SUM($A$2:$A607),"")</f>
        <v/>
      </c>
      <c r="C607">
        <f>IF($A607=1,SUM($A$2:$A607),0)</f>
        <v>0</v>
      </c>
    </row>
    <row r="608" spans="1:3" x14ac:dyDescent="0.3">
      <c r="A608">
        <f>IF(AND(OR(Query!$B$4="All",'Compliance Database'!$A608=Query!$B$4),OR(Query!$B$5="All",ISNUMBER(SEARCH(Query!$B$5,'Compliance Database'!$H608))),OR(Query!$B$6="All",ISNUMBER(SEARCH(Query!$B$6,'Compliance Database'!$I608))),OR(Query!$B$7="All",'Compliance Database'!$F608=Query!$B$7),OR(Query!$B$8="All",'Compliance Database'!$J608=Query!$B$8),OR(Query!$B$9="",ISNUMBER(SEARCH(Query!$B$9,'Compliance Database'!$D608&amp;" "&amp;'Compliance Database'!$K608&amp;" "&amp;'Compliance Database'!$L608&amp;" "&amp;'Compliance Database'!$M608&amp;" "&amp;'Compliance Database'!$N608&amp;" "&amp;'Compliance Database'!$O608))),OR(Query!$B$10&lt;&gt;"Yes",'Compliance Database'!$F608&lt;&gt;"None")),1,0)</f>
        <v>0</v>
      </c>
      <c r="B608" t="str">
        <f>IF($A608=1,SUM($A$2:$A608),"")</f>
        <v/>
      </c>
      <c r="C608">
        <f>IF($A608=1,SUM($A$2:$A608),0)</f>
        <v>0</v>
      </c>
    </row>
    <row r="609" spans="1:3" x14ac:dyDescent="0.3">
      <c r="A609">
        <f>IF(AND(OR(Query!$B$4="All",'Compliance Database'!$A609=Query!$B$4),OR(Query!$B$5="All",ISNUMBER(SEARCH(Query!$B$5,'Compliance Database'!$H609))),OR(Query!$B$6="All",ISNUMBER(SEARCH(Query!$B$6,'Compliance Database'!$I609))),OR(Query!$B$7="All",'Compliance Database'!$F609=Query!$B$7),OR(Query!$B$8="All",'Compliance Database'!$J609=Query!$B$8),OR(Query!$B$9="",ISNUMBER(SEARCH(Query!$B$9,'Compliance Database'!$D609&amp;" "&amp;'Compliance Database'!$K609&amp;" "&amp;'Compliance Database'!$L609&amp;" "&amp;'Compliance Database'!$M609&amp;" "&amp;'Compliance Database'!$N609&amp;" "&amp;'Compliance Database'!$O609))),OR(Query!$B$10&lt;&gt;"Yes",'Compliance Database'!$F609&lt;&gt;"None")),1,0)</f>
        <v>0</v>
      </c>
      <c r="B609" t="str">
        <f>IF($A609=1,SUM($A$2:$A609),"")</f>
        <v/>
      </c>
      <c r="C609">
        <f>IF($A609=1,SUM($A$2:$A609),0)</f>
        <v>0</v>
      </c>
    </row>
    <row r="610" spans="1:3" x14ac:dyDescent="0.3">
      <c r="A610">
        <f>IF(AND(OR(Query!$B$4="All",'Compliance Database'!$A610=Query!$B$4),OR(Query!$B$5="All",ISNUMBER(SEARCH(Query!$B$5,'Compliance Database'!$H610))),OR(Query!$B$6="All",ISNUMBER(SEARCH(Query!$B$6,'Compliance Database'!$I610))),OR(Query!$B$7="All",'Compliance Database'!$F610=Query!$B$7),OR(Query!$B$8="All",'Compliance Database'!$J610=Query!$B$8),OR(Query!$B$9="",ISNUMBER(SEARCH(Query!$B$9,'Compliance Database'!$D610&amp;" "&amp;'Compliance Database'!$K610&amp;" "&amp;'Compliance Database'!$L610&amp;" "&amp;'Compliance Database'!$M610&amp;" "&amp;'Compliance Database'!$N610&amp;" "&amp;'Compliance Database'!$O610))),OR(Query!$B$10&lt;&gt;"Yes",'Compliance Database'!$F610&lt;&gt;"None")),1,0)</f>
        <v>0</v>
      </c>
      <c r="B610" t="str">
        <f>IF($A610=1,SUM($A$2:$A610),"")</f>
        <v/>
      </c>
      <c r="C610">
        <f>IF($A610=1,SUM($A$2:$A610),0)</f>
        <v>0</v>
      </c>
    </row>
    <row r="611" spans="1:3" x14ac:dyDescent="0.3">
      <c r="A611">
        <f>IF(AND(OR(Query!$B$4="All",'Compliance Database'!$A611=Query!$B$4),OR(Query!$B$5="All",ISNUMBER(SEARCH(Query!$B$5,'Compliance Database'!$H611))),OR(Query!$B$6="All",ISNUMBER(SEARCH(Query!$B$6,'Compliance Database'!$I611))),OR(Query!$B$7="All",'Compliance Database'!$F611=Query!$B$7),OR(Query!$B$8="All",'Compliance Database'!$J611=Query!$B$8),OR(Query!$B$9="",ISNUMBER(SEARCH(Query!$B$9,'Compliance Database'!$D611&amp;" "&amp;'Compliance Database'!$K611&amp;" "&amp;'Compliance Database'!$L611&amp;" "&amp;'Compliance Database'!$M611&amp;" "&amp;'Compliance Database'!$N611&amp;" "&amp;'Compliance Database'!$O611))),OR(Query!$B$10&lt;&gt;"Yes",'Compliance Database'!$F611&lt;&gt;"None")),1,0)</f>
        <v>0</v>
      </c>
      <c r="B611" t="str">
        <f>IF($A611=1,SUM($A$2:$A611),"")</f>
        <v/>
      </c>
      <c r="C611">
        <f>IF($A611=1,SUM($A$2:$A611),0)</f>
        <v>0</v>
      </c>
    </row>
    <row r="612" spans="1:3" x14ac:dyDescent="0.3">
      <c r="A612">
        <f>IF(AND(OR(Query!$B$4="All",'Compliance Database'!$A612=Query!$B$4),OR(Query!$B$5="All",ISNUMBER(SEARCH(Query!$B$5,'Compliance Database'!$H612))),OR(Query!$B$6="All",ISNUMBER(SEARCH(Query!$B$6,'Compliance Database'!$I612))),OR(Query!$B$7="All",'Compliance Database'!$F612=Query!$B$7),OR(Query!$B$8="All",'Compliance Database'!$J612=Query!$B$8),OR(Query!$B$9="",ISNUMBER(SEARCH(Query!$B$9,'Compliance Database'!$D612&amp;" "&amp;'Compliance Database'!$K612&amp;" "&amp;'Compliance Database'!$L612&amp;" "&amp;'Compliance Database'!$M612&amp;" "&amp;'Compliance Database'!$N612&amp;" "&amp;'Compliance Database'!$O612))),OR(Query!$B$10&lt;&gt;"Yes",'Compliance Database'!$F612&lt;&gt;"None")),1,0)</f>
        <v>0</v>
      </c>
      <c r="B612" t="str">
        <f>IF($A612=1,SUM($A$2:$A612),"")</f>
        <v/>
      </c>
      <c r="C612">
        <f>IF($A612=1,SUM($A$2:$A612),0)</f>
        <v>0</v>
      </c>
    </row>
    <row r="613" spans="1:3" x14ac:dyDescent="0.3">
      <c r="A613">
        <f>IF(AND(OR(Query!$B$4="All",'Compliance Database'!$A613=Query!$B$4),OR(Query!$B$5="All",ISNUMBER(SEARCH(Query!$B$5,'Compliance Database'!$H613))),OR(Query!$B$6="All",ISNUMBER(SEARCH(Query!$B$6,'Compliance Database'!$I613))),OR(Query!$B$7="All",'Compliance Database'!$F613=Query!$B$7),OR(Query!$B$8="All",'Compliance Database'!$J613=Query!$B$8),OR(Query!$B$9="",ISNUMBER(SEARCH(Query!$B$9,'Compliance Database'!$D613&amp;" "&amp;'Compliance Database'!$K613&amp;" "&amp;'Compliance Database'!$L613&amp;" "&amp;'Compliance Database'!$M613&amp;" "&amp;'Compliance Database'!$N613&amp;" "&amp;'Compliance Database'!$O613))),OR(Query!$B$10&lt;&gt;"Yes",'Compliance Database'!$F613&lt;&gt;"None")),1,0)</f>
        <v>0</v>
      </c>
      <c r="B613" t="str">
        <f>IF($A613=1,SUM($A$2:$A613),"")</f>
        <v/>
      </c>
      <c r="C613">
        <f>IF($A613=1,SUM($A$2:$A613),0)</f>
        <v>0</v>
      </c>
    </row>
    <row r="614" spans="1:3" x14ac:dyDescent="0.3">
      <c r="A614">
        <f>IF(AND(OR(Query!$B$4="All",'Compliance Database'!$A614=Query!$B$4),OR(Query!$B$5="All",ISNUMBER(SEARCH(Query!$B$5,'Compliance Database'!$H614))),OR(Query!$B$6="All",ISNUMBER(SEARCH(Query!$B$6,'Compliance Database'!$I614))),OR(Query!$B$7="All",'Compliance Database'!$F614=Query!$B$7),OR(Query!$B$8="All",'Compliance Database'!$J614=Query!$B$8),OR(Query!$B$9="",ISNUMBER(SEARCH(Query!$B$9,'Compliance Database'!$D614&amp;" "&amp;'Compliance Database'!$K614&amp;" "&amp;'Compliance Database'!$L614&amp;" "&amp;'Compliance Database'!$M614&amp;" "&amp;'Compliance Database'!$N614&amp;" "&amp;'Compliance Database'!$O614))),OR(Query!$B$10&lt;&gt;"Yes",'Compliance Database'!$F614&lt;&gt;"None")),1,0)</f>
        <v>0</v>
      </c>
      <c r="B614" t="str">
        <f>IF($A614=1,SUM($A$2:$A614),"")</f>
        <v/>
      </c>
      <c r="C614">
        <f>IF($A614=1,SUM($A$2:$A614),0)</f>
        <v>0</v>
      </c>
    </row>
    <row r="615" spans="1:3" x14ac:dyDescent="0.3">
      <c r="A615">
        <f>IF(AND(OR(Query!$B$4="All",'Compliance Database'!$A615=Query!$B$4),OR(Query!$B$5="All",ISNUMBER(SEARCH(Query!$B$5,'Compliance Database'!$H615))),OR(Query!$B$6="All",ISNUMBER(SEARCH(Query!$B$6,'Compliance Database'!$I615))),OR(Query!$B$7="All",'Compliance Database'!$F615=Query!$B$7),OR(Query!$B$8="All",'Compliance Database'!$J615=Query!$B$8),OR(Query!$B$9="",ISNUMBER(SEARCH(Query!$B$9,'Compliance Database'!$D615&amp;" "&amp;'Compliance Database'!$K615&amp;" "&amp;'Compliance Database'!$L615&amp;" "&amp;'Compliance Database'!$M615&amp;" "&amp;'Compliance Database'!$N615&amp;" "&amp;'Compliance Database'!$O615))),OR(Query!$B$10&lt;&gt;"Yes",'Compliance Database'!$F615&lt;&gt;"None")),1,0)</f>
        <v>0</v>
      </c>
      <c r="B615" t="str">
        <f>IF($A615=1,SUM($A$2:$A615),"")</f>
        <v/>
      </c>
      <c r="C615">
        <f>IF($A615=1,SUM($A$2:$A615),0)</f>
        <v>0</v>
      </c>
    </row>
    <row r="616" spans="1:3" x14ac:dyDescent="0.3">
      <c r="A616">
        <f>IF(AND(OR(Query!$B$4="All",'Compliance Database'!$A616=Query!$B$4),OR(Query!$B$5="All",ISNUMBER(SEARCH(Query!$B$5,'Compliance Database'!$H616))),OR(Query!$B$6="All",ISNUMBER(SEARCH(Query!$B$6,'Compliance Database'!$I616))),OR(Query!$B$7="All",'Compliance Database'!$F616=Query!$B$7),OR(Query!$B$8="All",'Compliance Database'!$J616=Query!$B$8),OR(Query!$B$9="",ISNUMBER(SEARCH(Query!$B$9,'Compliance Database'!$D616&amp;" "&amp;'Compliance Database'!$K616&amp;" "&amp;'Compliance Database'!$L616&amp;" "&amp;'Compliance Database'!$M616&amp;" "&amp;'Compliance Database'!$N616&amp;" "&amp;'Compliance Database'!$O616))),OR(Query!$B$10&lt;&gt;"Yes",'Compliance Database'!$F616&lt;&gt;"None")),1,0)</f>
        <v>0</v>
      </c>
      <c r="B616" t="str">
        <f>IF($A616=1,SUM($A$2:$A616),"")</f>
        <v/>
      </c>
      <c r="C616">
        <f>IF($A616=1,SUM($A$2:$A616),0)</f>
        <v>0</v>
      </c>
    </row>
    <row r="617" spans="1:3" x14ac:dyDescent="0.3">
      <c r="A617">
        <f>IF(AND(OR(Query!$B$4="All",'Compliance Database'!$A617=Query!$B$4),OR(Query!$B$5="All",ISNUMBER(SEARCH(Query!$B$5,'Compliance Database'!$H617))),OR(Query!$B$6="All",ISNUMBER(SEARCH(Query!$B$6,'Compliance Database'!$I617))),OR(Query!$B$7="All",'Compliance Database'!$F617=Query!$B$7),OR(Query!$B$8="All",'Compliance Database'!$J617=Query!$B$8),OR(Query!$B$9="",ISNUMBER(SEARCH(Query!$B$9,'Compliance Database'!$D617&amp;" "&amp;'Compliance Database'!$K617&amp;" "&amp;'Compliance Database'!$L617&amp;" "&amp;'Compliance Database'!$M617&amp;" "&amp;'Compliance Database'!$N617&amp;" "&amp;'Compliance Database'!$O617))),OR(Query!$B$10&lt;&gt;"Yes",'Compliance Database'!$F617&lt;&gt;"None")),1,0)</f>
        <v>0</v>
      </c>
      <c r="B617" t="str">
        <f>IF($A617=1,SUM($A$2:$A617),"")</f>
        <v/>
      </c>
      <c r="C617">
        <f>IF($A617=1,SUM($A$2:$A617),0)</f>
        <v>0</v>
      </c>
    </row>
    <row r="618" spans="1:3" x14ac:dyDescent="0.3">
      <c r="A618">
        <f>IF(AND(OR(Query!$B$4="All",'Compliance Database'!$A618=Query!$B$4),OR(Query!$B$5="All",ISNUMBER(SEARCH(Query!$B$5,'Compliance Database'!$H618))),OR(Query!$B$6="All",ISNUMBER(SEARCH(Query!$B$6,'Compliance Database'!$I618))),OR(Query!$B$7="All",'Compliance Database'!$F618=Query!$B$7),OR(Query!$B$8="All",'Compliance Database'!$J618=Query!$B$8),OR(Query!$B$9="",ISNUMBER(SEARCH(Query!$B$9,'Compliance Database'!$D618&amp;" "&amp;'Compliance Database'!$K618&amp;" "&amp;'Compliance Database'!$L618&amp;" "&amp;'Compliance Database'!$M618&amp;" "&amp;'Compliance Database'!$N618&amp;" "&amp;'Compliance Database'!$O618))),OR(Query!$B$10&lt;&gt;"Yes",'Compliance Database'!$F618&lt;&gt;"None")),1,0)</f>
        <v>0</v>
      </c>
      <c r="B618" t="str">
        <f>IF($A618=1,SUM($A$2:$A618),"")</f>
        <v/>
      </c>
      <c r="C618">
        <f>IF($A618=1,SUM($A$2:$A618),0)</f>
        <v>0</v>
      </c>
    </row>
    <row r="619" spans="1:3" x14ac:dyDescent="0.3">
      <c r="A619">
        <f>IF(AND(OR(Query!$B$4="All",'Compliance Database'!$A619=Query!$B$4),OR(Query!$B$5="All",ISNUMBER(SEARCH(Query!$B$5,'Compliance Database'!$H619))),OR(Query!$B$6="All",ISNUMBER(SEARCH(Query!$B$6,'Compliance Database'!$I619))),OR(Query!$B$7="All",'Compliance Database'!$F619=Query!$B$7),OR(Query!$B$8="All",'Compliance Database'!$J619=Query!$B$8),OR(Query!$B$9="",ISNUMBER(SEARCH(Query!$B$9,'Compliance Database'!$D619&amp;" "&amp;'Compliance Database'!$K619&amp;" "&amp;'Compliance Database'!$L619&amp;" "&amp;'Compliance Database'!$M619&amp;" "&amp;'Compliance Database'!$N619&amp;" "&amp;'Compliance Database'!$O619))),OR(Query!$B$10&lt;&gt;"Yes",'Compliance Database'!$F619&lt;&gt;"None")),1,0)</f>
        <v>0</v>
      </c>
      <c r="B619" t="str">
        <f>IF($A619=1,SUM($A$2:$A619),"")</f>
        <v/>
      </c>
      <c r="C619">
        <f>IF($A619=1,SUM($A$2:$A619),0)</f>
        <v>0</v>
      </c>
    </row>
    <row r="620" spans="1:3" x14ac:dyDescent="0.3">
      <c r="A620">
        <f>IF(AND(OR(Query!$B$4="All",'Compliance Database'!$A620=Query!$B$4),OR(Query!$B$5="All",ISNUMBER(SEARCH(Query!$B$5,'Compliance Database'!$H620))),OR(Query!$B$6="All",ISNUMBER(SEARCH(Query!$B$6,'Compliance Database'!$I620))),OR(Query!$B$7="All",'Compliance Database'!$F620=Query!$B$7),OR(Query!$B$8="All",'Compliance Database'!$J620=Query!$B$8),OR(Query!$B$9="",ISNUMBER(SEARCH(Query!$B$9,'Compliance Database'!$D620&amp;" "&amp;'Compliance Database'!$K620&amp;" "&amp;'Compliance Database'!$L620&amp;" "&amp;'Compliance Database'!$M620&amp;" "&amp;'Compliance Database'!$N620&amp;" "&amp;'Compliance Database'!$O620))),OR(Query!$B$10&lt;&gt;"Yes",'Compliance Database'!$F620&lt;&gt;"None")),1,0)</f>
        <v>0</v>
      </c>
      <c r="B620" t="str">
        <f>IF($A620=1,SUM($A$2:$A620),"")</f>
        <v/>
      </c>
      <c r="C620">
        <f>IF($A620=1,SUM($A$2:$A620),0)</f>
        <v>0</v>
      </c>
    </row>
    <row r="621" spans="1:3" x14ac:dyDescent="0.3">
      <c r="A621">
        <f>IF(AND(OR(Query!$B$4="All",'Compliance Database'!$A621=Query!$B$4),OR(Query!$B$5="All",ISNUMBER(SEARCH(Query!$B$5,'Compliance Database'!$H621))),OR(Query!$B$6="All",ISNUMBER(SEARCH(Query!$B$6,'Compliance Database'!$I621))),OR(Query!$B$7="All",'Compliance Database'!$F621=Query!$B$7),OR(Query!$B$8="All",'Compliance Database'!$J621=Query!$B$8),OR(Query!$B$9="",ISNUMBER(SEARCH(Query!$B$9,'Compliance Database'!$D621&amp;" "&amp;'Compliance Database'!$K621&amp;" "&amp;'Compliance Database'!$L621&amp;" "&amp;'Compliance Database'!$M621&amp;" "&amp;'Compliance Database'!$N621&amp;" "&amp;'Compliance Database'!$O621))),OR(Query!$B$10&lt;&gt;"Yes",'Compliance Database'!$F621&lt;&gt;"None")),1,0)</f>
        <v>0</v>
      </c>
      <c r="B621" t="str">
        <f>IF($A621=1,SUM($A$2:$A621),"")</f>
        <v/>
      </c>
      <c r="C621">
        <f>IF($A621=1,SUM($A$2:$A621),0)</f>
        <v>0</v>
      </c>
    </row>
    <row r="622" spans="1:3" x14ac:dyDescent="0.3">
      <c r="A622">
        <f>IF(AND(OR(Query!$B$4="All",'Compliance Database'!$A622=Query!$B$4),OR(Query!$B$5="All",ISNUMBER(SEARCH(Query!$B$5,'Compliance Database'!$H622))),OR(Query!$B$6="All",ISNUMBER(SEARCH(Query!$B$6,'Compliance Database'!$I622))),OR(Query!$B$7="All",'Compliance Database'!$F622=Query!$B$7),OR(Query!$B$8="All",'Compliance Database'!$J622=Query!$B$8),OR(Query!$B$9="",ISNUMBER(SEARCH(Query!$B$9,'Compliance Database'!$D622&amp;" "&amp;'Compliance Database'!$K622&amp;" "&amp;'Compliance Database'!$L622&amp;" "&amp;'Compliance Database'!$M622&amp;" "&amp;'Compliance Database'!$N622&amp;" "&amp;'Compliance Database'!$O622))),OR(Query!$B$10&lt;&gt;"Yes",'Compliance Database'!$F622&lt;&gt;"None")),1,0)</f>
        <v>0</v>
      </c>
      <c r="B622" t="str">
        <f>IF($A622=1,SUM($A$2:$A622),"")</f>
        <v/>
      </c>
      <c r="C622">
        <f>IF($A622=1,SUM($A$2:$A622),0)</f>
        <v>0</v>
      </c>
    </row>
    <row r="623" spans="1:3" x14ac:dyDescent="0.3">
      <c r="A623">
        <f>IF(AND(OR(Query!$B$4="All",'Compliance Database'!$A623=Query!$B$4),OR(Query!$B$5="All",ISNUMBER(SEARCH(Query!$B$5,'Compliance Database'!$H623))),OR(Query!$B$6="All",ISNUMBER(SEARCH(Query!$B$6,'Compliance Database'!$I623))),OR(Query!$B$7="All",'Compliance Database'!$F623=Query!$B$7),OR(Query!$B$8="All",'Compliance Database'!$J623=Query!$B$8),OR(Query!$B$9="",ISNUMBER(SEARCH(Query!$B$9,'Compliance Database'!$D623&amp;" "&amp;'Compliance Database'!$K623&amp;" "&amp;'Compliance Database'!$L623&amp;" "&amp;'Compliance Database'!$M623&amp;" "&amp;'Compliance Database'!$N623&amp;" "&amp;'Compliance Database'!$O623))),OR(Query!$B$10&lt;&gt;"Yes",'Compliance Database'!$F623&lt;&gt;"None")),1,0)</f>
        <v>0</v>
      </c>
      <c r="B623" t="str">
        <f>IF($A623=1,SUM($A$2:$A623),"")</f>
        <v/>
      </c>
      <c r="C623">
        <f>IF($A623=1,SUM($A$2:$A623),0)</f>
        <v>0</v>
      </c>
    </row>
    <row r="624" spans="1:3" x14ac:dyDescent="0.3">
      <c r="A624">
        <f>IF(AND(OR(Query!$B$4="All",'Compliance Database'!$A624=Query!$B$4),OR(Query!$B$5="All",ISNUMBER(SEARCH(Query!$B$5,'Compliance Database'!$H624))),OR(Query!$B$6="All",ISNUMBER(SEARCH(Query!$B$6,'Compliance Database'!$I624))),OR(Query!$B$7="All",'Compliance Database'!$F624=Query!$B$7),OR(Query!$B$8="All",'Compliance Database'!$J624=Query!$B$8),OR(Query!$B$9="",ISNUMBER(SEARCH(Query!$B$9,'Compliance Database'!$D624&amp;" "&amp;'Compliance Database'!$K624&amp;" "&amp;'Compliance Database'!$L624&amp;" "&amp;'Compliance Database'!$M624&amp;" "&amp;'Compliance Database'!$N624&amp;" "&amp;'Compliance Database'!$O624))),OR(Query!$B$10&lt;&gt;"Yes",'Compliance Database'!$F624&lt;&gt;"None")),1,0)</f>
        <v>0</v>
      </c>
      <c r="B624" t="str">
        <f>IF($A624=1,SUM($A$2:$A624),"")</f>
        <v/>
      </c>
      <c r="C624">
        <f>IF($A624=1,SUM($A$2:$A624),0)</f>
        <v>0</v>
      </c>
    </row>
    <row r="625" spans="1:3" x14ac:dyDescent="0.3">
      <c r="A625">
        <f>IF(AND(OR(Query!$B$4="All",'Compliance Database'!$A625=Query!$B$4),OR(Query!$B$5="All",ISNUMBER(SEARCH(Query!$B$5,'Compliance Database'!$H625))),OR(Query!$B$6="All",ISNUMBER(SEARCH(Query!$B$6,'Compliance Database'!$I625))),OR(Query!$B$7="All",'Compliance Database'!$F625=Query!$B$7),OR(Query!$B$8="All",'Compliance Database'!$J625=Query!$B$8),OR(Query!$B$9="",ISNUMBER(SEARCH(Query!$B$9,'Compliance Database'!$D625&amp;" "&amp;'Compliance Database'!$K625&amp;" "&amp;'Compliance Database'!$L625&amp;" "&amp;'Compliance Database'!$M625&amp;" "&amp;'Compliance Database'!$N625&amp;" "&amp;'Compliance Database'!$O625))),OR(Query!$B$10&lt;&gt;"Yes",'Compliance Database'!$F625&lt;&gt;"None")),1,0)</f>
        <v>0</v>
      </c>
      <c r="B625" t="str">
        <f>IF($A625=1,SUM($A$2:$A625),"")</f>
        <v/>
      </c>
      <c r="C625">
        <f>IF($A625=1,SUM($A$2:$A625),0)</f>
        <v>0</v>
      </c>
    </row>
    <row r="626" spans="1:3" x14ac:dyDescent="0.3">
      <c r="A626">
        <f>IF(AND(OR(Query!$B$4="All",'Compliance Database'!$A626=Query!$B$4),OR(Query!$B$5="All",ISNUMBER(SEARCH(Query!$B$5,'Compliance Database'!$H626))),OR(Query!$B$6="All",ISNUMBER(SEARCH(Query!$B$6,'Compliance Database'!$I626))),OR(Query!$B$7="All",'Compliance Database'!$F626=Query!$B$7),OR(Query!$B$8="All",'Compliance Database'!$J626=Query!$B$8),OR(Query!$B$9="",ISNUMBER(SEARCH(Query!$B$9,'Compliance Database'!$D626&amp;" "&amp;'Compliance Database'!$K626&amp;" "&amp;'Compliance Database'!$L626&amp;" "&amp;'Compliance Database'!$M626&amp;" "&amp;'Compliance Database'!$N626&amp;" "&amp;'Compliance Database'!$O626))),OR(Query!$B$10&lt;&gt;"Yes",'Compliance Database'!$F626&lt;&gt;"None")),1,0)</f>
        <v>0</v>
      </c>
      <c r="B626" t="str">
        <f>IF($A626=1,SUM($A$2:$A626),"")</f>
        <v/>
      </c>
      <c r="C626">
        <f>IF($A626=1,SUM($A$2:$A626),0)</f>
        <v>0</v>
      </c>
    </row>
    <row r="627" spans="1:3" x14ac:dyDescent="0.3">
      <c r="A627">
        <f>IF(AND(OR(Query!$B$4="All",'Compliance Database'!$A627=Query!$B$4),OR(Query!$B$5="All",ISNUMBER(SEARCH(Query!$B$5,'Compliance Database'!$H627))),OR(Query!$B$6="All",ISNUMBER(SEARCH(Query!$B$6,'Compliance Database'!$I627))),OR(Query!$B$7="All",'Compliance Database'!$F627=Query!$B$7),OR(Query!$B$8="All",'Compliance Database'!$J627=Query!$B$8),OR(Query!$B$9="",ISNUMBER(SEARCH(Query!$B$9,'Compliance Database'!$D627&amp;" "&amp;'Compliance Database'!$K627&amp;" "&amp;'Compliance Database'!$L627&amp;" "&amp;'Compliance Database'!$M627&amp;" "&amp;'Compliance Database'!$N627&amp;" "&amp;'Compliance Database'!$O627))),OR(Query!$B$10&lt;&gt;"Yes",'Compliance Database'!$F627&lt;&gt;"None")),1,0)</f>
        <v>0</v>
      </c>
      <c r="B627" t="str">
        <f>IF($A627=1,SUM($A$2:$A627),"")</f>
        <v/>
      </c>
      <c r="C627">
        <f>IF($A627=1,SUM($A$2:$A627),0)</f>
        <v>0</v>
      </c>
    </row>
    <row r="628" spans="1:3" x14ac:dyDescent="0.3">
      <c r="A628">
        <f>IF(AND(OR(Query!$B$4="All",'Compliance Database'!$A628=Query!$B$4),OR(Query!$B$5="All",ISNUMBER(SEARCH(Query!$B$5,'Compliance Database'!$H628))),OR(Query!$B$6="All",ISNUMBER(SEARCH(Query!$B$6,'Compliance Database'!$I628))),OR(Query!$B$7="All",'Compliance Database'!$F628=Query!$B$7),OR(Query!$B$8="All",'Compliance Database'!$J628=Query!$B$8),OR(Query!$B$9="",ISNUMBER(SEARCH(Query!$B$9,'Compliance Database'!$D628&amp;" "&amp;'Compliance Database'!$K628&amp;" "&amp;'Compliance Database'!$L628&amp;" "&amp;'Compliance Database'!$M628&amp;" "&amp;'Compliance Database'!$N628&amp;" "&amp;'Compliance Database'!$O628))),OR(Query!$B$10&lt;&gt;"Yes",'Compliance Database'!$F628&lt;&gt;"None")),1,0)</f>
        <v>0</v>
      </c>
      <c r="B628" t="str">
        <f>IF($A628=1,SUM($A$2:$A628),"")</f>
        <v/>
      </c>
      <c r="C628">
        <f>IF($A628=1,SUM($A$2:$A628),0)</f>
        <v>0</v>
      </c>
    </row>
    <row r="629" spans="1:3" x14ac:dyDescent="0.3">
      <c r="A629">
        <f>IF(AND(OR(Query!$B$4="All",'Compliance Database'!$A629=Query!$B$4),OR(Query!$B$5="All",ISNUMBER(SEARCH(Query!$B$5,'Compliance Database'!$H629))),OR(Query!$B$6="All",ISNUMBER(SEARCH(Query!$B$6,'Compliance Database'!$I629))),OR(Query!$B$7="All",'Compliance Database'!$F629=Query!$B$7),OR(Query!$B$8="All",'Compliance Database'!$J629=Query!$B$8),OR(Query!$B$9="",ISNUMBER(SEARCH(Query!$B$9,'Compliance Database'!$D629&amp;" "&amp;'Compliance Database'!$K629&amp;" "&amp;'Compliance Database'!$L629&amp;" "&amp;'Compliance Database'!$M629&amp;" "&amp;'Compliance Database'!$N629&amp;" "&amp;'Compliance Database'!$O629))),OR(Query!$B$10&lt;&gt;"Yes",'Compliance Database'!$F629&lt;&gt;"None")),1,0)</f>
        <v>0</v>
      </c>
      <c r="B629" t="str">
        <f>IF($A629=1,SUM($A$2:$A629),"")</f>
        <v/>
      </c>
      <c r="C629">
        <f>IF($A629=1,SUM($A$2:$A629),0)</f>
        <v>0</v>
      </c>
    </row>
    <row r="630" spans="1:3" x14ac:dyDescent="0.3">
      <c r="A630">
        <f>IF(AND(OR(Query!$B$4="All",'Compliance Database'!$A630=Query!$B$4),OR(Query!$B$5="All",ISNUMBER(SEARCH(Query!$B$5,'Compliance Database'!$H630))),OR(Query!$B$6="All",ISNUMBER(SEARCH(Query!$B$6,'Compliance Database'!$I630))),OR(Query!$B$7="All",'Compliance Database'!$F630=Query!$B$7),OR(Query!$B$8="All",'Compliance Database'!$J630=Query!$B$8),OR(Query!$B$9="",ISNUMBER(SEARCH(Query!$B$9,'Compliance Database'!$D630&amp;" "&amp;'Compliance Database'!$K630&amp;" "&amp;'Compliance Database'!$L630&amp;" "&amp;'Compliance Database'!$M630&amp;" "&amp;'Compliance Database'!$N630&amp;" "&amp;'Compliance Database'!$O630))),OR(Query!$B$10&lt;&gt;"Yes",'Compliance Database'!$F630&lt;&gt;"None")),1,0)</f>
        <v>0</v>
      </c>
      <c r="B630" t="str">
        <f>IF($A630=1,SUM($A$2:$A630),"")</f>
        <v/>
      </c>
      <c r="C630">
        <f>IF($A630=1,SUM($A$2:$A630),0)</f>
        <v>0</v>
      </c>
    </row>
    <row r="631" spans="1:3" x14ac:dyDescent="0.3">
      <c r="A631">
        <f>IF(AND(OR(Query!$B$4="All",'Compliance Database'!$A631=Query!$B$4),OR(Query!$B$5="All",ISNUMBER(SEARCH(Query!$B$5,'Compliance Database'!$H631))),OR(Query!$B$6="All",ISNUMBER(SEARCH(Query!$B$6,'Compliance Database'!$I631))),OR(Query!$B$7="All",'Compliance Database'!$F631=Query!$B$7),OR(Query!$B$8="All",'Compliance Database'!$J631=Query!$B$8),OR(Query!$B$9="",ISNUMBER(SEARCH(Query!$B$9,'Compliance Database'!$D631&amp;" "&amp;'Compliance Database'!$K631&amp;" "&amp;'Compliance Database'!$L631&amp;" "&amp;'Compliance Database'!$M631&amp;" "&amp;'Compliance Database'!$N631&amp;" "&amp;'Compliance Database'!$O631))),OR(Query!$B$10&lt;&gt;"Yes",'Compliance Database'!$F631&lt;&gt;"None")),1,0)</f>
        <v>0</v>
      </c>
      <c r="B631" t="str">
        <f>IF($A631=1,SUM($A$2:$A631),"")</f>
        <v/>
      </c>
      <c r="C631">
        <f>IF($A631=1,SUM($A$2:$A631),0)</f>
        <v>0</v>
      </c>
    </row>
    <row r="632" spans="1:3" x14ac:dyDescent="0.3">
      <c r="A632">
        <f>IF(AND(OR(Query!$B$4="All",'Compliance Database'!$A632=Query!$B$4),OR(Query!$B$5="All",ISNUMBER(SEARCH(Query!$B$5,'Compliance Database'!$H632))),OR(Query!$B$6="All",ISNUMBER(SEARCH(Query!$B$6,'Compliance Database'!$I632))),OR(Query!$B$7="All",'Compliance Database'!$F632=Query!$B$7),OR(Query!$B$8="All",'Compliance Database'!$J632=Query!$B$8),OR(Query!$B$9="",ISNUMBER(SEARCH(Query!$B$9,'Compliance Database'!$D632&amp;" "&amp;'Compliance Database'!$K632&amp;" "&amp;'Compliance Database'!$L632&amp;" "&amp;'Compliance Database'!$M632&amp;" "&amp;'Compliance Database'!$N632&amp;" "&amp;'Compliance Database'!$O632))),OR(Query!$B$10&lt;&gt;"Yes",'Compliance Database'!$F632&lt;&gt;"None")),1,0)</f>
        <v>0</v>
      </c>
      <c r="B632" t="str">
        <f>IF($A632=1,SUM($A$2:$A632),"")</f>
        <v/>
      </c>
      <c r="C632">
        <f>IF($A632=1,SUM($A$2:$A632),0)</f>
        <v>0</v>
      </c>
    </row>
    <row r="633" spans="1:3" x14ac:dyDescent="0.3">
      <c r="A633">
        <f>IF(AND(OR(Query!$B$4="All",'Compliance Database'!$A633=Query!$B$4),OR(Query!$B$5="All",ISNUMBER(SEARCH(Query!$B$5,'Compliance Database'!$H633))),OR(Query!$B$6="All",ISNUMBER(SEARCH(Query!$B$6,'Compliance Database'!$I633))),OR(Query!$B$7="All",'Compliance Database'!$F633=Query!$B$7),OR(Query!$B$8="All",'Compliance Database'!$J633=Query!$B$8),OR(Query!$B$9="",ISNUMBER(SEARCH(Query!$B$9,'Compliance Database'!$D633&amp;" "&amp;'Compliance Database'!$K633&amp;" "&amp;'Compliance Database'!$L633&amp;" "&amp;'Compliance Database'!$M633&amp;" "&amp;'Compliance Database'!$N633&amp;" "&amp;'Compliance Database'!$O633))),OR(Query!$B$10&lt;&gt;"Yes",'Compliance Database'!$F633&lt;&gt;"None")),1,0)</f>
        <v>0</v>
      </c>
      <c r="B633" t="str">
        <f>IF($A633=1,SUM($A$2:$A633),"")</f>
        <v/>
      </c>
      <c r="C633">
        <f>IF($A633=1,SUM($A$2:$A633),0)</f>
        <v>0</v>
      </c>
    </row>
    <row r="634" spans="1:3" x14ac:dyDescent="0.3">
      <c r="A634">
        <f>IF(AND(OR(Query!$B$4="All",'Compliance Database'!$A634=Query!$B$4),OR(Query!$B$5="All",ISNUMBER(SEARCH(Query!$B$5,'Compliance Database'!$H634))),OR(Query!$B$6="All",ISNUMBER(SEARCH(Query!$B$6,'Compliance Database'!$I634))),OR(Query!$B$7="All",'Compliance Database'!$F634=Query!$B$7),OR(Query!$B$8="All",'Compliance Database'!$J634=Query!$B$8),OR(Query!$B$9="",ISNUMBER(SEARCH(Query!$B$9,'Compliance Database'!$D634&amp;" "&amp;'Compliance Database'!$K634&amp;" "&amp;'Compliance Database'!$L634&amp;" "&amp;'Compliance Database'!$M634&amp;" "&amp;'Compliance Database'!$N634&amp;" "&amp;'Compliance Database'!$O634))),OR(Query!$B$10&lt;&gt;"Yes",'Compliance Database'!$F634&lt;&gt;"None")),1,0)</f>
        <v>0</v>
      </c>
      <c r="B634" t="str">
        <f>IF($A634=1,SUM($A$2:$A634),"")</f>
        <v/>
      </c>
      <c r="C634">
        <f>IF($A634=1,SUM($A$2:$A634),0)</f>
        <v>0</v>
      </c>
    </row>
    <row r="635" spans="1:3" x14ac:dyDescent="0.3">
      <c r="A635">
        <f>IF(AND(OR(Query!$B$4="All",'Compliance Database'!$A635=Query!$B$4),OR(Query!$B$5="All",ISNUMBER(SEARCH(Query!$B$5,'Compliance Database'!$H635))),OR(Query!$B$6="All",ISNUMBER(SEARCH(Query!$B$6,'Compliance Database'!$I635))),OR(Query!$B$7="All",'Compliance Database'!$F635=Query!$B$7),OR(Query!$B$8="All",'Compliance Database'!$J635=Query!$B$8),OR(Query!$B$9="",ISNUMBER(SEARCH(Query!$B$9,'Compliance Database'!$D635&amp;" "&amp;'Compliance Database'!$K635&amp;" "&amp;'Compliance Database'!$L635&amp;" "&amp;'Compliance Database'!$M635&amp;" "&amp;'Compliance Database'!$N635&amp;" "&amp;'Compliance Database'!$O635))),OR(Query!$B$10&lt;&gt;"Yes",'Compliance Database'!$F635&lt;&gt;"None")),1,0)</f>
        <v>0</v>
      </c>
      <c r="B635" t="str">
        <f>IF($A635=1,SUM($A$2:$A635),"")</f>
        <v/>
      </c>
      <c r="C635">
        <f>IF($A635=1,SUM($A$2:$A635),0)</f>
        <v>0</v>
      </c>
    </row>
    <row r="636" spans="1:3" x14ac:dyDescent="0.3">
      <c r="A636">
        <f>IF(AND(OR(Query!$B$4="All",'Compliance Database'!$A636=Query!$B$4),OR(Query!$B$5="All",ISNUMBER(SEARCH(Query!$B$5,'Compliance Database'!$H636))),OR(Query!$B$6="All",ISNUMBER(SEARCH(Query!$B$6,'Compliance Database'!$I636))),OR(Query!$B$7="All",'Compliance Database'!$F636=Query!$B$7),OR(Query!$B$8="All",'Compliance Database'!$J636=Query!$B$8),OR(Query!$B$9="",ISNUMBER(SEARCH(Query!$B$9,'Compliance Database'!$D636&amp;" "&amp;'Compliance Database'!$K636&amp;" "&amp;'Compliance Database'!$L636&amp;" "&amp;'Compliance Database'!$M636&amp;" "&amp;'Compliance Database'!$N636&amp;" "&amp;'Compliance Database'!$O636))),OR(Query!$B$10&lt;&gt;"Yes",'Compliance Database'!$F636&lt;&gt;"None")),1,0)</f>
        <v>0</v>
      </c>
      <c r="B636" t="str">
        <f>IF($A636=1,SUM($A$2:$A636),"")</f>
        <v/>
      </c>
      <c r="C636">
        <f>IF($A636=1,SUM($A$2:$A636),0)</f>
        <v>0</v>
      </c>
    </row>
    <row r="637" spans="1:3" x14ac:dyDescent="0.3">
      <c r="A637">
        <f>IF(AND(OR(Query!$B$4="All",'Compliance Database'!$A637=Query!$B$4),OR(Query!$B$5="All",ISNUMBER(SEARCH(Query!$B$5,'Compliance Database'!$H637))),OR(Query!$B$6="All",ISNUMBER(SEARCH(Query!$B$6,'Compliance Database'!$I637))),OR(Query!$B$7="All",'Compliance Database'!$F637=Query!$B$7),OR(Query!$B$8="All",'Compliance Database'!$J637=Query!$B$8),OR(Query!$B$9="",ISNUMBER(SEARCH(Query!$B$9,'Compliance Database'!$D637&amp;" "&amp;'Compliance Database'!$K637&amp;" "&amp;'Compliance Database'!$L637&amp;" "&amp;'Compliance Database'!$M637&amp;" "&amp;'Compliance Database'!$N637&amp;" "&amp;'Compliance Database'!$O637))),OR(Query!$B$10&lt;&gt;"Yes",'Compliance Database'!$F637&lt;&gt;"None")),1,0)</f>
        <v>0</v>
      </c>
      <c r="B637" t="str">
        <f>IF($A637=1,SUM($A$2:$A637),"")</f>
        <v/>
      </c>
      <c r="C637">
        <f>IF($A637=1,SUM($A$2:$A637),0)</f>
        <v>0</v>
      </c>
    </row>
    <row r="638" spans="1:3" x14ac:dyDescent="0.3">
      <c r="A638">
        <f>IF(AND(OR(Query!$B$4="All",'Compliance Database'!$A638=Query!$B$4),OR(Query!$B$5="All",ISNUMBER(SEARCH(Query!$B$5,'Compliance Database'!$H638))),OR(Query!$B$6="All",ISNUMBER(SEARCH(Query!$B$6,'Compliance Database'!$I638))),OR(Query!$B$7="All",'Compliance Database'!$F638=Query!$B$7),OR(Query!$B$8="All",'Compliance Database'!$J638=Query!$B$8),OR(Query!$B$9="",ISNUMBER(SEARCH(Query!$B$9,'Compliance Database'!$D638&amp;" "&amp;'Compliance Database'!$K638&amp;" "&amp;'Compliance Database'!$L638&amp;" "&amp;'Compliance Database'!$M638&amp;" "&amp;'Compliance Database'!$N638&amp;" "&amp;'Compliance Database'!$O638))),OR(Query!$B$10&lt;&gt;"Yes",'Compliance Database'!$F638&lt;&gt;"None")),1,0)</f>
        <v>0</v>
      </c>
      <c r="B638" t="str">
        <f>IF($A638=1,SUM($A$2:$A638),"")</f>
        <v/>
      </c>
      <c r="C638">
        <f>IF($A638=1,SUM($A$2:$A638),0)</f>
        <v>0</v>
      </c>
    </row>
    <row r="639" spans="1:3" x14ac:dyDescent="0.3">
      <c r="A639">
        <f>IF(AND(OR(Query!$B$4="All",'Compliance Database'!$A639=Query!$B$4),OR(Query!$B$5="All",ISNUMBER(SEARCH(Query!$B$5,'Compliance Database'!$H639))),OR(Query!$B$6="All",ISNUMBER(SEARCH(Query!$B$6,'Compliance Database'!$I639))),OR(Query!$B$7="All",'Compliance Database'!$F639=Query!$B$7),OR(Query!$B$8="All",'Compliance Database'!$J639=Query!$B$8),OR(Query!$B$9="",ISNUMBER(SEARCH(Query!$B$9,'Compliance Database'!$D639&amp;" "&amp;'Compliance Database'!$K639&amp;" "&amp;'Compliance Database'!$L639&amp;" "&amp;'Compliance Database'!$M639&amp;" "&amp;'Compliance Database'!$N639&amp;" "&amp;'Compliance Database'!$O639))),OR(Query!$B$10&lt;&gt;"Yes",'Compliance Database'!$F639&lt;&gt;"None")),1,0)</f>
        <v>0</v>
      </c>
      <c r="B639" t="str">
        <f>IF($A639=1,SUM($A$2:$A639),"")</f>
        <v/>
      </c>
      <c r="C639">
        <f>IF($A639=1,SUM($A$2:$A639),0)</f>
        <v>0</v>
      </c>
    </row>
    <row r="640" spans="1:3" x14ac:dyDescent="0.3">
      <c r="A640">
        <f>IF(AND(OR(Query!$B$4="All",'Compliance Database'!$A640=Query!$B$4),OR(Query!$B$5="All",ISNUMBER(SEARCH(Query!$B$5,'Compliance Database'!$H640))),OR(Query!$B$6="All",ISNUMBER(SEARCH(Query!$B$6,'Compliance Database'!$I640))),OR(Query!$B$7="All",'Compliance Database'!$F640=Query!$B$7),OR(Query!$B$8="All",'Compliance Database'!$J640=Query!$B$8),OR(Query!$B$9="",ISNUMBER(SEARCH(Query!$B$9,'Compliance Database'!$D640&amp;" "&amp;'Compliance Database'!$K640&amp;" "&amp;'Compliance Database'!$L640&amp;" "&amp;'Compliance Database'!$M640&amp;" "&amp;'Compliance Database'!$N640&amp;" "&amp;'Compliance Database'!$O640))),OR(Query!$B$10&lt;&gt;"Yes",'Compliance Database'!$F640&lt;&gt;"None")),1,0)</f>
        <v>0</v>
      </c>
      <c r="B640" t="str">
        <f>IF($A640=1,SUM($A$2:$A640),"")</f>
        <v/>
      </c>
      <c r="C640">
        <f>IF($A640=1,SUM($A$2:$A640),0)</f>
        <v>0</v>
      </c>
    </row>
    <row r="641" spans="1:3" x14ac:dyDescent="0.3">
      <c r="A641">
        <f>IF(AND(OR(Query!$B$4="All",'Compliance Database'!$A641=Query!$B$4),OR(Query!$B$5="All",ISNUMBER(SEARCH(Query!$B$5,'Compliance Database'!$H641))),OR(Query!$B$6="All",ISNUMBER(SEARCH(Query!$B$6,'Compliance Database'!$I641))),OR(Query!$B$7="All",'Compliance Database'!$F641=Query!$B$7),OR(Query!$B$8="All",'Compliance Database'!$J641=Query!$B$8),OR(Query!$B$9="",ISNUMBER(SEARCH(Query!$B$9,'Compliance Database'!$D641&amp;" "&amp;'Compliance Database'!$K641&amp;" "&amp;'Compliance Database'!$L641&amp;" "&amp;'Compliance Database'!$M641&amp;" "&amp;'Compliance Database'!$N641&amp;" "&amp;'Compliance Database'!$O641))),OR(Query!$B$10&lt;&gt;"Yes",'Compliance Database'!$F641&lt;&gt;"None")),1,0)</f>
        <v>0</v>
      </c>
      <c r="B641" t="str">
        <f>IF($A641=1,SUM($A$2:$A641),"")</f>
        <v/>
      </c>
      <c r="C641">
        <f>IF($A641=1,SUM($A$2:$A641),0)</f>
        <v>0</v>
      </c>
    </row>
    <row r="642" spans="1:3" x14ac:dyDescent="0.3">
      <c r="A642">
        <f>IF(AND(OR(Query!$B$4="All",'Compliance Database'!$A642=Query!$B$4),OR(Query!$B$5="All",ISNUMBER(SEARCH(Query!$B$5,'Compliance Database'!$H642))),OR(Query!$B$6="All",ISNUMBER(SEARCH(Query!$B$6,'Compliance Database'!$I642))),OR(Query!$B$7="All",'Compliance Database'!$F642=Query!$B$7),OR(Query!$B$8="All",'Compliance Database'!$J642=Query!$B$8),OR(Query!$B$9="",ISNUMBER(SEARCH(Query!$B$9,'Compliance Database'!$D642&amp;" "&amp;'Compliance Database'!$K642&amp;" "&amp;'Compliance Database'!$L642&amp;" "&amp;'Compliance Database'!$M642&amp;" "&amp;'Compliance Database'!$N642&amp;" "&amp;'Compliance Database'!$O642))),OR(Query!$B$10&lt;&gt;"Yes",'Compliance Database'!$F642&lt;&gt;"None")),1,0)</f>
        <v>0</v>
      </c>
      <c r="B642" t="str">
        <f>IF($A642=1,SUM($A$2:$A642),"")</f>
        <v/>
      </c>
      <c r="C642">
        <f>IF($A642=1,SUM($A$2:$A642),0)</f>
        <v>0</v>
      </c>
    </row>
    <row r="643" spans="1:3" x14ac:dyDescent="0.3">
      <c r="A643">
        <f>IF(AND(OR(Query!$B$4="All",'Compliance Database'!$A643=Query!$B$4),OR(Query!$B$5="All",ISNUMBER(SEARCH(Query!$B$5,'Compliance Database'!$H643))),OR(Query!$B$6="All",ISNUMBER(SEARCH(Query!$B$6,'Compliance Database'!$I643))),OR(Query!$B$7="All",'Compliance Database'!$F643=Query!$B$7),OR(Query!$B$8="All",'Compliance Database'!$J643=Query!$B$8),OR(Query!$B$9="",ISNUMBER(SEARCH(Query!$B$9,'Compliance Database'!$D643&amp;" "&amp;'Compliance Database'!$K643&amp;" "&amp;'Compliance Database'!$L643&amp;" "&amp;'Compliance Database'!$M643&amp;" "&amp;'Compliance Database'!$N643&amp;" "&amp;'Compliance Database'!$O643))),OR(Query!$B$10&lt;&gt;"Yes",'Compliance Database'!$F643&lt;&gt;"None")),1,0)</f>
        <v>0</v>
      </c>
      <c r="B643" t="str">
        <f>IF($A643=1,SUM($A$2:$A643),"")</f>
        <v/>
      </c>
      <c r="C643">
        <f>IF($A643=1,SUM($A$2:$A643),0)</f>
        <v>0</v>
      </c>
    </row>
    <row r="644" spans="1:3" x14ac:dyDescent="0.3">
      <c r="A644">
        <f>IF(AND(OR(Query!$B$4="All",'Compliance Database'!$A644=Query!$B$4),OR(Query!$B$5="All",ISNUMBER(SEARCH(Query!$B$5,'Compliance Database'!$H644))),OR(Query!$B$6="All",ISNUMBER(SEARCH(Query!$B$6,'Compliance Database'!$I644))),OR(Query!$B$7="All",'Compliance Database'!$F644=Query!$B$7),OR(Query!$B$8="All",'Compliance Database'!$J644=Query!$B$8),OR(Query!$B$9="",ISNUMBER(SEARCH(Query!$B$9,'Compliance Database'!$D644&amp;" "&amp;'Compliance Database'!$K644&amp;" "&amp;'Compliance Database'!$L644&amp;" "&amp;'Compliance Database'!$M644&amp;" "&amp;'Compliance Database'!$N644&amp;" "&amp;'Compliance Database'!$O644))),OR(Query!$B$10&lt;&gt;"Yes",'Compliance Database'!$F644&lt;&gt;"None")),1,0)</f>
        <v>0</v>
      </c>
      <c r="B644" t="str">
        <f>IF($A644=1,SUM($A$2:$A644),"")</f>
        <v/>
      </c>
      <c r="C644">
        <f>IF($A644=1,SUM($A$2:$A644),0)</f>
        <v>0</v>
      </c>
    </row>
    <row r="645" spans="1:3" x14ac:dyDescent="0.3">
      <c r="A645">
        <f>IF(AND(OR(Query!$B$4="All",'Compliance Database'!$A645=Query!$B$4),OR(Query!$B$5="All",ISNUMBER(SEARCH(Query!$B$5,'Compliance Database'!$H645))),OR(Query!$B$6="All",ISNUMBER(SEARCH(Query!$B$6,'Compliance Database'!$I645))),OR(Query!$B$7="All",'Compliance Database'!$F645=Query!$B$7),OR(Query!$B$8="All",'Compliance Database'!$J645=Query!$B$8),OR(Query!$B$9="",ISNUMBER(SEARCH(Query!$B$9,'Compliance Database'!$D645&amp;" "&amp;'Compliance Database'!$K645&amp;" "&amp;'Compliance Database'!$L645&amp;" "&amp;'Compliance Database'!$M645&amp;" "&amp;'Compliance Database'!$N645&amp;" "&amp;'Compliance Database'!$O645))),OR(Query!$B$10&lt;&gt;"Yes",'Compliance Database'!$F645&lt;&gt;"None")),1,0)</f>
        <v>0</v>
      </c>
      <c r="B645" t="str">
        <f>IF($A645=1,SUM($A$2:$A645),"")</f>
        <v/>
      </c>
      <c r="C645">
        <f>IF($A645=1,SUM($A$2:$A645),0)</f>
        <v>0</v>
      </c>
    </row>
    <row r="646" spans="1:3" x14ac:dyDescent="0.3">
      <c r="A646">
        <f>IF(AND(OR(Query!$B$4="All",'Compliance Database'!$A646=Query!$B$4),OR(Query!$B$5="All",ISNUMBER(SEARCH(Query!$B$5,'Compliance Database'!$H646))),OR(Query!$B$6="All",ISNUMBER(SEARCH(Query!$B$6,'Compliance Database'!$I646))),OR(Query!$B$7="All",'Compliance Database'!$F646=Query!$B$7),OR(Query!$B$8="All",'Compliance Database'!$J646=Query!$B$8),OR(Query!$B$9="",ISNUMBER(SEARCH(Query!$B$9,'Compliance Database'!$D646&amp;" "&amp;'Compliance Database'!$K646&amp;" "&amp;'Compliance Database'!$L646&amp;" "&amp;'Compliance Database'!$M646&amp;" "&amp;'Compliance Database'!$N646&amp;" "&amp;'Compliance Database'!$O646))),OR(Query!$B$10&lt;&gt;"Yes",'Compliance Database'!$F646&lt;&gt;"None")),1,0)</f>
        <v>0</v>
      </c>
      <c r="B646" t="str">
        <f>IF($A646=1,SUM($A$2:$A646),"")</f>
        <v/>
      </c>
      <c r="C646">
        <f>IF($A646=1,SUM($A$2:$A646),0)</f>
        <v>0</v>
      </c>
    </row>
    <row r="647" spans="1:3" x14ac:dyDescent="0.3">
      <c r="A647">
        <f>IF(AND(OR(Query!$B$4="All",'Compliance Database'!$A647=Query!$B$4),OR(Query!$B$5="All",ISNUMBER(SEARCH(Query!$B$5,'Compliance Database'!$H647))),OR(Query!$B$6="All",ISNUMBER(SEARCH(Query!$B$6,'Compliance Database'!$I647))),OR(Query!$B$7="All",'Compliance Database'!$F647=Query!$B$7),OR(Query!$B$8="All",'Compliance Database'!$J647=Query!$B$8),OR(Query!$B$9="",ISNUMBER(SEARCH(Query!$B$9,'Compliance Database'!$D647&amp;" "&amp;'Compliance Database'!$K647&amp;" "&amp;'Compliance Database'!$L647&amp;" "&amp;'Compliance Database'!$M647&amp;" "&amp;'Compliance Database'!$N647&amp;" "&amp;'Compliance Database'!$O647))),OR(Query!$B$10&lt;&gt;"Yes",'Compliance Database'!$F647&lt;&gt;"None")),1,0)</f>
        <v>0</v>
      </c>
      <c r="B647" t="str">
        <f>IF($A647=1,SUM($A$2:$A647),"")</f>
        <v/>
      </c>
      <c r="C647">
        <f>IF($A647=1,SUM($A$2:$A647),0)</f>
        <v>0</v>
      </c>
    </row>
    <row r="648" spans="1:3" x14ac:dyDescent="0.3">
      <c r="A648">
        <f>IF(AND(OR(Query!$B$4="All",'Compliance Database'!$A648=Query!$B$4),OR(Query!$B$5="All",ISNUMBER(SEARCH(Query!$B$5,'Compliance Database'!$H648))),OR(Query!$B$6="All",ISNUMBER(SEARCH(Query!$B$6,'Compliance Database'!$I648))),OR(Query!$B$7="All",'Compliance Database'!$F648=Query!$B$7),OR(Query!$B$8="All",'Compliance Database'!$J648=Query!$B$8),OR(Query!$B$9="",ISNUMBER(SEARCH(Query!$B$9,'Compliance Database'!$D648&amp;" "&amp;'Compliance Database'!$K648&amp;" "&amp;'Compliance Database'!$L648&amp;" "&amp;'Compliance Database'!$M648&amp;" "&amp;'Compliance Database'!$N648&amp;" "&amp;'Compliance Database'!$O648))),OR(Query!$B$10&lt;&gt;"Yes",'Compliance Database'!$F648&lt;&gt;"None")),1,0)</f>
        <v>0</v>
      </c>
      <c r="B648" t="str">
        <f>IF($A648=1,SUM($A$2:$A648),"")</f>
        <v/>
      </c>
      <c r="C648">
        <f>IF($A648=1,SUM($A$2:$A648),0)</f>
        <v>0</v>
      </c>
    </row>
    <row r="649" spans="1:3" x14ac:dyDescent="0.3">
      <c r="A649">
        <f>IF(AND(OR(Query!$B$4="All",'Compliance Database'!$A649=Query!$B$4),OR(Query!$B$5="All",ISNUMBER(SEARCH(Query!$B$5,'Compliance Database'!$H649))),OR(Query!$B$6="All",ISNUMBER(SEARCH(Query!$B$6,'Compliance Database'!$I649))),OR(Query!$B$7="All",'Compliance Database'!$F649=Query!$B$7),OR(Query!$B$8="All",'Compliance Database'!$J649=Query!$B$8),OR(Query!$B$9="",ISNUMBER(SEARCH(Query!$B$9,'Compliance Database'!$D649&amp;" "&amp;'Compliance Database'!$K649&amp;" "&amp;'Compliance Database'!$L649&amp;" "&amp;'Compliance Database'!$M649&amp;" "&amp;'Compliance Database'!$N649&amp;" "&amp;'Compliance Database'!$O649))),OR(Query!$B$10&lt;&gt;"Yes",'Compliance Database'!$F649&lt;&gt;"None")),1,0)</f>
        <v>0</v>
      </c>
      <c r="B649" t="str">
        <f>IF($A649=1,SUM($A$2:$A649),"")</f>
        <v/>
      </c>
      <c r="C649">
        <f>IF($A649=1,SUM($A$2:$A649),0)</f>
        <v>0</v>
      </c>
    </row>
    <row r="650" spans="1:3" x14ac:dyDescent="0.3">
      <c r="A650">
        <f>IF(AND(OR(Query!$B$4="All",'Compliance Database'!$A650=Query!$B$4),OR(Query!$B$5="All",ISNUMBER(SEARCH(Query!$B$5,'Compliance Database'!$H650))),OR(Query!$B$6="All",ISNUMBER(SEARCH(Query!$B$6,'Compliance Database'!$I650))),OR(Query!$B$7="All",'Compliance Database'!$F650=Query!$B$7),OR(Query!$B$8="All",'Compliance Database'!$J650=Query!$B$8),OR(Query!$B$9="",ISNUMBER(SEARCH(Query!$B$9,'Compliance Database'!$D650&amp;" "&amp;'Compliance Database'!$K650&amp;" "&amp;'Compliance Database'!$L650&amp;" "&amp;'Compliance Database'!$M650&amp;" "&amp;'Compliance Database'!$N650&amp;" "&amp;'Compliance Database'!$O650))),OR(Query!$B$10&lt;&gt;"Yes",'Compliance Database'!$F650&lt;&gt;"None")),1,0)</f>
        <v>0</v>
      </c>
      <c r="B650" t="str">
        <f>IF($A650=1,SUM($A$2:$A650),"")</f>
        <v/>
      </c>
      <c r="C650">
        <f>IF($A650=1,SUM($A$2:$A650),0)</f>
        <v>0</v>
      </c>
    </row>
    <row r="651" spans="1:3" x14ac:dyDescent="0.3">
      <c r="A651">
        <f>IF(AND(OR(Query!$B$4="All",'Compliance Database'!$A651=Query!$B$4),OR(Query!$B$5="All",ISNUMBER(SEARCH(Query!$B$5,'Compliance Database'!$H651))),OR(Query!$B$6="All",ISNUMBER(SEARCH(Query!$B$6,'Compliance Database'!$I651))),OR(Query!$B$7="All",'Compliance Database'!$F651=Query!$B$7),OR(Query!$B$8="All",'Compliance Database'!$J651=Query!$B$8),OR(Query!$B$9="",ISNUMBER(SEARCH(Query!$B$9,'Compliance Database'!$D651&amp;" "&amp;'Compliance Database'!$K651&amp;" "&amp;'Compliance Database'!$L651&amp;" "&amp;'Compliance Database'!$M651&amp;" "&amp;'Compliance Database'!$N651&amp;" "&amp;'Compliance Database'!$O651))),OR(Query!$B$10&lt;&gt;"Yes",'Compliance Database'!$F651&lt;&gt;"None")),1,0)</f>
        <v>0</v>
      </c>
      <c r="B651" t="str">
        <f>IF($A651=1,SUM($A$2:$A651),"")</f>
        <v/>
      </c>
      <c r="C651">
        <f>IF($A651=1,SUM($A$2:$A651),0)</f>
        <v>0</v>
      </c>
    </row>
    <row r="652" spans="1:3" x14ac:dyDescent="0.3">
      <c r="A652">
        <f>IF(AND(OR(Query!$B$4="All",'Compliance Database'!$A652=Query!$B$4),OR(Query!$B$5="All",ISNUMBER(SEARCH(Query!$B$5,'Compliance Database'!$H652))),OR(Query!$B$6="All",ISNUMBER(SEARCH(Query!$B$6,'Compliance Database'!$I652))),OR(Query!$B$7="All",'Compliance Database'!$F652=Query!$B$7),OR(Query!$B$8="All",'Compliance Database'!$J652=Query!$B$8),OR(Query!$B$9="",ISNUMBER(SEARCH(Query!$B$9,'Compliance Database'!$D652&amp;" "&amp;'Compliance Database'!$K652&amp;" "&amp;'Compliance Database'!$L652&amp;" "&amp;'Compliance Database'!$M652&amp;" "&amp;'Compliance Database'!$N652&amp;" "&amp;'Compliance Database'!$O652))),OR(Query!$B$10&lt;&gt;"Yes",'Compliance Database'!$F652&lt;&gt;"None")),1,0)</f>
        <v>0</v>
      </c>
      <c r="B652" t="str">
        <f>IF($A652=1,SUM($A$2:$A652),"")</f>
        <v/>
      </c>
      <c r="C652">
        <f>IF($A652=1,SUM($A$2:$A652),0)</f>
        <v>0</v>
      </c>
    </row>
    <row r="653" spans="1:3" x14ac:dyDescent="0.3">
      <c r="A653">
        <f>IF(AND(OR(Query!$B$4="All",'Compliance Database'!$A653=Query!$B$4),OR(Query!$B$5="All",ISNUMBER(SEARCH(Query!$B$5,'Compliance Database'!$H653))),OR(Query!$B$6="All",ISNUMBER(SEARCH(Query!$B$6,'Compliance Database'!$I653))),OR(Query!$B$7="All",'Compliance Database'!$F653=Query!$B$7),OR(Query!$B$8="All",'Compliance Database'!$J653=Query!$B$8),OR(Query!$B$9="",ISNUMBER(SEARCH(Query!$B$9,'Compliance Database'!$D653&amp;" "&amp;'Compliance Database'!$K653&amp;" "&amp;'Compliance Database'!$L653&amp;" "&amp;'Compliance Database'!$M653&amp;" "&amp;'Compliance Database'!$N653&amp;" "&amp;'Compliance Database'!$O653))),OR(Query!$B$10&lt;&gt;"Yes",'Compliance Database'!$F653&lt;&gt;"None")),1,0)</f>
        <v>0</v>
      </c>
      <c r="B653" t="str">
        <f>IF($A653=1,SUM($A$2:$A653),"")</f>
        <v/>
      </c>
      <c r="C653">
        <f>IF($A653=1,SUM($A$2:$A653),0)</f>
        <v>0</v>
      </c>
    </row>
    <row r="654" spans="1:3" x14ac:dyDescent="0.3">
      <c r="A654">
        <f>IF(AND(OR(Query!$B$4="All",'Compliance Database'!$A654=Query!$B$4),OR(Query!$B$5="All",ISNUMBER(SEARCH(Query!$B$5,'Compliance Database'!$H654))),OR(Query!$B$6="All",ISNUMBER(SEARCH(Query!$B$6,'Compliance Database'!$I654))),OR(Query!$B$7="All",'Compliance Database'!$F654=Query!$B$7),OR(Query!$B$8="All",'Compliance Database'!$J654=Query!$B$8),OR(Query!$B$9="",ISNUMBER(SEARCH(Query!$B$9,'Compliance Database'!$D654&amp;" "&amp;'Compliance Database'!$K654&amp;" "&amp;'Compliance Database'!$L654&amp;" "&amp;'Compliance Database'!$M654&amp;" "&amp;'Compliance Database'!$N654&amp;" "&amp;'Compliance Database'!$O654))),OR(Query!$B$10&lt;&gt;"Yes",'Compliance Database'!$F654&lt;&gt;"None")),1,0)</f>
        <v>0</v>
      </c>
      <c r="B654" t="str">
        <f>IF($A654=1,SUM($A$2:$A654),"")</f>
        <v/>
      </c>
      <c r="C654">
        <f>IF($A654=1,SUM($A$2:$A654),0)</f>
        <v>0</v>
      </c>
    </row>
    <row r="655" spans="1:3" x14ac:dyDescent="0.3">
      <c r="A655">
        <f>IF(AND(OR(Query!$B$4="All",'Compliance Database'!$A655=Query!$B$4),OR(Query!$B$5="All",ISNUMBER(SEARCH(Query!$B$5,'Compliance Database'!$H655))),OR(Query!$B$6="All",ISNUMBER(SEARCH(Query!$B$6,'Compliance Database'!$I655))),OR(Query!$B$7="All",'Compliance Database'!$F655=Query!$B$7),OR(Query!$B$8="All",'Compliance Database'!$J655=Query!$B$8),OR(Query!$B$9="",ISNUMBER(SEARCH(Query!$B$9,'Compliance Database'!$D655&amp;" "&amp;'Compliance Database'!$K655&amp;" "&amp;'Compliance Database'!$L655&amp;" "&amp;'Compliance Database'!$M655&amp;" "&amp;'Compliance Database'!$N655&amp;" "&amp;'Compliance Database'!$O655))),OR(Query!$B$10&lt;&gt;"Yes",'Compliance Database'!$F655&lt;&gt;"None")),1,0)</f>
        <v>0</v>
      </c>
      <c r="B655" t="str">
        <f>IF($A655=1,SUM($A$2:$A655),"")</f>
        <v/>
      </c>
      <c r="C655">
        <f>IF($A655=1,SUM($A$2:$A655),0)</f>
        <v>0</v>
      </c>
    </row>
    <row r="656" spans="1:3" x14ac:dyDescent="0.3">
      <c r="A656">
        <f>IF(AND(OR(Query!$B$4="All",'Compliance Database'!$A656=Query!$B$4),OR(Query!$B$5="All",ISNUMBER(SEARCH(Query!$B$5,'Compliance Database'!$H656))),OR(Query!$B$6="All",ISNUMBER(SEARCH(Query!$B$6,'Compliance Database'!$I656))),OR(Query!$B$7="All",'Compliance Database'!$F656=Query!$B$7),OR(Query!$B$8="All",'Compliance Database'!$J656=Query!$B$8),OR(Query!$B$9="",ISNUMBER(SEARCH(Query!$B$9,'Compliance Database'!$D656&amp;" "&amp;'Compliance Database'!$K656&amp;" "&amp;'Compliance Database'!$L656&amp;" "&amp;'Compliance Database'!$M656&amp;" "&amp;'Compliance Database'!$N656&amp;" "&amp;'Compliance Database'!$O656))),OR(Query!$B$10&lt;&gt;"Yes",'Compliance Database'!$F656&lt;&gt;"None")),1,0)</f>
        <v>0</v>
      </c>
      <c r="B656" t="str">
        <f>IF($A656=1,SUM($A$2:$A656),"")</f>
        <v/>
      </c>
      <c r="C656">
        <f>IF($A656=1,SUM($A$2:$A656),0)</f>
        <v>0</v>
      </c>
    </row>
    <row r="657" spans="1:3" x14ac:dyDescent="0.3">
      <c r="A657">
        <f>IF(AND(OR(Query!$B$4="All",'Compliance Database'!$A657=Query!$B$4),OR(Query!$B$5="All",ISNUMBER(SEARCH(Query!$B$5,'Compliance Database'!$H657))),OR(Query!$B$6="All",ISNUMBER(SEARCH(Query!$B$6,'Compliance Database'!$I657))),OR(Query!$B$7="All",'Compliance Database'!$F657=Query!$B$7),OR(Query!$B$8="All",'Compliance Database'!$J657=Query!$B$8),OR(Query!$B$9="",ISNUMBER(SEARCH(Query!$B$9,'Compliance Database'!$D657&amp;" "&amp;'Compliance Database'!$K657&amp;" "&amp;'Compliance Database'!$L657&amp;" "&amp;'Compliance Database'!$M657&amp;" "&amp;'Compliance Database'!$N657&amp;" "&amp;'Compliance Database'!$O657))),OR(Query!$B$10&lt;&gt;"Yes",'Compliance Database'!$F657&lt;&gt;"None")),1,0)</f>
        <v>0</v>
      </c>
      <c r="B657" t="str">
        <f>IF($A657=1,SUM($A$2:$A657),"")</f>
        <v/>
      </c>
      <c r="C657">
        <f>IF($A657=1,SUM($A$2:$A657),0)</f>
        <v>0</v>
      </c>
    </row>
    <row r="658" spans="1:3" x14ac:dyDescent="0.3">
      <c r="A658">
        <f>IF(AND(OR(Query!$B$4="All",'Compliance Database'!$A658=Query!$B$4),OR(Query!$B$5="All",ISNUMBER(SEARCH(Query!$B$5,'Compliance Database'!$H658))),OR(Query!$B$6="All",ISNUMBER(SEARCH(Query!$B$6,'Compliance Database'!$I658))),OR(Query!$B$7="All",'Compliance Database'!$F658=Query!$B$7),OR(Query!$B$8="All",'Compliance Database'!$J658=Query!$B$8),OR(Query!$B$9="",ISNUMBER(SEARCH(Query!$B$9,'Compliance Database'!$D658&amp;" "&amp;'Compliance Database'!$K658&amp;" "&amp;'Compliance Database'!$L658&amp;" "&amp;'Compliance Database'!$M658&amp;" "&amp;'Compliance Database'!$N658&amp;" "&amp;'Compliance Database'!$O658))),OR(Query!$B$10&lt;&gt;"Yes",'Compliance Database'!$F658&lt;&gt;"None")),1,0)</f>
        <v>0</v>
      </c>
      <c r="B658" t="str">
        <f>IF($A658=1,SUM($A$2:$A658),"")</f>
        <v/>
      </c>
      <c r="C658">
        <f>IF($A658=1,SUM($A$2:$A658),0)</f>
        <v>0</v>
      </c>
    </row>
    <row r="659" spans="1:3" x14ac:dyDescent="0.3">
      <c r="A659">
        <f>IF(AND(OR(Query!$B$4="All",'Compliance Database'!$A659=Query!$B$4),OR(Query!$B$5="All",ISNUMBER(SEARCH(Query!$B$5,'Compliance Database'!$H659))),OR(Query!$B$6="All",ISNUMBER(SEARCH(Query!$B$6,'Compliance Database'!$I659))),OR(Query!$B$7="All",'Compliance Database'!$F659=Query!$B$7),OR(Query!$B$8="All",'Compliance Database'!$J659=Query!$B$8),OR(Query!$B$9="",ISNUMBER(SEARCH(Query!$B$9,'Compliance Database'!$D659&amp;" "&amp;'Compliance Database'!$K659&amp;" "&amp;'Compliance Database'!$L659&amp;" "&amp;'Compliance Database'!$M659&amp;" "&amp;'Compliance Database'!$N659&amp;" "&amp;'Compliance Database'!$O659))),OR(Query!$B$10&lt;&gt;"Yes",'Compliance Database'!$F659&lt;&gt;"None")),1,0)</f>
        <v>0</v>
      </c>
      <c r="B659" t="str">
        <f>IF($A659=1,SUM($A$2:$A659),"")</f>
        <v/>
      </c>
      <c r="C659">
        <f>IF($A659=1,SUM($A$2:$A659),0)</f>
        <v>0</v>
      </c>
    </row>
    <row r="660" spans="1:3" x14ac:dyDescent="0.3">
      <c r="A660">
        <f>IF(AND(OR(Query!$B$4="All",'Compliance Database'!$A660=Query!$B$4),OR(Query!$B$5="All",ISNUMBER(SEARCH(Query!$B$5,'Compliance Database'!$H660))),OR(Query!$B$6="All",ISNUMBER(SEARCH(Query!$B$6,'Compliance Database'!$I660))),OR(Query!$B$7="All",'Compliance Database'!$F660=Query!$B$7),OR(Query!$B$8="All",'Compliance Database'!$J660=Query!$B$8),OR(Query!$B$9="",ISNUMBER(SEARCH(Query!$B$9,'Compliance Database'!$D660&amp;" "&amp;'Compliance Database'!$K660&amp;" "&amp;'Compliance Database'!$L660&amp;" "&amp;'Compliance Database'!$M660&amp;" "&amp;'Compliance Database'!$N660&amp;" "&amp;'Compliance Database'!$O660))),OR(Query!$B$10&lt;&gt;"Yes",'Compliance Database'!$F660&lt;&gt;"None")),1,0)</f>
        <v>0</v>
      </c>
      <c r="B660" t="str">
        <f>IF($A660=1,SUM($A$2:$A660),"")</f>
        <v/>
      </c>
      <c r="C660">
        <f>IF($A660=1,SUM($A$2:$A660),0)</f>
        <v>0</v>
      </c>
    </row>
    <row r="661" spans="1:3" x14ac:dyDescent="0.3">
      <c r="A661">
        <f>IF(AND(OR(Query!$B$4="All",'Compliance Database'!$A661=Query!$B$4),OR(Query!$B$5="All",ISNUMBER(SEARCH(Query!$B$5,'Compliance Database'!$H661))),OR(Query!$B$6="All",ISNUMBER(SEARCH(Query!$B$6,'Compliance Database'!$I661))),OR(Query!$B$7="All",'Compliance Database'!$F661=Query!$B$7),OR(Query!$B$8="All",'Compliance Database'!$J661=Query!$B$8),OR(Query!$B$9="",ISNUMBER(SEARCH(Query!$B$9,'Compliance Database'!$D661&amp;" "&amp;'Compliance Database'!$K661&amp;" "&amp;'Compliance Database'!$L661&amp;" "&amp;'Compliance Database'!$M661&amp;" "&amp;'Compliance Database'!$N661&amp;" "&amp;'Compliance Database'!$O661))),OR(Query!$B$10&lt;&gt;"Yes",'Compliance Database'!$F661&lt;&gt;"None")),1,0)</f>
        <v>0</v>
      </c>
      <c r="B661" t="str">
        <f>IF($A661=1,SUM($A$2:$A661),"")</f>
        <v/>
      </c>
      <c r="C661">
        <f>IF($A661=1,SUM($A$2:$A661),0)</f>
        <v>0</v>
      </c>
    </row>
    <row r="662" spans="1:3" x14ac:dyDescent="0.3">
      <c r="A662">
        <f>IF(AND(OR(Query!$B$4="All",'Compliance Database'!$A662=Query!$B$4),OR(Query!$B$5="All",ISNUMBER(SEARCH(Query!$B$5,'Compliance Database'!$H662))),OR(Query!$B$6="All",ISNUMBER(SEARCH(Query!$B$6,'Compliance Database'!$I662))),OR(Query!$B$7="All",'Compliance Database'!$F662=Query!$B$7),OR(Query!$B$8="All",'Compliance Database'!$J662=Query!$B$8),OR(Query!$B$9="",ISNUMBER(SEARCH(Query!$B$9,'Compliance Database'!$D662&amp;" "&amp;'Compliance Database'!$K662&amp;" "&amp;'Compliance Database'!$L662&amp;" "&amp;'Compliance Database'!$M662&amp;" "&amp;'Compliance Database'!$N662&amp;" "&amp;'Compliance Database'!$O662))),OR(Query!$B$10&lt;&gt;"Yes",'Compliance Database'!$F662&lt;&gt;"None")),1,0)</f>
        <v>0</v>
      </c>
      <c r="B662" t="str">
        <f>IF($A662=1,SUM($A$2:$A662),"")</f>
        <v/>
      </c>
      <c r="C662">
        <f>IF($A662=1,SUM($A$2:$A662),0)</f>
        <v>0</v>
      </c>
    </row>
    <row r="663" spans="1:3" x14ac:dyDescent="0.3">
      <c r="A663">
        <f>IF(AND(OR(Query!$B$4="All",'Compliance Database'!$A663=Query!$B$4),OR(Query!$B$5="All",ISNUMBER(SEARCH(Query!$B$5,'Compliance Database'!$H663))),OR(Query!$B$6="All",ISNUMBER(SEARCH(Query!$B$6,'Compliance Database'!$I663))),OR(Query!$B$7="All",'Compliance Database'!$F663=Query!$B$7),OR(Query!$B$8="All",'Compliance Database'!$J663=Query!$B$8),OR(Query!$B$9="",ISNUMBER(SEARCH(Query!$B$9,'Compliance Database'!$D663&amp;" "&amp;'Compliance Database'!$K663&amp;" "&amp;'Compliance Database'!$L663&amp;" "&amp;'Compliance Database'!$M663&amp;" "&amp;'Compliance Database'!$N663&amp;" "&amp;'Compliance Database'!$O663))),OR(Query!$B$10&lt;&gt;"Yes",'Compliance Database'!$F663&lt;&gt;"None")),1,0)</f>
        <v>0</v>
      </c>
      <c r="B663" t="str">
        <f>IF($A663=1,SUM($A$2:$A663),"")</f>
        <v/>
      </c>
      <c r="C663">
        <f>IF($A663=1,SUM($A$2:$A663),0)</f>
        <v>0</v>
      </c>
    </row>
    <row r="664" spans="1:3" x14ac:dyDescent="0.3">
      <c r="A664">
        <f>IF(AND(OR(Query!$B$4="All",'Compliance Database'!$A664=Query!$B$4),OR(Query!$B$5="All",ISNUMBER(SEARCH(Query!$B$5,'Compliance Database'!$H664))),OR(Query!$B$6="All",ISNUMBER(SEARCH(Query!$B$6,'Compliance Database'!$I664))),OR(Query!$B$7="All",'Compliance Database'!$F664=Query!$B$7),OR(Query!$B$8="All",'Compliance Database'!$J664=Query!$B$8),OR(Query!$B$9="",ISNUMBER(SEARCH(Query!$B$9,'Compliance Database'!$D664&amp;" "&amp;'Compliance Database'!$K664&amp;" "&amp;'Compliance Database'!$L664&amp;" "&amp;'Compliance Database'!$M664&amp;" "&amp;'Compliance Database'!$N664&amp;" "&amp;'Compliance Database'!$O664))),OR(Query!$B$10&lt;&gt;"Yes",'Compliance Database'!$F664&lt;&gt;"None")),1,0)</f>
        <v>0</v>
      </c>
      <c r="B664" t="str">
        <f>IF($A664=1,SUM($A$2:$A664),"")</f>
        <v/>
      </c>
      <c r="C664">
        <f>IF($A664=1,SUM($A$2:$A664),0)</f>
        <v>0</v>
      </c>
    </row>
    <row r="665" spans="1:3" x14ac:dyDescent="0.3">
      <c r="A665">
        <f>IF(AND(OR(Query!$B$4="All",'Compliance Database'!$A665=Query!$B$4),OR(Query!$B$5="All",ISNUMBER(SEARCH(Query!$B$5,'Compliance Database'!$H665))),OR(Query!$B$6="All",ISNUMBER(SEARCH(Query!$B$6,'Compliance Database'!$I665))),OR(Query!$B$7="All",'Compliance Database'!$F665=Query!$B$7),OR(Query!$B$8="All",'Compliance Database'!$J665=Query!$B$8),OR(Query!$B$9="",ISNUMBER(SEARCH(Query!$B$9,'Compliance Database'!$D665&amp;" "&amp;'Compliance Database'!$K665&amp;" "&amp;'Compliance Database'!$L665&amp;" "&amp;'Compliance Database'!$M665&amp;" "&amp;'Compliance Database'!$N665&amp;" "&amp;'Compliance Database'!$O665))),OR(Query!$B$10&lt;&gt;"Yes",'Compliance Database'!$F665&lt;&gt;"None")),1,0)</f>
        <v>0</v>
      </c>
      <c r="B665" t="str">
        <f>IF($A665=1,SUM($A$2:$A665),"")</f>
        <v/>
      </c>
      <c r="C665">
        <f>IF($A665=1,SUM($A$2:$A665),0)</f>
        <v>0</v>
      </c>
    </row>
    <row r="666" spans="1:3" x14ac:dyDescent="0.3">
      <c r="A666">
        <f>IF(AND(OR(Query!$B$4="All",'Compliance Database'!$A666=Query!$B$4),OR(Query!$B$5="All",ISNUMBER(SEARCH(Query!$B$5,'Compliance Database'!$H666))),OR(Query!$B$6="All",ISNUMBER(SEARCH(Query!$B$6,'Compliance Database'!$I666))),OR(Query!$B$7="All",'Compliance Database'!$F666=Query!$B$7),OR(Query!$B$8="All",'Compliance Database'!$J666=Query!$B$8),OR(Query!$B$9="",ISNUMBER(SEARCH(Query!$B$9,'Compliance Database'!$D666&amp;" "&amp;'Compliance Database'!$K666&amp;" "&amp;'Compliance Database'!$L666&amp;" "&amp;'Compliance Database'!$M666&amp;" "&amp;'Compliance Database'!$N666&amp;" "&amp;'Compliance Database'!$O666))),OR(Query!$B$10&lt;&gt;"Yes",'Compliance Database'!$F666&lt;&gt;"None")),1,0)</f>
        <v>0</v>
      </c>
      <c r="B666" t="str">
        <f>IF($A666=1,SUM($A$2:$A666),"")</f>
        <v/>
      </c>
      <c r="C666">
        <f>IF($A666=1,SUM($A$2:$A666),0)</f>
        <v>0</v>
      </c>
    </row>
    <row r="667" spans="1:3" x14ac:dyDescent="0.3">
      <c r="A667">
        <f>IF(AND(OR(Query!$B$4="All",'Compliance Database'!$A667=Query!$B$4),OR(Query!$B$5="All",ISNUMBER(SEARCH(Query!$B$5,'Compliance Database'!$H667))),OR(Query!$B$6="All",ISNUMBER(SEARCH(Query!$B$6,'Compliance Database'!$I667))),OR(Query!$B$7="All",'Compliance Database'!$F667=Query!$B$7),OR(Query!$B$8="All",'Compliance Database'!$J667=Query!$B$8),OR(Query!$B$9="",ISNUMBER(SEARCH(Query!$B$9,'Compliance Database'!$D667&amp;" "&amp;'Compliance Database'!$K667&amp;" "&amp;'Compliance Database'!$L667&amp;" "&amp;'Compliance Database'!$M667&amp;" "&amp;'Compliance Database'!$N667&amp;" "&amp;'Compliance Database'!$O667))),OR(Query!$B$10&lt;&gt;"Yes",'Compliance Database'!$F667&lt;&gt;"None")),1,0)</f>
        <v>0</v>
      </c>
      <c r="B667" t="str">
        <f>IF($A667=1,SUM($A$2:$A667),"")</f>
        <v/>
      </c>
      <c r="C667">
        <f>IF($A667=1,SUM($A$2:$A667),0)</f>
        <v>0</v>
      </c>
    </row>
    <row r="668" spans="1:3" x14ac:dyDescent="0.3">
      <c r="A668">
        <f>IF(AND(OR(Query!$B$4="All",'Compliance Database'!$A668=Query!$B$4),OR(Query!$B$5="All",ISNUMBER(SEARCH(Query!$B$5,'Compliance Database'!$H668))),OR(Query!$B$6="All",ISNUMBER(SEARCH(Query!$B$6,'Compliance Database'!$I668))),OR(Query!$B$7="All",'Compliance Database'!$F668=Query!$B$7),OR(Query!$B$8="All",'Compliance Database'!$J668=Query!$B$8),OR(Query!$B$9="",ISNUMBER(SEARCH(Query!$B$9,'Compliance Database'!$D668&amp;" "&amp;'Compliance Database'!$K668&amp;" "&amp;'Compliance Database'!$L668&amp;" "&amp;'Compliance Database'!$M668&amp;" "&amp;'Compliance Database'!$N668&amp;" "&amp;'Compliance Database'!$O668))),OR(Query!$B$10&lt;&gt;"Yes",'Compliance Database'!$F668&lt;&gt;"None")),1,0)</f>
        <v>0</v>
      </c>
      <c r="B668" t="str">
        <f>IF($A668=1,SUM($A$2:$A668),"")</f>
        <v/>
      </c>
      <c r="C668">
        <f>IF($A668=1,SUM($A$2:$A668),0)</f>
        <v>0</v>
      </c>
    </row>
    <row r="669" spans="1:3" x14ac:dyDescent="0.3">
      <c r="A669">
        <f>IF(AND(OR(Query!$B$4="All",'Compliance Database'!$A669=Query!$B$4),OR(Query!$B$5="All",ISNUMBER(SEARCH(Query!$B$5,'Compliance Database'!$H669))),OR(Query!$B$6="All",ISNUMBER(SEARCH(Query!$B$6,'Compliance Database'!$I669))),OR(Query!$B$7="All",'Compliance Database'!$F669=Query!$B$7),OR(Query!$B$8="All",'Compliance Database'!$J669=Query!$B$8),OR(Query!$B$9="",ISNUMBER(SEARCH(Query!$B$9,'Compliance Database'!$D669&amp;" "&amp;'Compliance Database'!$K669&amp;" "&amp;'Compliance Database'!$L669&amp;" "&amp;'Compliance Database'!$M669&amp;" "&amp;'Compliance Database'!$N669&amp;" "&amp;'Compliance Database'!$O669))),OR(Query!$B$10&lt;&gt;"Yes",'Compliance Database'!$F669&lt;&gt;"None")),1,0)</f>
        <v>0</v>
      </c>
      <c r="B669" t="str">
        <f>IF($A669=1,SUM($A$2:$A669),"")</f>
        <v/>
      </c>
      <c r="C669">
        <f>IF($A669=1,SUM($A$2:$A669),0)</f>
        <v>0</v>
      </c>
    </row>
    <row r="670" spans="1:3" x14ac:dyDescent="0.3">
      <c r="A670">
        <f>IF(AND(OR(Query!$B$4="All",'Compliance Database'!$A670=Query!$B$4),OR(Query!$B$5="All",ISNUMBER(SEARCH(Query!$B$5,'Compliance Database'!$H670))),OR(Query!$B$6="All",ISNUMBER(SEARCH(Query!$B$6,'Compliance Database'!$I670))),OR(Query!$B$7="All",'Compliance Database'!$F670=Query!$B$7),OR(Query!$B$8="All",'Compliance Database'!$J670=Query!$B$8),OR(Query!$B$9="",ISNUMBER(SEARCH(Query!$B$9,'Compliance Database'!$D670&amp;" "&amp;'Compliance Database'!$K670&amp;" "&amp;'Compliance Database'!$L670&amp;" "&amp;'Compliance Database'!$M670&amp;" "&amp;'Compliance Database'!$N670&amp;" "&amp;'Compliance Database'!$O670))),OR(Query!$B$10&lt;&gt;"Yes",'Compliance Database'!$F670&lt;&gt;"None")),1,0)</f>
        <v>0</v>
      </c>
      <c r="B670" t="str">
        <f>IF($A670=1,SUM($A$2:$A670),"")</f>
        <v/>
      </c>
      <c r="C670">
        <f>IF($A670=1,SUM($A$2:$A670),0)</f>
        <v>0</v>
      </c>
    </row>
    <row r="671" spans="1:3" x14ac:dyDescent="0.3">
      <c r="A671">
        <f>IF(AND(OR(Query!$B$4="All",'Compliance Database'!$A671=Query!$B$4),OR(Query!$B$5="All",ISNUMBER(SEARCH(Query!$B$5,'Compliance Database'!$H671))),OR(Query!$B$6="All",ISNUMBER(SEARCH(Query!$B$6,'Compliance Database'!$I671))),OR(Query!$B$7="All",'Compliance Database'!$F671=Query!$B$7),OR(Query!$B$8="All",'Compliance Database'!$J671=Query!$B$8),OR(Query!$B$9="",ISNUMBER(SEARCH(Query!$B$9,'Compliance Database'!$D671&amp;" "&amp;'Compliance Database'!$K671&amp;" "&amp;'Compliance Database'!$L671&amp;" "&amp;'Compliance Database'!$M671&amp;" "&amp;'Compliance Database'!$N671&amp;" "&amp;'Compliance Database'!$O671))),OR(Query!$B$10&lt;&gt;"Yes",'Compliance Database'!$F671&lt;&gt;"None")),1,0)</f>
        <v>0</v>
      </c>
      <c r="B671" t="str">
        <f>IF($A671=1,SUM($A$2:$A671),"")</f>
        <v/>
      </c>
      <c r="C671">
        <f>IF($A671=1,SUM($A$2:$A671),0)</f>
        <v>0</v>
      </c>
    </row>
    <row r="672" spans="1:3" x14ac:dyDescent="0.3">
      <c r="A672">
        <f>IF(AND(OR(Query!$B$4="All",'Compliance Database'!$A672=Query!$B$4),OR(Query!$B$5="All",ISNUMBER(SEARCH(Query!$B$5,'Compliance Database'!$H672))),OR(Query!$B$6="All",ISNUMBER(SEARCH(Query!$B$6,'Compliance Database'!$I672))),OR(Query!$B$7="All",'Compliance Database'!$F672=Query!$B$7),OR(Query!$B$8="All",'Compliance Database'!$J672=Query!$B$8),OR(Query!$B$9="",ISNUMBER(SEARCH(Query!$B$9,'Compliance Database'!$D672&amp;" "&amp;'Compliance Database'!$K672&amp;" "&amp;'Compliance Database'!$L672&amp;" "&amp;'Compliance Database'!$M672&amp;" "&amp;'Compliance Database'!$N672&amp;" "&amp;'Compliance Database'!$O672))),OR(Query!$B$10&lt;&gt;"Yes",'Compliance Database'!$F672&lt;&gt;"None")),1,0)</f>
        <v>0</v>
      </c>
      <c r="B672" t="str">
        <f>IF($A672=1,SUM($A$2:$A672),"")</f>
        <v/>
      </c>
      <c r="C672">
        <f>IF($A672=1,SUM($A$2:$A672),0)</f>
        <v>0</v>
      </c>
    </row>
    <row r="673" spans="1:3" x14ac:dyDescent="0.3">
      <c r="A673">
        <f>IF(AND(OR(Query!$B$4="All",'Compliance Database'!$A673=Query!$B$4),OR(Query!$B$5="All",ISNUMBER(SEARCH(Query!$B$5,'Compliance Database'!$H673))),OR(Query!$B$6="All",ISNUMBER(SEARCH(Query!$B$6,'Compliance Database'!$I673))),OR(Query!$B$7="All",'Compliance Database'!$F673=Query!$B$7),OR(Query!$B$8="All",'Compliance Database'!$J673=Query!$B$8),OR(Query!$B$9="",ISNUMBER(SEARCH(Query!$B$9,'Compliance Database'!$D673&amp;" "&amp;'Compliance Database'!$K673&amp;" "&amp;'Compliance Database'!$L673&amp;" "&amp;'Compliance Database'!$M673&amp;" "&amp;'Compliance Database'!$N673&amp;" "&amp;'Compliance Database'!$O673))),OR(Query!$B$10&lt;&gt;"Yes",'Compliance Database'!$F673&lt;&gt;"None")),1,0)</f>
        <v>0</v>
      </c>
      <c r="B673" t="str">
        <f>IF($A673=1,SUM($A$2:$A673),"")</f>
        <v/>
      </c>
      <c r="C673">
        <f>IF($A673=1,SUM($A$2:$A673),0)</f>
        <v>0</v>
      </c>
    </row>
    <row r="674" spans="1:3" x14ac:dyDescent="0.3">
      <c r="A674">
        <f>IF(AND(OR(Query!$B$4="All",'Compliance Database'!$A674=Query!$B$4),OR(Query!$B$5="All",ISNUMBER(SEARCH(Query!$B$5,'Compliance Database'!$H674))),OR(Query!$B$6="All",ISNUMBER(SEARCH(Query!$B$6,'Compliance Database'!$I674))),OR(Query!$B$7="All",'Compliance Database'!$F674=Query!$B$7),OR(Query!$B$8="All",'Compliance Database'!$J674=Query!$B$8),OR(Query!$B$9="",ISNUMBER(SEARCH(Query!$B$9,'Compliance Database'!$D674&amp;" "&amp;'Compliance Database'!$K674&amp;" "&amp;'Compliance Database'!$L674&amp;" "&amp;'Compliance Database'!$M674&amp;" "&amp;'Compliance Database'!$N674&amp;" "&amp;'Compliance Database'!$O674))),OR(Query!$B$10&lt;&gt;"Yes",'Compliance Database'!$F674&lt;&gt;"None")),1,0)</f>
        <v>0</v>
      </c>
      <c r="B674" t="str">
        <f>IF($A674=1,SUM($A$2:$A674),"")</f>
        <v/>
      </c>
      <c r="C674">
        <f>IF($A674=1,SUM($A$2:$A674),0)</f>
        <v>0</v>
      </c>
    </row>
    <row r="675" spans="1:3" x14ac:dyDescent="0.3">
      <c r="A675">
        <f>IF(AND(OR(Query!$B$4="All",'Compliance Database'!$A675=Query!$B$4),OR(Query!$B$5="All",ISNUMBER(SEARCH(Query!$B$5,'Compliance Database'!$H675))),OR(Query!$B$6="All",ISNUMBER(SEARCH(Query!$B$6,'Compliance Database'!$I675))),OR(Query!$B$7="All",'Compliance Database'!$F675=Query!$B$7),OR(Query!$B$8="All",'Compliance Database'!$J675=Query!$B$8),OR(Query!$B$9="",ISNUMBER(SEARCH(Query!$B$9,'Compliance Database'!$D675&amp;" "&amp;'Compliance Database'!$K675&amp;" "&amp;'Compliance Database'!$L675&amp;" "&amp;'Compliance Database'!$M675&amp;" "&amp;'Compliance Database'!$N675&amp;" "&amp;'Compliance Database'!$O675))),OR(Query!$B$10&lt;&gt;"Yes",'Compliance Database'!$F675&lt;&gt;"None")),1,0)</f>
        <v>0</v>
      </c>
      <c r="B675" t="str">
        <f>IF($A675=1,SUM($A$2:$A675),"")</f>
        <v/>
      </c>
      <c r="C675">
        <f>IF($A675=1,SUM($A$2:$A675),0)</f>
        <v>0</v>
      </c>
    </row>
    <row r="676" spans="1:3" x14ac:dyDescent="0.3">
      <c r="A676">
        <f>IF(AND(OR(Query!$B$4="All",'Compliance Database'!$A676=Query!$B$4),OR(Query!$B$5="All",ISNUMBER(SEARCH(Query!$B$5,'Compliance Database'!$H676))),OR(Query!$B$6="All",ISNUMBER(SEARCH(Query!$B$6,'Compliance Database'!$I676))),OR(Query!$B$7="All",'Compliance Database'!$F676=Query!$B$7),OR(Query!$B$8="All",'Compliance Database'!$J676=Query!$B$8),OR(Query!$B$9="",ISNUMBER(SEARCH(Query!$B$9,'Compliance Database'!$D676&amp;" "&amp;'Compliance Database'!$K676&amp;" "&amp;'Compliance Database'!$L676&amp;" "&amp;'Compliance Database'!$M676&amp;" "&amp;'Compliance Database'!$N676&amp;" "&amp;'Compliance Database'!$O676))),OR(Query!$B$10&lt;&gt;"Yes",'Compliance Database'!$F676&lt;&gt;"None")),1,0)</f>
        <v>0</v>
      </c>
      <c r="B676" t="str">
        <f>IF($A676=1,SUM($A$2:$A676),"")</f>
        <v/>
      </c>
      <c r="C676">
        <f>IF($A676=1,SUM($A$2:$A676),0)</f>
        <v>0</v>
      </c>
    </row>
    <row r="677" spans="1:3" x14ac:dyDescent="0.3">
      <c r="A677">
        <f>IF(AND(OR(Query!$B$4="All",'Compliance Database'!$A677=Query!$B$4),OR(Query!$B$5="All",ISNUMBER(SEARCH(Query!$B$5,'Compliance Database'!$H677))),OR(Query!$B$6="All",ISNUMBER(SEARCH(Query!$B$6,'Compliance Database'!$I677))),OR(Query!$B$7="All",'Compliance Database'!$F677=Query!$B$7),OR(Query!$B$8="All",'Compliance Database'!$J677=Query!$B$8),OR(Query!$B$9="",ISNUMBER(SEARCH(Query!$B$9,'Compliance Database'!$D677&amp;" "&amp;'Compliance Database'!$K677&amp;" "&amp;'Compliance Database'!$L677&amp;" "&amp;'Compliance Database'!$M677&amp;" "&amp;'Compliance Database'!$N677&amp;" "&amp;'Compliance Database'!$O677))),OR(Query!$B$10&lt;&gt;"Yes",'Compliance Database'!$F677&lt;&gt;"None")),1,0)</f>
        <v>0</v>
      </c>
      <c r="B677" t="str">
        <f>IF($A677=1,SUM($A$2:$A677),"")</f>
        <v/>
      </c>
      <c r="C677">
        <f>IF($A677=1,SUM($A$2:$A677),0)</f>
        <v>0</v>
      </c>
    </row>
    <row r="678" spans="1:3" x14ac:dyDescent="0.3">
      <c r="A678">
        <f>IF(AND(OR(Query!$B$4="All",'Compliance Database'!$A678=Query!$B$4),OR(Query!$B$5="All",ISNUMBER(SEARCH(Query!$B$5,'Compliance Database'!$H678))),OR(Query!$B$6="All",ISNUMBER(SEARCH(Query!$B$6,'Compliance Database'!$I678))),OR(Query!$B$7="All",'Compliance Database'!$F678=Query!$B$7),OR(Query!$B$8="All",'Compliance Database'!$J678=Query!$B$8),OR(Query!$B$9="",ISNUMBER(SEARCH(Query!$B$9,'Compliance Database'!$D678&amp;" "&amp;'Compliance Database'!$K678&amp;" "&amp;'Compliance Database'!$L678&amp;" "&amp;'Compliance Database'!$M678&amp;" "&amp;'Compliance Database'!$N678&amp;" "&amp;'Compliance Database'!$O678))),OR(Query!$B$10&lt;&gt;"Yes",'Compliance Database'!$F678&lt;&gt;"None")),1,0)</f>
        <v>0</v>
      </c>
      <c r="B678" t="str">
        <f>IF($A678=1,SUM($A$2:$A678),"")</f>
        <v/>
      </c>
      <c r="C678">
        <f>IF($A678=1,SUM($A$2:$A678),0)</f>
        <v>0</v>
      </c>
    </row>
    <row r="679" spans="1:3" x14ac:dyDescent="0.3">
      <c r="A679">
        <f>IF(AND(OR(Query!$B$4="All",'Compliance Database'!$A679=Query!$B$4),OR(Query!$B$5="All",ISNUMBER(SEARCH(Query!$B$5,'Compliance Database'!$H679))),OR(Query!$B$6="All",ISNUMBER(SEARCH(Query!$B$6,'Compliance Database'!$I679))),OR(Query!$B$7="All",'Compliance Database'!$F679=Query!$B$7),OR(Query!$B$8="All",'Compliance Database'!$J679=Query!$B$8),OR(Query!$B$9="",ISNUMBER(SEARCH(Query!$B$9,'Compliance Database'!$D679&amp;" "&amp;'Compliance Database'!$K679&amp;" "&amp;'Compliance Database'!$L679&amp;" "&amp;'Compliance Database'!$M679&amp;" "&amp;'Compliance Database'!$N679&amp;" "&amp;'Compliance Database'!$O679))),OR(Query!$B$10&lt;&gt;"Yes",'Compliance Database'!$F679&lt;&gt;"None")),1,0)</f>
        <v>0</v>
      </c>
      <c r="B679" t="str">
        <f>IF($A679=1,SUM($A$2:$A679),"")</f>
        <v/>
      </c>
      <c r="C679">
        <f>IF($A679=1,SUM($A$2:$A679),0)</f>
        <v>0</v>
      </c>
    </row>
    <row r="680" spans="1:3" x14ac:dyDescent="0.3">
      <c r="A680">
        <f>IF(AND(OR(Query!$B$4="All",'Compliance Database'!$A680=Query!$B$4),OR(Query!$B$5="All",ISNUMBER(SEARCH(Query!$B$5,'Compliance Database'!$H680))),OR(Query!$B$6="All",ISNUMBER(SEARCH(Query!$B$6,'Compliance Database'!$I680))),OR(Query!$B$7="All",'Compliance Database'!$F680=Query!$B$7),OR(Query!$B$8="All",'Compliance Database'!$J680=Query!$B$8),OR(Query!$B$9="",ISNUMBER(SEARCH(Query!$B$9,'Compliance Database'!$D680&amp;" "&amp;'Compliance Database'!$K680&amp;" "&amp;'Compliance Database'!$L680&amp;" "&amp;'Compliance Database'!$M680&amp;" "&amp;'Compliance Database'!$N680&amp;" "&amp;'Compliance Database'!$O680))),OR(Query!$B$10&lt;&gt;"Yes",'Compliance Database'!$F680&lt;&gt;"None")),1,0)</f>
        <v>0</v>
      </c>
      <c r="B680" t="str">
        <f>IF($A680=1,SUM($A$2:$A680),"")</f>
        <v/>
      </c>
      <c r="C680">
        <f>IF($A680=1,SUM($A$2:$A680),0)</f>
        <v>0</v>
      </c>
    </row>
    <row r="681" spans="1:3" x14ac:dyDescent="0.3">
      <c r="A681">
        <f>IF(AND(OR(Query!$B$4="All",'Compliance Database'!$A681=Query!$B$4),OR(Query!$B$5="All",ISNUMBER(SEARCH(Query!$B$5,'Compliance Database'!$H681))),OR(Query!$B$6="All",ISNUMBER(SEARCH(Query!$B$6,'Compliance Database'!$I681))),OR(Query!$B$7="All",'Compliance Database'!$F681=Query!$B$7),OR(Query!$B$8="All",'Compliance Database'!$J681=Query!$B$8),OR(Query!$B$9="",ISNUMBER(SEARCH(Query!$B$9,'Compliance Database'!$D681&amp;" "&amp;'Compliance Database'!$K681&amp;" "&amp;'Compliance Database'!$L681&amp;" "&amp;'Compliance Database'!$M681&amp;" "&amp;'Compliance Database'!$N681&amp;" "&amp;'Compliance Database'!$O681))),OR(Query!$B$10&lt;&gt;"Yes",'Compliance Database'!$F681&lt;&gt;"None")),1,0)</f>
        <v>0</v>
      </c>
      <c r="B681" t="str">
        <f>IF($A681=1,SUM($A$2:$A681),"")</f>
        <v/>
      </c>
      <c r="C681">
        <f>IF($A681=1,SUM($A$2:$A681),0)</f>
        <v>0</v>
      </c>
    </row>
    <row r="682" spans="1:3" x14ac:dyDescent="0.3">
      <c r="A682">
        <f>IF(AND(OR(Query!$B$4="All",'Compliance Database'!$A682=Query!$B$4),OR(Query!$B$5="All",ISNUMBER(SEARCH(Query!$B$5,'Compliance Database'!$H682))),OR(Query!$B$6="All",ISNUMBER(SEARCH(Query!$B$6,'Compliance Database'!$I682))),OR(Query!$B$7="All",'Compliance Database'!$F682=Query!$B$7),OR(Query!$B$8="All",'Compliance Database'!$J682=Query!$B$8),OR(Query!$B$9="",ISNUMBER(SEARCH(Query!$B$9,'Compliance Database'!$D682&amp;" "&amp;'Compliance Database'!$K682&amp;" "&amp;'Compliance Database'!$L682&amp;" "&amp;'Compliance Database'!$M682&amp;" "&amp;'Compliance Database'!$N682&amp;" "&amp;'Compliance Database'!$O682))),OR(Query!$B$10&lt;&gt;"Yes",'Compliance Database'!$F682&lt;&gt;"None")),1,0)</f>
        <v>0</v>
      </c>
      <c r="B682" t="str">
        <f>IF($A682=1,SUM($A$2:$A682),"")</f>
        <v/>
      </c>
      <c r="C682">
        <f>IF($A682=1,SUM($A$2:$A682),0)</f>
        <v>0</v>
      </c>
    </row>
    <row r="683" spans="1:3" x14ac:dyDescent="0.3">
      <c r="A683">
        <f>IF(AND(OR(Query!$B$4="All",'Compliance Database'!$A683=Query!$B$4),OR(Query!$B$5="All",ISNUMBER(SEARCH(Query!$B$5,'Compliance Database'!$H683))),OR(Query!$B$6="All",ISNUMBER(SEARCH(Query!$B$6,'Compliance Database'!$I683))),OR(Query!$B$7="All",'Compliance Database'!$F683=Query!$B$7),OR(Query!$B$8="All",'Compliance Database'!$J683=Query!$B$8),OR(Query!$B$9="",ISNUMBER(SEARCH(Query!$B$9,'Compliance Database'!$D683&amp;" "&amp;'Compliance Database'!$K683&amp;" "&amp;'Compliance Database'!$L683&amp;" "&amp;'Compliance Database'!$M683&amp;" "&amp;'Compliance Database'!$N683&amp;" "&amp;'Compliance Database'!$O683))),OR(Query!$B$10&lt;&gt;"Yes",'Compliance Database'!$F683&lt;&gt;"None")),1,0)</f>
        <v>0</v>
      </c>
      <c r="B683" t="str">
        <f>IF($A683=1,SUM($A$2:$A683),"")</f>
        <v/>
      </c>
      <c r="C683">
        <f>IF($A683=1,SUM($A$2:$A683),0)</f>
        <v>0</v>
      </c>
    </row>
    <row r="684" spans="1:3" x14ac:dyDescent="0.3">
      <c r="A684">
        <f>IF(AND(OR(Query!$B$4="All",'Compliance Database'!$A684=Query!$B$4),OR(Query!$B$5="All",ISNUMBER(SEARCH(Query!$B$5,'Compliance Database'!$H684))),OR(Query!$B$6="All",ISNUMBER(SEARCH(Query!$B$6,'Compliance Database'!$I684))),OR(Query!$B$7="All",'Compliance Database'!$F684=Query!$B$7),OR(Query!$B$8="All",'Compliance Database'!$J684=Query!$B$8),OR(Query!$B$9="",ISNUMBER(SEARCH(Query!$B$9,'Compliance Database'!$D684&amp;" "&amp;'Compliance Database'!$K684&amp;" "&amp;'Compliance Database'!$L684&amp;" "&amp;'Compliance Database'!$M684&amp;" "&amp;'Compliance Database'!$N684&amp;" "&amp;'Compliance Database'!$O684))),OR(Query!$B$10&lt;&gt;"Yes",'Compliance Database'!$F684&lt;&gt;"None")),1,0)</f>
        <v>0</v>
      </c>
      <c r="B684" t="str">
        <f>IF($A684=1,SUM($A$2:$A684),"")</f>
        <v/>
      </c>
      <c r="C684">
        <f>IF($A684=1,SUM($A$2:$A684),0)</f>
        <v>0</v>
      </c>
    </row>
    <row r="685" spans="1:3" x14ac:dyDescent="0.3">
      <c r="A685">
        <f>IF(AND(OR(Query!$B$4="All",'Compliance Database'!$A685=Query!$B$4),OR(Query!$B$5="All",ISNUMBER(SEARCH(Query!$B$5,'Compliance Database'!$H685))),OR(Query!$B$6="All",ISNUMBER(SEARCH(Query!$B$6,'Compliance Database'!$I685))),OR(Query!$B$7="All",'Compliance Database'!$F685=Query!$B$7),OR(Query!$B$8="All",'Compliance Database'!$J685=Query!$B$8),OR(Query!$B$9="",ISNUMBER(SEARCH(Query!$B$9,'Compliance Database'!$D685&amp;" "&amp;'Compliance Database'!$K685&amp;" "&amp;'Compliance Database'!$L685&amp;" "&amp;'Compliance Database'!$M685&amp;" "&amp;'Compliance Database'!$N685&amp;" "&amp;'Compliance Database'!$O685))),OR(Query!$B$10&lt;&gt;"Yes",'Compliance Database'!$F685&lt;&gt;"None")),1,0)</f>
        <v>0</v>
      </c>
      <c r="B685" t="str">
        <f>IF($A685=1,SUM($A$2:$A685),"")</f>
        <v/>
      </c>
      <c r="C685">
        <f>IF($A685=1,SUM($A$2:$A685),0)</f>
        <v>0</v>
      </c>
    </row>
    <row r="686" spans="1:3" x14ac:dyDescent="0.3">
      <c r="A686">
        <f>IF(AND(OR(Query!$B$4="All",'Compliance Database'!$A686=Query!$B$4),OR(Query!$B$5="All",ISNUMBER(SEARCH(Query!$B$5,'Compliance Database'!$H686))),OR(Query!$B$6="All",ISNUMBER(SEARCH(Query!$B$6,'Compliance Database'!$I686))),OR(Query!$B$7="All",'Compliance Database'!$F686=Query!$B$7),OR(Query!$B$8="All",'Compliance Database'!$J686=Query!$B$8),OR(Query!$B$9="",ISNUMBER(SEARCH(Query!$B$9,'Compliance Database'!$D686&amp;" "&amp;'Compliance Database'!$K686&amp;" "&amp;'Compliance Database'!$L686&amp;" "&amp;'Compliance Database'!$M686&amp;" "&amp;'Compliance Database'!$N686&amp;" "&amp;'Compliance Database'!$O686))),OR(Query!$B$10&lt;&gt;"Yes",'Compliance Database'!$F686&lt;&gt;"None")),1,0)</f>
        <v>0</v>
      </c>
      <c r="B686" t="str">
        <f>IF($A686=1,SUM($A$2:$A686),"")</f>
        <v/>
      </c>
      <c r="C686">
        <f>IF($A686=1,SUM($A$2:$A686),0)</f>
        <v>0</v>
      </c>
    </row>
    <row r="687" spans="1:3" x14ac:dyDescent="0.3">
      <c r="A687">
        <f>IF(AND(OR(Query!$B$4="All",'Compliance Database'!$A687=Query!$B$4),OR(Query!$B$5="All",ISNUMBER(SEARCH(Query!$B$5,'Compliance Database'!$H687))),OR(Query!$B$6="All",ISNUMBER(SEARCH(Query!$B$6,'Compliance Database'!$I687))),OR(Query!$B$7="All",'Compliance Database'!$F687=Query!$B$7),OR(Query!$B$8="All",'Compliance Database'!$J687=Query!$B$8),OR(Query!$B$9="",ISNUMBER(SEARCH(Query!$B$9,'Compliance Database'!$D687&amp;" "&amp;'Compliance Database'!$K687&amp;" "&amp;'Compliance Database'!$L687&amp;" "&amp;'Compliance Database'!$M687&amp;" "&amp;'Compliance Database'!$N687&amp;" "&amp;'Compliance Database'!$O687))),OR(Query!$B$10&lt;&gt;"Yes",'Compliance Database'!$F687&lt;&gt;"None")),1,0)</f>
        <v>0</v>
      </c>
      <c r="B687" t="str">
        <f>IF($A687=1,SUM($A$2:$A687),"")</f>
        <v/>
      </c>
      <c r="C687">
        <f>IF($A687=1,SUM($A$2:$A687),0)</f>
        <v>0</v>
      </c>
    </row>
    <row r="688" spans="1:3" x14ac:dyDescent="0.3">
      <c r="A688">
        <f>IF(AND(OR(Query!$B$4="All",'Compliance Database'!$A688=Query!$B$4),OR(Query!$B$5="All",ISNUMBER(SEARCH(Query!$B$5,'Compliance Database'!$H688))),OR(Query!$B$6="All",ISNUMBER(SEARCH(Query!$B$6,'Compliance Database'!$I688))),OR(Query!$B$7="All",'Compliance Database'!$F688=Query!$B$7),OR(Query!$B$8="All",'Compliance Database'!$J688=Query!$B$8),OR(Query!$B$9="",ISNUMBER(SEARCH(Query!$B$9,'Compliance Database'!$D688&amp;" "&amp;'Compliance Database'!$K688&amp;" "&amp;'Compliance Database'!$L688&amp;" "&amp;'Compliance Database'!$M688&amp;" "&amp;'Compliance Database'!$N688&amp;" "&amp;'Compliance Database'!$O688))),OR(Query!$B$10&lt;&gt;"Yes",'Compliance Database'!$F688&lt;&gt;"None")),1,0)</f>
        <v>0</v>
      </c>
      <c r="B688" t="str">
        <f>IF($A688=1,SUM($A$2:$A688),"")</f>
        <v/>
      </c>
      <c r="C688">
        <f>IF($A688=1,SUM($A$2:$A688),0)</f>
        <v>0</v>
      </c>
    </row>
    <row r="689" spans="1:3" x14ac:dyDescent="0.3">
      <c r="A689">
        <f>IF(AND(OR(Query!$B$4="All",'Compliance Database'!$A689=Query!$B$4),OR(Query!$B$5="All",ISNUMBER(SEARCH(Query!$B$5,'Compliance Database'!$H689))),OR(Query!$B$6="All",ISNUMBER(SEARCH(Query!$B$6,'Compliance Database'!$I689))),OR(Query!$B$7="All",'Compliance Database'!$F689=Query!$B$7),OR(Query!$B$8="All",'Compliance Database'!$J689=Query!$B$8),OR(Query!$B$9="",ISNUMBER(SEARCH(Query!$B$9,'Compliance Database'!$D689&amp;" "&amp;'Compliance Database'!$K689&amp;" "&amp;'Compliance Database'!$L689&amp;" "&amp;'Compliance Database'!$M689&amp;" "&amp;'Compliance Database'!$N689&amp;" "&amp;'Compliance Database'!$O689))),OR(Query!$B$10&lt;&gt;"Yes",'Compliance Database'!$F689&lt;&gt;"None")),1,0)</f>
        <v>0</v>
      </c>
      <c r="B689" t="str">
        <f>IF($A689=1,SUM($A$2:$A689),"")</f>
        <v/>
      </c>
      <c r="C689">
        <f>IF($A689=1,SUM($A$2:$A689),0)</f>
        <v>0</v>
      </c>
    </row>
    <row r="690" spans="1:3" x14ac:dyDescent="0.3">
      <c r="A690">
        <f>IF(AND(OR(Query!$B$4="All",'Compliance Database'!$A690=Query!$B$4),OR(Query!$B$5="All",ISNUMBER(SEARCH(Query!$B$5,'Compliance Database'!$H690))),OR(Query!$B$6="All",ISNUMBER(SEARCH(Query!$B$6,'Compliance Database'!$I690))),OR(Query!$B$7="All",'Compliance Database'!$F690=Query!$B$7),OR(Query!$B$8="All",'Compliance Database'!$J690=Query!$B$8),OR(Query!$B$9="",ISNUMBER(SEARCH(Query!$B$9,'Compliance Database'!$D690&amp;" "&amp;'Compliance Database'!$K690&amp;" "&amp;'Compliance Database'!$L690&amp;" "&amp;'Compliance Database'!$M690&amp;" "&amp;'Compliance Database'!$N690&amp;" "&amp;'Compliance Database'!$O690))),OR(Query!$B$10&lt;&gt;"Yes",'Compliance Database'!$F690&lt;&gt;"None")),1,0)</f>
        <v>0</v>
      </c>
      <c r="B690" t="str">
        <f>IF($A690=1,SUM($A$2:$A690),"")</f>
        <v/>
      </c>
      <c r="C690">
        <f>IF($A690=1,SUM($A$2:$A690),0)</f>
        <v>0</v>
      </c>
    </row>
    <row r="691" spans="1:3" x14ac:dyDescent="0.3">
      <c r="A691">
        <f>IF(AND(OR(Query!$B$4="All",'Compliance Database'!$A691=Query!$B$4),OR(Query!$B$5="All",ISNUMBER(SEARCH(Query!$B$5,'Compliance Database'!$H691))),OR(Query!$B$6="All",ISNUMBER(SEARCH(Query!$B$6,'Compliance Database'!$I691))),OR(Query!$B$7="All",'Compliance Database'!$F691=Query!$B$7),OR(Query!$B$8="All",'Compliance Database'!$J691=Query!$B$8),OR(Query!$B$9="",ISNUMBER(SEARCH(Query!$B$9,'Compliance Database'!$D691&amp;" "&amp;'Compliance Database'!$K691&amp;" "&amp;'Compliance Database'!$L691&amp;" "&amp;'Compliance Database'!$M691&amp;" "&amp;'Compliance Database'!$N691&amp;" "&amp;'Compliance Database'!$O691))),OR(Query!$B$10&lt;&gt;"Yes",'Compliance Database'!$F691&lt;&gt;"None")),1,0)</f>
        <v>0</v>
      </c>
      <c r="B691" t="str">
        <f>IF($A691=1,SUM($A$2:$A691),"")</f>
        <v/>
      </c>
      <c r="C691">
        <f>IF($A691=1,SUM($A$2:$A691),0)</f>
        <v>0</v>
      </c>
    </row>
    <row r="692" spans="1:3" x14ac:dyDescent="0.3">
      <c r="A692">
        <f>IF(AND(OR(Query!$B$4="All",'Compliance Database'!$A692=Query!$B$4),OR(Query!$B$5="All",ISNUMBER(SEARCH(Query!$B$5,'Compliance Database'!$H692))),OR(Query!$B$6="All",ISNUMBER(SEARCH(Query!$B$6,'Compliance Database'!$I692))),OR(Query!$B$7="All",'Compliance Database'!$F692=Query!$B$7),OR(Query!$B$8="All",'Compliance Database'!$J692=Query!$B$8),OR(Query!$B$9="",ISNUMBER(SEARCH(Query!$B$9,'Compliance Database'!$D692&amp;" "&amp;'Compliance Database'!$K692&amp;" "&amp;'Compliance Database'!$L692&amp;" "&amp;'Compliance Database'!$M692&amp;" "&amp;'Compliance Database'!$N692&amp;" "&amp;'Compliance Database'!$O692))),OR(Query!$B$10&lt;&gt;"Yes",'Compliance Database'!$F692&lt;&gt;"None")),1,0)</f>
        <v>0</v>
      </c>
      <c r="B692" t="str">
        <f>IF($A692=1,SUM($A$2:$A692),"")</f>
        <v/>
      </c>
      <c r="C692">
        <f>IF($A692=1,SUM($A$2:$A692),0)</f>
        <v>0</v>
      </c>
    </row>
    <row r="693" spans="1:3" x14ac:dyDescent="0.3">
      <c r="A693">
        <f>IF(AND(OR(Query!$B$4="All",'Compliance Database'!$A693=Query!$B$4),OR(Query!$B$5="All",ISNUMBER(SEARCH(Query!$B$5,'Compliance Database'!$H693))),OR(Query!$B$6="All",ISNUMBER(SEARCH(Query!$B$6,'Compliance Database'!$I693))),OR(Query!$B$7="All",'Compliance Database'!$F693=Query!$B$7),OR(Query!$B$8="All",'Compliance Database'!$J693=Query!$B$8),OR(Query!$B$9="",ISNUMBER(SEARCH(Query!$B$9,'Compliance Database'!$D693&amp;" "&amp;'Compliance Database'!$K693&amp;" "&amp;'Compliance Database'!$L693&amp;" "&amp;'Compliance Database'!$M693&amp;" "&amp;'Compliance Database'!$N693&amp;" "&amp;'Compliance Database'!$O693))),OR(Query!$B$10&lt;&gt;"Yes",'Compliance Database'!$F693&lt;&gt;"None")),1,0)</f>
        <v>0</v>
      </c>
      <c r="B693" t="str">
        <f>IF($A693=1,SUM($A$2:$A693),"")</f>
        <v/>
      </c>
      <c r="C693">
        <f>IF($A693=1,SUM($A$2:$A693),0)</f>
        <v>0</v>
      </c>
    </row>
    <row r="694" spans="1:3" x14ac:dyDescent="0.3">
      <c r="A694">
        <f>IF(AND(OR(Query!$B$4="All",'Compliance Database'!$A694=Query!$B$4),OR(Query!$B$5="All",ISNUMBER(SEARCH(Query!$B$5,'Compliance Database'!$H694))),OR(Query!$B$6="All",ISNUMBER(SEARCH(Query!$B$6,'Compliance Database'!$I694))),OR(Query!$B$7="All",'Compliance Database'!$F694=Query!$B$7),OR(Query!$B$8="All",'Compliance Database'!$J694=Query!$B$8),OR(Query!$B$9="",ISNUMBER(SEARCH(Query!$B$9,'Compliance Database'!$D694&amp;" "&amp;'Compliance Database'!$K694&amp;" "&amp;'Compliance Database'!$L694&amp;" "&amp;'Compliance Database'!$M694&amp;" "&amp;'Compliance Database'!$N694&amp;" "&amp;'Compliance Database'!$O694))),OR(Query!$B$10&lt;&gt;"Yes",'Compliance Database'!$F694&lt;&gt;"None")),1,0)</f>
        <v>0</v>
      </c>
      <c r="B694" t="str">
        <f>IF($A694=1,SUM($A$2:$A694),"")</f>
        <v/>
      </c>
      <c r="C694">
        <f>IF($A694=1,SUM($A$2:$A694),0)</f>
        <v>0</v>
      </c>
    </row>
    <row r="695" spans="1:3" x14ac:dyDescent="0.3">
      <c r="A695">
        <f>IF(AND(OR(Query!$B$4="All",'Compliance Database'!$A695=Query!$B$4),OR(Query!$B$5="All",ISNUMBER(SEARCH(Query!$B$5,'Compliance Database'!$H695))),OR(Query!$B$6="All",ISNUMBER(SEARCH(Query!$B$6,'Compliance Database'!$I695))),OR(Query!$B$7="All",'Compliance Database'!$F695=Query!$B$7),OR(Query!$B$8="All",'Compliance Database'!$J695=Query!$B$8),OR(Query!$B$9="",ISNUMBER(SEARCH(Query!$B$9,'Compliance Database'!$D695&amp;" "&amp;'Compliance Database'!$K695&amp;" "&amp;'Compliance Database'!$L695&amp;" "&amp;'Compliance Database'!$M695&amp;" "&amp;'Compliance Database'!$N695&amp;" "&amp;'Compliance Database'!$O695))),OR(Query!$B$10&lt;&gt;"Yes",'Compliance Database'!$F695&lt;&gt;"None")),1,0)</f>
        <v>0</v>
      </c>
      <c r="B695" t="str">
        <f>IF($A695=1,SUM($A$2:$A695),"")</f>
        <v/>
      </c>
      <c r="C695">
        <f>IF($A695=1,SUM($A$2:$A695),0)</f>
        <v>0</v>
      </c>
    </row>
    <row r="696" spans="1:3" x14ac:dyDescent="0.3">
      <c r="A696">
        <f>IF(AND(OR(Query!$B$4="All",'Compliance Database'!$A696=Query!$B$4),OR(Query!$B$5="All",ISNUMBER(SEARCH(Query!$B$5,'Compliance Database'!$H696))),OR(Query!$B$6="All",ISNUMBER(SEARCH(Query!$B$6,'Compliance Database'!$I696))),OR(Query!$B$7="All",'Compliance Database'!$F696=Query!$B$7),OR(Query!$B$8="All",'Compliance Database'!$J696=Query!$B$8),OR(Query!$B$9="",ISNUMBER(SEARCH(Query!$B$9,'Compliance Database'!$D696&amp;" "&amp;'Compliance Database'!$K696&amp;" "&amp;'Compliance Database'!$L696&amp;" "&amp;'Compliance Database'!$M696&amp;" "&amp;'Compliance Database'!$N696&amp;" "&amp;'Compliance Database'!$O696))),OR(Query!$B$10&lt;&gt;"Yes",'Compliance Database'!$F696&lt;&gt;"None")),1,0)</f>
        <v>0</v>
      </c>
      <c r="B696" t="str">
        <f>IF($A696=1,SUM($A$2:$A696),"")</f>
        <v/>
      </c>
      <c r="C696">
        <f>IF($A696=1,SUM($A$2:$A696),0)</f>
        <v>0</v>
      </c>
    </row>
    <row r="697" spans="1:3" x14ac:dyDescent="0.3">
      <c r="A697">
        <f>IF(AND(OR(Query!$B$4="All",'Compliance Database'!$A697=Query!$B$4),OR(Query!$B$5="All",ISNUMBER(SEARCH(Query!$B$5,'Compliance Database'!$H697))),OR(Query!$B$6="All",ISNUMBER(SEARCH(Query!$B$6,'Compliance Database'!$I697))),OR(Query!$B$7="All",'Compliance Database'!$F697=Query!$B$7),OR(Query!$B$8="All",'Compliance Database'!$J697=Query!$B$8),OR(Query!$B$9="",ISNUMBER(SEARCH(Query!$B$9,'Compliance Database'!$D697&amp;" "&amp;'Compliance Database'!$K697&amp;" "&amp;'Compliance Database'!$L697&amp;" "&amp;'Compliance Database'!$M697&amp;" "&amp;'Compliance Database'!$N697&amp;" "&amp;'Compliance Database'!$O697))),OR(Query!$B$10&lt;&gt;"Yes",'Compliance Database'!$F697&lt;&gt;"None")),1,0)</f>
        <v>0</v>
      </c>
      <c r="B697" t="str">
        <f>IF($A697=1,SUM($A$2:$A697),"")</f>
        <v/>
      </c>
      <c r="C697">
        <f>IF($A697=1,SUM($A$2:$A697),0)</f>
        <v>0</v>
      </c>
    </row>
    <row r="698" spans="1:3" x14ac:dyDescent="0.3">
      <c r="A698">
        <f>IF(AND(OR(Query!$B$4="All",'Compliance Database'!$A698=Query!$B$4),OR(Query!$B$5="All",ISNUMBER(SEARCH(Query!$B$5,'Compliance Database'!$H698))),OR(Query!$B$6="All",ISNUMBER(SEARCH(Query!$B$6,'Compliance Database'!$I698))),OR(Query!$B$7="All",'Compliance Database'!$F698=Query!$B$7),OR(Query!$B$8="All",'Compliance Database'!$J698=Query!$B$8),OR(Query!$B$9="",ISNUMBER(SEARCH(Query!$B$9,'Compliance Database'!$D698&amp;" "&amp;'Compliance Database'!$K698&amp;" "&amp;'Compliance Database'!$L698&amp;" "&amp;'Compliance Database'!$M698&amp;" "&amp;'Compliance Database'!$N698&amp;" "&amp;'Compliance Database'!$O698))),OR(Query!$B$10&lt;&gt;"Yes",'Compliance Database'!$F698&lt;&gt;"None")),1,0)</f>
        <v>0</v>
      </c>
      <c r="B698" t="str">
        <f>IF($A698=1,SUM($A$2:$A698),"")</f>
        <v/>
      </c>
      <c r="C698">
        <f>IF($A698=1,SUM($A$2:$A698),0)</f>
        <v>0</v>
      </c>
    </row>
    <row r="699" spans="1:3" x14ac:dyDescent="0.3">
      <c r="A699">
        <f>IF(AND(OR(Query!$B$4="All",'Compliance Database'!$A699=Query!$B$4),OR(Query!$B$5="All",ISNUMBER(SEARCH(Query!$B$5,'Compliance Database'!$H699))),OR(Query!$B$6="All",ISNUMBER(SEARCH(Query!$B$6,'Compliance Database'!$I699))),OR(Query!$B$7="All",'Compliance Database'!$F699=Query!$B$7),OR(Query!$B$8="All",'Compliance Database'!$J699=Query!$B$8),OR(Query!$B$9="",ISNUMBER(SEARCH(Query!$B$9,'Compliance Database'!$D699&amp;" "&amp;'Compliance Database'!$K699&amp;" "&amp;'Compliance Database'!$L699&amp;" "&amp;'Compliance Database'!$M699&amp;" "&amp;'Compliance Database'!$N699&amp;" "&amp;'Compliance Database'!$O699))),OR(Query!$B$10&lt;&gt;"Yes",'Compliance Database'!$F699&lt;&gt;"None")),1,0)</f>
        <v>0</v>
      </c>
      <c r="B699" t="str">
        <f>IF($A699=1,SUM($A$2:$A699),"")</f>
        <v/>
      </c>
      <c r="C699">
        <f>IF($A699=1,SUM($A$2:$A699),0)</f>
        <v>0</v>
      </c>
    </row>
    <row r="700" spans="1:3" x14ac:dyDescent="0.3">
      <c r="A700">
        <f>IF(AND(OR(Query!$B$4="All",'Compliance Database'!$A700=Query!$B$4),OR(Query!$B$5="All",ISNUMBER(SEARCH(Query!$B$5,'Compliance Database'!$H700))),OR(Query!$B$6="All",ISNUMBER(SEARCH(Query!$B$6,'Compliance Database'!$I700))),OR(Query!$B$7="All",'Compliance Database'!$F700=Query!$B$7),OR(Query!$B$8="All",'Compliance Database'!$J700=Query!$B$8),OR(Query!$B$9="",ISNUMBER(SEARCH(Query!$B$9,'Compliance Database'!$D700&amp;" "&amp;'Compliance Database'!$K700&amp;" "&amp;'Compliance Database'!$L700&amp;" "&amp;'Compliance Database'!$M700&amp;" "&amp;'Compliance Database'!$N700&amp;" "&amp;'Compliance Database'!$O700))),OR(Query!$B$10&lt;&gt;"Yes",'Compliance Database'!$F700&lt;&gt;"None")),1,0)</f>
        <v>0</v>
      </c>
      <c r="B700" t="str">
        <f>IF($A700=1,SUM($A$2:$A700),"")</f>
        <v/>
      </c>
      <c r="C700">
        <f>IF($A700=1,SUM($A$2:$A700),0)</f>
        <v>0</v>
      </c>
    </row>
    <row r="701" spans="1:3" x14ac:dyDescent="0.3">
      <c r="A701">
        <f>IF(AND(OR(Query!$B$4="All",'Compliance Database'!$A701=Query!$B$4),OR(Query!$B$5="All",ISNUMBER(SEARCH(Query!$B$5,'Compliance Database'!$H701))),OR(Query!$B$6="All",ISNUMBER(SEARCH(Query!$B$6,'Compliance Database'!$I701))),OR(Query!$B$7="All",'Compliance Database'!$F701=Query!$B$7),OR(Query!$B$8="All",'Compliance Database'!$J701=Query!$B$8),OR(Query!$B$9="",ISNUMBER(SEARCH(Query!$B$9,'Compliance Database'!$D701&amp;" "&amp;'Compliance Database'!$K701&amp;" "&amp;'Compliance Database'!$L701&amp;" "&amp;'Compliance Database'!$M701&amp;" "&amp;'Compliance Database'!$N701&amp;" "&amp;'Compliance Database'!$O701))),OR(Query!$B$10&lt;&gt;"Yes",'Compliance Database'!$F701&lt;&gt;"None")),1,0)</f>
        <v>0</v>
      </c>
      <c r="B701" t="str">
        <f>IF($A701=1,SUM($A$2:$A701),"")</f>
        <v/>
      </c>
      <c r="C701">
        <f>IF($A701=1,SUM($A$2:$A701),0)</f>
        <v>0</v>
      </c>
    </row>
    <row r="702" spans="1:3" x14ac:dyDescent="0.3">
      <c r="A702">
        <f>IF(AND(OR(Query!$B$4="All",'Compliance Database'!$A702=Query!$B$4),OR(Query!$B$5="All",ISNUMBER(SEARCH(Query!$B$5,'Compliance Database'!$H702))),OR(Query!$B$6="All",ISNUMBER(SEARCH(Query!$B$6,'Compliance Database'!$I702))),OR(Query!$B$7="All",'Compliance Database'!$F702=Query!$B$7),OR(Query!$B$8="All",'Compliance Database'!$J702=Query!$B$8),OR(Query!$B$9="",ISNUMBER(SEARCH(Query!$B$9,'Compliance Database'!$D702&amp;" "&amp;'Compliance Database'!$K702&amp;" "&amp;'Compliance Database'!$L702&amp;" "&amp;'Compliance Database'!$M702&amp;" "&amp;'Compliance Database'!$N702&amp;" "&amp;'Compliance Database'!$O702))),OR(Query!$B$10&lt;&gt;"Yes",'Compliance Database'!$F702&lt;&gt;"None")),1,0)</f>
        <v>0</v>
      </c>
      <c r="B702" t="str">
        <f>IF($A702=1,SUM($A$2:$A702),"")</f>
        <v/>
      </c>
      <c r="C702">
        <f>IF($A702=1,SUM($A$2:$A702),0)</f>
        <v>0</v>
      </c>
    </row>
    <row r="703" spans="1:3" x14ac:dyDescent="0.3">
      <c r="A703">
        <f>IF(AND(OR(Query!$B$4="All",'Compliance Database'!$A703=Query!$B$4),OR(Query!$B$5="All",ISNUMBER(SEARCH(Query!$B$5,'Compliance Database'!$H703))),OR(Query!$B$6="All",ISNUMBER(SEARCH(Query!$B$6,'Compliance Database'!$I703))),OR(Query!$B$7="All",'Compliance Database'!$F703=Query!$B$7),OR(Query!$B$8="All",'Compliance Database'!$J703=Query!$B$8),OR(Query!$B$9="",ISNUMBER(SEARCH(Query!$B$9,'Compliance Database'!$D703&amp;" "&amp;'Compliance Database'!$K703&amp;" "&amp;'Compliance Database'!$L703&amp;" "&amp;'Compliance Database'!$M703&amp;" "&amp;'Compliance Database'!$N703&amp;" "&amp;'Compliance Database'!$O703))),OR(Query!$B$10&lt;&gt;"Yes",'Compliance Database'!$F703&lt;&gt;"None")),1,0)</f>
        <v>0</v>
      </c>
      <c r="B703" t="str">
        <f>IF($A703=1,SUM($A$2:$A703),"")</f>
        <v/>
      </c>
      <c r="C703">
        <f>IF($A703=1,SUM($A$2:$A703),0)</f>
        <v>0</v>
      </c>
    </row>
    <row r="704" spans="1:3" x14ac:dyDescent="0.3">
      <c r="A704">
        <f>IF(AND(OR(Query!$B$4="All",'Compliance Database'!$A704=Query!$B$4),OR(Query!$B$5="All",ISNUMBER(SEARCH(Query!$B$5,'Compliance Database'!$H704))),OR(Query!$B$6="All",ISNUMBER(SEARCH(Query!$B$6,'Compliance Database'!$I704))),OR(Query!$B$7="All",'Compliance Database'!$F704=Query!$B$7),OR(Query!$B$8="All",'Compliance Database'!$J704=Query!$B$8),OR(Query!$B$9="",ISNUMBER(SEARCH(Query!$B$9,'Compliance Database'!$D704&amp;" "&amp;'Compliance Database'!$K704&amp;" "&amp;'Compliance Database'!$L704&amp;" "&amp;'Compliance Database'!$M704&amp;" "&amp;'Compliance Database'!$N704&amp;" "&amp;'Compliance Database'!$O704))),OR(Query!$B$10&lt;&gt;"Yes",'Compliance Database'!$F704&lt;&gt;"None")),1,0)</f>
        <v>0</v>
      </c>
      <c r="B704" t="str">
        <f>IF($A704=1,SUM($A$2:$A704),"")</f>
        <v/>
      </c>
      <c r="C704">
        <f>IF($A704=1,SUM($A$2:$A704),0)</f>
        <v>0</v>
      </c>
    </row>
    <row r="705" spans="1:3" x14ac:dyDescent="0.3">
      <c r="A705">
        <f>IF(AND(OR(Query!$B$4="All",'Compliance Database'!$A705=Query!$B$4),OR(Query!$B$5="All",ISNUMBER(SEARCH(Query!$B$5,'Compliance Database'!$H705))),OR(Query!$B$6="All",ISNUMBER(SEARCH(Query!$B$6,'Compliance Database'!$I705))),OR(Query!$B$7="All",'Compliance Database'!$F705=Query!$B$7),OR(Query!$B$8="All",'Compliance Database'!$J705=Query!$B$8),OR(Query!$B$9="",ISNUMBER(SEARCH(Query!$B$9,'Compliance Database'!$D705&amp;" "&amp;'Compliance Database'!$K705&amp;" "&amp;'Compliance Database'!$L705&amp;" "&amp;'Compliance Database'!$M705&amp;" "&amp;'Compliance Database'!$N705&amp;" "&amp;'Compliance Database'!$O705))),OR(Query!$B$10&lt;&gt;"Yes",'Compliance Database'!$F705&lt;&gt;"None")),1,0)</f>
        <v>0</v>
      </c>
      <c r="B705" t="str">
        <f>IF($A705=1,SUM($A$2:$A705),"")</f>
        <v/>
      </c>
      <c r="C705">
        <f>IF($A705=1,SUM($A$2:$A705),0)</f>
        <v>0</v>
      </c>
    </row>
    <row r="706" spans="1:3" x14ac:dyDescent="0.3">
      <c r="A706">
        <f>IF(AND(OR(Query!$B$4="All",'Compliance Database'!$A706=Query!$B$4),OR(Query!$B$5="All",ISNUMBER(SEARCH(Query!$B$5,'Compliance Database'!$H706))),OR(Query!$B$6="All",ISNUMBER(SEARCH(Query!$B$6,'Compliance Database'!$I706))),OR(Query!$B$7="All",'Compliance Database'!$F706=Query!$B$7),OR(Query!$B$8="All",'Compliance Database'!$J706=Query!$B$8),OR(Query!$B$9="",ISNUMBER(SEARCH(Query!$B$9,'Compliance Database'!$D706&amp;" "&amp;'Compliance Database'!$K706&amp;" "&amp;'Compliance Database'!$L706&amp;" "&amp;'Compliance Database'!$M706&amp;" "&amp;'Compliance Database'!$N706&amp;" "&amp;'Compliance Database'!$O706))),OR(Query!$B$10&lt;&gt;"Yes",'Compliance Database'!$F706&lt;&gt;"None")),1,0)</f>
        <v>0</v>
      </c>
      <c r="B706" t="str">
        <f>IF($A706=1,SUM($A$2:$A706),"")</f>
        <v/>
      </c>
      <c r="C706">
        <f>IF($A706=1,SUM($A$2:$A706),0)</f>
        <v>0</v>
      </c>
    </row>
    <row r="707" spans="1:3" x14ac:dyDescent="0.3">
      <c r="A707">
        <f>IF(AND(OR(Query!$B$4="All",'Compliance Database'!$A707=Query!$B$4),OR(Query!$B$5="All",ISNUMBER(SEARCH(Query!$B$5,'Compliance Database'!$H707))),OR(Query!$B$6="All",ISNUMBER(SEARCH(Query!$B$6,'Compliance Database'!$I707))),OR(Query!$B$7="All",'Compliance Database'!$F707=Query!$B$7),OR(Query!$B$8="All",'Compliance Database'!$J707=Query!$B$8),OR(Query!$B$9="",ISNUMBER(SEARCH(Query!$B$9,'Compliance Database'!$D707&amp;" "&amp;'Compliance Database'!$K707&amp;" "&amp;'Compliance Database'!$L707&amp;" "&amp;'Compliance Database'!$M707&amp;" "&amp;'Compliance Database'!$N707&amp;" "&amp;'Compliance Database'!$O707))),OR(Query!$B$10&lt;&gt;"Yes",'Compliance Database'!$F707&lt;&gt;"None")),1,0)</f>
        <v>0</v>
      </c>
      <c r="B707" t="str">
        <f>IF($A707=1,SUM($A$2:$A707),"")</f>
        <v/>
      </c>
      <c r="C707">
        <f>IF($A707=1,SUM($A$2:$A707),0)</f>
        <v>0</v>
      </c>
    </row>
    <row r="708" spans="1:3" x14ac:dyDescent="0.3">
      <c r="A708">
        <f>IF(AND(OR(Query!$B$4="All",'Compliance Database'!$A708=Query!$B$4),OR(Query!$B$5="All",ISNUMBER(SEARCH(Query!$B$5,'Compliance Database'!$H708))),OR(Query!$B$6="All",ISNUMBER(SEARCH(Query!$B$6,'Compliance Database'!$I708))),OR(Query!$B$7="All",'Compliance Database'!$F708=Query!$B$7),OR(Query!$B$8="All",'Compliance Database'!$J708=Query!$B$8),OR(Query!$B$9="",ISNUMBER(SEARCH(Query!$B$9,'Compliance Database'!$D708&amp;" "&amp;'Compliance Database'!$K708&amp;" "&amp;'Compliance Database'!$L708&amp;" "&amp;'Compliance Database'!$M708&amp;" "&amp;'Compliance Database'!$N708&amp;" "&amp;'Compliance Database'!$O708))),OR(Query!$B$10&lt;&gt;"Yes",'Compliance Database'!$F708&lt;&gt;"None")),1,0)</f>
        <v>0</v>
      </c>
      <c r="B708" t="str">
        <f>IF($A708=1,SUM($A$2:$A708),"")</f>
        <v/>
      </c>
      <c r="C708">
        <f>IF($A708=1,SUM($A$2:$A708),0)</f>
        <v>0</v>
      </c>
    </row>
    <row r="709" spans="1:3" x14ac:dyDescent="0.3">
      <c r="A709">
        <f>IF(AND(OR(Query!$B$4="All",'Compliance Database'!$A709=Query!$B$4),OR(Query!$B$5="All",ISNUMBER(SEARCH(Query!$B$5,'Compliance Database'!$H709))),OR(Query!$B$6="All",ISNUMBER(SEARCH(Query!$B$6,'Compliance Database'!$I709))),OR(Query!$B$7="All",'Compliance Database'!$F709=Query!$B$7),OR(Query!$B$8="All",'Compliance Database'!$J709=Query!$B$8),OR(Query!$B$9="",ISNUMBER(SEARCH(Query!$B$9,'Compliance Database'!$D709&amp;" "&amp;'Compliance Database'!$K709&amp;" "&amp;'Compliance Database'!$L709&amp;" "&amp;'Compliance Database'!$M709&amp;" "&amp;'Compliance Database'!$N709&amp;" "&amp;'Compliance Database'!$O709))),OR(Query!$B$10&lt;&gt;"Yes",'Compliance Database'!$F709&lt;&gt;"None")),1,0)</f>
        <v>0</v>
      </c>
      <c r="B709" t="str">
        <f>IF($A709=1,SUM($A$2:$A709),"")</f>
        <v/>
      </c>
      <c r="C709">
        <f>IF($A709=1,SUM($A$2:$A709),0)</f>
        <v>0</v>
      </c>
    </row>
    <row r="710" spans="1:3" x14ac:dyDescent="0.3">
      <c r="A710">
        <f>IF(AND(OR(Query!$B$4="All",'Compliance Database'!$A710=Query!$B$4),OR(Query!$B$5="All",ISNUMBER(SEARCH(Query!$B$5,'Compliance Database'!$H710))),OR(Query!$B$6="All",ISNUMBER(SEARCH(Query!$B$6,'Compliance Database'!$I710))),OR(Query!$B$7="All",'Compliance Database'!$F710=Query!$B$7),OR(Query!$B$8="All",'Compliance Database'!$J710=Query!$B$8),OR(Query!$B$9="",ISNUMBER(SEARCH(Query!$B$9,'Compliance Database'!$D710&amp;" "&amp;'Compliance Database'!$K710&amp;" "&amp;'Compliance Database'!$L710&amp;" "&amp;'Compliance Database'!$M710&amp;" "&amp;'Compliance Database'!$N710&amp;" "&amp;'Compliance Database'!$O710))),OR(Query!$B$10&lt;&gt;"Yes",'Compliance Database'!$F710&lt;&gt;"None")),1,0)</f>
        <v>0</v>
      </c>
      <c r="B710" t="str">
        <f>IF($A710=1,SUM($A$2:$A710),"")</f>
        <v/>
      </c>
      <c r="C710">
        <f>IF($A710=1,SUM($A$2:$A710),0)</f>
        <v>0</v>
      </c>
    </row>
    <row r="711" spans="1:3" x14ac:dyDescent="0.3">
      <c r="A711">
        <f>IF(AND(OR(Query!$B$4="All",'Compliance Database'!$A711=Query!$B$4),OR(Query!$B$5="All",ISNUMBER(SEARCH(Query!$B$5,'Compliance Database'!$H711))),OR(Query!$B$6="All",ISNUMBER(SEARCH(Query!$B$6,'Compliance Database'!$I711))),OR(Query!$B$7="All",'Compliance Database'!$F711=Query!$B$7),OR(Query!$B$8="All",'Compliance Database'!$J711=Query!$B$8),OR(Query!$B$9="",ISNUMBER(SEARCH(Query!$B$9,'Compliance Database'!$D711&amp;" "&amp;'Compliance Database'!$K711&amp;" "&amp;'Compliance Database'!$L711&amp;" "&amp;'Compliance Database'!$M711&amp;" "&amp;'Compliance Database'!$N711&amp;" "&amp;'Compliance Database'!$O711))),OR(Query!$B$10&lt;&gt;"Yes",'Compliance Database'!$F711&lt;&gt;"None")),1,0)</f>
        <v>0</v>
      </c>
      <c r="B711" t="str">
        <f>IF($A711=1,SUM($A$2:$A711),"")</f>
        <v/>
      </c>
      <c r="C711">
        <f>IF($A711=1,SUM($A$2:$A711),0)</f>
        <v>0</v>
      </c>
    </row>
    <row r="712" spans="1:3" x14ac:dyDescent="0.3">
      <c r="A712">
        <f>IF(AND(OR(Query!$B$4="All",'Compliance Database'!$A712=Query!$B$4),OR(Query!$B$5="All",ISNUMBER(SEARCH(Query!$B$5,'Compliance Database'!$H712))),OR(Query!$B$6="All",ISNUMBER(SEARCH(Query!$B$6,'Compliance Database'!$I712))),OR(Query!$B$7="All",'Compliance Database'!$F712=Query!$B$7),OR(Query!$B$8="All",'Compliance Database'!$J712=Query!$B$8),OR(Query!$B$9="",ISNUMBER(SEARCH(Query!$B$9,'Compliance Database'!$D712&amp;" "&amp;'Compliance Database'!$K712&amp;" "&amp;'Compliance Database'!$L712&amp;" "&amp;'Compliance Database'!$M712&amp;" "&amp;'Compliance Database'!$N712&amp;" "&amp;'Compliance Database'!$O712))),OR(Query!$B$10&lt;&gt;"Yes",'Compliance Database'!$F712&lt;&gt;"None")),1,0)</f>
        <v>0</v>
      </c>
      <c r="B712" t="str">
        <f>IF($A712=1,SUM($A$2:$A712),"")</f>
        <v/>
      </c>
      <c r="C712">
        <f>IF($A712=1,SUM($A$2:$A712),0)</f>
        <v>0</v>
      </c>
    </row>
    <row r="713" spans="1:3" x14ac:dyDescent="0.3">
      <c r="A713">
        <f>IF(AND(OR(Query!$B$4="All",'Compliance Database'!$A713=Query!$B$4),OR(Query!$B$5="All",ISNUMBER(SEARCH(Query!$B$5,'Compliance Database'!$H713))),OR(Query!$B$6="All",ISNUMBER(SEARCH(Query!$B$6,'Compliance Database'!$I713))),OR(Query!$B$7="All",'Compliance Database'!$F713=Query!$B$7),OR(Query!$B$8="All",'Compliance Database'!$J713=Query!$B$8),OR(Query!$B$9="",ISNUMBER(SEARCH(Query!$B$9,'Compliance Database'!$D713&amp;" "&amp;'Compliance Database'!$K713&amp;" "&amp;'Compliance Database'!$L713&amp;" "&amp;'Compliance Database'!$M713&amp;" "&amp;'Compliance Database'!$N713&amp;" "&amp;'Compliance Database'!$O713))),OR(Query!$B$10&lt;&gt;"Yes",'Compliance Database'!$F713&lt;&gt;"None")),1,0)</f>
        <v>0</v>
      </c>
      <c r="B713" t="str">
        <f>IF($A713=1,SUM($A$2:$A713),"")</f>
        <v/>
      </c>
      <c r="C713">
        <f>IF($A713=1,SUM($A$2:$A713),0)</f>
        <v>0</v>
      </c>
    </row>
    <row r="714" spans="1:3" x14ac:dyDescent="0.3">
      <c r="A714">
        <f>IF(AND(OR(Query!$B$4="All",'Compliance Database'!$A714=Query!$B$4),OR(Query!$B$5="All",ISNUMBER(SEARCH(Query!$B$5,'Compliance Database'!$H714))),OR(Query!$B$6="All",ISNUMBER(SEARCH(Query!$B$6,'Compliance Database'!$I714))),OR(Query!$B$7="All",'Compliance Database'!$F714=Query!$B$7),OR(Query!$B$8="All",'Compliance Database'!$J714=Query!$B$8),OR(Query!$B$9="",ISNUMBER(SEARCH(Query!$B$9,'Compliance Database'!$D714&amp;" "&amp;'Compliance Database'!$K714&amp;" "&amp;'Compliance Database'!$L714&amp;" "&amp;'Compliance Database'!$M714&amp;" "&amp;'Compliance Database'!$N714&amp;" "&amp;'Compliance Database'!$O714))),OR(Query!$B$10&lt;&gt;"Yes",'Compliance Database'!$F714&lt;&gt;"None")),1,0)</f>
        <v>0</v>
      </c>
      <c r="B714" t="str">
        <f>IF($A714=1,SUM($A$2:$A714),"")</f>
        <v/>
      </c>
      <c r="C714">
        <f>IF($A714=1,SUM($A$2:$A714),0)</f>
        <v>0</v>
      </c>
    </row>
    <row r="715" spans="1:3" x14ac:dyDescent="0.3">
      <c r="A715">
        <f>IF(AND(OR(Query!$B$4="All",'Compliance Database'!$A715=Query!$B$4),OR(Query!$B$5="All",ISNUMBER(SEARCH(Query!$B$5,'Compliance Database'!$H715))),OR(Query!$B$6="All",ISNUMBER(SEARCH(Query!$B$6,'Compliance Database'!$I715))),OR(Query!$B$7="All",'Compliance Database'!$F715=Query!$B$7),OR(Query!$B$8="All",'Compliance Database'!$J715=Query!$B$8),OR(Query!$B$9="",ISNUMBER(SEARCH(Query!$B$9,'Compliance Database'!$D715&amp;" "&amp;'Compliance Database'!$K715&amp;" "&amp;'Compliance Database'!$L715&amp;" "&amp;'Compliance Database'!$M715&amp;" "&amp;'Compliance Database'!$N715&amp;" "&amp;'Compliance Database'!$O715))),OR(Query!$B$10&lt;&gt;"Yes",'Compliance Database'!$F715&lt;&gt;"None")),1,0)</f>
        <v>0</v>
      </c>
      <c r="B715" t="str">
        <f>IF($A715=1,SUM($A$2:$A715),"")</f>
        <v/>
      </c>
      <c r="C715">
        <f>IF($A715=1,SUM($A$2:$A715),0)</f>
        <v>0</v>
      </c>
    </row>
    <row r="716" spans="1:3" x14ac:dyDescent="0.3">
      <c r="A716">
        <f>IF(AND(OR(Query!$B$4="All",'Compliance Database'!$A716=Query!$B$4),OR(Query!$B$5="All",ISNUMBER(SEARCH(Query!$B$5,'Compliance Database'!$H716))),OR(Query!$B$6="All",ISNUMBER(SEARCH(Query!$B$6,'Compliance Database'!$I716))),OR(Query!$B$7="All",'Compliance Database'!$F716=Query!$B$7),OR(Query!$B$8="All",'Compliance Database'!$J716=Query!$B$8),OR(Query!$B$9="",ISNUMBER(SEARCH(Query!$B$9,'Compliance Database'!$D716&amp;" "&amp;'Compliance Database'!$K716&amp;" "&amp;'Compliance Database'!$L716&amp;" "&amp;'Compliance Database'!$M716&amp;" "&amp;'Compliance Database'!$N716&amp;" "&amp;'Compliance Database'!$O716))),OR(Query!$B$10&lt;&gt;"Yes",'Compliance Database'!$F716&lt;&gt;"None")),1,0)</f>
        <v>0</v>
      </c>
      <c r="B716" t="str">
        <f>IF($A716=1,SUM($A$2:$A716),"")</f>
        <v/>
      </c>
      <c r="C716">
        <f>IF($A716=1,SUM($A$2:$A716),0)</f>
        <v>0</v>
      </c>
    </row>
    <row r="717" spans="1:3" x14ac:dyDescent="0.3">
      <c r="A717">
        <f>IF(AND(OR(Query!$B$4="All",'Compliance Database'!$A717=Query!$B$4),OR(Query!$B$5="All",ISNUMBER(SEARCH(Query!$B$5,'Compliance Database'!$H717))),OR(Query!$B$6="All",ISNUMBER(SEARCH(Query!$B$6,'Compliance Database'!$I717))),OR(Query!$B$7="All",'Compliance Database'!$F717=Query!$B$7),OR(Query!$B$8="All",'Compliance Database'!$J717=Query!$B$8),OR(Query!$B$9="",ISNUMBER(SEARCH(Query!$B$9,'Compliance Database'!$D717&amp;" "&amp;'Compliance Database'!$K717&amp;" "&amp;'Compliance Database'!$L717&amp;" "&amp;'Compliance Database'!$M717&amp;" "&amp;'Compliance Database'!$N717&amp;" "&amp;'Compliance Database'!$O717))),OR(Query!$B$10&lt;&gt;"Yes",'Compliance Database'!$F717&lt;&gt;"None")),1,0)</f>
        <v>0</v>
      </c>
      <c r="B717" t="str">
        <f>IF($A717=1,SUM($A$2:$A717),"")</f>
        <v/>
      </c>
      <c r="C717">
        <f>IF($A717=1,SUM($A$2:$A717),0)</f>
        <v>0</v>
      </c>
    </row>
    <row r="718" spans="1:3" x14ac:dyDescent="0.3">
      <c r="A718">
        <f>IF(AND(OR(Query!$B$4="All",'Compliance Database'!$A718=Query!$B$4),OR(Query!$B$5="All",ISNUMBER(SEARCH(Query!$B$5,'Compliance Database'!$H718))),OR(Query!$B$6="All",ISNUMBER(SEARCH(Query!$B$6,'Compliance Database'!$I718))),OR(Query!$B$7="All",'Compliance Database'!$F718=Query!$B$7),OR(Query!$B$8="All",'Compliance Database'!$J718=Query!$B$8),OR(Query!$B$9="",ISNUMBER(SEARCH(Query!$B$9,'Compliance Database'!$D718&amp;" "&amp;'Compliance Database'!$K718&amp;" "&amp;'Compliance Database'!$L718&amp;" "&amp;'Compliance Database'!$M718&amp;" "&amp;'Compliance Database'!$N718&amp;" "&amp;'Compliance Database'!$O718))),OR(Query!$B$10&lt;&gt;"Yes",'Compliance Database'!$F718&lt;&gt;"None")),1,0)</f>
        <v>0</v>
      </c>
      <c r="B718" t="str">
        <f>IF($A718=1,SUM($A$2:$A718),"")</f>
        <v/>
      </c>
      <c r="C718">
        <f>IF($A718=1,SUM($A$2:$A718),0)</f>
        <v>0</v>
      </c>
    </row>
    <row r="719" spans="1:3" x14ac:dyDescent="0.3">
      <c r="A719">
        <f>IF(AND(OR(Query!$B$4="All",'Compliance Database'!$A719=Query!$B$4),OR(Query!$B$5="All",ISNUMBER(SEARCH(Query!$B$5,'Compliance Database'!$H719))),OR(Query!$B$6="All",ISNUMBER(SEARCH(Query!$B$6,'Compliance Database'!$I719))),OR(Query!$B$7="All",'Compliance Database'!$F719=Query!$B$7),OR(Query!$B$8="All",'Compliance Database'!$J719=Query!$B$8),OR(Query!$B$9="",ISNUMBER(SEARCH(Query!$B$9,'Compliance Database'!$D719&amp;" "&amp;'Compliance Database'!$K719&amp;" "&amp;'Compliance Database'!$L719&amp;" "&amp;'Compliance Database'!$M719&amp;" "&amp;'Compliance Database'!$N719&amp;" "&amp;'Compliance Database'!$O719))),OR(Query!$B$10&lt;&gt;"Yes",'Compliance Database'!$F719&lt;&gt;"None")),1,0)</f>
        <v>0</v>
      </c>
      <c r="B719" t="str">
        <f>IF($A719=1,SUM($A$2:$A719),"")</f>
        <v/>
      </c>
      <c r="C719">
        <f>IF($A719=1,SUM($A$2:$A719),0)</f>
        <v>0</v>
      </c>
    </row>
    <row r="720" spans="1:3" x14ac:dyDescent="0.3">
      <c r="A720">
        <f>IF(AND(OR(Query!$B$4="All",'Compliance Database'!$A720=Query!$B$4),OR(Query!$B$5="All",ISNUMBER(SEARCH(Query!$B$5,'Compliance Database'!$H720))),OR(Query!$B$6="All",ISNUMBER(SEARCH(Query!$B$6,'Compliance Database'!$I720))),OR(Query!$B$7="All",'Compliance Database'!$F720=Query!$B$7),OR(Query!$B$8="All",'Compliance Database'!$J720=Query!$B$8),OR(Query!$B$9="",ISNUMBER(SEARCH(Query!$B$9,'Compliance Database'!$D720&amp;" "&amp;'Compliance Database'!$K720&amp;" "&amp;'Compliance Database'!$L720&amp;" "&amp;'Compliance Database'!$M720&amp;" "&amp;'Compliance Database'!$N720&amp;" "&amp;'Compliance Database'!$O720))),OR(Query!$B$10&lt;&gt;"Yes",'Compliance Database'!$F720&lt;&gt;"None")),1,0)</f>
        <v>0</v>
      </c>
      <c r="B720" t="str">
        <f>IF($A720=1,SUM($A$2:$A720),"")</f>
        <v/>
      </c>
      <c r="C720">
        <f>IF($A720=1,SUM($A$2:$A720),0)</f>
        <v>0</v>
      </c>
    </row>
    <row r="721" spans="1:3" x14ac:dyDescent="0.3">
      <c r="A721">
        <f>IF(AND(OR(Query!$B$4="All",'Compliance Database'!$A721=Query!$B$4),OR(Query!$B$5="All",ISNUMBER(SEARCH(Query!$B$5,'Compliance Database'!$H721))),OR(Query!$B$6="All",ISNUMBER(SEARCH(Query!$B$6,'Compliance Database'!$I721))),OR(Query!$B$7="All",'Compliance Database'!$F721=Query!$B$7),OR(Query!$B$8="All",'Compliance Database'!$J721=Query!$B$8),OR(Query!$B$9="",ISNUMBER(SEARCH(Query!$B$9,'Compliance Database'!$D721&amp;" "&amp;'Compliance Database'!$K721&amp;" "&amp;'Compliance Database'!$L721&amp;" "&amp;'Compliance Database'!$M721&amp;" "&amp;'Compliance Database'!$N721&amp;" "&amp;'Compliance Database'!$O721))),OR(Query!$B$10&lt;&gt;"Yes",'Compliance Database'!$F721&lt;&gt;"None")),1,0)</f>
        <v>0</v>
      </c>
      <c r="B721" t="str">
        <f>IF($A721=1,SUM($A$2:$A721),"")</f>
        <v/>
      </c>
      <c r="C721">
        <f>IF($A721=1,SUM($A$2:$A721),0)</f>
        <v>0</v>
      </c>
    </row>
    <row r="722" spans="1:3" x14ac:dyDescent="0.3">
      <c r="A722">
        <f>IF(AND(OR(Query!$B$4="All",'Compliance Database'!$A722=Query!$B$4),OR(Query!$B$5="All",ISNUMBER(SEARCH(Query!$B$5,'Compliance Database'!$H722))),OR(Query!$B$6="All",ISNUMBER(SEARCH(Query!$B$6,'Compliance Database'!$I722))),OR(Query!$B$7="All",'Compliance Database'!$F722=Query!$B$7),OR(Query!$B$8="All",'Compliance Database'!$J722=Query!$B$8),OR(Query!$B$9="",ISNUMBER(SEARCH(Query!$B$9,'Compliance Database'!$D722&amp;" "&amp;'Compliance Database'!$K722&amp;" "&amp;'Compliance Database'!$L722&amp;" "&amp;'Compliance Database'!$M722&amp;" "&amp;'Compliance Database'!$N722&amp;" "&amp;'Compliance Database'!$O722))),OR(Query!$B$10&lt;&gt;"Yes",'Compliance Database'!$F722&lt;&gt;"None")),1,0)</f>
        <v>0</v>
      </c>
      <c r="B722" t="str">
        <f>IF($A722=1,SUM($A$2:$A722),"")</f>
        <v/>
      </c>
      <c r="C722">
        <f>IF($A722=1,SUM($A$2:$A722),0)</f>
        <v>0</v>
      </c>
    </row>
    <row r="723" spans="1:3" x14ac:dyDescent="0.3">
      <c r="A723">
        <f>IF(AND(OR(Query!$B$4="All",'Compliance Database'!$A723=Query!$B$4),OR(Query!$B$5="All",ISNUMBER(SEARCH(Query!$B$5,'Compliance Database'!$H723))),OR(Query!$B$6="All",ISNUMBER(SEARCH(Query!$B$6,'Compliance Database'!$I723))),OR(Query!$B$7="All",'Compliance Database'!$F723=Query!$B$7),OR(Query!$B$8="All",'Compliance Database'!$J723=Query!$B$8),OR(Query!$B$9="",ISNUMBER(SEARCH(Query!$B$9,'Compliance Database'!$D723&amp;" "&amp;'Compliance Database'!$K723&amp;" "&amp;'Compliance Database'!$L723&amp;" "&amp;'Compliance Database'!$M723&amp;" "&amp;'Compliance Database'!$N723&amp;" "&amp;'Compliance Database'!$O723))),OR(Query!$B$10&lt;&gt;"Yes",'Compliance Database'!$F723&lt;&gt;"None")),1,0)</f>
        <v>0</v>
      </c>
      <c r="B723" t="str">
        <f>IF($A723=1,SUM($A$2:$A723),"")</f>
        <v/>
      </c>
      <c r="C723">
        <f>IF($A723=1,SUM($A$2:$A723),0)</f>
        <v>0</v>
      </c>
    </row>
    <row r="724" spans="1:3" x14ac:dyDescent="0.3">
      <c r="A724">
        <f>IF(AND(OR(Query!$B$4="All",'Compliance Database'!$A724=Query!$B$4),OR(Query!$B$5="All",ISNUMBER(SEARCH(Query!$B$5,'Compliance Database'!$H724))),OR(Query!$B$6="All",ISNUMBER(SEARCH(Query!$B$6,'Compliance Database'!$I724))),OR(Query!$B$7="All",'Compliance Database'!$F724=Query!$B$7),OR(Query!$B$8="All",'Compliance Database'!$J724=Query!$B$8),OR(Query!$B$9="",ISNUMBER(SEARCH(Query!$B$9,'Compliance Database'!$D724&amp;" "&amp;'Compliance Database'!$K724&amp;" "&amp;'Compliance Database'!$L724&amp;" "&amp;'Compliance Database'!$M724&amp;" "&amp;'Compliance Database'!$N724&amp;" "&amp;'Compliance Database'!$O724))),OR(Query!$B$10&lt;&gt;"Yes",'Compliance Database'!$F724&lt;&gt;"None")),1,0)</f>
        <v>0</v>
      </c>
      <c r="B724" t="str">
        <f>IF($A724=1,SUM($A$2:$A724),"")</f>
        <v/>
      </c>
      <c r="C724">
        <f>IF($A724=1,SUM($A$2:$A724),0)</f>
        <v>0</v>
      </c>
    </row>
    <row r="725" spans="1:3" x14ac:dyDescent="0.3">
      <c r="A725">
        <f>IF(AND(OR(Query!$B$4="All",'Compliance Database'!$A725=Query!$B$4),OR(Query!$B$5="All",ISNUMBER(SEARCH(Query!$B$5,'Compliance Database'!$H725))),OR(Query!$B$6="All",ISNUMBER(SEARCH(Query!$B$6,'Compliance Database'!$I725))),OR(Query!$B$7="All",'Compliance Database'!$F725=Query!$B$7),OR(Query!$B$8="All",'Compliance Database'!$J725=Query!$B$8),OR(Query!$B$9="",ISNUMBER(SEARCH(Query!$B$9,'Compliance Database'!$D725&amp;" "&amp;'Compliance Database'!$K725&amp;" "&amp;'Compliance Database'!$L725&amp;" "&amp;'Compliance Database'!$M725&amp;" "&amp;'Compliance Database'!$N725&amp;" "&amp;'Compliance Database'!$O725))),OR(Query!$B$10&lt;&gt;"Yes",'Compliance Database'!$F725&lt;&gt;"None")),1,0)</f>
        <v>0</v>
      </c>
      <c r="B725" t="str">
        <f>IF($A725=1,SUM($A$2:$A725),"")</f>
        <v/>
      </c>
      <c r="C725">
        <f>IF($A725=1,SUM($A$2:$A725),0)</f>
        <v>0</v>
      </c>
    </row>
    <row r="726" spans="1:3" x14ac:dyDescent="0.3">
      <c r="A726">
        <f>IF(AND(OR(Query!$B$4="All",'Compliance Database'!$A726=Query!$B$4),OR(Query!$B$5="All",ISNUMBER(SEARCH(Query!$B$5,'Compliance Database'!$H726))),OR(Query!$B$6="All",ISNUMBER(SEARCH(Query!$B$6,'Compliance Database'!$I726))),OR(Query!$B$7="All",'Compliance Database'!$F726=Query!$B$7),OR(Query!$B$8="All",'Compliance Database'!$J726=Query!$B$8),OR(Query!$B$9="",ISNUMBER(SEARCH(Query!$B$9,'Compliance Database'!$D726&amp;" "&amp;'Compliance Database'!$K726&amp;" "&amp;'Compliance Database'!$L726&amp;" "&amp;'Compliance Database'!$M726&amp;" "&amp;'Compliance Database'!$N726&amp;" "&amp;'Compliance Database'!$O726))),OR(Query!$B$10&lt;&gt;"Yes",'Compliance Database'!$F726&lt;&gt;"None")),1,0)</f>
        <v>0</v>
      </c>
      <c r="B726" t="str">
        <f>IF($A726=1,SUM($A$2:$A726),"")</f>
        <v/>
      </c>
      <c r="C726">
        <f>IF($A726=1,SUM($A$2:$A726),0)</f>
        <v>0</v>
      </c>
    </row>
    <row r="727" spans="1:3" x14ac:dyDescent="0.3">
      <c r="A727">
        <f>IF(AND(OR(Query!$B$4="All",'Compliance Database'!$A727=Query!$B$4),OR(Query!$B$5="All",ISNUMBER(SEARCH(Query!$B$5,'Compliance Database'!$H727))),OR(Query!$B$6="All",ISNUMBER(SEARCH(Query!$B$6,'Compliance Database'!$I727))),OR(Query!$B$7="All",'Compliance Database'!$F727=Query!$B$7),OR(Query!$B$8="All",'Compliance Database'!$J727=Query!$B$8),OR(Query!$B$9="",ISNUMBER(SEARCH(Query!$B$9,'Compliance Database'!$D727&amp;" "&amp;'Compliance Database'!$K727&amp;" "&amp;'Compliance Database'!$L727&amp;" "&amp;'Compliance Database'!$M727&amp;" "&amp;'Compliance Database'!$N727&amp;" "&amp;'Compliance Database'!$O727))),OR(Query!$B$10&lt;&gt;"Yes",'Compliance Database'!$F727&lt;&gt;"None")),1,0)</f>
        <v>0</v>
      </c>
      <c r="B727" t="str">
        <f>IF($A727=1,SUM($A$2:$A727),"")</f>
        <v/>
      </c>
      <c r="C727">
        <f>IF($A727=1,SUM($A$2:$A727),0)</f>
        <v>0</v>
      </c>
    </row>
    <row r="728" spans="1:3" x14ac:dyDescent="0.3">
      <c r="A728">
        <f>IF(AND(OR(Query!$B$4="All",'Compliance Database'!$A728=Query!$B$4),OR(Query!$B$5="All",ISNUMBER(SEARCH(Query!$B$5,'Compliance Database'!$H728))),OR(Query!$B$6="All",ISNUMBER(SEARCH(Query!$B$6,'Compliance Database'!$I728))),OR(Query!$B$7="All",'Compliance Database'!$F728=Query!$B$7),OR(Query!$B$8="All",'Compliance Database'!$J728=Query!$B$8),OR(Query!$B$9="",ISNUMBER(SEARCH(Query!$B$9,'Compliance Database'!$D728&amp;" "&amp;'Compliance Database'!$K728&amp;" "&amp;'Compliance Database'!$L728&amp;" "&amp;'Compliance Database'!$M728&amp;" "&amp;'Compliance Database'!$N728&amp;" "&amp;'Compliance Database'!$O728))),OR(Query!$B$10&lt;&gt;"Yes",'Compliance Database'!$F728&lt;&gt;"None")),1,0)</f>
        <v>0</v>
      </c>
      <c r="B728" t="str">
        <f>IF($A728=1,SUM($A$2:$A728),"")</f>
        <v/>
      </c>
      <c r="C728">
        <f>IF($A728=1,SUM($A$2:$A728),0)</f>
        <v>0</v>
      </c>
    </row>
    <row r="729" spans="1:3" x14ac:dyDescent="0.3">
      <c r="A729">
        <f>IF(AND(OR(Query!$B$4="All",'Compliance Database'!$A729=Query!$B$4),OR(Query!$B$5="All",ISNUMBER(SEARCH(Query!$B$5,'Compliance Database'!$H729))),OR(Query!$B$6="All",ISNUMBER(SEARCH(Query!$B$6,'Compliance Database'!$I729))),OR(Query!$B$7="All",'Compliance Database'!$F729=Query!$B$7),OR(Query!$B$8="All",'Compliance Database'!$J729=Query!$B$8),OR(Query!$B$9="",ISNUMBER(SEARCH(Query!$B$9,'Compliance Database'!$D729&amp;" "&amp;'Compliance Database'!$K729&amp;" "&amp;'Compliance Database'!$L729&amp;" "&amp;'Compliance Database'!$M729&amp;" "&amp;'Compliance Database'!$N729&amp;" "&amp;'Compliance Database'!$O729))),OR(Query!$B$10&lt;&gt;"Yes",'Compliance Database'!$F729&lt;&gt;"None")),1,0)</f>
        <v>0</v>
      </c>
      <c r="B729" t="str">
        <f>IF($A729=1,SUM($A$2:$A729),"")</f>
        <v/>
      </c>
      <c r="C729">
        <f>IF($A729=1,SUM($A$2:$A729),0)</f>
        <v>0</v>
      </c>
    </row>
    <row r="730" spans="1:3" x14ac:dyDescent="0.3">
      <c r="A730">
        <f>IF(AND(OR(Query!$B$4="All",'Compliance Database'!$A730=Query!$B$4),OR(Query!$B$5="All",ISNUMBER(SEARCH(Query!$B$5,'Compliance Database'!$H730))),OR(Query!$B$6="All",ISNUMBER(SEARCH(Query!$B$6,'Compliance Database'!$I730))),OR(Query!$B$7="All",'Compliance Database'!$F730=Query!$B$7),OR(Query!$B$8="All",'Compliance Database'!$J730=Query!$B$8),OR(Query!$B$9="",ISNUMBER(SEARCH(Query!$B$9,'Compliance Database'!$D730&amp;" "&amp;'Compliance Database'!$K730&amp;" "&amp;'Compliance Database'!$L730&amp;" "&amp;'Compliance Database'!$M730&amp;" "&amp;'Compliance Database'!$N730&amp;" "&amp;'Compliance Database'!$O730))),OR(Query!$B$10&lt;&gt;"Yes",'Compliance Database'!$F730&lt;&gt;"None")),1,0)</f>
        <v>0</v>
      </c>
      <c r="B730" t="str">
        <f>IF($A730=1,SUM($A$2:$A730),"")</f>
        <v/>
      </c>
      <c r="C730">
        <f>IF($A730=1,SUM($A$2:$A730),0)</f>
        <v>0</v>
      </c>
    </row>
    <row r="731" spans="1:3" x14ac:dyDescent="0.3">
      <c r="A731">
        <f>IF(AND(OR(Query!$B$4="All",'Compliance Database'!$A731=Query!$B$4),OR(Query!$B$5="All",ISNUMBER(SEARCH(Query!$B$5,'Compliance Database'!$H731))),OR(Query!$B$6="All",ISNUMBER(SEARCH(Query!$B$6,'Compliance Database'!$I731))),OR(Query!$B$7="All",'Compliance Database'!$F731=Query!$B$7),OR(Query!$B$8="All",'Compliance Database'!$J731=Query!$B$8),OR(Query!$B$9="",ISNUMBER(SEARCH(Query!$B$9,'Compliance Database'!$D731&amp;" "&amp;'Compliance Database'!$K731&amp;" "&amp;'Compliance Database'!$L731&amp;" "&amp;'Compliance Database'!$M731&amp;" "&amp;'Compliance Database'!$N731&amp;" "&amp;'Compliance Database'!$O731))),OR(Query!$B$10&lt;&gt;"Yes",'Compliance Database'!$F731&lt;&gt;"None")),1,0)</f>
        <v>0</v>
      </c>
      <c r="B731" t="str">
        <f>IF($A731=1,SUM($A$2:$A731),"")</f>
        <v/>
      </c>
      <c r="C731">
        <f>IF($A731=1,SUM($A$2:$A731),0)</f>
        <v>0</v>
      </c>
    </row>
    <row r="732" spans="1:3" x14ac:dyDescent="0.3">
      <c r="A732">
        <f>IF(AND(OR(Query!$B$4="All",'Compliance Database'!$A732=Query!$B$4),OR(Query!$B$5="All",ISNUMBER(SEARCH(Query!$B$5,'Compliance Database'!$H732))),OR(Query!$B$6="All",ISNUMBER(SEARCH(Query!$B$6,'Compliance Database'!$I732))),OR(Query!$B$7="All",'Compliance Database'!$F732=Query!$B$7),OR(Query!$B$8="All",'Compliance Database'!$J732=Query!$B$8),OR(Query!$B$9="",ISNUMBER(SEARCH(Query!$B$9,'Compliance Database'!$D732&amp;" "&amp;'Compliance Database'!$K732&amp;" "&amp;'Compliance Database'!$L732&amp;" "&amp;'Compliance Database'!$M732&amp;" "&amp;'Compliance Database'!$N732&amp;" "&amp;'Compliance Database'!$O732))),OR(Query!$B$10&lt;&gt;"Yes",'Compliance Database'!$F732&lt;&gt;"None")),1,0)</f>
        <v>0</v>
      </c>
      <c r="B732" t="str">
        <f>IF($A732=1,SUM($A$2:$A732),"")</f>
        <v/>
      </c>
      <c r="C732">
        <f>IF($A732=1,SUM($A$2:$A732),0)</f>
        <v>0</v>
      </c>
    </row>
    <row r="733" spans="1:3" x14ac:dyDescent="0.3">
      <c r="A733">
        <f>IF(AND(OR(Query!$B$4="All",'Compliance Database'!$A733=Query!$B$4),OR(Query!$B$5="All",ISNUMBER(SEARCH(Query!$B$5,'Compliance Database'!$H733))),OR(Query!$B$6="All",ISNUMBER(SEARCH(Query!$B$6,'Compliance Database'!$I733))),OR(Query!$B$7="All",'Compliance Database'!$F733=Query!$B$7),OR(Query!$B$8="All",'Compliance Database'!$J733=Query!$B$8),OR(Query!$B$9="",ISNUMBER(SEARCH(Query!$B$9,'Compliance Database'!$D733&amp;" "&amp;'Compliance Database'!$K733&amp;" "&amp;'Compliance Database'!$L733&amp;" "&amp;'Compliance Database'!$M733&amp;" "&amp;'Compliance Database'!$N733&amp;" "&amp;'Compliance Database'!$O733))),OR(Query!$B$10&lt;&gt;"Yes",'Compliance Database'!$F733&lt;&gt;"None")),1,0)</f>
        <v>0</v>
      </c>
      <c r="B733" t="str">
        <f>IF($A733=1,SUM($A$2:$A733),"")</f>
        <v/>
      </c>
      <c r="C733">
        <f>IF($A733=1,SUM($A$2:$A733),0)</f>
        <v>0</v>
      </c>
    </row>
    <row r="734" spans="1:3" x14ac:dyDescent="0.3">
      <c r="A734">
        <f>IF(AND(OR(Query!$B$4="All",'Compliance Database'!$A734=Query!$B$4),OR(Query!$B$5="All",ISNUMBER(SEARCH(Query!$B$5,'Compliance Database'!$H734))),OR(Query!$B$6="All",ISNUMBER(SEARCH(Query!$B$6,'Compliance Database'!$I734))),OR(Query!$B$7="All",'Compliance Database'!$F734=Query!$B$7),OR(Query!$B$8="All",'Compliance Database'!$J734=Query!$B$8),OR(Query!$B$9="",ISNUMBER(SEARCH(Query!$B$9,'Compliance Database'!$D734&amp;" "&amp;'Compliance Database'!$K734&amp;" "&amp;'Compliance Database'!$L734&amp;" "&amp;'Compliance Database'!$M734&amp;" "&amp;'Compliance Database'!$N734&amp;" "&amp;'Compliance Database'!$O734))),OR(Query!$B$10&lt;&gt;"Yes",'Compliance Database'!$F734&lt;&gt;"None")),1,0)</f>
        <v>0</v>
      </c>
      <c r="B734" t="str">
        <f>IF($A734=1,SUM($A$2:$A734),"")</f>
        <v/>
      </c>
      <c r="C734">
        <f>IF($A734=1,SUM($A$2:$A734),0)</f>
        <v>0</v>
      </c>
    </row>
    <row r="735" spans="1:3" x14ac:dyDescent="0.3">
      <c r="A735">
        <f>IF(AND(OR(Query!$B$4="All",'Compliance Database'!$A735=Query!$B$4),OR(Query!$B$5="All",ISNUMBER(SEARCH(Query!$B$5,'Compliance Database'!$H735))),OR(Query!$B$6="All",ISNUMBER(SEARCH(Query!$B$6,'Compliance Database'!$I735))),OR(Query!$B$7="All",'Compliance Database'!$F735=Query!$B$7),OR(Query!$B$8="All",'Compliance Database'!$J735=Query!$B$8),OR(Query!$B$9="",ISNUMBER(SEARCH(Query!$B$9,'Compliance Database'!$D735&amp;" "&amp;'Compliance Database'!$K735&amp;" "&amp;'Compliance Database'!$L735&amp;" "&amp;'Compliance Database'!$M735&amp;" "&amp;'Compliance Database'!$N735&amp;" "&amp;'Compliance Database'!$O735))),OR(Query!$B$10&lt;&gt;"Yes",'Compliance Database'!$F735&lt;&gt;"None")),1,0)</f>
        <v>0</v>
      </c>
      <c r="B735" t="str">
        <f>IF($A735=1,SUM($A$2:$A735),"")</f>
        <v/>
      </c>
      <c r="C735">
        <f>IF($A735=1,SUM($A$2:$A735),0)</f>
        <v>0</v>
      </c>
    </row>
    <row r="736" spans="1:3" x14ac:dyDescent="0.3">
      <c r="A736">
        <f>IF(AND(OR(Query!$B$4="All",'Compliance Database'!$A736=Query!$B$4),OR(Query!$B$5="All",ISNUMBER(SEARCH(Query!$B$5,'Compliance Database'!$H736))),OR(Query!$B$6="All",ISNUMBER(SEARCH(Query!$B$6,'Compliance Database'!$I736))),OR(Query!$B$7="All",'Compliance Database'!$F736=Query!$B$7),OR(Query!$B$8="All",'Compliance Database'!$J736=Query!$B$8),OR(Query!$B$9="",ISNUMBER(SEARCH(Query!$B$9,'Compliance Database'!$D736&amp;" "&amp;'Compliance Database'!$K736&amp;" "&amp;'Compliance Database'!$L736&amp;" "&amp;'Compliance Database'!$M736&amp;" "&amp;'Compliance Database'!$N736&amp;" "&amp;'Compliance Database'!$O736))),OR(Query!$B$10&lt;&gt;"Yes",'Compliance Database'!$F736&lt;&gt;"None")),1,0)</f>
        <v>0</v>
      </c>
      <c r="B736" t="str">
        <f>IF($A736=1,SUM($A$2:$A736),"")</f>
        <v/>
      </c>
      <c r="C736">
        <f>IF($A736=1,SUM($A$2:$A736),0)</f>
        <v>0</v>
      </c>
    </row>
    <row r="737" spans="1:3" x14ac:dyDescent="0.3">
      <c r="A737">
        <f>IF(AND(OR(Query!$B$4="All",'Compliance Database'!$A737=Query!$B$4),OR(Query!$B$5="All",ISNUMBER(SEARCH(Query!$B$5,'Compliance Database'!$H737))),OR(Query!$B$6="All",ISNUMBER(SEARCH(Query!$B$6,'Compliance Database'!$I737))),OR(Query!$B$7="All",'Compliance Database'!$F737=Query!$B$7),OR(Query!$B$8="All",'Compliance Database'!$J737=Query!$B$8),OR(Query!$B$9="",ISNUMBER(SEARCH(Query!$B$9,'Compliance Database'!$D737&amp;" "&amp;'Compliance Database'!$K737&amp;" "&amp;'Compliance Database'!$L737&amp;" "&amp;'Compliance Database'!$M737&amp;" "&amp;'Compliance Database'!$N737&amp;" "&amp;'Compliance Database'!$O737))),OR(Query!$B$10&lt;&gt;"Yes",'Compliance Database'!$F737&lt;&gt;"None")),1,0)</f>
        <v>0</v>
      </c>
      <c r="B737" t="str">
        <f>IF($A737=1,SUM($A$2:$A737),"")</f>
        <v/>
      </c>
      <c r="C737">
        <f>IF($A737=1,SUM($A$2:$A737),0)</f>
        <v>0</v>
      </c>
    </row>
    <row r="738" spans="1:3" x14ac:dyDescent="0.3">
      <c r="A738">
        <f>IF(AND(OR(Query!$B$4="All",'Compliance Database'!$A738=Query!$B$4),OR(Query!$B$5="All",ISNUMBER(SEARCH(Query!$B$5,'Compliance Database'!$H738))),OR(Query!$B$6="All",ISNUMBER(SEARCH(Query!$B$6,'Compliance Database'!$I738))),OR(Query!$B$7="All",'Compliance Database'!$F738=Query!$B$7),OR(Query!$B$8="All",'Compliance Database'!$J738=Query!$B$8),OR(Query!$B$9="",ISNUMBER(SEARCH(Query!$B$9,'Compliance Database'!$D738&amp;" "&amp;'Compliance Database'!$K738&amp;" "&amp;'Compliance Database'!$L738&amp;" "&amp;'Compliance Database'!$M738&amp;" "&amp;'Compliance Database'!$N738&amp;" "&amp;'Compliance Database'!$O738))),OR(Query!$B$10&lt;&gt;"Yes",'Compliance Database'!$F738&lt;&gt;"None")),1,0)</f>
        <v>0</v>
      </c>
      <c r="B738" t="str">
        <f>IF($A738=1,SUM($A$2:$A738),"")</f>
        <v/>
      </c>
      <c r="C738">
        <f>IF($A738=1,SUM($A$2:$A738),0)</f>
        <v>0</v>
      </c>
    </row>
    <row r="739" spans="1:3" x14ac:dyDescent="0.3">
      <c r="A739">
        <f>IF(AND(OR(Query!$B$4="All",'Compliance Database'!$A739=Query!$B$4),OR(Query!$B$5="All",ISNUMBER(SEARCH(Query!$B$5,'Compliance Database'!$H739))),OR(Query!$B$6="All",ISNUMBER(SEARCH(Query!$B$6,'Compliance Database'!$I739))),OR(Query!$B$7="All",'Compliance Database'!$F739=Query!$B$7),OR(Query!$B$8="All",'Compliance Database'!$J739=Query!$B$8),OR(Query!$B$9="",ISNUMBER(SEARCH(Query!$B$9,'Compliance Database'!$D739&amp;" "&amp;'Compliance Database'!$K739&amp;" "&amp;'Compliance Database'!$L739&amp;" "&amp;'Compliance Database'!$M739&amp;" "&amp;'Compliance Database'!$N739&amp;" "&amp;'Compliance Database'!$O739))),OR(Query!$B$10&lt;&gt;"Yes",'Compliance Database'!$F739&lt;&gt;"None")),1,0)</f>
        <v>0</v>
      </c>
      <c r="B739" t="str">
        <f>IF($A739=1,SUM($A$2:$A739),"")</f>
        <v/>
      </c>
      <c r="C739">
        <f>IF($A739=1,SUM($A$2:$A739),0)</f>
        <v>0</v>
      </c>
    </row>
    <row r="740" spans="1:3" x14ac:dyDescent="0.3">
      <c r="A740">
        <f>IF(AND(OR(Query!$B$4="All",'Compliance Database'!$A740=Query!$B$4),OR(Query!$B$5="All",ISNUMBER(SEARCH(Query!$B$5,'Compliance Database'!$H740))),OR(Query!$B$6="All",ISNUMBER(SEARCH(Query!$B$6,'Compliance Database'!$I740))),OR(Query!$B$7="All",'Compliance Database'!$F740=Query!$B$7),OR(Query!$B$8="All",'Compliance Database'!$J740=Query!$B$8),OR(Query!$B$9="",ISNUMBER(SEARCH(Query!$B$9,'Compliance Database'!$D740&amp;" "&amp;'Compliance Database'!$K740&amp;" "&amp;'Compliance Database'!$L740&amp;" "&amp;'Compliance Database'!$M740&amp;" "&amp;'Compliance Database'!$N740&amp;" "&amp;'Compliance Database'!$O740))),OR(Query!$B$10&lt;&gt;"Yes",'Compliance Database'!$F740&lt;&gt;"None")),1,0)</f>
        <v>0</v>
      </c>
      <c r="B740" t="str">
        <f>IF($A740=1,SUM($A$2:$A740),"")</f>
        <v/>
      </c>
      <c r="C740">
        <f>IF($A740=1,SUM($A$2:$A740),0)</f>
        <v>0</v>
      </c>
    </row>
    <row r="741" spans="1:3" x14ac:dyDescent="0.3">
      <c r="A741">
        <f>IF(AND(OR(Query!$B$4="All",'Compliance Database'!$A741=Query!$B$4),OR(Query!$B$5="All",ISNUMBER(SEARCH(Query!$B$5,'Compliance Database'!$H741))),OR(Query!$B$6="All",ISNUMBER(SEARCH(Query!$B$6,'Compliance Database'!$I741))),OR(Query!$B$7="All",'Compliance Database'!$F741=Query!$B$7),OR(Query!$B$8="All",'Compliance Database'!$J741=Query!$B$8),OR(Query!$B$9="",ISNUMBER(SEARCH(Query!$B$9,'Compliance Database'!$D741&amp;" "&amp;'Compliance Database'!$K741&amp;" "&amp;'Compliance Database'!$L741&amp;" "&amp;'Compliance Database'!$M741&amp;" "&amp;'Compliance Database'!$N741&amp;" "&amp;'Compliance Database'!$O741))),OR(Query!$B$10&lt;&gt;"Yes",'Compliance Database'!$F741&lt;&gt;"None")),1,0)</f>
        <v>0</v>
      </c>
      <c r="B741" t="str">
        <f>IF($A741=1,SUM($A$2:$A741),"")</f>
        <v/>
      </c>
      <c r="C741">
        <f>IF($A741=1,SUM($A$2:$A741),0)</f>
        <v>0</v>
      </c>
    </row>
    <row r="742" spans="1:3" x14ac:dyDescent="0.3">
      <c r="A742">
        <f>IF(AND(OR(Query!$B$4="All",'Compliance Database'!$A742=Query!$B$4),OR(Query!$B$5="All",ISNUMBER(SEARCH(Query!$B$5,'Compliance Database'!$H742))),OR(Query!$B$6="All",ISNUMBER(SEARCH(Query!$B$6,'Compliance Database'!$I742))),OR(Query!$B$7="All",'Compliance Database'!$F742=Query!$B$7),OR(Query!$B$8="All",'Compliance Database'!$J742=Query!$B$8),OR(Query!$B$9="",ISNUMBER(SEARCH(Query!$B$9,'Compliance Database'!$D742&amp;" "&amp;'Compliance Database'!$K742&amp;" "&amp;'Compliance Database'!$L742&amp;" "&amp;'Compliance Database'!$M742&amp;" "&amp;'Compliance Database'!$N742&amp;" "&amp;'Compliance Database'!$O742))),OR(Query!$B$10&lt;&gt;"Yes",'Compliance Database'!$F742&lt;&gt;"None")),1,0)</f>
        <v>0</v>
      </c>
      <c r="B742" t="str">
        <f>IF($A742=1,SUM($A$2:$A742),"")</f>
        <v/>
      </c>
      <c r="C742">
        <f>IF($A742=1,SUM($A$2:$A742),0)</f>
        <v>0</v>
      </c>
    </row>
    <row r="743" spans="1:3" x14ac:dyDescent="0.3">
      <c r="A743">
        <f>IF(AND(OR(Query!$B$4="All",'Compliance Database'!$A743=Query!$B$4),OR(Query!$B$5="All",ISNUMBER(SEARCH(Query!$B$5,'Compliance Database'!$H743))),OR(Query!$B$6="All",ISNUMBER(SEARCH(Query!$B$6,'Compliance Database'!$I743))),OR(Query!$B$7="All",'Compliance Database'!$F743=Query!$B$7),OR(Query!$B$8="All",'Compliance Database'!$J743=Query!$B$8),OR(Query!$B$9="",ISNUMBER(SEARCH(Query!$B$9,'Compliance Database'!$D743&amp;" "&amp;'Compliance Database'!$K743&amp;" "&amp;'Compliance Database'!$L743&amp;" "&amp;'Compliance Database'!$M743&amp;" "&amp;'Compliance Database'!$N743&amp;" "&amp;'Compliance Database'!$O743))),OR(Query!$B$10&lt;&gt;"Yes",'Compliance Database'!$F743&lt;&gt;"None")),1,0)</f>
        <v>0</v>
      </c>
      <c r="B743" t="str">
        <f>IF($A743=1,SUM($A$2:$A743),"")</f>
        <v/>
      </c>
      <c r="C743">
        <f>IF($A743=1,SUM($A$2:$A743),0)</f>
        <v>0</v>
      </c>
    </row>
    <row r="744" spans="1:3" x14ac:dyDescent="0.3">
      <c r="A744">
        <f>IF(AND(OR(Query!$B$4="All",'Compliance Database'!$A744=Query!$B$4),OR(Query!$B$5="All",ISNUMBER(SEARCH(Query!$B$5,'Compliance Database'!$H744))),OR(Query!$B$6="All",ISNUMBER(SEARCH(Query!$B$6,'Compliance Database'!$I744))),OR(Query!$B$7="All",'Compliance Database'!$F744=Query!$B$7),OR(Query!$B$8="All",'Compliance Database'!$J744=Query!$B$8),OR(Query!$B$9="",ISNUMBER(SEARCH(Query!$B$9,'Compliance Database'!$D744&amp;" "&amp;'Compliance Database'!$K744&amp;" "&amp;'Compliance Database'!$L744&amp;" "&amp;'Compliance Database'!$M744&amp;" "&amp;'Compliance Database'!$N744&amp;" "&amp;'Compliance Database'!$O744))),OR(Query!$B$10&lt;&gt;"Yes",'Compliance Database'!$F744&lt;&gt;"None")),1,0)</f>
        <v>0</v>
      </c>
      <c r="B744" t="str">
        <f>IF($A744=1,SUM($A$2:$A744),"")</f>
        <v/>
      </c>
      <c r="C744">
        <f>IF($A744=1,SUM($A$2:$A744),0)</f>
        <v>0</v>
      </c>
    </row>
    <row r="745" spans="1:3" x14ac:dyDescent="0.3">
      <c r="A745">
        <f>IF(AND(OR(Query!$B$4="All",'Compliance Database'!$A745=Query!$B$4),OR(Query!$B$5="All",ISNUMBER(SEARCH(Query!$B$5,'Compliance Database'!$H745))),OR(Query!$B$6="All",ISNUMBER(SEARCH(Query!$B$6,'Compliance Database'!$I745))),OR(Query!$B$7="All",'Compliance Database'!$F745=Query!$B$7),OR(Query!$B$8="All",'Compliance Database'!$J745=Query!$B$8),OR(Query!$B$9="",ISNUMBER(SEARCH(Query!$B$9,'Compliance Database'!$D745&amp;" "&amp;'Compliance Database'!$K745&amp;" "&amp;'Compliance Database'!$L745&amp;" "&amp;'Compliance Database'!$M745&amp;" "&amp;'Compliance Database'!$N745&amp;" "&amp;'Compliance Database'!$O745))),OR(Query!$B$10&lt;&gt;"Yes",'Compliance Database'!$F745&lt;&gt;"None")),1,0)</f>
        <v>0</v>
      </c>
      <c r="B745" t="str">
        <f>IF($A745=1,SUM($A$2:$A745),"")</f>
        <v/>
      </c>
      <c r="C745">
        <f>IF($A745=1,SUM($A$2:$A745),0)</f>
        <v>0</v>
      </c>
    </row>
    <row r="746" spans="1:3" x14ac:dyDescent="0.3">
      <c r="A746">
        <f>IF(AND(OR(Query!$B$4="All",'Compliance Database'!$A746=Query!$B$4),OR(Query!$B$5="All",ISNUMBER(SEARCH(Query!$B$5,'Compliance Database'!$H746))),OR(Query!$B$6="All",ISNUMBER(SEARCH(Query!$B$6,'Compliance Database'!$I746))),OR(Query!$B$7="All",'Compliance Database'!$F746=Query!$B$7),OR(Query!$B$8="All",'Compliance Database'!$J746=Query!$B$8),OR(Query!$B$9="",ISNUMBER(SEARCH(Query!$B$9,'Compliance Database'!$D746&amp;" "&amp;'Compliance Database'!$K746&amp;" "&amp;'Compliance Database'!$L746&amp;" "&amp;'Compliance Database'!$M746&amp;" "&amp;'Compliance Database'!$N746&amp;" "&amp;'Compliance Database'!$O746))),OR(Query!$B$10&lt;&gt;"Yes",'Compliance Database'!$F746&lt;&gt;"None")),1,0)</f>
        <v>0</v>
      </c>
      <c r="B746" t="str">
        <f>IF($A746=1,SUM($A$2:$A746),"")</f>
        <v/>
      </c>
      <c r="C746">
        <f>IF($A746=1,SUM($A$2:$A746),0)</f>
        <v>0</v>
      </c>
    </row>
    <row r="747" spans="1:3" x14ac:dyDescent="0.3">
      <c r="A747">
        <f>IF(AND(OR(Query!$B$4="All",'Compliance Database'!$A747=Query!$B$4),OR(Query!$B$5="All",ISNUMBER(SEARCH(Query!$B$5,'Compliance Database'!$H747))),OR(Query!$B$6="All",ISNUMBER(SEARCH(Query!$B$6,'Compliance Database'!$I747))),OR(Query!$B$7="All",'Compliance Database'!$F747=Query!$B$7),OR(Query!$B$8="All",'Compliance Database'!$J747=Query!$B$8),OR(Query!$B$9="",ISNUMBER(SEARCH(Query!$B$9,'Compliance Database'!$D747&amp;" "&amp;'Compliance Database'!$K747&amp;" "&amp;'Compliance Database'!$L747&amp;" "&amp;'Compliance Database'!$M747&amp;" "&amp;'Compliance Database'!$N747&amp;" "&amp;'Compliance Database'!$O747))),OR(Query!$B$10&lt;&gt;"Yes",'Compliance Database'!$F747&lt;&gt;"None")),1,0)</f>
        <v>0</v>
      </c>
      <c r="B747" t="str">
        <f>IF($A747=1,SUM($A$2:$A747),"")</f>
        <v/>
      </c>
      <c r="C747">
        <f>IF($A747=1,SUM($A$2:$A747),0)</f>
        <v>0</v>
      </c>
    </row>
    <row r="748" spans="1:3" x14ac:dyDescent="0.3">
      <c r="A748">
        <f>IF(AND(OR(Query!$B$4="All",'Compliance Database'!$A748=Query!$B$4),OR(Query!$B$5="All",ISNUMBER(SEARCH(Query!$B$5,'Compliance Database'!$H748))),OR(Query!$B$6="All",ISNUMBER(SEARCH(Query!$B$6,'Compliance Database'!$I748))),OR(Query!$B$7="All",'Compliance Database'!$F748=Query!$B$7),OR(Query!$B$8="All",'Compliance Database'!$J748=Query!$B$8),OR(Query!$B$9="",ISNUMBER(SEARCH(Query!$B$9,'Compliance Database'!$D748&amp;" "&amp;'Compliance Database'!$K748&amp;" "&amp;'Compliance Database'!$L748&amp;" "&amp;'Compliance Database'!$M748&amp;" "&amp;'Compliance Database'!$N748&amp;" "&amp;'Compliance Database'!$O748))),OR(Query!$B$10&lt;&gt;"Yes",'Compliance Database'!$F748&lt;&gt;"None")),1,0)</f>
        <v>0</v>
      </c>
      <c r="B748" t="str">
        <f>IF($A748=1,SUM($A$2:$A748),"")</f>
        <v/>
      </c>
      <c r="C748">
        <f>IF($A748=1,SUM($A$2:$A748),0)</f>
        <v>0</v>
      </c>
    </row>
    <row r="749" spans="1:3" x14ac:dyDescent="0.3">
      <c r="A749">
        <f>IF(AND(OR(Query!$B$4="All",'Compliance Database'!$A749=Query!$B$4),OR(Query!$B$5="All",ISNUMBER(SEARCH(Query!$B$5,'Compliance Database'!$H749))),OR(Query!$B$6="All",ISNUMBER(SEARCH(Query!$B$6,'Compliance Database'!$I749))),OR(Query!$B$7="All",'Compliance Database'!$F749=Query!$B$7),OR(Query!$B$8="All",'Compliance Database'!$J749=Query!$B$8),OR(Query!$B$9="",ISNUMBER(SEARCH(Query!$B$9,'Compliance Database'!$D749&amp;" "&amp;'Compliance Database'!$K749&amp;" "&amp;'Compliance Database'!$L749&amp;" "&amp;'Compliance Database'!$M749&amp;" "&amp;'Compliance Database'!$N749&amp;" "&amp;'Compliance Database'!$O749))),OR(Query!$B$10&lt;&gt;"Yes",'Compliance Database'!$F749&lt;&gt;"None")),1,0)</f>
        <v>0</v>
      </c>
      <c r="B749" t="str">
        <f>IF($A749=1,SUM($A$2:$A749),"")</f>
        <v/>
      </c>
      <c r="C749">
        <f>IF($A749=1,SUM($A$2:$A749),0)</f>
        <v>0</v>
      </c>
    </row>
    <row r="750" spans="1:3" x14ac:dyDescent="0.3">
      <c r="A750">
        <f>IF(AND(OR(Query!$B$4="All",'Compliance Database'!$A750=Query!$B$4),OR(Query!$B$5="All",ISNUMBER(SEARCH(Query!$B$5,'Compliance Database'!$H750))),OR(Query!$B$6="All",ISNUMBER(SEARCH(Query!$B$6,'Compliance Database'!$I750))),OR(Query!$B$7="All",'Compliance Database'!$F750=Query!$B$7),OR(Query!$B$8="All",'Compliance Database'!$J750=Query!$B$8),OR(Query!$B$9="",ISNUMBER(SEARCH(Query!$B$9,'Compliance Database'!$D750&amp;" "&amp;'Compliance Database'!$K750&amp;" "&amp;'Compliance Database'!$L750&amp;" "&amp;'Compliance Database'!$M750&amp;" "&amp;'Compliance Database'!$N750&amp;" "&amp;'Compliance Database'!$O750))),OR(Query!$B$10&lt;&gt;"Yes",'Compliance Database'!$F750&lt;&gt;"None")),1,0)</f>
        <v>0</v>
      </c>
      <c r="B750" t="str">
        <f>IF($A750=1,SUM($A$2:$A750),"")</f>
        <v/>
      </c>
      <c r="C750">
        <f>IF($A750=1,SUM($A$2:$A750),0)</f>
        <v>0</v>
      </c>
    </row>
    <row r="751" spans="1:3" x14ac:dyDescent="0.3">
      <c r="A751">
        <f>IF(AND(OR(Query!$B$4="All",'Compliance Database'!$A751=Query!$B$4),OR(Query!$B$5="All",ISNUMBER(SEARCH(Query!$B$5,'Compliance Database'!$H751))),OR(Query!$B$6="All",ISNUMBER(SEARCH(Query!$B$6,'Compliance Database'!$I751))),OR(Query!$B$7="All",'Compliance Database'!$F751=Query!$B$7),OR(Query!$B$8="All",'Compliance Database'!$J751=Query!$B$8),OR(Query!$B$9="",ISNUMBER(SEARCH(Query!$B$9,'Compliance Database'!$D751&amp;" "&amp;'Compliance Database'!$K751&amp;" "&amp;'Compliance Database'!$L751&amp;" "&amp;'Compliance Database'!$M751&amp;" "&amp;'Compliance Database'!$N751&amp;" "&amp;'Compliance Database'!$O751))),OR(Query!$B$10&lt;&gt;"Yes",'Compliance Database'!$F751&lt;&gt;"None")),1,0)</f>
        <v>0</v>
      </c>
      <c r="B751" t="str">
        <f>IF($A751=1,SUM($A$2:$A751),"")</f>
        <v/>
      </c>
      <c r="C751">
        <f>IF($A751=1,SUM($A$2:$A751),0)</f>
        <v>0</v>
      </c>
    </row>
    <row r="752" spans="1:3" x14ac:dyDescent="0.3">
      <c r="A752">
        <f>IF(AND(OR(Query!$B$4="All",'Compliance Database'!$A752=Query!$B$4),OR(Query!$B$5="All",ISNUMBER(SEARCH(Query!$B$5,'Compliance Database'!$H752))),OR(Query!$B$6="All",ISNUMBER(SEARCH(Query!$B$6,'Compliance Database'!$I752))),OR(Query!$B$7="All",'Compliance Database'!$F752=Query!$B$7),OR(Query!$B$8="All",'Compliance Database'!$J752=Query!$B$8),OR(Query!$B$9="",ISNUMBER(SEARCH(Query!$B$9,'Compliance Database'!$D752&amp;" "&amp;'Compliance Database'!$K752&amp;" "&amp;'Compliance Database'!$L752&amp;" "&amp;'Compliance Database'!$M752&amp;" "&amp;'Compliance Database'!$N752&amp;" "&amp;'Compliance Database'!$O752))),OR(Query!$B$10&lt;&gt;"Yes",'Compliance Database'!$F752&lt;&gt;"None")),1,0)</f>
        <v>0</v>
      </c>
      <c r="B752" t="str">
        <f>IF($A752=1,SUM($A$2:$A752),"")</f>
        <v/>
      </c>
      <c r="C752">
        <f>IF($A752=1,SUM($A$2:$A752),0)</f>
        <v>0</v>
      </c>
    </row>
    <row r="753" spans="1:3" x14ac:dyDescent="0.3">
      <c r="A753">
        <f>IF(AND(OR(Query!$B$4="All",'Compliance Database'!$A753=Query!$B$4),OR(Query!$B$5="All",ISNUMBER(SEARCH(Query!$B$5,'Compliance Database'!$H753))),OR(Query!$B$6="All",ISNUMBER(SEARCH(Query!$B$6,'Compliance Database'!$I753))),OR(Query!$B$7="All",'Compliance Database'!$F753=Query!$B$7),OR(Query!$B$8="All",'Compliance Database'!$J753=Query!$B$8),OR(Query!$B$9="",ISNUMBER(SEARCH(Query!$B$9,'Compliance Database'!$D753&amp;" "&amp;'Compliance Database'!$K753&amp;" "&amp;'Compliance Database'!$L753&amp;" "&amp;'Compliance Database'!$M753&amp;" "&amp;'Compliance Database'!$N753&amp;" "&amp;'Compliance Database'!$O753))),OR(Query!$B$10&lt;&gt;"Yes",'Compliance Database'!$F753&lt;&gt;"None")),1,0)</f>
        <v>0</v>
      </c>
      <c r="B753" t="str">
        <f>IF($A753=1,SUM($A$2:$A753),"")</f>
        <v/>
      </c>
      <c r="C753">
        <f>IF($A753=1,SUM($A$2:$A753),0)</f>
        <v>0</v>
      </c>
    </row>
    <row r="754" spans="1:3" x14ac:dyDescent="0.3">
      <c r="A754">
        <f>IF(AND(OR(Query!$B$4="All",'Compliance Database'!$A754=Query!$B$4),OR(Query!$B$5="All",ISNUMBER(SEARCH(Query!$B$5,'Compliance Database'!$H754))),OR(Query!$B$6="All",ISNUMBER(SEARCH(Query!$B$6,'Compliance Database'!$I754))),OR(Query!$B$7="All",'Compliance Database'!$F754=Query!$B$7),OR(Query!$B$8="All",'Compliance Database'!$J754=Query!$B$8),OR(Query!$B$9="",ISNUMBER(SEARCH(Query!$B$9,'Compliance Database'!$D754&amp;" "&amp;'Compliance Database'!$K754&amp;" "&amp;'Compliance Database'!$L754&amp;" "&amp;'Compliance Database'!$M754&amp;" "&amp;'Compliance Database'!$N754&amp;" "&amp;'Compliance Database'!$O754))),OR(Query!$B$10&lt;&gt;"Yes",'Compliance Database'!$F754&lt;&gt;"None")),1,0)</f>
        <v>0</v>
      </c>
      <c r="B754" t="str">
        <f>IF($A754=1,SUM($A$2:$A754),"")</f>
        <v/>
      </c>
      <c r="C754">
        <f>IF($A754=1,SUM($A$2:$A754),0)</f>
        <v>0</v>
      </c>
    </row>
    <row r="755" spans="1:3" x14ac:dyDescent="0.3">
      <c r="A755">
        <f>IF(AND(OR(Query!$B$4="All",'Compliance Database'!$A755=Query!$B$4),OR(Query!$B$5="All",ISNUMBER(SEARCH(Query!$B$5,'Compliance Database'!$H755))),OR(Query!$B$6="All",ISNUMBER(SEARCH(Query!$B$6,'Compliance Database'!$I755))),OR(Query!$B$7="All",'Compliance Database'!$F755=Query!$B$7),OR(Query!$B$8="All",'Compliance Database'!$J755=Query!$B$8),OR(Query!$B$9="",ISNUMBER(SEARCH(Query!$B$9,'Compliance Database'!$D755&amp;" "&amp;'Compliance Database'!$K755&amp;" "&amp;'Compliance Database'!$L755&amp;" "&amp;'Compliance Database'!$M755&amp;" "&amp;'Compliance Database'!$N755&amp;" "&amp;'Compliance Database'!$O755))),OR(Query!$B$10&lt;&gt;"Yes",'Compliance Database'!$F755&lt;&gt;"None")),1,0)</f>
        <v>0</v>
      </c>
      <c r="B755" t="str">
        <f>IF($A755=1,SUM($A$2:$A755),"")</f>
        <v/>
      </c>
      <c r="C755">
        <f>IF($A755=1,SUM($A$2:$A755),0)</f>
        <v>0</v>
      </c>
    </row>
    <row r="756" spans="1:3" x14ac:dyDescent="0.3">
      <c r="A756">
        <f>IF(AND(OR(Query!$B$4="All",'Compliance Database'!$A756=Query!$B$4),OR(Query!$B$5="All",ISNUMBER(SEARCH(Query!$B$5,'Compliance Database'!$H756))),OR(Query!$B$6="All",ISNUMBER(SEARCH(Query!$B$6,'Compliance Database'!$I756))),OR(Query!$B$7="All",'Compliance Database'!$F756=Query!$B$7),OR(Query!$B$8="All",'Compliance Database'!$J756=Query!$B$8),OR(Query!$B$9="",ISNUMBER(SEARCH(Query!$B$9,'Compliance Database'!$D756&amp;" "&amp;'Compliance Database'!$K756&amp;" "&amp;'Compliance Database'!$L756&amp;" "&amp;'Compliance Database'!$M756&amp;" "&amp;'Compliance Database'!$N756&amp;" "&amp;'Compliance Database'!$O756))),OR(Query!$B$10&lt;&gt;"Yes",'Compliance Database'!$F756&lt;&gt;"None")),1,0)</f>
        <v>0</v>
      </c>
      <c r="B756" t="str">
        <f>IF($A756=1,SUM($A$2:$A756),"")</f>
        <v/>
      </c>
      <c r="C756">
        <f>IF($A756=1,SUM($A$2:$A756),0)</f>
        <v>0</v>
      </c>
    </row>
    <row r="757" spans="1:3" x14ac:dyDescent="0.3">
      <c r="A757">
        <f>IF(AND(OR(Query!$B$4="All",'Compliance Database'!$A757=Query!$B$4),OR(Query!$B$5="All",ISNUMBER(SEARCH(Query!$B$5,'Compliance Database'!$H757))),OR(Query!$B$6="All",ISNUMBER(SEARCH(Query!$B$6,'Compliance Database'!$I757))),OR(Query!$B$7="All",'Compliance Database'!$F757=Query!$B$7),OR(Query!$B$8="All",'Compliance Database'!$J757=Query!$B$8),OR(Query!$B$9="",ISNUMBER(SEARCH(Query!$B$9,'Compliance Database'!$D757&amp;" "&amp;'Compliance Database'!$K757&amp;" "&amp;'Compliance Database'!$L757&amp;" "&amp;'Compliance Database'!$M757&amp;" "&amp;'Compliance Database'!$N757&amp;" "&amp;'Compliance Database'!$O757))),OR(Query!$B$10&lt;&gt;"Yes",'Compliance Database'!$F757&lt;&gt;"None")),1,0)</f>
        <v>0</v>
      </c>
      <c r="B757" t="str">
        <f>IF($A757=1,SUM($A$2:$A757),"")</f>
        <v/>
      </c>
      <c r="C757">
        <f>IF($A757=1,SUM($A$2:$A757),0)</f>
        <v>0</v>
      </c>
    </row>
    <row r="758" spans="1:3" x14ac:dyDescent="0.3">
      <c r="A758">
        <f>IF(AND(OR(Query!$B$4="All",'Compliance Database'!$A758=Query!$B$4),OR(Query!$B$5="All",ISNUMBER(SEARCH(Query!$B$5,'Compliance Database'!$H758))),OR(Query!$B$6="All",ISNUMBER(SEARCH(Query!$B$6,'Compliance Database'!$I758))),OR(Query!$B$7="All",'Compliance Database'!$F758=Query!$B$7),OR(Query!$B$8="All",'Compliance Database'!$J758=Query!$B$8),OR(Query!$B$9="",ISNUMBER(SEARCH(Query!$B$9,'Compliance Database'!$D758&amp;" "&amp;'Compliance Database'!$K758&amp;" "&amp;'Compliance Database'!$L758&amp;" "&amp;'Compliance Database'!$M758&amp;" "&amp;'Compliance Database'!$N758&amp;" "&amp;'Compliance Database'!$O758))),OR(Query!$B$10&lt;&gt;"Yes",'Compliance Database'!$F758&lt;&gt;"None")),1,0)</f>
        <v>0</v>
      </c>
      <c r="B758" t="str">
        <f>IF($A758=1,SUM($A$2:$A758),"")</f>
        <v/>
      </c>
      <c r="C758">
        <f>IF($A758=1,SUM($A$2:$A758),0)</f>
        <v>0</v>
      </c>
    </row>
    <row r="759" spans="1:3" x14ac:dyDescent="0.3">
      <c r="A759">
        <f>IF(AND(OR(Query!$B$4="All",'Compliance Database'!$A759=Query!$B$4),OR(Query!$B$5="All",ISNUMBER(SEARCH(Query!$B$5,'Compliance Database'!$H759))),OR(Query!$B$6="All",ISNUMBER(SEARCH(Query!$B$6,'Compliance Database'!$I759))),OR(Query!$B$7="All",'Compliance Database'!$F759=Query!$B$7),OR(Query!$B$8="All",'Compliance Database'!$J759=Query!$B$8),OR(Query!$B$9="",ISNUMBER(SEARCH(Query!$B$9,'Compliance Database'!$D759&amp;" "&amp;'Compliance Database'!$K759&amp;" "&amp;'Compliance Database'!$L759&amp;" "&amp;'Compliance Database'!$M759&amp;" "&amp;'Compliance Database'!$N759&amp;" "&amp;'Compliance Database'!$O759))),OR(Query!$B$10&lt;&gt;"Yes",'Compliance Database'!$F759&lt;&gt;"None")),1,0)</f>
        <v>0</v>
      </c>
      <c r="B759" t="str">
        <f>IF($A759=1,SUM($A$2:$A759),"")</f>
        <v/>
      </c>
      <c r="C759">
        <f>IF($A759=1,SUM($A$2:$A759),0)</f>
        <v>0</v>
      </c>
    </row>
    <row r="760" spans="1:3" x14ac:dyDescent="0.3">
      <c r="A760">
        <f>IF(AND(OR(Query!$B$4="All",'Compliance Database'!$A760=Query!$B$4),OR(Query!$B$5="All",ISNUMBER(SEARCH(Query!$B$5,'Compliance Database'!$H760))),OR(Query!$B$6="All",ISNUMBER(SEARCH(Query!$B$6,'Compliance Database'!$I760))),OR(Query!$B$7="All",'Compliance Database'!$F760=Query!$B$7),OR(Query!$B$8="All",'Compliance Database'!$J760=Query!$B$8),OR(Query!$B$9="",ISNUMBER(SEARCH(Query!$B$9,'Compliance Database'!$D760&amp;" "&amp;'Compliance Database'!$K760&amp;" "&amp;'Compliance Database'!$L760&amp;" "&amp;'Compliance Database'!$M760&amp;" "&amp;'Compliance Database'!$N760&amp;" "&amp;'Compliance Database'!$O760))),OR(Query!$B$10&lt;&gt;"Yes",'Compliance Database'!$F760&lt;&gt;"None")),1,0)</f>
        <v>0</v>
      </c>
      <c r="B760" t="str">
        <f>IF($A760=1,SUM($A$2:$A760),"")</f>
        <v/>
      </c>
      <c r="C760">
        <f>IF($A760=1,SUM($A$2:$A760),0)</f>
        <v>0</v>
      </c>
    </row>
    <row r="761" spans="1:3" x14ac:dyDescent="0.3">
      <c r="A761">
        <f>IF(AND(OR(Query!$B$4="All",'Compliance Database'!$A761=Query!$B$4),OR(Query!$B$5="All",ISNUMBER(SEARCH(Query!$B$5,'Compliance Database'!$H761))),OR(Query!$B$6="All",ISNUMBER(SEARCH(Query!$B$6,'Compliance Database'!$I761))),OR(Query!$B$7="All",'Compliance Database'!$F761=Query!$B$7),OR(Query!$B$8="All",'Compliance Database'!$J761=Query!$B$8),OR(Query!$B$9="",ISNUMBER(SEARCH(Query!$B$9,'Compliance Database'!$D761&amp;" "&amp;'Compliance Database'!$K761&amp;" "&amp;'Compliance Database'!$L761&amp;" "&amp;'Compliance Database'!$M761&amp;" "&amp;'Compliance Database'!$N761&amp;" "&amp;'Compliance Database'!$O761))),OR(Query!$B$10&lt;&gt;"Yes",'Compliance Database'!$F761&lt;&gt;"None")),1,0)</f>
        <v>0</v>
      </c>
      <c r="B761" t="str">
        <f>IF($A761=1,SUM($A$2:$A761),"")</f>
        <v/>
      </c>
      <c r="C761">
        <f>IF($A761=1,SUM($A$2:$A761),0)</f>
        <v>0</v>
      </c>
    </row>
    <row r="762" spans="1:3" x14ac:dyDescent="0.3">
      <c r="A762">
        <f>IF(AND(OR(Query!$B$4="All",'Compliance Database'!$A762=Query!$B$4),OR(Query!$B$5="All",ISNUMBER(SEARCH(Query!$B$5,'Compliance Database'!$H762))),OR(Query!$B$6="All",ISNUMBER(SEARCH(Query!$B$6,'Compliance Database'!$I762))),OR(Query!$B$7="All",'Compliance Database'!$F762=Query!$B$7),OR(Query!$B$8="All",'Compliance Database'!$J762=Query!$B$8),OR(Query!$B$9="",ISNUMBER(SEARCH(Query!$B$9,'Compliance Database'!$D762&amp;" "&amp;'Compliance Database'!$K762&amp;" "&amp;'Compliance Database'!$L762&amp;" "&amp;'Compliance Database'!$M762&amp;" "&amp;'Compliance Database'!$N762&amp;" "&amp;'Compliance Database'!$O762))),OR(Query!$B$10&lt;&gt;"Yes",'Compliance Database'!$F762&lt;&gt;"None")),1,0)</f>
        <v>0</v>
      </c>
      <c r="B762" t="str">
        <f>IF($A762=1,SUM($A$2:$A762),"")</f>
        <v/>
      </c>
      <c r="C762">
        <f>IF($A762=1,SUM($A$2:$A762),0)</f>
        <v>0</v>
      </c>
    </row>
    <row r="763" spans="1:3" x14ac:dyDescent="0.3">
      <c r="A763">
        <f>IF(AND(OR(Query!$B$4="All",'Compliance Database'!$A763=Query!$B$4),OR(Query!$B$5="All",ISNUMBER(SEARCH(Query!$B$5,'Compliance Database'!$H763))),OR(Query!$B$6="All",ISNUMBER(SEARCH(Query!$B$6,'Compliance Database'!$I763))),OR(Query!$B$7="All",'Compliance Database'!$F763=Query!$B$7),OR(Query!$B$8="All",'Compliance Database'!$J763=Query!$B$8),OR(Query!$B$9="",ISNUMBER(SEARCH(Query!$B$9,'Compliance Database'!$D763&amp;" "&amp;'Compliance Database'!$K763&amp;" "&amp;'Compliance Database'!$L763&amp;" "&amp;'Compliance Database'!$M763&amp;" "&amp;'Compliance Database'!$N763&amp;" "&amp;'Compliance Database'!$O763))),OR(Query!$B$10&lt;&gt;"Yes",'Compliance Database'!$F763&lt;&gt;"None")),1,0)</f>
        <v>0</v>
      </c>
      <c r="B763" t="str">
        <f>IF($A763=1,SUM($A$2:$A763),"")</f>
        <v/>
      </c>
      <c r="C763">
        <f>IF($A763=1,SUM($A$2:$A763),0)</f>
        <v>0</v>
      </c>
    </row>
    <row r="764" spans="1:3" x14ac:dyDescent="0.3">
      <c r="A764">
        <f>IF(AND(OR(Query!$B$4="All",'Compliance Database'!$A764=Query!$B$4),OR(Query!$B$5="All",ISNUMBER(SEARCH(Query!$B$5,'Compliance Database'!$H764))),OR(Query!$B$6="All",ISNUMBER(SEARCH(Query!$B$6,'Compliance Database'!$I764))),OR(Query!$B$7="All",'Compliance Database'!$F764=Query!$B$7),OR(Query!$B$8="All",'Compliance Database'!$J764=Query!$B$8),OR(Query!$B$9="",ISNUMBER(SEARCH(Query!$B$9,'Compliance Database'!$D764&amp;" "&amp;'Compliance Database'!$K764&amp;" "&amp;'Compliance Database'!$L764&amp;" "&amp;'Compliance Database'!$M764&amp;" "&amp;'Compliance Database'!$N764&amp;" "&amp;'Compliance Database'!$O764))),OR(Query!$B$10&lt;&gt;"Yes",'Compliance Database'!$F764&lt;&gt;"None")),1,0)</f>
        <v>0</v>
      </c>
      <c r="B764" t="str">
        <f>IF($A764=1,SUM($A$2:$A764),"")</f>
        <v/>
      </c>
      <c r="C764">
        <f>IF($A764=1,SUM($A$2:$A764),0)</f>
        <v>0</v>
      </c>
    </row>
    <row r="765" spans="1:3" x14ac:dyDescent="0.3">
      <c r="A765">
        <f>IF(AND(OR(Query!$B$4="All",'Compliance Database'!$A765=Query!$B$4),OR(Query!$B$5="All",ISNUMBER(SEARCH(Query!$B$5,'Compliance Database'!$H765))),OR(Query!$B$6="All",ISNUMBER(SEARCH(Query!$B$6,'Compliance Database'!$I765))),OR(Query!$B$7="All",'Compliance Database'!$F765=Query!$B$7),OR(Query!$B$8="All",'Compliance Database'!$J765=Query!$B$8),OR(Query!$B$9="",ISNUMBER(SEARCH(Query!$B$9,'Compliance Database'!$D765&amp;" "&amp;'Compliance Database'!$K765&amp;" "&amp;'Compliance Database'!$L765&amp;" "&amp;'Compliance Database'!$M765&amp;" "&amp;'Compliance Database'!$N765&amp;" "&amp;'Compliance Database'!$O765))),OR(Query!$B$10&lt;&gt;"Yes",'Compliance Database'!$F765&lt;&gt;"None")),1,0)</f>
        <v>0</v>
      </c>
      <c r="B765" t="str">
        <f>IF($A765=1,SUM($A$2:$A765),"")</f>
        <v/>
      </c>
      <c r="C765">
        <f>IF($A765=1,SUM($A$2:$A765),0)</f>
        <v>0</v>
      </c>
    </row>
    <row r="766" spans="1:3" x14ac:dyDescent="0.3">
      <c r="A766">
        <f>IF(AND(OR(Query!$B$4="All",'Compliance Database'!$A766=Query!$B$4),OR(Query!$B$5="All",ISNUMBER(SEARCH(Query!$B$5,'Compliance Database'!$H766))),OR(Query!$B$6="All",ISNUMBER(SEARCH(Query!$B$6,'Compliance Database'!$I766))),OR(Query!$B$7="All",'Compliance Database'!$F766=Query!$B$7),OR(Query!$B$8="All",'Compliance Database'!$J766=Query!$B$8),OR(Query!$B$9="",ISNUMBER(SEARCH(Query!$B$9,'Compliance Database'!$D766&amp;" "&amp;'Compliance Database'!$K766&amp;" "&amp;'Compliance Database'!$L766&amp;" "&amp;'Compliance Database'!$M766&amp;" "&amp;'Compliance Database'!$N766&amp;" "&amp;'Compliance Database'!$O766))),OR(Query!$B$10&lt;&gt;"Yes",'Compliance Database'!$F766&lt;&gt;"None")),1,0)</f>
        <v>0</v>
      </c>
      <c r="B766" t="str">
        <f>IF($A766=1,SUM($A$2:$A766),"")</f>
        <v/>
      </c>
      <c r="C766">
        <f>IF($A766=1,SUM($A$2:$A766),0)</f>
        <v>0</v>
      </c>
    </row>
    <row r="767" spans="1:3" x14ac:dyDescent="0.3">
      <c r="A767">
        <f>IF(AND(OR(Query!$B$4="All",'Compliance Database'!$A767=Query!$B$4),OR(Query!$B$5="All",ISNUMBER(SEARCH(Query!$B$5,'Compliance Database'!$H767))),OR(Query!$B$6="All",ISNUMBER(SEARCH(Query!$B$6,'Compliance Database'!$I767))),OR(Query!$B$7="All",'Compliance Database'!$F767=Query!$B$7),OR(Query!$B$8="All",'Compliance Database'!$J767=Query!$B$8),OR(Query!$B$9="",ISNUMBER(SEARCH(Query!$B$9,'Compliance Database'!$D767&amp;" "&amp;'Compliance Database'!$K767&amp;" "&amp;'Compliance Database'!$L767&amp;" "&amp;'Compliance Database'!$M767&amp;" "&amp;'Compliance Database'!$N767&amp;" "&amp;'Compliance Database'!$O767))),OR(Query!$B$10&lt;&gt;"Yes",'Compliance Database'!$F767&lt;&gt;"None")),1,0)</f>
        <v>0</v>
      </c>
      <c r="B767" t="str">
        <f>IF($A767=1,SUM($A$2:$A767),"")</f>
        <v/>
      </c>
      <c r="C767">
        <f>IF($A767=1,SUM($A$2:$A767),0)</f>
        <v>0</v>
      </c>
    </row>
    <row r="768" spans="1:3" x14ac:dyDescent="0.3">
      <c r="A768">
        <f>IF(AND(OR(Query!$B$4="All",'Compliance Database'!$A768=Query!$B$4),OR(Query!$B$5="All",ISNUMBER(SEARCH(Query!$B$5,'Compliance Database'!$H768))),OR(Query!$B$6="All",ISNUMBER(SEARCH(Query!$B$6,'Compliance Database'!$I768))),OR(Query!$B$7="All",'Compliance Database'!$F768=Query!$B$7),OR(Query!$B$8="All",'Compliance Database'!$J768=Query!$B$8),OR(Query!$B$9="",ISNUMBER(SEARCH(Query!$B$9,'Compliance Database'!$D768&amp;" "&amp;'Compliance Database'!$K768&amp;" "&amp;'Compliance Database'!$L768&amp;" "&amp;'Compliance Database'!$M768&amp;" "&amp;'Compliance Database'!$N768&amp;" "&amp;'Compliance Database'!$O768))),OR(Query!$B$10&lt;&gt;"Yes",'Compliance Database'!$F768&lt;&gt;"None")),1,0)</f>
        <v>0</v>
      </c>
      <c r="B768" t="str">
        <f>IF($A768=1,SUM($A$2:$A768),"")</f>
        <v/>
      </c>
      <c r="C768">
        <f>IF($A768=1,SUM($A$2:$A768),0)</f>
        <v>0</v>
      </c>
    </row>
    <row r="769" spans="1:3" x14ac:dyDescent="0.3">
      <c r="A769">
        <f>IF(AND(OR(Query!$B$4="All",'Compliance Database'!$A769=Query!$B$4),OR(Query!$B$5="All",ISNUMBER(SEARCH(Query!$B$5,'Compliance Database'!$H769))),OR(Query!$B$6="All",ISNUMBER(SEARCH(Query!$B$6,'Compliance Database'!$I769))),OR(Query!$B$7="All",'Compliance Database'!$F769=Query!$B$7),OR(Query!$B$8="All",'Compliance Database'!$J769=Query!$B$8),OR(Query!$B$9="",ISNUMBER(SEARCH(Query!$B$9,'Compliance Database'!$D769&amp;" "&amp;'Compliance Database'!$K769&amp;" "&amp;'Compliance Database'!$L769&amp;" "&amp;'Compliance Database'!$M769&amp;" "&amp;'Compliance Database'!$N769&amp;" "&amp;'Compliance Database'!$O769))),OR(Query!$B$10&lt;&gt;"Yes",'Compliance Database'!$F769&lt;&gt;"None")),1,0)</f>
        <v>0</v>
      </c>
      <c r="B769" t="str">
        <f>IF($A769=1,SUM($A$2:$A769),"")</f>
        <v/>
      </c>
      <c r="C769">
        <f>IF($A769=1,SUM($A$2:$A769),0)</f>
        <v>0</v>
      </c>
    </row>
    <row r="770" spans="1:3" x14ac:dyDescent="0.3">
      <c r="A770">
        <f>IF(AND(OR(Query!$B$4="All",'Compliance Database'!$A770=Query!$B$4),OR(Query!$B$5="All",ISNUMBER(SEARCH(Query!$B$5,'Compliance Database'!$H770))),OR(Query!$B$6="All",ISNUMBER(SEARCH(Query!$B$6,'Compliance Database'!$I770))),OR(Query!$B$7="All",'Compliance Database'!$F770=Query!$B$7),OR(Query!$B$8="All",'Compliance Database'!$J770=Query!$B$8),OR(Query!$B$9="",ISNUMBER(SEARCH(Query!$B$9,'Compliance Database'!$D770&amp;" "&amp;'Compliance Database'!$K770&amp;" "&amp;'Compliance Database'!$L770&amp;" "&amp;'Compliance Database'!$M770&amp;" "&amp;'Compliance Database'!$N770&amp;" "&amp;'Compliance Database'!$O770))),OR(Query!$B$10&lt;&gt;"Yes",'Compliance Database'!$F770&lt;&gt;"None")),1,0)</f>
        <v>0</v>
      </c>
      <c r="B770" t="str">
        <f>IF($A770=1,SUM($A$2:$A770),"")</f>
        <v/>
      </c>
      <c r="C770">
        <f>IF($A770=1,SUM($A$2:$A770),0)</f>
        <v>0</v>
      </c>
    </row>
    <row r="771" spans="1:3" x14ac:dyDescent="0.3">
      <c r="A771">
        <f>IF(AND(OR(Query!$B$4="All",'Compliance Database'!$A771=Query!$B$4),OR(Query!$B$5="All",ISNUMBER(SEARCH(Query!$B$5,'Compliance Database'!$H771))),OR(Query!$B$6="All",ISNUMBER(SEARCH(Query!$B$6,'Compliance Database'!$I771))),OR(Query!$B$7="All",'Compliance Database'!$F771=Query!$B$7),OR(Query!$B$8="All",'Compliance Database'!$J771=Query!$B$8),OR(Query!$B$9="",ISNUMBER(SEARCH(Query!$B$9,'Compliance Database'!$D771&amp;" "&amp;'Compliance Database'!$K771&amp;" "&amp;'Compliance Database'!$L771&amp;" "&amp;'Compliance Database'!$M771&amp;" "&amp;'Compliance Database'!$N771&amp;" "&amp;'Compliance Database'!$O771))),OR(Query!$B$10&lt;&gt;"Yes",'Compliance Database'!$F771&lt;&gt;"None")),1,0)</f>
        <v>0</v>
      </c>
      <c r="B771" t="str">
        <f>IF($A771=1,SUM($A$2:$A771),"")</f>
        <v/>
      </c>
      <c r="C771">
        <f>IF($A771=1,SUM($A$2:$A771),0)</f>
        <v>0</v>
      </c>
    </row>
    <row r="772" spans="1:3" x14ac:dyDescent="0.3">
      <c r="A772">
        <f>IF(AND(OR(Query!$B$4="All",'Compliance Database'!$A772=Query!$B$4),OR(Query!$B$5="All",ISNUMBER(SEARCH(Query!$B$5,'Compliance Database'!$H772))),OR(Query!$B$6="All",ISNUMBER(SEARCH(Query!$B$6,'Compliance Database'!$I772))),OR(Query!$B$7="All",'Compliance Database'!$F772=Query!$B$7),OR(Query!$B$8="All",'Compliance Database'!$J772=Query!$B$8),OR(Query!$B$9="",ISNUMBER(SEARCH(Query!$B$9,'Compliance Database'!$D772&amp;" "&amp;'Compliance Database'!$K772&amp;" "&amp;'Compliance Database'!$L772&amp;" "&amp;'Compliance Database'!$M772&amp;" "&amp;'Compliance Database'!$N772&amp;" "&amp;'Compliance Database'!$O772))),OR(Query!$B$10&lt;&gt;"Yes",'Compliance Database'!$F772&lt;&gt;"None")),1,0)</f>
        <v>0</v>
      </c>
      <c r="B772" t="str">
        <f>IF($A772=1,SUM($A$2:$A772),"")</f>
        <v/>
      </c>
      <c r="C772">
        <f>IF($A772=1,SUM($A$2:$A772),0)</f>
        <v>0</v>
      </c>
    </row>
    <row r="773" spans="1:3" x14ac:dyDescent="0.3">
      <c r="A773">
        <f>IF(AND(OR(Query!$B$4="All",'Compliance Database'!$A773=Query!$B$4),OR(Query!$B$5="All",ISNUMBER(SEARCH(Query!$B$5,'Compliance Database'!$H773))),OR(Query!$B$6="All",ISNUMBER(SEARCH(Query!$B$6,'Compliance Database'!$I773))),OR(Query!$B$7="All",'Compliance Database'!$F773=Query!$B$7),OR(Query!$B$8="All",'Compliance Database'!$J773=Query!$B$8),OR(Query!$B$9="",ISNUMBER(SEARCH(Query!$B$9,'Compliance Database'!$D773&amp;" "&amp;'Compliance Database'!$K773&amp;" "&amp;'Compliance Database'!$L773&amp;" "&amp;'Compliance Database'!$M773&amp;" "&amp;'Compliance Database'!$N773&amp;" "&amp;'Compliance Database'!$O773))),OR(Query!$B$10&lt;&gt;"Yes",'Compliance Database'!$F773&lt;&gt;"None")),1,0)</f>
        <v>0</v>
      </c>
      <c r="B773" t="str">
        <f>IF($A773=1,SUM($A$2:$A773),"")</f>
        <v/>
      </c>
      <c r="C773">
        <f>IF($A773=1,SUM($A$2:$A773),0)</f>
        <v>0</v>
      </c>
    </row>
    <row r="774" spans="1:3" x14ac:dyDescent="0.3">
      <c r="A774">
        <f>IF(AND(OR(Query!$B$4="All",'Compliance Database'!$A774=Query!$B$4),OR(Query!$B$5="All",ISNUMBER(SEARCH(Query!$B$5,'Compliance Database'!$H774))),OR(Query!$B$6="All",ISNUMBER(SEARCH(Query!$B$6,'Compliance Database'!$I774))),OR(Query!$B$7="All",'Compliance Database'!$F774=Query!$B$7),OR(Query!$B$8="All",'Compliance Database'!$J774=Query!$B$8),OR(Query!$B$9="",ISNUMBER(SEARCH(Query!$B$9,'Compliance Database'!$D774&amp;" "&amp;'Compliance Database'!$K774&amp;" "&amp;'Compliance Database'!$L774&amp;" "&amp;'Compliance Database'!$M774&amp;" "&amp;'Compliance Database'!$N774&amp;" "&amp;'Compliance Database'!$O774))),OR(Query!$B$10&lt;&gt;"Yes",'Compliance Database'!$F774&lt;&gt;"None")),1,0)</f>
        <v>0</v>
      </c>
      <c r="B774" t="str">
        <f>IF($A774=1,SUM($A$2:$A774),"")</f>
        <v/>
      </c>
      <c r="C774">
        <f>IF($A774=1,SUM($A$2:$A774),0)</f>
        <v>0</v>
      </c>
    </row>
    <row r="775" spans="1:3" x14ac:dyDescent="0.3">
      <c r="A775">
        <f>IF(AND(OR(Query!$B$4="All",'Compliance Database'!$A775=Query!$B$4),OR(Query!$B$5="All",ISNUMBER(SEARCH(Query!$B$5,'Compliance Database'!$H775))),OR(Query!$B$6="All",ISNUMBER(SEARCH(Query!$B$6,'Compliance Database'!$I775))),OR(Query!$B$7="All",'Compliance Database'!$F775=Query!$B$7),OR(Query!$B$8="All",'Compliance Database'!$J775=Query!$B$8),OR(Query!$B$9="",ISNUMBER(SEARCH(Query!$B$9,'Compliance Database'!$D775&amp;" "&amp;'Compliance Database'!$K775&amp;" "&amp;'Compliance Database'!$L775&amp;" "&amp;'Compliance Database'!$M775&amp;" "&amp;'Compliance Database'!$N775&amp;" "&amp;'Compliance Database'!$O775))),OR(Query!$B$10&lt;&gt;"Yes",'Compliance Database'!$F775&lt;&gt;"None")),1,0)</f>
        <v>0</v>
      </c>
      <c r="B775" t="str">
        <f>IF($A775=1,SUM($A$2:$A775),"")</f>
        <v/>
      </c>
      <c r="C775">
        <f>IF($A775=1,SUM($A$2:$A775),0)</f>
        <v>0</v>
      </c>
    </row>
    <row r="776" spans="1:3" x14ac:dyDescent="0.3">
      <c r="A776">
        <f>IF(AND(OR(Query!$B$4="All",'Compliance Database'!$A776=Query!$B$4),OR(Query!$B$5="All",ISNUMBER(SEARCH(Query!$B$5,'Compliance Database'!$H776))),OR(Query!$B$6="All",ISNUMBER(SEARCH(Query!$B$6,'Compliance Database'!$I776))),OR(Query!$B$7="All",'Compliance Database'!$F776=Query!$B$7),OR(Query!$B$8="All",'Compliance Database'!$J776=Query!$B$8),OR(Query!$B$9="",ISNUMBER(SEARCH(Query!$B$9,'Compliance Database'!$D776&amp;" "&amp;'Compliance Database'!$K776&amp;" "&amp;'Compliance Database'!$L776&amp;" "&amp;'Compliance Database'!$M776&amp;" "&amp;'Compliance Database'!$N776&amp;" "&amp;'Compliance Database'!$O776))),OR(Query!$B$10&lt;&gt;"Yes",'Compliance Database'!$F776&lt;&gt;"None")),1,0)</f>
        <v>0</v>
      </c>
      <c r="B776" t="str">
        <f>IF($A776=1,SUM($A$2:$A776),"")</f>
        <v/>
      </c>
      <c r="C776">
        <f>IF($A776=1,SUM($A$2:$A776),0)</f>
        <v>0</v>
      </c>
    </row>
    <row r="777" spans="1:3" x14ac:dyDescent="0.3">
      <c r="A777">
        <f>IF(AND(OR(Query!$B$4="All",'Compliance Database'!$A777=Query!$B$4),OR(Query!$B$5="All",ISNUMBER(SEARCH(Query!$B$5,'Compliance Database'!$H777))),OR(Query!$B$6="All",ISNUMBER(SEARCH(Query!$B$6,'Compliance Database'!$I777))),OR(Query!$B$7="All",'Compliance Database'!$F777=Query!$B$7),OR(Query!$B$8="All",'Compliance Database'!$J777=Query!$B$8),OR(Query!$B$9="",ISNUMBER(SEARCH(Query!$B$9,'Compliance Database'!$D777&amp;" "&amp;'Compliance Database'!$K777&amp;" "&amp;'Compliance Database'!$L777&amp;" "&amp;'Compliance Database'!$M777&amp;" "&amp;'Compliance Database'!$N777&amp;" "&amp;'Compliance Database'!$O777))),OR(Query!$B$10&lt;&gt;"Yes",'Compliance Database'!$F777&lt;&gt;"None")),1,0)</f>
        <v>0</v>
      </c>
      <c r="B777" t="str">
        <f>IF($A777=1,SUM($A$2:$A777),"")</f>
        <v/>
      </c>
      <c r="C777">
        <f>IF($A777=1,SUM($A$2:$A777),0)</f>
        <v>0</v>
      </c>
    </row>
    <row r="778" spans="1:3" x14ac:dyDescent="0.3">
      <c r="A778">
        <f>IF(AND(OR(Query!$B$4="All",'Compliance Database'!$A778=Query!$B$4),OR(Query!$B$5="All",ISNUMBER(SEARCH(Query!$B$5,'Compliance Database'!$H778))),OR(Query!$B$6="All",ISNUMBER(SEARCH(Query!$B$6,'Compliance Database'!$I778))),OR(Query!$B$7="All",'Compliance Database'!$F778=Query!$B$7),OR(Query!$B$8="All",'Compliance Database'!$J778=Query!$B$8),OR(Query!$B$9="",ISNUMBER(SEARCH(Query!$B$9,'Compliance Database'!$D778&amp;" "&amp;'Compliance Database'!$K778&amp;" "&amp;'Compliance Database'!$L778&amp;" "&amp;'Compliance Database'!$M778&amp;" "&amp;'Compliance Database'!$N778&amp;" "&amp;'Compliance Database'!$O778))),OR(Query!$B$10&lt;&gt;"Yes",'Compliance Database'!$F778&lt;&gt;"None")),1,0)</f>
        <v>0</v>
      </c>
      <c r="B778" t="str">
        <f>IF($A778=1,SUM($A$2:$A778),"")</f>
        <v/>
      </c>
      <c r="C778">
        <f>IF($A778=1,SUM($A$2:$A778),0)</f>
        <v>0</v>
      </c>
    </row>
    <row r="779" spans="1:3" x14ac:dyDescent="0.3">
      <c r="A779">
        <f>IF(AND(OR(Query!$B$4="All",'Compliance Database'!$A779=Query!$B$4),OR(Query!$B$5="All",ISNUMBER(SEARCH(Query!$B$5,'Compliance Database'!$H779))),OR(Query!$B$6="All",ISNUMBER(SEARCH(Query!$B$6,'Compliance Database'!$I779))),OR(Query!$B$7="All",'Compliance Database'!$F779=Query!$B$7),OR(Query!$B$8="All",'Compliance Database'!$J779=Query!$B$8),OR(Query!$B$9="",ISNUMBER(SEARCH(Query!$B$9,'Compliance Database'!$D779&amp;" "&amp;'Compliance Database'!$K779&amp;" "&amp;'Compliance Database'!$L779&amp;" "&amp;'Compliance Database'!$M779&amp;" "&amp;'Compliance Database'!$N779&amp;" "&amp;'Compliance Database'!$O779))),OR(Query!$B$10&lt;&gt;"Yes",'Compliance Database'!$F779&lt;&gt;"None")),1,0)</f>
        <v>0</v>
      </c>
      <c r="B779" t="str">
        <f>IF($A779=1,SUM($A$2:$A779),"")</f>
        <v/>
      </c>
      <c r="C779">
        <f>IF($A779=1,SUM($A$2:$A779),0)</f>
        <v>0</v>
      </c>
    </row>
    <row r="780" spans="1:3" x14ac:dyDescent="0.3">
      <c r="A780">
        <f>IF(AND(OR(Query!$B$4="All",'Compliance Database'!$A780=Query!$B$4),OR(Query!$B$5="All",ISNUMBER(SEARCH(Query!$B$5,'Compliance Database'!$H780))),OR(Query!$B$6="All",ISNUMBER(SEARCH(Query!$B$6,'Compliance Database'!$I780))),OR(Query!$B$7="All",'Compliance Database'!$F780=Query!$B$7),OR(Query!$B$8="All",'Compliance Database'!$J780=Query!$B$8),OR(Query!$B$9="",ISNUMBER(SEARCH(Query!$B$9,'Compliance Database'!$D780&amp;" "&amp;'Compliance Database'!$K780&amp;" "&amp;'Compliance Database'!$L780&amp;" "&amp;'Compliance Database'!$M780&amp;" "&amp;'Compliance Database'!$N780&amp;" "&amp;'Compliance Database'!$O780))),OR(Query!$B$10&lt;&gt;"Yes",'Compliance Database'!$F780&lt;&gt;"None")),1,0)</f>
        <v>0</v>
      </c>
      <c r="B780" t="str">
        <f>IF($A780=1,SUM($A$2:$A780),"")</f>
        <v/>
      </c>
      <c r="C780">
        <f>IF($A780=1,SUM($A$2:$A780),0)</f>
        <v>0</v>
      </c>
    </row>
    <row r="781" spans="1:3" x14ac:dyDescent="0.3">
      <c r="A781">
        <f>IF(AND(OR(Query!$B$4="All",'Compliance Database'!$A781=Query!$B$4),OR(Query!$B$5="All",ISNUMBER(SEARCH(Query!$B$5,'Compliance Database'!$H781))),OR(Query!$B$6="All",ISNUMBER(SEARCH(Query!$B$6,'Compliance Database'!$I781))),OR(Query!$B$7="All",'Compliance Database'!$F781=Query!$B$7),OR(Query!$B$8="All",'Compliance Database'!$J781=Query!$B$8),OR(Query!$B$9="",ISNUMBER(SEARCH(Query!$B$9,'Compliance Database'!$D781&amp;" "&amp;'Compliance Database'!$K781&amp;" "&amp;'Compliance Database'!$L781&amp;" "&amp;'Compliance Database'!$M781&amp;" "&amp;'Compliance Database'!$N781&amp;" "&amp;'Compliance Database'!$O781))),OR(Query!$B$10&lt;&gt;"Yes",'Compliance Database'!$F781&lt;&gt;"None")),1,0)</f>
        <v>0</v>
      </c>
      <c r="B781" t="str">
        <f>IF($A781=1,SUM($A$2:$A781),"")</f>
        <v/>
      </c>
      <c r="C781">
        <f>IF($A781=1,SUM($A$2:$A781),0)</f>
        <v>0</v>
      </c>
    </row>
    <row r="782" spans="1:3" x14ac:dyDescent="0.3">
      <c r="A782">
        <f>IF(AND(OR(Query!$B$4="All",'Compliance Database'!$A782=Query!$B$4),OR(Query!$B$5="All",ISNUMBER(SEARCH(Query!$B$5,'Compliance Database'!$H782))),OR(Query!$B$6="All",ISNUMBER(SEARCH(Query!$B$6,'Compliance Database'!$I782))),OR(Query!$B$7="All",'Compliance Database'!$F782=Query!$B$7),OR(Query!$B$8="All",'Compliance Database'!$J782=Query!$B$8),OR(Query!$B$9="",ISNUMBER(SEARCH(Query!$B$9,'Compliance Database'!$D782&amp;" "&amp;'Compliance Database'!$K782&amp;" "&amp;'Compliance Database'!$L782&amp;" "&amp;'Compliance Database'!$M782&amp;" "&amp;'Compliance Database'!$N782&amp;" "&amp;'Compliance Database'!$O782))),OR(Query!$B$10&lt;&gt;"Yes",'Compliance Database'!$F782&lt;&gt;"None")),1,0)</f>
        <v>0</v>
      </c>
      <c r="B782" t="str">
        <f>IF($A782=1,SUM($A$2:$A782),"")</f>
        <v/>
      </c>
      <c r="C782">
        <f>IF($A782=1,SUM($A$2:$A782),0)</f>
        <v>0</v>
      </c>
    </row>
    <row r="783" spans="1:3" x14ac:dyDescent="0.3">
      <c r="A783">
        <f>IF(AND(OR(Query!$B$4="All",'Compliance Database'!$A783=Query!$B$4),OR(Query!$B$5="All",ISNUMBER(SEARCH(Query!$B$5,'Compliance Database'!$H783))),OR(Query!$B$6="All",ISNUMBER(SEARCH(Query!$B$6,'Compliance Database'!$I783))),OR(Query!$B$7="All",'Compliance Database'!$F783=Query!$B$7),OR(Query!$B$8="All",'Compliance Database'!$J783=Query!$B$8),OR(Query!$B$9="",ISNUMBER(SEARCH(Query!$B$9,'Compliance Database'!$D783&amp;" "&amp;'Compliance Database'!$K783&amp;" "&amp;'Compliance Database'!$L783&amp;" "&amp;'Compliance Database'!$M783&amp;" "&amp;'Compliance Database'!$N783&amp;" "&amp;'Compliance Database'!$O783))),OR(Query!$B$10&lt;&gt;"Yes",'Compliance Database'!$F783&lt;&gt;"None")),1,0)</f>
        <v>0</v>
      </c>
      <c r="B783" t="str">
        <f>IF($A783=1,SUM($A$2:$A783),"")</f>
        <v/>
      </c>
      <c r="C783">
        <f>IF($A783=1,SUM($A$2:$A783),0)</f>
        <v>0</v>
      </c>
    </row>
    <row r="784" spans="1:3" x14ac:dyDescent="0.3">
      <c r="A784">
        <f>IF(AND(OR(Query!$B$4="All",'Compliance Database'!$A784=Query!$B$4),OR(Query!$B$5="All",ISNUMBER(SEARCH(Query!$B$5,'Compliance Database'!$H784))),OR(Query!$B$6="All",ISNUMBER(SEARCH(Query!$B$6,'Compliance Database'!$I784))),OR(Query!$B$7="All",'Compliance Database'!$F784=Query!$B$7),OR(Query!$B$8="All",'Compliance Database'!$J784=Query!$B$8),OR(Query!$B$9="",ISNUMBER(SEARCH(Query!$B$9,'Compliance Database'!$D784&amp;" "&amp;'Compliance Database'!$K784&amp;" "&amp;'Compliance Database'!$L784&amp;" "&amp;'Compliance Database'!$M784&amp;" "&amp;'Compliance Database'!$N784&amp;" "&amp;'Compliance Database'!$O784))),OR(Query!$B$10&lt;&gt;"Yes",'Compliance Database'!$F784&lt;&gt;"None")),1,0)</f>
        <v>0</v>
      </c>
      <c r="B784" t="str">
        <f>IF($A784=1,SUM($A$2:$A784),"")</f>
        <v/>
      </c>
      <c r="C784">
        <f>IF($A784=1,SUM($A$2:$A784),0)</f>
        <v>0</v>
      </c>
    </row>
    <row r="785" spans="1:3" x14ac:dyDescent="0.3">
      <c r="A785">
        <f>IF(AND(OR(Query!$B$4="All",'Compliance Database'!$A785=Query!$B$4),OR(Query!$B$5="All",ISNUMBER(SEARCH(Query!$B$5,'Compliance Database'!$H785))),OR(Query!$B$6="All",ISNUMBER(SEARCH(Query!$B$6,'Compliance Database'!$I785))),OR(Query!$B$7="All",'Compliance Database'!$F785=Query!$B$7),OR(Query!$B$8="All",'Compliance Database'!$J785=Query!$B$8),OR(Query!$B$9="",ISNUMBER(SEARCH(Query!$B$9,'Compliance Database'!$D785&amp;" "&amp;'Compliance Database'!$K785&amp;" "&amp;'Compliance Database'!$L785&amp;" "&amp;'Compliance Database'!$M785&amp;" "&amp;'Compliance Database'!$N785&amp;" "&amp;'Compliance Database'!$O785))),OR(Query!$B$10&lt;&gt;"Yes",'Compliance Database'!$F785&lt;&gt;"None")),1,0)</f>
        <v>0</v>
      </c>
      <c r="B785" t="str">
        <f>IF($A785=1,SUM($A$2:$A785),"")</f>
        <v/>
      </c>
      <c r="C785">
        <f>IF($A785=1,SUM($A$2:$A785),0)</f>
        <v>0</v>
      </c>
    </row>
    <row r="786" spans="1:3" x14ac:dyDescent="0.3">
      <c r="A786">
        <f>IF(AND(OR(Query!$B$4="All",'Compliance Database'!$A786=Query!$B$4),OR(Query!$B$5="All",ISNUMBER(SEARCH(Query!$B$5,'Compliance Database'!$H786))),OR(Query!$B$6="All",ISNUMBER(SEARCH(Query!$B$6,'Compliance Database'!$I786))),OR(Query!$B$7="All",'Compliance Database'!$F786=Query!$B$7),OR(Query!$B$8="All",'Compliance Database'!$J786=Query!$B$8),OR(Query!$B$9="",ISNUMBER(SEARCH(Query!$B$9,'Compliance Database'!$D786&amp;" "&amp;'Compliance Database'!$K786&amp;" "&amp;'Compliance Database'!$L786&amp;" "&amp;'Compliance Database'!$M786&amp;" "&amp;'Compliance Database'!$N786&amp;" "&amp;'Compliance Database'!$O786))),OR(Query!$B$10&lt;&gt;"Yes",'Compliance Database'!$F786&lt;&gt;"None")),1,0)</f>
        <v>0</v>
      </c>
      <c r="B786" t="str">
        <f>IF($A786=1,SUM($A$2:$A786),"")</f>
        <v/>
      </c>
      <c r="C786">
        <f>IF($A786=1,SUM($A$2:$A786),0)</f>
        <v>0</v>
      </c>
    </row>
    <row r="787" spans="1:3" x14ac:dyDescent="0.3">
      <c r="A787">
        <f>IF(AND(OR(Query!$B$4="All",'Compliance Database'!$A787=Query!$B$4),OR(Query!$B$5="All",ISNUMBER(SEARCH(Query!$B$5,'Compliance Database'!$H787))),OR(Query!$B$6="All",ISNUMBER(SEARCH(Query!$B$6,'Compliance Database'!$I787))),OR(Query!$B$7="All",'Compliance Database'!$F787=Query!$B$7),OR(Query!$B$8="All",'Compliance Database'!$J787=Query!$B$8),OR(Query!$B$9="",ISNUMBER(SEARCH(Query!$B$9,'Compliance Database'!$D787&amp;" "&amp;'Compliance Database'!$K787&amp;" "&amp;'Compliance Database'!$L787&amp;" "&amp;'Compliance Database'!$M787&amp;" "&amp;'Compliance Database'!$N787&amp;" "&amp;'Compliance Database'!$O787))),OR(Query!$B$10&lt;&gt;"Yes",'Compliance Database'!$F787&lt;&gt;"None")),1,0)</f>
        <v>0</v>
      </c>
      <c r="B787" t="str">
        <f>IF($A787=1,SUM($A$2:$A787),"")</f>
        <v/>
      </c>
      <c r="C787">
        <f>IF($A787=1,SUM($A$2:$A787),0)</f>
        <v>0</v>
      </c>
    </row>
    <row r="788" spans="1:3" x14ac:dyDescent="0.3">
      <c r="A788">
        <f>IF(AND(OR(Query!$B$4="All",'Compliance Database'!$A788=Query!$B$4),OR(Query!$B$5="All",ISNUMBER(SEARCH(Query!$B$5,'Compliance Database'!$H788))),OR(Query!$B$6="All",ISNUMBER(SEARCH(Query!$B$6,'Compliance Database'!$I788))),OR(Query!$B$7="All",'Compliance Database'!$F788=Query!$B$7),OR(Query!$B$8="All",'Compliance Database'!$J788=Query!$B$8),OR(Query!$B$9="",ISNUMBER(SEARCH(Query!$B$9,'Compliance Database'!$D788&amp;" "&amp;'Compliance Database'!$K788&amp;" "&amp;'Compliance Database'!$L788&amp;" "&amp;'Compliance Database'!$M788&amp;" "&amp;'Compliance Database'!$N788&amp;" "&amp;'Compliance Database'!$O788))),OR(Query!$B$10&lt;&gt;"Yes",'Compliance Database'!$F788&lt;&gt;"None")),1,0)</f>
        <v>0</v>
      </c>
      <c r="B788" t="str">
        <f>IF($A788=1,SUM($A$2:$A788),"")</f>
        <v/>
      </c>
      <c r="C788">
        <f>IF($A788=1,SUM($A$2:$A788),0)</f>
        <v>0</v>
      </c>
    </row>
    <row r="789" spans="1:3" x14ac:dyDescent="0.3">
      <c r="A789">
        <f>IF(AND(OR(Query!$B$4="All",'Compliance Database'!$A789=Query!$B$4),OR(Query!$B$5="All",ISNUMBER(SEARCH(Query!$B$5,'Compliance Database'!$H789))),OR(Query!$B$6="All",ISNUMBER(SEARCH(Query!$B$6,'Compliance Database'!$I789))),OR(Query!$B$7="All",'Compliance Database'!$F789=Query!$B$7),OR(Query!$B$8="All",'Compliance Database'!$J789=Query!$B$8),OR(Query!$B$9="",ISNUMBER(SEARCH(Query!$B$9,'Compliance Database'!$D789&amp;" "&amp;'Compliance Database'!$K789&amp;" "&amp;'Compliance Database'!$L789&amp;" "&amp;'Compliance Database'!$M789&amp;" "&amp;'Compliance Database'!$N789&amp;" "&amp;'Compliance Database'!$O789))),OR(Query!$B$10&lt;&gt;"Yes",'Compliance Database'!$F789&lt;&gt;"None")),1,0)</f>
        <v>0</v>
      </c>
      <c r="B789" t="str">
        <f>IF($A789=1,SUM($A$2:$A789),"")</f>
        <v/>
      </c>
      <c r="C789">
        <f>IF($A789=1,SUM($A$2:$A789),0)</f>
        <v>0</v>
      </c>
    </row>
    <row r="790" spans="1:3" x14ac:dyDescent="0.3">
      <c r="A790">
        <f>IF(AND(OR(Query!$B$4="All",'Compliance Database'!$A790=Query!$B$4),OR(Query!$B$5="All",ISNUMBER(SEARCH(Query!$B$5,'Compliance Database'!$H790))),OR(Query!$B$6="All",ISNUMBER(SEARCH(Query!$B$6,'Compliance Database'!$I790))),OR(Query!$B$7="All",'Compliance Database'!$F790=Query!$B$7),OR(Query!$B$8="All",'Compliance Database'!$J790=Query!$B$8),OR(Query!$B$9="",ISNUMBER(SEARCH(Query!$B$9,'Compliance Database'!$D790&amp;" "&amp;'Compliance Database'!$K790&amp;" "&amp;'Compliance Database'!$L790&amp;" "&amp;'Compliance Database'!$M790&amp;" "&amp;'Compliance Database'!$N790&amp;" "&amp;'Compliance Database'!$O790))),OR(Query!$B$10&lt;&gt;"Yes",'Compliance Database'!$F790&lt;&gt;"None")),1,0)</f>
        <v>0</v>
      </c>
      <c r="B790" t="str">
        <f>IF($A790=1,SUM($A$2:$A790),"")</f>
        <v/>
      </c>
      <c r="C790">
        <f>IF($A790=1,SUM($A$2:$A790),0)</f>
        <v>0</v>
      </c>
    </row>
    <row r="791" spans="1:3" x14ac:dyDescent="0.3">
      <c r="A791">
        <f>IF(AND(OR(Query!$B$4="All",'Compliance Database'!$A791=Query!$B$4),OR(Query!$B$5="All",ISNUMBER(SEARCH(Query!$B$5,'Compliance Database'!$H791))),OR(Query!$B$6="All",ISNUMBER(SEARCH(Query!$B$6,'Compliance Database'!$I791))),OR(Query!$B$7="All",'Compliance Database'!$F791=Query!$B$7),OR(Query!$B$8="All",'Compliance Database'!$J791=Query!$B$8),OR(Query!$B$9="",ISNUMBER(SEARCH(Query!$B$9,'Compliance Database'!$D791&amp;" "&amp;'Compliance Database'!$K791&amp;" "&amp;'Compliance Database'!$L791&amp;" "&amp;'Compliance Database'!$M791&amp;" "&amp;'Compliance Database'!$N791&amp;" "&amp;'Compliance Database'!$O791))),OR(Query!$B$10&lt;&gt;"Yes",'Compliance Database'!$F791&lt;&gt;"None")),1,0)</f>
        <v>0</v>
      </c>
      <c r="B791" t="str">
        <f>IF($A791=1,SUM($A$2:$A791),"")</f>
        <v/>
      </c>
      <c r="C791">
        <f>IF($A791=1,SUM($A$2:$A791),0)</f>
        <v>0</v>
      </c>
    </row>
    <row r="792" spans="1:3" x14ac:dyDescent="0.3">
      <c r="A792">
        <f>IF(AND(OR(Query!$B$4="All",'Compliance Database'!$A792=Query!$B$4),OR(Query!$B$5="All",ISNUMBER(SEARCH(Query!$B$5,'Compliance Database'!$H792))),OR(Query!$B$6="All",ISNUMBER(SEARCH(Query!$B$6,'Compliance Database'!$I792))),OR(Query!$B$7="All",'Compliance Database'!$F792=Query!$B$7),OR(Query!$B$8="All",'Compliance Database'!$J792=Query!$B$8),OR(Query!$B$9="",ISNUMBER(SEARCH(Query!$B$9,'Compliance Database'!$D792&amp;" "&amp;'Compliance Database'!$K792&amp;" "&amp;'Compliance Database'!$L792&amp;" "&amp;'Compliance Database'!$M792&amp;" "&amp;'Compliance Database'!$N792&amp;" "&amp;'Compliance Database'!$O792))),OR(Query!$B$10&lt;&gt;"Yes",'Compliance Database'!$F792&lt;&gt;"None")),1,0)</f>
        <v>0</v>
      </c>
      <c r="B792" t="str">
        <f>IF($A792=1,SUM($A$2:$A792),"")</f>
        <v/>
      </c>
      <c r="C792">
        <f>IF($A792=1,SUM($A$2:$A792),0)</f>
        <v>0</v>
      </c>
    </row>
    <row r="793" spans="1:3" x14ac:dyDescent="0.3">
      <c r="A793">
        <f>IF(AND(OR(Query!$B$4="All",'Compliance Database'!$A793=Query!$B$4),OR(Query!$B$5="All",ISNUMBER(SEARCH(Query!$B$5,'Compliance Database'!$H793))),OR(Query!$B$6="All",ISNUMBER(SEARCH(Query!$B$6,'Compliance Database'!$I793))),OR(Query!$B$7="All",'Compliance Database'!$F793=Query!$B$7),OR(Query!$B$8="All",'Compliance Database'!$J793=Query!$B$8),OR(Query!$B$9="",ISNUMBER(SEARCH(Query!$B$9,'Compliance Database'!$D793&amp;" "&amp;'Compliance Database'!$K793&amp;" "&amp;'Compliance Database'!$L793&amp;" "&amp;'Compliance Database'!$M793&amp;" "&amp;'Compliance Database'!$N793&amp;" "&amp;'Compliance Database'!$O793))),OR(Query!$B$10&lt;&gt;"Yes",'Compliance Database'!$F793&lt;&gt;"None")),1,0)</f>
        <v>0</v>
      </c>
      <c r="B793" t="str">
        <f>IF($A793=1,SUM($A$2:$A793),"")</f>
        <v/>
      </c>
      <c r="C793">
        <f>IF($A793=1,SUM($A$2:$A793),0)</f>
        <v>0</v>
      </c>
    </row>
    <row r="794" spans="1:3" x14ac:dyDescent="0.3">
      <c r="A794">
        <f>IF(AND(OR(Query!$B$4="All",'Compliance Database'!$A794=Query!$B$4),OR(Query!$B$5="All",ISNUMBER(SEARCH(Query!$B$5,'Compliance Database'!$H794))),OR(Query!$B$6="All",ISNUMBER(SEARCH(Query!$B$6,'Compliance Database'!$I794))),OR(Query!$B$7="All",'Compliance Database'!$F794=Query!$B$7),OR(Query!$B$8="All",'Compliance Database'!$J794=Query!$B$8),OR(Query!$B$9="",ISNUMBER(SEARCH(Query!$B$9,'Compliance Database'!$D794&amp;" "&amp;'Compliance Database'!$K794&amp;" "&amp;'Compliance Database'!$L794&amp;" "&amp;'Compliance Database'!$M794&amp;" "&amp;'Compliance Database'!$N794&amp;" "&amp;'Compliance Database'!$O794))),OR(Query!$B$10&lt;&gt;"Yes",'Compliance Database'!$F794&lt;&gt;"None")),1,0)</f>
        <v>0</v>
      </c>
      <c r="B794" t="str">
        <f>IF($A794=1,SUM($A$2:$A794),"")</f>
        <v/>
      </c>
      <c r="C794">
        <f>IF($A794=1,SUM($A$2:$A794),0)</f>
        <v>0</v>
      </c>
    </row>
    <row r="795" spans="1:3" x14ac:dyDescent="0.3">
      <c r="A795">
        <f>IF(AND(OR(Query!$B$4="All",'Compliance Database'!$A795=Query!$B$4),OR(Query!$B$5="All",ISNUMBER(SEARCH(Query!$B$5,'Compliance Database'!$H795))),OR(Query!$B$6="All",ISNUMBER(SEARCH(Query!$B$6,'Compliance Database'!$I795))),OR(Query!$B$7="All",'Compliance Database'!$F795=Query!$B$7),OR(Query!$B$8="All",'Compliance Database'!$J795=Query!$B$8),OR(Query!$B$9="",ISNUMBER(SEARCH(Query!$B$9,'Compliance Database'!$D795&amp;" "&amp;'Compliance Database'!$K795&amp;" "&amp;'Compliance Database'!$L795&amp;" "&amp;'Compliance Database'!$M795&amp;" "&amp;'Compliance Database'!$N795&amp;" "&amp;'Compliance Database'!$O795))),OR(Query!$B$10&lt;&gt;"Yes",'Compliance Database'!$F795&lt;&gt;"None")),1,0)</f>
        <v>0</v>
      </c>
      <c r="B795" t="str">
        <f>IF($A795=1,SUM($A$2:$A795),"")</f>
        <v/>
      </c>
      <c r="C795">
        <f>IF($A795=1,SUM($A$2:$A795),0)</f>
        <v>0</v>
      </c>
    </row>
    <row r="796" spans="1:3" x14ac:dyDescent="0.3">
      <c r="A796">
        <f>IF(AND(OR(Query!$B$4="All",'Compliance Database'!$A796=Query!$B$4),OR(Query!$B$5="All",ISNUMBER(SEARCH(Query!$B$5,'Compliance Database'!$H796))),OR(Query!$B$6="All",ISNUMBER(SEARCH(Query!$B$6,'Compliance Database'!$I796))),OR(Query!$B$7="All",'Compliance Database'!$F796=Query!$B$7),OR(Query!$B$8="All",'Compliance Database'!$J796=Query!$B$8),OR(Query!$B$9="",ISNUMBER(SEARCH(Query!$B$9,'Compliance Database'!$D796&amp;" "&amp;'Compliance Database'!$K796&amp;" "&amp;'Compliance Database'!$L796&amp;" "&amp;'Compliance Database'!$M796&amp;" "&amp;'Compliance Database'!$N796&amp;" "&amp;'Compliance Database'!$O796))),OR(Query!$B$10&lt;&gt;"Yes",'Compliance Database'!$F796&lt;&gt;"None")),1,0)</f>
        <v>0</v>
      </c>
      <c r="B796" t="str">
        <f>IF($A796=1,SUM($A$2:$A796),"")</f>
        <v/>
      </c>
      <c r="C796">
        <f>IF($A796=1,SUM($A$2:$A796),0)</f>
        <v>0</v>
      </c>
    </row>
    <row r="797" spans="1:3" x14ac:dyDescent="0.3">
      <c r="A797">
        <f>IF(AND(OR(Query!$B$4="All",'Compliance Database'!$A797=Query!$B$4),OR(Query!$B$5="All",ISNUMBER(SEARCH(Query!$B$5,'Compliance Database'!$H797))),OR(Query!$B$6="All",ISNUMBER(SEARCH(Query!$B$6,'Compliance Database'!$I797))),OR(Query!$B$7="All",'Compliance Database'!$F797=Query!$B$7),OR(Query!$B$8="All",'Compliance Database'!$J797=Query!$B$8),OR(Query!$B$9="",ISNUMBER(SEARCH(Query!$B$9,'Compliance Database'!$D797&amp;" "&amp;'Compliance Database'!$K797&amp;" "&amp;'Compliance Database'!$L797&amp;" "&amp;'Compliance Database'!$M797&amp;" "&amp;'Compliance Database'!$N797&amp;" "&amp;'Compliance Database'!$O797))),OR(Query!$B$10&lt;&gt;"Yes",'Compliance Database'!$F797&lt;&gt;"None")),1,0)</f>
        <v>0</v>
      </c>
      <c r="B797" t="str">
        <f>IF($A797=1,SUM($A$2:$A797),"")</f>
        <v/>
      </c>
      <c r="C797">
        <f>IF($A797=1,SUM($A$2:$A797),0)</f>
        <v>0</v>
      </c>
    </row>
    <row r="798" spans="1:3" x14ac:dyDescent="0.3">
      <c r="A798">
        <f>IF(AND(OR(Query!$B$4="All",'Compliance Database'!$A798=Query!$B$4),OR(Query!$B$5="All",ISNUMBER(SEARCH(Query!$B$5,'Compliance Database'!$H798))),OR(Query!$B$6="All",ISNUMBER(SEARCH(Query!$B$6,'Compliance Database'!$I798))),OR(Query!$B$7="All",'Compliance Database'!$F798=Query!$B$7),OR(Query!$B$8="All",'Compliance Database'!$J798=Query!$B$8),OR(Query!$B$9="",ISNUMBER(SEARCH(Query!$B$9,'Compliance Database'!$D798&amp;" "&amp;'Compliance Database'!$K798&amp;" "&amp;'Compliance Database'!$L798&amp;" "&amp;'Compliance Database'!$M798&amp;" "&amp;'Compliance Database'!$N798&amp;" "&amp;'Compliance Database'!$O798))),OR(Query!$B$10&lt;&gt;"Yes",'Compliance Database'!$F798&lt;&gt;"None")),1,0)</f>
        <v>0</v>
      </c>
      <c r="B798" t="str">
        <f>IF($A798=1,SUM($A$2:$A798),"")</f>
        <v/>
      </c>
      <c r="C798">
        <f>IF($A798=1,SUM($A$2:$A798),0)</f>
        <v>0</v>
      </c>
    </row>
    <row r="799" spans="1:3" x14ac:dyDescent="0.3">
      <c r="A799">
        <f>IF(AND(OR(Query!$B$4="All",'Compliance Database'!$A799=Query!$B$4),OR(Query!$B$5="All",ISNUMBER(SEARCH(Query!$B$5,'Compliance Database'!$H799))),OR(Query!$B$6="All",ISNUMBER(SEARCH(Query!$B$6,'Compliance Database'!$I799))),OR(Query!$B$7="All",'Compliance Database'!$F799=Query!$B$7),OR(Query!$B$8="All",'Compliance Database'!$J799=Query!$B$8),OR(Query!$B$9="",ISNUMBER(SEARCH(Query!$B$9,'Compliance Database'!$D799&amp;" "&amp;'Compliance Database'!$K799&amp;" "&amp;'Compliance Database'!$L799&amp;" "&amp;'Compliance Database'!$M799&amp;" "&amp;'Compliance Database'!$N799&amp;" "&amp;'Compliance Database'!$O799))),OR(Query!$B$10&lt;&gt;"Yes",'Compliance Database'!$F799&lt;&gt;"None")),1,0)</f>
        <v>0</v>
      </c>
      <c r="B799" t="str">
        <f>IF($A799=1,SUM($A$2:$A799),"")</f>
        <v/>
      </c>
      <c r="C799">
        <f>IF($A799=1,SUM($A$2:$A799),0)</f>
        <v>0</v>
      </c>
    </row>
    <row r="800" spans="1:3" x14ac:dyDescent="0.3">
      <c r="A800">
        <f>IF(AND(OR(Query!$B$4="All",'Compliance Database'!$A800=Query!$B$4),OR(Query!$B$5="All",ISNUMBER(SEARCH(Query!$B$5,'Compliance Database'!$H800))),OR(Query!$B$6="All",ISNUMBER(SEARCH(Query!$B$6,'Compliance Database'!$I800))),OR(Query!$B$7="All",'Compliance Database'!$F800=Query!$B$7),OR(Query!$B$8="All",'Compliance Database'!$J800=Query!$B$8),OR(Query!$B$9="",ISNUMBER(SEARCH(Query!$B$9,'Compliance Database'!$D800&amp;" "&amp;'Compliance Database'!$K800&amp;" "&amp;'Compliance Database'!$L800&amp;" "&amp;'Compliance Database'!$M800&amp;" "&amp;'Compliance Database'!$N800&amp;" "&amp;'Compliance Database'!$O800))),OR(Query!$B$10&lt;&gt;"Yes",'Compliance Database'!$F800&lt;&gt;"None")),1,0)</f>
        <v>0</v>
      </c>
      <c r="B800" t="str">
        <f>IF($A800=1,SUM($A$2:$A800),"")</f>
        <v/>
      </c>
      <c r="C800">
        <f>IF($A800=1,SUM($A$2:$A800),0)</f>
        <v>0</v>
      </c>
    </row>
    <row r="801" spans="1:3" x14ac:dyDescent="0.3">
      <c r="A801">
        <f>IF(AND(OR(Query!$B$4="All",'Compliance Database'!$A801=Query!$B$4),OR(Query!$B$5="All",ISNUMBER(SEARCH(Query!$B$5,'Compliance Database'!$H801))),OR(Query!$B$6="All",ISNUMBER(SEARCH(Query!$B$6,'Compliance Database'!$I801))),OR(Query!$B$7="All",'Compliance Database'!$F801=Query!$B$7),OR(Query!$B$8="All",'Compliance Database'!$J801=Query!$B$8),OR(Query!$B$9="",ISNUMBER(SEARCH(Query!$B$9,'Compliance Database'!$D801&amp;" "&amp;'Compliance Database'!$K801&amp;" "&amp;'Compliance Database'!$L801&amp;" "&amp;'Compliance Database'!$M801&amp;" "&amp;'Compliance Database'!$N801&amp;" "&amp;'Compliance Database'!$O801))),OR(Query!$B$10&lt;&gt;"Yes",'Compliance Database'!$F801&lt;&gt;"None")),1,0)</f>
        <v>0</v>
      </c>
      <c r="B801" t="str">
        <f>IF($A801=1,SUM($A$2:$A801),"")</f>
        <v/>
      </c>
      <c r="C801">
        <f>IF($A801=1,SUM($A$2:$A801),0)</f>
        <v>0</v>
      </c>
    </row>
    <row r="802" spans="1:3" x14ac:dyDescent="0.3">
      <c r="A802">
        <f>IF(AND(OR(Query!$B$4="All",'Compliance Database'!$A802=Query!$B$4),OR(Query!$B$5="All",ISNUMBER(SEARCH(Query!$B$5,'Compliance Database'!$H802))),OR(Query!$B$6="All",ISNUMBER(SEARCH(Query!$B$6,'Compliance Database'!$I802))),OR(Query!$B$7="All",'Compliance Database'!$F802=Query!$B$7),OR(Query!$B$8="All",'Compliance Database'!$J802=Query!$B$8),OR(Query!$B$9="",ISNUMBER(SEARCH(Query!$B$9,'Compliance Database'!$D802&amp;" "&amp;'Compliance Database'!$K802&amp;" "&amp;'Compliance Database'!$L802&amp;" "&amp;'Compliance Database'!$M802&amp;" "&amp;'Compliance Database'!$N802&amp;" "&amp;'Compliance Database'!$O802))),OR(Query!$B$10&lt;&gt;"Yes",'Compliance Database'!$F802&lt;&gt;"None")),1,0)</f>
        <v>0</v>
      </c>
      <c r="B802" t="str">
        <f>IF($A802=1,SUM($A$2:$A802),"")</f>
        <v/>
      </c>
      <c r="C802">
        <f>IF($A802=1,SUM($A$2:$A802),0)</f>
        <v>0</v>
      </c>
    </row>
    <row r="803" spans="1:3" x14ac:dyDescent="0.3">
      <c r="A803">
        <f>IF(AND(OR(Query!$B$4="All",'Compliance Database'!$A803=Query!$B$4),OR(Query!$B$5="All",ISNUMBER(SEARCH(Query!$B$5,'Compliance Database'!$H803))),OR(Query!$B$6="All",ISNUMBER(SEARCH(Query!$B$6,'Compliance Database'!$I803))),OR(Query!$B$7="All",'Compliance Database'!$F803=Query!$B$7),OR(Query!$B$8="All",'Compliance Database'!$J803=Query!$B$8),OR(Query!$B$9="",ISNUMBER(SEARCH(Query!$B$9,'Compliance Database'!$D803&amp;" "&amp;'Compliance Database'!$K803&amp;" "&amp;'Compliance Database'!$L803&amp;" "&amp;'Compliance Database'!$M803&amp;" "&amp;'Compliance Database'!$N803&amp;" "&amp;'Compliance Database'!$O803))),OR(Query!$B$10&lt;&gt;"Yes",'Compliance Database'!$F803&lt;&gt;"None")),1,0)</f>
        <v>0</v>
      </c>
      <c r="B803" t="str">
        <f>IF($A803=1,SUM($A$2:$A803),"")</f>
        <v/>
      </c>
      <c r="C803">
        <f>IF($A803=1,SUM($A$2:$A803),0)</f>
        <v>0</v>
      </c>
    </row>
    <row r="804" spans="1:3" x14ac:dyDescent="0.3">
      <c r="A804">
        <f>IF(AND(OR(Query!$B$4="All",'Compliance Database'!$A804=Query!$B$4),OR(Query!$B$5="All",ISNUMBER(SEARCH(Query!$B$5,'Compliance Database'!$H804))),OR(Query!$B$6="All",ISNUMBER(SEARCH(Query!$B$6,'Compliance Database'!$I804))),OR(Query!$B$7="All",'Compliance Database'!$F804=Query!$B$7),OR(Query!$B$8="All",'Compliance Database'!$J804=Query!$B$8),OR(Query!$B$9="",ISNUMBER(SEARCH(Query!$B$9,'Compliance Database'!$D804&amp;" "&amp;'Compliance Database'!$K804&amp;" "&amp;'Compliance Database'!$L804&amp;" "&amp;'Compliance Database'!$M804&amp;" "&amp;'Compliance Database'!$N804&amp;" "&amp;'Compliance Database'!$O804))),OR(Query!$B$10&lt;&gt;"Yes",'Compliance Database'!$F804&lt;&gt;"None")),1,0)</f>
        <v>0</v>
      </c>
      <c r="B804" t="str">
        <f>IF($A804=1,SUM($A$2:$A804),"")</f>
        <v/>
      </c>
      <c r="C804">
        <f>IF($A804=1,SUM($A$2:$A804),0)</f>
        <v>0</v>
      </c>
    </row>
    <row r="805" spans="1:3" x14ac:dyDescent="0.3">
      <c r="A805">
        <f>IF(AND(OR(Query!$B$4="All",'Compliance Database'!$A805=Query!$B$4),OR(Query!$B$5="All",ISNUMBER(SEARCH(Query!$B$5,'Compliance Database'!$H805))),OR(Query!$B$6="All",ISNUMBER(SEARCH(Query!$B$6,'Compliance Database'!$I805))),OR(Query!$B$7="All",'Compliance Database'!$F805=Query!$B$7),OR(Query!$B$8="All",'Compliance Database'!$J805=Query!$B$8),OR(Query!$B$9="",ISNUMBER(SEARCH(Query!$B$9,'Compliance Database'!$D805&amp;" "&amp;'Compliance Database'!$K805&amp;" "&amp;'Compliance Database'!$L805&amp;" "&amp;'Compliance Database'!$M805&amp;" "&amp;'Compliance Database'!$N805&amp;" "&amp;'Compliance Database'!$O805))),OR(Query!$B$10&lt;&gt;"Yes",'Compliance Database'!$F805&lt;&gt;"None")),1,0)</f>
        <v>0</v>
      </c>
      <c r="B805" t="str">
        <f>IF($A805=1,SUM($A$2:$A805),"")</f>
        <v/>
      </c>
      <c r="C805">
        <f>IF($A805=1,SUM($A$2:$A805),0)</f>
        <v>0</v>
      </c>
    </row>
    <row r="806" spans="1:3" x14ac:dyDescent="0.3">
      <c r="A806">
        <f>IF(AND(OR(Query!$B$4="All",'Compliance Database'!$A806=Query!$B$4),OR(Query!$B$5="All",ISNUMBER(SEARCH(Query!$B$5,'Compliance Database'!$H806))),OR(Query!$B$6="All",ISNUMBER(SEARCH(Query!$B$6,'Compliance Database'!$I806))),OR(Query!$B$7="All",'Compliance Database'!$F806=Query!$B$7),OR(Query!$B$8="All",'Compliance Database'!$J806=Query!$B$8),OR(Query!$B$9="",ISNUMBER(SEARCH(Query!$B$9,'Compliance Database'!$D806&amp;" "&amp;'Compliance Database'!$K806&amp;" "&amp;'Compliance Database'!$L806&amp;" "&amp;'Compliance Database'!$M806&amp;" "&amp;'Compliance Database'!$N806&amp;" "&amp;'Compliance Database'!$O806))),OR(Query!$B$10&lt;&gt;"Yes",'Compliance Database'!$F806&lt;&gt;"None")),1,0)</f>
        <v>0</v>
      </c>
      <c r="B806" t="str">
        <f>IF($A806=1,SUM($A$2:$A806),"")</f>
        <v/>
      </c>
      <c r="C806">
        <f>IF($A806=1,SUM($A$2:$A806),0)</f>
        <v>0</v>
      </c>
    </row>
    <row r="807" spans="1:3" x14ac:dyDescent="0.3">
      <c r="A807">
        <f>IF(AND(OR(Query!$B$4="All",'Compliance Database'!$A807=Query!$B$4),OR(Query!$B$5="All",ISNUMBER(SEARCH(Query!$B$5,'Compliance Database'!$H807))),OR(Query!$B$6="All",ISNUMBER(SEARCH(Query!$B$6,'Compliance Database'!$I807))),OR(Query!$B$7="All",'Compliance Database'!$F807=Query!$B$7),OR(Query!$B$8="All",'Compliance Database'!$J807=Query!$B$8),OR(Query!$B$9="",ISNUMBER(SEARCH(Query!$B$9,'Compliance Database'!$D807&amp;" "&amp;'Compliance Database'!$K807&amp;" "&amp;'Compliance Database'!$L807&amp;" "&amp;'Compliance Database'!$M807&amp;" "&amp;'Compliance Database'!$N807&amp;" "&amp;'Compliance Database'!$O807))),OR(Query!$B$10&lt;&gt;"Yes",'Compliance Database'!$F807&lt;&gt;"None")),1,0)</f>
        <v>0</v>
      </c>
      <c r="B807" t="str">
        <f>IF($A807=1,SUM($A$2:$A807),"")</f>
        <v/>
      </c>
      <c r="C807">
        <f>IF($A807=1,SUM($A$2:$A807),0)</f>
        <v>0</v>
      </c>
    </row>
    <row r="808" spans="1:3" x14ac:dyDescent="0.3">
      <c r="A808">
        <f>IF(AND(OR(Query!$B$4="All",'Compliance Database'!$A808=Query!$B$4),OR(Query!$B$5="All",ISNUMBER(SEARCH(Query!$B$5,'Compliance Database'!$H808))),OR(Query!$B$6="All",ISNUMBER(SEARCH(Query!$B$6,'Compliance Database'!$I808))),OR(Query!$B$7="All",'Compliance Database'!$F808=Query!$B$7),OR(Query!$B$8="All",'Compliance Database'!$J808=Query!$B$8),OR(Query!$B$9="",ISNUMBER(SEARCH(Query!$B$9,'Compliance Database'!$D808&amp;" "&amp;'Compliance Database'!$K808&amp;" "&amp;'Compliance Database'!$L808&amp;" "&amp;'Compliance Database'!$M808&amp;" "&amp;'Compliance Database'!$N808&amp;" "&amp;'Compliance Database'!$O808))),OR(Query!$B$10&lt;&gt;"Yes",'Compliance Database'!$F808&lt;&gt;"None")),1,0)</f>
        <v>0</v>
      </c>
      <c r="B808" t="str">
        <f>IF($A808=1,SUM($A$2:$A808),"")</f>
        <v/>
      </c>
      <c r="C808">
        <f>IF($A808=1,SUM($A$2:$A808),0)</f>
        <v>0</v>
      </c>
    </row>
    <row r="809" spans="1:3" x14ac:dyDescent="0.3">
      <c r="A809">
        <f>IF(AND(OR(Query!$B$4="All",'Compliance Database'!$A809=Query!$B$4),OR(Query!$B$5="All",ISNUMBER(SEARCH(Query!$B$5,'Compliance Database'!$H809))),OR(Query!$B$6="All",ISNUMBER(SEARCH(Query!$B$6,'Compliance Database'!$I809))),OR(Query!$B$7="All",'Compliance Database'!$F809=Query!$B$7),OR(Query!$B$8="All",'Compliance Database'!$J809=Query!$B$8),OR(Query!$B$9="",ISNUMBER(SEARCH(Query!$B$9,'Compliance Database'!$D809&amp;" "&amp;'Compliance Database'!$K809&amp;" "&amp;'Compliance Database'!$L809&amp;" "&amp;'Compliance Database'!$M809&amp;" "&amp;'Compliance Database'!$N809&amp;" "&amp;'Compliance Database'!$O809))),OR(Query!$B$10&lt;&gt;"Yes",'Compliance Database'!$F809&lt;&gt;"None")),1,0)</f>
        <v>0</v>
      </c>
      <c r="B809" t="str">
        <f>IF($A809=1,SUM($A$2:$A809),"")</f>
        <v/>
      </c>
      <c r="C809">
        <f>IF($A809=1,SUM($A$2:$A809),0)</f>
        <v>0</v>
      </c>
    </row>
    <row r="810" spans="1:3" x14ac:dyDescent="0.3">
      <c r="A810">
        <f>IF(AND(OR(Query!$B$4="All",'Compliance Database'!$A810=Query!$B$4),OR(Query!$B$5="All",ISNUMBER(SEARCH(Query!$B$5,'Compliance Database'!$H810))),OR(Query!$B$6="All",ISNUMBER(SEARCH(Query!$B$6,'Compliance Database'!$I810))),OR(Query!$B$7="All",'Compliance Database'!$F810=Query!$B$7),OR(Query!$B$8="All",'Compliance Database'!$J810=Query!$B$8),OR(Query!$B$9="",ISNUMBER(SEARCH(Query!$B$9,'Compliance Database'!$D810&amp;" "&amp;'Compliance Database'!$K810&amp;" "&amp;'Compliance Database'!$L810&amp;" "&amp;'Compliance Database'!$M810&amp;" "&amp;'Compliance Database'!$N810&amp;" "&amp;'Compliance Database'!$O810))),OR(Query!$B$10&lt;&gt;"Yes",'Compliance Database'!$F810&lt;&gt;"None")),1,0)</f>
        <v>0</v>
      </c>
      <c r="B810" t="str">
        <f>IF($A810=1,SUM($A$2:$A810),"")</f>
        <v/>
      </c>
      <c r="C810">
        <f>IF($A810=1,SUM($A$2:$A810),0)</f>
        <v>0</v>
      </c>
    </row>
    <row r="811" spans="1:3" x14ac:dyDescent="0.3">
      <c r="A811">
        <f>IF(AND(OR(Query!$B$4="All",'Compliance Database'!$A811=Query!$B$4),OR(Query!$B$5="All",ISNUMBER(SEARCH(Query!$B$5,'Compliance Database'!$H811))),OR(Query!$B$6="All",ISNUMBER(SEARCH(Query!$B$6,'Compliance Database'!$I811))),OR(Query!$B$7="All",'Compliance Database'!$F811=Query!$B$7),OR(Query!$B$8="All",'Compliance Database'!$J811=Query!$B$8),OR(Query!$B$9="",ISNUMBER(SEARCH(Query!$B$9,'Compliance Database'!$D811&amp;" "&amp;'Compliance Database'!$K811&amp;" "&amp;'Compliance Database'!$L811&amp;" "&amp;'Compliance Database'!$M811&amp;" "&amp;'Compliance Database'!$N811&amp;" "&amp;'Compliance Database'!$O811))),OR(Query!$B$10&lt;&gt;"Yes",'Compliance Database'!$F811&lt;&gt;"None")),1,0)</f>
        <v>0</v>
      </c>
      <c r="B811" t="str">
        <f>IF($A811=1,SUM($A$2:$A811),"")</f>
        <v/>
      </c>
      <c r="C811">
        <f>IF($A811=1,SUM($A$2:$A811),0)</f>
        <v>0</v>
      </c>
    </row>
    <row r="812" spans="1:3" x14ac:dyDescent="0.3">
      <c r="A812">
        <f>IF(AND(OR(Query!$B$4="All",'Compliance Database'!$A812=Query!$B$4),OR(Query!$B$5="All",ISNUMBER(SEARCH(Query!$B$5,'Compliance Database'!$H812))),OR(Query!$B$6="All",ISNUMBER(SEARCH(Query!$B$6,'Compliance Database'!$I812))),OR(Query!$B$7="All",'Compliance Database'!$F812=Query!$B$7),OR(Query!$B$8="All",'Compliance Database'!$J812=Query!$B$8),OR(Query!$B$9="",ISNUMBER(SEARCH(Query!$B$9,'Compliance Database'!$D812&amp;" "&amp;'Compliance Database'!$K812&amp;" "&amp;'Compliance Database'!$L812&amp;" "&amp;'Compliance Database'!$M812&amp;" "&amp;'Compliance Database'!$N812&amp;" "&amp;'Compliance Database'!$O812))),OR(Query!$B$10&lt;&gt;"Yes",'Compliance Database'!$F812&lt;&gt;"None")),1,0)</f>
        <v>0</v>
      </c>
      <c r="B812" t="str">
        <f>IF($A812=1,SUM($A$2:$A812),"")</f>
        <v/>
      </c>
      <c r="C812">
        <f>IF($A812=1,SUM($A$2:$A812),0)</f>
        <v>0</v>
      </c>
    </row>
    <row r="813" spans="1:3" x14ac:dyDescent="0.3">
      <c r="A813">
        <f>IF(AND(OR(Query!$B$4="All",'Compliance Database'!$A813=Query!$B$4),OR(Query!$B$5="All",ISNUMBER(SEARCH(Query!$B$5,'Compliance Database'!$H813))),OR(Query!$B$6="All",ISNUMBER(SEARCH(Query!$B$6,'Compliance Database'!$I813))),OR(Query!$B$7="All",'Compliance Database'!$F813=Query!$B$7),OR(Query!$B$8="All",'Compliance Database'!$J813=Query!$B$8),OR(Query!$B$9="",ISNUMBER(SEARCH(Query!$B$9,'Compliance Database'!$D813&amp;" "&amp;'Compliance Database'!$K813&amp;" "&amp;'Compliance Database'!$L813&amp;" "&amp;'Compliance Database'!$M813&amp;" "&amp;'Compliance Database'!$N813&amp;" "&amp;'Compliance Database'!$O813))),OR(Query!$B$10&lt;&gt;"Yes",'Compliance Database'!$F813&lt;&gt;"None")),1,0)</f>
        <v>0</v>
      </c>
      <c r="B813" t="str">
        <f>IF($A813=1,SUM($A$2:$A813),"")</f>
        <v/>
      </c>
      <c r="C813">
        <f>IF($A813=1,SUM($A$2:$A813),0)</f>
        <v>0</v>
      </c>
    </row>
    <row r="814" spans="1:3" x14ac:dyDescent="0.3">
      <c r="A814">
        <f>IF(AND(OR(Query!$B$4="All",'Compliance Database'!$A814=Query!$B$4),OR(Query!$B$5="All",ISNUMBER(SEARCH(Query!$B$5,'Compliance Database'!$H814))),OR(Query!$B$6="All",ISNUMBER(SEARCH(Query!$B$6,'Compliance Database'!$I814))),OR(Query!$B$7="All",'Compliance Database'!$F814=Query!$B$7),OR(Query!$B$8="All",'Compliance Database'!$J814=Query!$B$8),OR(Query!$B$9="",ISNUMBER(SEARCH(Query!$B$9,'Compliance Database'!$D814&amp;" "&amp;'Compliance Database'!$K814&amp;" "&amp;'Compliance Database'!$L814&amp;" "&amp;'Compliance Database'!$M814&amp;" "&amp;'Compliance Database'!$N814&amp;" "&amp;'Compliance Database'!$O814))),OR(Query!$B$10&lt;&gt;"Yes",'Compliance Database'!$F814&lt;&gt;"None")),1,0)</f>
        <v>0</v>
      </c>
      <c r="B814" t="str">
        <f>IF($A814=1,SUM($A$2:$A814),"")</f>
        <v/>
      </c>
      <c r="C814">
        <f>IF($A814=1,SUM($A$2:$A814),0)</f>
        <v>0</v>
      </c>
    </row>
    <row r="815" spans="1:3" x14ac:dyDescent="0.3">
      <c r="A815">
        <f>IF(AND(OR(Query!$B$4="All",'Compliance Database'!$A815=Query!$B$4),OR(Query!$B$5="All",ISNUMBER(SEARCH(Query!$B$5,'Compliance Database'!$H815))),OR(Query!$B$6="All",ISNUMBER(SEARCH(Query!$B$6,'Compliance Database'!$I815))),OR(Query!$B$7="All",'Compliance Database'!$F815=Query!$B$7),OR(Query!$B$8="All",'Compliance Database'!$J815=Query!$B$8),OR(Query!$B$9="",ISNUMBER(SEARCH(Query!$B$9,'Compliance Database'!$D815&amp;" "&amp;'Compliance Database'!$K815&amp;" "&amp;'Compliance Database'!$L815&amp;" "&amp;'Compliance Database'!$M815&amp;" "&amp;'Compliance Database'!$N815&amp;" "&amp;'Compliance Database'!$O815))),OR(Query!$B$10&lt;&gt;"Yes",'Compliance Database'!$F815&lt;&gt;"None")),1,0)</f>
        <v>0</v>
      </c>
      <c r="B815" t="str">
        <f>IF($A815=1,SUM($A$2:$A815),"")</f>
        <v/>
      </c>
      <c r="C815">
        <f>IF($A815=1,SUM($A$2:$A815),0)</f>
        <v>0</v>
      </c>
    </row>
    <row r="816" spans="1:3" x14ac:dyDescent="0.3">
      <c r="A816">
        <f>IF(AND(OR(Query!$B$4="All",'Compliance Database'!$A816=Query!$B$4),OR(Query!$B$5="All",ISNUMBER(SEARCH(Query!$B$5,'Compliance Database'!$H816))),OR(Query!$B$6="All",ISNUMBER(SEARCH(Query!$B$6,'Compliance Database'!$I816))),OR(Query!$B$7="All",'Compliance Database'!$F816=Query!$B$7),OR(Query!$B$8="All",'Compliance Database'!$J816=Query!$B$8),OR(Query!$B$9="",ISNUMBER(SEARCH(Query!$B$9,'Compliance Database'!$D816&amp;" "&amp;'Compliance Database'!$K816&amp;" "&amp;'Compliance Database'!$L816&amp;" "&amp;'Compliance Database'!$M816&amp;" "&amp;'Compliance Database'!$N816&amp;" "&amp;'Compliance Database'!$O816))),OR(Query!$B$10&lt;&gt;"Yes",'Compliance Database'!$F816&lt;&gt;"None")),1,0)</f>
        <v>0</v>
      </c>
      <c r="B816" t="str">
        <f>IF($A816=1,SUM($A$2:$A816),"")</f>
        <v/>
      </c>
      <c r="C816">
        <f>IF($A816=1,SUM($A$2:$A816),0)</f>
        <v>0</v>
      </c>
    </row>
    <row r="817" spans="1:3" x14ac:dyDescent="0.3">
      <c r="A817">
        <f>IF(AND(OR(Query!$B$4="All",'Compliance Database'!$A817=Query!$B$4),OR(Query!$B$5="All",ISNUMBER(SEARCH(Query!$B$5,'Compliance Database'!$H817))),OR(Query!$B$6="All",ISNUMBER(SEARCH(Query!$B$6,'Compliance Database'!$I817))),OR(Query!$B$7="All",'Compliance Database'!$F817=Query!$B$7),OR(Query!$B$8="All",'Compliance Database'!$J817=Query!$B$8),OR(Query!$B$9="",ISNUMBER(SEARCH(Query!$B$9,'Compliance Database'!$D817&amp;" "&amp;'Compliance Database'!$K817&amp;" "&amp;'Compliance Database'!$L817&amp;" "&amp;'Compliance Database'!$M817&amp;" "&amp;'Compliance Database'!$N817&amp;" "&amp;'Compliance Database'!$O817))),OR(Query!$B$10&lt;&gt;"Yes",'Compliance Database'!$F817&lt;&gt;"None")),1,0)</f>
        <v>0</v>
      </c>
      <c r="B817" t="str">
        <f>IF($A817=1,SUM($A$2:$A817),"")</f>
        <v/>
      </c>
      <c r="C817">
        <f>IF($A817=1,SUM($A$2:$A817),0)</f>
        <v>0</v>
      </c>
    </row>
    <row r="818" spans="1:3" x14ac:dyDescent="0.3">
      <c r="A818">
        <f>IF(AND(OR(Query!$B$4="All",'Compliance Database'!$A818=Query!$B$4),OR(Query!$B$5="All",ISNUMBER(SEARCH(Query!$B$5,'Compliance Database'!$H818))),OR(Query!$B$6="All",ISNUMBER(SEARCH(Query!$B$6,'Compliance Database'!$I818))),OR(Query!$B$7="All",'Compliance Database'!$F818=Query!$B$7),OR(Query!$B$8="All",'Compliance Database'!$J818=Query!$B$8),OR(Query!$B$9="",ISNUMBER(SEARCH(Query!$B$9,'Compliance Database'!$D818&amp;" "&amp;'Compliance Database'!$K818&amp;" "&amp;'Compliance Database'!$L818&amp;" "&amp;'Compliance Database'!$M818&amp;" "&amp;'Compliance Database'!$N818&amp;" "&amp;'Compliance Database'!$O818))),OR(Query!$B$10&lt;&gt;"Yes",'Compliance Database'!$F818&lt;&gt;"None")),1,0)</f>
        <v>0</v>
      </c>
      <c r="B818" t="str">
        <f>IF($A818=1,SUM($A$2:$A818),"")</f>
        <v/>
      </c>
      <c r="C818">
        <f>IF($A818=1,SUM($A$2:$A818),0)</f>
        <v>0</v>
      </c>
    </row>
    <row r="819" spans="1:3" x14ac:dyDescent="0.3">
      <c r="A819">
        <f>IF(AND(OR(Query!$B$4="All",'Compliance Database'!$A819=Query!$B$4),OR(Query!$B$5="All",ISNUMBER(SEARCH(Query!$B$5,'Compliance Database'!$H819))),OR(Query!$B$6="All",ISNUMBER(SEARCH(Query!$B$6,'Compliance Database'!$I819))),OR(Query!$B$7="All",'Compliance Database'!$F819=Query!$B$7),OR(Query!$B$8="All",'Compliance Database'!$J819=Query!$B$8),OR(Query!$B$9="",ISNUMBER(SEARCH(Query!$B$9,'Compliance Database'!$D819&amp;" "&amp;'Compliance Database'!$K819&amp;" "&amp;'Compliance Database'!$L819&amp;" "&amp;'Compliance Database'!$M819&amp;" "&amp;'Compliance Database'!$N819&amp;" "&amp;'Compliance Database'!$O819))),OR(Query!$B$10&lt;&gt;"Yes",'Compliance Database'!$F819&lt;&gt;"None")),1,0)</f>
        <v>0</v>
      </c>
      <c r="B819" t="str">
        <f>IF($A819=1,SUM($A$2:$A819),"")</f>
        <v/>
      </c>
      <c r="C819">
        <f>IF($A819=1,SUM($A$2:$A819),0)</f>
        <v>0</v>
      </c>
    </row>
    <row r="820" spans="1:3" x14ac:dyDescent="0.3">
      <c r="A820">
        <f>IF(AND(OR(Query!$B$4="All",'Compliance Database'!$A820=Query!$B$4),OR(Query!$B$5="All",ISNUMBER(SEARCH(Query!$B$5,'Compliance Database'!$H820))),OR(Query!$B$6="All",ISNUMBER(SEARCH(Query!$B$6,'Compliance Database'!$I820))),OR(Query!$B$7="All",'Compliance Database'!$F820=Query!$B$7),OR(Query!$B$8="All",'Compliance Database'!$J820=Query!$B$8),OR(Query!$B$9="",ISNUMBER(SEARCH(Query!$B$9,'Compliance Database'!$D820&amp;" "&amp;'Compliance Database'!$K820&amp;" "&amp;'Compliance Database'!$L820&amp;" "&amp;'Compliance Database'!$M820&amp;" "&amp;'Compliance Database'!$N820&amp;" "&amp;'Compliance Database'!$O820))),OR(Query!$B$10&lt;&gt;"Yes",'Compliance Database'!$F820&lt;&gt;"None")),1,0)</f>
        <v>0</v>
      </c>
      <c r="B820" t="str">
        <f>IF($A820=1,SUM($A$2:$A820),"")</f>
        <v/>
      </c>
      <c r="C820">
        <f>IF($A820=1,SUM($A$2:$A820),0)</f>
        <v>0</v>
      </c>
    </row>
    <row r="821" spans="1:3" x14ac:dyDescent="0.3">
      <c r="A821">
        <f>IF(AND(OR(Query!$B$4="All",'Compliance Database'!$A821=Query!$B$4),OR(Query!$B$5="All",ISNUMBER(SEARCH(Query!$B$5,'Compliance Database'!$H821))),OR(Query!$B$6="All",ISNUMBER(SEARCH(Query!$B$6,'Compliance Database'!$I821))),OR(Query!$B$7="All",'Compliance Database'!$F821=Query!$B$7),OR(Query!$B$8="All",'Compliance Database'!$J821=Query!$B$8),OR(Query!$B$9="",ISNUMBER(SEARCH(Query!$B$9,'Compliance Database'!$D821&amp;" "&amp;'Compliance Database'!$K821&amp;" "&amp;'Compliance Database'!$L821&amp;" "&amp;'Compliance Database'!$M821&amp;" "&amp;'Compliance Database'!$N821&amp;" "&amp;'Compliance Database'!$O821))),OR(Query!$B$10&lt;&gt;"Yes",'Compliance Database'!$F821&lt;&gt;"None")),1,0)</f>
        <v>0</v>
      </c>
      <c r="B821" t="str">
        <f>IF($A821=1,SUM($A$2:$A821),"")</f>
        <v/>
      </c>
      <c r="C821">
        <f>IF($A821=1,SUM($A$2:$A821),0)</f>
        <v>0</v>
      </c>
    </row>
    <row r="822" spans="1:3" x14ac:dyDescent="0.3">
      <c r="A822">
        <f>IF(AND(OR(Query!$B$4="All",'Compliance Database'!$A822=Query!$B$4),OR(Query!$B$5="All",ISNUMBER(SEARCH(Query!$B$5,'Compliance Database'!$H822))),OR(Query!$B$6="All",ISNUMBER(SEARCH(Query!$B$6,'Compliance Database'!$I822))),OR(Query!$B$7="All",'Compliance Database'!$F822=Query!$B$7),OR(Query!$B$8="All",'Compliance Database'!$J822=Query!$B$8),OR(Query!$B$9="",ISNUMBER(SEARCH(Query!$B$9,'Compliance Database'!$D822&amp;" "&amp;'Compliance Database'!$K822&amp;" "&amp;'Compliance Database'!$L822&amp;" "&amp;'Compliance Database'!$M822&amp;" "&amp;'Compliance Database'!$N822&amp;" "&amp;'Compliance Database'!$O822))),OR(Query!$B$10&lt;&gt;"Yes",'Compliance Database'!$F822&lt;&gt;"None")),1,0)</f>
        <v>0</v>
      </c>
      <c r="B822" t="str">
        <f>IF($A822=1,SUM($A$2:$A822),"")</f>
        <v/>
      </c>
      <c r="C822">
        <f>IF($A822=1,SUM($A$2:$A822),0)</f>
        <v>0</v>
      </c>
    </row>
    <row r="823" spans="1:3" x14ac:dyDescent="0.3">
      <c r="A823">
        <f>IF(AND(OR(Query!$B$4="All",'Compliance Database'!$A823=Query!$B$4),OR(Query!$B$5="All",ISNUMBER(SEARCH(Query!$B$5,'Compliance Database'!$H823))),OR(Query!$B$6="All",ISNUMBER(SEARCH(Query!$B$6,'Compliance Database'!$I823))),OR(Query!$B$7="All",'Compliance Database'!$F823=Query!$B$7),OR(Query!$B$8="All",'Compliance Database'!$J823=Query!$B$8),OR(Query!$B$9="",ISNUMBER(SEARCH(Query!$B$9,'Compliance Database'!$D823&amp;" "&amp;'Compliance Database'!$K823&amp;" "&amp;'Compliance Database'!$L823&amp;" "&amp;'Compliance Database'!$M823&amp;" "&amp;'Compliance Database'!$N823&amp;" "&amp;'Compliance Database'!$O823))),OR(Query!$B$10&lt;&gt;"Yes",'Compliance Database'!$F823&lt;&gt;"None")),1,0)</f>
        <v>0</v>
      </c>
      <c r="B823" t="str">
        <f>IF($A823=1,SUM($A$2:$A823),"")</f>
        <v/>
      </c>
      <c r="C823">
        <f>IF($A823=1,SUM($A$2:$A823),0)</f>
        <v>0</v>
      </c>
    </row>
    <row r="824" spans="1:3" x14ac:dyDescent="0.3">
      <c r="A824">
        <f>IF(AND(OR(Query!$B$4="All",'Compliance Database'!$A824=Query!$B$4),OR(Query!$B$5="All",ISNUMBER(SEARCH(Query!$B$5,'Compliance Database'!$H824))),OR(Query!$B$6="All",ISNUMBER(SEARCH(Query!$B$6,'Compliance Database'!$I824))),OR(Query!$B$7="All",'Compliance Database'!$F824=Query!$B$7),OR(Query!$B$8="All",'Compliance Database'!$J824=Query!$B$8),OR(Query!$B$9="",ISNUMBER(SEARCH(Query!$B$9,'Compliance Database'!$D824&amp;" "&amp;'Compliance Database'!$K824&amp;" "&amp;'Compliance Database'!$L824&amp;" "&amp;'Compliance Database'!$M824&amp;" "&amp;'Compliance Database'!$N824&amp;" "&amp;'Compliance Database'!$O824))),OR(Query!$B$10&lt;&gt;"Yes",'Compliance Database'!$F824&lt;&gt;"None")),1,0)</f>
        <v>0</v>
      </c>
      <c r="B824" t="str">
        <f>IF($A824=1,SUM($A$2:$A824),"")</f>
        <v/>
      </c>
      <c r="C824">
        <f>IF($A824=1,SUM($A$2:$A824),0)</f>
        <v>0</v>
      </c>
    </row>
    <row r="825" spans="1:3" x14ac:dyDescent="0.3">
      <c r="A825">
        <f>IF(AND(OR(Query!$B$4="All",'Compliance Database'!$A825=Query!$B$4),OR(Query!$B$5="All",ISNUMBER(SEARCH(Query!$B$5,'Compliance Database'!$H825))),OR(Query!$B$6="All",ISNUMBER(SEARCH(Query!$B$6,'Compliance Database'!$I825))),OR(Query!$B$7="All",'Compliance Database'!$F825=Query!$B$7),OR(Query!$B$8="All",'Compliance Database'!$J825=Query!$B$8),OR(Query!$B$9="",ISNUMBER(SEARCH(Query!$B$9,'Compliance Database'!$D825&amp;" "&amp;'Compliance Database'!$K825&amp;" "&amp;'Compliance Database'!$L825&amp;" "&amp;'Compliance Database'!$M825&amp;" "&amp;'Compliance Database'!$N825&amp;" "&amp;'Compliance Database'!$O825))),OR(Query!$B$10&lt;&gt;"Yes",'Compliance Database'!$F825&lt;&gt;"None")),1,0)</f>
        <v>0</v>
      </c>
      <c r="B825" t="str">
        <f>IF($A825=1,SUM($A$2:$A825),"")</f>
        <v/>
      </c>
      <c r="C825">
        <f>IF($A825=1,SUM($A$2:$A825),0)</f>
        <v>0</v>
      </c>
    </row>
    <row r="826" spans="1:3" x14ac:dyDescent="0.3">
      <c r="A826">
        <f>IF(AND(OR(Query!$B$4="All",'Compliance Database'!$A826=Query!$B$4),OR(Query!$B$5="All",ISNUMBER(SEARCH(Query!$B$5,'Compliance Database'!$H826))),OR(Query!$B$6="All",ISNUMBER(SEARCH(Query!$B$6,'Compliance Database'!$I826))),OR(Query!$B$7="All",'Compliance Database'!$F826=Query!$B$7),OR(Query!$B$8="All",'Compliance Database'!$J826=Query!$B$8),OR(Query!$B$9="",ISNUMBER(SEARCH(Query!$B$9,'Compliance Database'!$D826&amp;" "&amp;'Compliance Database'!$K826&amp;" "&amp;'Compliance Database'!$L826&amp;" "&amp;'Compliance Database'!$M826&amp;" "&amp;'Compliance Database'!$N826&amp;" "&amp;'Compliance Database'!$O826))),OR(Query!$B$10&lt;&gt;"Yes",'Compliance Database'!$F826&lt;&gt;"None")),1,0)</f>
        <v>0</v>
      </c>
      <c r="B826" t="str">
        <f>IF($A826=1,SUM($A$2:$A826),"")</f>
        <v/>
      </c>
      <c r="C826">
        <f>IF($A826=1,SUM($A$2:$A826),0)</f>
        <v>0</v>
      </c>
    </row>
    <row r="827" spans="1:3" x14ac:dyDescent="0.3">
      <c r="A827">
        <f>IF(AND(OR(Query!$B$4="All",'Compliance Database'!$A827=Query!$B$4),OR(Query!$B$5="All",ISNUMBER(SEARCH(Query!$B$5,'Compliance Database'!$H827))),OR(Query!$B$6="All",ISNUMBER(SEARCH(Query!$B$6,'Compliance Database'!$I827))),OR(Query!$B$7="All",'Compliance Database'!$F827=Query!$B$7),OR(Query!$B$8="All",'Compliance Database'!$J827=Query!$B$8),OR(Query!$B$9="",ISNUMBER(SEARCH(Query!$B$9,'Compliance Database'!$D827&amp;" "&amp;'Compliance Database'!$K827&amp;" "&amp;'Compliance Database'!$L827&amp;" "&amp;'Compliance Database'!$M827&amp;" "&amp;'Compliance Database'!$N827&amp;" "&amp;'Compliance Database'!$O827))),OR(Query!$B$10&lt;&gt;"Yes",'Compliance Database'!$F827&lt;&gt;"None")),1,0)</f>
        <v>0</v>
      </c>
      <c r="B827" t="str">
        <f>IF($A827=1,SUM($A$2:$A827),"")</f>
        <v/>
      </c>
      <c r="C827">
        <f>IF($A827=1,SUM($A$2:$A827),0)</f>
        <v>0</v>
      </c>
    </row>
    <row r="828" spans="1:3" x14ac:dyDescent="0.3">
      <c r="A828">
        <f>IF(AND(OR(Query!$B$4="All",'Compliance Database'!$A828=Query!$B$4),OR(Query!$B$5="All",ISNUMBER(SEARCH(Query!$B$5,'Compliance Database'!$H828))),OR(Query!$B$6="All",ISNUMBER(SEARCH(Query!$B$6,'Compliance Database'!$I828))),OR(Query!$B$7="All",'Compliance Database'!$F828=Query!$B$7),OR(Query!$B$8="All",'Compliance Database'!$J828=Query!$B$8),OR(Query!$B$9="",ISNUMBER(SEARCH(Query!$B$9,'Compliance Database'!$D828&amp;" "&amp;'Compliance Database'!$K828&amp;" "&amp;'Compliance Database'!$L828&amp;" "&amp;'Compliance Database'!$M828&amp;" "&amp;'Compliance Database'!$N828&amp;" "&amp;'Compliance Database'!$O828))),OR(Query!$B$10&lt;&gt;"Yes",'Compliance Database'!$F828&lt;&gt;"None")),1,0)</f>
        <v>0</v>
      </c>
      <c r="B828" t="str">
        <f>IF($A828=1,SUM($A$2:$A828),"")</f>
        <v/>
      </c>
      <c r="C828">
        <f>IF($A828=1,SUM($A$2:$A828),0)</f>
        <v>0</v>
      </c>
    </row>
    <row r="829" spans="1:3" x14ac:dyDescent="0.3">
      <c r="A829">
        <f>IF(AND(OR(Query!$B$4="All",'Compliance Database'!$A829=Query!$B$4),OR(Query!$B$5="All",ISNUMBER(SEARCH(Query!$B$5,'Compliance Database'!$H829))),OR(Query!$B$6="All",ISNUMBER(SEARCH(Query!$B$6,'Compliance Database'!$I829))),OR(Query!$B$7="All",'Compliance Database'!$F829=Query!$B$7),OR(Query!$B$8="All",'Compliance Database'!$J829=Query!$B$8),OR(Query!$B$9="",ISNUMBER(SEARCH(Query!$B$9,'Compliance Database'!$D829&amp;" "&amp;'Compliance Database'!$K829&amp;" "&amp;'Compliance Database'!$L829&amp;" "&amp;'Compliance Database'!$M829&amp;" "&amp;'Compliance Database'!$N829&amp;" "&amp;'Compliance Database'!$O829))),OR(Query!$B$10&lt;&gt;"Yes",'Compliance Database'!$F829&lt;&gt;"None")),1,0)</f>
        <v>0</v>
      </c>
      <c r="B829" t="str">
        <f>IF($A829=1,SUM($A$2:$A829),"")</f>
        <v/>
      </c>
      <c r="C829">
        <f>IF($A829=1,SUM($A$2:$A829),0)</f>
        <v>0</v>
      </c>
    </row>
    <row r="830" spans="1:3" x14ac:dyDescent="0.3">
      <c r="A830">
        <f>IF(AND(OR(Query!$B$4="All",'Compliance Database'!$A830=Query!$B$4),OR(Query!$B$5="All",ISNUMBER(SEARCH(Query!$B$5,'Compliance Database'!$H830))),OR(Query!$B$6="All",ISNUMBER(SEARCH(Query!$B$6,'Compliance Database'!$I830))),OR(Query!$B$7="All",'Compliance Database'!$F830=Query!$B$7),OR(Query!$B$8="All",'Compliance Database'!$J830=Query!$B$8),OR(Query!$B$9="",ISNUMBER(SEARCH(Query!$B$9,'Compliance Database'!$D830&amp;" "&amp;'Compliance Database'!$K830&amp;" "&amp;'Compliance Database'!$L830&amp;" "&amp;'Compliance Database'!$M830&amp;" "&amp;'Compliance Database'!$N830&amp;" "&amp;'Compliance Database'!$O830))),OR(Query!$B$10&lt;&gt;"Yes",'Compliance Database'!$F830&lt;&gt;"None")),1,0)</f>
        <v>0</v>
      </c>
      <c r="B830" t="str">
        <f>IF($A830=1,SUM($A$2:$A830),"")</f>
        <v/>
      </c>
      <c r="C830">
        <f>IF($A830=1,SUM($A$2:$A830),0)</f>
        <v>0</v>
      </c>
    </row>
    <row r="831" spans="1:3" x14ac:dyDescent="0.3">
      <c r="A831">
        <f>IF(AND(OR(Query!$B$4="All",'Compliance Database'!$A831=Query!$B$4),OR(Query!$B$5="All",ISNUMBER(SEARCH(Query!$B$5,'Compliance Database'!$H831))),OR(Query!$B$6="All",ISNUMBER(SEARCH(Query!$B$6,'Compliance Database'!$I831))),OR(Query!$B$7="All",'Compliance Database'!$F831=Query!$B$7),OR(Query!$B$8="All",'Compliance Database'!$J831=Query!$B$8),OR(Query!$B$9="",ISNUMBER(SEARCH(Query!$B$9,'Compliance Database'!$D831&amp;" "&amp;'Compliance Database'!$K831&amp;" "&amp;'Compliance Database'!$L831&amp;" "&amp;'Compliance Database'!$M831&amp;" "&amp;'Compliance Database'!$N831&amp;" "&amp;'Compliance Database'!$O831))),OR(Query!$B$10&lt;&gt;"Yes",'Compliance Database'!$F831&lt;&gt;"None")),1,0)</f>
        <v>0</v>
      </c>
      <c r="B831" t="str">
        <f>IF($A831=1,SUM($A$2:$A831),"")</f>
        <v/>
      </c>
      <c r="C831">
        <f>IF($A831=1,SUM($A$2:$A831),0)</f>
        <v>0</v>
      </c>
    </row>
    <row r="832" spans="1:3" x14ac:dyDescent="0.3">
      <c r="A832">
        <f>IF(AND(OR(Query!$B$4="All",'Compliance Database'!$A832=Query!$B$4),OR(Query!$B$5="All",ISNUMBER(SEARCH(Query!$B$5,'Compliance Database'!$H832))),OR(Query!$B$6="All",ISNUMBER(SEARCH(Query!$B$6,'Compliance Database'!$I832))),OR(Query!$B$7="All",'Compliance Database'!$F832=Query!$B$7),OR(Query!$B$8="All",'Compliance Database'!$J832=Query!$B$8),OR(Query!$B$9="",ISNUMBER(SEARCH(Query!$B$9,'Compliance Database'!$D832&amp;" "&amp;'Compliance Database'!$K832&amp;" "&amp;'Compliance Database'!$L832&amp;" "&amp;'Compliance Database'!$M832&amp;" "&amp;'Compliance Database'!$N832&amp;" "&amp;'Compliance Database'!$O832))),OR(Query!$B$10&lt;&gt;"Yes",'Compliance Database'!$F832&lt;&gt;"None")),1,0)</f>
        <v>0</v>
      </c>
      <c r="B832" t="str">
        <f>IF($A832=1,SUM($A$2:$A832),"")</f>
        <v/>
      </c>
      <c r="C832">
        <f>IF($A832=1,SUM($A$2:$A832),0)</f>
        <v>0</v>
      </c>
    </row>
    <row r="833" spans="1:3" x14ac:dyDescent="0.3">
      <c r="A833">
        <f>IF(AND(OR(Query!$B$4="All",'Compliance Database'!$A833=Query!$B$4),OR(Query!$B$5="All",ISNUMBER(SEARCH(Query!$B$5,'Compliance Database'!$H833))),OR(Query!$B$6="All",ISNUMBER(SEARCH(Query!$B$6,'Compliance Database'!$I833))),OR(Query!$B$7="All",'Compliance Database'!$F833=Query!$B$7),OR(Query!$B$8="All",'Compliance Database'!$J833=Query!$B$8),OR(Query!$B$9="",ISNUMBER(SEARCH(Query!$B$9,'Compliance Database'!$D833&amp;" "&amp;'Compliance Database'!$K833&amp;" "&amp;'Compliance Database'!$L833&amp;" "&amp;'Compliance Database'!$M833&amp;" "&amp;'Compliance Database'!$N833&amp;" "&amp;'Compliance Database'!$O833))),OR(Query!$B$10&lt;&gt;"Yes",'Compliance Database'!$F833&lt;&gt;"None")),1,0)</f>
        <v>0</v>
      </c>
      <c r="B833" t="str">
        <f>IF($A833=1,SUM($A$2:$A833),"")</f>
        <v/>
      </c>
      <c r="C833">
        <f>IF($A833=1,SUM($A$2:$A833),0)</f>
        <v>0</v>
      </c>
    </row>
    <row r="834" spans="1:3" x14ac:dyDescent="0.3">
      <c r="A834">
        <f>IF(AND(OR(Query!$B$4="All",'Compliance Database'!$A834=Query!$B$4),OR(Query!$B$5="All",ISNUMBER(SEARCH(Query!$B$5,'Compliance Database'!$H834))),OR(Query!$B$6="All",ISNUMBER(SEARCH(Query!$B$6,'Compliance Database'!$I834))),OR(Query!$B$7="All",'Compliance Database'!$F834=Query!$B$7),OR(Query!$B$8="All",'Compliance Database'!$J834=Query!$B$8),OR(Query!$B$9="",ISNUMBER(SEARCH(Query!$B$9,'Compliance Database'!$D834&amp;" "&amp;'Compliance Database'!$K834&amp;" "&amp;'Compliance Database'!$L834&amp;" "&amp;'Compliance Database'!$M834&amp;" "&amp;'Compliance Database'!$N834&amp;" "&amp;'Compliance Database'!$O834))),OR(Query!$B$10&lt;&gt;"Yes",'Compliance Database'!$F834&lt;&gt;"None")),1,0)</f>
        <v>0</v>
      </c>
      <c r="B834" t="str">
        <f>IF($A834=1,SUM($A$2:$A834),"")</f>
        <v/>
      </c>
      <c r="C834">
        <f>IF($A834=1,SUM($A$2:$A834),0)</f>
        <v>0</v>
      </c>
    </row>
    <row r="835" spans="1:3" x14ac:dyDescent="0.3">
      <c r="A835">
        <f>IF(AND(OR(Query!$B$4="All",'Compliance Database'!$A835=Query!$B$4),OR(Query!$B$5="All",ISNUMBER(SEARCH(Query!$B$5,'Compliance Database'!$H835))),OR(Query!$B$6="All",ISNUMBER(SEARCH(Query!$B$6,'Compliance Database'!$I835))),OR(Query!$B$7="All",'Compliance Database'!$F835=Query!$B$7),OR(Query!$B$8="All",'Compliance Database'!$J835=Query!$B$8),OR(Query!$B$9="",ISNUMBER(SEARCH(Query!$B$9,'Compliance Database'!$D835&amp;" "&amp;'Compliance Database'!$K835&amp;" "&amp;'Compliance Database'!$L835&amp;" "&amp;'Compliance Database'!$M835&amp;" "&amp;'Compliance Database'!$N835&amp;" "&amp;'Compliance Database'!$O835))),OR(Query!$B$10&lt;&gt;"Yes",'Compliance Database'!$F835&lt;&gt;"None")),1,0)</f>
        <v>0</v>
      </c>
      <c r="B835" t="str">
        <f>IF($A835=1,SUM($A$2:$A835),"")</f>
        <v/>
      </c>
      <c r="C835">
        <f>IF($A835=1,SUM($A$2:$A835),0)</f>
        <v>0</v>
      </c>
    </row>
    <row r="836" spans="1:3" x14ac:dyDescent="0.3">
      <c r="A836">
        <f>IF(AND(OR(Query!$B$4="All",'Compliance Database'!$A836=Query!$B$4),OR(Query!$B$5="All",ISNUMBER(SEARCH(Query!$B$5,'Compliance Database'!$H836))),OR(Query!$B$6="All",ISNUMBER(SEARCH(Query!$B$6,'Compliance Database'!$I836))),OR(Query!$B$7="All",'Compliance Database'!$F836=Query!$B$7),OR(Query!$B$8="All",'Compliance Database'!$J836=Query!$B$8),OR(Query!$B$9="",ISNUMBER(SEARCH(Query!$B$9,'Compliance Database'!$D836&amp;" "&amp;'Compliance Database'!$K836&amp;" "&amp;'Compliance Database'!$L836&amp;" "&amp;'Compliance Database'!$M836&amp;" "&amp;'Compliance Database'!$N836&amp;" "&amp;'Compliance Database'!$O836))),OR(Query!$B$10&lt;&gt;"Yes",'Compliance Database'!$F836&lt;&gt;"None")),1,0)</f>
        <v>0</v>
      </c>
      <c r="B836" t="str">
        <f>IF($A836=1,SUM($A$2:$A836),"")</f>
        <v/>
      </c>
      <c r="C836">
        <f>IF($A836=1,SUM($A$2:$A836),0)</f>
        <v>0</v>
      </c>
    </row>
    <row r="837" spans="1:3" x14ac:dyDescent="0.3">
      <c r="A837">
        <f>IF(AND(OR(Query!$B$4="All",'Compliance Database'!$A837=Query!$B$4),OR(Query!$B$5="All",ISNUMBER(SEARCH(Query!$B$5,'Compliance Database'!$H837))),OR(Query!$B$6="All",ISNUMBER(SEARCH(Query!$B$6,'Compliance Database'!$I837))),OR(Query!$B$7="All",'Compliance Database'!$F837=Query!$B$7),OR(Query!$B$8="All",'Compliance Database'!$J837=Query!$B$8),OR(Query!$B$9="",ISNUMBER(SEARCH(Query!$B$9,'Compliance Database'!$D837&amp;" "&amp;'Compliance Database'!$K837&amp;" "&amp;'Compliance Database'!$L837&amp;" "&amp;'Compliance Database'!$M837&amp;" "&amp;'Compliance Database'!$N837&amp;" "&amp;'Compliance Database'!$O837))),OR(Query!$B$10&lt;&gt;"Yes",'Compliance Database'!$F837&lt;&gt;"None")),1,0)</f>
        <v>0</v>
      </c>
      <c r="B837" t="str">
        <f>IF($A837=1,SUM($A$2:$A837),"")</f>
        <v/>
      </c>
      <c r="C837">
        <f>IF($A837=1,SUM($A$2:$A837),0)</f>
        <v>0</v>
      </c>
    </row>
    <row r="838" spans="1:3" x14ac:dyDescent="0.3">
      <c r="A838">
        <f>IF(AND(OR(Query!$B$4="All",'Compliance Database'!$A838=Query!$B$4),OR(Query!$B$5="All",ISNUMBER(SEARCH(Query!$B$5,'Compliance Database'!$H838))),OR(Query!$B$6="All",ISNUMBER(SEARCH(Query!$B$6,'Compliance Database'!$I838))),OR(Query!$B$7="All",'Compliance Database'!$F838=Query!$B$7),OR(Query!$B$8="All",'Compliance Database'!$J838=Query!$B$8),OR(Query!$B$9="",ISNUMBER(SEARCH(Query!$B$9,'Compliance Database'!$D838&amp;" "&amp;'Compliance Database'!$K838&amp;" "&amp;'Compliance Database'!$L838&amp;" "&amp;'Compliance Database'!$M838&amp;" "&amp;'Compliance Database'!$N838&amp;" "&amp;'Compliance Database'!$O838))),OR(Query!$B$10&lt;&gt;"Yes",'Compliance Database'!$F838&lt;&gt;"None")),1,0)</f>
        <v>0</v>
      </c>
      <c r="B838" t="str">
        <f>IF($A838=1,SUM($A$2:$A838),"")</f>
        <v/>
      </c>
      <c r="C838">
        <f>IF($A838=1,SUM($A$2:$A838),0)</f>
        <v>0</v>
      </c>
    </row>
    <row r="839" spans="1:3" x14ac:dyDescent="0.3">
      <c r="A839">
        <f>IF(AND(OR(Query!$B$4="All",'Compliance Database'!$A839=Query!$B$4),OR(Query!$B$5="All",ISNUMBER(SEARCH(Query!$B$5,'Compliance Database'!$H839))),OR(Query!$B$6="All",ISNUMBER(SEARCH(Query!$B$6,'Compliance Database'!$I839))),OR(Query!$B$7="All",'Compliance Database'!$F839=Query!$B$7),OR(Query!$B$8="All",'Compliance Database'!$J839=Query!$B$8),OR(Query!$B$9="",ISNUMBER(SEARCH(Query!$B$9,'Compliance Database'!$D839&amp;" "&amp;'Compliance Database'!$K839&amp;" "&amp;'Compliance Database'!$L839&amp;" "&amp;'Compliance Database'!$M839&amp;" "&amp;'Compliance Database'!$N839&amp;" "&amp;'Compliance Database'!$O839))),OR(Query!$B$10&lt;&gt;"Yes",'Compliance Database'!$F839&lt;&gt;"None")),1,0)</f>
        <v>0</v>
      </c>
      <c r="B839" t="str">
        <f>IF($A839=1,SUM($A$2:$A839),"")</f>
        <v/>
      </c>
      <c r="C839">
        <f>IF($A839=1,SUM($A$2:$A839),0)</f>
        <v>0</v>
      </c>
    </row>
    <row r="840" spans="1:3" x14ac:dyDescent="0.3">
      <c r="A840">
        <f>IF(AND(OR(Query!$B$4="All",'Compliance Database'!$A840=Query!$B$4),OR(Query!$B$5="All",ISNUMBER(SEARCH(Query!$B$5,'Compliance Database'!$H840))),OR(Query!$B$6="All",ISNUMBER(SEARCH(Query!$B$6,'Compliance Database'!$I840))),OR(Query!$B$7="All",'Compliance Database'!$F840=Query!$B$7),OR(Query!$B$8="All",'Compliance Database'!$J840=Query!$B$8),OR(Query!$B$9="",ISNUMBER(SEARCH(Query!$B$9,'Compliance Database'!$D840&amp;" "&amp;'Compliance Database'!$K840&amp;" "&amp;'Compliance Database'!$L840&amp;" "&amp;'Compliance Database'!$M840&amp;" "&amp;'Compliance Database'!$N840&amp;" "&amp;'Compliance Database'!$O840))),OR(Query!$B$10&lt;&gt;"Yes",'Compliance Database'!$F840&lt;&gt;"None")),1,0)</f>
        <v>0</v>
      </c>
      <c r="B840" t="str">
        <f>IF($A840=1,SUM($A$2:$A840),"")</f>
        <v/>
      </c>
      <c r="C840">
        <f>IF($A840=1,SUM($A$2:$A840),0)</f>
        <v>0</v>
      </c>
    </row>
    <row r="841" spans="1:3" x14ac:dyDescent="0.3">
      <c r="A841">
        <f>IF(AND(OR(Query!$B$4="All",'Compliance Database'!$A841=Query!$B$4),OR(Query!$B$5="All",ISNUMBER(SEARCH(Query!$B$5,'Compliance Database'!$H841))),OR(Query!$B$6="All",ISNUMBER(SEARCH(Query!$B$6,'Compliance Database'!$I841))),OR(Query!$B$7="All",'Compliance Database'!$F841=Query!$B$7),OR(Query!$B$8="All",'Compliance Database'!$J841=Query!$B$8),OR(Query!$B$9="",ISNUMBER(SEARCH(Query!$B$9,'Compliance Database'!$D841&amp;" "&amp;'Compliance Database'!$K841&amp;" "&amp;'Compliance Database'!$L841&amp;" "&amp;'Compliance Database'!$M841&amp;" "&amp;'Compliance Database'!$N841&amp;" "&amp;'Compliance Database'!$O841))),OR(Query!$B$10&lt;&gt;"Yes",'Compliance Database'!$F841&lt;&gt;"None")),1,0)</f>
        <v>0</v>
      </c>
      <c r="B841" t="str">
        <f>IF($A841=1,SUM($A$2:$A841),"")</f>
        <v/>
      </c>
      <c r="C841">
        <f>IF($A841=1,SUM($A$2:$A841),0)</f>
        <v>0</v>
      </c>
    </row>
    <row r="842" spans="1:3" x14ac:dyDescent="0.3">
      <c r="A842">
        <f>IF(AND(OR(Query!$B$4="All",'Compliance Database'!$A842=Query!$B$4),OR(Query!$B$5="All",ISNUMBER(SEARCH(Query!$B$5,'Compliance Database'!$H842))),OR(Query!$B$6="All",ISNUMBER(SEARCH(Query!$B$6,'Compliance Database'!$I842))),OR(Query!$B$7="All",'Compliance Database'!$F842=Query!$B$7),OR(Query!$B$8="All",'Compliance Database'!$J842=Query!$B$8),OR(Query!$B$9="",ISNUMBER(SEARCH(Query!$B$9,'Compliance Database'!$D842&amp;" "&amp;'Compliance Database'!$K842&amp;" "&amp;'Compliance Database'!$L842&amp;" "&amp;'Compliance Database'!$M842&amp;" "&amp;'Compliance Database'!$N842&amp;" "&amp;'Compliance Database'!$O842))),OR(Query!$B$10&lt;&gt;"Yes",'Compliance Database'!$F842&lt;&gt;"None")),1,0)</f>
        <v>0</v>
      </c>
      <c r="B842" t="str">
        <f>IF($A842=1,SUM($A$2:$A842),"")</f>
        <v/>
      </c>
      <c r="C842">
        <f>IF($A842=1,SUM($A$2:$A842),0)</f>
        <v>0</v>
      </c>
    </row>
    <row r="843" spans="1:3" x14ac:dyDescent="0.3">
      <c r="A843">
        <f>IF(AND(OR(Query!$B$4="All",'Compliance Database'!$A843=Query!$B$4),OR(Query!$B$5="All",ISNUMBER(SEARCH(Query!$B$5,'Compliance Database'!$H843))),OR(Query!$B$6="All",ISNUMBER(SEARCH(Query!$B$6,'Compliance Database'!$I843))),OR(Query!$B$7="All",'Compliance Database'!$F843=Query!$B$7),OR(Query!$B$8="All",'Compliance Database'!$J843=Query!$B$8),OR(Query!$B$9="",ISNUMBER(SEARCH(Query!$B$9,'Compliance Database'!$D843&amp;" "&amp;'Compliance Database'!$K843&amp;" "&amp;'Compliance Database'!$L843&amp;" "&amp;'Compliance Database'!$M843&amp;" "&amp;'Compliance Database'!$N843&amp;" "&amp;'Compliance Database'!$O843))),OR(Query!$B$10&lt;&gt;"Yes",'Compliance Database'!$F843&lt;&gt;"None")),1,0)</f>
        <v>0</v>
      </c>
      <c r="B843" t="str">
        <f>IF($A843=1,SUM($A$2:$A843),"")</f>
        <v/>
      </c>
      <c r="C843">
        <f>IF($A843=1,SUM($A$2:$A843),0)</f>
        <v>0</v>
      </c>
    </row>
    <row r="844" spans="1:3" x14ac:dyDescent="0.3">
      <c r="A844">
        <f>IF(AND(OR(Query!$B$4="All",'Compliance Database'!$A844=Query!$B$4),OR(Query!$B$5="All",ISNUMBER(SEARCH(Query!$B$5,'Compliance Database'!$H844))),OR(Query!$B$6="All",ISNUMBER(SEARCH(Query!$B$6,'Compliance Database'!$I844))),OR(Query!$B$7="All",'Compliance Database'!$F844=Query!$B$7),OR(Query!$B$8="All",'Compliance Database'!$J844=Query!$B$8),OR(Query!$B$9="",ISNUMBER(SEARCH(Query!$B$9,'Compliance Database'!$D844&amp;" "&amp;'Compliance Database'!$K844&amp;" "&amp;'Compliance Database'!$L844&amp;" "&amp;'Compliance Database'!$M844&amp;" "&amp;'Compliance Database'!$N844&amp;" "&amp;'Compliance Database'!$O844))),OR(Query!$B$10&lt;&gt;"Yes",'Compliance Database'!$F844&lt;&gt;"None")),1,0)</f>
        <v>0</v>
      </c>
      <c r="B844" t="str">
        <f>IF($A844=1,SUM($A$2:$A844),"")</f>
        <v/>
      </c>
      <c r="C844">
        <f>IF($A844=1,SUM($A$2:$A844),0)</f>
        <v>0</v>
      </c>
    </row>
    <row r="845" spans="1:3" x14ac:dyDescent="0.3">
      <c r="A845">
        <f>IF(AND(OR(Query!$B$4="All",'Compliance Database'!$A845=Query!$B$4),OR(Query!$B$5="All",ISNUMBER(SEARCH(Query!$B$5,'Compliance Database'!$H845))),OR(Query!$B$6="All",ISNUMBER(SEARCH(Query!$B$6,'Compliance Database'!$I845))),OR(Query!$B$7="All",'Compliance Database'!$F845=Query!$B$7),OR(Query!$B$8="All",'Compliance Database'!$J845=Query!$B$8),OR(Query!$B$9="",ISNUMBER(SEARCH(Query!$B$9,'Compliance Database'!$D845&amp;" "&amp;'Compliance Database'!$K845&amp;" "&amp;'Compliance Database'!$L845&amp;" "&amp;'Compliance Database'!$M845&amp;" "&amp;'Compliance Database'!$N845&amp;" "&amp;'Compliance Database'!$O845))),OR(Query!$B$10&lt;&gt;"Yes",'Compliance Database'!$F845&lt;&gt;"None")),1,0)</f>
        <v>0</v>
      </c>
      <c r="B845" t="str">
        <f>IF($A845=1,SUM($A$2:$A845),"")</f>
        <v/>
      </c>
      <c r="C845">
        <f>IF($A845=1,SUM($A$2:$A845),0)</f>
        <v>0</v>
      </c>
    </row>
    <row r="846" spans="1:3" x14ac:dyDescent="0.3">
      <c r="A846">
        <f>IF(AND(OR(Query!$B$4="All",'Compliance Database'!$A846=Query!$B$4),OR(Query!$B$5="All",ISNUMBER(SEARCH(Query!$B$5,'Compliance Database'!$H846))),OR(Query!$B$6="All",ISNUMBER(SEARCH(Query!$B$6,'Compliance Database'!$I846))),OR(Query!$B$7="All",'Compliance Database'!$F846=Query!$B$7),OR(Query!$B$8="All",'Compliance Database'!$J846=Query!$B$8),OR(Query!$B$9="",ISNUMBER(SEARCH(Query!$B$9,'Compliance Database'!$D846&amp;" "&amp;'Compliance Database'!$K846&amp;" "&amp;'Compliance Database'!$L846&amp;" "&amp;'Compliance Database'!$M846&amp;" "&amp;'Compliance Database'!$N846&amp;" "&amp;'Compliance Database'!$O846))),OR(Query!$B$10&lt;&gt;"Yes",'Compliance Database'!$F846&lt;&gt;"None")),1,0)</f>
        <v>0</v>
      </c>
      <c r="B846" t="str">
        <f>IF($A846=1,SUM($A$2:$A846),"")</f>
        <v/>
      </c>
      <c r="C846">
        <f>IF($A846=1,SUM($A$2:$A846),0)</f>
        <v>0</v>
      </c>
    </row>
    <row r="847" spans="1:3" x14ac:dyDescent="0.3">
      <c r="A847">
        <f>IF(AND(OR(Query!$B$4="All",'Compliance Database'!$A847=Query!$B$4),OR(Query!$B$5="All",ISNUMBER(SEARCH(Query!$B$5,'Compliance Database'!$H847))),OR(Query!$B$6="All",ISNUMBER(SEARCH(Query!$B$6,'Compliance Database'!$I847))),OR(Query!$B$7="All",'Compliance Database'!$F847=Query!$B$7),OR(Query!$B$8="All",'Compliance Database'!$J847=Query!$B$8),OR(Query!$B$9="",ISNUMBER(SEARCH(Query!$B$9,'Compliance Database'!$D847&amp;" "&amp;'Compliance Database'!$K847&amp;" "&amp;'Compliance Database'!$L847&amp;" "&amp;'Compliance Database'!$M847&amp;" "&amp;'Compliance Database'!$N847&amp;" "&amp;'Compliance Database'!$O847))),OR(Query!$B$10&lt;&gt;"Yes",'Compliance Database'!$F847&lt;&gt;"None")),1,0)</f>
        <v>0</v>
      </c>
      <c r="B847" t="str">
        <f>IF($A847=1,SUM($A$2:$A847),"")</f>
        <v/>
      </c>
      <c r="C847">
        <f>IF($A847=1,SUM($A$2:$A847),0)</f>
        <v>0</v>
      </c>
    </row>
    <row r="848" spans="1:3" x14ac:dyDescent="0.3">
      <c r="A848">
        <f>IF(AND(OR(Query!$B$4="All",'Compliance Database'!$A848=Query!$B$4),OR(Query!$B$5="All",ISNUMBER(SEARCH(Query!$B$5,'Compliance Database'!$H848))),OR(Query!$B$6="All",ISNUMBER(SEARCH(Query!$B$6,'Compliance Database'!$I848))),OR(Query!$B$7="All",'Compliance Database'!$F848=Query!$B$7),OR(Query!$B$8="All",'Compliance Database'!$J848=Query!$B$8),OR(Query!$B$9="",ISNUMBER(SEARCH(Query!$B$9,'Compliance Database'!$D848&amp;" "&amp;'Compliance Database'!$K848&amp;" "&amp;'Compliance Database'!$L848&amp;" "&amp;'Compliance Database'!$M848&amp;" "&amp;'Compliance Database'!$N848&amp;" "&amp;'Compliance Database'!$O848))),OR(Query!$B$10&lt;&gt;"Yes",'Compliance Database'!$F848&lt;&gt;"None")),1,0)</f>
        <v>0</v>
      </c>
      <c r="B848" t="str">
        <f>IF($A848=1,SUM($A$2:$A848),"")</f>
        <v/>
      </c>
      <c r="C848">
        <f>IF($A848=1,SUM($A$2:$A848),0)</f>
        <v>0</v>
      </c>
    </row>
    <row r="849" spans="1:3" x14ac:dyDescent="0.3">
      <c r="A849">
        <f>IF(AND(OR(Query!$B$4="All",'Compliance Database'!$A849=Query!$B$4),OR(Query!$B$5="All",ISNUMBER(SEARCH(Query!$B$5,'Compliance Database'!$H849))),OR(Query!$B$6="All",ISNUMBER(SEARCH(Query!$B$6,'Compliance Database'!$I849))),OR(Query!$B$7="All",'Compliance Database'!$F849=Query!$B$7),OR(Query!$B$8="All",'Compliance Database'!$J849=Query!$B$8),OR(Query!$B$9="",ISNUMBER(SEARCH(Query!$B$9,'Compliance Database'!$D849&amp;" "&amp;'Compliance Database'!$K849&amp;" "&amp;'Compliance Database'!$L849&amp;" "&amp;'Compliance Database'!$M849&amp;" "&amp;'Compliance Database'!$N849&amp;" "&amp;'Compliance Database'!$O849))),OR(Query!$B$10&lt;&gt;"Yes",'Compliance Database'!$F849&lt;&gt;"None")),1,0)</f>
        <v>0</v>
      </c>
      <c r="B849" t="str">
        <f>IF($A849=1,SUM($A$2:$A849),"")</f>
        <v/>
      </c>
      <c r="C849">
        <f>IF($A849=1,SUM($A$2:$A849),0)</f>
        <v>0</v>
      </c>
    </row>
    <row r="850" spans="1:3" x14ac:dyDescent="0.3">
      <c r="A850">
        <f>IF(AND(OR(Query!$B$4="All",'Compliance Database'!$A850=Query!$B$4),OR(Query!$B$5="All",ISNUMBER(SEARCH(Query!$B$5,'Compliance Database'!$H850))),OR(Query!$B$6="All",ISNUMBER(SEARCH(Query!$B$6,'Compliance Database'!$I850))),OR(Query!$B$7="All",'Compliance Database'!$F850=Query!$B$7),OR(Query!$B$8="All",'Compliance Database'!$J850=Query!$B$8),OR(Query!$B$9="",ISNUMBER(SEARCH(Query!$B$9,'Compliance Database'!$D850&amp;" "&amp;'Compliance Database'!$K850&amp;" "&amp;'Compliance Database'!$L850&amp;" "&amp;'Compliance Database'!$M850&amp;" "&amp;'Compliance Database'!$N850&amp;" "&amp;'Compliance Database'!$O850))),OR(Query!$B$10&lt;&gt;"Yes",'Compliance Database'!$F850&lt;&gt;"None")),1,0)</f>
        <v>0</v>
      </c>
      <c r="B850" t="str">
        <f>IF($A850=1,SUM($A$2:$A850),"")</f>
        <v/>
      </c>
      <c r="C850">
        <f>IF($A850=1,SUM($A$2:$A850),0)</f>
        <v>0</v>
      </c>
    </row>
    <row r="851" spans="1:3" x14ac:dyDescent="0.3">
      <c r="A851">
        <f>IF(AND(OR(Query!$B$4="All",'Compliance Database'!$A851=Query!$B$4),OR(Query!$B$5="All",ISNUMBER(SEARCH(Query!$B$5,'Compliance Database'!$H851))),OR(Query!$B$6="All",ISNUMBER(SEARCH(Query!$B$6,'Compliance Database'!$I851))),OR(Query!$B$7="All",'Compliance Database'!$F851=Query!$B$7),OR(Query!$B$8="All",'Compliance Database'!$J851=Query!$B$8),OR(Query!$B$9="",ISNUMBER(SEARCH(Query!$B$9,'Compliance Database'!$D851&amp;" "&amp;'Compliance Database'!$K851&amp;" "&amp;'Compliance Database'!$L851&amp;" "&amp;'Compliance Database'!$M851&amp;" "&amp;'Compliance Database'!$N851&amp;" "&amp;'Compliance Database'!$O851))),OR(Query!$B$10&lt;&gt;"Yes",'Compliance Database'!$F851&lt;&gt;"None")),1,0)</f>
        <v>0</v>
      </c>
      <c r="B851" t="str">
        <f>IF($A851=1,SUM($A$2:$A851),"")</f>
        <v/>
      </c>
      <c r="C851">
        <f>IF($A851=1,SUM($A$2:$A851),0)</f>
        <v>0</v>
      </c>
    </row>
    <row r="852" spans="1:3" x14ac:dyDescent="0.3">
      <c r="A852">
        <f>IF(AND(OR(Query!$B$4="All",'Compliance Database'!$A852=Query!$B$4),OR(Query!$B$5="All",ISNUMBER(SEARCH(Query!$B$5,'Compliance Database'!$H852))),OR(Query!$B$6="All",ISNUMBER(SEARCH(Query!$B$6,'Compliance Database'!$I852))),OR(Query!$B$7="All",'Compliance Database'!$F852=Query!$B$7),OR(Query!$B$8="All",'Compliance Database'!$J852=Query!$B$8),OR(Query!$B$9="",ISNUMBER(SEARCH(Query!$B$9,'Compliance Database'!$D852&amp;" "&amp;'Compliance Database'!$K852&amp;" "&amp;'Compliance Database'!$L852&amp;" "&amp;'Compliance Database'!$M852&amp;" "&amp;'Compliance Database'!$N852&amp;" "&amp;'Compliance Database'!$O852))),OR(Query!$B$10&lt;&gt;"Yes",'Compliance Database'!$F852&lt;&gt;"None")),1,0)</f>
        <v>0</v>
      </c>
      <c r="B852" t="str">
        <f>IF($A852=1,SUM($A$2:$A852),"")</f>
        <v/>
      </c>
      <c r="C852">
        <f>IF($A852=1,SUM($A$2:$A852),0)</f>
        <v>0</v>
      </c>
    </row>
    <row r="853" spans="1:3" x14ac:dyDescent="0.3">
      <c r="A853">
        <f>IF(AND(OR(Query!$B$4="All",'Compliance Database'!$A853=Query!$B$4),OR(Query!$B$5="All",ISNUMBER(SEARCH(Query!$B$5,'Compliance Database'!$H853))),OR(Query!$B$6="All",ISNUMBER(SEARCH(Query!$B$6,'Compliance Database'!$I853))),OR(Query!$B$7="All",'Compliance Database'!$F853=Query!$B$7),OR(Query!$B$8="All",'Compliance Database'!$J853=Query!$B$8),OR(Query!$B$9="",ISNUMBER(SEARCH(Query!$B$9,'Compliance Database'!$D853&amp;" "&amp;'Compliance Database'!$K853&amp;" "&amp;'Compliance Database'!$L853&amp;" "&amp;'Compliance Database'!$M853&amp;" "&amp;'Compliance Database'!$N853&amp;" "&amp;'Compliance Database'!$O853))),OR(Query!$B$10&lt;&gt;"Yes",'Compliance Database'!$F853&lt;&gt;"None")),1,0)</f>
        <v>0</v>
      </c>
      <c r="B853" t="str">
        <f>IF($A853=1,SUM($A$2:$A853),"")</f>
        <v/>
      </c>
      <c r="C853">
        <f>IF($A853=1,SUM($A$2:$A853),0)</f>
        <v>0</v>
      </c>
    </row>
    <row r="854" spans="1:3" x14ac:dyDescent="0.3">
      <c r="A854">
        <f>IF(AND(OR(Query!$B$4="All",'Compliance Database'!$A854=Query!$B$4),OR(Query!$B$5="All",ISNUMBER(SEARCH(Query!$B$5,'Compliance Database'!$H854))),OR(Query!$B$6="All",ISNUMBER(SEARCH(Query!$B$6,'Compliance Database'!$I854))),OR(Query!$B$7="All",'Compliance Database'!$F854=Query!$B$7),OR(Query!$B$8="All",'Compliance Database'!$J854=Query!$B$8),OR(Query!$B$9="",ISNUMBER(SEARCH(Query!$B$9,'Compliance Database'!$D854&amp;" "&amp;'Compliance Database'!$K854&amp;" "&amp;'Compliance Database'!$L854&amp;" "&amp;'Compliance Database'!$M854&amp;" "&amp;'Compliance Database'!$N854&amp;" "&amp;'Compliance Database'!$O854))),OR(Query!$B$10&lt;&gt;"Yes",'Compliance Database'!$F854&lt;&gt;"None")),1,0)</f>
        <v>0</v>
      </c>
      <c r="B854" t="str">
        <f>IF($A854=1,SUM($A$2:$A854),"")</f>
        <v/>
      </c>
      <c r="C854">
        <f>IF($A854=1,SUM($A$2:$A854),0)</f>
        <v>0</v>
      </c>
    </row>
    <row r="855" spans="1:3" x14ac:dyDescent="0.3">
      <c r="A855">
        <f>IF(AND(OR(Query!$B$4="All",'Compliance Database'!$A855=Query!$B$4),OR(Query!$B$5="All",ISNUMBER(SEARCH(Query!$B$5,'Compliance Database'!$H855))),OR(Query!$B$6="All",ISNUMBER(SEARCH(Query!$B$6,'Compliance Database'!$I855))),OR(Query!$B$7="All",'Compliance Database'!$F855=Query!$B$7),OR(Query!$B$8="All",'Compliance Database'!$J855=Query!$B$8),OR(Query!$B$9="",ISNUMBER(SEARCH(Query!$B$9,'Compliance Database'!$D855&amp;" "&amp;'Compliance Database'!$K855&amp;" "&amp;'Compliance Database'!$L855&amp;" "&amp;'Compliance Database'!$M855&amp;" "&amp;'Compliance Database'!$N855&amp;" "&amp;'Compliance Database'!$O855))),OR(Query!$B$10&lt;&gt;"Yes",'Compliance Database'!$F855&lt;&gt;"None")),1,0)</f>
        <v>0</v>
      </c>
      <c r="B855" t="str">
        <f>IF($A855=1,SUM($A$2:$A855),"")</f>
        <v/>
      </c>
      <c r="C855">
        <f>IF($A855=1,SUM($A$2:$A855),0)</f>
        <v>0</v>
      </c>
    </row>
    <row r="856" spans="1:3" x14ac:dyDescent="0.3">
      <c r="A856">
        <f>IF(AND(OR(Query!$B$4="All",'Compliance Database'!$A856=Query!$B$4),OR(Query!$B$5="All",ISNUMBER(SEARCH(Query!$B$5,'Compliance Database'!$H856))),OR(Query!$B$6="All",ISNUMBER(SEARCH(Query!$B$6,'Compliance Database'!$I856))),OR(Query!$B$7="All",'Compliance Database'!$F856=Query!$B$7),OR(Query!$B$8="All",'Compliance Database'!$J856=Query!$B$8),OR(Query!$B$9="",ISNUMBER(SEARCH(Query!$B$9,'Compliance Database'!$D856&amp;" "&amp;'Compliance Database'!$K856&amp;" "&amp;'Compliance Database'!$L856&amp;" "&amp;'Compliance Database'!$M856&amp;" "&amp;'Compliance Database'!$N856&amp;" "&amp;'Compliance Database'!$O856))),OR(Query!$B$10&lt;&gt;"Yes",'Compliance Database'!$F856&lt;&gt;"None")),1,0)</f>
        <v>0</v>
      </c>
      <c r="B856" t="str">
        <f>IF($A856=1,SUM($A$2:$A856),"")</f>
        <v/>
      </c>
      <c r="C856">
        <f>IF($A856=1,SUM($A$2:$A856),0)</f>
        <v>0</v>
      </c>
    </row>
    <row r="857" spans="1:3" x14ac:dyDescent="0.3">
      <c r="A857">
        <f>IF(AND(OR(Query!$B$4="All",'Compliance Database'!$A857=Query!$B$4),OR(Query!$B$5="All",ISNUMBER(SEARCH(Query!$B$5,'Compliance Database'!$H857))),OR(Query!$B$6="All",ISNUMBER(SEARCH(Query!$B$6,'Compliance Database'!$I857))),OR(Query!$B$7="All",'Compliance Database'!$F857=Query!$B$7),OR(Query!$B$8="All",'Compliance Database'!$J857=Query!$B$8),OR(Query!$B$9="",ISNUMBER(SEARCH(Query!$B$9,'Compliance Database'!$D857&amp;" "&amp;'Compliance Database'!$K857&amp;" "&amp;'Compliance Database'!$L857&amp;" "&amp;'Compliance Database'!$M857&amp;" "&amp;'Compliance Database'!$N857&amp;" "&amp;'Compliance Database'!$O857))),OR(Query!$B$10&lt;&gt;"Yes",'Compliance Database'!$F857&lt;&gt;"None")),1,0)</f>
        <v>0</v>
      </c>
      <c r="B857" t="str">
        <f>IF($A857=1,SUM($A$2:$A857),"")</f>
        <v/>
      </c>
      <c r="C857">
        <f>IF($A857=1,SUM($A$2:$A857),0)</f>
        <v>0</v>
      </c>
    </row>
    <row r="858" spans="1:3" x14ac:dyDescent="0.3">
      <c r="A858">
        <f>IF(AND(OR(Query!$B$4="All",'Compliance Database'!$A858=Query!$B$4),OR(Query!$B$5="All",ISNUMBER(SEARCH(Query!$B$5,'Compliance Database'!$H858))),OR(Query!$B$6="All",ISNUMBER(SEARCH(Query!$B$6,'Compliance Database'!$I858))),OR(Query!$B$7="All",'Compliance Database'!$F858=Query!$B$7),OR(Query!$B$8="All",'Compliance Database'!$J858=Query!$B$8),OR(Query!$B$9="",ISNUMBER(SEARCH(Query!$B$9,'Compliance Database'!$D858&amp;" "&amp;'Compliance Database'!$K858&amp;" "&amp;'Compliance Database'!$L858&amp;" "&amp;'Compliance Database'!$M858&amp;" "&amp;'Compliance Database'!$N858&amp;" "&amp;'Compliance Database'!$O858))),OR(Query!$B$10&lt;&gt;"Yes",'Compliance Database'!$F858&lt;&gt;"None")),1,0)</f>
        <v>0</v>
      </c>
      <c r="B858" t="str">
        <f>IF($A858=1,SUM($A$2:$A858),"")</f>
        <v/>
      </c>
      <c r="C858">
        <f>IF($A858=1,SUM($A$2:$A858),0)</f>
        <v>0</v>
      </c>
    </row>
    <row r="859" spans="1:3" x14ac:dyDescent="0.3">
      <c r="A859">
        <f>IF(AND(OR(Query!$B$4="All",'Compliance Database'!$A859=Query!$B$4),OR(Query!$B$5="All",ISNUMBER(SEARCH(Query!$B$5,'Compliance Database'!$H859))),OR(Query!$B$6="All",ISNUMBER(SEARCH(Query!$B$6,'Compliance Database'!$I859))),OR(Query!$B$7="All",'Compliance Database'!$F859=Query!$B$7),OR(Query!$B$8="All",'Compliance Database'!$J859=Query!$B$8),OR(Query!$B$9="",ISNUMBER(SEARCH(Query!$B$9,'Compliance Database'!$D859&amp;" "&amp;'Compliance Database'!$K859&amp;" "&amp;'Compliance Database'!$L859&amp;" "&amp;'Compliance Database'!$M859&amp;" "&amp;'Compliance Database'!$N859&amp;" "&amp;'Compliance Database'!$O859))),OR(Query!$B$10&lt;&gt;"Yes",'Compliance Database'!$F859&lt;&gt;"None")),1,0)</f>
        <v>0</v>
      </c>
      <c r="B859" t="str">
        <f>IF($A859=1,SUM($A$2:$A859),"")</f>
        <v/>
      </c>
      <c r="C859">
        <f>IF($A859=1,SUM($A$2:$A859),0)</f>
        <v>0</v>
      </c>
    </row>
    <row r="860" spans="1:3" x14ac:dyDescent="0.3">
      <c r="A860">
        <f>IF(AND(OR(Query!$B$4="All",'Compliance Database'!$A860=Query!$B$4),OR(Query!$B$5="All",ISNUMBER(SEARCH(Query!$B$5,'Compliance Database'!$H860))),OR(Query!$B$6="All",ISNUMBER(SEARCH(Query!$B$6,'Compliance Database'!$I860))),OR(Query!$B$7="All",'Compliance Database'!$F860=Query!$B$7),OR(Query!$B$8="All",'Compliance Database'!$J860=Query!$B$8),OR(Query!$B$9="",ISNUMBER(SEARCH(Query!$B$9,'Compliance Database'!$D860&amp;" "&amp;'Compliance Database'!$K860&amp;" "&amp;'Compliance Database'!$L860&amp;" "&amp;'Compliance Database'!$M860&amp;" "&amp;'Compliance Database'!$N860&amp;" "&amp;'Compliance Database'!$O860))),OR(Query!$B$10&lt;&gt;"Yes",'Compliance Database'!$F860&lt;&gt;"None")),1,0)</f>
        <v>0</v>
      </c>
      <c r="B860" t="str">
        <f>IF($A860=1,SUM($A$2:$A860),"")</f>
        <v/>
      </c>
      <c r="C860">
        <f>IF($A860=1,SUM($A$2:$A860),0)</f>
        <v>0</v>
      </c>
    </row>
    <row r="861" spans="1:3" x14ac:dyDescent="0.3">
      <c r="A861">
        <f>IF(AND(OR(Query!$B$4="All",'Compliance Database'!$A861=Query!$B$4),OR(Query!$B$5="All",ISNUMBER(SEARCH(Query!$B$5,'Compliance Database'!$H861))),OR(Query!$B$6="All",ISNUMBER(SEARCH(Query!$B$6,'Compliance Database'!$I861))),OR(Query!$B$7="All",'Compliance Database'!$F861=Query!$B$7),OR(Query!$B$8="All",'Compliance Database'!$J861=Query!$B$8),OR(Query!$B$9="",ISNUMBER(SEARCH(Query!$B$9,'Compliance Database'!$D861&amp;" "&amp;'Compliance Database'!$K861&amp;" "&amp;'Compliance Database'!$L861&amp;" "&amp;'Compliance Database'!$M861&amp;" "&amp;'Compliance Database'!$N861&amp;" "&amp;'Compliance Database'!$O861))),OR(Query!$B$10&lt;&gt;"Yes",'Compliance Database'!$F861&lt;&gt;"None")),1,0)</f>
        <v>0</v>
      </c>
      <c r="B861" t="str">
        <f>IF($A861=1,SUM($A$2:$A861),"")</f>
        <v/>
      </c>
      <c r="C861">
        <f>IF($A861=1,SUM($A$2:$A861),0)</f>
        <v>0</v>
      </c>
    </row>
    <row r="862" spans="1:3" x14ac:dyDescent="0.3">
      <c r="A862">
        <f>IF(AND(OR(Query!$B$4="All",'Compliance Database'!$A862=Query!$B$4),OR(Query!$B$5="All",ISNUMBER(SEARCH(Query!$B$5,'Compliance Database'!$H862))),OR(Query!$B$6="All",ISNUMBER(SEARCH(Query!$B$6,'Compliance Database'!$I862))),OR(Query!$B$7="All",'Compliance Database'!$F862=Query!$B$7),OR(Query!$B$8="All",'Compliance Database'!$J862=Query!$B$8),OR(Query!$B$9="",ISNUMBER(SEARCH(Query!$B$9,'Compliance Database'!$D862&amp;" "&amp;'Compliance Database'!$K862&amp;" "&amp;'Compliance Database'!$L862&amp;" "&amp;'Compliance Database'!$M862&amp;" "&amp;'Compliance Database'!$N862&amp;" "&amp;'Compliance Database'!$O862))),OR(Query!$B$10&lt;&gt;"Yes",'Compliance Database'!$F862&lt;&gt;"None")),1,0)</f>
        <v>0</v>
      </c>
      <c r="B862" t="str">
        <f>IF($A862=1,SUM($A$2:$A862),"")</f>
        <v/>
      </c>
      <c r="C862">
        <f>IF($A862=1,SUM($A$2:$A862),0)</f>
        <v>0</v>
      </c>
    </row>
    <row r="863" spans="1:3" x14ac:dyDescent="0.3">
      <c r="A863">
        <f>IF(AND(OR(Query!$B$4="All",'Compliance Database'!$A863=Query!$B$4),OR(Query!$B$5="All",ISNUMBER(SEARCH(Query!$B$5,'Compliance Database'!$H863))),OR(Query!$B$6="All",ISNUMBER(SEARCH(Query!$B$6,'Compliance Database'!$I863))),OR(Query!$B$7="All",'Compliance Database'!$F863=Query!$B$7),OR(Query!$B$8="All",'Compliance Database'!$J863=Query!$B$8),OR(Query!$B$9="",ISNUMBER(SEARCH(Query!$B$9,'Compliance Database'!$D863&amp;" "&amp;'Compliance Database'!$K863&amp;" "&amp;'Compliance Database'!$L863&amp;" "&amp;'Compliance Database'!$M863&amp;" "&amp;'Compliance Database'!$N863&amp;" "&amp;'Compliance Database'!$O863))),OR(Query!$B$10&lt;&gt;"Yes",'Compliance Database'!$F863&lt;&gt;"None")),1,0)</f>
        <v>0</v>
      </c>
      <c r="B863" t="str">
        <f>IF($A863=1,SUM($A$2:$A863),"")</f>
        <v/>
      </c>
      <c r="C863">
        <f>IF($A863=1,SUM($A$2:$A863),0)</f>
        <v>0</v>
      </c>
    </row>
    <row r="864" spans="1:3" x14ac:dyDescent="0.3">
      <c r="A864">
        <f>IF(AND(OR(Query!$B$4="All",'Compliance Database'!$A864=Query!$B$4),OR(Query!$B$5="All",ISNUMBER(SEARCH(Query!$B$5,'Compliance Database'!$H864))),OR(Query!$B$6="All",ISNUMBER(SEARCH(Query!$B$6,'Compliance Database'!$I864))),OR(Query!$B$7="All",'Compliance Database'!$F864=Query!$B$7),OR(Query!$B$8="All",'Compliance Database'!$J864=Query!$B$8),OR(Query!$B$9="",ISNUMBER(SEARCH(Query!$B$9,'Compliance Database'!$D864&amp;" "&amp;'Compliance Database'!$K864&amp;" "&amp;'Compliance Database'!$L864&amp;" "&amp;'Compliance Database'!$M864&amp;" "&amp;'Compliance Database'!$N864&amp;" "&amp;'Compliance Database'!$O864))),OR(Query!$B$10&lt;&gt;"Yes",'Compliance Database'!$F864&lt;&gt;"None")),1,0)</f>
        <v>0</v>
      </c>
      <c r="B864" t="str">
        <f>IF($A864=1,SUM($A$2:$A864),"")</f>
        <v/>
      </c>
      <c r="C864">
        <f>IF($A864=1,SUM($A$2:$A864),0)</f>
        <v>0</v>
      </c>
    </row>
    <row r="865" spans="1:3" x14ac:dyDescent="0.3">
      <c r="A865">
        <f>IF(AND(OR(Query!$B$4="All",'Compliance Database'!$A865=Query!$B$4),OR(Query!$B$5="All",ISNUMBER(SEARCH(Query!$B$5,'Compliance Database'!$H865))),OR(Query!$B$6="All",ISNUMBER(SEARCH(Query!$B$6,'Compliance Database'!$I865))),OR(Query!$B$7="All",'Compliance Database'!$F865=Query!$B$7),OR(Query!$B$8="All",'Compliance Database'!$J865=Query!$B$8),OR(Query!$B$9="",ISNUMBER(SEARCH(Query!$B$9,'Compliance Database'!$D865&amp;" "&amp;'Compliance Database'!$K865&amp;" "&amp;'Compliance Database'!$L865&amp;" "&amp;'Compliance Database'!$M865&amp;" "&amp;'Compliance Database'!$N865&amp;" "&amp;'Compliance Database'!$O865))),OR(Query!$B$10&lt;&gt;"Yes",'Compliance Database'!$F865&lt;&gt;"None")),1,0)</f>
        <v>0</v>
      </c>
      <c r="B865" t="str">
        <f>IF($A865=1,SUM($A$2:$A865),"")</f>
        <v/>
      </c>
      <c r="C865">
        <f>IF($A865=1,SUM($A$2:$A865),0)</f>
        <v>0</v>
      </c>
    </row>
    <row r="866" spans="1:3" x14ac:dyDescent="0.3">
      <c r="A866">
        <f>IF(AND(OR(Query!$B$4="All",'Compliance Database'!$A866=Query!$B$4),OR(Query!$B$5="All",ISNUMBER(SEARCH(Query!$B$5,'Compliance Database'!$H866))),OR(Query!$B$6="All",ISNUMBER(SEARCH(Query!$B$6,'Compliance Database'!$I866))),OR(Query!$B$7="All",'Compliance Database'!$F866=Query!$B$7),OR(Query!$B$8="All",'Compliance Database'!$J866=Query!$B$8),OR(Query!$B$9="",ISNUMBER(SEARCH(Query!$B$9,'Compliance Database'!$D866&amp;" "&amp;'Compliance Database'!$K866&amp;" "&amp;'Compliance Database'!$L866&amp;" "&amp;'Compliance Database'!$M866&amp;" "&amp;'Compliance Database'!$N866&amp;" "&amp;'Compliance Database'!$O866))),OR(Query!$B$10&lt;&gt;"Yes",'Compliance Database'!$F866&lt;&gt;"None")),1,0)</f>
        <v>0</v>
      </c>
      <c r="B866" t="str">
        <f>IF($A866=1,SUM($A$2:$A866),"")</f>
        <v/>
      </c>
      <c r="C866">
        <f>IF($A866=1,SUM($A$2:$A866),0)</f>
        <v>0</v>
      </c>
    </row>
    <row r="867" spans="1:3" x14ac:dyDescent="0.3">
      <c r="A867">
        <f>IF(AND(OR(Query!$B$4="All",'Compliance Database'!$A867=Query!$B$4),OR(Query!$B$5="All",ISNUMBER(SEARCH(Query!$B$5,'Compliance Database'!$H867))),OR(Query!$B$6="All",ISNUMBER(SEARCH(Query!$B$6,'Compliance Database'!$I867))),OR(Query!$B$7="All",'Compliance Database'!$F867=Query!$B$7),OR(Query!$B$8="All",'Compliance Database'!$J867=Query!$B$8),OR(Query!$B$9="",ISNUMBER(SEARCH(Query!$B$9,'Compliance Database'!$D867&amp;" "&amp;'Compliance Database'!$K867&amp;" "&amp;'Compliance Database'!$L867&amp;" "&amp;'Compliance Database'!$M867&amp;" "&amp;'Compliance Database'!$N867&amp;" "&amp;'Compliance Database'!$O867))),OR(Query!$B$10&lt;&gt;"Yes",'Compliance Database'!$F867&lt;&gt;"None")),1,0)</f>
        <v>0</v>
      </c>
      <c r="B867" t="str">
        <f>IF($A867=1,SUM($A$2:$A867),"")</f>
        <v/>
      </c>
      <c r="C867">
        <f>IF($A867=1,SUM($A$2:$A867),0)</f>
        <v>0</v>
      </c>
    </row>
    <row r="868" spans="1:3" x14ac:dyDescent="0.3">
      <c r="A868">
        <f>IF(AND(OR(Query!$B$4="All",'Compliance Database'!$A868=Query!$B$4),OR(Query!$B$5="All",ISNUMBER(SEARCH(Query!$B$5,'Compliance Database'!$H868))),OR(Query!$B$6="All",ISNUMBER(SEARCH(Query!$B$6,'Compliance Database'!$I868))),OR(Query!$B$7="All",'Compliance Database'!$F868=Query!$B$7),OR(Query!$B$8="All",'Compliance Database'!$J868=Query!$B$8),OR(Query!$B$9="",ISNUMBER(SEARCH(Query!$B$9,'Compliance Database'!$D868&amp;" "&amp;'Compliance Database'!$K868&amp;" "&amp;'Compliance Database'!$L868&amp;" "&amp;'Compliance Database'!$M868&amp;" "&amp;'Compliance Database'!$N868&amp;" "&amp;'Compliance Database'!$O868))),OR(Query!$B$10&lt;&gt;"Yes",'Compliance Database'!$F868&lt;&gt;"None")),1,0)</f>
        <v>0</v>
      </c>
      <c r="B868" t="str">
        <f>IF($A868=1,SUM($A$2:$A868),"")</f>
        <v/>
      </c>
      <c r="C868">
        <f>IF($A868=1,SUM($A$2:$A868),0)</f>
        <v>0</v>
      </c>
    </row>
    <row r="869" spans="1:3" x14ac:dyDescent="0.3">
      <c r="A869">
        <f>IF(AND(OR(Query!$B$4="All",'Compliance Database'!$A869=Query!$B$4),OR(Query!$B$5="All",ISNUMBER(SEARCH(Query!$B$5,'Compliance Database'!$H869))),OR(Query!$B$6="All",ISNUMBER(SEARCH(Query!$B$6,'Compliance Database'!$I869))),OR(Query!$B$7="All",'Compliance Database'!$F869=Query!$B$7),OR(Query!$B$8="All",'Compliance Database'!$J869=Query!$B$8),OR(Query!$B$9="",ISNUMBER(SEARCH(Query!$B$9,'Compliance Database'!$D869&amp;" "&amp;'Compliance Database'!$K869&amp;" "&amp;'Compliance Database'!$L869&amp;" "&amp;'Compliance Database'!$M869&amp;" "&amp;'Compliance Database'!$N869&amp;" "&amp;'Compliance Database'!$O869))),OR(Query!$B$10&lt;&gt;"Yes",'Compliance Database'!$F869&lt;&gt;"None")),1,0)</f>
        <v>0</v>
      </c>
      <c r="B869" t="str">
        <f>IF($A869=1,SUM($A$2:$A869),"")</f>
        <v/>
      </c>
      <c r="C869">
        <f>IF($A869=1,SUM($A$2:$A869),0)</f>
        <v>0</v>
      </c>
    </row>
    <row r="870" spans="1:3" x14ac:dyDescent="0.3">
      <c r="A870">
        <f>IF(AND(OR(Query!$B$4="All",'Compliance Database'!$A870=Query!$B$4),OR(Query!$B$5="All",ISNUMBER(SEARCH(Query!$B$5,'Compliance Database'!$H870))),OR(Query!$B$6="All",ISNUMBER(SEARCH(Query!$B$6,'Compliance Database'!$I870))),OR(Query!$B$7="All",'Compliance Database'!$F870=Query!$B$7),OR(Query!$B$8="All",'Compliance Database'!$J870=Query!$B$8),OR(Query!$B$9="",ISNUMBER(SEARCH(Query!$B$9,'Compliance Database'!$D870&amp;" "&amp;'Compliance Database'!$K870&amp;" "&amp;'Compliance Database'!$L870&amp;" "&amp;'Compliance Database'!$M870&amp;" "&amp;'Compliance Database'!$N870&amp;" "&amp;'Compliance Database'!$O870))),OR(Query!$B$10&lt;&gt;"Yes",'Compliance Database'!$F870&lt;&gt;"None")),1,0)</f>
        <v>0</v>
      </c>
      <c r="B870" t="str">
        <f>IF($A870=1,SUM($A$2:$A870),"")</f>
        <v/>
      </c>
      <c r="C870">
        <f>IF($A870=1,SUM($A$2:$A870),0)</f>
        <v>0</v>
      </c>
    </row>
    <row r="871" spans="1:3" x14ac:dyDescent="0.3">
      <c r="A871">
        <f>IF(AND(OR(Query!$B$4="All",'Compliance Database'!$A871=Query!$B$4),OR(Query!$B$5="All",ISNUMBER(SEARCH(Query!$B$5,'Compliance Database'!$H871))),OR(Query!$B$6="All",ISNUMBER(SEARCH(Query!$B$6,'Compliance Database'!$I871))),OR(Query!$B$7="All",'Compliance Database'!$F871=Query!$B$7),OR(Query!$B$8="All",'Compliance Database'!$J871=Query!$B$8),OR(Query!$B$9="",ISNUMBER(SEARCH(Query!$B$9,'Compliance Database'!$D871&amp;" "&amp;'Compliance Database'!$K871&amp;" "&amp;'Compliance Database'!$L871&amp;" "&amp;'Compliance Database'!$M871&amp;" "&amp;'Compliance Database'!$N871&amp;" "&amp;'Compliance Database'!$O871))),OR(Query!$B$10&lt;&gt;"Yes",'Compliance Database'!$F871&lt;&gt;"None")),1,0)</f>
        <v>0</v>
      </c>
      <c r="B871" t="str">
        <f>IF($A871=1,SUM($A$2:$A871),"")</f>
        <v/>
      </c>
      <c r="C871">
        <f>IF($A871=1,SUM($A$2:$A871),0)</f>
        <v>0</v>
      </c>
    </row>
    <row r="872" spans="1:3" x14ac:dyDescent="0.3">
      <c r="A872">
        <f>IF(AND(OR(Query!$B$4="All",'Compliance Database'!$A872=Query!$B$4),OR(Query!$B$5="All",ISNUMBER(SEARCH(Query!$B$5,'Compliance Database'!$H872))),OR(Query!$B$6="All",ISNUMBER(SEARCH(Query!$B$6,'Compliance Database'!$I872))),OR(Query!$B$7="All",'Compliance Database'!$F872=Query!$B$7),OR(Query!$B$8="All",'Compliance Database'!$J872=Query!$B$8),OR(Query!$B$9="",ISNUMBER(SEARCH(Query!$B$9,'Compliance Database'!$D872&amp;" "&amp;'Compliance Database'!$K872&amp;" "&amp;'Compliance Database'!$L872&amp;" "&amp;'Compliance Database'!$M872&amp;" "&amp;'Compliance Database'!$N872&amp;" "&amp;'Compliance Database'!$O872))),OR(Query!$B$10&lt;&gt;"Yes",'Compliance Database'!$F872&lt;&gt;"None")),1,0)</f>
        <v>0</v>
      </c>
      <c r="B872" t="str">
        <f>IF($A872=1,SUM($A$2:$A872),"")</f>
        <v/>
      </c>
      <c r="C872">
        <f>IF($A872=1,SUM($A$2:$A872),0)</f>
        <v>0</v>
      </c>
    </row>
    <row r="873" spans="1:3" x14ac:dyDescent="0.3">
      <c r="A873">
        <f>IF(AND(OR(Query!$B$4="All",'Compliance Database'!$A873=Query!$B$4),OR(Query!$B$5="All",ISNUMBER(SEARCH(Query!$B$5,'Compliance Database'!$H873))),OR(Query!$B$6="All",ISNUMBER(SEARCH(Query!$B$6,'Compliance Database'!$I873))),OR(Query!$B$7="All",'Compliance Database'!$F873=Query!$B$7),OR(Query!$B$8="All",'Compliance Database'!$J873=Query!$B$8),OR(Query!$B$9="",ISNUMBER(SEARCH(Query!$B$9,'Compliance Database'!$D873&amp;" "&amp;'Compliance Database'!$K873&amp;" "&amp;'Compliance Database'!$L873&amp;" "&amp;'Compliance Database'!$M873&amp;" "&amp;'Compliance Database'!$N873&amp;" "&amp;'Compliance Database'!$O873))),OR(Query!$B$10&lt;&gt;"Yes",'Compliance Database'!$F873&lt;&gt;"None")),1,0)</f>
        <v>0</v>
      </c>
      <c r="B873" t="str">
        <f>IF($A873=1,SUM($A$2:$A873),"")</f>
        <v/>
      </c>
      <c r="C873">
        <f>IF($A873=1,SUM($A$2:$A873),0)</f>
        <v>0</v>
      </c>
    </row>
    <row r="874" spans="1:3" x14ac:dyDescent="0.3">
      <c r="A874">
        <f>IF(AND(OR(Query!$B$4="All",'Compliance Database'!$A874=Query!$B$4),OR(Query!$B$5="All",ISNUMBER(SEARCH(Query!$B$5,'Compliance Database'!$H874))),OR(Query!$B$6="All",ISNUMBER(SEARCH(Query!$B$6,'Compliance Database'!$I874))),OR(Query!$B$7="All",'Compliance Database'!$F874=Query!$B$7),OR(Query!$B$8="All",'Compliance Database'!$J874=Query!$B$8),OR(Query!$B$9="",ISNUMBER(SEARCH(Query!$B$9,'Compliance Database'!$D874&amp;" "&amp;'Compliance Database'!$K874&amp;" "&amp;'Compliance Database'!$L874&amp;" "&amp;'Compliance Database'!$M874&amp;" "&amp;'Compliance Database'!$N874&amp;" "&amp;'Compliance Database'!$O874))),OR(Query!$B$10&lt;&gt;"Yes",'Compliance Database'!$F874&lt;&gt;"None")),1,0)</f>
        <v>0</v>
      </c>
      <c r="B874" t="str">
        <f>IF($A874=1,SUM($A$2:$A874),"")</f>
        <v/>
      </c>
      <c r="C874">
        <f>IF($A874=1,SUM($A$2:$A874),0)</f>
        <v>0</v>
      </c>
    </row>
    <row r="875" spans="1:3" x14ac:dyDescent="0.3">
      <c r="A875">
        <f>IF(AND(OR(Query!$B$4="All",'Compliance Database'!$A875=Query!$B$4),OR(Query!$B$5="All",ISNUMBER(SEARCH(Query!$B$5,'Compliance Database'!$H875))),OR(Query!$B$6="All",ISNUMBER(SEARCH(Query!$B$6,'Compliance Database'!$I875))),OR(Query!$B$7="All",'Compliance Database'!$F875=Query!$B$7),OR(Query!$B$8="All",'Compliance Database'!$J875=Query!$B$8),OR(Query!$B$9="",ISNUMBER(SEARCH(Query!$B$9,'Compliance Database'!$D875&amp;" "&amp;'Compliance Database'!$K875&amp;" "&amp;'Compliance Database'!$L875&amp;" "&amp;'Compliance Database'!$M875&amp;" "&amp;'Compliance Database'!$N875&amp;" "&amp;'Compliance Database'!$O875))),OR(Query!$B$10&lt;&gt;"Yes",'Compliance Database'!$F875&lt;&gt;"None")),1,0)</f>
        <v>0</v>
      </c>
      <c r="B875" t="str">
        <f>IF($A875=1,SUM($A$2:$A875),"")</f>
        <v/>
      </c>
      <c r="C875">
        <f>IF($A875=1,SUM($A$2:$A875),0)</f>
        <v>0</v>
      </c>
    </row>
    <row r="876" spans="1:3" x14ac:dyDescent="0.3">
      <c r="A876">
        <f>IF(AND(OR(Query!$B$4="All",'Compliance Database'!$A876=Query!$B$4),OR(Query!$B$5="All",ISNUMBER(SEARCH(Query!$B$5,'Compliance Database'!$H876))),OR(Query!$B$6="All",ISNUMBER(SEARCH(Query!$B$6,'Compliance Database'!$I876))),OR(Query!$B$7="All",'Compliance Database'!$F876=Query!$B$7),OR(Query!$B$8="All",'Compliance Database'!$J876=Query!$B$8),OR(Query!$B$9="",ISNUMBER(SEARCH(Query!$B$9,'Compliance Database'!$D876&amp;" "&amp;'Compliance Database'!$K876&amp;" "&amp;'Compliance Database'!$L876&amp;" "&amp;'Compliance Database'!$M876&amp;" "&amp;'Compliance Database'!$N876&amp;" "&amp;'Compliance Database'!$O876))),OR(Query!$B$10&lt;&gt;"Yes",'Compliance Database'!$F876&lt;&gt;"None")),1,0)</f>
        <v>0</v>
      </c>
      <c r="B876" t="str">
        <f>IF($A876=1,SUM($A$2:$A876),"")</f>
        <v/>
      </c>
      <c r="C876">
        <f>IF($A876=1,SUM($A$2:$A876),0)</f>
        <v>0</v>
      </c>
    </row>
    <row r="877" spans="1:3" x14ac:dyDescent="0.3">
      <c r="A877">
        <f>IF(AND(OR(Query!$B$4="All",'Compliance Database'!$A877=Query!$B$4),OR(Query!$B$5="All",ISNUMBER(SEARCH(Query!$B$5,'Compliance Database'!$H877))),OR(Query!$B$6="All",ISNUMBER(SEARCH(Query!$B$6,'Compliance Database'!$I877))),OR(Query!$B$7="All",'Compliance Database'!$F877=Query!$B$7),OR(Query!$B$8="All",'Compliance Database'!$J877=Query!$B$8),OR(Query!$B$9="",ISNUMBER(SEARCH(Query!$B$9,'Compliance Database'!$D877&amp;" "&amp;'Compliance Database'!$K877&amp;" "&amp;'Compliance Database'!$L877&amp;" "&amp;'Compliance Database'!$M877&amp;" "&amp;'Compliance Database'!$N877&amp;" "&amp;'Compliance Database'!$O877))),OR(Query!$B$10&lt;&gt;"Yes",'Compliance Database'!$F877&lt;&gt;"None")),1,0)</f>
        <v>0</v>
      </c>
      <c r="B877" t="str">
        <f>IF($A877=1,SUM($A$2:$A877),"")</f>
        <v/>
      </c>
      <c r="C877">
        <f>IF($A877=1,SUM($A$2:$A877),0)</f>
        <v>0</v>
      </c>
    </row>
    <row r="878" spans="1:3" x14ac:dyDescent="0.3">
      <c r="A878">
        <f>IF(AND(OR(Query!$B$4="All",'Compliance Database'!$A878=Query!$B$4),OR(Query!$B$5="All",ISNUMBER(SEARCH(Query!$B$5,'Compliance Database'!$H878))),OR(Query!$B$6="All",ISNUMBER(SEARCH(Query!$B$6,'Compliance Database'!$I878))),OR(Query!$B$7="All",'Compliance Database'!$F878=Query!$B$7),OR(Query!$B$8="All",'Compliance Database'!$J878=Query!$B$8),OR(Query!$B$9="",ISNUMBER(SEARCH(Query!$B$9,'Compliance Database'!$D878&amp;" "&amp;'Compliance Database'!$K878&amp;" "&amp;'Compliance Database'!$L878&amp;" "&amp;'Compliance Database'!$M878&amp;" "&amp;'Compliance Database'!$N878&amp;" "&amp;'Compliance Database'!$O878))),OR(Query!$B$10&lt;&gt;"Yes",'Compliance Database'!$F878&lt;&gt;"None")),1,0)</f>
        <v>0</v>
      </c>
      <c r="B878" t="str">
        <f>IF($A878=1,SUM($A$2:$A878),"")</f>
        <v/>
      </c>
      <c r="C878">
        <f>IF($A878=1,SUM($A$2:$A878),0)</f>
        <v>0</v>
      </c>
    </row>
    <row r="879" spans="1:3" x14ac:dyDescent="0.3">
      <c r="A879">
        <f>IF(AND(OR(Query!$B$4="All",'Compliance Database'!$A879=Query!$B$4),OR(Query!$B$5="All",ISNUMBER(SEARCH(Query!$B$5,'Compliance Database'!$H879))),OR(Query!$B$6="All",ISNUMBER(SEARCH(Query!$B$6,'Compliance Database'!$I879))),OR(Query!$B$7="All",'Compliance Database'!$F879=Query!$B$7),OR(Query!$B$8="All",'Compliance Database'!$J879=Query!$B$8),OR(Query!$B$9="",ISNUMBER(SEARCH(Query!$B$9,'Compliance Database'!$D879&amp;" "&amp;'Compliance Database'!$K879&amp;" "&amp;'Compliance Database'!$L879&amp;" "&amp;'Compliance Database'!$M879&amp;" "&amp;'Compliance Database'!$N879&amp;" "&amp;'Compliance Database'!$O879))),OR(Query!$B$10&lt;&gt;"Yes",'Compliance Database'!$F879&lt;&gt;"None")),1,0)</f>
        <v>0</v>
      </c>
      <c r="B879" t="str">
        <f>IF($A879=1,SUM($A$2:$A879),"")</f>
        <v/>
      </c>
      <c r="C879">
        <f>IF($A879=1,SUM($A$2:$A879),0)</f>
        <v>0</v>
      </c>
    </row>
    <row r="880" spans="1:3" x14ac:dyDescent="0.3">
      <c r="A880">
        <f>IF(AND(OR(Query!$B$4="All",'Compliance Database'!$A880=Query!$B$4),OR(Query!$B$5="All",ISNUMBER(SEARCH(Query!$B$5,'Compliance Database'!$H880))),OR(Query!$B$6="All",ISNUMBER(SEARCH(Query!$B$6,'Compliance Database'!$I880))),OR(Query!$B$7="All",'Compliance Database'!$F880=Query!$B$7),OR(Query!$B$8="All",'Compliance Database'!$J880=Query!$B$8),OR(Query!$B$9="",ISNUMBER(SEARCH(Query!$B$9,'Compliance Database'!$D880&amp;" "&amp;'Compliance Database'!$K880&amp;" "&amp;'Compliance Database'!$L880&amp;" "&amp;'Compliance Database'!$M880&amp;" "&amp;'Compliance Database'!$N880&amp;" "&amp;'Compliance Database'!$O880))),OR(Query!$B$10&lt;&gt;"Yes",'Compliance Database'!$F880&lt;&gt;"None")),1,0)</f>
        <v>0</v>
      </c>
      <c r="B880" t="str">
        <f>IF($A880=1,SUM($A$2:$A880),"")</f>
        <v/>
      </c>
      <c r="C880">
        <f>IF($A880=1,SUM($A$2:$A880),0)</f>
        <v>0</v>
      </c>
    </row>
    <row r="881" spans="1:3" x14ac:dyDescent="0.3">
      <c r="A881">
        <f>IF(AND(OR(Query!$B$4="All",'Compliance Database'!$A881=Query!$B$4),OR(Query!$B$5="All",ISNUMBER(SEARCH(Query!$B$5,'Compliance Database'!$H881))),OR(Query!$B$6="All",ISNUMBER(SEARCH(Query!$B$6,'Compliance Database'!$I881))),OR(Query!$B$7="All",'Compliance Database'!$F881=Query!$B$7),OR(Query!$B$8="All",'Compliance Database'!$J881=Query!$B$8),OR(Query!$B$9="",ISNUMBER(SEARCH(Query!$B$9,'Compliance Database'!$D881&amp;" "&amp;'Compliance Database'!$K881&amp;" "&amp;'Compliance Database'!$L881&amp;" "&amp;'Compliance Database'!$M881&amp;" "&amp;'Compliance Database'!$N881&amp;" "&amp;'Compliance Database'!$O881))),OR(Query!$B$10&lt;&gt;"Yes",'Compliance Database'!$F881&lt;&gt;"None")),1,0)</f>
        <v>0</v>
      </c>
      <c r="B881" t="str">
        <f>IF($A881=1,SUM($A$2:$A881),"")</f>
        <v/>
      </c>
      <c r="C881">
        <f>IF($A881=1,SUM($A$2:$A881),0)</f>
        <v>0</v>
      </c>
    </row>
    <row r="882" spans="1:3" x14ac:dyDescent="0.3">
      <c r="A882">
        <f>IF(AND(OR(Query!$B$4="All",'Compliance Database'!$A882=Query!$B$4),OR(Query!$B$5="All",ISNUMBER(SEARCH(Query!$B$5,'Compliance Database'!$H882))),OR(Query!$B$6="All",ISNUMBER(SEARCH(Query!$B$6,'Compliance Database'!$I882))),OR(Query!$B$7="All",'Compliance Database'!$F882=Query!$B$7),OR(Query!$B$8="All",'Compliance Database'!$J882=Query!$B$8),OR(Query!$B$9="",ISNUMBER(SEARCH(Query!$B$9,'Compliance Database'!$D882&amp;" "&amp;'Compliance Database'!$K882&amp;" "&amp;'Compliance Database'!$L882&amp;" "&amp;'Compliance Database'!$M882&amp;" "&amp;'Compliance Database'!$N882&amp;" "&amp;'Compliance Database'!$O882))),OR(Query!$B$10&lt;&gt;"Yes",'Compliance Database'!$F882&lt;&gt;"None")),1,0)</f>
        <v>0</v>
      </c>
      <c r="B882" t="str">
        <f>IF($A882=1,SUM($A$2:$A882),"")</f>
        <v/>
      </c>
      <c r="C882">
        <f>IF($A882=1,SUM($A$2:$A882),0)</f>
        <v>0</v>
      </c>
    </row>
    <row r="883" spans="1:3" x14ac:dyDescent="0.3">
      <c r="A883">
        <f>IF(AND(OR(Query!$B$4="All",'Compliance Database'!$A883=Query!$B$4),OR(Query!$B$5="All",ISNUMBER(SEARCH(Query!$B$5,'Compliance Database'!$H883))),OR(Query!$B$6="All",ISNUMBER(SEARCH(Query!$B$6,'Compliance Database'!$I883))),OR(Query!$B$7="All",'Compliance Database'!$F883=Query!$B$7),OR(Query!$B$8="All",'Compliance Database'!$J883=Query!$B$8),OR(Query!$B$9="",ISNUMBER(SEARCH(Query!$B$9,'Compliance Database'!$D883&amp;" "&amp;'Compliance Database'!$K883&amp;" "&amp;'Compliance Database'!$L883&amp;" "&amp;'Compliance Database'!$M883&amp;" "&amp;'Compliance Database'!$N883&amp;" "&amp;'Compliance Database'!$O883))),OR(Query!$B$10&lt;&gt;"Yes",'Compliance Database'!$F883&lt;&gt;"None")),1,0)</f>
        <v>0</v>
      </c>
      <c r="B883" t="str">
        <f>IF($A883=1,SUM($A$2:$A883),"")</f>
        <v/>
      </c>
      <c r="C883">
        <f>IF($A883=1,SUM($A$2:$A883),0)</f>
        <v>0</v>
      </c>
    </row>
    <row r="884" spans="1:3" x14ac:dyDescent="0.3">
      <c r="A884">
        <f>IF(AND(OR(Query!$B$4="All",'Compliance Database'!$A884=Query!$B$4),OR(Query!$B$5="All",ISNUMBER(SEARCH(Query!$B$5,'Compliance Database'!$H884))),OR(Query!$B$6="All",ISNUMBER(SEARCH(Query!$B$6,'Compliance Database'!$I884))),OR(Query!$B$7="All",'Compliance Database'!$F884=Query!$B$7),OR(Query!$B$8="All",'Compliance Database'!$J884=Query!$B$8),OR(Query!$B$9="",ISNUMBER(SEARCH(Query!$B$9,'Compliance Database'!$D884&amp;" "&amp;'Compliance Database'!$K884&amp;" "&amp;'Compliance Database'!$L884&amp;" "&amp;'Compliance Database'!$M884&amp;" "&amp;'Compliance Database'!$N884&amp;" "&amp;'Compliance Database'!$O884))),OR(Query!$B$10&lt;&gt;"Yes",'Compliance Database'!$F884&lt;&gt;"None")),1,0)</f>
        <v>0</v>
      </c>
      <c r="B884" t="str">
        <f>IF($A884=1,SUM($A$2:$A884),"")</f>
        <v/>
      </c>
      <c r="C884">
        <f>IF($A884=1,SUM($A$2:$A884),0)</f>
        <v>0</v>
      </c>
    </row>
    <row r="885" spans="1:3" x14ac:dyDescent="0.3">
      <c r="A885">
        <f>IF(AND(OR(Query!$B$4="All",'Compliance Database'!$A885=Query!$B$4),OR(Query!$B$5="All",ISNUMBER(SEARCH(Query!$B$5,'Compliance Database'!$H885))),OR(Query!$B$6="All",ISNUMBER(SEARCH(Query!$B$6,'Compliance Database'!$I885))),OR(Query!$B$7="All",'Compliance Database'!$F885=Query!$B$7),OR(Query!$B$8="All",'Compliance Database'!$J885=Query!$B$8),OR(Query!$B$9="",ISNUMBER(SEARCH(Query!$B$9,'Compliance Database'!$D885&amp;" "&amp;'Compliance Database'!$K885&amp;" "&amp;'Compliance Database'!$L885&amp;" "&amp;'Compliance Database'!$M885&amp;" "&amp;'Compliance Database'!$N885&amp;" "&amp;'Compliance Database'!$O885))),OR(Query!$B$10&lt;&gt;"Yes",'Compliance Database'!$F885&lt;&gt;"None")),1,0)</f>
        <v>0</v>
      </c>
      <c r="B885" t="str">
        <f>IF($A885=1,SUM($A$2:$A885),"")</f>
        <v/>
      </c>
      <c r="C885">
        <f>IF($A885=1,SUM($A$2:$A885),0)</f>
        <v>0</v>
      </c>
    </row>
    <row r="886" spans="1:3" x14ac:dyDescent="0.3">
      <c r="A886">
        <f>IF(AND(OR(Query!$B$4="All",'Compliance Database'!$A886=Query!$B$4),OR(Query!$B$5="All",ISNUMBER(SEARCH(Query!$B$5,'Compliance Database'!$H886))),OR(Query!$B$6="All",ISNUMBER(SEARCH(Query!$B$6,'Compliance Database'!$I886))),OR(Query!$B$7="All",'Compliance Database'!$F886=Query!$B$7),OR(Query!$B$8="All",'Compliance Database'!$J886=Query!$B$8),OR(Query!$B$9="",ISNUMBER(SEARCH(Query!$B$9,'Compliance Database'!$D886&amp;" "&amp;'Compliance Database'!$K886&amp;" "&amp;'Compliance Database'!$L886&amp;" "&amp;'Compliance Database'!$M886&amp;" "&amp;'Compliance Database'!$N886&amp;" "&amp;'Compliance Database'!$O886))),OR(Query!$B$10&lt;&gt;"Yes",'Compliance Database'!$F886&lt;&gt;"None")),1,0)</f>
        <v>0</v>
      </c>
      <c r="B886" t="str">
        <f>IF($A886=1,SUM($A$2:$A886),"")</f>
        <v/>
      </c>
      <c r="C886">
        <f>IF($A886=1,SUM($A$2:$A886),0)</f>
        <v>0</v>
      </c>
    </row>
    <row r="887" spans="1:3" x14ac:dyDescent="0.3">
      <c r="A887">
        <f>IF(AND(OR(Query!$B$4="All",'Compliance Database'!$A887=Query!$B$4),OR(Query!$B$5="All",ISNUMBER(SEARCH(Query!$B$5,'Compliance Database'!$H887))),OR(Query!$B$6="All",ISNUMBER(SEARCH(Query!$B$6,'Compliance Database'!$I887))),OR(Query!$B$7="All",'Compliance Database'!$F887=Query!$B$7),OR(Query!$B$8="All",'Compliance Database'!$J887=Query!$B$8),OR(Query!$B$9="",ISNUMBER(SEARCH(Query!$B$9,'Compliance Database'!$D887&amp;" "&amp;'Compliance Database'!$K887&amp;" "&amp;'Compliance Database'!$L887&amp;" "&amp;'Compliance Database'!$M887&amp;" "&amp;'Compliance Database'!$N887&amp;" "&amp;'Compliance Database'!$O887))),OR(Query!$B$10&lt;&gt;"Yes",'Compliance Database'!$F887&lt;&gt;"None")),1,0)</f>
        <v>0</v>
      </c>
      <c r="B887" t="str">
        <f>IF($A887=1,SUM($A$2:$A887),"")</f>
        <v/>
      </c>
      <c r="C887">
        <f>IF($A887=1,SUM($A$2:$A887),0)</f>
        <v>0</v>
      </c>
    </row>
    <row r="888" spans="1:3" x14ac:dyDescent="0.3">
      <c r="A888">
        <f>IF(AND(OR(Query!$B$4="All",'Compliance Database'!$A888=Query!$B$4),OR(Query!$B$5="All",ISNUMBER(SEARCH(Query!$B$5,'Compliance Database'!$H888))),OR(Query!$B$6="All",ISNUMBER(SEARCH(Query!$B$6,'Compliance Database'!$I888))),OR(Query!$B$7="All",'Compliance Database'!$F888=Query!$B$7),OR(Query!$B$8="All",'Compliance Database'!$J888=Query!$B$8),OR(Query!$B$9="",ISNUMBER(SEARCH(Query!$B$9,'Compliance Database'!$D888&amp;" "&amp;'Compliance Database'!$K888&amp;" "&amp;'Compliance Database'!$L888&amp;" "&amp;'Compliance Database'!$M888&amp;" "&amp;'Compliance Database'!$N888&amp;" "&amp;'Compliance Database'!$O888))),OR(Query!$B$10&lt;&gt;"Yes",'Compliance Database'!$F888&lt;&gt;"None")),1,0)</f>
        <v>0</v>
      </c>
      <c r="B888" t="str">
        <f>IF($A888=1,SUM($A$2:$A888),"")</f>
        <v/>
      </c>
      <c r="C888">
        <f>IF($A888=1,SUM($A$2:$A888),0)</f>
        <v>0</v>
      </c>
    </row>
    <row r="889" spans="1:3" x14ac:dyDescent="0.3">
      <c r="A889">
        <f>IF(AND(OR(Query!$B$4="All",'Compliance Database'!$A889=Query!$B$4),OR(Query!$B$5="All",ISNUMBER(SEARCH(Query!$B$5,'Compliance Database'!$H889))),OR(Query!$B$6="All",ISNUMBER(SEARCH(Query!$B$6,'Compliance Database'!$I889))),OR(Query!$B$7="All",'Compliance Database'!$F889=Query!$B$7),OR(Query!$B$8="All",'Compliance Database'!$J889=Query!$B$8),OR(Query!$B$9="",ISNUMBER(SEARCH(Query!$B$9,'Compliance Database'!$D889&amp;" "&amp;'Compliance Database'!$K889&amp;" "&amp;'Compliance Database'!$L889&amp;" "&amp;'Compliance Database'!$M889&amp;" "&amp;'Compliance Database'!$N889&amp;" "&amp;'Compliance Database'!$O889))),OR(Query!$B$10&lt;&gt;"Yes",'Compliance Database'!$F889&lt;&gt;"None")),1,0)</f>
        <v>0</v>
      </c>
      <c r="B889" t="str">
        <f>IF($A889=1,SUM($A$2:$A889),"")</f>
        <v/>
      </c>
      <c r="C889">
        <f>IF($A889=1,SUM($A$2:$A889),0)</f>
        <v>0</v>
      </c>
    </row>
    <row r="890" spans="1:3" x14ac:dyDescent="0.3">
      <c r="A890">
        <f>IF(AND(OR(Query!$B$4="All",'Compliance Database'!$A890=Query!$B$4),OR(Query!$B$5="All",ISNUMBER(SEARCH(Query!$B$5,'Compliance Database'!$H890))),OR(Query!$B$6="All",ISNUMBER(SEARCH(Query!$B$6,'Compliance Database'!$I890))),OR(Query!$B$7="All",'Compliance Database'!$F890=Query!$B$7),OR(Query!$B$8="All",'Compliance Database'!$J890=Query!$B$8),OR(Query!$B$9="",ISNUMBER(SEARCH(Query!$B$9,'Compliance Database'!$D890&amp;" "&amp;'Compliance Database'!$K890&amp;" "&amp;'Compliance Database'!$L890&amp;" "&amp;'Compliance Database'!$M890&amp;" "&amp;'Compliance Database'!$N890&amp;" "&amp;'Compliance Database'!$O890))),OR(Query!$B$10&lt;&gt;"Yes",'Compliance Database'!$F890&lt;&gt;"None")),1,0)</f>
        <v>0</v>
      </c>
      <c r="B890" t="str">
        <f>IF($A890=1,SUM($A$2:$A890),"")</f>
        <v/>
      </c>
      <c r="C890">
        <f>IF($A890=1,SUM($A$2:$A890),0)</f>
        <v>0</v>
      </c>
    </row>
    <row r="891" spans="1:3" x14ac:dyDescent="0.3">
      <c r="A891">
        <f>IF(AND(OR(Query!$B$4="All",'Compliance Database'!$A891=Query!$B$4),OR(Query!$B$5="All",ISNUMBER(SEARCH(Query!$B$5,'Compliance Database'!$H891))),OR(Query!$B$6="All",ISNUMBER(SEARCH(Query!$B$6,'Compliance Database'!$I891))),OR(Query!$B$7="All",'Compliance Database'!$F891=Query!$B$7),OR(Query!$B$8="All",'Compliance Database'!$J891=Query!$B$8),OR(Query!$B$9="",ISNUMBER(SEARCH(Query!$B$9,'Compliance Database'!$D891&amp;" "&amp;'Compliance Database'!$K891&amp;" "&amp;'Compliance Database'!$L891&amp;" "&amp;'Compliance Database'!$M891&amp;" "&amp;'Compliance Database'!$N891&amp;" "&amp;'Compliance Database'!$O891))),OR(Query!$B$10&lt;&gt;"Yes",'Compliance Database'!$F891&lt;&gt;"None")),1,0)</f>
        <v>0</v>
      </c>
      <c r="B891" t="str">
        <f>IF($A891=1,SUM($A$2:$A891),"")</f>
        <v/>
      </c>
      <c r="C891">
        <f>IF($A891=1,SUM($A$2:$A891),0)</f>
        <v>0</v>
      </c>
    </row>
    <row r="892" spans="1:3" x14ac:dyDescent="0.3">
      <c r="A892">
        <f>IF(AND(OR(Query!$B$4="All",'Compliance Database'!$A892=Query!$B$4),OR(Query!$B$5="All",ISNUMBER(SEARCH(Query!$B$5,'Compliance Database'!$H892))),OR(Query!$B$6="All",ISNUMBER(SEARCH(Query!$B$6,'Compliance Database'!$I892))),OR(Query!$B$7="All",'Compliance Database'!$F892=Query!$B$7),OR(Query!$B$8="All",'Compliance Database'!$J892=Query!$B$8),OR(Query!$B$9="",ISNUMBER(SEARCH(Query!$B$9,'Compliance Database'!$D892&amp;" "&amp;'Compliance Database'!$K892&amp;" "&amp;'Compliance Database'!$L892&amp;" "&amp;'Compliance Database'!$M892&amp;" "&amp;'Compliance Database'!$N892&amp;" "&amp;'Compliance Database'!$O892))),OR(Query!$B$10&lt;&gt;"Yes",'Compliance Database'!$F892&lt;&gt;"None")),1,0)</f>
        <v>0</v>
      </c>
      <c r="B892" t="str">
        <f>IF($A892=1,SUM($A$2:$A892),"")</f>
        <v/>
      </c>
      <c r="C892">
        <f>IF($A892=1,SUM($A$2:$A892),0)</f>
        <v>0</v>
      </c>
    </row>
    <row r="893" spans="1:3" x14ac:dyDescent="0.3">
      <c r="A893">
        <f>IF(AND(OR(Query!$B$4="All",'Compliance Database'!$A893=Query!$B$4),OR(Query!$B$5="All",ISNUMBER(SEARCH(Query!$B$5,'Compliance Database'!$H893))),OR(Query!$B$6="All",ISNUMBER(SEARCH(Query!$B$6,'Compliance Database'!$I893))),OR(Query!$B$7="All",'Compliance Database'!$F893=Query!$B$7),OR(Query!$B$8="All",'Compliance Database'!$J893=Query!$B$8),OR(Query!$B$9="",ISNUMBER(SEARCH(Query!$B$9,'Compliance Database'!$D893&amp;" "&amp;'Compliance Database'!$K893&amp;" "&amp;'Compliance Database'!$L893&amp;" "&amp;'Compliance Database'!$M893&amp;" "&amp;'Compliance Database'!$N893&amp;" "&amp;'Compliance Database'!$O893))),OR(Query!$B$10&lt;&gt;"Yes",'Compliance Database'!$F893&lt;&gt;"None")),1,0)</f>
        <v>0</v>
      </c>
      <c r="B893" t="str">
        <f>IF($A893=1,SUM($A$2:$A893),"")</f>
        <v/>
      </c>
      <c r="C893">
        <f>IF($A893=1,SUM($A$2:$A893),0)</f>
        <v>0</v>
      </c>
    </row>
    <row r="894" spans="1:3" x14ac:dyDescent="0.3">
      <c r="A894">
        <f>IF(AND(OR(Query!$B$4="All",'Compliance Database'!$A894=Query!$B$4),OR(Query!$B$5="All",ISNUMBER(SEARCH(Query!$B$5,'Compliance Database'!$H894))),OR(Query!$B$6="All",ISNUMBER(SEARCH(Query!$B$6,'Compliance Database'!$I894))),OR(Query!$B$7="All",'Compliance Database'!$F894=Query!$B$7),OR(Query!$B$8="All",'Compliance Database'!$J894=Query!$B$8),OR(Query!$B$9="",ISNUMBER(SEARCH(Query!$B$9,'Compliance Database'!$D894&amp;" "&amp;'Compliance Database'!$K894&amp;" "&amp;'Compliance Database'!$L894&amp;" "&amp;'Compliance Database'!$M894&amp;" "&amp;'Compliance Database'!$N894&amp;" "&amp;'Compliance Database'!$O894))),OR(Query!$B$10&lt;&gt;"Yes",'Compliance Database'!$F894&lt;&gt;"None")),1,0)</f>
        <v>0</v>
      </c>
      <c r="B894" t="str">
        <f>IF($A894=1,SUM($A$2:$A894),"")</f>
        <v/>
      </c>
      <c r="C894">
        <f>IF($A894=1,SUM($A$2:$A894),0)</f>
        <v>0</v>
      </c>
    </row>
    <row r="895" spans="1:3" x14ac:dyDescent="0.3">
      <c r="A895">
        <f>IF(AND(OR(Query!$B$4="All",'Compliance Database'!$A895=Query!$B$4),OR(Query!$B$5="All",ISNUMBER(SEARCH(Query!$B$5,'Compliance Database'!$H895))),OR(Query!$B$6="All",ISNUMBER(SEARCH(Query!$B$6,'Compliance Database'!$I895))),OR(Query!$B$7="All",'Compliance Database'!$F895=Query!$B$7),OR(Query!$B$8="All",'Compliance Database'!$J895=Query!$B$8),OR(Query!$B$9="",ISNUMBER(SEARCH(Query!$B$9,'Compliance Database'!$D895&amp;" "&amp;'Compliance Database'!$K895&amp;" "&amp;'Compliance Database'!$L895&amp;" "&amp;'Compliance Database'!$M895&amp;" "&amp;'Compliance Database'!$N895&amp;" "&amp;'Compliance Database'!$O895))),OR(Query!$B$10&lt;&gt;"Yes",'Compliance Database'!$F895&lt;&gt;"None")),1,0)</f>
        <v>0</v>
      </c>
      <c r="B895" t="str">
        <f>IF($A895=1,SUM($A$2:$A895),"")</f>
        <v/>
      </c>
      <c r="C895">
        <f>IF($A895=1,SUM($A$2:$A895),0)</f>
        <v>0</v>
      </c>
    </row>
    <row r="896" spans="1:3" x14ac:dyDescent="0.3">
      <c r="A896">
        <f>IF(AND(OR(Query!$B$4="All",'Compliance Database'!$A896=Query!$B$4),OR(Query!$B$5="All",ISNUMBER(SEARCH(Query!$B$5,'Compliance Database'!$H896))),OR(Query!$B$6="All",ISNUMBER(SEARCH(Query!$B$6,'Compliance Database'!$I896))),OR(Query!$B$7="All",'Compliance Database'!$F896=Query!$B$7),OR(Query!$B$8="All",'Compliance Database'!$J896=Query!$B$8),OR(Query!$B$9="",ISNUMBER(SEARCH(Query!$B$9,'Compliance Database'!$D896&amp;" "&amp;'Compliance Database'!$K896&amp;" "&amp;'Compliance Database'!$L896&amp;" "&amp;'Compliance Database'!$M896&amp;" "&amp;'Compliance Database'!$N896&amp;" "&amp;'Compliance Database'!$O896))),OR(Query!$B$10&lt;&gt;"Yes",'Compliance Database'!$F896&lt;&gt;"None")),1,0)</f>
        <v>0</v>
      </c>
      <c r="B896" t="str">
        <f>IF($A896=1,SUM($A$2:$A896),"")</f>
        <v/>
      </c>
      <c r="C896">
        <f>IF($A896=1,SUM($A$2:$A896),0)</f>
        <v>0</v>
      </c>
    </row>
    <row r="897" spans="1:3" x14ac:dyDescent="0.3">
      <c r="A897">
        <f>IF(AND(OR(Query!$B$4="All",'Compliance Database'!$A897=Query!$B$4),OR(Query!$B$5="All",ISNUMBER(SEARCH(Query!$B$5,'Compliance Database'!$H897))),OR(Query!$B$6="All",ISNUMBER(SEARCH(Query!$B$6,'Compliance Database'!$I897))),OR(Query!$B$7="All",'Compliance Database'!$F897=Query!$B$7),OR(Query!$B$8="All",'Compliance Database'!$J897=Query!$B$8),OR(Query!$B$9="",ISNUMBER(SEARCH(Query!$B$9,'Compliance Database'!$D897&amp;" "&amp;'Compliance Database'!$K897&amp;" "&amp;'Compliance Database'!$L897&amp;" "&amp;'Compliance Database'!$M897&amp;" "&amp;'Compliance Database'!$N897&amp;" "&amp;'Compliance Database'!$O897))),OR(Query!$B$10&lt;&gt;"Yes",'Compliance Database'!$F897&lt;&gt;"None")),1,0)</f>
        <v>0</v>
      </c>
      <c r="B897" t="str">
        <f>IF($A897=1,SUM($A$2:$A897),"")</f>
        <v/>
      </c>
      <c r="C897">
        <f>IF($A897=1,SUM($A$2:$A897),0)</f>
        <v>0</v>
      </c>
    </row>
    <row r="898" spans="1:3" x14ac:dyDescent="0.3">
      <c r="A898">
        <f>IF(AND(OR(Query!$B$4="All",'Compliance Database'!$A898=Query!$B$4),OR(Query!$B$5="All",ISNUMBER(SEARCH(Query!$B$5,'Compliance Database'!$H898))),OR(Query!$B$6="All",ISNUMBER(SEARCH(Query!$B$6,'Compliance Database'!$I898))),OR(Query!$B$7="All",'Compliance Database'!$F898=Query!$B$7),OR(Query!$B$8="All",'Compliance Database'!$J898=Query!$B$8),OR(Query!$B$9="",ISNUMBER(SEARCH(Query!$B$9,'Compliance Database'!$D898&amp;" "&amp;'Compliance Database'!$K898&amp;" "&amp;'Compliance Database'!$L898&amp;" "&amp;'Compliance Database'!$M898&amp;" "&amp;'Compliance Database'!$N898&amp;" "&amp;'Compliance Database'!$O898))),OR(Query!$B$10&lt;&gt;"Yes",'Compliance Database'!$F898&lt;&gt;"None")),1,0)</f>
        <v>0</v>
      </c>
      <c r="B898" t="str">
        <f>IF($A898=1,SUM($A$2:$A898),"")</f>
        <v/>
      </c>
      <c r="C898">
        <f>IF($A898=1,SUM($A$2:$A898),0)</f>
        <v>0</v>
      </c>
    </row>
    <row r="899" spans="1:3" x14ac:dyDescent="0.3">
      <c r="A899">
        <f>IF(AND(OR(Query!$B$4="All",'Compliance Database'!$A899=Query!$B$4),OR(Query!$B$5="All",ISNUMBER(SEARCH(Query!$B$5,'Compliance Database'!$H899))),OR(Query!$B$6="All",ISNUMBER(SEARCH(Query!$B$6,'Compliance Database'!$I899))),OR(Query!$B$7="All",'Compliance Database'!$F899=Query!$B$7),OR(Query!$B$8="All",'Compliance Database'!$J899=Query!$B$8),OR(Query!$B$9="",ISNUMBER(SEARCH(Query!$B$9,'Compliance Database'!$D899&amp;" "&amp;'Compliance Database'!$K899&amp;" "&amp;'Compliance Database'!$L899&amp;" "&amp;'Compliance Database'!$M899&amp;" "&amp;'Compliance Database'!$N899&amp;" "&amp;'Compliance Database'!$O899))),OR(Query!$B$10&lt;&gt;"Yes",'Compliance Database'!$F899&lt;&gt;"None")),1,0)</f>
        <v>0</v>
      </c>
      <c r="B899" t="str">
        <f>IF($A899=1,SUM($A$2:$A899),"")</f>
        <v/>
      </c>
      <c r="C899">
        <f>IF($A899=1,SUM($A$2:$A899),0)</f>
        <v>0</v>
      </c>
    </row>
    <row r="900" spans="1:3" x14ac:dyDescent="0.3">
      <c r="A900">
        <f>IF(AND(OR(Query!$B$4="All",'Compliance Database'!$A900=Query!$B$4),OR(Query!$B$5="All",ISNUMBER(SEARCH(Query!$B$5,'Compliance Database'!$H900))),OR(Query!$B$6="All",ISNUMBER(SEARCH(Query!$B$6,'Compliance Database'!$I900))),OR(Query!$B$7="All",'Compliance Database'!$F900=Query!$B$7),OR(Query!$B$8="All",'Compliance Database'!$J900=Query!$B$8),OR(Query!$B$9="",ISNUMBER(SEARCH(Query!$B$9,'Compliance Database'!$D900&amp;" "&amp;'Compliance Database'!$K900&amp;" "&amp;'Compliance Database'!$L900&amp;" "&amp;'Compliance Database'!$M900&amp;" "&amp;'Compliance Database'!$N900&amp;" "&amp;'Compliance Database'!$O900))),OR(Query!$B$10&lt;&gt;"Yes",'Compliance Database'!$F900&lt;&gt;"None")),1,0)</f>
        <v>0</v>
      </c>
      <c r="B900" t="str">
        <f>IF($A900=1,SUM($A$2:$A900),"")</f>
        <v/>
      </c>
      <c r="C900">
        <f>IF($A900=1,SUM($A$2:$A900),0)</f>
        <v>0</v>
      </c>
    </row>
    <row r="901" spans="1:3" x14ac:dyDescent="0.3">
      <c r="A901">
        <f>IF(AND(OR(Query!$B$4="All",'Compliance Database'!$A901=Query!$B$4),OR(Query!$B$5="All",ISNUMBER(SEARCH(Query!$B$5,'Compliance Database'!$H901))),OR(Query!$B$6="All",ISNUMBER(SEARCH(Query!$B$6,'Compliance Database'!$I901))),OR(Query!$B$7="All",'Compliance Database'!$F901=Query!$B$7),OR(Query!$B$8="All",'Compliance Database'!$J901=Query!$B$8),OR(Query!$B$9="",ISNUMBER(SEARCH(Query!$B$9,'Compliance Database'!$D901&amp;" "&amp;'Compliance Database'!$K901&amp;" "&amp;'Compliance Database'!$L901&amp;" "&amp;'Compliance Database'!$M901&amp;" "&amp;'Compliance Database'!$N901&amp;" "&amp;'Compliance Database'!$O901))),OR(Query!$B$10&lt;&gt;"Yes",'Compliance Database'!$F901&lt;&gt;"None")),1,0)</f>
        <v>0</v>
      </c>
      <c r="B901" t="str">
        <f>IF($A901=1,SUM($A$2:$A901),"")</f>
        <v/>
      </c>
      <c r="C901">
        <f>IF($A901=1,SUM($A$2:$A901),0)</f>
        <v>0</v>
      </c>
    </row>
    <row r="902" spans="1:3" x14ac:dyDescent="0.3">
      <c r="A902">
        <f>IF(AND(OR(Query!$B$4="All",'Compliance Database'!$A902=Query!$B$4),OR(Query!$B$5="All",ISNUMBER(SEARCH(Query!$B$5,'Compliance Database'!$H902))),OR(Query!$B$6="All",ISNUMBER(SEARCH(Query!$B$6,'Compliance Database'!$I902))),OR(Query!$B$7="All",'Compliance Database'!$F902=Query!$B$7),OR(Query!$B$8="All",'Compliance Database'!$J902=Query!$B$8),OR(Query!$B$9="",ISNUMBER(SEARCH(Query!$B$9,'Compliance Database'!$D902&amp;" "&amp;'Compliance Database'!$K902&amp;" "&amp;'Compliance Database'!$L902&amp;" "&amp;'Compliance Database'!$M902&amp;" "&amp;'Compliance Database'!$N902&amp;" "&amp;'Compliance Database'!$O902))),OR(Query!$B$10&lt;&gt;"Yes",'Compliance Database'!$F902&lt;&gt;"None")),1,0)</f>
        <v>0</v>
      </c>
      <c r="B902" t="str">
        <f>IF($A902=1,SUM($A$2:$A902),"")</f>
        <v/>
      </c>
      <c r="C902">
        <f>IF($A902=1,SUM($A$2:$A902),0)</f>
        <v>0</v>
      </c>
    </row>
    <row r="903" spans="1:3" x14ac:dyDescent="0.3">
      <c r="A903">
        <f>IF(AND(OR(Query!$B$4="All",'Compliance Database'!$A903=Query!$B$4),OR(Query!$B$5="All",ISNUMBER(SEARCH(Query!$B$5,'Compliance Database'!$H903))),OR(Query!$B$6="All",ISNUMBER(SEARCH(Query!$B$6,'Compliance Database'!$I903))),OR(Query!$B$7="All",'Compliance Database'!$F903=Query!$B$7),OR(Query!$B$8="All",'Compliance Database'!$J903=Query!$B$8),OR(Query!$B$9="",ISNUMBER(SEARCH(Query!$B$9,'Compliance Database'!$D903&amp;" "&amp;'Compliance Database'!$K903&amp;" "&amp;'Compliance Database'!$L903&amp;" "&amp;'Compliance Database'!$M903&amp;" "&amp;'Compliance Database'!$N903&amp;" "&amp;'Compliance Database'!$O903))),OR(Query!$B$10&lt;&gt;"Yes",'Compliance Database'!$F903&lt;&gt;"None")),1,0)</f>
        <v>0</v>
      </c>
      <c r="B903" t="str">
        <f>IF($A903=1,SUM($A$2:$A903),"")</f>
        <v/>
      </c>
      <c r="C903">
        <f>IF($A903=1,SUM($A$2:$A903),0)</f>
        <v>0</v>
      </c>
    </row>
    <row r="904" spans="1:3" x14ac:dyDescent="0.3">
      <c r="A904">
        <f>IF(AND(OR(Query!$B$4="All",'Compliance Database'!$A904=Query!$B$4),OR(Query!$B$5="All",ISNUMBER(SEARCH(Query!$B$5,'Compliance Database'!$H904))),OR(Query!$B$6="All",ISNUMBER(SEARCH(Query!$B$6,'Compliance Database'!$I904))),OR(Query!$B$7="All",'Compliance Database'!$F904=Query!$B$7),OR(Query!$B$8="All",'Compliance Database'!$J904=Query!$B$8),OR(Query!$B$9="",ISNUMBER(SEARCH(Query!$B$9,'Compliance Database'!$D904&amp;" "&amp;'Compliance Database'!$K904&amp;" "&amp;'Compliance Database'!$L904&amp;" "&amp;'Compliance Database'!$M904&amp;" "&amp;'Compliance Database'!$N904&amp;" "&amp;'Compliance Database'!$O904))),OR(Query!$B$10&lt;&gt;"Yes",'Compliance Database'!$F904&lt;&gt;"None")),1,0)</f>
        <v>0</v>
      </c>
      <c r="B904" t="str">
        <f>IF($A904=1,SUM($A$2:$A904),"")</f>
        <v/>
      </c>
      <c r="C904">
        <f>IF($A904=1,SUM($A$2:$A904),0)</f>
        <v>0</v>
      </c>
    </row>
    <row r="905" spans="1:3" x14ac:dyDescent="0.3">
      <c r="A905">
        <f>IF(AND(OR(Query!$B$4="All",'Compliance Database'!$A905=Query!$B$4),OR(Query!$B$5="All",ISNUMBER(SEARCH(Query!$B$5,'Compliance Database'!$H905))),OR(Query!$B$6="All",ISNUMBER(SEARCH(Query!$B$6,'Compliance Database'!$I905))),OR(Query!$B$7="All",'Compliance Database'!$F905=Query!$B$7),OR(Query!$B$8="All",'Compliance Database'!$J905=Query!$B$8),OR(Query!$B$9="",ISNUMBER(SEARCH(Query!$B$9,'Compliance Database'!$D905&amp;" "&amp;'Compliance Database'!$K905&amp;" "&amp;'Compliance Database'!$L905&amp;" "&amp;'Compliance Database'!$M905&amp;" "&amp;'Compliance Database'!$N905&amp;" "&amp;'Compliance Database'!$O905))),OR(Query!$B$10&lt;&gt;"Yes",'Compliance Database'!$F905&lt;&gt;"None")),1,0)</f>
        <v>0</v>
      </c>
      <c r="B905" t="str">
        <f>IF($A905=1,SUM($A$2:$A905),"")</f>
        <v/>
      </c>
      <c r="C905">
        <f>IF($A905=1,SUM($A$2:$A905),0)</f>
        <v>0</v>
      </c>
    </row>
    <row r="906" spans="1:3" x14ac:dyDescent="0.3">
      <c r="A906">
        <f>IF(AND(OR(Query!$B$4="All",'Compliance Database'!$A906=Query!$B$4),OR(Query!$B$5="All",ISNUMBER(SEARCH(Query!$B$5,'Compliance Database'!$H906))),OR(Query!$B$6="All",ISNUMBER(SEARCH(Query!$B$6,'Compliance Database'!$I906))),OR(Query!$B$7="All",'Compliance Database'!$F906=Query!$B$7),OR(Query!$B$8="All",'Compliance Database'!$J906=Query!$B$8),OR(Query!$B$9="",ISNUMBER(SEARCH(Query!$B$9,'Compliance Database'!$D906&amp;" "&amp;'Compliance Database'!$K906&amp;" "&amp;'Compliance Database'!$L906&amp;" "&amp;'Compliance Database'!$M906&amp;" "&amp;'Compliance Database'!$N906&amp;" "&amp;'Compliance Database'!$O906))),OR(Query!$B$10&lt;&gt;"Yes",'Compliance Database'!$F906&lt;&gt;"None")),1,0)</f>
        <v>0</v>
      </c>
      <c r="B906" t="str">
        <f>IF($A906=1,SUM($A$2:$A906),"")</f>
        <v/>
      </c>
      <c r="C906">
        <f>IF($A906=1,SUM($A$2:$A906),0)</f>
        <v>0</v>
      </c>
    </row>
    <row r="907" spans="1:3" x14ac:dyDescent="0.3">
      <c r="A907">
        <f>IF(AND(OR(Query!$B$4="All",'Compliance Database'!$A907=Query!$B$4),OR(Query!$B$5="All",ISNUMBER(SEARCH(Query!$B$5,'Compliance Database'!$H907))),OR(Query!$B$6="All",ISNUMBER(SEARCH(Query!$B$6,'Compliance Database'!$I907))),OR(Query!$B$7="All",'Compliance Database'!$F907=Query!$B$7),OR(Query!$B$8="All",'Compliance Database'!$J907=Query!$B$8),OR(Query!$B$9="",ISNUMBER(SEARCH(Query!$B$9,'Compliance Database'!$D907&amp;" "&amp;'Compliance Database'!$K907&amp;" "&amp;'Compliance Database'!$L907&amp;" "&amp;'Compliance Database'!$M907&amp;" "&amp;'Compliance Database'!$N907&amp;" "&amp;'Compliance Database'!$O907))),OR(Query!$B$10&lt;&gt;"Yes",'Compliance Database'!$F907&lt;&gt;"None")),1,0)</f>
        <v>0</v>
      </c>
      <c r="B907" t="str">
        <f>IF($A907=1,SUM($A$2:$A907),"")</f>
        <v/>
      </c>
      <c r="C907">
        <f>IF($A907=1,SUM($A$2:$A907),0)</f>
        <v>0</v>
      </c>
    </row>
    <row r="908" spans="1:3" x14ac:dyDescent="0.3">
      <c r="A908">
        <f>IF(AND(OR(Query!$B$4="All",'Compliance Database'!$A908=Query!$B$4),OR(Query!$B$5="All",ISNUMBER(SEARCH(Query!$B$5,'Compliance Database'!$H908))),OR(Query!$B$6="All",ISNUMBER(SEARCH(Query!$B$6,'Compliance Database'!$I908))),OR(Query!$B$7="All",'Compliance Database'!$F908=Query!$B$7),OR(Query!$B$8="All",'Compliance Database'!$J908=Query!$B$8),OR(Query!$B$9="",ISNUMBER(SEARCH(Query!$B$9,'Compliance Database'!$D908&amp;" "&amp;'Compliance Database'!$K908&amp;" "&amp;'Compliance Database'!$L908&amp;" "&amp;'Compliance Database'!$M908&amp;" "&amp;'Compliance Database'!$N908&amp;" "&amp;'Compliance Database'!$O908))),OR(Query!$B$10&lt;&gt;"Yes",'Compliance Database'!$F908&lt;&gt;"None")),1,0)</f>
        <v>0</v>
      </c>
      <c r="B908" t="str">
        <f>IF($A908=1,SUM($A$2:$A908),"")</f>
        <v/>
      </c>
      <c r="C908">
        <f>IF($A908=1,SUM($A$2:$A908),0)</f>
        <v>0</v>
      </c>
    </row>
    <row r="909" spans="1:3" x14ac:dyDescent="0.3">
      <c r="A909">
        <f>IF(AND(OR(Query!$B$4="All",'Compliance Database'!$A909=Query!$B$4),OR(Query!$B$5="All",ISNUMBER(SEARCH(Query!$B$5,'Compliance Database'!$H909))),OR(Query!$B$6="All",ISNUMBER(SEARCH(Query!$B$6,'Compliance Database'!$I909))),OR(Query!$B$7="All",'Compliance Database'!$F909=Query!$B$7),OR(Query!$B$8="All",'Compliance Database'!$J909=Query!$B$8),OR(Query!$B$9="",ISNUMBER(SEARCH(Query!$B$9,'Compliance Database'!$D909&amp;" "&amp;'Compliance Database'!$K909&amp;" "&amp;'Compliance Database'!$L909&amp;" "&amp;'Compliance Database'!$M909&amp;" "&amp;'Compliance Database'!$N909&amp;" "&amp;'Compliance Database'!$O909))),OR(Query!$B$10&lt;&gt;"Yes",'Compliance Database'!$F909&lt;&gt;"None")),1,0)</f>
        <v>0</v>
      </c>
      <c r="B909" t="str">
        <f>IF($A909=1,SUM($A$2:$A909),"")</f>
        <v/>
      </c>
      <c r="C909">
        <f>IF($A909=1,SUM($A$2:$A909),0)</f>
        <v>0</v>
      </c>
    </row>
    <row r="910" spans="1:3" x14ac:dyDescent="0.3">
      <c r="A910">
        <f>IF(AND(OR(Query!$B$4="All",'Compliance Database'!$A910=Query!$B$4),OR(Query!$B$5="All",ISNUMBER(SEARCH(Query!$B$5,'Compliance Database'!$H910))),OR(Query!$B$6="All",ISNUMBER(SEARCH(Query!$B$6,'Compliance Database'!$I910))),OR(Query!$B$7="All",'Compliance Database'!$F910=Query!$B$7),OR(Query!$B$8="All",'Compliance Database'!$J910=Query!$B$8),OR(Query!$B$9="",ISNUMBER(SEARCH(Query!$B$9,'Compliance Database'!$D910&amp;" "&amp;'Compliance Database'!$K910&amp;" "&amp;'Compliance Database'!$L910&amp;" "&amp;'Compliance Database'!$M910&amp;" "&amp;'Compliance Database'!$N910&amp;" "&amp;'Compliance Database'!$O910))),OR(Query!$B$10&lt;&gt;"Yes",'Compliance Database'!$F910&lt;&gt;"None")),1,0)</f>
        <v>0</v>
      </c>
      <c r="B910" t="str">
        <f>IF($A910=1,SUM($A$2:$A910),"")</f>
        <v/>
      </c>
      <c r="C910">
        <f>IF($A910=1,SUM($A$2:$A910),0)</f>
        <v>0</v>
      </c>
    </row>
    <row r="911" spans="1:3" x14ac:dyDescent="0.3">
      <c r="A911">
        <f>IF(AND(OR(Query!$B$4="All",'Compliance Database'!$A911=Query!$B$4),OR(Query!$B$5="All",ISNUMBER(SEARCH(Query!$B$5,'Compliance Database'!$H911))),OR(Query!$B$6="All",ISNUMBER(SEARCH(Query!$B$6,'Compliance Database'!$I911))),OR(Query!$B$7="All",'Compliance Database'!$F911=Query!$B$7),OR(Query!$B$8="All",'Compliance Database'!$J911=Query!$B$8),OR(Query!$B$9="",ISNUMBER(SEARCH(Query!$B$9,'Compliance Database'!$D911&amp;" "&amp;'Compliance Database'!$K911&amp;" "&amp;'Compliance Database'!$L911&amp;" "&amp;'Compliance Database'!$M911&amp;" "&amp;'Compliance Database'!$N911&amp;" "&amp;'Compliance Database'!$O911))),OR(Query!$B$10&lt;&gt;"Yes",'Compliance Database'!$F911&lt;&gt;"None")),1,0)</f>
        <v>0</v>
      </c>
      <c r="B911" t="str">
        <f>IF($A911=1,SUM($A$2:$A911),"")</f>
        <v/>
      </c>
      <c r="C911">
        <f>IF($A911=1,SUM($A$2:$A911),0)</f>
        <v>0</v>
      </c>
    </row>
    <row r="912" spans="1:3" x14ac:dyDescent="0.3">
      <c r="A912">
        <f>IF(AND(OR(Query!$B$4="All",'Compliance Database'!$A912=Query!$B$4),OR(Query!$B$5="All",ISNUMBER(SEARCH(Query!$B$5,'Compliance Database'!$H912))),OR(Query!$B$6="All",ISNUMBER(SEARCH(Query!$B$6,'Compliance Database'!$I912))),OR(Query!$B$7="All",'Compliance Database'!$F912=Query!$B$7),OR(Query!$B$8="All",'Compliance Database'!$J912=Query!$B$8),OR(Query!$B$9="",ISNUMBER(SEARCH(Query!$B$9,'Compliance Database'!$D912&amp;" "&amp;'Compliance Database'!$K912&amp;" "&amp;'Compliance Database'!$L912&amp;" "&amp;'Compliance Database'!$M912&amp;" "&amp;'Compliance Database'!$N912&amp;" "&amp;'Compliance Database'!$O912))),OR(Query!$B$10&lt;&gt;"Yes",'Compliance Database'!$F912&lt;&gt;"None")),1,0)</f>
        <v>0</v>
      </c>
      <c r="B912" t="str">
        <f>IF($A912=1,SUM($A$2:$A912),"")</f>
        <v/>
      </c>
      <c r="C912">
        <f>IF($A912=1,SUM($A$2:$A912),0)</f>
        <v>0</v>
      </c>
    </row>
    <row r="913" spans="1:3" x14ac:dyDescent="0.3">
      <c r="A913">
        <f>IF(AND(OR(Query!$B$4="All",'Compliance Database'!$A913=Query!$B$4),OR(Query!$B$5="All",ISNUMBER(SEARCH(Query!$B$5,'Compliance Database'!$H913))),OR(Query!$B$6="All",ISNUMBER(SEARCH(Query!$B$6,'Compliance Database'!$I913))),OR(Query!$B$7="All",'Compliance Database'!$F913=Query!$B$7),OR(Query!$B$8="All",'Compliance Database'!$J913=Query!$B$8),OR(Query!$B$9="",ISNUMBER(SEARCH(Query!$B$9,'Compliance Database'!$D913&amp;" "&amp;'Compliance Database'!$K913&amp;" "&amp;'Compliance Database'!$L913&amp;" "&amp;'Compliance Database'!$M913&amp;" "&amp;'Compliance Database'!$N913&amp;" "&amp;'Compliance Database'!$O913))),OR(Query!$B$10&lt;&gt;"Yes",'Compliance Database'!$F913&lt;&gt;"None")),1,0)</f>
        <v>0</v>
      </c>
      <c r="B913" t="str">
        <f>IF($A913=1,SUM($A$2:$A913),"")</f>
        <v/>
      </c>
      <c r="C913">
        <f>IF($A913=1,SUM($A$2:$A913),0)</f>
        <v>0</v>
      </c>
    </row>
    <row r="914" spans="1:3" x14ac:dyDescent="0.3">
      <c r="A914">
        <f>IF(AND(OR(Query!$B$4="All",'Compliance Database'!$A914=Query!$B$4),OR(Query!$B$5="All",ISNUMBER(SEARCH(Query!$B$5,'Compliance Database'!$H914))),OR(Query!$B$6="All",ISNUMBER(SEARCH(Query!$B$6,'Compliance Database'!$I914))),OR(Query!$B$7="All",'Compliance Database'!$F914=Query!$B$7),OR(Query!$B$8="All",'Compliance Database'!$J914=Query!$B$8),OR(Query!$B$9="",ISNUMBER(SEARCH(Query!$B$9,'Compliance Database'!$D914&amp;" "&amp;'Compliance Database'!$K914&amp;" "&amp;'Compliance Database'!$L914&amp;" "&amp;'Compliance Database'!$M914&amp;" "&amp;'Compliance Database'!$N914&amp;" "&amp;'Compliance Database'!$O914))),OR(Query!$B$10&lt;&gt;"Yes",'Compliance Database'!$F914&lt;&gt;"None")),1,0)</f>
        <v>0</v>
      </c>
      <c r="B914" t="str">
        <f>IF($A914=1,SUM($A$2:$A914),"")</f>
        <v/>
      </c>
      <c r="C914">
        <f>IF($A914=1,SUM($A$2:$A914),0)</f>
        <v>0</v>
      </c>
    </row>
    <row r="915" spans="1:3" x14ac:dyDescent="0.3">
      <c r="A915">
        <f>IF(AND(OR(Query!$B$4="All",'Compliance Database'!$A915=Query!$B$4),OR(Query!$B$5="All",ISNUMBER(SEARCH(Query!$B$5,'Compliance Database'!$H915))),OR(Query!$B$6="All",ISNUMBER(SEARCH(Query!$B$6,'Compliance Database'!$I915))),OR(Query!$B$7="All",'Compliance Database'!$F915=Query!$B$7),OR(Query!$B$8="All",'Compliance Database'!$J915=Query!$B$8),OR(Query!$B$9="",ISNUMBER(SEARCH(Query!$B$9,'Compliance Database'!$D915&amp;" "&amp;'Compliance Database'!$K915&amp;" "&amp;'Compliance Database'!$L915&amp;" "&amp;'Compliance Database'!$M915&amp;" "&amp;'Compliance Database'!$N915&amp;" "&amp;'Compliance Database'!$O915))),OR(Query!$B$10&lt;&gt;"Yes",'Compliance Database'!$F915&lt;&gt;"None")),1,0)</f>
        <v>0</v>
      </c>
      <c r="B915" t="str">
        <f>IF($A915=1,SUM($A$2:$A915),"")</f>
        <v/>
      </c>
      <c r="C915">
        <f>IF($A915=1,SUM($A$2:$A915),0)</f>
        <v>0</v>
      </c>
    </row>
    <row r="916" spans="1:3" x14ac:dyDescent="0.3">
      <c r="A916">
        <f>IF(AND(OR(Query!$B$4="All",'Compliance Database'!$A916=Query!$B$4),OR(Query!$B$5="All",ISNUMBER(SEARCH(Query!$B$5,'Compliance Database'!$H916))),OR(Query!$B$6="All",ISNUMBER(SEARCH(Query!$B$6,'Compliance Database'!$I916))),OR(Query!$B$7="All",'Compliance Database'!$F916=Query!$B$7),OR(Query!$B$8="All",'Compliance Database'!$J916=Query!$B$8),OR(Query!$B$9="",ISNUMBER(SEARCH(Query!$B$9,'Compliance Database'!$D916&amp;" "&amp;'Compliance Database'!$K916&amp;" "&amp;'Compliance Database'!$L916&amp;" "&amp;'Compliance Database'!$M916&amp;" "&amp;'Compliance Database'!$N916&amp;" "&amp;'Compliance Database'!$O916))),OR(Query!$B$10&lt;&gt;"Yes",'Compliance Database'!$F916&lt;&gt;"None")),1,0)</f>
        <v>0</v>
      </c>
      <c r="B916" t="str">
        <f>IF($A916=1,SUM($A$2:$A916),"")</f>
        <v/>
      </c>
      <c r="C916">
        <f>IF($A916=1,SUM($A$2:$A916),0)</f>
        <v>0</v>
      </c>
    </row>
    <row r="917" spans="1:3" x14ac:dyDescent="0.3">
      <c r="A917">
        <f>IF(AND(OR(Query!$B$4="All",'Compliance Database'!$A917=Query!$B$4),OR(Query!$B$5="All",ISNUMBER(SEARCH(Query!$B$5,'Compliance Database'!$H917))),OR(Query!$B$6="All",ISNUMBER(SEARCH(Query!$B$6,'Compliance Database'!$I917))),OR(Query!$B$7="All",'Compliance Database'!$F917=Query!$B$7),OR(Query!$B$8="All",'Compliance Database'!$J917=Query!$B$8),OR(Query!$B$9="",ISNUMBER(SEARCH(Query!$B$9,'Compliance Database'!$D917&amp;" "&amp;'Compliance Database'!$K917&amp;" "&amp;'Compliance Database'!$L917&amp;" "&amp;'Compliance Database'!$M917&amp;" "&amp;'Compliance Database'!$N917&amp;" "&amp;'Compliance Database'!$O917))),OR(Query!$B$10&lt;&gt;"Yes",'Compliance Database'!$F917&lt;&gt;"None")),1,0)</f>
        <v>0</v>
      </c>
      <c r="B917" t="str">
        <f>IF($A917=1,SUM($A$2:$A917),"")</f>
        <v/>
      </c>
      <c r="C917">
        <f>IF($A917=1,SUM($A$2:$A917),0)</f>
        <v>0</v>
      </c>
    </row>
    <row r="918" spans="1:3" x14ac:dyDescent="0.3">
      <c r="A918">
        <f>IF(AND(OR(Query!$B$4="All",'Compliance Database'!$A918=Query!$B$4),OR(Query!$B$5="All",ISNUMBER(SEARCH(Query!$B$5,'Compliance Database'!$H918))),OR(Query!$B$6="All",ISNUMBER(SEARCH(Query!$B$6,'Compliance Database'!$I918))),OR(Query!$B$7="All",'Compliance Database'!$F918=Query!$B$7),OR(Query!$B$8="All",'Compliance Database'!$J918=Query!$B$8),OR(Query!$B$9="",ISNUMBER(SEARCH(Query!$B$9,'Compliance Database'!$D918&amp;" "&amp;'Compliance Database'!$K918&amp;" "&amp;'Compliance Database'!$L918&amp;" "&amp;'Compliance Database'!$M918&amp;" "&amp;'Compliance Database'!$N918&amp;" "&amp;'Compliance Database'!$O918))),OR(Query!$B$10&lt;&gt;"Yes",'Compliance Database'!$F918&lt;&gt;"None")),1,0)</f>
        <v>0</v>
      </c>
      <c r="B918" t="str">
        <f>IF($A918=1,SUM($A$2:$A918),"")</f>
        <v/>
      </c>
      <c r="C918">
        <f>IF($A918=1,SUM($A$2:$A918),0)</f>
        <v>0</v>
      </c>
    </row>
    <row r="919" spans="1:3" x14ac:dyDescent="0.3">
      <c r="A919">
        <f>IF(AND(OR(Query!$B$4="All",'Compliance Database'!$A919=Query!$B$4),OR(Query!$B$5="All",ISNUMBER(SEARCH(Query!$B$5,'Compliance Database'!$H919))),OR(Query!$B$6="All",ISNUMBER(SEARCH(Query!$B$6,'Compliance Database'!$I919))),OR(Query!$B$7="All",'Compliance Database'!$F919=Query!$B$7),OR(Query!$B$8="All",'Compliance Database'!$J919=Query!$B$8),OR(Query!$B$9="",ISNUMBER(SEARCH(Query!$B$9,'Compliance Database'!$D919&amp;" "&amp;'Compliance Database'!$K919&amp;" "&amp;'Compliance Database'!$L919&amp;" "&amp;'Compliance Database'!$M919&amp;" "&amp;'Compliance Database'!$N919&amp;" "&amp;'Compliance Database'!$O919))),OR(Query!$B$10&lt;&gt;"Yes",'Compliance Database'!$F919&lt;&gt;"None")),1,0)</f>
        <v>0</v>
      </c>
      <c r="B919" t="str">
        <f>IF($A919=1,SUM($A$2:$A919),"")</f>
        <v/>
      </c>
      <c r="C919">
        <f>IF($A919=1,SUM($A$2:$A919),0)</f>
        <v>0</v>
      </c>
    </row>
    <row r="920" spans="1:3" x14ac:dyDescent="0.3">
      <c r="A920">
        <f>IF(AND(OR(Query!$B$4="All",'Compliance Database'!$A920=Query!$B$4),OR(Query!$B$5="All",ISNUMBER(SEARCH(Query!$B$5,'Compliance Database'!$H920))),OR(Query!$B$6="All",ISNUMBER(SEARCH(Query!$B$6,'Compliance Database'!$I920))),OR(Query!$B$7="All",'Compliance Database'!$F920=Query!$B$7),OR(Query!$B$8="All",'Compliance Database'!$J920=Query!$B$8),OR(Query!$B$9="",ISNUMBER(SEARCH(Query!$B$9,'Compliance Database'!$D920&amp;" "&amp;'Compliance Database'!$K920&amp;" "&amp;'Compliance Database'!$L920&amp;" "&amp;'Compliance Database'!$M920&amp;" "&amp;'Compliance Database'!$N920&amp;" "&amp;'Compliance Database'!$O920))),OR(Query!$B$10&lt;&gt;"Yes",'Compliance Database'!$F920&lt;&gt;"None")),1,0)</f>
        <v>0</v>
      </c>
      <c r="B920" t="str">
        <f>IF($A920=1,SUM($A$2:$A920),"")</f>
        <v/>
      </c>
      <c r="C920">
        <f>IF($A920=1,SUM($A$2:$A920),0)</f>
        <v>0</v>
      </c>
    </row>
    <row r="921" spans="1:3" x14ac:dyDescent="0.3">
      <c r="A921">
        <f>IF(AND(OR(Query!$B$4="All",'Compliance Database'!$A921=Query!$B$4),OR(Query!$B$5="All",ISNUMBER(SEARCH(Query!$B$5,'Compliance Database'!$H921))),OR(Query!$B$6="All",ISNUMBER(SEARCH(Query!$B$6,'Compliance Database'!$I921))),OR(Query!$B$7="All",'Compliance Database'!$F921=Query!$B$7),OR(Query!$B$8="All",'Compliance Database'!$J921=Query!$B$8),OR(Query!$B$9="",ISNUMBER(SEARCH(Query!$B$9,'Compliance Database'!$D921&amp;" "&amp;'Compliance Database'!$K921&amp;" "&amp;'Compliance Database'!$L921&amp;" "&amp;'Compliance Database'!$M921&amp;" "&amp;'Compliance Database'!$N921&amp;" "&amp;'Compliance Database'!$O921))),OR(Query!$B$10&lt;&gt;"Yes",'Compliance Database'!$F921&lt;&gt;"None")),1,0)</f>
        <v>0</v>
      </c>
      <c r="B921" t="str">
        <f>IF($A921=1,SUM($A$2:$A921),"")</f>
        <v/>
      </c>
      <c r="C921">
        <f>IF($A921=1,SUM($A$2:$A921),0)</f>
        <v>0</v>
      </c>
    </row>
    <row r="922" spans="1:3" x14ac:dyDescent="0.3">
      <c r="A922">
        <f>IF(AND(OR(Query!$B$4="All",'Compliance Database'!$A922=Query!$B$4),OR(Query!$B$5="All",ISNUMBER(SEARCH(Query!$B$5,'Compliance Database'!$H922))),OR(Query!$B$6="All",ISNUMBER(SEARCH(Query!$B$6,'Compliance Database'!$I922))),OR(Query!$B$7="All",'Compliance Database'!$F922=Query!$B$7),OR(Query!$B$8="All",'Compliance Database'!$J922=Query!$B$8),OR(Query!$B$9="",ISNUMBER(SEARCH(Query!$B$9,'Compliance Database'!$D922&amp;" "&amp;'Compliance Database'!$K922&amp;" "&amp;'Compliance Database'!$L922&amp;" "&amp;'Compliance Database'!$M922&amp;" "&amp;'Compliance Database'!$N922&amp;" "&amp;'Compliance Database'!$O922))),OR(Query!$B$10&lt;&gt;"Yes",'Compliance Database'!$F922&lt;&gt;"None")),1,0)</f>
        <v>0</v>
      </c>
      <c r="B922" t="str">
        <f>IF($A922=1,SUM($A$2:$A922),"")</f>
        <v/>
      </c>
      <c r="C922">
        <f>IF($A922=1,SUM($A$2:$A922),0)</f>
        <v>0</v>
      </c>
    </row>
    <row r="923" spans="1:3" x14ac:dyDescent="0.3">
      <c r="A923">
        <f>IF(AND(OR(Query!$B$4="All",'Compliance Database'!$A923=Query!$B$4),OR(Query!$B$5="All",ISNUMBER(SEARCH(Query!$B$5,'Compliance Database'!$H923))),OR(Query!$B$6="All",ISNUMBER(SEARCH(Query!$B$6,'Compliance Database'!$I923))),OR(Query!$B$7="All",'Compliance Database'!$F923=Query!$B$7),OR(Query!$B$8="All",'Compliance Database'!$J923=Query!$B$8),OR(Query!$B$9="",ISNUMBER(SEARCH(Query!$B$9,'Compliance Database'!$D923&amp;" "&amp;'Compliance Database'!$K923&amp;" "&amp;'Compliance Database'!$L923&amp;" "&amp;'Compliance Database'!$M923&amp;" "&amp;'Compliance Database'!$N923&amp;" "&amp;'Compliance Database'!$O923))),OR(Query!$B$10&lt;&gt;"Yes",'Compliance Database'!$F923&lt;&gt;"None")),1,0)</f>
        <v>0</v>
      </c>
      <c r="B923" t="str">
        <f>IF($A923=1,SUM($A$2:$A923),"")</f>
        <v/>
      </c>
      <c r="C923">
        <f>IF($A923=1,SUM($A$2:$A923),0)</f>
        <v>0</v>
      </c>
    </row>
    <row r="924" spans="1:3" x14ac:dyDescent="0.3">
      <c r="A924">
        <f>IF(AND(OR(Query!$B$4="All",'Compliance Database'!$A924=Query!$B$4),OR(Query!$B$5="All",ISNUMBER(SEARCH(Query!$B$5,'Compliance Database'!$H924))),OR(Query!$B$6="All",ISNUMBER(SEARCH(Query!$B$6,'Compliance Database'!$I924))),OR(Query!$B$7="All",'Compliance Database'!$F924=Query!$B$7),OR(Query!$B$8="All",'Compliance Database'!$J924=Query!$B$8),OR(Query!$B$9="",ISNUMBER(SEARCH(Query!$B$9,'Compliance Database'!$D924&amp;" "&amp;'Compliance Database'!$K924&amp;" "&amp;'Compliance Database'!$L924&amp;" "&amp;'Compliance Database'!$M924&amp;" "&amp;'Compliance Database'!$N924&amp;" "&amp;'Compliance Database'!$O924))),OR(Query!$B$10&lt;&gt;"Yes",'Compliance Database'!$F924&lt;&gt;"None")),1,0)</f>
        <v>0</v>
      </c>
      <c r="B924" t="str">
        <f>IF($A924=1,SUM($A$2:$A924),"")</f>
        <v/>
      </c>
      <c r="C924">
        <f>IF($A924=1,SUM($A$2:$A924),0)</f>
        <v>0</v>
      </c>
    </row>
    <row r="925" spans="1:3" x14ac:dyDescent="0.3">
      <c r="A925">
        <f>IF(AND(OR(Query!$B$4="All",'Compliance Database'!$A925=Query!$B$4),OR(Query!$B$5="All",ISNUMBER(SEARCH(Query!$B$5,'Compliance Database'!$H925))),OR(Query!$B$6="All",ISNUMBER(SEARCH(Query!$B$6,'Compliance Database'!$I925))),OR(Query!$B$7="All",'Compliance Database'!$F925=Query!$B$7),OR(Query!$B$8="All",'Compliance Database'!$J925=Query!$B$8),OR(Query!$B$9="",ISNUMBER(SEARCH(Query!$B$9,'Compliance Database'!$D925&amp;" "&amp;'Compliance Database'!$K925&amp;" "&amp;'Compliance Database'!$L925&amp;" "&amp;'Compliance Database'!$M925&amp;" "&amp;'Compliance Database'!$N925&amp;" "&amp;'Compliance Database'!$O925))),OR(Query!$B$10&lt;&gt;"Yes",'Compliance Database'!$F925&lt;&gt;"None")),1,0)</f>
        <v>0</v>
      </c>
      <c r="B925" t="str">
        <f>IF($A925=1,SUM($A$2:$A925),"")</f>
        <v/>
      </c>
      <c r="C925">
        <f>IF($A925=1,SUM($A$2:$A925),0)</f>
        <v>0</v>
      </c>
    </row>
    <row r="926" spans="1:3" x14ac:dyDescent="0.3">
      <c r="A926">
        <f>IF(AND(OR(Query!$B$4="All",'Compliance Database'!$A926=Query!$B$4),OR(Query!$B$5="All",ISNUMBER(SEARCH(Query!$B$5,'Compliance Database'!$H926))),OR(Query!$B$6="All",ISNUMBER(SEARCH(Query!$B$6,'Compliance Database'!$I926))),OR(Query!$B$7="All",'Compliance Database'!$F926=Query!$B$7),OR(Query!$B$8="All",'Compliance Database'!$J926=Query!$B$8),OR(Query!$B$9="",ISNUMBER(SEARCH(Query!$B$9,'Compliance Database'!$D926&amp;" "&amp;'Compliance Database'!$K926&amp;" "&amp;'Compliance Database'!$L926&amp;" "&amp;'Compliance Database'!$M926&amp;" "&amp;'Compliance Database'!$N926&amp;" "&amp;'Compliance Database'!$O926))),OR(Query!$B$10&lt;&gt;"Yes",'Compliance Database'!$F926&lt;&gt;"None")),1,0)</f>
        <v>0</v>
      </c>
      <c r="B926" t="str">
        <f>IF($A926=1,SUM($A$2:$A926),"")</f>
        <v/>
      </c>
      <c r="C926">
        <f>IF($A926=1,SUM($A$2:$A926),0)</f>
        <v>0</v>
      </c>
    </row>
    <row r="927" spans="1:3" x14ac:dyDescent="0.3">
      <c r="A927">
        <f>IF(AND(OR(Query!$B$4="All",'Compliance Database'!$A927=Query!$B$4),OR(Query!$B$5="All",ISNUMBER(SEARCH(Query!$B$5,'Compliance Database'!$H927))),OR(Query!$B$6="All",ISNUMBER(SEARCH(Query!$B$6,'Compliance Database'!$I927))),OR(Query!$B$7="All",'Compliance Database'!$F927=Query!$B$7),OR(Query!$B$8="All",'Compliance Database'!$J927=Query!$B$8),OR(Query!$B$9="",ISNUMBER(SEARCH(Query!$B$9,'Compliance Database'!$D927&amp;" "&amp;'Compliance Database'!$K927&amp;" "&amp;'Compliance Database'!$L927&amp;" "&amp;'Compliance Database'!$M927&amp;" "&amp;'Compliance Database'!$N927&amp;" "&amp;'Compliance Database'!$O927))),OR(Query!$B$10&lt;&gt;"Yes",'Compliance Database'!$F927&lt;&gt;"None")),1,0)</f>
        <v>0</v>
      </c>
      <c r="B927" t="str">
        <f>IF($A927=1,SUM($A$2:$A927),"")</f>
        <v/>
      </c>
      <c r="C927">
        <f>IF($A927=1,SUM($A$2:$A927),0)</f>
        <v>0</v>
      </c>
    </row>
    <row r="928" spans="1:3" x14ac:dyDescent="0.3">
      <c r="A928">
        <f>IF(AND(OR(Query!$B$4="All",'Compliance Database'!$A928=Query!$B$4),OR(Query!$B$5="All",ISNUMBER(SEARCH(Query!$B$5,'Compliance Database'!$H928))),OR(Query!$B$6="All",ISNUMBER(SEARCH(Query!$B$6,'Compliance Database'!$I928))),OR(Query!$B$7="All",'Compliance Database'!$F928=Query!$B$7),OR(Query!$B$8="All",'Compliance Database'!$J928=Query!$B$8),OR(Query!$B$9="",ISNUMBER(SEARCH(Query!$B$9,'Compliance Database'!$D928&amp;" "&amp;'Compliance Database'!$K928&amp;" "&amp;'Compliance Database'!$L928&amp;" "&amp;'Compliance Database'!$M928&amp;" "&amp;'Compliance Database'!$N928&amp;" "&amp;'Compliance Database'!$O928))),OR(Query!$B$10&lt;&gt;"Yes",'Compliance Database'!$F928&lt;&gt;"None")),1,0)</f>
        <v>0</v>
      </c>
      <c r="B928" t="str">
        <f>IF($A928=1,SUM($A$2:$A928),"")</f>
        <v/>
      </c>
      <c r="C928">
        <f>IF($A928=1,SUM($A$2:$A928),0)</f>
        <v>0</v>
      </c>
    </row>
    <row r="929" spans="1:3" x14ac:dyDescent="0.3">
      <c r="A929">
        <f>IF(AND(OR(Query!$B$4="All",'Compliance Database'!$A929=Query!$B$4),OR(Query!$B$5="All",ISNUMBER(SEARCH(Query!$B$5,'Compliance Database'!$H929))),OR(Query!$B$6="All",ISNUMBER(SEARCH(Query!$B$6,'Compliance Database'!$I929))),OR(Query!$B$7="All",'Compliance Database'!$F929=Query!$B$7),OR(Query!$B$8="All",'Compliance Database'!$J929=Query!$B$8),OR(Query!$B$9="",ISNUMBER(SEARCH(Query!$B$9,'Compliance Database'!$D929&amp;" "&amp;'Compliance Database'!$K929&amp;" "&amp;'Compliance Database'!$L929&amp;" "&amp;'Compliance Database'!$M929&amp;" "&amp;'Compliance Database'!$N929&amp;" "&amp;'Compliance Database'!$O929))),OR(Query!$B$10&lt;&gt;"Yes",'Compliance Database'!$F929&lt;&gt;"None")),1,0)</f>
        <v>0</v>
      </c>
      <c r="B929" t="str">
        <f>IF($A929=1,SUM($A$2:$A929),"")</f>
        <v/>
      </c>
      <c r="C929">
        <f>IF($A929=1,SUM($A$2:$A929),0)</f>
        <v>0</v>
      </c>
    </row>
    <row r="930" spans="1:3" x14ac:dyDescent="0.3">
      <c r="A930">
        <f>IF(AND(OR(Query!$B$4="All",'Compliance Database'!$A930=Query!$B$4),OR(Query!$B$5="All",ISNUMBER(SEARCH(Query!$B$5,'Compliance Database'!$H930))),OR(Query!$B$6="All",ISNUMBER(SEARCH(Query!$B$6,'Compliance Database'!$I930))),OR(Query!$B$7="All",'Compliance Database'!$F930=Query!$B$7),OR(Query!$B$8="All",'Compliance Database'!$J930=Query!$B$8),OR(Query!$B$9="",ISNUMBER(SEARCH(Query!$B$9,'Compliance Database'!$D930&amp;" "&amp;'Compliance Database'!$K930&amp;" "&amp;'Compliance Database'!$L930&amp;" "&amp;'Compliance Database'!$M930&amp;" "&amp;'Compliance Database'!$N930&amp;" "&amp;'Compliance Database'!$O930))),OR(Query!$B$10&lt;&gt;"Yes",'Compliance Database'!$F930&lt;&gt;"None")),1,0)</f>
        <v>0</v>
      </c>
      <c r="B930" t="str">
        <f>IF($A930=1,SUM($A$2:$A930),"")</f>
        <v/>
      </c>
      <c r="C930">
        <f>IF($A930=1,SUM($A$2:$A930),0)</f>
        <v>0</v>
      </c>
    </row>
    <row r="931" spans="1:3" x14ac:dyDescent="0.3">
      <c r="A931">
        <f>IF(AND(OR(Query!$B$4="All",'Compliance Database'!$A931=Query!$B$4),OR(Query!$B$5="All",ISNUMBER(SEARCH(Query!$B$5,'Compliance Database'!$H931))),OR(Query!$B$6="All",ISNUMBER(SEARCH(Query!$B$6,'Compliance Database'!$I931))),OR(Query!$B$7="All",'Compliance Database'!$F931=Query!$B$7),OR(Query!$B$8="All",'Compliance Database'!$J931=Query!$B$8),OR(Query!$B$9="",ISNUMBER(SEARCH(Query!$B$9,'Compliance Database'!$D931&amp;" "&amp;'Compliance Database'!$K931&amp;" "&amp;'Compliance Database'!$L931&amp;" "&amp;'Compliance Database'!$M931&amp;" "&amp;'Compliance Database'!$N931&amp;" "&amp;'Compliance Database'!$O931))),OR(Query!$B$10&lt;&gt;"Yes",'Compliance Database'!$F931&lt;&gt;"None")),1,0)</f>
        <v>0</v>
      </c>
      <c r="B931" t="str">
        <f>IF($A931=1,SUM($A$2:$A931),"")</f>
        <v/>
      </c>
      <c r="C931">
        <f>IF($A931=1,SUM($A$2:$A931),0)</f>
        <v>0</v>
      </c>
    </row>
    <row r="932" spans="1:3" x14ac:dyDescent="0.3">
      <c r="A932">
        <f>IF(AND(OR(Query!$B$4="All",'Compliance Database'!$A932=Query!$B$4),OR(Query!$B$5="All",ISNUMBER(SEARCH(Query!$B$5,'Compliance Database'!$H932))),OR(Query!$B$6="All",ISNUMBER(SEARCH(Query!$B$6,'Compliance Database'!$I932))),OR(Query!$B$7="All",'Compliance Database'!$F932=Query!$B$7),OR(Query!$B$8="All",'Compliance Database'!$J932=Query!$B$8),OR(Query!$B$9="",ISNUMBER(SEARCH(Query!$B$9,'Compliance Database'!$D932&amp;" "&amp;'Compliance Database'!$K932&amp;" "&amp;'Compliance Database'!$L932&amp;" "&amp;'Compliance Database'!$M932&amp;" "&amp;'Compliance Database'!$N932&amp;" "&amp;'Compliance Database'!$O932))),OR(Query!$B$10&lt;&gt;"Yes",'Compliance Database'!$F932&lt;&gt;"None")),1,0)</f>
        <v>0</v>
      </c>
      <c r="B932" t="str">
        <f>IF($A932=1,SUM($A$2:$A932),"")</f>
        <v/>
      </c>
      <c r="C932">
        <f>IF($A932=1,SUM($A$2:$A932),0)</f>
        <v>0</v>
      </c>
    </row>
    <row r="933" spans="1:3" x14ac:dyDescent="0.3">
      <c r="A933">
        <f>IF(AND(OR(Query!$B$4="All",'Compliance Database'!$A933=Query!$B$4),OR(Query!$B$5="All",ISNUMBER(SEARCH(Query!$B$5,'Compliance Database'!$H933))),OR(Query!$B$6="All",ISNUMBER(SEARCH(Query!$B$6,'Compliance Database'!$I933))),OR(Query!$B$7="All",'Compliance Database'!$F933=Query!$B$7),OR(Query!$B$8="All",'Compliance Database'!$J933=Query!$B$8),OR(Query!$B$9="",ISNUMBER(SEARCH(Query!$B$9,'Compliance Database'!$D933&amp;" "&amp;'Compliance Database'!$K933&amp;" "&amp;'Compliance Database'!$L933&amp;" "&amp;'Compliance Database'!$M933&amp;" "&amp;'Compliance Database'!$N933&amp;" "&amp;'Compliance Database'!$O933))),OR(Query!$B$10&lt;&gt;"Yes",'Compliance Database'!$F933&lt;&gt;"None")),1,0)</f>
        <v>0</v>
      </c>
      <c r="B933" t="str">
        <f>IF($A933=1,SUM($A$2:$A933),"")</f>
        <v/>
      </c>
      <c r="C933">
        <f>IF($A933=1,SUM($A$2:$A933),0)</f>
        <v>0</v>
      </c>
    </row>
    <row r="934" spans="1:3" x14ac:dyDescent="0.3">
      <c r="A934">
        <f>IF(AND(OR(Query!$B$4="All",'Compliance Database'!$A934=Query!$B$4),OR(Query!$B$5="All",ISNUMBER(SEARCH(Query!$B$5,'Compliance Database'!$H934))),OR(Query!$B$6="All",ISNUMBER(SEARCH(Query!$B$6,'Compliance Database'!$I934))),OR(Query!$B$7="All",'Compliance Database'!$F934=Query!$B$7),OR(Query!$B$8="All",'Compliance Database'!$J934=Query!$B$8),OR(Query!$B$9="",ISNUMBER(SEARCH(Query!$B$9,'Compliance Database'!$D934&amp;" "&amp;'Compliance Database'!$K934&amp;" "&amp;'Compliance Database'!$L934&amp;" "&amp;'Compliance Database'!$M934&amp;" "&amp;'Compliance Database'!$N934&amp;" "&amp;'Compliance Database'!$O934))),OR(Query!$B$10&lt;&gt;"Yes",'Compliance Database'!$F934&lt;&gt;"None")),1,0)</f>
        <v>0</v>
      </c>
      <c r="B934" t="str">
        <f>IF($A934=1,SUM($A$2:$A934),"")</f>
        <v/>
      </c>
      <c r="C934">
        <f>IF($A934=1,SUM($A$2:$A934),0)</f>
        <v>0</v>
      </c>
    </row>
    <row r="935" spans="1:3" x14ac:dyDescent="0.3">
      <c r="A935">
        <f>IF(AND(OR(Query!$B$4="All",'Compliance Database'!$A935=Query!$B$4),OR(Query!$B$5="All",ISNUMBER(SEARCH(Query!$B$5,'Compliance Database'!$H935))),OR(Query!$B$6="All",ISNUMBER(SEARCH(Query!$B$6,'Compliance Database'!$I935))),OR(Query!$B$7="All",'Compliance Database'!$F935=Query!$B$7),OR(Query!$B$8="All",'Compliance Database'!$J935=Query!$B$8),OR(Query!$B$9="",ISNUMBER(SEARCH(Query!$B$9,'Compliance Database'!$D935&amp;" "&amp;'Compliance Database'!$K935&amp;" "&amp;'Compliance Database'!$L935&amp;" "&amp;'Compliance Database'!$M935&amp;" "&amp;'Compliance Database'!$N935&amp;" "&amp;'Compliance Database'!$O935))),OR(Query!$B$10&lt;&gt;"Yes",'Compliance Database'!$F935&lt;&gt;"None")),1,0)</f>
        <v>0</v>
      </c>
      <c r="B935" t="str">
        <f>IF($A935=1,SUM($A$2:$A935),"")</f>
        <v/>
      </c>
      <c r="C935">
        <f>IF($A935=1,SUM($A$2:$A935),0)</f>
        <v>0</v>
      </c>
    </row>
    <row r="936" spans="1:3" x14ac:dyDescent="0.3">
      <c r="A936">
        <f>IF(AND(OR(Query!$B$4="All",'Compliance Database'!$A936=Query!$B$4),OR(Query!$B$5="All",ISNUMBER(SEARCH(Query!$B$5,'Compliance Database'!$H936))),OR(Query!$B$6="All",ISNUMBER(SEARCH(Query!$B$6,'Compliance Database'!$I936))),OR(Query!$B$7="All",'Compliance Database'!$F936=Query!$B$7),OR(Query!$B$8="All",'Compliance Database'!$J936=Query!$B$8),OR(Query!$B$9="",ISNUMBER(SEARCH(Query!$B$9,'Compliance Database'!$D936&amp;" "&amp;'Compliance Database'!$K936&amp;" "&amp;'Compliance Database'!$L936&amp;" "&amp;'Compliance Database'!$M936&amp;" "&amp;'Compliance Database'!$N936&amp;" "&amp;'Compliance Database'!$O936))),OR(Query!$B$10&lt;&gt;"Yes",'Compliance Database'!$F936&lt;&gt;"None")),1,0)</f>
        <v>0</v>
      </c>
      <c r="B936" t="str">
        <f>IF($A936=1,SUM($A$2:$A936),"")</f>
        <v/>
      </c>
      <c r="C936">
        <f>IF($A936=1,SUM($A$2:$A936),0)</f>
        <v>0</v>
      </c>
    </row>
    <row r="937" spans="1:3" x14ac:dyDescent="0.3">
      <c r="A937">
        <f>IF(AND(OR(Query!$B$4="All",'Compliance Database'!$A937=Query!$B$4),OR(Query!$B$5="All",ISNUMBER(SEARCH(Query!$B$5,'Compliance Database'!$H937))),OR(Query!$B$6="All",ISNUMBER(SEARCH(Query!$B$6,'Compliance Database'!$I937))),OR(Query!$B$7="All",'Compliance Database'!$F937=Query!$B$7),OR(Query!$B$8="All",'Compliance Database'!$J937=Query!$B$8),OR(Query!$B$9="",ISNUMBER(SEARCH(Query!$B$9,'Compliance Database'!$D937&amp;" "&amp;'Compliance Database'!$K937&amp;" "&amp;'Compliance Database'!$L937&amp;" "&amp;'Compliance Database'!$M937&amp;" "&amp;'Compliance Database'!$N937&amp;" "&amp;'Compliance Database'!$O937))),OR(Query!$B$10&lt;&gt;"Yes",'Compliance Database'!$F937&lt;&gt;"None")),1,0)</f>
        <v>0</v>
      </c>
      <c r="B937" t="str">
        <f>IF($A937=1,SUM($A$2:$A937),"")</f>
        <v/>
      </c>
      <c r="C937">
        <f>IF($A937=1,SUM($A$2:$A937),0)</f>
        <v>0</v>
      </c>
    </row>
    <row r="938" spans="1:3" x14ac:dyDescent="0.3">
      <c r="A938">
        <f>IF(AND(OR(Query!$B$4="All",'Compliance Database'!$A938=Query!$B$4),OR(Query!$B$5="All",ISNUMBER(SEARCH(Query!$B$5,'Compliance Database'!$H938))),OR(Query!$B$6="All",ISNUMBER(SEARCH(Query!$B$6,'Compliance Database'!$I938))),OR(Query!$B$7="All",'Compliance Database'!$F938=Query!$B$7),OR(Query!$B$8="All",'Compliance Database'!$J938=Query!$B$8),OR(Query!$B$9="",ISNUMBER(SEARCH(Query!$B$9,'Compliance Database'!$D938&amp;" "&amp;'Compliance Database'!$K938&amp;" "&amp;'Compliance Database'!$L938&amp;" "&amp;'Compliance Database'!$M938&amp;" "&amp;'Compliance Database'!$N938&amp;" "&amp;'Compliance Database'!$O938))),OR(Query!$B$10&lt;&gt;"Yes",'Compliance Database'!$F938&lt;&gt;"None")),1,0)</f>
        <v>0</v>
      </c>
      <c r="B938" t="str">
        <f>IF($A938=1,SUM($A$2:$A938),"")</f>
        <v/>
      </c>
      <c r="C938">
        <f>IF($A938=1,SUM($A$2:$A938),0)</f>
        <v>0</v>
      </c>
    </row>
    <row r="939" spans="1:3" x14ac:dyDescent="0.3">
      <c r="A939">
        <f>IF(AND(OR(Query!$B$4="All",'Compliance Database'!$A939=Query!$B$4),OR(Query!$B$5="All",ISNUMBER(SEARCH(Query!$B$5,'Compliance Database'!$H939))),OR(Query!$B$6="All",ISNUMBER(SEARCH(Query!$B$6,'Compliance Database'!$I939))),OR(Query!$B$7="All",'Compliance Database'!$F939=Query!$B$7),OR(Query!$B$8="All",'Compliance Database'!$J939=Query!$B$8),OR(Query!$B$9="",ISNUMBER(SEARCH(Query!$B$9,'Compliance Database'!$D939&amp;" "&amp;'Compliance Database'!$K939&amp;" "&amp;'Compliance Database'!$L939&amp;" "&amp;'Compliance Database'!$M939&amp;" "&amp;'Compliance Database'!$N939&amp;" "&amp;'Compliance Database'!$O939))),OR(Query!$B$10&lt;&gt;"Yes",'Compliance Database'!$F939&lt;&gt;"None")),1,0)</f>
        <v>0</v>
      </c>
      <c r="B939" t="str">
        <f>IF($A939=1,SUM($A$2:$A939),"")</f>
        <v/>
      </c>
      <c r="C939">
        <f>IF($A939=1,SUM($A$2:$A939),0)</f>
        <v>0</v>
      </c>
    </row>
    <row r="940" spans="1:3" x14ac:dyDescent="0.3">
      <c r="A940">
        <f>IF(AND(OR(Query!$B$4="All",'Compliance Database'!$A940=Query!$B$4),OR(Query!$B$5="All",ISNUMBER(SEARCH(Query!$B$5,'Compliance Database'!$H940))),OR(Query!$B$6="All",ISNUMBER(SEARCH(Query!$B$6,'Compliance Database'!$I940))),OR(Query!$B$7="All",'Compliance Database'!$F940=Query!$B$7),OR(Query!$B$8="All",'Compliance Database'!$J940=Query!$B$8),OR(Query!$B$9="",ISNUMBER(SEARCH(Query!$B$9,'Compliance Database'!$D940&amp;" "&amp;'Compliance Database'!$K940&amp;" "&amp;'Compliance Database'!$L940&amp;" "&amp;'Compliance Database'!$M940&amp;" "&amp;'Compliance Database'!$N940&amp;" "&amp;'Compliance Database'!$O940))),OR(Query!$B$10&lt;&gt;"Yes",'Compliance Database'!$F940&lt;&gt;"None")),1,0)</f>
        <v>0</v>
      </c>
      <c r="B940" t="str">
        <f>IF($A940=1,SUM($A$2:$A940),"")</f>
        <v/>
      </c>
      <c r="C940">
        <f>IF($A940=1,SUM($A$2:$A940),0)</f>
        <v>0</v>
      </c>
    </row>
    <row r="941" spans="1:3" x14ac:dyDescent="0.3">
      <c r="A941">
        <f>IF(AND(OR(Query!$B$4="All",'Compliance Database'!$A941=Query!$B$4),OR(Query!$B$5="All",ISNUMBER(SEARCH(Query!$B$5,'Compliance Database'!$H941))),OR(Query!$B$6="All",ISNUMBER(SEARCH(Query!$B$6,'Compliance Database'!$I941))),OR(Query!$B$7="All",'Compliance Database'!$F941=Query!$B$7),OR(Query!$B$8="All",'Compliance Database'!$J941=Query!$B$8),OR(Query!$B$9="",ISNUMBER(SEARCH(Query!$B$9,'Compliance Database'!$D941&amp;" "&amp;'Compliance Database'!$K941&amp;" "&amp;'Compliance Database'!$L941&amp;" "&amp;'Compliance Database'!$M941&amp;" "&amp;'Compliance Database'!$N941&amp;" "&amp;'Compliance Database'!$O941))),OR(Query!$B$10&lt;&gt;"Yes",'Compliance Database'!$F941&lt;&gt;"None")),1,0)</f>
        <v>0</v>
      </c>
      <c r="B941" t="str">
        <f>IF($A941=1,SUM($A$2:$A941),"")</f>
        <v/>
      </c>
      <c r="C941">
        <f>IF($A941=1,SUM($A$2:$A941),0)</f>
        <v>0</v>
      </c>
    </row>
    <row r="942" spans="1:3" x14ac:dyDescent="0.3">
      <c r="A942">
        <f>IF(AND(OR(Query!$B$4="All",'Compliance Database'!$A942=Query!$B$4),OR(Query!$B$5="All",ISNUMBER(SEARCH(Query!$B$5,'Compliance Database'!$H942))),OR(Query!$B$6="All",ISNUMBER(SEARCH(Query!$B$6,'Compliance Database'!$I942))),OR(Query!$B$7="All",'Compliance Database'!$F942=Query!$B$7),OR(Query!$B$8="All",'Compliance Database'!$J942=Query!$B$8),OR(Query!$B$9="",ISNUMBER(SEARCH(Query!$B$9,'Compliance Database'!$D942&amp;" "&amp;'Compliance Database'!$K942&amp;" "&amp;'Compliance Database'!$L942&amp;" "&amp;'Compliance Database'!$M942&amp;" "&amp;'Compliance Database'!$N942&amp;" "&amp;'Compliance Database'!$O942))),OR(Query!$B$10&lt;&gt;"Yes",'Compliance Database'!$F942&lt;&gt;"None")),1,0)</f>
        <v>0</v>
      </c>
      <c r="B942" t="str">
        <f>IF($A942=1,SUM($A$2:$A942),"")</f>
        <v/>
      </c>
      <c r="C942">
        <f>IF($A942=1,SUM($A$2:$A942),0)</f>
        <v>0</v>
      </c>
    </row>
    <row r="943" spans="1:3" x14ac:dyDescent="0.3">
      <c r="A943">
        <f>IF(AND(OR(Query!$B$4="All",'Compliance Database'!$A943=Query!$B$4),OR(Query!$B$5="All",ISNUMBER(SEARCH(Query!$B$5,'Compliance Database'!$H943))),OR(Query!$B$6="All",ISNUMBER(SEARCH(Query!$B$6,'Compliance Database'!$I943))),OR(Query!$B$7="All",'Compliance Database'!$F943=Query!$B$7),OR(Query!$B$8="All",'Compliance Database'!$J943=Query!$B$8),OR(Query!$B$9="",ISNUMBER(SEARCH(Query!$B$9,'Compliance Database'!$D943&amp;" "&amp;'Compliance Database'!$K943&amp;" "&amp;'Compliance Database'!$L943&amp;" "&amp;'Compliance Database'!$M943&amp;" "&amp;'Compliance Database'!$N943&amp;" "&amp;'Compliance Database'!$O943))),OR(Query!$B$10&lt;&gt;"Yes",'Compliance Database'!$F943&lt;&gt;"None")),1,0)</f>
        <v>0</v>
      </c>
      <c r="B943" t="str">
        <f>IF($A943=1,SUM($A$2:$A943),"")</f>
        <v/>
      </c>
      <c r="C943">
        <f>IF($A943=1,SUM($A$2:$A943),0)</f>
        <v>0</v>
      </c>
    </row>
    <row r="944" spans="1:3" x14ac:dyDescent="0.3">
      <c r="A944">
        <f>IF(AND(OR(Query!$B$4="All",'Compliance Database'!$A944=Query!$B$4),OR(Query!$B$5="All",ISNUMBER(SEARCH(Query!$B$5,'Compliance Database'!$H944))),OR(Query!$B$6="All",ISNUMBER(SEARCH(Query!$B$6,'Compliance Database'!$I944))),OR(Query!$B$7="All",'Compliance Database'!$F944=Query!$B$7),OR(Query!$B$8="All",'Compliance Database'!$J944=Query!$B$8),OR(Query!$B$9="",ISNUMBER(SEARCH(Query!$B$9,'Compliance Database'!$D944&amp;" "&amp;'Compliance Database'!$K944&amp;" "&amp;'Compliance Database'!$L944&amp;" "&amp;'Compliance Database'!$M944&amp;" "&amp;'Compliance Database'!$N944&amp;" "&amp;'Compliance Database'!$O944))),OR(Query!$B$10&lt;&gt;"Yes",'Compliance Database'!$F944&lt;&gt;"None")),1,0)</f>
        <v>0</v>
      </c>
      <c r="B944" t="str">
        <f>IF($A944=1,SUM($A$2:$A944),"")</f>
        <v/>
      </c>
      <c r="C944">
        <f>IF($A944=1,SUM($A$2:$A944),0)</f>
        <v>0</v>
      </c>
    </row>
    <row r="945" spans="1:3" x14ac:dyDescent="0.3">
      <c r="A945">
        <f>IF(AND(OR(Query!$B$4="All",'Compliance Database'!$A945=Query!$B$4),OR(Query!$B$5="All",ISNUMBER(SEARCH(Query!$B$5,'Compliance Database'!$H945))),OR(Query!$B$6="All",ISNUMBER(SEARCH(Query!$B$6,'Compliance Database'!$I945))),OR(Query!$B$7="All",'Compliance Database'!$F945=Query!$B$7),OR(Query!$B$8="All",'Compliance Database'!$J945=Query!$B$8),OR(Query!$B$9="",ISNUMBER(SEARCH(Query!$B$9,'Compliance Database'!$D945&amp;" "&amp;'Compliance Database'!$K945&amp;" "&amp;'Compliance Database'!$L945&amp;" "&amp;'Compliance Database'!$M945&amp;" "&amp;'Compliance Database'!$N945&amp;" "&amp;'Compliance Database'!$O945))),OR(Query!$B$10&lt;&gt;"Yes",'Compliance Database'!$F945&lt;&gt;"None")),1,0)</f>
        <v>0</v>
      </c>
      <c r="B945" t="str">
        <f>IF($A945=1,SUM($A$2:$A945),"")</f>
        <v/>
      </c>
      <c r="C945">
        <f>IF($A945=1,SUM($A$2:$A945),0)</f>
        <v>0</v>
      </c>
    </row>
    <row r="946" spans="1:3" x14ac:dyDescent="0.3">
      <c r="A946">
        <f>IF(AND(OR(Query!$B$4="All",'Compliance Database'!$A946=Query!$B$4),OR(Query!$B$5="All",ISNUMBER(SEARCH(Query!$B$5,'Compliance Database'!$H946))),OR(Query!$B$6="All",ISNUMBER(SEARCH(Query!$B$6,'Compliance Database'!$I946))),OR(Query!$B$7="All",'Compliance Database'!$F946=Query!$B$7),OR(Query!$B$8="All",'Compliance Database'!$J946=Query!$B$8),OR(Query!$B$9="",ISNUMBER(SEARCH(Query!$B$9,'Compliance Database'!$D946&amp;" "&amp;'Compliance Database'!$K946&amp;" "&amp;'Compliance Database'!$L946&amp;" "&amp;'Compliance Database'!$M946&amp;" "&amp;'Compliance Database'!$N946&amp;" "&amp;'Compliance Database'!$O946))),OR(Query!$B$10&lt;&gt;"Yes",'Compliance Database'!$F946&lt;&gt;"None")),1,0)</f>
        <v>0</v>
      </c>
      <c r="B946" t="str">
        <f>IF($A946=1,SUM($A$2:$A946),"")</f>
        <v/>
      </c>
      <c r="C946">
        <f>IF($A946=1,SUM($A$2:$A946),0)</f>
        <v>0</v>
      </c>
    </row>
    <row r="947" spans="1:3" x14ac:dyDescent="0.3">
      <c r="A947">
        <f>IF(AND(OR(Query!$B$4="All",'Compliance Database'!$A947=Query!$B$4),OR(Query!$B$5="All",ISNUMBER(SEARCH(Query!$B$5,'Compliance Database'!$H947))),OR(Query!$B$6="All",ISNUMBER(SEARCH(Query!$B$6,'Compliance Database'!$I947))),OR(Query!$B$7="All",'Compliance Database'!$F947=Query!$B$7),OR(Query!$B$8="All",'Compliance Database'!$J947=Query!$B$8),OR(Query!$B$9="",ISNUMBER(SEARCH(Query!$B$9,'Compliance Database'!$D947&amp;" "&amp;'Compliance Database'!$K947&amp;" "&amp;'Compliance Database'!$L947&amp;" "&amp;'Compliance Database'!$M947&amp;" "&amp;'Compliance Database'!$N947&amp;" "&amp;'Compliance Database'!$O947))),OR(Query!$B$10&lt;&gt;"Yes",'Compliance Database'!$F947&lt;&gt;"None")),1,0)</f>
        <v>0</v>
      </c>
      <c r="B947" t="str">
        <f>IF($A947=1,SUM($A$2:$A947),"")</f>
        <v/>
      </c>
      <c r="C947">
        <f>IF($A947=1,SUM($A$2:$A947),0)</f>
        <v>0</v>
      </c>
    </row>
    <row r="948" spans="1:3" x14ac:dyDescent="0.3">
      <c r="A948">
        <f>IF(AND(OR(Query!$B$4="All",'Compliance Database'!$A948=Query!$B$4),OR(Query!$B$5="All",ISNUMBER(SEARCH(Query!$B$5,'Compliance Database'!$H948))),OR(Query!$B$6="All",ISNUMBER(SEARCH(Query!$B$6,'Compliance Database'!$I948))),OR(Query!$B$7="All",'Compliance Database'!$F948=Query!$B$7),OR(Query!$B$8="All",'Compliance Database'!$J948=Query!$B$8),OR(Query!$B$9="",ISNUMBER(SEARCH(Query!$B$9,'Compliance Database'!$D948&amp;" "&amp;'Compliance Database'!$K948&amp;" "&amp;'Compliance Database'!$L948&amp;" "&amp;'Compliance Database'!$M948&amp;" "&amp;'Compliance Database'!$N948&amp;" "&amp;'Compliance Database'!$O948))),OR(Query!$B$10&lt;&gt;"Yes",'Compliance Database'!$F948&lt;&gt;"None")),1,0)</f>
        <v>0</v>
      </c>
      <c r="B948" t="str">
        <f>IF($A948=1,SUM($A$2:$A948),"")</f>
        <v/>
      </c>
      <c r="C948">
        <f>IF($A948=1,SUM($A$2:$A948),0)</f>
        <v>0</v>
      </c>
    </row>
    <row r="949" spans="1:3" x14ac:dyDescent="0.3">
      <c r="A949">
        <f>IF(AND(OR(Query!$B$4="All",'Compliance Database'!$A949=Query!$B$4),OR(Query!$B$5="All",ISNUMBER(SEARCH(Query!$B$5,'Compliance Database'!$H949))),OR(Query!$B$6="All",ISNUMBER(SEARCH(Query!$B$6,'Compliance Database'!$I949))),OR(Query!$B$7="All",'Compliance Database'!$F949=Query!$B$7),OR(Query!$B$8="All",'Compliance Database'!$J949=Query!$B$8),OR(Query!$B$9="",ISNUMBER(SEARCH(Query!$B$9,'Compliance Database'!$D949&amp;" "&amp;'Compliance Database'!$K949&amp;" "&amp;'Compliance Database'!$L949&amp;" "&amp;'Compliance Database'!$M949&amp;" "&amp;'Compliance Database'!$N949&amp;" "&amp;'Compliance Database'!$O949))),OR(Query!$B$10&lt;&gt;"Yes",'Compliance Database'!$F949&lt;&gt;"None")),1,0)</f>
        <v>0</v>
      </c>
      <c r="B949" t="str">
        <f>IF($A949=1,SUM($A$2:$A949),"")</f>
        <v/>
      </c>
      <c r="C949">
        <f>IF($A949=1,SUM($A$2:$A949),0)</f>
        <v>0</v>
      </c>
    </row>
    <row r="950" spans="1:3" x14ac:dyDescent="0.3">
      <c r="A950">
        <f>IF(AND(OR(Query!$B$4="All",'Compliance Database'!$A950=Query!$B$4),OR(Query!$B$5="All",ISNUMBER(SEARCH(Query!$B$5,'Compliance Database'!$H950))),OR(Query!$B$6="All",ISNUMBER(SEARCH(Query!$B$6,'Compliance Database'!$I950))),OR(Query!$B$7="All",'Compliance Database'!$F950=Query!$B$7),OR(Query!$B$8="All",'Compliance Database'!$J950=Query!$B$8),OR(Query!$B$9="",ISNUMBER(SEARCH(Query!$B$9,'Compliance Database'!$D950&amp;" "&amp;'Compliance Database'!$K950&amp;" "&amp;'Compliance Database'!$L950&amp;" "&amp;'Compliance Database'!$M950&amp;" "&amp;'Compliance Database'!$N950&amp;" "&amp;'Compliance Database'!$O950))),OR(Query!$B$10&lt;&gt;"Yes",'Compliance Database'!$F950&lt;&gt;"None")),1,0)</f>
        <v>0</v>
      </c>
      <c r="B950" t="str">
        <f>IF($A950=1,SUM($A$2:$A950),"")</f>
        <v/>
      </c>
      <c r="C950">
        <f>IF($A950=1,SUM($A$2:$A950),0)</f>
        <v>0</v>
      </c>
    </row>
    <row r="951" spans="1:3" x14ac:dyDescent="0.3">
      <c r="A951">
        <f>IF(AND(OR(Query!$B$4="All",'Compliance Database'!$A951=Query!$B$4),OR(Query!$B$5="All",ISNUMBER(SEARCH(Query!$B$5,'Compliance Database'!$H951))),OR(Query!$B$6="All",ISNUMBER(SEARCH(Query!$B$6,'Compliance Database'!$I951))),OR(Query!$B$7="All",'Compliance Database'!$F951=Query!$B$7),OR(Query!$B$8="All",'Compliance Database'!$J951=Query!$B$8),OR(Query!$B$9="",ISNUMBER(SEARCH(Query!$B$9,'Compliance Database'!$D951&amp;" "&amp;'Compliance Database'!$K951&amp;" "&amp;'Compliance Database'!$L951&amp;" "&amp;'Compliance Database'!$M951&amp;" "&amp;'Compliance Database'!$N951&amp;" "&amp;'Compliance Database'!$O951))),OR(Query!$B$10&lt;&gt;"Yes",'Compliance Database'!$F951&lt;&gt;"None")),1,0)</f>
        <v>0</v>
      </c>
      <c r="B951" t="str">
        <f>IF($A951=1,SUM($A$2:$A951),"")</f>
        <v/>
      </c>
      <c r="C951">
        <f>IF($A951=1,SUM($A$2:$A951),0)</f>
        <v>0</v>
      </c>
    </row>
    <row r="952" spans="1:3" x14ac:dyDescent="0.3">
      <c r="A952">
        <f>IF(AND(OR(Query!$B$4="All",'Compliance Database'!$A952=Query!$B$4),OR(Query!$B$5="All",ISNUMBER(SEARCH(Query!$B$5,'Compliance Database'!$H952))),OR(Query!$B$6="All",ISNUMBER(SEARCH(Query!$B$6,'Compliance Database'!$I952))),OR(Query!$B$7="All",'Compliance Database'!$F952=Query!$B$7),OR(Query!$B$8="All",'Compliance Database'!$J952=Query!$B$8),OR(Query!$B$9="",ISNUMBER(SEARCH(Query!$B$9,'Compliance Database'!$D952&amp;" "&amp;'Compliance Database'!$K952&amp;" "&amp;'Compliance Database'!$L952&amp;" "&amp;'Compliance Database'!$M952&amp;" "&amp;'Compliance Database'!$N952&amp;" "&amp;'Compliance Database'!$O952))),OR(Query!$B$10&lt;&gt;"Yes",'Compliance Database'!$F952&lt;&gt;"None")),1,0)</f>
        <v>0</v>
      </c>
      <c r="B952" t="str">
        <f>IF($A952=1,SUM($A$2:$A952),"")</f>
        <v/>
      </c>
      <c r="C952">
        <f>IF($A952=1,SUM($A$2:$A952),0)</f>
        <v>0</v>
      </c>
    </row>
    <row r="953" spans="1:3" x14ac:dyDescent="0.3">
      <c r="A953">
        <f>IF(AND(OR(Query!$B$4="All",'Compliance Database'!$A953=Query!$B$4),OR(Query!$B$5="All",ISNUMBER(SEARCH(Query!$B$5,'Compliance Database'!$H953))),OR(Query!$B$6="All",ISNUMBER(SEARCH(Query!$B$6,'Compliance Database'!$I953))),OR(Query!$B$7="All",'Compliance Database'!$F953=Query!$B$7),OR(Query!$B$8="All",'Compliance Database'!$J953=Query!$B$8),OR(Query!$B$9="",ISNUMBER(SEARCH(Query!$B$9,'Compliance Database'!$D953&amp;" "&amp;'Compliance Database'!$K953&amp;" "&amp;'Compliance Database'!$L953&amp;" "&amp;'Compliance Database'!$M953&amp;" "&amp;'Compliance Database'!$N953&amp;" "&amp;'Compliance Database'!$O953))),OR(Query!$B$10&lt;&gt;"Yes",'Compliance Database'!$F953&lt;&gt;"None")),1,0)</f>
        <v>0</v>
      </c>
      <c r="B953" t="str">
        <f>IF($A953=1,SUM($A$2:$A953),"")</f>
        <v/>
      </c>
      <c r="C953">
        <f>IF($A953=1,SUM($A$2:$A953),0)</f>
        <v>0</v>
      </c>
    </row>
    <row r="954" spans="1:3" x14ac:dyDescent="0.3">
      <c r="A954">
        <f>IF(AND(OR(Query!$B$4="All",'Compliance Database'!$A954=Query!$B$4),OR(Query!$B$5="All",ISNUMBER(SEARCH(Query!$B$5,'Compliance Database'!$H954))),OR(Query!$B$6="All",ISNUMBER(SEARCH(Query!$B$6,'Compliance Database'!$I954))),OR(Query!$B$7="All",'Compliance Database'!$F954=Query!$B$7),OR(Query!$B$8="All",'Compliance Database'!$J954=Query!$B$8),OR(Query!$B$9="",ISNUMBER(SEARCH(Query!$B$9,'Compliance Database'!$D954&amp;" "&amp;'Compliance Database'!$K954&amp;" "&amp;'Compliance Database'!$L954&amp;" "&amp;'Compliance Database'!$M954&amp;" "&amp;'Compliance Database'!$N954&amp;" "&amp;'Compliance Database'!$O954))),OR(Query!$B$10&lt;&gt;"Yes",'Compliance Database'!$F954&lt;&gt;"None")),1,0)</f>
        <v>0</v>
      </c>
      <c r="B954" t="str">
        <f>IF($A954=1,SUM($A$2:$A954),"")</f>
        <v/>
      </c>
      <c r="C954">
        <f>IF($A954=1,SUM($A$2:$A954),0)</f>
        <v>0</v>
      </c>
    </row>
    <row r="955" spans="1:3" x14ac:dyDescent="0.3">
      <c r="A955">
        <f>IF(AND(OR(Query!$B$4="All",'Compliance Database'!$A955=Query!$B$4),OR(Query!$B$5="All",ISNUMBER(SEARCH(Query!$B$5,'Compliance Database'!$H955))),OR(Query!$B$6="All",ISNUMBER(SEARCH(Query!$B$6,'Compliance Database'!$I955))),OR(Query!$B$7="All",'Compliance Database'!$F955=Query!$B$7),OR(Query!$B$8="All",'Compliance Database'!$J955=Query!$B$8),OR(Query!$B$9="",ISNUMBER(SEARCH(Query!$B$9,'Compliance Database'!$D955&amp;" "&amp;'Compliance Database'!$K955&amp;" "&amp;'Compliance Database'!$L955&amp;" "&amp;'Compliance Database'!$M955&amp;" "&amp;'Compliance Database'!$N955&amp;" "&amp;'Compliance Database'!$O955))),OR(Query!$B$10&lt;&gt;"Yes",'Compliance Database'!$F955&lt;&gt;"None")),1,0)</f>
        <v>0</v>
      </c>
      <c r="B955" t="str">
        <f>IF($A955=1,SUM($A$2:$A955),"")</f>
        <v/>
      </c>
      <c r="C955">
        <f>IF($A955=1,SUM($A$2:$A955),0)</f>
        <v>0</v>
      </c>
    </row>
    <row r="956" spans="1:3" x14ac:dyDescent="0.3">
      <c r="A956">
        <f>IF(AND(OR(Query!$B$4="All",'Compliance Database'!$A956=Query!$B$4),OR(Query!$B$5="All",ISNUMBER(SEARCH(Query!$B$5,'Compliance Database'!$H956))),OR(Query!$B$6="All",ISNUMBER(SEARCH(Query!$B$6,'Compliance Database'!$I956))),OR(Query!$B$7="All",'Compliance Database'!$F956=Query!$B$7),OR(Query!$B$8="All",'Compliance Database'!$J956=Query!$B$8),OR(Query!$B$9="",ISNUMBER(SEARCH(Query!$B$9,'Compliance Database'!$D956&amp;" "&amp;'Compliance Database'!$K956&amp;" "&amp;'Compliance Database'!$L956&amp;" "&amp;'Compliance Database'!$M956&amp;" "&amp;'Compliance Database'!$N956&amp;" "&amp;'Compliance Database'!$O956))),OR(Query!$B$10&lt;&gt;"Yes",'Compliance Database'!$F956&lt;&gt;"None")),1,0)</f>
        <v>0</v>
      </c>
      <c r="B956" t="str">
        <f>IF($A956=1,SUM($A$2:$A956),"")</f>
        <v/>
      </c>
      <c r="C956">
        <f>IF($A956=1,SUM($A$2:$A956),0)</f>
        <v>0</v>
      </c>
    </row>
    <row r="957" spans="1:3" x14ac:dyDescent="0.3">
      <c r="A957">
        <f>IF(AND(OR(Query!$B$4="All",'Compliance Database'!$A957=Query!$B$4),OR(Query!$B$5="All",ISNUMBER(SEARCH(Query!$B$5,'Compliance Database'!$H957))),OR(Query!$B$6="All",ISNUMBER(SEARCH(Query!$B$6,'Compliance Database'!$I957))),OR(Query!$B$7="All",'Compliance Database'!$F957=Query!$B$7),OR(Query!$B$8="All",'Compliance Database'!$J957=Query!$B$8),OR(Query!$B$9="",ISNUMBER(SEARCH(Query!$B$9,'Compliance Database'!$D957&amp;" "&amp;'Compliance Database'!$K957&amp;" "&amp;'Compliance Database'!$L957&amp;" "&amp;'Compliance Database'!$M957&amp;" "&amp;'Compliance Database'!$N957&amp;" "&amp;'Compliance Database'!$O957))),OR(Query!$B$10&lt;&gt;"Yes",'Compliance Database'!$F957&lt;&gt;"None")),1,0)</f>
        <v>0</v>
      </c>
      <c r="B957" t="str">
        <f>IF($A957=1,SUM($A$2:$A957),"")</f>
        <v/>
      </c>
      <c r="C957">
        <f>IF($A957=1,SUM($A$2:$A957),0)</f>
        <v>0</v>
      </c>
    </row>
    <row r="958" spans="1:3" x14ac:dyDescent="0.3">
      <c r="A958">
        <f>IF(AND(OR(Query!$B$4="All",'Compliance Database'!$A958=Query!$B$4),OR(Query!$B$5="All",ISNUMBER(SEARCH(Query!$B$5,'Compliance Database'!$H958))),OR(Query!$B$6="All",ISNUMBER(SEARCH(Query!$B$6,'Compliance Database'!$I958))),OR(Query!$B$7="All",'Compliance Database'!$F958=Query!$B$7),OR(Query!$B$8="All",'Compliance Database'!$J958=Query!$B$8),OR(Query!$B$9="",ISNUMBER(SEARCH(Query!$B$9,'Compliance Database'!$D958&amp;" "&amp;'Compliance Database'!$K958&amp;" "&amp;'Compliance Database'!$L958&amp;" "&amp;'Compliance Database'!$M958&amp;" "&amp;'Compliance Database'!$N958&amp;" "&amp;'Compliance Database'!$O958))),OR(Query!$B$10&lt;&gt;"Yes",'Compliance Database'!$F958&lt;&gt;"None")),1,0)</f>
        <v>0</v>
      </c>
      <c r="B958" t="str">
        <f>IF($A958=1,SUM($A$2:$A958),"")</f>
        <v/>
      </c>
      <c r="C958">
        <f>IF($A958=1,SUM($A$2:$A958),0)</f>
        <v>0</v>
      </c>
    </row>
    <row r="959" spans="1:3" x14ac:dyDescent="0.3">
      <c r="A959">
        <f>IF(AND(OR(Query!$B$4="All",'Compliance Database'!$A959=Query!$B$4),OR(Query!$B$5="All",ISNUMBER(SEARCH(Query!$B$5,'Compliance Database'!$H959))),OR(Query!$B$6="All",ISNUMBER(SEARCH(Query!$B$6,'Compliance Database'!$I959))),OR(Query!$B$7="All",'Compliance Database'!$F959=Query!$B$7),OR(Query!$B$8="All",'Compliance Database'!$J959=Query!$B$8),OR(Query!$B$9="",ISNUMBER(SEARCH(Query!$B$9,'Compliance Database'!$D959&amp;" "&amp;'Compliance Database'!$K959&amp;" "&amp;'Compliance Database'!$L959&amp;" "&amp;'Compliance Database'!$M959&amp;" "&amp;'Compliance Database'!$N959&amp;" "&amp;'Compliance Database'!$O959))),OR(Query!$B$10&lt;&gt;"Yes",'Compliance Database'!$F959&lt;&gt;"None")),1,0)</f>
        <v>0</v>
      </c>
      <c r="B959" t="str">
        <f>IF($A959=1,SUM($A$2:$A959),"")</f>
        <v/>
      </c>
      <c r="C959">
        <f>IF($A959=1,SUM($A$2:$A959),0)</f>
        <v>0</v>
      </c>
    </row>
    <row r="960" spans="1:3" x14ac:dyDescent="0.3">
      <c r="A960">
        <f>IF(AND(OR(Query!$B$4="All",'Compliance Database'!$A960=Query!$B$4),OR(Query!$B$5="All",ISNUMBER(SEARCH(Query!$B$5,'Compliance Database'!$H960))),OR(Query!$B$6="All",ISNUMBER(SEARCH(Query!$B$6,'Compliance Database'!$I960))),OR(Query!$B$7="All",'Compliance Database'!$F960=Query!$B$7),OR(Query!$B$8="All",'Compliance Database'!$J960=Query!$B$8),OR(Query!$B$9="",ISNUMBER(SEARCH(Query!$B$9,'Compliance Database'!$D960&amp;" "&amp;'Compliance Database'!$K960&amp;" "&amp;'Compliance Database'!$L960&amp;" "&amp;'Compliance Database'!$M960&amp;" "&amp;'Compliance Database'!$N960&amp;" "&amp;'Compliance Database'!$O960))),OR(Query!$B$10&lt;&gt;"Yes",'Compliance Database'!$F960&lt;&gt;"None")),1,0)</f>
        <v>0</v>
      </c>
      <c r="B960" t="str">
        <f>IF($A960=1,SUM($A$2:$A960),"")</f>
        <v/>
      </c>
      <c r="C960">
        <f>IF($A960=1,SUM($A$2:$A960),0)</f>
        <v>0</v>
      </c>
    </row>
    <row r="961" spans="1:3" x14ac:dyDescent="0.3">
      <c r="A961">
        <f>IF(AND(OR(Query!$B$4="All",'Compliance Database'!$A961=Query!$B$4),OR(Query!$B$5="All",ISNUMBER(SEARCH(Query!$B$5,'Compliance Database'!$H961))),OR(Query!$B$6="All",ISNUMBER(SEARCH(Query!$B$6,'Compliance Database'!$I961))),OR(Query!$B$7="All",'Compliance Database'!$F961=Query!$B$7),OR(Query!$B$8="All",'Compliance Database'!$J961=Query!$B$8),OR(Query!$B$9="",ISNUMBER(SEARCH(Query!$B$9,'Compliance Database'!$D961&amp;" "&amp;'Compliance Database'!$K961&amp;" "&amp;'Compliance Database'!$L961&amp;" "&amp;'Compliance Database'!$M961&amp;" "&amp;'Compliance Database'!$N961&amp;" "&amp;'Compliance Database'!$O961))),OR(Query!$B$10&lt;&gt;"Yes",'Compliance Database'!$F961&lt;&gt;"None")),1,0)</f>
        <v>0</v>
      </c>
      <c r="B961" t="str">
        <f>IF($A961=1,SUM($A$2:$A961),"")</f>
        <v/>
      </c>
      <c r="C961">
        <f>IF($A961=1,SUM($A$2:$A961),0)</f>
        <v>0</v>
      </c>
    </row>
    <row r="962" spans="1:3" x14ac:dyDescent="0.3">
      <c r="A962">
        <f>IF(AND(OR(Query!$B$4="All",'Compliance Database'!$A962=Query!$B$4),OR(Query!$B$5="All",ISNUMBER(SEARCH(Query!$B$5,'Compliance Database'!$H962))),OR(Query!$B$6="All",ISNUMBER(SEARCH(Query!$B$6,'Compliance Database'!$I962))),OR(Query!$B$7="All",'Compliance Database'!$F962=Query!$B$7),OR(Query!$B$8="All",'Compliance Database'!$J962=Query!$B$8),OR(Query!$B$9="",ISNUMBER(SEARCH(Query!$B$9,'Compliance Database'!$D962&amp;" "&amp;'Compliance Database'!$K962&amp;" "&amp;'Compliance Database'!$L962&amp;" "&amp;'Compliance Database'!$M962&amp;" "&amp;'Compliance Database'!$N962&amp;" "&amp;'Compliance Database'!$O962))),OR(Query!$B$10&lt;&gt;"Yes",'Compliance Database'!$F962&lt;&gt;"None")),1,0)</f>
        <v>0</v>
      </c>
      <c r="B962" t="str">
        <f>IF($A962=1,SUM($A$2:$A962),"")</f>
        <v/>
      </c>
      <c r="C962">
        <f>IF($A962=1,SUM($A$2:$A962),0)</f>
        <v>0</v>
      </c>
    </row>
    <row r="963" spans="1:3" x14ac:dyDescent="0.3">
      <c r="A963">
        <f>IF(AND(OR(Query!$B$4="All",'Compliance Database'!$A963=Query!$B$4),OR(Query!$B$5="All",ISNUMBER(SEARCH(Query!$B$5,'Compliance Database'!$H963))),OR(Query!$B$6="All",ISNUMBER(SEARCH(Query!$B$6,'Compliance Database'!$I963))),OR(Query!$B$7="All",'Compliance Database'!$F963=Query!$B$7),OR(Query!$B$8="All",'Compliance Database'!$J963=Query!$B$8),OR(Query!$B$9="",ISNUMBER(SEARCH(Query!$B$9,'Compliance Database'!$D963&amp;" "&amp;'Compliance Database'!$K963&amp;" "&amp;'Compliance Database'!$L963&amp;" "&amp;'Compliance Database'!$M963&amp;" "&amp;'Compliance Database'!$N963&amp;" "&amp;'Compliance Database'!$O963))),OR(Query!$B$10&lt;&gt;"Yes",'Compliance Database'!$F963&lt;&gt;"None")),1,0)</f>
        <v>0</v>
      </c>
      <c r="B963" t="str">
        <f>IF($A963=1,SUM($A$2:$A963),"")</f>
        <v/>
      </c>
      <c r="C963">
        <f>IF($A963=1,SUM($A$2:$A963),0)</f>
        <v>0</v>
      </c>
    </row>
    <row r="964" spans="1:3" x14ac:dyDescent="0.3">
      <c r="A964">
        <f>IF(AND(OR(Query!$B$4="All",'Compliance Database'!$A964=Query!$B$4),OR(Query!$B$5="All",ISNUMBER(SEARCH(Query!$B$5,'Compliance Database'!$H964))),OR(Query!$B$6="All",ISNUMBER(SEARCH(Query!$B$6,'Compliance Database'!$I964))),OR(Query!$B$7="All",'Compliance Database'!$F964=Query!$B$7),OR(Query!$B$8="All",'Compliance Database'!$J964=Query!$B$8),OR(Query!$B$9="",ISNUMBER(SEARCH(Query!$B$9,'Compliance Database'!$D964&amp;" "&amp;'Compliance Database'!$K964&amp;" "&amp;'Compliance Database'!$L964&amp;" "&amp;'Compliance Database'!$M964&amp;" "&amp;'Compliance Database'!$N964&amp;" "&amp;'Compliance Database'!$O964))),OR(Query!$B$10&lt;&gt;"Yes",'Compliance Database'!$F964&lt;&gt;"None")),1,0)</f>
        <v>0</v>
      </c>
      <c r="B964" t="str">
        <f>IF($A964=1,SUM($A$2:$A964),"")</f>
        <v/>
      </c>
      <c r="C964">
        <f>IF($A964=1,SUM($A$2:$A964),0)</f>
        <v>0</v>
      </c>
    </row>
    <row r="965" spans="1:3" x14ac:dyDescent="0.3">
      <c r="A965">
        <f>IF(AND(OR(Query!$B$4="All",'Compliance Database'!$A965=Query!$B$4),OR(Query!$B$5="All",ISNUMBER(SEARCH(Query!$B$5,'Compliance Database'!$H965))),OR(Query!$B$6="All",ISNUMBER(SEARCH(Query!$B$6,'Compliance Database'!$I965))),OR(Query!$B$7="All",'Compliance Database'!$F965=Query!$B$7),OR(Query!$B$8="All",'Compliance Database'!$J965=Query!$B$8),OR(Query!$B$9="",ISNUMBER(SEARCH(Query!$B$9,'Compliance Database'!$D965&amp;" "&amp;'Compliance Database'!$K965&amp;" "&amp;'Compliance Database'!$L965&amp;" "&amp;'Compliance Database'!$M965&amp;" "&amp;'Compliance Database'!$N965&amp;" "&amp;'Compliance Database'!$O965))),OR(Query!$B$10&lt;&gt;"Yes",'Compliance Database'!$F965&lt;&gt;"None")),1,0)</f>
        <v>0</v>
      </c>
      <c r="B965" t="str">
        <f>IF($A965=1,SUM($A$2:$A965),"")</f>
        <v/>
      </c>
      <c r="C965">
        <f>IF($A965=1,SUM($A$2:$A965),0)</f>
        <v>0</v>
      </c>
    </row>
    <row r="966" spans="1:3" x14ac:dyDescent="0.3">
      <c r="A966">
        <f>IF(AND(OR(Query!$B$4="All",'Compliance Database'!$A966=Query!$B$4),OR(Query!$B$5="All",ISNUMBER(SEARCH(Query!$B$5,'Compliance Database'!$H966))),OR(Query!$B$6="All",ISNUMBER(SEARCH(Query!$B$6,'Compliance Database'!$I966))),OR(Query!$B$7="All",'Compliance Database'!$F966=Query!$B$7),OR(Query!$B$8="All",'Compliance Database'!$J966=Query!$B$8),OR(Query!$B$9="",ISNUMBER(SEARCH(Query!$B$9,'Compliance Database'!$D966&amp;" "&amp;'Compliance Database'!$K966&amp;" "&amp;'Compliance Database'!$L966&amp;" "&amp;'Compliance Database'!$M966&amp;" "&amp;'Compliance Database'!$N966&amp;" "&amp;'Compliance Database'!$O966))),OR(Query!$B$10&lt;&gt;"Yes",'Compliance Database'!$F966&lt;&gt;"None")),1,0)</f>
        <v>0</v>
      </c>
      <c r="B966" t="str">
        <f>IF($A966=1,SUM($A$2:$A966),"")</f>
        <v/>
      </c>
      <c r="C966">
        <f>IF($A966=1,SUM($A$2:$A966),0)</f>
        <v>0</v>
      </c>
    </row>
    <row r="967" spans="1:3" x14ac:dyDescent="0.3">
      <c r="A967">
        <f>IF(AND(OR(Query!$B$4="All",'Compliance Database'!$A967=Query!$B$4),OR(Query!$B$5="All",ISNUMBER(SEARCH(Query!$B$5,'Compliance Database'!$H967))),OR(Query!$B$6="All",ISNUMBER(SEARCH(Query!$B$6,'Compliance Database'!$I967))),OR(Query!$B$7="All",'Compliance Database'!$F967=Query!$B$7),OR(Query!$B$8="All",'Compliance Database'!$J967=Query!$B$8),OR(Query!$B$9="",ISNUMBER(SEARCH(Query!$B$9,'Compliance Database'!$D967&amp;" "&amp;'Compliance Database'!$K967&amp;" "&amp;'Compliance Database'!$L967&amp;" "&amp;'Compliance Database'!$M967&amp;" "&amp;'Compliance Database'!$N967&amp;" "&amp;'Compliance Database'!$O967))),OR(Query!$B$10&lt;&gt;"Yes",'Compliance Database'!$F967&lt;&gt;"None")),1,0)</f>
        <v>0</v>
      </c>
      <c r="B967" t="str">
        <f>IF($A967=1,SUM($A$2:$A967),"")</f>
        <v/>
      </c>
      <c r="C967">
        <f>IF($A967=1,SUM($A$2:$A967),0)</f>
        <v>0</v>
      </c>
    </row>
    <row r="968" spans="1:3" x14ac:dyDescent="0.3">
      <c r="A968">
        <f>IF(AND(OR(Query!$B$4="All",'Compliance Database'!$A968=Query!$B$4),OR(Query!$B$5="All",ISNUMBER(SEARCH(Query!$B$5,'Compliance Database'!$H968))),OR(Query!$B$6="All",ISNUMBER(SEARCH(Query!$B$6,'Compliance Database'!$I968))),OR(Query!$B$7="All",'Compliance Database'!$F968=Query!$B$7),OR(Query!$B$8="All",'Compliance Database'!$J968=Query!$B$8),OR(Query!$B$9="",ISNUMBER(SEARCH(Query!$B$9,'Compliance Database'!$D968&amp;" "&amp;'Compliance Database'!$K968&amp;" "&amp;'Compliance Database'!$L968&amp;" "&amp;'Compliance Database'!$M968&amp;" "&amp;'Compliance Database'!$N968&amp;" "&amp;'Compliance Database'!$O968))),OR(Query!$B$10&lt;&gt;"Yes",'Compliance Database'!$F968&lt;&gt;"None")),1,0)</f>
        <v>0</v>
      </c>
      <c r="B968" t="str">
        <f>IF($A968=1,SUM($A$2:$A968),"")</f>
        <v/>
      </c>
      <c r="C968">
        <f>IF($A968=1,SUM($A$2:$A968),0)</f>
        <v>0</v>
      </c>
    </row>
    <row r="969" spans="1:3" x14ac:dyDescent="0.3">
      <c r="A969">
        <f>IF(AND(OR(Query!$B$4="All",'Compliance Database'!$A969=Query!$B$4),OR(Query!$B$5="All",ISNUMBER(SEARCH(Query!$B$5,'Compliance Database'!$H969))),OR(Query!$B$6="All",ISNUMBER(SEARCH(Query!$B$6,'Compliance Database'!$I969))),OR(Query!$B$7="All",'Compliance Database'!$F969=Query!$B$7),OR(Query!$B$8="All",'Compliance Database'!$J969=Query!$B$8),OR(Query!$B$9="",ISNUMBER(SEARCH(Query!$B$9,'Compliance Database'!$D969&amp;" "&amp;'Compliance Database'!$K969&amp;" "&amp;'Compliance Database'!$L969&amp;" "&amp;'Compliance Database'!$M969&amp;" "&amp;'Compliance Database'!$N969&amp;" "&amp;'Compliance Database'!$O969))),OR(Query!$B$10&lt;&gt;"Yes",'Compliance Database'!$F969&lt;&gt;"None")),1,0)</f>
        <v>0</v>
      </c>
      <c r="B969" t="str">
        <f>IF($A969=1,SUM($A$2:$A969),"")</f>
        <v/>
      </c>
      <c r="C969">
        <f>IF($A969=1,SUM($A$2:$A969),0)</f>
        <v>0</v>
      </c>
    </row>
    <row r="970" spans="1:3" x14ac:dyDescent="0.3">
      <c r="A970">
        <f>IF(AND(OR(Query!$B$4="All",'Compliance Database'!$A970=Query!$B$4),OR(Query!$B$5="All",ISNUMBER(SEARCH(Query!$B$5,'Compliance Database'!$H970))),OR(Query!$B$6="All",ISNUMBER(SEARCH(Query!$B$6,'Compliance Database'!$I970))),OR(Query!$B$7="All",'Compliance Database'!$F970=Query!$B$7),OR(Query!$B$8="All",'Compliance Database'!$J970=Query!$B$8),OR(Query!$B$9="",ISNUMBER(SEARCH(Query!$B$9,'Compliance Database'!$D970&amp;" "&amp;'Compliance Database'!$K970&amp;" "&amp;'Compliance Database'!$L970&amp;" "&amp;'Compliance Database'!$M970&amp;" "&amp;'Compliance Database'!$N970&amp;" "&amp;'Compliance Database'!$O970))),OR(Query!$B$10&lt;&gt;"Yes",'Compliance Database'!$F970&lt;&gt;"None")),1,0)</f>
        <v>0</v>
      </c>
      <c r="B970" t="str">
        <f>IF($A970=1,SUM($A$2:$A970),"")</f>
        <v/>
      </c>
      <c r="C970">
        <f>IF($A970=1,SUM($A$2:$A970),0)</f>
        <v>0</v>
      </c>
    </row>
    <row r="971" spans="1:3" x14ac:dyDescent="0.3">
      <c r="A971">
        <f>IF(AND(OR(Query!$B$4="All",'Compliance Database'!$A971=Query!$B$4),OR(Query!$B$5="All",ISNUMBER(SEARCH(Query!$B$5,'Compliance Database'!$H971))),OR(Query!$B$6="All",ISNUMBER(SEARCH(Query!$B$6,'Compliance Database'!$I971))),OR(Query!$B$7="All",'Compliance Database'!$F971=Query!$B$7),OR(Query!$B$8="All",'Compliance Database'!$J971=Query!$B$8),OR(Query!$B$9="",ISNUMBER(SEARCH(Query!$B$9,'Compliance Database'!$D971&amp;" "&amp;'Compliance Database'!$K971&amp;" "&amp;'Compliance Database'!$L971&amp;" "&amp;'Compliance Database'!$M971&amp;" "&amp;'Compliance Database'!$N971&amp;" "&amp;'Compliance Database'!$O971))),OR(Query!$B$10&lt;&gt;"Yes",'Compliance Database'!$F971&lt;&gt;"None")),1,0)</f>
        <v>0</v>
      </c>
      <c r="B971" t="str">
        <f>IF($A971=1,SUM($A$2:$A971),"")</f>
        <v/>
      </c>
      <c r="C971">
        <f>IF($A971=1,SUM($A$2:$A971),0)</f>
        <v>0</v>
      </c>
    </row>
    <row r="972" spans="1:3" x14ac:dyDescent="0.3">
      <c r="A972">
        <f>IF(AND(OR(Query!$B$4="All",'Compliance Database'!$A972=Query!$B$4),OR(Query!$B$5="All",ISNUMBER(SEARCH(Query!$B$5,'Compliance Database'!$H972))),OR(Query!$B$6="All",ISNUMBER(SEARCH(Query!$B$6,'Compliance Database'!$I972))),OR(Query!$B$7="All",'Compliance Database'!$F972=Query!$B$7),OR(Query!$B$8="All",'Compliance Database'!$J972=Query!$B$8),OR(Query!$B$9="",ISNUMBER(SEARCH(Query!$B$9,'Compliance Database'!$D972&amp;" "&amp;'Compliance Database'!$K972&amp;" "&amp;'Compliance Database'!$L972&amp;" "&amp;'Compliance Database'!$M972&amp;" "&amp;'Compliance Database'!$N972&amp;" "&amp;'Compliance Database'!$O972))),OR(Query!$B$10&lt;&gt;"Yes",'Compliance Database'!$F972&lt;&gt;"None")),1,0)</f>
        <v>0</v>
      </c>
      <c r="B972" t="str">
        <f>IF($A972=1,SUM($A$2:$A972),"")</f>
        <v/>
      </c>
      <c r="C972">
        <f>IF($A972=1,SUM($A$2:$A972),0)</f>
        <v>0</v>
      </c>
    </row>
    <row r="973" spans="1:3" x14ac:dyDescent="0.3">
      <c r="A973">
        <f>IF(AND(OR(Query!$B$4="All",'Compliance Database'!$A973=Query!$B$4),OR(Query!$B$5="All",ISNUMBER(SEARCH(Query!$B$5,'Compliance Database'!$H973))),OR(Query!$B$6="All",ISNUMBER(SEARCH(Query!$B$6,'Compliance Database'!$I973))),OR(Query!$B$7="All",'Compliance Database'!$F973=Query!$B$7),OR(Query!$B$8="All",'Compliance Database'!$J973=Query!$B$8),OR(Query!$B$9="",ISNUMBER(SEARCH(Query!$B$9,'Compliance Database'!$D973&amp;" "&amp;'Compliance Database'!$K973&amp;" "&amp;'Compliance Database'!$L973&amp;" "&amp;'Compliance Database'!$M973&amp;" "&amp;'Compliance Database'!$N973&amp;" "&amp;'Compliance Database'!$O973))),OR(Query!$B$10&lt;&gt;"Yes",'Compliance Database'!$F973&lt;&gt;"None")),1,0)</f>
        <v>0</v>
      </c>
      <c r="B973" t="str">
        <f>IF($A973=1,SUM($A$2:$A973),"")</f>
        <v/>
      </c>
      <c r="C973">
        <f>IF($A973=1,SUM($A$2:$A973),0)</f>
        <v>0</v>
      </c>
    </row>
    <row r="974" spans="1:3" x14ac:dyDescent="0.3">
      <c r="A974">
        <f>IF(AND(OR(Query!$B$4="All",'Compliance Database'!$A974=Query!$B$4),OR(Query!$B$5="All",ISNUMBER(SEARCH(Query!$B$5,'Compliance Database'!$H974))),OR(Query!$B$6="All",ISNUMBER(SEARCH(Query!$B$6,'Compliance Database'!$I974))),OR(Query!$B$7="All",'Compliance Database'!$F974=Query!$B$7),OR(Query!$B$8="All",'Compliance Database'!$J974=Query!$B$8),OR(Query!$B$9="",ISNUMBER(SEARCH(Query!$B$9,'Compliance Database'!$D974&amp;" "&amp;'Compliance Database'!$K974&amp;" "&amp;'Compliance Database'!$L974&amp;" "&amp;'Compliance Database'!$M974&amp;" "&amp;'Compliance Database'!$N974&amp;" "&amp;'Compliance Database'!$O974))),OR(Query!$B$10&lt;&gt;"Yes",'Compliance Database'!$F974&lt;&gt;"None")),1,0)</f>
        <v>0</v>
      </c>
      <c r="B974" t="str">
        <f>IF($A974=1,SUM($A$2:$A974),"")</f>
        <v/>
      </c>
      <c r="C974">
        <f>IF($A974=1,SUM($A$2:$A974),0)</f>
        <v>0</v>
      </c>
    </row>
    <row r="975" spans="1:3" x14ac:dyDescent="0.3">
      <c r="A975">
        <f>IF(AND(OR(Query!$B$4="All",'Compliance Database'!$A975=Query!$B$4),OR(Query!$B$5="All",ISNUMBER(SEARCH(Query!$B$5,'Compliance Database'!$H975))),OR(Query!$B$6="All",ISNUMBER(SEARCH(Query!$B$6,'Compliance Database'!$I975))),OR(Query!$B$7="All",'Compliance Database'!$F975=Query!$B$7),OR(Query!$B$8="All",'Compliance Database'!$J975=Query!$B$8),OR(Query!$B$9="",ISNUMBER(SEARCH(Query!$B$9,'Compliance Database'!$D975&amp;" "&amp;'Compliance Database'!$K975&amp;" "&amp;'Compliance Database'!$L975&amp;" "&amp;'Compliance Database'!$M975&amp;" "&amp;'Compliance Database'!$N975&amp;" "&amp;'Compliance Database'!$O975))),OR(Query!$B$10&lt;&gt;"Yes",'Compliance Database'!$F975&lt;&gt;"None")),1,0)</f>
        <v>0</v>
      </c>
      <c r="B975" t="str">
        <f>IF($A975=1,SUM($A$2:$A975),"")</f>
        <v/>
      </c>
      <c r="C975">
        <f>IF($A975=1,SUM($A$2:$A975),0)</f>
        <v>0</v>
      </c>
    </row>
    <row r="976" spans="1:3" x14ac:dyDescent="0.3">
      <c r="A976">
        <f>IF(AND(OR(Query!$B$4="All",'Compliance Database'!$A976=Query!$B$4),OR(Query!$B$5="All",ISNUMBER(SEARCH(Query!$B$5,'Compliance Database'!$H976))),OR(Query!$B$6="All",ISNUMBER(SEARCH(Query!$B$6,'Compliance Database'!$I976))),OR(Query!$B$7="All",'Compliance Database'!$F976=Query!$B$7),OR(Query!$B$8="All",'Compliance Database'!$J976=Query!$B$8),OR(Query!$B$9="",ISNUMBER(SEARCH(Query!$B$9,'Compliance Database'!$D976&amp;" "&amp;'Compliance Database'!$K976&amp;" "&amp;'Compliance Database'!$L976&amp;" "&amp;'Compliance Database'!$M976&amp;" "&amp;'Compliance Database'!$N976&amp;" "&amp;'Compliance Database'!$O976))),OR(Query!$B$10&lt;&gt;"Yes",'Compliance Database'!$F976&lt;&gt;"None")),1,0)</f>
        <v>0</v>
      </c>
      <c r="B976" t="str">
        <f>IF($A976=1,SUM($A$2:$A976),"")</f>
        <v/>
      </c>
      <c r="C976">
        <f>IF($A976=1,SUM($A$2:$A976),0)</f>
        <v>0</v>
      </c>
    </row>
    <row r="977" spans="1:3" x14ac:dyDescent="0.3">
      <c r="A977">
        <f>IF(AND(OR(Query!$B$4="All",'Compliance Database'!$A977=Query!$B$4),OR(Query!$B$5="All",ISNUMBER(SEARCH(Query!$B$5,'Compliance Database'!$H977))),OR(Query!$B$6="All",ISNUMBER(SEARCH(Query!$B$6,'Compliance Database'!$I977))),OR(Query!$B$7="All",'Compliance Database'!$F977=Query!$B$7),OR(Query!$B$8="All",'Compliance Database'!$J977=Query!$B$8),OR(Query!$B$9="",ISNUMBER(SEARCH(Query!$B$9,'Compliance Database'!$D977&amp;" "&amp;'Compliance Database'!$K977&amp;" "&amp;'Compliance Database'!$L977&amp;" "&amp;'Compliance Database'!$M977&amp;" "&amp;'Compliance Database'!$N977&amp;" "&amp;'Compliance Database'!$O977))),OR(Query!$B$10&lt;&gt;"Yes",'Compliance Database'!$F977&lt;&gt;"None")),1,0)</f>
        <v>0</v>
      </c>
      <c r="B977" t="str">
        <f>IF($A977=1,SUM($A$2:$A977),"")</f>
        <v/>
      </c>
      <c r="C977">
        <f>IF($A977=1,SUM($A$2:$A977),0)</f>
        <v>0</v>
      </c>
    </row>
    <row r="978" spans="1:3" x14ac:dyDescent="0.3">
      <c r="A978">
        <f>IF(AND(OR(Query!$B$4="All",'Compliance Database'!$A978=Query!$B$4),OR(Query!$B$5="All",ISNUMBER(SEARCH(Query!$B$5,'Compliance Database'!$H978))),OR(Query!$B$6="All",ISNUMBER(SEARCH(Query!$B$6,'Compliance Database'!$I978))),OR(Query!$B$7="All",'Compliance Database'!$F978=Query!$B$7),OR(Query!$B$8="All",'Compliance Database'!$J978=Query!$B$8),OR(Query!$B$9="",ISNUMBER(SEARCH(Query!$B$9,'Compliance Database'!$D978&amp;" "&amp;'Compliance Database'!$K978&amp;" "&amp;'Compliance Database'!$L978&amp;" "&amp;'Compliance Database'!$M978&amp;" "&amp;'Compliance Database'!$N978&amp;" "&amp;'Compliance Database'!$O978))),OR(Query!$B$10&lt;&gt;"Yes",'Compliance Database'!$F978&lt;&gt;"None")),1,0)</f>
        <v>0</v>
      </c>
      <c r="B978" t="str">
        <f>IF($A978=1,SUM($A$2:$A978),"")</f>
        <v/>
      </c>
      <c r="C978">
        <f>IF($A978=1,SUM($A$2:$A978),0)</f>
        <v>0</v>
      </c>
    </row>
    <row r="979" spans="1:3" x14ac:dyDescent="0.3">
      <c r="A979">
        <f>IF(AND(OR(Query!$B$4="All",'Compliance Database'!$A979=Query!$B$4),OR(Query!$B$5="All",ISNUMBER(SEARCH(Query!$B$5,'Compliance Database'!$H979))),OR(Query!$B$6="All",ISNUMBER(SEARCH(Query!$B$6,'Compliance Database'!$I979))),OR(Query!$B$7="All",'Compliance Database'!$F979=Query!$B$7),OR(Query!$B$8="All",'Compliance Database'!$J979=Query!$B$8),OR(Query!$B$9="",ISNUMBER(SEARCH(Query!$B$9,'Compliance Database'!$D979&amp;" "&amp;'Compliance Database'!$K979&amp;" "&amp;'Compliance Database'!$L979&amp;" "&amp;'Compliance Database'!$M979&amp;" "&amp;'Compliance Database'!$N979&amp;" "&amp;'Compliance Database'!$O979))),OR(Query!$B$10&lt;&gt;"Yes",'Compliance Database'!$F979&lt;&gt;"None")),1,0)</f>
        <v>0</v>
      </c>
      <c r="B979" t="str">
        <f>IF($A979=1,SUM($A$2:$A979),"")</f>
        <v/>
      </c>
      <c r="C979">
        <f>IF($A979=1,SUM($A$2:$A979),0)</f>
        <v>0</v>
      </c>
    </row>
    <row r="980" spans="1:3" x14ac:dyDescent="0.3">
      <c r="A980">
        <f>IF(AND(OR(Query!$B$4="All",'Compliance Database'!$A980=Query!$B$4),OR(Query!$B$5="All",ISNUMBER(SEARCH(Query!$B$5,'Compliance Database'!$H980))),OR(Query!$B$6="All",ISNUMBER(SEARCH(Query!$B$6,'Compliance Database'!$I980))),OR(Query!$B$7="All",'Compliance Database'!$F980=Query!$B$7),OR(Query!$B$8="All",'Compliance Database'!$J980=Query!$B$8),OR(Query!$B$9="",ISNUMBER(SEARCH(Query!$B$9,'Compliance Database'!$D980&amp;" "&amp;'Compliance Database'!$K980&amp;" "&amp;'Compliance Database'!$L980&amp;" "&amp;'Compliance Database'!$M980&amp;" "&amp;'Compliance Database'!$N980&amp;" "&amp;'Compliance Database'!$O980))),OR(Query!$B$10&lt;&gt;"Yes",'Compliance Database'!$F980&lt;&gt;"None")),1,0)</f>
        <v>0</v>
      </c>
      <c r="B980" t="str">
        <f>IF($A980=1,SUM($A$2:$A980),"")</f>
        <v/>
      </c>
      <c r="C980">
        <f>IF($A980=1,SUM($A$2:$A980),0)</f>
        <v>0</v>
      </c>
    </row>
    <row r="981" spans="1:3" x14ac:dyDescent="0.3">
      <c r="A981">
        <f>IF(AND(OR(Query!$B$4="All",'Compliance Database'!$A981=Query!$B$4),OR(Query!$B$5="All",ISNUMBER(SEARCH(Query!$B$5,'Compliance Database'!$H981))),OR(Query!$B$6="All",ISNUMBER(SEARCH(Query!$B$6,'Compliance Database'!$I981))),OR(Query!$B$7="All",'Compliance Database'!$F981=Query!$B$7),OR(Query!$B$8="All",'Compliance Database'!$J981=Query!$B$8),OR(Query!$B$9="",ISNUMBER(SEARCH(Query!$B$9,'Compliance Database'!$D981&amp;" "&amp;'Compliance Database'!$K981&amp;" "&amp;'Compliance Database'!$L981&amp;" "&amp;'Compliance Database'!$M981&amp;" "&amp;'Compliance Database'!$N981&amp;" "&amp;'Compliance Database'!$O981))),OR(Query!$B$10&lt;&gt;"Yes",'Compliance Database'!$F981&lt;&gt;"None")),1,0)</f>
        <v>0</v>
      </c>
      <c r="B981" t="str">
        <f>IF($A981=1,SUM($A$2:$A981),"")</f>
        <v/>
      </c>
      <c r="C981">
        <f>IF($A981=1,SUM($A$2:$A981),0)</f>
        <v>0</v>
      </c>
    </row>
    <row r="982" spans="1:3" x14ac:dyDescent="0.3">
      <c r="A982">
        <f>IF(AND(OR(Query!$B$4="All",'Compliance Database'!$A982=Query!$B$4),OR(Query!$B$5="All",ISNUMBER(SEARCH(Query!$B$5,'Compliance Database'!$H982))),OR(Query!$B$6="All",ISNUMBER(SEARCH(Query!$B$6,'Compliance Database'!$I982))),OR(Query!$B$7="All",'Compliance Database'!$F982=Query!$B$7),OR(Query!$B$8="All",'Compliance Database'!$J982=Query!$B$8),OR(Query!$B$9="",ISNUMBER(SEARCH(Query!$B$9,'Compliance Database'!$D982&amp;" "&amp;'Compliance Database'!$K982&amp;" "&amp;'Compliance Database'!$L982&amp;" "&amp;'Compliance Database'!$M982&amp;" "&amp;'Compliance Database'!$N982&amp;" "&amp;'Compliance Database'!$O982))),OR(Query!$B$10&lt;&gt;"Yes",'Compliance Database'!$F982&lt;&gt;"None")),1,0)</f>
        <v>0</v>
      </c>
      <c r="B982" t="str">
        <f>IF($A982=1,SUM($A$2:$A982),"")</f>
        <v/>
      </c>
      <c r="C982">
        <f>IF($A982=1,SUM($A$2:$A982),0)</f>
        <v>0</v>
      </c>
    </row>
    <row r="983" spans="1:3" x14ac:dyDescent="0.3">
      <c r="A983">
        <f>IF(AND(OR(Query!$B$4="All",'Compliance Database'!$A983=Query!$B$4),OR(Query!$B$5="All",ISNUMBER(SEARCH(Query!$B$5,'Compliance Database'!$H983))),OR(Query!$B$6="All",ISNUMBER(SEARCH(Query!$B$6,'Compliance Database'!$I983))),OR(Query!$B$7="All",'Compliance Database'!$F983=Query!$B$7),OR(Query!$B$8="All",'Compliance Database'!$J983=Query!$B$8),OR(Query!$B$9="",ISNUMBER(SEARCH(Query!$B$9,'Compliance Database'!$D983&amp;" "&amp;'Compliance Database'!$K983&amp;" "&amp;'Compliance Database'!$L983&amp;" "&amp;'Compliance Database'!$M983&amp;" "&amp;'Compliance Database'!$N983&amp;" "&amp;'Compliance Database'!$O983))),OR(Query!$B$10&lt;&gt;"Yes",'Compliance Database'!$F983&lt;&gt;"None")),1,0)</f>
        <v>0</v>
      </c>
      <c r="B983" t="str">
        <f>IF($A983=1,SUM($A$2:$A983),"")</f>
        <v/>
      </c>
      <c r="C983">
        <f>IF($A983=1,SUM($A$2:$A983),0)</f>
        <v>0</v>
      </c>
    </row>
    <row r="984" spans="1:3" x14ac:dyDescent="0.3">
      <c r="A984">
        <f>IF(AND(OR(Query!$B$4="All",'Compliance Database'!$A984=Query!$B$4),OR(Query!$B$5="All",ISNUMBER(SEARCH(Query!$B$5,'Compliance Database'!$H984))),OR(Query!$B$6="All",ISNUMBER(SEARCH(Query!$B$6,'Compliance Database'!$I984))),OR(Query!$B$7="All",'Compliance Database'!$F984=Query!$B$7),OR(Query!$B$8="All",'Compliance Database'!$J984=Query!$B$8),OR(Query!$B$9="",ISNUMBER(SEARCH(Query!$B$9,'Compliance Database'!$D984&amp;" "&amp;'Compliance Database'!$K984&amp;" "&amp;'Compliance Database'!$L984&amp;" "&amp;'Compliance Database'!$M984&amp;" "&amp;'Compliance Database'!$N984&amp;" "&amp;'Compliance Database'!$O984))),OR(Query!$B$10&lt;&gt;"Yes",'Compliance Database'!$F984&lt;&gt;"None")),1,0)</f>
        <v>0</v>
      </c>
      <c r="B984" t="str">
        <f>IF($A984=1,SUM($A$2:$A984),"")</f>
        <v/>
      </c>
      <c r="C984">
        <f>IF($A984=1,SUM($A$2:$A984),0)</f>
        <v>0</v>
      </c>
    </row>
    <row r="985" spans="1:3" x14ac:dyDescent="0.3">
      <c r="A985">
        <f>IF(AND(OR(Query!$B$4="All",'Compliance Database'!$A985=Query!$B$4),OR(Query!$B$5="All",ISNUMBER(SEARCH(Query!$B$5,'Compliance Database'!$H985))),OR(Query!$B$6="All",ISNUMBER(SEARCH(Query!$B$6,'Compliance Database'!$I985))),OR(Query!$B$7="All",'Compliance Database'!$F985=Query!$B$7),OR(Query!$B$8="All",'Compliance Database'!$J985=Query!$B$8),OR(Query!$B$9="",ISNUMBER(SEARCH(Query!$B$9,'Compliance Database'!$D985&amp;" "&amp;'Compliance Database'!$K985&amp;" "&amp;'Compliance Database'!$L985&amp;" "&amp;'Compliance Database'!$M985&amp;" "&amp;'Compliance Database'!$N985&amp;" "&amp;'Compliance Database'!$O985))),OR(Query!$B$10&lt;&gt;"Yes",'Compliance Database'!$F985&lt;&gt;"None")),1,0)</f>
        <v>0</v>
      </c>
      <c r="B985" t="str">
        <f>IF($A985=1,SUM($A$2:$A985),"")</f>
        <v/>
      </c>
      <c r="C985">
        <f>IF($A985=1,SUM($A$2:$A985),0)</f>
        <v>0</v>
      </c>
    </row>
    <row r="986" spans="1:3" x14ac:dyDescent="0.3">
      <c r="A986">
        <f>IF(AND(OR(Query!$B$4="All",'Compliance Database'!$A986=Query!$B$4),OR(Query!$B$5="All",ISNUMBER(SEARCH(Query!$B$5,'Compliance Database'!$H986))),OR(Query!$B$6="All",ISNUMBER(SEARCH(Query!$B$6,'Compliance Database'!$I986))),OR(Query!$B$7="All",'Compliance Database'!$F986=Query!$B$7),OR(Query!$B$8="All",'Compliance Database'!$J986=Query!$B$8),OR(Query!$B$9="",ISNUMBER(SEARCH(Query!$B$9,'Compliance Database'!$D986&amp;" "&amp;'Compliance Database'!$K986&amp;" "&amp;'Compliance Database'!$L986&amp;" "&amp;'Compliance Database'!$M986&amp;" "&amp;'Compliance Database'!$N986&amp;" "&amp;'Compliance Database'!$O986))),OR(Query!$B$10&lt;&gt;"Yes",'Compliance Database'!$F986&lt;&gt;"None")),1,0)</f>
        <v>0</v>
      </c>
      <c r="B986" t="str">
        <f>IF($A986=1,SUM($A$2:$A986),"")</f>
        <v/>
      </c>
      <c r="C986">
        <f>IF($A986=1,SUM($A$2:$A986),0)</f>
        <v>0</v>
      </c>
    </row>
    <row r="987" spans="1:3" x14ac:dyDescent="0.3">
      <c r="A987">
        <f>IF(AND(OR(Query!$B$4="All",'Compliance Database'!$A987=Query!$B$4),OR(Query!$B$5="All",ISNUMBER(SEARCH(Query!$B$5,'Compliance Database'!$H987))),OR(Query!$B$6="All",ISNUMBER(SEARCH(Query!$B$6,'Compliance Database'!$I987))),OR(Query!$B$7="All",'Compliance Database'!$F987=Query!$B$7),OR(Query!$B$8="All",'Compliance Database'!$J987=Query!$B$8),OR(Query!$B$9="",ISNUMBER(SEARCH(Query!$B$9,'Compliance Database'!$D987&amp;" "&amp;'Compliance Database'!$K987&amp;" "&amp;'Compliance Database'!$L987&amp;" "&amp;'Compliance Database'!$M987&amp;" "&amp;'Compliance Database'!$N987&amp;" "&amp;'Compliance Database'!$O987))),OR(Query!$B$10&lt;&gt;"Yes",'Compliance Database'!$F987&lt;&gt;"None")),1,0)</f>
        <v>0</v>
      </c>
      <c r="B987" t="str">
        <f>IF($A987=1,SUM($A$2:$A987),"")</f>
        <v/>
      </c>
      <c r="C987">
        <f>IF($A987=1,SUM($A$2:$A987),0)</f>
        <v>0</v>
      </c>
    </row>
    <row r="988" spans="1:3" x14ac:dyDescent="0.3">
      <c r="A988">
        <f>IF(AND(OR(Query!$B$4="All",'Compliance Database'!$A988=Query!$B$4),OR(Query!$B$5="All",ISNUMBER(SEARCH(Query!$B$5,'Compliance Database'!$H988))),OR(Query!$B$6="All",ISNUMBER(SEARCH(Query!$B$6,'Compliance Database'!$I988))),OR(Query!$B$7="All",'Compliance Database'!$F988=Query!$B$7),OR(Query!$B$8="All",'Compliance Database'!$J988=Query!$B$8),OR(Query!$B$9="",ISNUMBER(SEARCH(Query!$B$9,'Compliance Database'!$D988&amp;" "&amp;'Compliance Database'!$K988&amp;" "&amp;'Compliance Database'!$L988&amp;" "&amp;'Compliance Database'!$M988&amp;" "&amp;'Compliance Database'!$N988&amp;" "&amp;'Compliance Database'!$O988))),OR(Query!$B$10&lt;&gt;"Yes",'Compliance Database'!$F988&lt;&gt;"None")),1,0)</f>
        <v>0</v>
      </c>
      <c r="B988" t="str">
        <f>IF($A988=1,SUM($A$2:$A988),"")</f>
        <v/>
      </c>
      <c r="C988">
        <f>IF($A988=1,SUM($A$2:$A988),0)</f>
        <v>0</v>
      </c>
    </row>
    <row r="989" spans="1:3" x14ac:dyDescent="0.3">
      <c r="A989">
        <f>IF(AND(OR(Query!$B$4="All",'Compliance Database'!$A989=Query!$B$4),OR(Query!$B$5="All",ISNUMBER(SEARCH(Query!$B$5,'Compliance Database'!$H989))),OR(Query!$B$6="All",ISNUMBER(SEARCH(Query!$B$6,'Compliance Database'!$I989))),OR(Query!$B$7="All",'Compliance Database'!$F989=Query!$B$7),OR(Query!$B$8="All",'Compliance Database'!$J989=Query!$B$8),OR(Query!$B$9="",ISNUMBER(SEARCH(Query!$B$9,'Compliance Database'!$D989&amp;" "&amp;'Compliance Database'!$K989&amp;" "&amp;'Compliance Database'!$L989&amp;" "&amp;'Compliance Database'!$M989&amp;" "&amp;'Compliance Database'!$N989&amp;" "&amp;'Compliance Database'!$O989))),OR(Query!$B$10&lt;&gt;"Yes",'Compliance Database'!$F989&lt;&gt;"None")),1,0)</f>
        <v>0</v>
      </c>
      <c r="B989" t="str">
        <f>IF($A989=1,SUM($A$2:$A989),"")</f>
        <v/>
      </c>
      <c r="C989">
        <f>IF($A989=1,SUM($A$2:$A989),0)</f>
        <v>0</v>
      </c>
    </row>
    <row r="990" spans="1:3" x14ac:dyDescent="0.3">
      <c r="A990">
        <f>IF(AND(OR(Query!$B$4="All",'Compliance Database'!$A990=Query!$B$4),OR(Query!$B$5="All",ISNUMBER(SEARCH(Query!$B$5,'Compliance Database'!$H990))),OR(Query!$B$6="All",ISNUMBER(SEARCH(Query!$B$6,'Compliance Database'!$I990))),OR(Query!$B$7="All",'Compliance Database'!$F990=Query!$B$7),OR(Query!$B$8="All",'Compliance Database'!$J990=Query!$B$8),OR(Query!$B$9="",ISNUMBER(SEARCH(Query!$B$9,'Compliance Database'!$D990&amp;" "&amp;'Compliance Database'!$K990&amp;" "&amp;'Compliance Database'!$L990&amp;" "&amp;'Compliance Database'!$M990&amp;" "&amp;'Compliance Database'!$N990&amp;" "&amp;'Compliance Database'!$O990))),OR(Query!$B$10&lt;&gt;"Yes",'Compliance Database'!$F990&lt;&gt;"None")),1,0)</f>
        <v>0</v>
      </c>
      <c r="B990" t="str">
        <f>IF($A990=1,SUM($A$2:$A990),"")</f>
        <v/>
      </c>
      <c r="C990">
        <f>IF($A990=1,SUM($A$2:$A990),0)</f>
        <v>0</v>
      </c>
    </row>
    <row r="991" spans="1:3" x14ac:dyDescent="0.3">
      <c r="A991">
        <f>IF(AND(OR(Query!$B$4="All",'Compliance Database'!$A991=Query!$B$4),OR(Query!$B$5="All",ISNUMBER(SEARCH(Query!$B$5,'Compliance Database'!$H991))),OR(Query!$B$6="All",ISNUMBER(SEARCH(Query!$B$6,'Compliance Database'!$I991))),OR(Query!$B$7="All",'Compliance Database'!$F991=Query!$B$7),OR(Query!$B$8="All",'Compliance Database'!$J991=Query!$B$8),OR(Query!$B$9="",ISNUMBER(SEARCH(Query!$B$9,'Compliance Database'!$D991&amp;" "&amp;'Compliance Database'!$K991&amp;" "&amp;'Compliance Database'!$L991&amp;" "&amp;'Compliance Database'!$M991&amp;" "&amp;'Compliance Database'!$N991&amp;" "&amp;'Compliance Database'!$O991))),OR(Query!$B$10&lt;&gt;"Yes",'Compliance Database'!$F991&lt;&gt;"None")),1,0)</f>
        <v>0</v>
      </c>
      <c r="B991" t="str">
        <f>IF($A991=1,SUM($A$2:$A991),"")</f>
        <v/>
      </c>
      <c r="C991">
        <f>IF($A991=1,SUM($A$2:$A991),0)</f>
        <v>0</v>
      </c>
    </row>
    <row r="992" spans="1:3" x14ac:dyDescent="0.3">
      <c r="A992">
        <f>IF(AND(OR(Query!$B$4="All",'Compliance Database'!$A992=Query!$B$4),OR(Query!$B$5="All",ISNUMBER(SEARCH(Query!$B$5,'Compliance Database'!$H992))),OR(Query!$B$6="All",ISNUMBER(SEARCH(Query!$B$6,'Compliance Database'!$I992))),OR(Query!$B$7="All",'Compliance Database'!$F992=Query!$B$7),OR(Query!$B$8="All",'Compliance Database'!$J992=Query!$B$8),OR(Query!$B$9="",ISNUMBER(SEARCH(Query!$B$9,'Compliance Database'!$D992&amp;" "&amp;'Compliance Database'!$K992&amp;" "&amp;'Compliance Database'!$L992&amp;" "&amp;'Compliance Database'!$M992&amp;" "&amp;'Compliance Database'!$N992&amp;" "&amp;'Compliance Database'!$O992))),OR(Query!$B$10&lt;&gt;"Yes",'Compliance Database'!$F992&lt;&gt;"None")),1,0)</f>
        <v>0</v>
      </c>
      <c r="B992" t="str">
        <f>IF($A992=1,SUM($A$2:$A992),"")</f>
        <v/>
      </c>
      <c r="C992">
        <f>IF($A992=1,SUM($A$2:$A992),0)</f>
        <v>0</v>
      </c>
    </row>
    <row r="993" spans="1:3" x14ac:dyDescent="0.3">
      <c r="A993">
        <f>IF(AND(OR(Query!$B$4="All",'Compliance Database'!$A993=Query!$B$4),OR(Query!$B$5="All",ISNUMBER(SEARCH(Query!$B$5,'Compliance Database'!$H993))),OR(Query!$B$6="All",ISNUMBER(SEARCH(Query!$B$6,'Compliance Database'!$I993))),OR(Query!$B$7="All",'Compliance Database'!$F993=Query!$B$7),OR(Query!$B$8="All",'Compliance Database'!$J993=Query!$B$8),OR(Query!$B$9="",ISNUMBER(SEARCH(Query!$B$9,'Compliance Database'!$D993&amp;" "&amp;'Compliance Database'!$K993&amp;" "&amp;'Compliance Database'!$L993&amp;" "&amp;'Compliance Database'!$M993&amp;" "&amp;'Compliance Database'!$N993&amp;" "&amp;'Compliance Database'!$O993))),OR(Query!$B$10&lt;&gt;"Yes",'Compliance Database'!$F993&lt;&gt;"None")),1,0)</f>
        <v>0</v>
      </c>
      <c r="B993" t="str">
        <f>IF($A993=1,SUM($A$2:$A993),"")</f>
        <v/>
      </c>
      <c r="C993">
        <f>IF($A993=1,SUM($A$2:$A993),0)</f>
        <v>0</v>
      </c>
    </row>
    <row r="994" spans="1:3" x14ac:dyDescent="0.3">
      <c r="A994">
        <f>IF(AND(OR(Query!$B$4="All",'Compliance Database'!$A994=Query!$B$4),OR(Query!$B$5="All",ISNUMBER(SEARCH(Query!$B$5,'Compliance Database'!$H994))),OR(Query!$B$6="All",ISNUMBER(SEARCH(Query!$B$6,'Compliance Database'!$I994))),OR(Query!$B$7="All",'Compliance Database'!$F994=Query!$B$7),OR(Query!$B$8="All",'Compliance Database'!$J994=Query!$B$8),OR(Query!$B$9="",ISNUMBER(SEARCH(Query!$B$9,'Compliance Database'!$D994&amp;" "&amp;'Compliance Database'!$K994&amp;" "&amp;'Compliance Database'!$L994&amp;" "&amp;'Compliance Database'!$M994&amp;" "&amp;'Compliance Database'!$N994&amp;" "&amp;'Compliance Database'!$O994))),OR(Query!$B$10&lt;&gt;"Yes",'Compliance Database'!$F994&lt;&gt;"None")),1,0)</f>
        <v>0</v>
      </c>
      <c r="B994" t="str">
        <f>IF($A994=1,SUM($A$2:$A994),"")</f>
        <v/>
      </c>
      <c r="C994">
        <f>IF($A994=1,SUM($A$2:$A994),0)</f>
        <v>0</v>
      </c>
    </row>
    <row r="995" spans="1:3" x14ac:dyDescent="0.3">
      <c r="A995">
        <f>IF(AND(OR(Query!$B$4="All",'Compliance Database'!$A995=Query!$B$4),OR(Query!$B$5="All",ISNUMBER(SEARCH(Query!$B$5,'Compliance Database'!$H995))),OR(Query!$B$6="All",ISNUMBER(SEARCH(Query!$B$6,'Compliance Database'!$I995))),OR(Query!$B$7="All",'Compliance Database'!$F995=Query!$B$7),OR(Query!$B$8="All",'Compliance Database'!$J995=Query!$B$8),OR(Query!$B$9="",ISNUMBER(SEARCH(Query!$B$9,'Compliance Database'!$D995&amp;" "&amp;'Compliance Database'!$K995&amp;" "&amp;'Compliance Database'!$L995&amp;" "&amp;'Compliance Database'!$M995&amp;" "&amp;'Compliance Database'!$N995&amp;" "&amp;'Compliance Database'!$O995))),OR(Query!$B$10&lt;&gt;"Yes",'Compliance Database'!$F995&lt;&gt;"None")),1,0)</f>
        <v>0</v>
      </c>
      <c r="B995" t="str">
        <f>IF($A995=1,SUM($A$2:$A995),"")</f>
        <v/>
      </c>
      <c r="C995">
        <f>IF($A995=1,SUM($A$2:$A995),0)</f>
        <v>0</v>
      </c>
    </row>
    <row r="996" spans="1:3" x14ac:dyDescent="0.3">
      <c r="A996">
        <f>IF(AND(OR(Query!$B$4="All",'Compliance Database'!$A996=Query!$B$4),OR(Query!$B$5="All",ISNUMBER(SEARCH(Query!$B$5,'Compliance Database'!$H996))),OR(Query!$B$6="All",ISNUMBER(SEARCH(Query!$B$6,'Compliance Database'!$I996))),OR(Query!$B$7="All",'Compliance Database'!$F996=Query!$B$7),OR(Query!$B$8="All",'Compliance Database'!$J996=Query!$B$8),OR(Query!$B$9="",ISNUMBER(SEARCH(Query!$B$9,'Compliance Database'!$D996&amp;" "&amp;'Compliance Database'!$K996&amp;" "&amp;'Compliance Database'!$L996&amp;" "&amp;'Compliance Database'!$M996&amp;" "&amp;'Compliance Database'!$N996&amp;" "&amp;'Compliance Database'!$O996))),OR(Query!$B$10&lt;&gt;"Yes",'Compliance Database'!$F996&lt;&gt;"None")),1,0)</f>
        <v>0</v>
      </c>
      <c r="B996" t="str">
        <f>IF($A996=1,SUM($A$2:$A996),"")</f>
        <v/>
      </c>
      <c r="C996">
        <f>IF($A996=1,SUM($A$2:$A996),0)</f>
        <v>0</v>
      </c>
    </row>
    <row r="997" spans="1:3" x14ac:dyDescent="0.3">
      <c r="A997">
        <f>IF(AND(OR(Query!$B$4="All",'Compliance Database'!$A997=Query!$B$4),OR(Query!$B$5="All",ISNUMBER(SEARCH(Query!$B$5,'Compliance Database'!$H997))),OR(Query!$B$6="All",ISNUMBER(SEARCH(Query!$B$6,'Compliance Database'!$I997))),OR(Query!$B$7="All",'Compliance Database'!$F997=Query!$B$7),OR(Query!$B$8="All",'Compliance Database'!$J997=Query!$B$8),OR(Query!$B$9="",ISNUMBER(SEARCH(Query!$B$9,'Compliance Database'!$D997&amp;" "&amp;'Compliance Database'!$K997&amp;" "&amp;'Compliance Database'!$L997&amp;" "&amp;'Compliance Database'!$M997&amp;" "&amp;'Compliance Database'!$N997&amp;" "&amp;'Compliance Database'!$O997))),OR(Query!$B$10&lt;&gt;"Yes",'Compliance Database'!$F997&lt;&gt;"None")),1,0)</f>
        <v>0</v>
      </c>
      <c r="B997" t="str">
        <f>IF($A997=1,SUM($A$2:$A997),"")</f>
        <v/>
      </c>
      <c r="C997">
        <f>IF($A997=1,SUM($A$2:$A997),0)</f>
        <v>0</v>
      </c>
    </row>
    <row r="998" spans="1:3" x14ac:dyDescent="0.3">
      <c r="A998">
        <f>IF(AND(OR(Query!$B$4="All",'Compliance Database'!$A998=Query!$B$4),OR(Query!$B$5="All",ISNUMBER(SEARCH(Query!$B$5,'Compliance Database'!$H998))),OR(Query!$B$6="All",ISNUMBER(SEARCH(Query!$B$6,'Compliance Database'!$I998))),OR(Query!$B$7="All",'Compliance Database'!$F998=Query!$B$7),OR(Query!$B$8="All",'Compliance Database'!$J998=Query!$B$8),OR(Query!$B$9="",ISNUMBER(SEARCH(Query!$B$9,'Compliance Database'!$D998&amp;" "&amp;'Compliance Database'!$K998&amp;" "&amp;'Compliance Database'!$L998&amp;" "&amp;'Compliance Database'!$M998&amp;" "&amp;'Compliance Database'!$N998&amp;" "&amp;'Compliance Database'!$O998))),OR(Query!$B$10&lt;&gt;"Yes",'Compliance Database'!$F998&lt;&gt;"None")),1,0)</f>
        <v>0</v>
      </c>
      <c r="B998" t="str">
        <f>IF($A998=1,SUM($A$2:$A998),"")</f>
        <v/>
      </c>
      <c r="C998">
        <f>IF($A998=1,SUM($A$2:$A998),0)</f>
        <v>0</v>
      </c>
    </row>
    <row r="999" spans="1:3" x14ac:dyDescent="0.3">
      <c r="A999">
        <f>IF(AND(OR(Query!$B$4="All",'Compliance Database'!$A999=Query!$B$4),OR(Query!$B$5="All",ISNUMBER(SEARCH(Query!$B$5,'Compliance Database'!$H999))),OR(Query!$B$6="All",ISNUMBER(SEARCH(Query!$B$6,'Compliance Database'!$I999))),OR(Query!$B$7="All",'Compliance Database'!$F999=Query!$B$7),OR(Query!$B$8="All",'Compliance Database'!$J999=Query!$B$8),OR(Query!$B$9="",ISNUMBER(SEARCH(Query!$B$9,'Compliance Database'!$D999&amp;" "&amp;'Compliance Database'!$K999&amp;" "&amp;'Compliance Database'!$L999&amp;" "&amp;'Compliance Database'!$M999&amp;" "&amp;'Compliance Database'!$N999&amp;" "&amp;'Compliance Database'!$O999))),OR(Query!$B$10&lt;&gt;"Yes",'Compliance Database'!$F999&lt;&gt;"None")),1,0)</f>
        <v>0</v>
      </c>
      <c r="B999" t="str">
        <f>IF($A999=1,SUM($A$2:$A999),"")</f>
        <v/>
      </c>
      <c r="C999">
        <f>IF($A999=1,SUM($A$2:$A999),0)</f>
        <v>0</v>
      </c>
    </row>
    <row r="1000" spans="1:3" x14ac:dyDescent="0.3">
      <c r="A1000">
        <f>IF(AND(OR(Query!$B$4="All",'Compliance Database'!$A1000=Query!$B$4),OR(Query!$B$5="All",ISNUMBER(SEARCH(Query!$B$5,'Compliance Database'!$H1000))),OR(Query!$B$6="All",ISNUMBER(SEARCH(Query!$B$6,'Compliance Database'!$I1000))),OR(Query!$B$7="All",'Compliance Database'!$F1000=Query!$B$7),OR(Query!$B$8="All",'Compliance Database'!$J1000=Query!$B$8),OR(Query!$B$9="",ISNUMBER(SEARCH(Query!$B$9,'Compliance Database'!$D1000&amp;" "&amp;'Compliance Database'!$K1000&amp;" "&amp;'Compliance Database'!$L1000&amp;" "&amp;'Compliance Database'!$M1000&amp;" "&amp;'Compliance Database'!$N1000&amp;" "&amp;'Compliance Database'!$O1000))),OR(Query!$B$10&lt;&gt;"Yes",'Compliance Database'!$F1000&lt;&gt;"None")),1,0)</f>
        <v>0</v>
      </c>
      <c r="B1000" t="str">
        <f>IF($A1000=1,SUM($A$2:$A1000),"")</f>
        <v/>
      </c>
      <c r="C1000">
        <f>IF($A1000=1,SUM($A$2:$A1000),0)</f>
        <v>0</v>
      </c>
    </row>
    <row r="1001" spans="1:3" x14ac:dyDescent="0.3">
      <c r="A1001">
        <f>IF(AND(OR(Query!$B$4="All",'Compliance Database'!$A1001=Query!$B$4),OR(Query!$B$5="All",ISNUMBER(SEARCH(Query!$B$5,'Compliance Database'!$H1001))),OR(Query!$B$6="All",ISNUMBER(SEARCH(Query!$B$6,'Compliance Database'!$I1001))),OR(Query!$B$7="All",'Compliance Database'!$F1001=Query!$B$7),OR(Query!$B$8="All",'Compliance Database'!$J1001=Query!$B$8),OR(Query!$B$9="",ISNUMBER(SEARCH(Query!$B$9,'Compliance Database'!$D1001&amp;" "&amp;'Compliance Database'!$K1001&amp;" "&amp;'Compliance Database'!$L1001&amp;" "&amp;'Compliance Database'!$M1001&amp;" "&amp;'Compliance Database'!$N1001&amp;" "&amp;'Compliance Database'!$O1001))),OR(Query!$B$10&lt;&gt;"Yes",'Compliance Database'!$F1001&lt;&gt;"None")),1,0)</f>
        <v>0</v>
      </c>
      <c r="B1001" t="str">
        <f>IF($A1001=1,SUM($A$2:$A1001),"")</f>
        <v/>
      </c>
      <c r="C1001">
        <f>IF($A1001=1,SUM($A$2:$A1001),0)</f>
        <v>0</v>
      </c>
    </row>
    <row r="1002" spans="1:3" x14ac:dyDescent="0.3">
      <c r="A1002">
        <f>IF(AND(OR(Query!$B$4="All",'Compliance Database'!$A1002=Query!$B$4),OR(Query!$B$5="All",ISNUMBER(SEARCH(Query!$B$5,'Compliance Database'!$H1002))),OR(Query!$B$6="All",ISNUMBER(SEARCH(Query!$B$6,'Compliance Database'!$I1002))),OR(Query!$B$7="All",'Compliance Database'!$F1002=Query!$B$7),OR(Query!$B$8="All",'Compliance Database'!$J1002=Query!$B$8),OR(Query!$B$9="",ISNUMBER(SEARCH(Query!$B$9,'Compliance Database'!$D1002&amp;" "&amp;'Compliance Database'!$K1002&amp;" "&amp;'Compliance Database'!$L1002&amp;" "&amp;'Compliance Database'!$M1002&amp;" "&amp;'Compliance Database'!$N1002&amp;" "&amp;'Compliance Database'!$O1002))),OR(Query!$B$10&lt;&gt;"Yes",'Compliance Database'!$F1002&lt;&gt;"None")),1,0)</f>
        <v>0</v>
      </c>
      <c r="B1002" t="str">
        <f>IF($A1002=1,SUM($A$2:$A1002),"")</f>
        <v/>
      </c>
      <c r="C1002">
        <f>IF($A1002=1,SUM($A$2:$A1002),0)</f>
        <v>0</v>
      </c>
    </row>
    <row r="1003" spans="1:3" x14ac:dyDescent="0.3">
      <c r="A1003">
        <f>IF(AND(OR(Query!$B$4="All",'Compliance Database'!$A1003=Query!$B$4),OR(Query!$B$5="All",ISNUMBER(SEARCH(Query!$B$5,'Compliance Database'!$H1003))),OR(Query!$B$6="All",ISNUMBER(SEARCH(Query!$B$6,'Compliance Database'!$I1003))),OR(Query!$B$7="All",'Compliance Database'!$F1003=Query!$B$7),OR(Query!$B$8="All",'Compliance Database'!$J1003=Query!$B$8),OR(Query!$B$9="",ISNUMBER(SEARCH(Query!$B$9,'Compliance Database'!$D1003&amp;" "&amp;'Compliance Database'!$K1003&amp;" "&amp;'Compliance Database'!$L1003&amp;" "&amp;'Compliance Database'!$M1003&amp;" "&amp;'Compliance Database'!$N1003&amp;" "&amp;'Compliance Database'!$O1003))),OR(Query!$B$10&lt;&gt;"Yes",'Compliance Database'!$F1003&lt;&gt;"None")),1,0)</f>
        <v>0</v>
      </c>
      <c r="B1003" t="str">
        <f>IF($A1003=1,SUM($A$2:$A1003),"")</f>
        <v/>
      </c>
      <c r="C1003">
        <f>IF($A1003=1,SUM($A$2:$A1003),0)</f>
        <v>0</v>
      </c>
    </row>
    <row r="1004" spans="1:3" x14ac:dyDescent="0.3">
      <c r="A1004">
        <f>IF(AND(OR(Query!$B$4="All",'Compliance Database'!$A1004=Query!$B$4),OR(Query!$B$5="All",ISNUMBER(SEARCH(Query!$B$5,'Compliance Database'!$H1004))),OR(Query!$B$6="All",ISNUMBER(SEARCH(Query!$B$6,'Compliance Database'!$I1004))),OR(Query!$B$7="All",'Compliance Database'!$F1004=Query!$B$7),OR(Query!$B$8="All",'Compliance Database'!$J1004=Query!$B$8),OR(Query!$B$9="",ISNUMBER(SEARCH(Query!$B$9,'Compliance Database'!$D1004&amp;" "&amp;'Compliance Database'!$K1004&amp;" "&amp;'Compliance Database'!$L1004&amp;" "&amp;'Compliance Database'!$M1004&amp;" "&amp;'Compliance Database'!$N1004&amp;" "&amp;'Compliance Database'!$O1004))),OR(Query!$B$10&lt;&gt;"Yes",'Compliance Database'!$F1004&lt;&gt;"None")),1,0)</f>
        <v>0</v>
      </c>
      <c r="B1004" t="str">
        <f>IF($A1004=1,SUM($A$2:$A1004),"")</f>
        <v/>
      </c>
      <c r="C1004">
        <f>IF($A1004=1,SUM($A$2:$A1004),0)</f>
        <v>0</v>
      </c>
    </row>
    <row r="1005" spans="1:3" x14ac:dyDescent="0.3">
      <c r="A1005">
        <f>IF(AND(OR(Query!$B$4="All",'Compliance Database'!$A1005=Query!$B$4),OR(Query!$B$5="All",ISNUMBER(SEARCH(Query!$B$5,'Compliance Database'!$H1005))),OR(Query!$B$6="All",ISNUMBER(SEARCH(Query!$B$6,'Compliance Database'!$I1005))),OR(Query!$B$7="All",'Compliance Database'!$F1005=Query!$B$7),OR(Query!$B$8="All",'Compliance Database'!$J1005=Query!$B$8),OR(Query!$B$9="",ISNUMBER(SEARCH(Query!$B$9,'Compliance Database'!$D1005&amp;" "&amp;'Compliance Database'!$K1005&amp;" "&amp;'Compliance Database'!$L1005&amp;" "&amp;'Compliance Database'!$M1005&amp;" "&amp;'Compliance Database'!$N1005&amp;" "&amp;'Compliance Database'!$O1005))),OR(Query!$B$10&lt;&gt;"Yes",'Compliance Database'!$F1005&lt;&gt;"None")),1,0)</f>
        <v>0</v>
      </c>
      <c r="B1005" t="str">
        <f>IF($A1005=1,SUM($A$2:$A1005),"")</f>
        <v/>
      </c>
      <c r="C1005">
        <f>IF($A1005=1,SUM($A$2:$A1005),0)</f>
        <v>0</v>
      </c>
    </row>
    <row r="1006" spans="1:3" x14ac:dyDescent="0.3">
      <c r="A1006">
        <f>IF(AND(OR(Query!$B$4="All",'Compliance Database'!$A1006=Query!$B$4),OR(Query!$B$5="All",ISNUMBER(SEARCH(Query!$B$5,'Compliance Database'!$H1006))),OR(Query!$B$6="All",ISNUMBER(SEARCH(Query!$B$6,'Compliance Database'!$I1006))),OR(Query!$B$7="All",'Compliance Database'!$F1006=Query!$B$7),OR(Query!$B$8="All",'Compliance Database'!$J1006=Query!$B$8),OR(Query!$B$9="",ISNUMBER(SEARCH(Query!$B$9,'Compliance Database'!$D1006&amp;" "&amp;'Compliance Database'!$K1006&amp;" "&amp;'Compliance Database'!$L1006&amp;" "&amp;'Compliance Database'!$M1006&amp;" "&amp;'Compliance Database'!$N1006&amp;" "&amp;'Compliance Database'!$O1006))),OR(Query!$B$10&lt;&gt;"Yes",'Compliance Database'!$F1006&lt;&gt;"None")),1,0)</f>
        <v>0</v>
      </c>
      <c r="B1006" t="str">
        <f>IF($A1006=1,SUM($A$2:$A1006),"")</f>
        <v/>
      </c>
      <c r="C1006">
        <f>IF($A1006=1,SUM($A$2:$A1006),0)</f>
        <v>0</v>
      </c>
    </row>
    <row r="1007" spans="1:3" x14ac:dyDescent="0.3">
      <c r="A1007">
        <f>IF(AND(OR(Query!$B$4="All",'Compliance Database'!$A1007=Query!$B$4),OR(Query!$B$5="All",ISNUMBER(SEARCH(Query!$B$5,'Compliance Database'!$H1007))),OR(Query!$B$6="All",ISNUMBER(SEARCH(Query!$B$6,'Compliance Database'!$I1007))),OR(Query!$B$7="All",'Compliance Database'!$F1007=Query!$B$7),OR(Query!$B$8="All",'Compliance Database'!$J1007=Query!$B$8),OR(Query!$B$9="",ISNUMBER(SEARCH(Query!$B$9,'Compliance Database'!$D1007&amp;" "&amp;'Compliance Database'!$K1007&amp;" "&amp;'Compliance Database'!$L1007&amp;" "&amp;'Compliance Database'!$M1007&amp;" "&amp;'Compliance Database'!$N1007&amp;" "&amp;'Compliance Database'!$O1007))),OR(Query!$B$10&lt;&gt;"Yes",'Compliance Database'!$F1007&lt;&gt;"None")),1,0)</f>
        <v>0</v>
      </c>
      <c r="B1007" t="str">
        <f>IF($A1007=1,SUM($A$2:$A1007),"")</f>
        <v/>
      </c>
      <c r="C1007">
        <f>IF($A1007=1,SUM($A$2:$A1007),0)</f>
        <v>0</v>
      </c>
    </row>
    <row r="1008" spans="1:3" x14ac:dyDescent="0.3">
      <c r="A1008">
        <f>IF(AND(OR(Query!$B$4="All",'Compliance Database'!$A1008=Query!$B$4),OR(Query!$B$5="All",ISNUMBER(SEARCH(Query!$B$5,'Compliance Database'!$H1008))),OR(Query!$B$6="All",ISNUMBER(SEARCH(Query!$B$6,'Compliance Database'!$I1008))),OR(Query!$B$7="All",'Compliance Database'!$F1008=Query!$B$7),OR(Query!$B$8="All",'Compliance Database'!$J1008=Query!$B$8),OR(Query!$B$9="",ISNUMBER(SEARCH(Query!$B$9,'Compliance Database'!$D1008&amp;" "&amp;'Compliance Database'!$K1008&amp;" "&amp;'Compliance Database'!$L1008&amp;" "&amp;'Compliance Database'!$M1008&amp;" "&amp;'Compliance Database'!$N1008&amp;" "&amp;'Compliance Database'!$O1008))),OR(Query!$B$10&lt;&gt;"Yes",'Compliance Database'!$F1008&lt;&gt;"None")),1,0)</f>
        <v>0</v>
      </c>
      <c r="B1008" t="str">
        <f>IF($A1008=1,SUM($A$2:$A1008),"")</f>
        <v/>
      </c>
      <c r="C1008">
        <f>IF($A1008=1,SUM($A$2:$A1008),0)</f>
        <v>0</v>
      </c>
    </row>
    <row r="1009" spans="1:3" x14ac:dyDescent="0.3">
      <c r="A1009">
        <f>IF(AND(OR(Query!$B$4="All",'Compliance Database'!$A1009=Query!$B$4),OR(Query!$B$5="All",ISNUMBER(SEARCH(Query!$B$5,'Compliance Database'!$H1009))),OR(Query!$B$6="All",ISNUMBER(SEARCH(Query!$B$6,'Compliance Database'!$I1009))),OR(Query!$B$7="All",'Compliance Database'!$F1009=Query!$B$7),OR(Query!$B$8="All",'Compliance Database'!$J1009=Query!$B$8),OR(Query!$B$9="",ISNUMBER(SEARCH(Query!$B$9,'Compliance Database'!$D1009&amp;" "&amp;'Compliance Database'!$K1009&amp;" "&amp;'Compliance Database'!$L1009&amp;" "&amp;'Compliance Database'!$M1009&amp;" "&amp;'Compliance Database'!$N1009&amp;" "&amp;'Compliance Database'!$O1009))),OR(Query!$B$10&lt;&gt;"Yes",'Compliance Database'!$F1009&lt;&gt;"None")),1,0)</f>
        <v>0</v>
      </c>
      <c r="B1009" t="str">
        <f>IF($A1009=1,SUM($A$2:$A1009),"")</f>
        <v/>
      </c>
      <c r="C1009">
        <f>IF($A1009=1,SUM($A$2:$A1009),0)</f>
        <v>0</v>
      </c>
    </row>
    <row r="1010" spans="1:3" x14ac:dyDescent="0.3">
      <c r="A1010">
        <f>IF(AND(OR(Query!$B$4="All",'Compliance Database'!$A1010=Query!$B$4),OR(Query!$B$5="All",ISNUMBER(SEARCH(Query!$B$5,'Compliance Database'!$H1010))),OR(Query!$B$6="All",ISNUMBER(SEARCH(Query!$B$6,'Compliance Database'!$I1010))),OR(Query!$B$7="All",'Compliance Database'!$F1010=Query!$B$7),OR(Query!$B$8="All",'Compliance Database'!$J1010=Query!$B$8),OR(Query!$B$9="",ISNUMBER(SEARCH(Query!$B$9,'Compliance Database'!$D1010&amp;" "&amp;'Compliance Database'!$K1010&amp;" "&amp;'Compliance Database'!$L1010&amp;" "&amp;'Compliance Database'!$M1010&amp;" "&amp;'Compliance Database'!$N1010&amp;" "&amp;'Compliance Database'!$O1010))),OR(Query!$B$10&lt;&gt;"Yes",'Compliance Database'!$F1010&lt;&gt;"None")),1,0)</f>
        <v>0</v>
      </c>
      <c r="B1010" t="str">
        <f>IF($A1010=1,SUM($A$2:$A1010),"")</f>
        <v/>
      </c>
      <c r="C1010">
        <f>IF($A1010=1,SUM($A$2:$A1010),0)</f>
        <v>0</v>
      </c>
    </row>
    <row r="1011" spans="1:3" x14ac:dyDescent="0.3">
      <c r="A1011">
        <f>IF(AND(OR(Query!$B$4="All",'Compliance Database'!$A1011=Query!$B$4),OR(Query!$B$5="All",ISNUMBER(SEARCH(Query!$B$5,'Compliance Database'!$H1011))),OR(Query!$B$6="All",ISNUMBER(SEARCH(Query!$B$6,'Compliance Database'!$I1011))),OR(Query!$B$7="All",'Compliance Database'!$F1011=Query!$B$7),OR(Query!$B$8="All",'Compliance Database'!$J1011=Query!$B$8),OR(Query!$B$9="",ISNUMBER(SEARCH(Query!$B$9,'Compliance Database'!$D1011&amp;" "&amp;'Compliance Database'!$K1011&amp;" "&amp;'Compliance Database'!$L1011&amp;" "&amp;'Compliance Database'!$M1011&amp;" "&amp;'Compliance Database'!$N1011&amp;" "&amp;'Compliance Database'!$O1011))),OR(Query!$B$10&lt;&gt;"Yes",'Compliance Database'!$F1011&lt;&gt;"None")),1,0)</f>
        <v>0</v>
      </c>
      <c r="B1011" t="str">
        <f>IF($A1011=1,SUM($A$2:$A1011),"")</f>
        <v/>
      </c>
      <c r="C1011">
        <f>IF($A1011=1,SUM($A$2:$A1011),0)</f>
        <v>0</v>
      </c>
    </row>
    <row r="1012" spans="1:3" x14ac:dyDescent="0.3">
      <c r="A1012">
        <f>IF(AND(OR(Query!$B$4="All",'Compliance Database'!$A1012=Query!$B$4),OR(Query!$B$5="All",ISNUMBER(SEARCH(Query!$B$5,'Compliance Database'!$H1012))),OR(Query!$B$6="All",ISNUMBER(SEARCH(Query!$B$6,'Compliance Database'!$I1012))),OR(Query!$B$7="All",'Compliance Database'!$F1012=Query!$B$7),OR(Query!$B$8="All",'Compliance Database'!$J1012=Query!$B$8),OR(Query!$B$9="",ISNUMBER(SEARCH(Query!$B$9,'Compliance Database'!$D1012&amp;" "&amp;'Compliance Database'!$K1012&amp;" "&amp;'Compliance Database'!$L1012&amp;" "&amp;'Compliance Database'!$M1012&amp;" "&amp;'Compliance Database'!$N1012&amp;" "&amp;'Compliance Database'!$O1012))),OR(Query!$B$10&lt;&gt;"Yes",'Compliance Database'!$F1012&lt;&gt;"None")),1,0)</f>
        <v>0</v>
      </c>
      <c r="B1012" t="str">
        <f>IF($A1012=1,SUM($A$2:$A1012),"")</f>
        <v/>
      </c>
      <c r="C1012">
        <f>IF($A1012=1,SUM($A$2:$A1012),0)</f>
        <v>0</v>
      </c>
    </row>
    <row r="1013" spans="1:3" x14ac:dyDescent="0.3">
      <c r="A1013">
        <f>IF(AND(OR(Query!$B$4="All",'Compliance Database'!$A1013=Query!$B$4),OR(Query!$B$5="All",ISNUMBER(SEARCH(Query!$B$5,'Compliance Database'!$H1013))),OR(Query!$B$6="All",ISNUMBER(SEARCH(Query!$B$6,'Compliance Database'!$I1013))),OR(Query!$B$7="All",'Compliance Database'!$F1013=Query!$B$7),OR(Query!$B$8="All",'Compliance Database'!$J1013=Query!$B$8),OR(Query!$B$9="",ISNUMBER(SEARCH(Query!$B$9,'Compliance Database'!$D1013&amp;" "&amp;'Compliance Database'!$K1013&amp;" "&amp;'Compliance Database'!$L1013&amp;" "&amp;'Compliance Database'!$M1013&amp;" "&amp;'Compliance Database'!$N1013&amp;" "&amp;'Compliance Database'!$O1013))),OR(Query!$B$10&lt;&gt;"Yes",'Compliance Database'!$F1013&lt;&gt;"None")),1,0)</f>
        <v>0</v>
      </c>
      <c r="B1013" t="str">
        <f>IF($A1013=1,SUM($A$2:$A1013),"")</f>
        <v/>
      </c>
      <c r="C1013">
        <f>IF($A1013=1,SUM($A$2:$A1013),0)</f>
        <v>0</v>
      </c>
    </row>
    <row r="1014" spans="1:3" x14ac:dyDescent="0.3">
      <c r="A1014">
        <f>IF(AND(OR(Query!$B$4="All",'Compliance Database'!$A1014=Query!$B$4),OR(Query!$B$5="All",ISNUMBER(SEARCH(Query!$B$5,'Compliance Database'!$H1014))),OR(Query!$B$6="All",ISNUMBER(SEARCH(Query!$B$6,'Compliance Database'!$I1014))),OR(Query!$B$7="All",'Compliance Database'!$F1014=Query!$B$7),OR(Query!$B$8="All",'Compliance Database'!$J1014=Query!$B$8),OR(Query!$B$9="",ISNUMBER(SEARCH(Query!$B$9,'Compliance Database'!$D1014&amp;" "&amp;'Compliance Database'!$K1014&amp;" "&amp;'Compliance Database'!$L1014&amp;" "&amp;'Compliance Database'!$M1014&amp;" "&amp;'Compliance Database'!$N1014&amp;" "&amp;'Compliance Database'!$O1014))),OR(Query!$B$10&lt;&gt;"Yes",'Compliance Database'!$F1014&lt;&gt;"None")),1,0)</f>
        <v>0</v>
      </c>
      <c r="B1014" t="str">
        <f>IF($A1014=1,SUM($A$2:$A1014),"")</f>
        <v/>
      </c>
      <c r="C1014">
        <f>IF($A1014=1,SUM($A$2:$A1014),0)</f>
        <v>0</v>
      </c>
    </row>
    <row r="1015" spans="1:3" x14ac:dyDescent="0.3">
      <c r="A1015">
        <f>IF(AND(OR(Query!$B$4="All",'Compliance Database'!$A1015=Query!$B$4),OR(Query!$B$5="All",ISNUMBER(SEARCH(Query!$B$5,'Compliance Database'!$H1015))),OR(Query!$B$6="All",ISNUMBER(SEARCH(Query!$B$6,'Compliance Database'!$I1015))),OR(Query!$B$7="All",'Compliance Database'!$F1015=Query!$B$7),OR(Query!$B$8="All",'Compliance Database'!$J1015=Query!$B$8),OR(Query!$B$9="",ISNUMBER(SEARCH(Query!$B$9,'Compliance Database'!$D1015&amp;" "&amp;'Compliance Database'!$K1015&amp;" "&amp;'Compliance Database'!$L1015&amp;" "&amp;'Compliance Database'!$M1015&amp;" "&amp;'Compliance Database'!$N1015&amp;" "&amp;'Compliance Database'!$O1015))),OR(Query!$B$10&lt;&gt;"Yes",'Compliance Database'!$F1015&lt;&gt;"None")),1,0)</f>
        <v>0</v>
      </c>
      <c r="B1015" t="str">
        <f>IF($A1015=1,SUM($A$2:$A1015),"")</f>
        <v/>
      </c>
      <c r="C1015">
        <f>IF($A1015=1,SUM($A$2:$A1015),0)</f>
        <v>0</v>
      </c>
    </row>
    <row r="1016" spans="1:3" x14ac:dyDescent="0.3">
      <c r="A1016">
        <f>IF(AND(OR(Query!$B$4="All",'Compliance Database'!$A1016=Query!$B$4),OR(Query!$B$5="All",ISNUMBER(SEARCH(Query!$B$5,'Compliance Database'!$H1016))),OR(Query!$B$6="All",ISNUMBER(SEARCH(Query!$B$6,'Compliance Database'!$I1016))),OR(Query!$B$7="All",'Compliance Database'!$F1016=Query!$B$7),OR(Query!$B$8="All",'Compliance Database'!$J1016=Query!$B$8),OR(Query!$B$9="",ISNUMBER(SEARCH(Query!$B$9,'Compliance Database'!$D1016&amp;" "&amp;'Compliance Database'!$K1016&amp;" "&amp;'Compliance Database'!$L1016&amp;" "&amp;'Compliance Database'!$M1016&amp;" "&amp;'Compliance Database'!$N1016&amp;" "&amp;'Compliance Database'!$O1016))),OR(Query!$B$10&lt;&gt;"Yes",'Compliance Database'!$F1016&lt;&gt;"None")),1,0)</f>
        <v>0</v>
      </c>
      <c r="B1016" t="str">
        <f>IF($A1016=1,SUM($A$2:$A1016),"")</f>
        <v/>
      </c>
      <c r="C1016">
        <f>IF($A1016=1,SUM($A$2:$A1016),0)</f>
        <v>0</v>
      </c>
    </row>
    <row r="1017" spans="1:3" x14ac:dyDescent="0.3">
      <c r="A1017">
        <f>IF(AND(OR(Query!$B$4="All",'Compliance Database'!$A1017=Query!$B$4),OR(Query!$B$5="All",ISNUMBER(SEARCH(Query!$B$5,'Compliance Database'!$H1017))),OR(Query!$B$6="All",ISNUMBER(SEARCH(Query!$B$6,'Compliance Database'!$I1017))),OR(Query!$B$7="All",'Compliance Database'!$F1017=Query!$B$7),OR(Query!$B$8="All",'Compliance Database'!$J1017=Query!$B$8),OR(Query!$B$9="",ISNUMBER(SEARCH(Query!$B$9,'Compliance Database'!$D1017&amp;" "&amp;'Compliance Database'!$K1017&amp;" "&amp;'Compliance Database'!$L1017&amp;" "&amp;'Compliance Database'!$M1017&amp;" "&amp;'Compliance Database'!$N1017&amp;" "&amp;'Compliance Database'!$O1017))),OR(Query!$B$10&lt;&gt;"Yes",'Compliance Database'!$F1017&lt;&gt;"None")),1,0)</f>
        <v>0</v>
      </c>
      <c r="B1017" t="str">
        <f>IF($A1017=1,SUM($A$2:$A1017),"")</f>
        <v/>
      </c>
      <c r="C1017">
        <f>IF($A1017=1,SUM($A$2:$A1017),0)</f>
        <v>0</v>
      </c>
    </row>
    <row r="1018" spans="1:3" x14ac:dyDescent="0.3">
      <c r="A1018">
        <f>IF(AND(OR(Query!$B$4="All",'Compliance Database'!$A1018=Query!$B$4),OR(Query!$B$5="All",ISNUMBER(SEARCH(Query!$B$5,'Compliance Database'!$H1018))),OR(Query!$B$6="All",ISNUMBER(SEARCH(Query!$B$6,'Compliance Database'!$I1018))),OR(Query!$B$7="All",'Compliance Database'!$F1018=Query!$B$7),OR(Query!$B$8="All",'Compliance Database'!$J1018=Query!$B$8),OR(Query!$B$9="",ISNUMBER(SEARCH(Query!$B$9,'Compliance Database'!$D1018&amp;" "&amp;'Compliance Database'!$K1018&amp;" "&amp;'Compliance Database'!$L1018&amp;" "&amp;'Compliance Database'!$M1018&amp;" "&amp;'Compliance Database'!$N1018&amp;" "&amp;'Compliance Database'!$O1018))),OR(Query!$B$10&lt;&gt;"Yes",'Compliance Database'!$F1018&lt;&gt;"None")),1,0)</f>
        <v>0</v>
      </c>
      <c r="B1018" t="str">
        <f>IF($A1018=1,SUM($A$2:$A1018),"")</f>
        <v/>
      </c>
      <c r="C1018">
        <f>IF($A1018=1,SUM($A$2:$A1018),0)</f>
        <v>0</v>
      </c>
    </row>
    <row r="1019" spans="1:3" x14ac:dyDescent="0.3">
      <c r="A1019">
        <f>IF(AND(OR(Query!$B$4="All",'Compliance Database'!$A1019=Query!$B$4),OR(Query!$B$5="All",ISNUMBER(SEARCH(Query!$B$5,'Compliance Database'!$H1019))),OR(Query!$B$6="All",ISNUMBER(SEARCH(Query!$B$6,'Compliance Database'!$I1019))),OR(Query!$B$7="All",'Compliance Database'!$F1019=Query!$B$7),OR(Query!$B$8="All",'Compliance Database'!$J1019=Query!$B$8),OR(Query!$B$9="",ISNUMBER(SEARCH(Query!$B$9,'Compliance Database'!$D1019&amp;" "&amp;'Compliance Database'!$K1019&amp;" "&amp;'Compliance Database'!$L1019&amp;" "&amp;'Compliance Database'!$M1019&amp;" "&amp;'Compliance Database'!$N1019&amp;" "&amp;'Compliance Database'!$O1019))),OR(Query!$B$10&lt;&gt;"Yes",'Compliance Database'!$F1019&lt;&gt;"None")),1,0)</f>
        <v>0</v>
      </c>
      <c r="B1019" t="str">
        <f>IF($A1019=1,SUM($A$2:$A1019),"")</f>
        <v/>
      </c>
      <c r="C1019">
        <f>IF($A1019=1,SUM($A$2:$A1019),0)</f>
        <v>0</v>
      </c>
    </row>
    <row r="1020" spans="1:3" x14ac:dyDescent="0.3">
      <c r="A1020">
        <f>IF(AND(OR(Query!$B$4="All",'Compliance Database'!$A1020=Query!$B$4),OR(Query!$B$5="All",ISNUMBER(SEARCH(Query!$B$5,'Compliance Database'!$H1020))),OR(Query!$B$6="All",ISNUMBER(SEARCH(Query!$B$6,'Compliance Database'!$I1020))),OR(Query!$B$7="All",'Compliance Database'!$F1020=Query!$B$7),OR(Query!$B$8="All",'Compliance Database'!$J1020=Query!$B$8),OR(Query!$B$9="",ISNUMBER(SEARCH(Query!$B$9,'Compliance Database'!$D1020&amp;" "&amp;'Compliance Database'!$K1020&amp;" "&amp;'Compliance Database'!$L1020&amp;" "&amp;'Compliance Database'!$M1020&amp;" "&amp;'Compliance Database'!$N1020&amp;" "&amp;'Compliance Database'!$O1020))),OR(Query!$B$10&lt;&gt;"Yes",'Compliance Database'!$F1020&lt;&gt;"None")),1,0)</f>
        <v>0</v>
      </c>
      <c r="B1020" t="str">
        <f>IF($A1020=1,SUM($A$2:$A1020),"")</f>
        <v/>
      </c>
      <c r="C1020">
        <f>IF($A1020=1,SUM($A$2:$A1020),0)</f>
        <v>0</v>
      </c>
    </row>
    <row r="1021" spans="1:3" x14ac:dyDescent="0.3">
      <c r="A1021">
        <f>IF(AND(OR(Query!$B$4="All",'Compliance Database'!$A1021=Query!$B$4),OR(Query!$B$5="All",ISNUMBER(SEARCH(Query!$B$5,'Compliance Database'!$H1021))),OR(Query!$B$6="All",ISNUMBER(SEARCH(Query!$B$6,'Compliance Database'!$I1021))),OR(Query!$B$7="All",'Compliance Database'!$F1021=Query!$B$7),OR(Query!$B$8="All",'Compliance Database'!$J1021=Query!$B$8),OR(Query!$B$9="",ISNUMBER(SEARCH(Query!$B$9,'Compliance Database'!$D1021&amp;" "&amp;'Compliance Database'!$K1021&amp;" "&amp;'Compliance Database'!$L1021&amp;" "&amp;'Compliance Database'!$M1021&amp;" "&amp;'Compliance Database'!$N1021&amp;" "&amp;'Compliance Database'!$O1021))),OR(Query!$B$10&lt;&gt;"Yes",'Compliance Database'!$F1021&lt;&gt;"None")),1,0)</f>
        <v>0</v>
      </c>
      <c r="B1021" t="str">
        <f>IF($A1021=1,SUM($A$2:$A1021),"")</f>
        <v/>
      </c>
      <c r="C1021">
        <f>IF($A1021=1,SUM($A$2:$A1021),0)</f>
        <v>0</v>
      </c>
    </row>
    <row r="1022" spans="1:3" x14ac:dyDescent="0.3">
      <c r="A1022">
        <f>IF(AND(OR(Query!$B$4="All",'Compliance Database'!$A1022=Query!$B$4),OR(Query!$B$5="All",ISNUMBER(SEARCH(Query!$B$5,'Compliance Database'!$H1022))),OR(Query!$B$6="All",ISNUMBER(SEARCH(Query!$B$6,'Compliance Database'!$I1022))),OR(Query!$B$7="All",'Compliance Database'!$F1022=Query!$B$7),OR(Query!$B$8="All",'Compliance Database'!$J1022=Query!$B$8),OR(Query!$B$9="",ISNUMBER(SEARCH(Query!$B$9,'Compliance Database'!$D1022&amp;" "&amp;'Compliance Database'!$K1022&amp;" "&amp;'Compliance Database'!$L1022&amp;" "&amp;'Compliance Database'!$M1022&amp;" "&amp;'Compliance Database'!$N1022&amp;" "&amp;'Compliance Database'!$O1022))),OR(Query!$B$10&lt;&gt;"Yes",'Compliance Database'!$F1022&lt;&gt;"None")),1,0)</f>
        <v>0</v>
      </c>
      <c r="B1022" t="str">
        <f>IF($A1022=1,SUM($A$2:$A1022),"")</f>
        <v/>
      </c>
      <c r="C1022">
        <f>IF($A1022=1,SUM($A$2:$A1022),0)</f>
        <v>0</v>
      </c>
    </row>
    <row r="1023" spans="1:3" x14ac:dyDescent="0.3">
      <c r="A1023">
        <f>IF(AND(OR(Query!$B$4="All",'Compliance Database'!$A1023=Query!$B$4),OR(Query!$B$5="All",ISNUMBER(SEARCH(Query!$B$5,'Compliance Database'!$H1023))),OR(Query!$B$6="All",ISNUMBER(SEARCH(Query!$B$6,'Compliance Database'!$I1023))),OR(Query!$B$7="All",'Compliance Database'!$F1023=Query!$B$7),OR(Query!$B$8="All",'Compliance Database'!$J1023=Query!$B$8),OR(Query!$B$9="",ISNUMBER(SEARCH(Query!$B$9,'Compliance Database'!$D1023&amp;" "&amp;'Compliance Database'!$K1023&amp;" "&amp;'Compliance Database'!$L1023&amp;" "&amp;'Compliance Database'!$M1023&amp;" "&amp;'Compliance Database'!$N1023&amp;" "&amp;'Compliance Database'!$O1023))),OR(Query!$B$10&lt;&gt;"Yes",'Compliance Database'!$F1023&lt;&gt;"None")),1,0)</f>
        <v>0</v>
      </c>
      <c r="B1023" t="str">
        <f>IF($A1023=1,SUM($A$2:$A1023),"")</f>
        <v/>
      </c>
      <c r="C1023">
        <f>IF($A1023=1,SUM($A$2:$A1023),0)</f>
        <v>0</v>
      </c>
    </row>
    <row r="1024" spans="1:3" x14ac:dyDescent="0.3">
      <c r="A1024">
        <f>IF(AND(OR(Query!$B$4="All",'Compliance Database'!$A1024=Query!$B$4),OR(Query!$B$5="All",ISNUMBER(SEARCH(Query!$B$5,'Compliance Database'!$H1024))),OR(Query!$B$6="All",ISNUMBER(SEARCH(Query!$B$6,'Compliance Database'!$I1024))),OR(Query!$B$7="All",'Compliance Database'!$F1024=Query!$B$7),OR(Query!$B$8="All",'Compliance Database'!$J1024=Query!$B$8),OR(Query!$B$9="",ISNUMBER(SEARCH(Query!$B$9,'Compliance Database'!$D1024&amp;" "&amp;'Compliance Database'!$K1024&amp;" "&amp;'Compliance Database'!$L1024&amp;" "&amp;'Compliance Database'!$M1024&amp;" "&amp;'Compliance Database'!$N1024&amp;" "&amp;'Compliance Database'!$O1024))),OR(Query!$B$10&lt;&gt;"Yes",'Compliance Database'!$F1024&lt;&gt;"None")),1,0)</f>
        <v>0</v>
      </c>
      <c r="B1024" t="str">
        <f>IF($A1024=1,SUM($A$2:$A1024),"")</f>
        <v/>
      </c>
      <c r="C1024">
        <f>IF($A1024=1,SUM($A$2:$A1024),0)</f>
        <v>0</v>
      </c>
    </row>
    <row r="1025" spans="1:3" x14ac:dyDescent="0.3">
      <c r="A1025">
        <f>IF(AND(OR(Query!$B$4="All",'Compliance Database'!$A1025=Query!$B$4),OR(Query!$B$5="All",ISNUMBER(SEARCH(Query!$B$5,'Compliance Database'!$H1025))),OR(Query!$B$6="All",ISNUMBER(SEARCH(Query!$B$6,'Compliance Database'!$I1025))),OR(Query!$B$7="All",'Compliance Database'!$F1025=Query!$B$7),OR(Query!$B$8="All",'Compliance Database'!$J1025=Query!$B$8),OR(Query!$B$9="",ISNUMBER(SEARCH(Query!$B$9,'Compliance Database'!$D1025&amp;" "&amp;'Compliance Database'!$K1025&amp;" "&amp;'Compliance Database'!$L1025&amp;" "&amp;'Compliance Database'!$M1025&amp;" "&amp;'Compliance Database'!$N1025&amp;" "&amp;'Compliance Database'!$O1025))),OR(Query!$B$10&lt;&gt;"Yes",'Compliance Database'!$F1025&lt;&gt;"None")),1,0)</f>
        <v>0</v>
      </c>
      <c r="B1025" t="str">
        <f>IF($A1025=1,SUM($A$2:$A1025),"")</f>
        <v/>
      </c>
      <c r="C1025">
        <f>IF($A1025=1,SUM($A$2:$A1025),0)</f>
        <v>0</v>
      </c>
    </row>
    <row r="1026" spans="1:3" x14ac:dyDescent="0.3">
      <c r="A1026">
        <f>IF(AND(OR(Query!$B$4="All",'Compliance Database'!$A1026=Query!$B$4),OR(Query!$B$5="All",ISNUMBER(SEARCH(Query!$B$5,'Compliance Database'!$H1026))),OR(Query!$B$6="All",ISNUMBER(SEARCH(Query!$B$6,'Compliance Database'!$I1026))),OR(Query!$B$7="All",'Compliance Database'!$F1026=Query!$B$7),OR(Query!$B$8="All",'Compliance Database'!$J1026=Query!$B$8),OR(Query!$B$9="",ISNUMBER(SEARCH(Query!$B$9,'Compliance Database'!$D1026&amp;" "&amp;'Compliance Database'!$K1026&amp;" "&amp;'Compliance Database'!$L1026&amp;" "&amp;'Compliance Database'!$M1026&amp;" "&amp;'Compliance Database'!$N1026&amp;" "&amp;'Compliance Database'!$O1026))),OR(Query!$B$10&lt;&gt;"Yes",'Compliance Database'!$F1026&lt;&gt;"None")),1,0)</f>
        <v>0</v>
      </c>
      <c r="B1026" t="str">
        <f>IF($A1026=1,SUM($A$2:$A1026),"")</f>
        <v/>
      </c>
      <c r="C1026">
        <f>IF($A1026=1,SUM($A$2:$A1026),0)</f>
        <v>0</v>
      </c>
    </row>
    <row r="1027" spans="1:3" x14ac:dyDescent="0.3">
      <c r="A1027">
        <f>IF(AND(OR(Query!$B$4="All",'Compliance Database'!$A1027=Query!$B$4),OR(Query!$B$5="All",ISNUMBER(SEARCH(Query!$B$5,'Compliance Database'!$H1027))),OR(Query!$B$6="All",ISNUMBER(SEARCH(Query!$B$6,'Compliance Database'!$I1027))),OR(Query!$B$7="All",'Compliance Database'!$F1027=Query!$B$7),OR(Query!$B$8="All",'Compliance Database'!$J1027=Query!$B$8),OR(Query!$B$9="",ISNUMBER(SEARCH(Query!$B$9,'Compliance Database'!$D1027&amp;" "&amp;'Compliance Database'!$K1027&amp;" "&amp;'Compliance Database'!$L1027&amp;" "&amp;'Compliance Database'!$M1027&amp;" "&amp;'Compliance Database'!$N1027&amp;" "&amp;'Compliance Database'!$O1027))),OR(Query!$B$10&lt;&gt;"Yes",'Compliance Database'!$F1027&lt;&gt;"None")),1,0)</f>
        <v>0</v>
      </c>
      <c r="B1027" t="str">
        <f>IF($A1027=1,SUM($A$2:$A1027),"")</f>
        <v/>
      </c>
      <c r="C1027">
        <f>IF($A1027=1,SUM($A$2:$A1027),0)</f>
        <v>0</v>
      </c>
    </row>
    <row r="1028" spans="1:3" x14ac:dyDescent="0.3">
      <c r="A1028">
        <f>IF(AND(OR(Query!$B$4="All",'Compliance Database'!$A1028=Query!$B$4),OR(Query!$B$5="All",ISNUMBER(SEARCH(Query!$B$5,'Compliance Database'!$H1028))),OR(Query!$B$6="All",ISNUMBER(SEARCH(Query!$B$6,'Compliance Database'!$I1028))),OR(Query!$B$7="All",'Compliance Database'!$F1028=Query!$B$7),OR(Query!$B$8="All",'Compliance Database'!$J1028=Query!$B$8),OR(Query!$B$9="",ISNUMBER(SEARCH(Query!$B$9,'Compliance Database'!$D1028&amp;" "&amp;'Compliance Database'!$K1028&amp;" "&amp;'Compliance Database'!$L1028&amp;" "&amp;'Compliance Database'!$M1028&amp;" "&amp;'Compliance Database'!$N1028&amp;" "&amp;'Compliance Database'!$O1028))),OR(Query!$B$10&lt;&gt;"Yes",'Compliance Database'!$F1028&lt;&gt;"None")),1,0)</f>
        <v>0</v>
      </c>
      <c r="B1028" t="str">
        <f>IF($A1028=1,SUM($A$2:$A1028),"")</f>
        <v/>
      </c>
      <c r="C1028">
        <f>IF($A1028=1,SUM($A$2:$A1028),0)</f>
        <v>0</v>
      </c>
    </row>
    <row r="1029" spans="1:3" x14ac:dyDescent="0.3">
      <c r="A1029">
        <f>IF(AND(OR(Query!$B$4="All",'Compliance Database'!$A1029=Query!$B$4),OR(Query!$B$5="All",ISNUMBER(SEARCH(Query!$B$5,'Compliance Database'!$H1029))),OR(Query!$B$6="All",ISNUMBER(SEARCH(Query!$B$6,'Compliance Database'!$I1029))),OR(Query!$B$7="All",'Compliance Database'!$F1029=Query!$B$7),OR(Query!$B$8="All",'Compliance Database'!$J1029=Query!$B$8),OR(Query!$B$9="",ISNUMBER(SEARCH(Query!$B$9,'Compliance Database'!$D1029&amp;" "&amp;'Compliance Database'!$K1029&amp;" "&amp;'Compliance Database'!$L1029&amp;" "&amp;'Compliance Database'!$M1029&amp;" "&amp;'Compliance Database'!$N1029&amp;" "&amp;'Compliance Database'!$O1029))),OR(Query!$B$10&lt;&gt;"Yes",'Compliance Database'!$F1029&lt;&gt;"None")),1,0)</f>
        <v>0</v>
      </c>
      <c r="B1029" t="str">
        <f>IF($A1029=1,SUM($A$2:$A1029),"")</f>
        <v/>
      </c>
      <c r="C1029">
        <f>IF($A1029=1,SUM($A$2:$A1029),0)</f>
        <v>0</v>
      </c>
    </row>
    <row r="1030" spans="1:3" x14ac:dyDescent="0.3">
      <c r="A1030">
        <f>IF(AND(OR(Query!$B$4="All",'Compliance Database'!$A1030=Query!$B$4),OR(Query!$B$5="All",ISNUMBER(SEARCH(Query!$B$5,'Compliance Database'!$H1030))),OR(Query!$B$6="All",ISNUMBER(SEARCH(Query!$B$6,'Compliance Database'!$I1030))),OR(Query!$B$7="All",'Compliance Database'!$F1030=Query!$B$7),OR(Query!$B$8="All",'Compliance Database'!$J1030=Query!$B$8),OR(Query!$B$9="",ISNUMBER(SEARCH(Query!$B$9,'Compliance Database'!$D1030&amp;" "&amp;'Compliance Database'!$K1030&amp;" "&amp;'Compliance Database'!$L1030&amp;" "&amp;'Compliance Database'!$M1030&amp;" "&amp;'Compliance Database'!$N1030&amp;" "&amp;'Compliance Database'!$O1030))),OR(Query!$B$10&lt;&gt;"Yes",'Compliance Database'!$F1030&lt;&gt;"None")),1,0)</f>
        <v>0</v>
      </c>
      <c r="B1030" t="str">
        <f>IF($A1030=1,SUM($A$2:$A1030),"")</f>
        <v/>
      </c>
      <c r="C1030">
        <f>IF($A1030=1,SUM($A$2:$A1030),0)</f>
        <v>0</v>
      </c>
    </row>
    <row r="1031" spans="1:3" x14ac:dyDescent="0.3">
      <c r="A1031">
        <f>IF(AND(OR(Query!$B$4="All",'Compliance Database'!$A1031=Query!$B$4),OR(Query!$B$5="All",ISNUMBER(SEARCH(Query!$B$5,'Compliance Database'!$H1031))),OR(Query!$B$6="All",ISNUMBER(SEARCH(Query!$B$6,'Compliance Database'!$I1031))),OR(Query!$B$7="All",'Compliance Database'!$F1031=Query!$B$7),OR(Query!$B$8="All",'Compliance Database'!$J1031=Query!$B$8),OR(Query!$B$9="",ISNUMBER(SEARCH(Query!$B$9,'Compliance Database'!$D1031&amp;" "&amp;'Compliance Database'!$K1031&amp;" "&amp;'Compliance Database'!$L1031&amp;" "&amp;'Compliance Database'!$M1031&amp;" "&amp;'Compliance Database'!$N1031&amp;" "&amp;'Compliance Database'!$O1031))),OR(Query!$B$10&lt;&gt;"Yes",'Compliance Database'!$F1031&lt;&gt;"None")),1,0)</f>
        <v>0</v>
      </c>
      <c r="B1031" t="str">
        <f>IF($A1031=1,SUM($A$2:$A1031),"")</f>
        <v/>
      </c>
      <c r="C1031">
        <f>IF($A1031=1,SUM($A$2:$A1031),0)</f>
        <v>0</v>
      </c>
    </row>
    <row r="1032" spans="1:3" x14ac:dyDescent="0.3">
      <c r="A1032">
        <f>IF(AND(OR(Query!$B$4="All",'Compliance Database'!$A1032=Query!$B$4),OR(Query!$B$5="All",ISNUMBER(SEARCH(Query!$B$5,'Compliance Database'!$H1032))),OR(Query!$B$6="All",ISNUMBER(SEARCH(Query!$B$6,'Compliance Database'!$I1032))),OR(Query!$B$7="All",'Compliance Database'!$F1032=Query!$B$7),OR(Query!$B$8="All",'Compliance Database'!$J1032=Query!$B$8),OR(Query!$B$9="",ISNUMBER(SEARCH(Query!$B$9,'Compliance Database'!$D1032&amp;" "&amp;'Compliance Database'!$K1032&amp;" "&amp;'Compliance Database'!$L1032&amp;" "&amp;'Compliance Database'!$M1032&amp;" "&amp;'Compliance Database'!$N1032&amp;" "&amp;'Compliance Database'!$O1032))),OR(Query!$B$10&lt;&gt;"Yes",'Compliance Database'!$F1032&lt;&gt;"None")),1,0)</f>
        <v>0</v>
      </c>
      <c r="B1032" t="str">
        <f>IF($A1032=1,SUM($A$2:$A1032),"")</f>
        <v/>
      </c>
      <c r="C1032">
        <f>IF($A1032=1,SUM($A$2:$A1032),0)</f>
        <v>0</v>
      </c>
    </row>
    <row r="1033" spans="1:3" x14ac:dyDescent="0.3">
      <c r="A1033">
        <f>IF(AND(OR(Query!$B$4="All",'Compliance Database'!$A1033=Query!$B$4),OR(Query!$B$5="All",ISNUMBER(SEARCH(Query!$B$5,'Compliance Database'!$H1033))),OR(Query!$B$6="All",ISNUMBER(SEARCH(Query!$B$6,'Compliance Database'!$I1033))),OR(Query!$B$7="All",'Compliance Database'!$F1033=Query!$B$7),OR(Query!$B$8="All",'Compliance Database'!$J1033=Query!$B$8),OR(Query!$B$9="",ISNUMBER(SEARCH(Query!$B$9,'Compliance Database'!$D1033&amp;" "&amp;'Compliance Database'!$K1033&amp;" "&amp;'Compliance Database'!$L1033&amp;" "&amp;'Compliance Database'!$M1033&amp;" "&amp;'Compliance Database'!$N1033&amp;" "&amp;'Compliance Database'!$O1033))),OR(Query!$B$10&lt;&gt;"Yes",'Compliance Database'!$F1033&lt;&gt;"None")),1,0)</f>
        <v>0</v>
      </c>
      <c r="B1033" t="str">
        <f>IF($A1033=1,SUM($A$2:$A1033),"")</f>
        <v/>
      </c>
      <c r="C1033">
        <f>IF($A1033=1,SUM($A$2:$A1033),0)</f>
        <v>0</v>
      </c>
    </row>
    <row r="1034" spans="1:3" x14ac:dyDescent="0.3">
      <c r="A1034">
        <f>IF(AND(OR(Query!$B$4="All",'Compliance Database'!$A1034=Query!$B$4),OR(Query!$B$5="All",ISNUMBER(SEARCH(Query!$B$5,'Compliance Database'!$H1034))),OR(Query!$B$6="All",ISNUMBER(SEARCH(Query!$B$6,'Compliance Database'!$I1034))),OR(Query!$B$7="All",'Compliance Database'!$F1034=Query!$B$7),OR(Query!$B$8="All",'Compliance Database'!$J1034=Query!$B$8),OR(Query!$B$9="",ISNUMBER(SEARCH(Query!$B$9,'Compliance Database'!$D1034&amp;" "&amp;'Compliance Database'!$K1034&amp;" "&amp;'Compliance Database'!$L1034&amp;" "&amp;'Compliance Database'!$M1034&amp;" "&amp;'Compliance Database'!$N1034&amp;" "&amp;'Compliance Database'!$O1034))),OR(Query!$B$10&lt;&gt;"Yes",'Compliance Database'!$F1034&lt;&gt;"None")),1,0)</f>
        <v>0</v>
      </c>
      <c r="B1034" t="str">
        <f>IF($A1034=1,SUM($A$2:$A1034),"")</f>
        <v/>
      </c>
      <c r="C1034">
        <f>IF($A1034=1,SUM($A$2:$A1034),0)</f>
        <v>0</v>
      </c>
    </row>
    <row r="1035" spans="1:3" x14ac:dyDescent="0.3">
      <c r="A1035">
        <f>IF(AND(OR(Query!$B$4="All",'Compliance Database'!$A1035=Query!$B$4),OR(Query!$B$5="All",ISNUMBER(SEARCH(Query!$B$5,'Compliance Database'!$H1035))),OR(Query!$B$6="All",ISNUMBER(SEARCH(Query!$B$6,'Compliance Database'!$I1035))),OR(Query!$B$7="All",'Compliance Database'!$F1035=Query!$B$7),OR(Query!$B$8="All",'Compliance Database'!$J1035=Query!$B$8),OR(Query!$B$9="",ISNUMBER(SEARCH(Query!$B$9,'Compliance Database'!$D1035&amp;" "&amp;'Compliance Database'!$K1035&amp;" "&amp;'Compliance Database'!$L1035&amp;" "&amp;'Compliance Database'!$M1035&amp;" "&amp;'Compliance Database'!$N1035&amp;" "&amp;'Compliance Database'!$O1035))),OR(Query!$B$10&lt;&gt;"Yes",'Compliance Database'!$F1035&lt;&gt;"None")),1,0)</f>
        <v>0</v>
      </c>
      <c r="B1035" t="str">
        <f>IF($A1035=1,SUM($A$2:$A1035),"")</f>
        <v/>
      </c>
      <c r="C1035">
        <f>IF($A1035=1,SUM($A$2:$A1035),0)</f>
        <v>0</v>
      </c>
    </row>
    <row r="1036" spans="1:3" x14ac:dyDescent="0.3">
      <c r="A1036">
        <f>IF(AND(OR(Query!$B$4="All",'Compliance Database'!$A1036=Query!$B$4),OR(Query!$B$5="All",ISNUMBER(SEARCH(Query!$B$5,'Compliance Database'!$H1036))),OR(Query!$B$6="All",ISNUMBER(SEARCH(Query!$B$6,'Compliance Database'!$I1036))),OR(Query!$B$7="All",'Compliance Database'!$F1036=Query!$B$7),OR(Query!$B$8="All",'Compliance Database'!$J1036=Query!$B$8),OR(Query!$B$9="",ISNUMBER(SEARCH(Query!$B$9,'Compliance Database'!$D1036&amp;" "&amp;'Compliance Database'!$K1036&amp;" "&amp;'Compliance Database'!$L1036&amp;" "&amp;'Compliance Database'!$M1036&amp;" "&amp;'Compliance Database'!$N1036&amp;" "&amp;'Compliance Database'!$O1036))),OR(Query!$B$10&lt;&gt;"Yes",'Compliance Database'!$F1036&lt;&gt;"None")),1,0)</f>
        <v>0</v>
      </c>
      <c r="B1036" t="str">
        <f>IF($A1036=1,SUM($A$2:$A1036),"")</f>
        <v/>
      </c>
      <c r="C1036">
        <f>IF($A1036=1,SUM($A$2:$A1036),0)</f>
        <v>0</v>
      </c>
    </row>
    <row r="1037" spans="1:3" x14ac:dyDescent="0.3">
      <c r="A1037">
        <f>IF(AND(OR(Query!$B$4="All",'Compliance Database'!$A1037=Query!$B$4),OR(Query!$B$5="All",ISNUMBER(SEARCH(Query!$B$5,'Compliance Database'!$H1037))),OR(Query!$B$6="All",ISNUMBER(SEARCH(Query!$B$6,'Compliance Database'!$I1037))),OR(Query!$B$7="All",'Compliance Database'!$F1037=Query!$B$7),OR(Query!$B$8="All",'Compliance Database'!$J1037=Query!$B$8),OR(Query!$B$9="",ISNUMBER(SEARCH(Query!$B$9,'Compliance Database'!$D1037&amp;" "&amp;'Compliance Database'!$K1037&amp;" "&amp;'Compliance Database'!$L1037&amp;" "&amp;'Compliance Database'!$M1037&amp;" "&amp;'Compliance Database'!$N1037&amp;" "&amp;'Compliance Database'!$O1037))),OR(Query!$B$10&lt;&gt;"Yes",'Compliance Database'!$F1037&lt;&gt;"None")),1,0)</f>
        <v>0</v>
      </c>
      <c r="B1037" t="str">
        <f>IF($A1037=1,SUM($A$2:$A1037),"")</f>
        <v/>
      </c>
      <c r="C1037">
        <f>IF($A1037=1,SUM($A$2:$A1037),0)</f>
        <v>0</v>
      </c>
    </row>
    <row r="1038" spans="1:3" x14ac:dyDescent="0.3">
      <c r="A1038">
        <f>IF(AND(OR(Query!$B$4="All",'Compliance Database'!$A1038=Query!$B$4),OR(Query!$B$5="All",ISNUMBER(SEARCH(Query!$B$5,'Compliance Database'!$H1038))),OR(Query!$B$6="All",ISNUMBER(SEARCH(Query!$B$6,'Compliance Database'!$I1038))),OR(Query!$B$7="All",'Compliance Database'!$F1038=Query!$B$7),OR(Query!$B$8="All",'Compliance Database'!$J1038=Query!$B$8),OR(Query!$B$9="",ISNUMBER(SEARCH(Query!$B$9,'Compliance Database'!$D1038&amp;" "&amp;'Compliance Database'!$K1038&amp;" "&amp;'Compliance Database'!$L1038&amp;" "&amp;'Compliance Database'!$M1038&amp;" "&amp;'Compliance Database'!$N1038&amp;" "&amp;'Compliance Database'!$O1038))),OR(Query!$B$10&lt;&gt;"Yes",'Compliance Database'!$F1038&lt;&gt;"None")),1,0)</f>
        <v>0</v>
      </c>
      <c r="B1038" t="str">
        <f>IF($A1038=1,SUM($A$2:$A1038),"")</f>
        <v/>
      </c>
      <c r="C1038">
        <f>IF($A1038=1,SUM($A$2:$A1038),0)</f>
        <v>0</v>
      </c>
    </row>
    <row r="1039" spans="1:3" x14ac:dyDescent="0.3">
      <c r="A1039">
        <f>IF(AND(OR(Query!$B$4="All",'Compliance Database'!$A1039=Query!$B$4),OR(Query!$B$5="All",ISNUMBER(SEARCH(Query!$B$5,'Compliance Database'!$H1039))),OR(Query!$B$6="All",ISNUMBER(SEARCH(Query!$B$6,'Compliance Database'!$I1039))),OR(Query!$B$7="All",'Compliance Database'!$F1039=Query!$B$7),OR(Query!$B$8="All",'Compliance Database'!$J1039=Query!$B$8),OR(Query!$B$9="",ISNUMBER(SEARCH(Query!$B$9,'Compliance Database'!$D1039&amp;" "&amp;'Compliance Database'!$K1039&amp;" "&amp;'Compliance Database'!$L1039&amp;" "&amp;'Compliance Database'!$M1039&amp;" "&amp;'Compliance Database'!$N1039&amp;" "&amp;'Compliance Database'!$O1039))),OR(Query!$B$10&lt;&gt;"Yes",'Compliance Database'!$F1039&lt;&gt;"None")),1,0)</f>
        <v>0</v>
      </c>
      <c r="B1039" t="str">
        <f>IF($A1039=1,SUM($A$2:$A1039),"")</f>
        <v/>
      </c>
      <c r="C1039">
        <f>IF($A1039=1,SUM($A$2:$A1039),0)</f>
        <v>0</v>
      </c>
    </row>
    <row r="1040" spans="1:3" x14ac:dyDescent="0.3">
      <c r="A1040">
        <f>IF(AND(OR(Query!$B$4="All",'Compliance Database'!$A1040=Query!$B$4),OR(Query!$B$5="All",ISNUMBER(SEARCH(Query!$B$5,'Compliance Database'!$H1040))),OR(Query!$B$6="All",ISNUMBER(SEARCH(Query!$B$6,'Compliance Database'!$I1040))),OR(Query!$B$7="All",'Compliance Database'!$F1040=Query!$B$7),OR(Query!$B$8="All",'Compliance Database'!$J1040=Query!$B$8),OR(Query!$B$9="",ISNUMBER(SEARCH(Query!$B$9,'Compliance Database'!$D1040&amp;" "&amp;'Compliance Database'!$K1040&amp;" "&amp;'Compliance Database'!$L1040&amp;" "&amp;'Compliance Database'!$M1040&amp;" "&amp;'Compliance Database'!$N1040&amp;" "&amp;'Compliance Database'!$O1040))),OR(Query!$B$10&lt;&gt;"Yes",'Compliance Database'!$F1040&lt;&gt;"None")),1,0)</f>
        <v>0</v>
      </c>
      <c r="B1040" t="str">
        <f>IF($A1040=1,SUM($A$2:$A1040),"")</f>
        <v/>
      </c>
      <c r="C1040">
        <f>IF($A1040=1,SUM($A$2:$A1040),0)</f>
        <v>0</v>
      </c>
    </row>
    <row r="1041" spans="1:3" x14ac:dyDescent="0.3">
      <c r="A1041">
        <f>IF(AND(OR(Query!$B$4="All",'Compliance Database'!$A1041=Query!$B$4),OR(Query!$B$5="All",ISNUMBER(SEARCH(Query!$B$5,'Compliance Database'!$H1041))),OR(Query!$B$6="All",ISNUMBER(SEARCH(Query!$B$6,'Compliance Database'!$I1041))),OR(Query!$B$7="All",'Compliance Database'!$F1041=Query!$B$7),OR(Query!$B$8="All",'Compliance Database'!$J1041=Query!$B$8),OR(Query!$B$9="",ISNUMBER(SEARCH(Query!$B$9,'Compliance Database'!$D1041&amp;" "&amp;'Compliance Database'!$K1041&amp;" "&amp;'Compliance Database'!$L1041&amp;" "&amp;'Compliance Database'!$M1041&amp;" "&amp;'Compliance Database'!$N1041&amp;" "&amp;'Compliance Database'!$O1041))),OR(Query!$B$10&lt;&gt;"Yes",'Compliance Database'!$F1041&lt;&gt;"None")),1,0)</f>
        <v>0</v>
      </c>
      <c r="B1041" t="str">
        <f>IF($A1041=1,SUM($A$2:$A1041),"")</f>
        <v/>
      </c>
      <c r="C1041">
        <f>IF($A1041=1,SUM($A$2:$A1041),0)</f>
        <v>0</v>
      </c>
    </row>
    <row r="1042" spans="1:3" x14ac:dyDescent="0.3">
      <c r="A1042">
        <f>IF(AND(OR(Query!$B$4="All",'Compliance Database'!$A1042=Query!$B$4),OR(Query!$B$5="All",ISNUMBER(SEARCH(Query!$B$5,'Compliance Database'!$H1042))),OR(Query!$B$6="All",ISNUMBER(SEARCH(Query!$B$6,'Compliance Database'!$I1042))),OR(Query!$B$7="All",'Compliance Database'!$F1042=Query!$B$7),OR(Query!$B$8="All",'Compliance Database'!$J1042=Query!$B$8),OR(Query!$B$9="",ISNUMBER(SEARCH(Query!$B$9,'Compliance Database'!$D1042&amp;" "&amp;'Compliance Database'!$K1042&amp;" "&amp;'Compliance Database'!$L1042&amp;" "&amp;'Compliance Database'!$M1042&amp;" "&amp;'Compliance Database'!$N1042&amp;" "&amp;'Compliance Database'!$O1042))),OR(Query!$B$10&lt;&gt;"Yes",'Compliance Database'!$F1042&lt;&gt;"None")),1,0)</f>
        <v>0</v>
      </c>
      <c r="B1042" t="str">
        <f>IF($A1042=1,SUM($A$2:$A1042),"")</f>
        <v/>
      </c>
      <c r="C1042">
        <f>IF($A1042=1,SUM($A$2:$A1042),0)</f>
        <v>0</v>
      </c>
    </row>
    <row r="1043" spans="1:3" x14ac:dyDescent="0.3">
      <c r="A1043">
        <f>IF(AND(OR(Query!$B$4="All",'Compliance Database'!$A1043=Query!$B$4),OR(Query!$B$5="All",ISNUMBER(SEARCH(Query!$B$5,'Compliance Database'!$H1043))),OR(Query!$B$6="All",ISNUMBER(SEARCH(Query!$B$6,'Compliance Database'!$I1043))),OR(Query!$B$7="All",'Compliance Database'!$F1043=Query!$B$7),OR(Query!$B$8="All",'Compliance Database'!$J1043=Query!$B$8),OR(Query!$B$9="",ISNUMBER(SEARCH(Query!$B$9,'Compliance Database'!$D1043&amp;" "&amp;'Compliance Database'!$K1043&amp;" "&amp;'Compliance Database'!$L1043&amp;" "&amp;'Compliance Database'!$M1043&amp;" "&amp;'Compliance Database'!$N1043&amp;" "&amp;'Compliance Database'!$O1043))),OR(Query!$B$10&lt;&gt;"Yes",'Compliance Database'!$F1043&lt;&gt;"None")),1,0)</f>
        <v>0</v>
      </c>
      <c r="B1043" t="str">
        <f>IF($A1043=1,SUM($A$2:$A1043),"")</f>
        <v/>
      </c>
      <c r="C1043">
        <f>IF($A1043=1,SUM($A$2:$A1043),0)</f>
        <v>0</v>
      </c>
    </row>
    <row r="1044" spans="1:3" x14ac:dyDescent="0.3">
      <c r="A1044">
        <f>IF(AND(OR(Query!$B$4="All",'Compliance Database'!$A1044=Query!$B$4),OR(Query!$B$5="All",ISNUMBER(SEARCH(Query!$B$5,'Compliance Database'!$H1044))),OR(Query!$B$6="All",ISNUMBER(SEARCH(Query!$B$6,'Compliance Database'!$I1044))),OR(Query!$B$7="All",'Compliance Database'!$F1044=Query!$B$7),OR(Query!$B$8="All",'Compliance Database'!$J1044=Query!$B$8),OR(Query!$B$9="",ISNUMBER(SEARCH(Query!$B$9,'Compliance Database'!$D1044&amp;" "&amp;'Compliance Database'!$K1044&amp;" "&amp;'Compliance Database'!$L1044&amp;" "&amp;'Compliance Database'!$M1044&amp;" "&amp;'Compliance Database'!$N1044&amp;" "&amp;'Compliance Database'!$O1044))),OR(Query!$B$10&lt;&gt;"Yes",'Compliance Database'!$F1044&lt;&gt;"None")),1,0)</f>
        <v>0</v>
      </c>
      <c r="B1044" t="str">
        <f>IF($A1044=1,SUM($A$2:$A1044),"")</f>
        <v/>
      </c>
      <c r="C1044">
        <f>IF($A1044=1,SUM($A$2:$A1044),0)</f>
        <v>0</v>
      </c>
    </row>
    <row r="1045" spans="1:3" x14ac:dyDescent="0.3">
      <c r="A1045">
        <f>IF(AND(OR(Query!$B$4="All",'Compliance Database'!$A1045=Query!$B$4),OR(Query!$B$5="All",ISNUMBER(SEARCH(Query!$B$5,'Compliance Database'!$H1045))),OR(Query!$B$6="All",ISNUMBER(SEARCH(Query!$B$6,'Compliance Database'!$I1045))),OR(Query!$B$7="All",'Compliance Database'!$F1045=Query!$B$7),OR(Query!$B$8="All",'Compliance Database'!$J1045=Query!$B$8),OR(Query!$B$9="",ISNUMBER(SEARCH(Query!$B$9,'Compliance Database'!$D1045&amp;" "&amp;'Compliance Database'!$K1045&amp;" "&amp;'Compliance Database'!$L1045&amp;" "&amp;'Compliance Database'!$M1045&amp;" "&amp;'Compliance Database'!$N1045&amp;" "&amp;'Compliance Database'!$O1045))),OR(Query!$B$10&lt;&gt;"Yes",'Compliance Database'!$F1045&lt;&gt;"None")),1,0)</f>
        <v>0</v>
      </c>
      <c r="B1045" t="str">
        <f>IF($A1045=1,SUM($A$2:$A1045),"")</f>
        <v/>
      </c>
      <c r="C1045">
        <f>IF($A1045=1,SUM($A$2:$A1045),0)</f>
        <v>0</v>
      </c>
    </row>
    <row r="1046" spans="1:3" x14ac:dyDescent="0.3">
      <c r="A1046">
        <f>IF(AND(OR(Query!$B$4="All",'Compliance Database'!$A1046=Query!$B$4),OR(Query!$B$5="All",ISNUMBER(SEARCH(Query!$B$5,'Compliance Database'!$H1046))),OR(Query!$B$6="All",ISNUMBER(SEARCH(Query!$B$6,'Compliance Database'!$I1046))),OR(Query!$B$7="All",'Compliance Database'!$F1046=Query!$B$7),OR(Query!$B$8="All",'Compliance Database'!$J1046=Query!$B$8),OR(Query!$B$9="",ISNUMBER(SEARCH(Query!$B$9,'Compliance Database'!$D1046&amp;" "&amp;'Compliance Database'!$K1046&amp;" "&amp;'Compliance Database'!$L1046&amp;" "&amp;'Compliance Database'!$M1046&amp;" "&amp;'Compliance Database'!$N1046&amp;" "&amp;'Compliance Database'!$O1046))),OR(Query!$B$10&lt;&gt;"Yes",'Compliance Database'!$F1046&lt;&gt;"None")),1,0)</f>
        <v>0</v>
      </c>
      <c r="B1046" t="str">
        <f>IF($A1046=1,SUM($A$2:$A1046),"")</f>
        <v/>
      </c>
      <c r="C1046">
        <f>IF($A1046=1,SUM($A$2:$A1046),0)</f>
        <v>0</v>
      </c>
    </row>
    <row r="1047" spans="1:3" x14ac:dyDescent="0.3">
      <c r="A1047">
        <f>IF(AND(OR(Query!$B$4="All",'Compliance Database'!$A1047=Query!$B$4),OR(Query!$B$5="All",ISNUMBER(SEARCH(Query!$B$5,'Compliance Database'!$H1047))),OR(Query!$B$6="All",ISNUMBER(SEARCH(Query!$B$6,'Compliance Database'!$I1047))),OR(Query!$B$7="All",'Compliance Database'!$F1047=Query!$B$7),OR(Query!$B$8="All",'Compliance Database'!$J1047=Query!$B$8),OR(Query!$B$9="",ISNUMBER(SEARCH(Query!$B$9,'Compliance Database'!$D1047&amp;" "&amp;'Compliance Database'!$K1047&amp;" "&amp;'Compliance Database'!$L1047&amp;" "&amp;'Compliance Database'!$M1047&amp;" "&amp;'Compliance Database'!$N1047&amp;" "&amp;'Compliance Database'!$O1047))),OR(Query!$B$10&lt;&gt;"Yes",'Compliance Database'!$F1047&lt;&gt;"None")),1,0)</f>
        <v>0</v>
      </c>
      <c r="B1047" t="str">
        <f>IF($A1047=1,SUM($A$2:$A1047),"")</f>
        <v/>
      </c>
      <c r="C1047">
        <f>IF($A1047=1,SUM($A$2:$A1047),0)</f>
        <v>0</v>
      </c>
    </row>
    <row r="1048" spans="1:3" x14ac:dyDescent="0.3">
      <c r="A1048">
        <f>IF(AND(OR(Query!$B$4="All",'Compliance Database'!$A1048=Query!$B$4),OR(Query!$B$5="All",ISNUMBER(SEARCH(Query!$B$5,'Compliance Database'!$H1048))),OR(Query!$B$6="All",ISNUMBER(SEARCH(Query!$B$6,'Compliance Database'!$I1048))),OR(Query!$B$7="All",'Compliance Database'!$F1048=Query!$B$7),OR(Query!$B$8="All",'Compliance Database'!$J1048=Query!$B$8),OR(Query!$B$9="",ISNUMBER(SEARCH(Query!$B$9,'Compliance Database'!$D1048&amp;" "&amp;'Compliance Database'!$K1048&amp;" "&amp;'Compliance Database'!$L1048&amp;" "&amp;'Compliance Database'!$M1048&amp;" "&amp;'Compliance Database'!$N1048&amp;" "&amp;'Compliance Database'!$O1048))),OR(Query!$B$10&lt;&gt;"Yes",'Compliance Database'!$F1048&lt;&gt;"None")),1,0)</f>
        <v>0</v>
      </c>
      <c r="B1048" t="str">
        <f>IF($A1048=1,SUM($A$2:$A1048),"")</f>
        <v/>
      </c>
      <c r="C1048">
        <f>IF($A1048=1,SUM($A$2:$A1048),0)</f>
        <v>0</v>
      </c>
    </row>
    <row r="1049" spans="1:3" x14ac:dyDescent="0.3">
      <c r="A1049">
        <f>IF(AND(OR(Query!$B$4="All",'Compliance Database'!$A1049=Query!$B$4),OR(Query!$B$5="All",ISNUMBER(SEARCH(Query!$B$5,'Compliance Database'!$H1049))),OR(Query!$B$6="All",ISNUMBER(SEARCH(Query!$B$6,'Compliance Database'!$I1049))),OR(Query!$B$7="All",'Compliance Database'!$F1049=Query!$B$7),OR(Query!$B$8="All",'Compliance Database'!$J1049=Query!$B$8),OR(Query!$B$9="",ISNUMBER(SEARCH(Query!$B$9,'Compliance Database'!$D1049&amp;" "&amp;'Compliance Database'!$K1049&amp;" "&amp;'Compliance Database'!$L1049&amp;" "&amp;'Compliance Database'!$M1049&amp;" "&amp;'Compliance Database'!$N1049&amp;" "&amp;'Compliance Database'!$O1049))),OR(Query!$B$10&lt;&gt;"Yes",'Compliance Database'!$F1049&lt;&gt;"None")),1,0)</f>
        <v>0</v>
      </c>
      <c r="B1049" t="str">
        <f>IF($A1049=1,SUM($A$2:$A1049),"")</f>
        <v/>
      </c>
      <c r="C1049">
        <f>IF($A1049=1,SUM($A$2:$A1049),0)</f>
        <v>0</v>
      </c>
    </row>
    <row r="1050" spans="1:3" x14ac:dyDescent="0.3">
      <c r="A1050">
        <f>IF(AND(OR(Query!$B$4="All",'Compliance Database'!$A1050=Query!$B$4),OR(Query!$B$5="All",ISNUMBER(SEARCH(Query!$B$5,'Compliance Database'!$H1050))),OR(Query!$B$6="All",ISNUMBER(SEARCH(Query!$B$6,'Compliance Database'!$I1050))),OR(Query!$B$7="All",'Compliance Database'!$F1050=Query!$B$7),OR(Query!$B$8="All",'Compliance Database'!$J1050=Query!$B$8),OR(Query!$B$9="",ISNUMBER(SEARCH(Query!$B$9,'Compliance Database'!$D1050&amp;" "&amp;'Compliance Database'!$K1050&amp;" "&amp;'Compliance Database'!$L1050&amp;" "&amp;'Compliance Database'!$M1050&amp;" "&amp;'Compliance Database'!$N1050&amp;" "&amp;'Compliance Database'!$O1050))),OR(Query!$B$10&lt;&gt;"Yes",'Compliance Database'!$F1050&lt;&gt;"None")),1,0)</f>
        <v>0</v>
      </c>
      <c r="B1050" t="str">
        <f>IF($A1050=1,SUM($A$2:$A1050),"")</f>
        <v/>
      </c>
      <c r="C1050">
        <f>IF($A1050=1,SUM($A$2:$A1050),0)</f>
        <v>0</v>
      </c>
    </row>
    <row r="1051" spans="1:3" x14ac:dyDescent="0.3">
      <c r="A1051">
        <f>IF(AND(OR(Query!$B$4="All",'Compliance Database'!$A1051=Query!$B$4),OR(Query!$B$5="All",ISNUMBER(SEARCH(Query!$B$5,'Compliance Database'!$H1051))),OR(Query!$B$6="All",ISNUMBER(SEARCH(Query!$B$6,'Compliance Database'!$I1051))),OR(Query!$B$7="All",'Compliance Database'!$F1051=Query!$B$7),OR(Query!$B$8="All",'Compliance Database'!$J1051=Query!$B$8),OR(Query!$B$9="",ISNUMBER(SEARCH(Query!$B$9,'Compliance Database'!$D1051&amp;" "&amp;'Compliance Database'!$K1051&amp;" "&amp;'Compliance Database'!$L1051&amp;" "&amp;'Compliance Database'!$M1051&amp;" "&amp;'Compliance Database'!$N1051&amp;" "&amp;'Compliance Database'!$O1051))),OR(Query!$B$10&lt;&gt;"Yes",'Compliance Database'!$F1051&lt;&gt;"None")),1,0)</f>
        <v>0</v>
      </c>
      <c r="B1051" t="str">
        <f>IF($A1051=1,SUM($A$2:$A1051),"")</f>
        <v/>
      </c>
      <c r="C1051">
        <f>IF($A1051=1,SUM($A$2:$A1051),0)</f>
        <v>0</v>
      </c>
    </row>
    <row r="1052" spans="1:3" x14ac:dyDescent="0.3">
      <c r="A1052">
        <f>IF(AND(OR(Query!$B$4="All",'Compliance Database'!$A1052=Query!$B$4),OR(Query!$B$5="All",ISNUMBER(SEARCH(Query!$B$5,'Compliance Database'!$H1052))),OR(Query!$B$6="All",ISNUMBER(SEARCH(Query!$B$6,'Compliance Database'!$I1052))),OR(Query!$B$7="All",'Compliance Database'!$F1052=Query!$B$7),OR(Query!$B$8="All",'Compliance Database'!$J1052=Query!$B$8),OR(Query!$B$9="",ISNUMBER(SEARCH(Query!$B$9,'Compliance Database'!$D1052&amp;" "&amp;'Compliance Database'!$K1052&amp;" "&amp;'Compliance Database'!$L1052&amp;" "&amp;'Compliance Database'!$M1052&amp;" "&amp;'Compliance Database'!$N1052&amp;" "&amp;'Compliance Database'!$O1052))),OR(Query!$B$10&lt;&gt;"Yes",'Compliance Database'!$F1052&lt;&gt;"None")),1,0)</f>
        <v>1</v>
      </c>
      <c r="B1052">
        <f>IF($A1052=1,SUM($A$2:$A1052),"")</f>
        <v>1</v>
      </c>
      <c r="C1052">
        <f>IF($A1052=1,SUM($A$2:$A1052),0)</f>
        <v>1</v>
      </c>
    </row>
    <row r="1053" spans="1:3" x14ac:dyDescent="0.3">
      <c r="A1053">
        <f>IF(AND(OR(Query!$B$4="All",'Compliance Database'!$A1053=Query!$B$4),OR(Query!$B$5="All",ISNUMBER(SEARCH(Query!$B$5,'Compliance Database'!$H1053))),OR(Query!$B$6="All",ISNUMBER(SEARCH(Query!$B$6,'Compliance Database'!$I1053))),OR(Query!$B$7="All",'Compliance Database'!$F1053=Query!$B$7),OR(Query!$B$8="All",'Compliance Database'!$J1053=Query!$B$8),OR(Query!$B$9="",ISNUMBER(SEARCH(Query!$B$9,'Compliance Database'!$D1053&amp;" "&amp;'Compliance Database'!$K1053&amp;" "&amp;'Compliance Database'!$L1053&amp;" "&amp;'Compliance Database'!$M1053&amp;" "&amp;'Compliance Database'!$N1053&amp;" "&amp;'Compliance Database'!$O1053))),OR(Query!$B$10&lt;&gt;"Yes",'Compliance Database'!$F1053&lt;&gt;"None")),1,0)</f>
        <v>1</v>
      </c>
      <c r="B1053">
        <f>IF($A1053=1,SUM($A$2:$A1053),"")</f>
        <v>2</v>
      </c>
      <c r="C1053">
        <f>IF($A1053=1,SUM($A$2:$A1053),0)</f>
        <v>2</v>
      </c>
    </row>
    <row r="1054" spans="1:3" x14ac:dyDescent="0.3">
      <c r="A1054">
        <f>IF(AND(OR(Query!$B$4="All",'Compliance Database'!$A1054=Query!$B$4),OR(Query!$B$5="All",ISNUMBER(SEARCH(Query!$B$5,'Compliance Database'!$H1054))),OR(Query!$B$6="All",ISNUMBER(SEARCH(Query!$B$6,'Compliance Database'!$I1054))),OR(Query!$B$7="All",'Compliance Database'!$F1054=Query!$B$7),OR(Query!$B$8="All",'Compliance Database'!$J1054=Query!$B$8),OR(Query!$B$9="",ISNUMBER(SEARCH(Query!$B$9,'Compliance Database'!$D1054&amp;" "&amp;'Compliance Database'!$K1054&amp;" "&amp;'Compliance Database'!$L1054&amp;" "&amp;'Compliance Database'!$M1054&amp;" "&amp;'Compliance Database'!$N1054&amp;" "&amp;'Compliance Database'!$O1054))),OR(Query!$B$10&lt;&gt;"Yes",'Compliance Database'!$F1054&lt;&gt;"None")),1,0)</f>
        <v>1</v>
      </c>
      <c r="B1054">
        <f>IF($A1054=1,SUM($A$2:$A1054),"")</f>
        <v>3</v>
      </c>
      <c r="C1054">
        <f>IF($A1054=1,SUM($A$2:$A1054),0)</f>
        <v>3</v>
      </c>
    </row>
    <row r="1055" spans="1:3" x14ac:dyDescent="0.3">
      <c r="A1055">
        <f>IF(AND(OR(Query!$B$4="All",'Compliance Database'!$A1055=Query!$B$4),OR(Query!$B$5="All",ISNUMBER(SEARCH(Query!$B$5,'Compliance Database'!$H1055))),OR(Query!$B$6="All",ISNUMBER(SEARCH(Query!$B$6,'Compliance Database'!$I1055))),OR(Query!$B$7="All",'Compliance Database'!$F1055=Query!$B$7),OR(Query!$B$8="All",'Compliance Database'!$J1055=Query!$B$8),OR(Query!$B$9="",ISNUMBER(SEARCH(Query!$B$9,'Compliance Database'!$D1055&amp;" "&amp;'Compliance Database'!$K1055&amp;" "&amp;'Compliance Database'!$L1055&amp;" "&amp;'Compliance Database'!$M1055&amp;" "&amp;'Compliance Database'!$N1055&amp;" "&amp;'Compliance Database'!$O1055))),OR(Query!$B$10&lt;&gt;"Yes",'Compliance Database'!$F1055&lt;&gt;"None")),1,0)</f>
        <v>1</v>
      </c>
      <c r="B1055">
        <f>IF($A1055=1,SUM($A$2:$A1055),"")</f>
        <v>4</v>
      </c>
      <c r="C1055">
        <f>IF($A1055=1,SUM($A$2:$A1055),0)</f>
        <v>4</v>
      </c>
    </row>
    <row r="1056" spans="1:3" x14ac:dyDescent="0.3">
      <c r="A1056">
        <f>IF(AND(OR(Query!$B$4="All",'Compliance Database'!$A1056=Query!$B$4),OR(Query!$B$5="All",ISNUMBER(SEARCH(Query!$B$5,'Compliance Database'!$H1056))),OR(Query!$B$6="All",ISNUMBER(SEARCH(Query!$B$6,'Compliance Database'!$I1056))),OR(Query!$B$7="All",'Compliance Database'!$F1056=Query!$B$7),OR(Query!$B$8="All",'Compliance Database'!$J1056=Query!$B$8),OR(Query!$B$9="",ISNUMBER(SEARCH(Query!$B$9,'Compliance Database'!$D1056&amp;" "&amp;'Compliance Database'!$K1056&amp;" "&amp;'Compliance Database'!$L1056&amp;" "&amp;'Compliance Database'!$M1056&amp;" "&amp;'Compliance Database'!$N1056&amp;" "&amp;'Compliance Database'!$O1056))),OR(Query!$B$10&lt;&gt;"Yes",'Compliance Database'!$F1056&lt;&gt;"None")),1,0)</f>
        <v>1</v>
      </c>
      <c r="B1056">
        <f>IF($A1056=1,SUM($A$2:$A1056),"")</f>
        <v>5</v>
      </c>
      <c r="C1056">
        <f>IF($A1056=1,SUM($A$2:$A1056),0)</f>
        <v>5</v>
      </c>
    </row>
    <row r="1057" spans="1:3" x14ac:dyDescent="0.3">
      <c r="A1057">
        <f>IF(AND(OR(Query!$B$4="All",'Compliance Database'!$A1057=Query!$B$4),OR(Query!$B$5="All",ISNUMBER(SEARCH(Query!$B$5,'Compliance Database'!$H1057))),OR(Query!$B$6="All",ISNUMBER(SEARCH(Query!$B$6,'Compliance Database'!$I1057))),OR(Query!$B$7="All",'Compliance Database'!$F1057=Query!$B$7),OR(Query!$B$8="All",'Compliance Database'!$J1057=Query!$B$8),OR(Query!$B$9="",ISNUMBER(SEARCH(Query!$B$9,'Compliance Database'!$D1057&amp;" "&amp;'Compliance Database'!$K1057&amp;" "&amp;'Compliance Database'!$L1057&amp;" "&amp;'Compliance Database'!$M1057&amp;" "&amp;'Compliance Database'!$N1057&amp;" "&amp;'Compliance Database'!$O1057))),OR(Query!$B$10&lt;&gt;"Yes",'Compliance Database'!$F1057&lt;&gt;"None")),1,0)</f>
        <v>1</v>
      </c>
      <c r="B1057">
        <f>IF($A1057=1,SUM($A$2:$A1057),"")</f>
        <v>6</v>
      </c>
      <c r="C1057">
        <f>IF($A1057=1,SUM($A$2:$A1057),0)</f>
        <v>6</v>
      </c>
    </row>
    <row r="1058" spans="1:3" x14ac:dyDescent="0.3">
      <c r="A1058">
        <f>IF(AND(OR(Query!$B$4="All",'Compliance Database'!$A1058=Query!$B$4),OR(Query!$B$5="All",ISNUMBER(SEARCH(Query!$B$5,'Compliance Database'!$H1058))),OR(Query!$B$6="All",ISNUMBER(SEARCH(Query!$B$6,'Compliance Database'!$I1058))),OR(Query!$B$7="All",'Compliance Database'!$F1058=Query!$B$7),OR(Query!$B$8="All",'Compliance Database'!$J1058=Query!$B$8),OR(Query!$B$9="",ISNUMBER(SEARCH(Query!$B$9,'Compliance Database'!$D1058&amp;" "&amp;'Compliance Database'!$K1058&amp;" "&amp;'Compliance Database'!$L1058&amp;" "&amp;'Compliance Database'!$M1058&amp;" "&amp;'Compliance Database'!$N1058&amp;" "&amp;'Compliance Database'!$O1058))),OR(Query!$B$10&lt;&gt;"Yes",'Compliance Database'!$F1058&lt;&gt;"None")),1,0)</f>
        <v>1</v>
      </c>
      <c r="B1058">
        <f>IF($A1058=1,SUM($A$2:$A1058),"")</f>
        <v>7</v>
      </c>
      <c r="C1058">
        <f>IF($A1058=1,SUM($A$2:$A1058),0)</f>
        <v>7</v>
      </c>
    </row>
    <row r="1059" spans="1:3" x14ac:dyDescent="0.3">
      <c r="A1059">
        <f>IF(AND(OR(Query!$B$4="All",'Compliance Database'!$A1059=Query!$B$4),OR(Query!$B$5="All",ISNUMBER(SEARCH(Query!$B$5,'Compliance Database'!$H1059))),OR(Query!$B$6="All",ISNUMBER(SEARCH(Query!$B$6,'Compliance Database'!$I1059))),OR(Query!$B$7="All",'Compliance Database'!$F1059=Query!$B$7),OR(Query!$B$8="All",'Compliance Database'!$J1059=Query!$B$8),OR(Query!$B$9="",ISNUMBER(SEARCH(Query!$B$9,'Compliance Database'!$D1059&amp;" "&amp;'Compliance Database'!$K1059&amp;" "&amp;'Compliance Database'!$L1059&amp;" "&amp;'Compliance Database'!$M1059&amp;" "&amp;'Compliance Database'!$N1059&amp;" "&amp;'Compliance Database'!$O1059))),OR(Query!$B$10&lt;&gt;"Yes",'Compliance Database'!$F1059&lt;&gt;"None")),1,0)</f>
        <v>1</v>
      </c>
      <c r="B1059">
        <f>IF($A1059=1,SUM($A$2:$A1059),"")</f>
        <v>8</v>
      </c>
      <c r="C1059">
        <f>IF($A1059=1,SUM($A$2:$A1059),0)</f>
        <v>8</v>
      </c>
    </row>
    <row r="1060" spans="1:3" x14ac:dyDescent="0.3">
      <c r="A1060">
        <f>IF(AND(OR(Query!$B$4="All",'Compliance Database'!$A1060=Query!$B$4),OR(Query!$B$5="All",ISNUMBER(SEARCH(Query!$B$5,'Compliance Database'!$H1060))),OR(Query!$B$6="All",ISNUMBER(SEARCH(Query!$B$6,'Compliance Database'!$I1060))),OR(Query!$B$7="All",'Compliance Database'!$F1060=Query!$B$7),OR(Query!$B$8="All",'Compliance Database'!$J1060=Query!$B$8),OR(Query!$B$9="",ISNUMBER(SEARCH(Query!$B$9,'Compliance Database'!$D1060&amp;" "&amp;'Compliance Database'!$K1060&amp;" "&amp;'Compliance Database'!$L1060&amp;" "&amp;'Compliance Database'!$M1060&amp;" "&amp;'Compliance Database'!$N1060&amp;" "&amp;'Compliance Database'!$O1060))),OR(Query!$B$10&lt;&gt;"Yes",'Compliance Database'!$F1060&lt;&gt;"None")),1,0)</f>
        <v>1</v>
      </c>
      <c r="B1060">
        <f>IF($A1060=1,SUM($A$2:$A1060),"")</f>
        <v>9</v>
      </c>
      <c r="C1060">
        <f>IF($A1060=1,SUM($A$2:$A1060),0)</f>
        <v>9</v>
      </c>
    </row>
    <row r="1061" spans="1:3" x14ac:dyDescent="0.3">
      <c r="A1061">
        <f>IF(AND(OR(Query!$B$4="All",'Compliance Database'!$A1061=Query!$B$4),OR(Query!$B$5="All",ISNUMBER(SEARCH(Query!$B$5,'Compliance Database'!$H1061))),OR(Query!$B$6="All",ISNUMBER(SEARCH(Query!$B$6,'Compliance Database'!$I1061))),OR(Query!$B$7="All",'Compliance Database'!$F1061=Query!$B$7),OR(Query!$B$8="All",'Compliance Database'!$J1061=Query!$B$8),OR(Query!$B$9="",ISNUMBER(SEARCH(Query!$B$9,'Compliance Database'!$D1061&amp;" "&amp;'Compliance Database'!$K1061&amp;" "&amp;'Compliance Database'!$L1061&amp;" "&amp;'Compliance Database'!$M1061&amp;" "&amp;'Compliance Database'!$N1061&amp;" "&amp;'Compliance Database'!$O1061))),OR(Query!$B$10&lt;&gt;"Yes",'Compliance Database'!$F1061&lt;&gt;"None")),1,0)</f>
        <v>1</v>
      </c>
      <c r="B1061">
        <f>IF($A1061=1,SUM($A$2:$A1061),"")</f>
        <v>10</v>
      </c>
      <c r="C1061">
        <f>IF($A1061=1,SUM($A$2:$A1061),0)</f>
        <v>10</v>
      </c>
    </row>
    <row r="1062" spans="1:3" x14ac:dyDescent="0.3">
      <c r="A1062">
        <f>IF(AND(OR(Query!$B$4="All",'Compliance Database'!$A1062=Query!$B$4),OR(Query!$B$5="All",ISNUMBER(SEARCH(Query!$B$5,'Compliance Database'!$H1062))),OR(Query!$B$6="All",ISNUMBER(SEARCH(Query!$B$6,'Compliance Database'!$I1062))),OR(Query!$B$7="All",'Compliance Database'!$F1062=Query!$B$7),OR(Query!$B$8="All",'Compliance Database'!$J1062=Query!$B$8),OR(Query!$B$9="",ISNUMBER(SEARCH(Query!$B$9,'Compliance Database'!$D1062&amp;" "&amp;'Compliance Database'!$K1062&amp;" "&amp;'Compliance Database'!$L1062&amp;" "&amp;'Compliance Database'!$M1062&amp;" "&amp;'Compliance Database'!$N1062&amp;" "&amp;'Compliance Database'!$O1062))),OR(Query!$B$10&lt;&gt;"Yes",'Compliance Database'!$F1062&lt;&gt;"None")),1,0)</f>
        <v>1</v>
      </c>
      <c r="B1062">
        <f>IF($A1062=1,SUM($A$2:$A1062),"")</f>
        <v>11</v>
      </c>
      <c r="C1062">
        <f>IF($A1062=1,SUM($A$2:$A1062),0)</f>
        <v>11</v>
      </c>
    </row>
    <row r="1063" spans="1:3" x14ac:dyDescent="0.3">
      <c r="A1063">
        <f>IF(AND(OR(Query!$B$4="All",'Compliance Database'!$A1063=Query!$B$4),OR(Query!$B$5="All",ISNUMBER(SEARCH(Query!$B$5,'Compliance Database'!$H1063))),OR(Query!$B$6="All",ISNUMBER(SEARCH(Query!$B$6,'Compliance Database'!$I1063))),OR(Query!$B$7="All",'Compliance Database'!$F1063=Query!$B$7),OR(Query!$B$8="All",'Compliance Database'!$J1063=Query!$B$8),OR(Query!$B$9="",ISNUMBER(SEARCH(Query!$B$9,'Compliance Database'!$D1063&amp;" "&amp;'Compliance Database'!$K1063&amp;" "&amp;'Compliance Database'!$L1063&amp;" "&amp;'Compliance Database'!$M1063&amp;" "&amp;'Compliance Database'!$N1063&amp;" "&amp;'Compliance Database'!$O1063))),OR(Query!$B$10&lt;&gt;"Yes",'Compliance Database'!$F1063&lt;&gt;"None")),1,0)</f>
        <v>1</v>
      </c>
      <c r="B1063">
        <f>IF($A1063=1,SUM($A$2:$A1063),"")</f>
        <v>12</v>
      </c>
      <c r="C1063">
        <f>IF($A1063=1,SUM($A$2:$A1063),0)</f>
        <v>12</v>
      </c>
    </row>
    <row r="1064" spans="1:3" x14ac:dyDescent="0.3">
      <c r="A1064">
        <f>IF(AND(OR(Query!$B$4="All",'Compliance Database'!$A1064=Query!$B$4),OR(Query!$B$5="All",ISNUMBER(SEARCH(Query!$B$5,'Compliance Database'!$H1064))),OR(Query!$B$6="All",ISNUMBER(SEARCH(Query!$B$6,'Compliance Database'!$I1064))),OR(Query!$B$7="All",'Compliance Database'!$F1064=Query!$B$7),OR(Query!$B$8="All",'Compliance Database'!$J1064=Query!$B$8),OR(Query!$B$9="",ISNUMBER(SEARCH(Query!$B$9,'Compliance Database'!$D1064&amp;" "&amp;'Compliance Database'!$K1064&amp;" "&amp;'Compliance Database'!$L1064&amp;" "&amp;'Compliance Database'!$M1064&amp;" "&amp;'Compliance Database'!$N1064&amp;" "&amp;'Compliance Database'!$O1064))),OR(Query!$B$10&lt;&gt;"Yes",'Compliance Database'!$F1064&lt;&gt;"None")),1,0)</f>
        <v>1</v>
      </c>
      <c r="B1064">
        <f>IF($A1064=1,SUM($A$2:$A1064),"")</f>
        <v>13</v>
      </c>
      <c r="C1064">
        <f>IF($A1064=1,SUM($A$2:$A1064),0)</f>
        <v>13</v>
      </c>
    </row>
    <row r="1065" spans="1:3" x14ac:dyDescent="0.3">
      <c r="A1065">
        <f>IF(AND(OR(Query!$B$4="All",'Compliance Database'!$A1065=Query!$B$4),OR(Query!$B$5="All",ISNUMBER(SEARCH(Query!$B$5,'Compliance Database'!$H1065))),OR(Query!$B$6="All",ISNUMBER(SEARCH(Query!$B$6,'Compliance Database'!$I1065))),OR(Query!$B$7="All",'Compliance Database'!$F1065=Query!$B$7),OR(Query!$B$8="All",'Compliance Database'!$J1065=Query!$B$8),OR(Query!$B$9="",ISNUMBER(SEARCH(Query!$B$9,'Compliance Database'!$D1065&amp;" "&amp;'Compliance Database'!$K1065&amp;" "&amp;'Compliance Database'!$L1065&amp;" "&amp;'Compliance Database'!$M1065&amp;" "&amp;'Compliance Database'!$N1065&amp;" "&amp;'Compliance Database'!$O1065))),OR(Query!$B$10&lt;&gt;"Yes",'Compliance Database'!$F1065&lt;&gt;"None")),1,0)</f>
        <v>1</v>
      </c>
      <c r="B1065">
        <f>IF($A1065=1,SUM($A$2:$A1065),"")</f>
        <v>14</v>
      </c>
      <c r="C1065">
        <f>IF($A1065=1,SUM($A$2:$A1065),0)</f>
        <v>14</v>
      </c>
    </row>
    <row r="1066" spans="1:3" x14ac:dyDescent="0.3">
      <c r="A1066">
        <f>IF(AND(OR(Query!$B$4="All",'Compliance Database'!$A1066=Query!$B$4),OR(Query!$B$5="All",ISNUMBER(SEARCH(Query!$B$5,'Compliance Database'!$H1066))),OR(Query!$B$6="All",ISNUMBER(SEARCH(Query!$B$6,'Compliance Database'!$I1066))),OR(Query!$B$7="All",'Compliance Database'!$F1066=Query!$B$7),OR(Query!$B$8="All",'Compliance Database'!$J1066=Query!$B$8),OR(Query!$B$9="",ISNUMBER(SEARCH(Query!$B$9,'Compliance Database'!$D1066&amp;" "&amp;'Compliance Database'!$K1066&amp;" "&amp;'Compliance Database'!$L1066&amp;" "&amp;'Compliance Database'!$M1066&amp;" "&amp;'Compliance Database'!$N1066&amp;" "&amp;'Compliance Database'!$O1066))),OR(Query!$B$10&lt;&gt;"Yes",'Compliance Database'!$F1066&lt;&gt;"None")),1,0)</f>
        <v>1</v>
      </c>
      <c r="B1066">
        <f>IF($A1066=1,SUM($A$2:$A1066),"")</f>
        <v>15</v>
      </c>
      <c r="C1066">
        <f>IF($A1066=1,SUM($A$2:$A1066),0)</f>
        <v>15</v>
      </c>
    </row>
    <row r="1067" spans="1:3" x14ac:dyDescent="0.3">
      <c r="A1067">
        <f>IF(AND(OR(Query!$B$4="All",'Compliance Database'!$A1067=Query!$B$4),OR(Query!$B$5="All",ISNUMBER(SEARCH(Query!$B$5,'Compliance Database'!$H1067))),OR(Query!$B$6="All",ISNUMBER(SEARCH(Query!$B$6,'Compliance Database'!$I1067))),OR(Query!$B$7="All",'Compliance Database'!$F1067=Query!$B$7),OR(Query!$B$8="All",'Compliance Database'!$J1067=Query!$B$8),OR(Query!$B$9="",ISNUMBER(SEARCH(Query!$B$9,'Compliance Database'!$D1067&amp;" "&amp;'Compliance Database'!$K1067&amp;" "&amp;'Compliance Database'!$L1067&amp;" "&amp;'Compliance Database'!$M1067&amp;" "&amp;'Compliance Database'!$N1067&amp;" "&amp;'Compliance Database'!$O1067))),OR(Query!$B$10&lt;&gt;"Yes",'Compliance Database'!$F1067&lt;&gt;"None")),1,0)</f>
        <v>1</v>
      </c>
      <c r="B1067">
        <f>IF($A1067=1,SUM($A$2:$A1067),"")</f>
        <v>16</v>
      </c>
      <c r="C1067">
        <f>IF($A1067=1,SUM($A$2:$A1067),0)</f>
        <v>16</v>
      </c>
    </row>
    <row r="1068" spans="1:3" x14ac:dyDescent="0.3">
      <c r="A1068">
        <f>IF(AND(OR(Query!$B$4="All",'Compliance Database'!$A1068=Query!$B$4),OR(Query!$B$5="All",ISNUMBER(SEARCH(Query!$B$5,'Compliance Database'!$H1068))),OR(Query!$B$6="All",ISNUMBER(SEARCH(Query!$B$6,'Compliance Database'!$I1068))),OR(Query!$B$7="All",'Compliance Database'!$F1068=Query!$B$7),OR(Query!$B$8="All",'Compliance Database'!$J1068=Query!$B$8),OR(Query!$B$9="",ISNUMBER(SEARCH(Query!$B$9,'Compliance Database'!$D1068&amp;" "&amp;'Compliance Database'!$K1068&amp;" "&amp;'Compliance Database'!$L1068&amp;" "&amp;'Compliance Database'!$M1068&amp;" "&amp;'Compliance Database'!$N1068&amp;" "&amp;'Compliance Database'!$O1068))),OR(Query!$B$10&lt;&gt;"Yes",'Compliance Database'!$F1068&lt;&gt;"None")),1,0)</f>
        <v>1</v>
      </c>
      <c r="B1068">
        <f>IF($A1068=1,SUM($A$2:$A1068),"")</f>
        <v>17</v>
      </c>
      <c r="C1068">
        <f>IF($A1068=1,SUM($A$2:$A1068),0)</f>
        <v>17</v>
      </c>
    </row>
    <row r="1069" spans="1:3" x14ac:dyDescent="0.3">
      <c r="A1069">
        <f>IF(AND(OR(Query!$B$4="All",'Compliance Database'!$A1069=Query!$B$4),OR(Query!$B$5="All",ISNUMBER(SEARCH(Query!$B$5,'Compliance Database'!$H1069))),OR(Query!$B$6="All",ISNUMBER(SEARCH(Query!$B$6,'Compliance Database'!$I1069))),OR(Query!$B$7="All",'Compliance Database'!$F1069=Query!$B$7),OR(Query!$B$8="All",'Compliance Database'!$J1069=Query!$B$8),OR(Query!$B$9="",ISNUMBER(SEARCH(Query!$B$9,'Compliance Database'!$D1069&amp;" "&amp;'Compliance Database'!$K1069&amp;" "&amp;'Compliance Database'!$L1069&amp;" "&amp;'Compliance Database'!$M1069&amp;" "&amp;'Compliance Database'!$N1069&amp;" "&amp;'Compliance Database'!$O1069))),OR(Query!$B$10&lt;&gt;"Yes",'Compliance Database'!$F1069&lt;&gt;"None")),1,0)</f>
        <v>1</v>
      </c>
      <c r="B1069">
        <f>IF($A1069=1,SUM($A$2:$A1069),"")</f>
        <v>18</v>
      </c>
      <c r="C1069">
        <f>IF($A1069=1,SUM($A$2:$A1069),0)</f>
        <v>18</v>
      </c>
    </row>
    <row r="1070" spans="1:3" x14ac:dyDescent="0.3">
      <c r="A1070">
        <f>IF(AND(OR(Query!$B$4="All",'Compliance Database'!$A1070=Query!$B$4),OR(Query!$B$5="All",ISNUMBER(SEARCH(Query!$B$5,'Compliance Database'!$H1070))),OR(Query!$B$6="All",ISNUMBER(SEARCH(Query!$B$6,'Compliance Database'!$I1070))),OR(Query!$B$7="All",'Compliance Database'!$F1070=Query!$B$7),OR(Query!$B$8="All",'Compliance Database'!$J1070=Query!$B$8),OR(Query!$B$9="",ISNUMBER(SEARCH(Query!$B$9,'Compliance Database'!$D1070&amp;" "&amp;'Compliance Database'!$K1070&amp;" "&amp;'Compliance Database'!$L1070&amp;" "&amp;'Compliance Database'!$M1070&amp;" "&amp;'Compliance Database'!$N1070&amp;" "&amp;'Compliance Database'!$O1070))),OR(Query!$B$10&lt;&gt;"Yes",'Compliance Database'!$F1070&lt;&gt;"None")),1,0)</f>
        <v>1</v>
      </c>
      <c r="B1070">
        <f>IF($A1070=1,SUM($A$2:$A1070),"")</f>
        <v>19</v>
      </c>
      <c r="C1070">
        <f>IF($A1070=1,SUM($A$2:$A1070),0)</f>
        <v>19</v>
      </c>
    </row>
    <row r="1071" spans="1:3" x14ac:dyDescent="0.3">
      <c r="A1071">
        <f>IF(AND(OR(Query!$B$4="All",'Compliance Database'!$A1071=Query!$B$4),OR(Query!$B$5="All",ISNUMBER(SEARCH(Query!$B$5,'Compliance Database'!$H1071))),OR(Query!$B$6="All",ISNUMBER(SEARCH(Query!$B$6,'Compliance Database'!$I1071))),OR(Query!$B$7="All",'Compliance Database'!$F1071=Query!$B$7),OR(Query!$B$8="All",'Compliance Database'!$J1071=Query!$B$8),OR(Query!$B$9="",ISNUMBER(SEARCH(Query!$B$9,'Compliance Database'!$D1071&amp;" "&amp;'Compliance Database'!$K1071&amp;" "&amp;'Compliance Database'!$L1071&amp;" "&amp;'Compliance Database'!$M1071&amp;" "&amp;'Compliance Database'!$N1071&amp;" "&amp;'Compliance Database'!$O1071))),OR(Query!$B$10&lt;&gt;"Yes",'Compliance Database'!$F1071&lt;&gt;"None")),1,0)</f>
        <v>1</v>
      </c>
      <c r="B1071">
        <f>IF($A1071=1,SUM($A$2:$A1071),"")</f>
        <v>20</v>
      </c>
      <c r="C1071">
        <f>IF($A1071=1,SUM($A$2:$A1071),0)</f>
        <v>20</v>
      </c>
    </row>
    <row r="1072" spans="1:3" x14ac:dyDescent="0.3">
      <c r="A1072">
        <f>IF(AND(OR(Query!$B$4="All",'Compliance Database'!$A1072=Query!$B$4),OR(Query!$B$5="All",ISNUMBER(SEARCH(Query!$B$5,'Compliance Database'!$H1072))),OR(Query!$B$6="All",ISNUMBER(SEARCH(Query!$B$6,'Compliance Database'!$I1072))),OR(Query!$B$7="All",'Compliance Database'!$F1072=Query!$B$7),OR(Query!$B$8="All",'Compliance Database'!$J1072=Query!$B$8),OR(Query!$B$9="",ISNUMBER(SEARCH(Query!$B$9,'Compliance Database'!$D1072&amp;" "&amp;'Compliance Database'!$K1072&amp;" "&amp;'Compliance Database'!$L1072&amp;" "&amp;'Compliance Database'!$M1072&amp;" "&amp;'Compliance Database'!$N1072&amp;" "&amp;'Compliance Database'!$O1072))),OR(Query!$B$10&lt;&gt;"Yes",'Compliance Database'!$F1072&lt;&gt;"None")),1,0)</f>
        <v>1</v>
      </c>
      <c r="B1072">
        <f>IF($A1072=1,SUM($A$2:$A1072),"")</f>
        <v>21</v>
      </c>
      <c r="C1072">
        <f>IF($A1072=1,SUM($A$2:$A1072),0)</f>
        <v>21</v>
      </c>
    </row>
    <row r="1073" spans="1:3" x14ac:dyDescent="0.3">
      <c r="A1073">
        <f>IF(AND(OR(Query!$B$4="All",'Compliance Database'!$A1073=Query!$B$4),OR(Query!$B$5="All",ISNUMBER(SEARCH(Query!$B$5,'Compliance Database'!$H1073))),OR(Query!$B$6="All",ISNUMBER(SEARCH(Query!$B$6,'Compliance Database'!$I1073))),OR(Query!$B$7="All",'Compliance Database'!$F1073=Query!$B$7),OR(Query!$B$8="All",'Compliance Database'!$J1073=Query!$B$8),OR(Query!$B$9="",ISNUMBER(SEARCH(Query!$B$9,'Compliance Database'!$D1073&amp;" "&amp;'Compliance Database'!$K1073&amp;" "&amp;'Compliance Database'!$L1073&amp;" "&amp;'Compliance Database'!$M1073&amp;" "&amp;'Compliance Database'!$N1073&amp;" "&amp;'Compliance Database'!$O1073))),OR(Query!$B$10&lt;&gt;"Yes",'Compliance Database'!$F1073&lt;&gt;"None")),1,0)</f>
        <v>1</v>
      </c>
      <c r="B1073">
        <f>IF($A1073=1,SUM($A$2:$A1073),"")</f>
        <v>22</v>
      </c>
      <c r="C1073">
        <f>IF($A1073=1,SUM($A$2:$A1073),0)</f>
        <v>22</v>
      </c>
    </row>
    <row r="1074" spans="1:3" x14ac:dyDescent="0.3">
      <c r="A1074">
        <f>IF(AND(OR(Query!$B$4="All",'Compliance Database'!$A1074=Query!$B$4),OR(Query!$B$5="All",ISNUMBER(SEARCH(Query!$B$5,'Compliance Database'!$H1074))),OR(Query!$B$6="All",ISNUMBER(SEARCH(Query!$B$6,'Compliance Database'!$I1074))),OR(Query!$B$7="All",'Compliance Database'!$F1074=Query!$B$7),OR(Query!$B$8="All",'Compliance Database'!$J1074=Query!$B$8),OR(Query!$B$9="",ISNUMBER(SEARCH(Query!$B$9,'Compliance Database'!$D1074&amp;" "&amp;'Compliance Database'!$K1074&amp;" "&amp;'Compliance Database'!$L1074&amp;" "&amp;'Compliance Database'!$M1074&amp;" "&amp;'Compliance Database'!$N1074&amp;" "&amp;'Compliance Database'!$O1074))),OR(Query!$B$10&lt;&gt;"Yes",'Compliance Database'!$F1074&lt;&gt;"None")),1,0)</f>
        <v>1</v>
      </c>
      <c r="B1074">
        <f>IF($A1074=1,SUM($A$2:$A1074),"")</f>
        <v>23</v>
      </c>
      <c r="C1074">
        <f>IF($A1074=1,SUM($A$2:$A1074),0)</f>
        <v>23</v>
      </c>
    </row>
    <row r="1075" spans="1:3" x14ac:dyDescent="0.3">
      <c r="A1075">
        <f>IF(AND(OR(Query!$B$4="All",'Compliance Database'!$A1075=Query!$B$4),OR(Query!$B$5="All",ISNUMBER(SEARCH(Query!$B$5,'Compliance Database'!$H1075))),OR(Query!$B$6="All",ISNUMBER(SEARCH(Query!$B$6,'Compliance Database'!$I1075))),OR(Query!$B$7="All",'Compliance Database'!$F1075=Query!$B$7),OR(Query!$B$8="All",'Compliance Database'!$J1075=Query!$B$8),OR(Query!$B$9="",ISNUMBER(SEARCH(Query!$B$9,'Compliance Database'!$D1075&amp;" "&amp;'Compliance Database'!$K1075&amp;" "&amp;'Compliance Database'!$L1075&amp;" "&amp;'Compliance Database'!$M1075&amp;" "&amp;'Compliance Database'!$N1075&amp;" "&amp;'Compliance Database'!$O1075))),OR(Query!$B$10&lt;&gt;"Yes",'Compliance Database'!$F1075&lt;&gt;"None")),1,0)</f>
        <v>1</v>
      </c>
      <c r="B1075">
        <f>IF($A1075=1,SUM($A$2:$A1075),"")</f>
        <v>24</v>
      </c>
      <c r="C1075">
        <f>IF($A1075=1,SUM($A$2:$A1075),0)</f>
        <v>24</v>
      </c>
    </row>
    <row r="1076" spans="1:3" x14ac:dyDescent="0.3">
      <c r="A1076">
        <f>IF(AND(OR(Query!$B$4="All",'Compliance Database'!$A1076=Query!$B$4),OR(Query!$B$5="All",ISNUMBER(SEARCH(Query!$B$5,'Compliance Database'!$H1076))),OR(Query!$B$6="All",ISNUMBER(SEARCH(Query!$B$6,'Compliance Database'!$I1076))),OR(Query!$B$7="All",'Compliance Database'!$F1076=Query!$B$7),OR(Query!$B$8="All",'Compliance Database'!$J1076=Query!$B$8),OR(Query!$B$9="",ISNUMBER(SEARCH(Query!$B$9,'Compliance Database'!$D1076&amp;" "&amp;'Compliance Database'!$K1076&amp;" "&amp;'Compliance Database'!$L1076&amp;" "&amp;'Compliance Database'!$M1076&amp;" "&amp;'Compliance Database'!$N1076&amp;" "&amp;'Compliance Database'!$O1076))),OR(Query!$B$10&lt;&gt;"Yes",'Compliance Database'!$F1076&lt;&gt;"None")),1,0)</f>
        <v>1</v>
      </c>
      <c r="B1076">
        <f>IF($A1076=1,SUM($A$2:$A1076),"")</f>
        <v>25</v>
      </c>
      <c r="C1076">
        <f>IF($A1076=1,SUM($A$2:$A1076),0)</f>
        <v>25</v>
      </c>
    </row>
    <row r="1077" spans="1:3" x14ac:dyDescent="0.3">
      <c r="A1077">
        <f>IF(AND(OR(Query!$B$4="All",'Compliance Database'!$A1077=Query!$B$4),OR(Query!$B$5="All",ISNUMBER(SEARCH(Query!$B$5,'Compliance Database'!$H1077))),OR(Query!$B$6="All",ISNUMBER(SEARCH(Query!$B$6,'Compliance Database'!$I1077))),OR(Query!$B$7="All",'Compliance Database'!$F1077=Query!$B$7),OR(Query!$B$8="All",'Compliance Database'!$J1077=Query!$B$8),OR(Query!$B$9="",ISNUMBER(SEARCH(Query!$B$9,'Compliance Database'!$D1077&amp;" "&amp;'Compliance Database'!$K1077&amp;" "&amp;'Compliance Database'!$L1077&amp;" "&amp;'Compliance Database'!$M1077&amp;" "&amp;'Compliance Database'!$N1077&amp;" "&amp;'Compliance Database'!$O1077))),OR(Query!$B$10&lt;&gt;"Yes",'Compliance Database'!$F1077&lt;&gt;"None")),1,0)</f>
        <v>1</v>
      </c>
      <c r="B1077">
        <f>IF($A1077=1,SUM($A$2:$A1077),"")</f>
        <v>26</v>
      </c>
      <c r="C1077">
        <f>IF($A1077=1,SUM($A$2:$A1077),0)</f>
        <v>26</v>
      </c>
    </row>
    <row r="1078" spans="1:3" x14ac:dyDescent="0.3">
      <c r="A1078">
        <f>IF(AND(OR(Query!$B$4="All",'Compliance Database'!$A1078=Query!$B$4),OR(Query!$B$5="All",ISNUMBER(SEARCH(Query!$B$5,'Compliance Database'!$H1078))),OR(Query!$B$6="All",ISNUMBER(SEARCH(Query!$B$6,'Compliance Database'!$I1078))),OR(Query!$B$7="All",'Compliance Database'!$F1078=Query!$B$7),OR(Query!$B$8="All",'Compliance Database'!$J1078=Query!$B$8),OR(Query!$B$9="",ISNUMBER(SEARCH(Query!$B$9,'Compliance Database'!$D1078&amp;" "&amp;'Compliance Database'!$K1078&amp;" "&amp;'Compliance Database'!$L1078&amp;" "&amp;'Compliance Database'!$M1078&amp;" "&amp;'Compliance Database'!$N1078&amp;" "&amp;'Compliance Database'!$O1078))),OR(Query!$B$10&lt;&gt;"Yes",'Compliance Database'!$F1078&lt;&gt;"None")),1,0)</f>
        <v>1</v>
      </c>
      <c r="B1078">
        <f>IF($A1078=1,SUM($A$2:$A1078),"")</f>
        <v>27</v>
      </c>
      <c r="C1078">
        <f>IF($A1078=1,SUM($A$2:$A1078),0)</f>
        <v>27</v>
      </c>
    </row>
    <row r="1079" spans="1:3" x14ac:dyDescent="0.3">
      <c r="A1079">
        <f>IF(AND(OR(Query!$B$4="All",'Compliance Database'!$A1079=Query!$B$4),OR(Query!$B$5="All",ISNUMBER(SEARCH(Query!$B$5,'Compliance Database'!$H1079))),OR(Query!$B$6="All",ISNUMBER(SEARCH(Query!$B$6,'Compliance Database'!$I1079))),OR(Query!$B$7="All",'Compliance Database'!$F1079=Query!$B$7),OR(Query!$B$8="All",'Compliance Database'!$J1079=Query!$B$8),OR(Query!$B$9="",ISNUMBER(SEARCH(Query!$B$9,'Compliance Database'!$D1079&amp;" "&amp;'Compliance Database'!$K1079&amp;" "&amp;'Compliance Database'!$L1079&amp;" "&amp;'Compliance Database'!$M1079&amp;" "&amp;'Compliance Database'!$N1079&amp;" "&amp;'Compliance Database'!$O1079))),OR(Query!$B$10&lt;&gt;"Yes",'Compliance Database'!$F1079&lt;&gt;"None")),1,0)</f>
        <v>0</v>
      </c>
      <c r="B1079" t="str">
        <f>IF($A1079=1,SUM($A$2:$A1079),"")</f>
        <v/>
      </c>
      <c r="C1079">
        <f>IF($A1079=1,SUM($A$2:$A1079),0)</f>
        <v>0</v>
      </c>
    </row>
    <row r="1080" spans="1:3" x14ac:dyDescent="0.3">
      <c r="A1080">
        <f>IF(AND(OR(Query!$B$4="All",'Compliance Database'!$A1080=Query!$B$4),OR(Query!$B$5="All",ISNUMBER(SEARCH(Query!$B$5,'Compliance Database'!$H1080))),OR(Query!$B$6="All",ISNUMBER(SEARCH(Query!$B$6,'Compliance Database'!$I1080))),OR(Query!$B$7="All",'Compliance Database'!$F1080=Query!$B$7),OR(Query!$B$8="All",'Compliance Database'!$J1080=Query!$B$8),OR(Query!$B$9="",ISNUMBER(SEARCH(Query!$B$9,'Compliance Database'!$D1080&amp;" "&amp;'Compliance Database'!$K1080&amp;" "&amp;'Compliance Database'!$L1080&amp;" "&amp;'Compliance Database'!$M1080&amp;" "&amp;'Compliance Database'!$N1080&amp;" "&amp;'Compliance Database'!$O1080))),OR(Query!$B$10&lt;&gt;"Yes",'Compliance Database'!$F1080&lt;&gt;"None")),1,0)</f>
        <v>0</v>
      </c>
      <c r="B1080" t="str">
        <f>IF($A1080=1,SUM($A$2:$A1080),"")</f>
        <v/>
      </c>
      <c r="C1080">
        <f>IF($A1080=1,SUM($A$2:$A1080),0)</f>
        <v>0</v>
      </c>
    </row>
    <row r="1081" spans="1:3" x14ac:dyDescent="0.3">
      <c r="A1081">
        <f>IF(AND(OR(Query!$B$4="All",'Compliance Database'!$A1081=Query!$B$4),OR(Query!$B$5="All",ISNUMBER(SEARCH(Query!$B$5,'Compliance Database'!$H1081))),OR(Query!$B$6="All",ISNUMBER(SEARCH(Query!$B$6,'Compliance Database'!$I1081))),OR(Query!$B$7="All",'Compliance Database'!$F1081=Query!$B$7),OR(Query!$B$8="All",'Compliance Database'!$J1081=Query!$B$8),OR(Query!$B$9="",ISNUMBER(SEARCH(Query!$B$9,'Compliance Database'!$D1081&amp;" "&amp;'Compliance Database'!$K1081&amp;" "&amp;'Compliance Database'!$L1081&amp;" "&amp;'Compliance Database'!$M1081&amp;" "&amp;'Compliance Database'!$N1081&amp;" "&amp;'Compliance Database'!$O1081))),OR(Query!$B$10&lt;&gt;"Yes",'Compliance Database'!$F1081&lt;&gt;"None")),1,0)</f>
        <v>0</v>
      </c>
      <c r="B1081" t="str">
        <f>IF($A1081=1,SUM($A$2:$A1081),"")</f>
        <v/>
      </c>
      <c r="C1081">
        <f>IF($A1081=1,SUM($A$2:$A1081),0)</f>
        <v>0</v>
      </c>
    </row>
    <row r="1082" spans="1:3" x14ac:dyDescent="0.3">
      <c r="A1082">
        <f>IF(AND(OR(Query!$B$4="All",'Compliance Database'!$A1082=Query!$B$4),OR(Query!$B$5="All",ISNUMBER(SEARCH(Query!$B$5,'Compliance Database'!$H1082))),OR(Query!$B$6="All",ISNUMBER(SEARCH(Query!$B$6,'Compliance Database'!$I1082))),OR(Query!$B$7="All",'Compliance Database'!$F1082=Query!$B$7),OR(Query!$B$8="All",'Compliance Database'!$J1082=Query!$B$8),OR(Query!$B$9="",ISNUMBER(SEARCH(Query!$B$9,'Compliance Database'!$D1082&amp;" "&amp;'Compliance Database'!$K1082&amp;" "&amp;'Compliance Database'!$L1082&amp;" "&amp;'Compliance Database'!$M1082&amp;" "&amp;'Compliance Database'!$N1082&amp;" "&amp;'Compliance Database'!$O1082))),OR(Query!$B$10&lt;&gt;"Yes",'Compliance Database'!$F1082&lt;&gt;"None")),1,0)</f>
        <v>0</v>
      </c>
      <c r="B1082" t="str">
        <f>IF($A1082=1,SUM($A$2:$A1082),"")</f>
        <v/>
      </c>
      <c r="C1082">
        <f>IF($A1082=1,SUM($A$2:$A1082),0)</f>
        <v>0</v>
      </c>
    </row>
    <row r="1083" spans="1:3" x14ac:dyDescent="0.3">
      <c r="A1083">
        <f>IF(AND(OR(Query!$B$4="All",'Compliance Database'!$A1083=Query!$B$4),OR(Query!$B$5="All",ISNUMBER(SEARCH(Query!$B$5,'Compliance Database'!$H1083))),OR(Query!$B$6="All",ISNUMBER(SEARCH(Query!$B$6,'Compliance Database'!$I1083))),OR(Query!$B$7="All",'Compliance Database'!$F1083=Query!$B$7),OR(Query!$B$8="All",'Compliance Database'!$J1083=Query!$B$8),OR(Query!$B$9="",ISNUMBER(SEARCH(Query!$B$9,'Compliance Database'!$D1083&amp;" "&amp;'Compliance Database'!$K1083&amp;" "&amp;'Compliance Database'!$L1083&amp;" "&amp;'Compliance Database'!$M1083&amp;" "&amp;'Compliance Database'!$N1083&amp;" "&amp;'Compliance Database'!$O1083))),OR(Query!$B$10&lt;&gt;"Yes",'Compliance Database'!$F1083&lt;&gt;"None")),1,0)</f>
        <v>0</v>
      </c>
      <c r="B1083" t="str">
        <f>IF($A1083=1,SUM($A$2:$A1083),"")</f>
        <v/>
      </c>
      <c r="C1083">
        <f>IF($A1083=1,SUM($A$2:$A1083),0)</f>
        <v>0</v>
      </c>
    </row>
    <row r="1084" spans="1:3" x14ac:dyDescent="0.3">
      <c r="A1084">
        <f>IF(AND(OR(Query!$B$4="All",'Compliance Database'!$A1084=Query!$B$4),OR(Query!$B$5="All",ISNUMBER(SEARCH(Query!$B$5,'Compliance Database'!$H1084))),OR(Query!$B$6="All",ISNUMBER(SEARCH(Query!$B$6,'Compliance Database'!$I1084))),OR(Query!$B$7="All",'Compliance Database'!$F1084=Query!$B$7),OR(Query!$B$8="All",'Compliance Database'!$J1084=Query!$B$8),OR(Query!$B$9="",ISNUMBER(SEARCH(Query!$B$9,'Compliance Database'!$D1084&amp;" "&amp;'Compliance Database'!$K1084&amp;" "&amp;'Compliance Database'!$L1084&amp;" "&amp;'Compliance Database'!$M1084&amp;" "&amp;'Compliance Database'!$N1084&amp;" "&amp;'Compliance Database'!$O1084))),OR(Query!$B$10&lt;&gt;"Yes",'Compliance Database'!$F1084&lt;&gt;"None")),1,0)</f>
        <v>0</v>
      </c>
      <c r="B1084" t="str">
        <f>IF($A1084=1,SUM($A$2:$A1084),"")</f>
        <v/>
      </c>
      <c r="C1084">
        <f>IF($A1084=1,SUM($A$2:$A1084),0)</f>
        <v>0</v>
      </c>
    </row>
    <row r="1085" spans="1:3" x14ac:dyDescent="0.3">
      <c r="A1085">
        <f>IF(AND(OR(Query!$B$4="All",'Compliance Database'!$A1085=Query!$B$4),OR(Query!$B$5="All",ISNUMBER(SEARCH(Query!$B$5,'Compliance Database'!$H1085))),OR(Query!$B$6="All",ISNUMBER(SEARCH(Query!$B$6,'Compliance Database'!$I1085))),OR(Query!$B$7="All",'Compliance Database'!$F1085=Query!$B$7),OR(Query!$B$8="All",'Compliance Database'!$J1085=Query!$B$8),OR(Query!$B$9="",ISNUMBER(SEARCH(Query!$B$9,'Compliance Database'!$D1085&amp;" "&amp;'Compliance Database'!$K1085&amp;" "&amp;'Compliance Database'!$L1085&amp;" "&amp;'Compliance Database'!$M1085&amp;" "&amp;'Compliance Database'!$N1085&amp;" "&amp;'Compliance Database'!$O1085))),OR(Query!$B$10&lt;&gt;"Yes",'Compliance Database'!$F1085&lt;&gt;"None")),1,0)</f>
        <v>0</v>
      </c>
      <c r="B1085" t="str">
        <f>IF($A1085=1,SUM($A$2:$A1085),"")</f>
        <v/>
      </c>
      <c r="C1085">
        <f>IF($A1085=1,SUM($A$2:$A1085),0)</f>
        <v>0</v>
      </c>
    </row>
    <row r="1086" spans="1:3" x14ac:dyDescent="0.3">
      <c r="A1086">
        <f>IF(AND(OR(Query!$B$4="All",'Compliance Database'!$A1086=Query!$B$4),OR(Query!$B$5="All",ISNUMBER(SEARCH(Query!$B$5,'Compliance Database'!$H1086))),OR(Query!$B$6="All",ISNUMBER(SEARCH(Query!$B$6,'Compliance Database'!$I1086))),OR(Query!$B$7="All",'Compliance Database'!$F1086=Query!$B$7),OR(Query!$B$8="All",'Compliance Database'!$J1086=Query!$B$8),OR(Query!$B$9="",ISNUMBER(SEARCH(Query!$B$9,'Compliance Database'!$D1086&amp;" "&amp;'Compliance Database'!$K1086&amp;" "&amp;'Compliance Database'!$L1086&amp;" "&amp;'Compliance Database'!$M1086&amp;" "&amp;'Compliance Database'!$N1086&amp;" "&amp;'Compliance Database'!$O1086))),OR(Query!$B$10&lt;&gt;"Yes",'Compliance Database'!$F1086&lt;&gt;"None")),1,0)</f>
        <v>0</v>
      </c>
      <c r="B1086" t="str">
        <f>IF($A1086=1,SUM($A$2:$A1086),"")</f>
        <v/>
      </c>
      <c r="C1086">
        <f>IF($A1086=1,SUM($A$2:$A1086),0)</f>
        <v>0</v>
      </c>
    </row>
    <row r="1087" spans="1:3" x14ac:dyDescent="0.3">
      <c r="A1087">
        <f>IF(AND(OR(Query!$B$4="All",'Compliance Database'!$A1087=Query!$B$4),OR(Query!$B$5="All",ISNUMBER(SEARCH(Query!$B$5,'Compliance Database'!$H1087))),OR(Query!$B$6="All",ISNUMBER(SEARCH(Query!$B$6,'Compliance Database'!$I1087))),OR(Query!$B$7="All",'Compliance Database'!$F1087=Query!$B$7),OR(Query!$B$8="All",'Compliance Database'!$J1087=Query!$B$8),OR(Query!$B$9="",ISNUMBER(SEARCH(Query!$B$9,'Compliance Database'!$D1087&amp;" "&amp;'Compliance Database'!$K1087&amp;" "&amp;'Compliance Database'!$L1087&amp;" "&amp;'Compliance Database'!$M1087&amp;" "&amp;'Compliance Database'!$N1087&amp;" "&amp;'Compliance Database'!$O1087))),OR(Query!$B$10&lt;&gt;"Yes",'Compliance Database'!$F1087&lt;&gt;"None")),1,0)</f>
        <v>0</v>
      </c>
      <c r="B1087" t="str">
        <f>IF($A1087=1,SUM($A$2:$A1087),"")</f>
        <v/>
      </c>
      <c r="C1087">
        <f>IF($A1087=1,SUM($A$2:$A1087),0)</f>
        <v>0</v>
      </c>
    </row>
    <row r="1088" spans="1:3" x14ac:dyDescent="0.3">
      <c r="A1088">
        <f>IF(AND(OR(Query!$B$4="All",'Compliance Database'!$A1088=Query!$B$4),OR(Query!$B$5="All",ISNUMBER(SEARCH(Query!$B$5,'Compliance Database'!$H1088))),OR(Query!$B$6="All",ISNUMBER(SEARCH(Query!$B$6,'Compliance Database'!$I1088))),OR(Query!$B$7="All",'Compliance Database'!$F1088=Query!$B$7),OR(Query!$B$8="All",'Compliance Database'!$J1088=Query!$B$8),OR(Query!$B$9="",ISNUMBER(SEARCH(Query!$B$9,'Compliance Database'!$D1088&amp;" "&amp;'Compliance Database'!$K1088&amp;" "&amp;'Compliance Database'!$L1088&amp;" "&amp;'Compliance Database'!$M1088&amp;" "&amp;'Compliance Database'!$N1088&amp;" "&amp;'Compliance Database'!$O1088))),OR(Query!$B$10&lt;&gt;"Yes",'Compliance Database'!$F1088&lt;&gt;"None")),1,0)</f>
        <v>0</v>
      </c>
      <c r="B1088" t="str">
        <f>IF($A1088=1,SUM($A$2:$A1088),"")</f>
        <v/>
      </c>
      <c r="C1088">
        <f>IF($A1088=1,SUM($A$2:$A1088),0)</f>
        <v>0</v>
      </c>
    </row>
    <row r="1089" spans="1:3" x14ac:dyDescent="0.3">
      <c r="A1089">
        <f>IF(AND(OR(Query!$B$4="All",'Compliance Database'!$A1089=Query!$B$4),OR(Query!$B$5="All",ISNUMBER(SEARCH(Query!$B$5,'Compliance Database'!$H1089))),OR(Query!$B$6="All",ISNUMBER(SEARCH(Query!$B$6,'Compliance Database'!$I1089))),OR(Query!$B$7="All",'Compliance Database'!$F1089=Query!$B$7),OR(Query!$B$8="All",'Compliance Database'!$J1089=Query!$B$8),OR(Query!$B$9="",ISNUMBER(SEARCH(Query!$B$9,'Compliance Database'!$D1089&amp;" "&amp;'Compliance Database'!$K1089&amp;" "&amp;'Compliance Database'!$L1089&amp;" "&amp;'Compliance Database'!$M1089&amp;" "&amp;'Compliance Database'!$N1089&amp;" "&amp;'Compliance Database'!$O1089))),OR(Query!$B$10&lt;&gt;"Yes",'Compliance Database'!$F1089&lt;&gt;"None")),1,0)</f>
        <v>0</v>
      </c>
      <c r="B1089" t="str">
        <f>IF($A1089=1,SUM($A$2:$A1089),"")</f>
        <v/>
      </c>
      <c r="C1089">
        <f>IF($A1089=1,SUM($A$2:$A1089),0)</f>
        <v>0</v>
      </c>
    </row>
    <row r="1090" spans="1:3" x14ac:dyDescent="0.3">
      <c r="A1090">
        <f>IF(AND(OR(Query!$B$4="All",'Compliance Database'!$A1090=Query!$B$4),OR(Query!$B$5="All",ISNUMBER(SEARCH(Query!$B$5,'Compliance Database'!$H1090))),OR(Query!$B$6="All",ISNUMBER(SEARCH(Query!$B$6,'Compliance Database'!$I1090))),OR(Query!$B$7="All",'Compliance Database'!$F1090=Query!$B$7),OR(Query!$B$8="All",'Compliance Database'!$J1090=Query!$B$8),OR(Query!$B$9="",ISNUMBER(SEARCH(Query!$B$9,'Compliance Database'!$D1090&amp;" "&amp;'Compliance Database'!$K1090&amp;" "&amp;'Compliance Database'!$L1090&amp;" "&amp;'Compliance Database'!$M1090&amp;" "&amp;'Compliance Database'!$N1090&amp;" "&amp;'Compliance Database'!$O1090))),OR(Query!$B$10&lt;&gt;"Yes",'Compliance Database'!$F1090&lt;&gt;"None")),1,0)</f>
        <v>0</v>
      </c>
      <c r="B1090" t="str">
        <f>IF($A1090=1,SUM($A$2:$A1090),"")</f>
        <v/>
      </c>
      <c r="C1090">
        <f>IF($A1090=1,SUM($A$2:$A1090),0)</f>
        <v>0</v>
      </c>
    </row>
    <row r="1091" spans="1:3" x14ac:dyDescent="0.3">
      <c r="A1091">
        <f>IF(AND(OR(Query!$B$4="All",'Compliance Database'!$A1091=Query!$B$4),OR(Query!$B$5="All",ISNUMBER(SEARCH(Query!$B$5,'Compliance Database'!$H1091))),OR(Query!$B$6="All",ISNUMBER(SEARCH(Query!$B$6,'Compliance Database'!$I1091))),OR(Query!$B$7="All",'Compliance Database'!$F1091=Query!$B$7),OR(Query!$B$8="All",'Compliance Database'!$J1091=Query!$B$8),OR(Query!$B$9="",ISNUMBER(SEARCH(Query!$B$9,'Compliance Database'!$D1091&amp;" "&amp;'Compliance Database'!$K1091&amp;" "&amp;'Compliance Database'!$L1091&amp;" "&amp;'Compliance Database'!$M1091&amp;" "&amp;'Compliance Database'!$N1091&amp;" "&amp;'Compliance Database'!$O1091))),OR(Query!$B$10&lt;&gt;"Yes",'Compliance Database'!$F1091&lt;&gt;"None")),1,0)</f>
        <v>0</v>
      </c>
      <c r="B1091" t="str">
        <f>IF($A1091=1,SUM($A$2:$A1091),"")</f>
        <v/>
      </c>
      <c r="C1091">
        <f>IF($A1091=1,SUM($A$2:$A1091),0)</f>
        <v>0</v>
      </c>
    </row>
    <row r="1092" spans="1:3" x14ac:dyDescent="0.3">
      <c r="A1092">
        <f>IF(AND(OR(Query!$B$4="All",'Compliance Database'!$A1092=Query!$B$4),OR(Query!$B$5="All",ISNUMBER(SEARCH(Query!$B$5,'Compliance Database'!$H1092))),OR(Query!$B$6="All",ISNUMBER(SEARCH(Query!$B$6,'Compliance Database'!$I1092))),OR(Query!$B$7="All",'Compliance Database'!$F1092=Query!$B$7),OR(Query!$B$8="All",'Compliance Database'!$J1092=Query!$B$8),OR(Query!$B$9="",ISNUMBER(SEARCH(Query!$B$9,'Compliance Database'!$D1092&amp;" "&amp;'Compliance Database'!$K1092&amp;" "&amp;'Compliance Database'!$L1092&amp;" "&amp;'Compliance Database'!$M1092&amp;" "&amp;'Compliance Database'!$N1092&amp;" "&amp;'Compliance Database'!$O1092))),OR(Query!$B$10&lt;&gt;"Yes",'Compliance Database'!$F1092&lt;&gt;"None")),1,0)</f>
        <v>0</v>
      </c>
      <c r="B1092" t="str">
        <f>IF($A1092=1,SUM($A$2:$A1092),"")</f>
        <v/>
      </c>
      <c r="C1092">
        <f>IF($A1092=1,SUM($A$2:$A1092),0)</f>
        <v>0</v>
      </c>
    </row>
    <row r="1093" spans="1:3" x14ac:dyDescent="0.3">
      <c r="A1093">
        <f>IF(AND(OR(Query!$B$4="All",'Compliance Database'!$A1093=Query!$B$4),OR(Query!$B$5="All",ISNUMBER(SEARCH(Query!$B$5,'Compliance Database'!$H1093))),OR(Query!$B$6="All",ISNUMBER(SEARCH(Query!$B$6,'Compliance Database'!$I1093))),OR(Query!$B$7="All",'Compliance Database'!$F1093=Query!$B$7),OR(Query!$B$8="All",'Compliance Database'!$J1093=Query!$B$8),OR(Query!$B$9="",ISNUMBER(SEARCH(Query!$B$9,'Compliance Database'!$D1093&amp;" "&amp;'Compliance Database'!$K1093&amp;" "&amp;'Compliance Database'!$L1093&amp;" "&amp;'Compliance Database'!$M1093&amp;" "&amp;'Compliance Database'!$N1093&amp;" "&amp;'Compliance Database'!$O1093))),OR(Query!$B$10&lt;&gt;"Yes",'Compliance Database'!$F1093&lt;&gt;"None")),1,0)</f>
        <v>0</v>
      </c>
      <c r="B1093" t="str">
        <f>IF($A1093=1,SUM($A$2:$A1093),"")</f>
        <v/>
      </c>
      <c r="C1093">
        <f>IF($A1093=1,SUM($A$2:$A1093),0)</f>
        <v>0</v>
      </c>
    </row>
    <row r="1094" spans="1:3" x14ac:dyDescent="0.3">
      <c r="A1094">
        <f>IF(AND(OR(Query!$B$4="All",'Compliance Database'!$A1094=Query!$B$4),OR(Query!$B$5="All",ISNUMBER(SEARCH(Query!$B$5,'Compliance Database'!$H1094))),OR(Query!$B$6="All",ISNUMBER(SEARCH(Query!$B$6,'Compliance Database'!$I1094))),OR(Query!$B$7="All",'Compliance Database'!$F1094=Query!$B$7),OR(Query!$B$8="All",'Compliance Database'!$J1094=Query!$B$8),OR(Query!$B$9="",ISNUMBER(SEARCH(Query!$B$9,'Compliance Database'!$D1094&amp;" "&amp;'Compliance Database'!$K1094&amp;" "&amp;'Compliance Database'!$L1094&amp;" "&amp;'Compliance Database'!$M1094&amp;" "&amp;'Compliance Database'!$N1094&amp;" "&amp;'Compliance Database'!$O1094))),OR(Query!$B$10&lt;&gt;"Yes",'Compliance Database'!$F1094&lt;&gt;"None")),1,0)</f>
        <v>0</v>
      </c>
      <c r="B1094" t="str">
        <f>IF($A1094=1,SUM($A$2:$A1094),"")</f>
        <v/>
      </c>
      <c r="C1094">
        <f>IF($A1094=1,SUM($A$2:$A1094),0)</f>
        <v>0</v>
      </c>
    </row>
    <row r="1095" spans="1:3" x14ac:dyDescent="0.3">
      <c r="A1095">
        <f>IF(AND(OR(Query!$B$4="All",'Compliance Database'!$A1095=Query!$B$4),OR(Query!$B$5="All",ISNUMBER(SEARCH(Query!$B$5,'Compliance Database'!$H1095))),OR(Query!$B$6="All",ISNUMBER(SEARCH(Query!$B$6,'Compliance Database'!$I1095))),OR(Query!$B$7="All",'Compliance Database'!$F1095=Query!$B$7),OR(Query!$B$8="All",'Compliance Database'!$J1095=Query!$B$8),OR(Query!$B$9="",ISNUMBER(SEARCH(Query!$B$9,'Compliance Database'!$D1095&amp;" "&amp;'Compliance Database'!$K1095&amp;" "&amp;'Compliance Database'!$L1095&amp;" "&amp;'Compliance Database'!$M1095&amp;" "&amp;'Compliance Database'!$N1095&amp;" "&amp;'Compliance Database'!$O1095))),OR(Query!$B$10&lt;&gt;"Yes",'Compliance Database'!$F1095&lt;&gt;"None")),1,0)</f>
        <v>0</v>
      </c>
      <c r="B1095" t="str">
        <f>IF($A1095=1,SUM($A$2:$A1095),"")</f>
        <v/>
      </c>
      <c r="C1095">
        <f>IF($A1095=1,SUM($A$2:$A1095),0)</f>
        <v>0</v>
      </c>
    </row>
    <row r="1096" spans="1:3" x14ac:dyDescent="0.3">
      <c r="A1096">
        <f>IF(AND(OR(Query!$B$4="All",'Compliance Database'!$A1096=Query!$B$4),OR(Query!$B$5="All",ISNUMBER(SEARCH(Query!$B$5,'Compliance Database'!$H1096))),OR(Query!$B$6="All",ISNUMBER(SEARCH(Query!$B$6,'Compliance Database'!$I1096))),OR(Query!$B$7="All",'Compliance Database'!$F1096=Query!$B$7),OR(Query!$B$8="All",'Compliance Database'!$J1096=Query!$B$8),OR(Query!$B$9="",ISNUMBER(SEARCH(Query!$B$9,'Compliance Database'!$D1096&amp;" "&amp;'Compliance Database'!$K1096&amp;" "&amp;'Compliance Database'!$L1096&amp;" "&amp;'Compliance Database'!$M1096&amp;" "&amp;'Compliance Database'!$N1096&amp;" "&amp;'Compliance Database'!$O1096))),OR(Query!$B$10&lt;&gt;"Yes",'Compliance Database'!$F1096&lt;&gt;"None")),1,0)</f>
        <v>0</v>
      </c>
      <c r="B1096" t="str">
        <f>IF($A1096=1,SUM($A$2:$A1096),"")</f>
        <v/>
      </c>
      <c r="C1096">
        <f>IF($A1096=1,SUM($A$2:$A1096),0)</f>
        <v>0</v>
      </c>
    </row>
    <row r="1097" spans="1:3" x14ac:dyDescent="0.3">
      <c r="A1097">
        <f>IF(AND(OR(Query!$B$4="All",'Compliance Database'!$A1097=Query!$B$4),OR(Query!$B$5="All",ISNUMBER(SEARCH(Query!$B$5,'Compliance Database'!$H1097))),OR(Query!$B$6="All",ISNUMBER(SEARCH(Query!$B$6,'Compliance Database'!$I1097))),OR(Query!$B$7="All",'Compliance Database'!$F1097=Query!$B$7),OR(Query!$B$8="All",'Compliance Database'!$J1097=Query!$B$8),OR(Query!$B$9="",ISNUMBER(SEARCH(Query!$B$9,'Compliance Database'!$D1097&amp;" "&amp;'Compliance Database'!$K1097&amp;" "&amp;'Compliance Database'!$L1097&amp;" "&amp;'Compliance Database'!$M1097&amp;" "&amp;'Compliance Database'!$N1097&amp;" "&amp;'Compliance Database'!$O1097))),OR(Query!$B$10&lt;&gt;"Yes",'Compliance Database'!$F1097&lt;&gt;"None")),1,0)</f>
        <v>0</v>
      </c>
      <c r="B1097" t="str">
        <f>IF($A1097=1,SUM($A$2:$A1097),"")</f>
        <v/>
      </c>
      <c r="C1097">
        <f>IF($A1097=1,SUM($A$2:$A1097),0)</f>
        <v>0</v>
      </c>
    </row>
    <row r="1098" spans="1:3" x14ac:dyDescent="0.3">
      <c r="A1098">
        <f>IF(AND(OR(Query!$B$4="All",'Compliance Database'!$A1098=Query!$B$4),OR(Query!$B$5="All",ISNUMBER(SEARCH(Query!$B$5,'Compliance Database'!$H1098))),OR(Query!$B$6="All",ISNUMBER(SEARCH(Query!$B$6,'Compliance Database'!$I1098))),OR(Query!$B$7="All",'Compliance Database'!$F1098=Query!$B$7),OR(Query!$B$8="All",'Compliance Database'!$J1098=Query!$B$8),OR(Query!$B$9="",ISNUMBER(SEARCH(Query!$B$9,'Compliance Database'!$D1098&amp;" "&amp;'Compliance Database'!$K1098&amp;" "&amp;'Compliance Database'!$L1098&amp;" "&amp;'Compliance Database'!$M1098&amp;" "&amp;'Compliance Database'!$N1098&amp;" "&amp;'Compliance Database'!$O1098))),OR(Query!$B$10&lt;&gt;"Yes",'Compliance Database'!$F1098&lt;&gt;"None")),1,0)</f>
        <v>0</v>
      </c>
      <c r="B1098" t="str">
        <f>IF($A1098=1,SUM($A$2:$A1098),"")</f>
        <v/>
      </c>
      <c r="C1098">
        <f>IF($A1098=1,SUM($A$2:$A1098),0)</f>
        <v>0</v>
      </c>
    </row>
    <row r="1099" spans="1:3" x14ac:dyDescent="0.3">
      <c r="A1099">
        <f>IF(AND(OR(Query!$B$4="All",'Compliance Database'!$A1099=Query!$B$4),OR(Query!$B$5="All",ISNUMBER(SEARCH(Query!$B$5,'Compliance Database'!$H1099))),OR(Query!$B$6="All",ISNUMBER(SEARCH(Query!$B$6,'Compliance Database'!$I1099))),OR(Query!$B$7="All",'Compliance Database'!$F1099=Query!$B$7),OR(Query!$B$8="All",'Compliance Database'!$J1099=Query!$B$8),OR(Query!$B$9="",ISNUMBER(SEARCH(Query!$B$9,'Compliance Database'!$D1099&amp;" "&amp;'Compliance Database'!$K1099&amp;" "&amp;'Compliance Database'!$L1099&amp;" "&amp;'Compliance Database'!$M1099&amp;" "&amp;'Compliance Database'!$N1099&amp;" "&amp;'Compliance Database'!$O1099))),OR(Query!$B$10&lt;&gt;"Yes",'Compliance Database'!$F1099&lt;&gt;"None")),1,0)</f>
        <v>0</v>
      </c>
      <c r="B1099" t="str">
        <f>IF($A1099=1,SUM($A$2:$A1099),"")</f>
        <v/>
      </c>
      <c r="C1099">
        <f>IF($A1099=1,SUM($A$2:$A1099),0)</f>
        <v>0</v>
      </c>
    </row>
    <row r="1100" spans="1:3" x14ac:dyDescent="0.3">
      <c r="A1100">
        <f>IF(AND(OR(Query!$B$4="All",'Compliance Database'!$A1100=Query!$B$4),OR(Query!$B$5="All",ISNUMBER(SEARCH(Query!$B$5,'Compliance Database'!$H1100))),OR(Query!$B$6="All",ISNUMBER(SEARCH(Query!$B$6,'Compliance Database'!$I1100))),OR(Query!$B$7="All",'Compliance Database'!$F1100=Query!$B$7),OR(Query!$B$8="All",'Compliance Database'!$J1100=Query!$B$8),OR(Query!$B$9="",ISNUMBER(SEARCH(Query!$B$9,'Compliance Database'!$D1100&amp;" "&amp;'Compliance Database'!$K1100&amp;" "&amp;'Compliance Database'!$L1100&amp;" "&amp;'Compliance Database'!$M1100&amp;" "&amp;'Compliance Database'!$N1100&amp;" "&amp;'Compliance Database'!$O1100))),OR(Query!$B$10&lt;&gt;"Yes",'Compliance Database'!$F1100&lt;&gt;"None")),1,0)</f>
        <v>0</v>
      </c>
      <c r="B1100" t="str">
        <f>IF($A1100=1,SUM($A$2:$A1100),"")</f>
        <v/>
      </c>
      <c r="C1100">
        <f>IF($A1100=1,SUM($A$2:$A1100),0)</f>
        <v>0</v>
      </c>
    </row>
    <row r="1101" spans="1:3" x14ac:dyDescent="0.3">
      <c r="A1101">
        <f>IF(AND(OR(Query!$B$4="All",'Compliance Database'!$A1101=Query!$B$4),OR(Query!$B$5="All",ISNUMBER(SEARCH(Query!$B$5,'Compliance Database'!$H1101))),OR(Query!$B$6="All",ISNUMBER(SEARCH(Query!$B$6,'Compliance Database'!$I1101))),OR(Query!$B$7="All",'Compliance Database'!$F1101=Query!$B$7),OR(Query!$B$8="All",'Compliance Database'!$J1101=Query!$B$8),OR(Query!$B$9="",ISNUMBER(SEARCH(Query!$B$9,'Compliance Database'!$D1101&amp;" "&amp;'Compliance Database'!$K1101&amp;" "&amp;'Compliance Database'!$L1101&amp;" "&amp;'Compliance Database'!$M1101&amp;" "&amp;'Compliance Database'!$N1101&amp;" "&amp;'Compliance Database'!$O1101))),OR(Query!$B$10&lt;&gt;"Yes",'Compliance Database'!$F1101&lt;&gt;"None")),1,0)</f>
        <v>0</v>
      </c>
      <c r="B1101" t="str">
        <f>IF($A1101=1,SUM($A$2:$A1101),"")</f>
        <v/>
      </c>
      <c r="C1101">
        <f>IF($A1101=1,SUM($A$2:$A1101),0)</f>
        <v>0</v>
      </c>
    </row>
    <row r="1102" spans="1:3" x14ac:dyDescent="0.3">
      <c r="A1102">
        <f>IF(AND(OR(Query!$B$4="All",'Compliance Database'!$A1102=Query!$B$4),OR(Query!$B$5="All",ISNUMBER(SEARCH(Query!$B$5,'Compliance Database'!$H1102))),OR(Query!$B$6="All",ISNUMBER(SEARCH(Query!$B$6,'Compliance Database'!$I1102))),OR(Query!$B$7="All",'Compliance Database'!$F1102=Query!$B$7),OR(Query!$B$8="All",'Compliance Database'!$J1102=Query!$B$8),OR(Query!$B$9="",ISNUMBER(SEARCH(Query!$B$9,'Compliance Database'!$D1102&amp;" "&amp;'Compliance Database'!$K1102&amp;" "&amp;'Compliance Database'!$L1102&amp;" "&amp;'Compliance Database'!$M1102&amp;" "&amp;'Compliance Database'!$N1102&amp;" "&amp;'Compliance Database'!$O1102))),OR(Query!$B$10&lt;&gt;"Yes",'Compliance Database'!$F1102&lt;&gt;"None")),1,0)</f>
        <v>0</v>
      </c>
      <c r="B1102" t="str">
        <f>IF($A1102=1,SUM($A$2:$A1102),"")</f>
        <v/>
      </c>
      <c r="C1102">
        <f>IF($A1102=1,SUM($A$2:$A1102),0)</f>
        <v>0</v>
      </c>
    </row>
    <row r="1103" spans="1:3" x14ac:dyDescent="0.3">
      <c r="A1103">
        <f>IF(AND(OR(Query!$B$4="All",'Compliance Database'!$A1103=Query!$B$4),OR(Query!$B$5="All",ISNUMBER(SEARCH(Query!$B$5,'Compliance Database'!$H1103))),OR(Query!$B$6="All",ISNUMBER(SEARCH(Query!$B$6,'Compliance Database'!$I1103))),OR(Query!$B$7="All",'Compliance Database'!$F1103=Query!$B$7),OR(Query!$B$8="All",'Compliance Database'!$J1103=Query!$B$8),OR(Query!$B$9="",ISNUMBER(SEARCH(Query!$B$9,'Compliance Database'!$D1103&amp;" "&amp;'Compliance Database'!$K1103&amp;" "&amp;'Compliance Database'!$L1103&amp;" "&amp;'Compliance Database'!$M1103&amp;" "&amp;'Compliance Database'!$N1103&amp;" "&amp;'Compliance Database'!$O1103))),OR(Query!$B$10&lt;&gt;"Yes",'Compliance Database'!$F1103&lt;&gt;"None")),1,0)</f>
        <v>0</v>
      </c>
      <c r="B1103" t="str">
        <f>IF($A1103=1,SUM($A$2:$A1103),"")</f>
        <v/>
      </c>
      <c r="C1103">
        <f>IF($A1103=1,SUM($A$2:$A1103),0)</f>
        <v>0</v>
      </c>
    </row>
    <row r="1104" spans="1:3" x14ac:dyDescent="0.3">
      <c r="A1104">
        <f>IF(AND(OR(Query!$B$4="All",'Compliance Database'!$A1104=Query!$B$4),OR(Query!$B$5="All",ISNUMBER(SEARCH(Query!$B$5,'Compliance Database'!$H1104))),OR(Query!$B$6="All",ISNUMBER(SEARCH(Query!$B$6,'Compliance Database'!$I1104))),OR(Query!$B$7="All",'Compliance Database'!$F1104=Query!$B$7),OR(Query!$B$8="All",'Compliance Database'!$J1104=Query!$B$8),OR(Query!$B$9="",ISNUMBER(SEARCH(Query!$B$9,'Compliance Database'!$D1104&amp;" "&amp;'Compliance Database'!$K1104&amp;" "&amp;'Compliance Database'!$L1104&amp;" "&amp;'Compliance Database'!$M1104&amp;" "&amp;'Compliance Database'!$N1104&amp;" "&amp;'Compliance Database'!$O1104))),OR(Query!$B$10&lt;&gt;"Yes",'Compliance Database'!$F1104&lt;&gt;"None")),1,0)</f>
        <v>0</v>
      </c>
      <c r="B1104" t="str">
        <f>IF($A1104=1,SUM($A$2:$A1104),"")</f>
        <v/>
      </c>
      <c r="C1104">
        <f>IF($A1104=1,SUM($A$2:$A1104),0)</f>
        <v>0</v>
      </c>
    </row>
    <row r="1105" spans="1:3" x14ac:dyDescent="0.3">
      <c r="A1105">
        <f>IF(AND(OR(Query!$B$4="All",'Compliance Database'!$A1105=Query!$B$4),OR(Query!$B$5="All",ISNUMBER(SEARCH(Query!$B$5,'Compliance Database'!$H1105))),OR(Query!$B$6="All",ISNUMBER(SEARCH(Query!$B$6,'Compliance Database'!$I1105))),OR(Query!$B$7="All",'Compliance Database'!$F1105=Query!$B$7),OR(Query!$B$8="All",'Compliance Database'!$J1105=Query!$B$8),OR(Query!$B$9="",ISNUMBER(SEARCH(Query!$B$9,'Compliance Database'!$D1105&amp;" "&amp;'Compliance Database'!$K1105&amp;" "&amp;'Compliance Database'!$L1105&amp;" "&amp;'Compliance Database'!$M1105&amp;" "&amp;'Compliance Database'!$N1105&amp;" "&amp;'Compliance Database'!$O1105))),OR(Query!$B$10&lt;&gt;"Yes",'Compliance Database'!$F1105&lt;&gt;"None")),1,0)</f>
        <v>0</v>
      </c>
      <c r="B1105" t="str">
        <f>IF($A1105=1,SUM($A$2:$A1105),"")</f>
        <v/>
      </c>
      <c r="C1105">
        <f>IF($A1105=1,SUM($A$2:$A1105),0)</f>
        <v>0</v>
      </c>
    </row>
    <row r="1106" spans="1:3" x14ac:dyDescent="0.3">
      <c r="A1106">
        <f>IF(AND(OR(Query!$B$4="All",'Compliance Database'!$A1106=Query!$B$4),OR(Query!$B$5="All",ISNUMBER(SEARCH(Query!$B$5,'Compliance Database'!$H1106))),OR(Query!$B$6="All",ISNUMBER(SEARCH(Query!$B$6,'Compliance Database'!$I1106))),OR(Query!$B$7="All",'Compliance Database'!$F1106=Query!$B$7),OR(Query!$B$8="All",'Compliance Database'!$J1106=Query!$B$8),OR(Query!$B$9="",ISNUMBER(SEARCH(Query!$B$9,'Compliance Database'!$D1106&amp;" "&amp;'Compliance Database'!$K1106&amp;" "&amp;'Compliance Database'!$L1106&amp;" "&amp;'Compliance Database'!$M1106&amp;" "&amp;'Compliance Database'!$N1106&amp;" "&amp;'Compliance Database'!$O1106))),OR(Query!$B$10&lt;&gt;"Yes",'Compliance Database'!$F1106&lt;&gt;"None")),1,0)</f>
        <v>0</v>
      </c>
      <c r="B1106" t="str">
        <f>IF($A1106=1,SUM($A$2:$A1106),"")</f>
        <v/>
      </c>
      <c r="C1106">
        <f>IF($A1106=1,SUM($A$2:$A1106),0)</f>
        <v>0</v>
      </c>
    </row>
    <row r="1107" spans="1:3" x14ac:dyDescent="0.3">
      <c r="A1107">
        <f>IF(AND(OR(Query!$B$4="All",'Compliance Database'!$A1107=Query!$B$4),OR(Query!$B$5="All",ISNUMBER(SEARCH(Query!$B$5,'Compliance Database'!$H1107))),OR(Query!$B$6="All",ISNUMBER(SEARCH(Query!$B$6,'Compliance Database'!$I1107))),OR(Query!$B$7="All",'Compliance Database'!$F1107=Query!$B$7),OR(Query!$B$8="All",'Compliance Database'!$J1107=Query!$B$8),OR(Query!$B$9="",ISNUMBER(SEARCH(Query!$B$9,'Compliance Database'!$D1107&amp;" "&amp;'Compliance Database'!$K1107&amp;" "&amp;'Compliance Database'!$L1107&amp;" "&amp;'Compliance Database'!$M1107&amp;" "&amp;'Compliance Database'!$N1107&amp;" "&amp;'Compliance Database'!$O1107))),OR(Query!$B$10&lt;&gt;"Yes",'Compliance Database'!$F1107&lt;&gt;"None")),1,0)</f>
        <v>0</v>
      </c>
      <c r="B1107" t="str">
        <f>IF($A1107=1,SUM($A$2:$A1107),"")</f>
        <v/>
      </c>
      <c r="C1107">
        <f>IF($A1107=1,SUM($A$2:$A1107),0)</f>
        <v>0</v>
      </c>
    </row>
    <row r="1108" spans="1:3" x14ac:dyDescent="0.3">
      <c r="A1108">
        <f>IF(AND(OR(Query!$B$4="All",'Compliance Database'!$A1108=Query!$B$4),OR(Query!$B$5="All",ISNUMBER(SEARCH(Query!$B$5,'Compliance Database'!$H1108))),OR(Query!$B$6="All",ISNUMBER(SEARCH(Query!$B$6,'Compliance Database'!$I1108))),OR(Query!$B$7="All",'Compliance Database'!$F1108=Query!$B$7),OR(Query!$B$8="All",'Compliance Database'!$J1108=Query!$B$8),OR(Query!$B$9="",ISNUMBER(SEARCH(Query!$B$9,'Compliance Database'!$D1108&amp;" "&amp;'Compliance Database'!$K1108&amp;" "&amp;'Compliance Database'!$L1108&amp;" "&amp;'Compliance Database'!$M1108&amp;" "&amp;'Compliance Database'!$N1108&amp;" "&amp;'Compliance Database'!$O1108))),OR(Query!$B$10&lt;&gt;"Yes",'Compliance Database'!$F1108&lt;&gt;"None")),1,0)</f>
        <v>0</v>
      </c>
      <c r="B1108" t="str">
        <f>IF($A1108=1,SUM($A$2:$A1108),"")</f>
        <v/>
      </c>
      <c r="C1108">
        <f>IF($A1108=1,SUM($A$2:$A1108),0)</f>
        <v>0</v>
      </c>
    </row>
    <row r="1109" spans="1:3" x14ac:dyDescent="0.3">
      <c r="A1109">
        <f>IF(AND(OR(Query!$B$4="All",'Compliance Database'!$A1109=Query!$B$4),OR(Query!$B$5="All",ISNUMBER(SEARCH(Query!$B$5,'Compliance Database'!$H1109))),OR(Query!$B$6="All",ISNUMBER(SEARCH(Query!$B$6,'Compliance Database'!$I1109))),OR(Query!$B$7="All",'Compliance Database'!$F1109=Query!$B$7),OR(Query!$B$8="All",'Compliance Database'!$J1109=Query!$B$8),OR(Query!$B$9="",ISNUMBER(SEARCH(Query!$B$9,'Compliance Database'!$D1109&amp;" "&amp;'Compliance Database'!$K1109&amp;" "&amp;'Compliance Database'!$L1109&amp;" "&amp;'Compliance Database'!$M1109&amp;" "&amp;'Compliance Database'!$N1109&amp;" "&amp;'Compliance Database'!$O1109))),OR(Query!$B$10&lt;&gt;"Yes",'Compliance Database'!$F1109&lt;&gt;"None")),1,0)</f>
        <v>0</v>
      </c>
      <c r="B1109" t="str">
        <f>IF($A1109=1,SUM($A$2:$A1109),"")</f>
        <v/>
      </c>
      <c r="C1109">
        <f>IF($A1109=1,SUM($A$2:$A1109),0)</f>
        <v>0</v>
      </c>
    </row>
    <row r="1110" spans="1:3" x14ac:dyDescent="0.3">
      <c r="A1110">
        <f>IF(AND(OR(Query!$B$4="All",'Compliance Database'!$A1110=Query!$B$4),OR(Query!$B$5="All",ISNUMBER(SEARCH(Query!$B$5,'Compliance Database'!$H1110))),OR(Query!$B$6="All",ISNUMBER(SEARCH(Query!$B$6,'Compliance Database'!$I1110))),OR(Query!$B$7="All",'Compliance Database'!$F1110=Query!$B$7),OR(Query!$B$8="All",'Compliance Database'!$J1110=Query!$B$8),OR(Query!$B$9="",ISNUMBER(SEARCH(Query!$B$9,'Compliance Database'!$D1110&amp;" "&amp;'Compliance Database'!$K1110&amp;" "&amp;'Compliance Database'!$L1110&amp;" "&amp;'Compliance Database'!$M1110&amp;" "&amp;'Compliance Database'!$N1110&amp;" "&amp;'Compliance Database'!$O1110))),OR(Query!$B$10&lt;&gt;"Yes",'Compliance Database'!$F1110&lt;&gt;"None")),1,0)</f>
        <v>0</v>
      </c>
      <c r="B1110" t="str">
        <f>IF($A1110=1,SUM($A$2:$A1110),"")</f>
        <v/>
      </c>
      <c r="C1110">
        <f>IF($A1110=1,SUM($A$2:$A1110),0)</f>
        <v>0</v>
      </c>
    </row>
    <row r="1111" spans="1:3" x14ac:dyDescent="0.3">
      <c r="A1111">
        <f>IF(AND(OR(Query!$B$4="All",'Compliance Database'!$A1111=Query!$B$4),OR(Query!$B$5="All",ISNUMBER(SEARCH(Query!$B$5,'Compliance Database'!$H1111))),OR(Query!$B$6="All",ISNUMBER(SEARCH(Query!$B$6,'Compliance Database'!$I1111))),OR(Query!$B$7="All",'Compliance Database'!$F1111=Query!$B$7),OR(Query!$B$8="All",'Compliance Database'!$J1111=Query!$B$8),OR(Query!$B$9="",ISNUMBER(SEARCH(Query!$B$9,'Compliance Database'!$D1111&amp;" "&amp;'Compliance Database'!$K1111&amp;" "&amp;'Compliance Database'!$L1111&amp;" "&amp;'Compliance Database'!$M1111&amp;" "&amp;'Compliance Database'!$N1111&amp;" "&amp;'Compliance Database'!$O1111))),OR(Query!$B$10&lt;&gt;"Yes",'Compliance Database'!$F1111&lt;&gt;"None")),1,0)</f>
        <v>0</v>
      </c>
      <c r="B1111" t="str">
        <f>IF($A1111=1,SUM($A$2:$A1111),"")</f>
        <v/>
      </c>
      <c r="C1111">
        <f>IF($A1111=1,SUM($A$2:$A1111),0)</f>
        <v>0</v>
      </c>
    </row>
    <row r="1112" spans="1:3" x14ac:dyDescent="0.3">
      <c r="A1112">
        <f>IF(AND(OR(Query!$B$4="All",'Compliance Database'!$A1112=Query!$B$4),OR(Query!$B$5="All",ISNUMBER(SEARCH(Query!$B$5,'Compliance Database'!$H1112))),OR(Query!$B$6="All",ISNUMBER(SEARCH(Query!$B$6,'Compliance Database'!$I1112))),OR(Query!$B$7="All",'Compliance Database'!$F1112=Query!$B$7),OR(Query!$B$8="All",'Compliance Database'!$J1112=Query!$B$8),OR(Query!$B$9="",ISNUMBER(SEARCH(Query!$B$9,'Compliance Database'!$D1112&amp;" "&amp;'Compliance Database'!$K1112&amp;" "&amp;'Compliance Database'!$L1112&amp;" "&amp;'Compliance Database'!$M1112&amp;" "&amp;'Compliance Database'!$N1112&amp;" "&amp;'Compliance Database'!$O1112))),OR(Query!$B$10&lt;&gt;"Yes",'Compliance Database'!$F1112&lt;&gt;"None")),1,0)</f>
        <v>0</v>
      </c>
      <c r="B1112" t="str">
        <f>IF($A1112=1,SUM($A$2:$A1112),"")</f>
        <v/>
      </c>
      <c r="C1112">
        <f>IF($A1112=1,SUM($A$2:$A1112),0)</f>
        <v>0</v>
      </c>
    </row>
    <row r="1113" spans="1:3" x14ac:dyDescent="0.3">
      <c r="A1113">
        <f>IF(AND(OR(Query!$B$4="All",'Compliance Database'!$A1113=Query!$B$4),OR(Query!$B$5="All",ISNUMBER(SEARCH(Query!$B$5,'Compliance Database'!$H1113))),OR(Query!$B$6="All",ISNUMBER(SEARCH(Query!$B$6,'Compliance Database'!$I1113))),OR(Query!$B$7="All",'Compliance Database'!$F1113=Query!$B$7),OR(Query!$B$8="All",'Compliance Database'!$J1113=Query!$B$8),OR(Query!$B$9="",ISNUMBER(SEARCH(Query!$B$9,'Compliance Database'!$D1113&amp;" "&amp;'Compliance Database'!$K1113&amp;" "&amp;'Compliance Database'!$L1113&amp;" "&amp;'Compliance Database'!$M1113&amp;" "&amp;'Compliance Database'!$N1113&amp;" "&amp;'Compliance Database'!$O1113))),OR(Query!$B$10&lt;&gt;"Yes",'Compliance Database'!$F1113&lt;&gt;"None")),1,0)</f>
        <v>0</v>
      </c>
      <c r="B1113" t="str">
        <f>IF($A1113=1,SUM($A$2:$A1113),"")</f>
        <v/>
      </c>
      <c r="C1113">
        <f>IF($A1113=1,SUM($A$2:$A1113),0)</f>
        <v>0</v>
      </c>
    </row>
    <row r="1114" spans="1:3" x14ac:dyDescent="0.3">
      <c r="A1114">
        <f>IF(AND(OR(Query!$B$4="All",'Compliance Database'!$A1114=Query!$B$4),OR(Query!$B$5="All",ISNUMBER(SEARCH(Query!$B$5,'Compliance Database'!$H1114))),OR(Query!$B$6="All",ISNUMBER(SEARCH(Query!$B$6,'Compliance Database'!$I1114))),OR(Query!$B$7="All",'Compliance Database'!$F1114=Query!$B$7),OR(Query!$B$8="All",'Compliance Database'!$J1114=Query!$B$8),OR(Query!$B$9="",ISNUMBER(SEARCH(Query!$B$9,'Compliance Database'!$D1114&amp;" "&amp;'Compliance Database'!$K1114&amp;" "&amp;'Compliance Database'!$L1114&amp;" "&amp;'Compliance Database'!$M1114&amp;" "&amp;'Compliance Database'!$N1114&amp;" "&amp;'Compliance Database'!$O1114))),OR(Query!$B$10&lt;&gt;"Yes",'Compliance Database'!$F1114&lt;&gt;"None")),1,0)</f>
        <v>0</v>
      </c>
      <c r="B1114" t="str">
        <f>IF($A1114=1,SUM($A$2:$A1114),"")</f>
        <v/>
      </c>
      <c r="C1114">
        <f>IF($A1114=1,SUM($A$2:$A1114),0)</f>
        <v>0</v>
      </c>
    </row>
    <row r="1115" spans="1:3" x14ac:dyDescent="0.3">
      <c r="A1115">
        <f>IF(AND(OR(Query!$B$4="All",'Compliance Database'!$A1115=Query!$B$4),OR(Query!$B$5="All",ISNUMBER(SEARCH(Query!$B$5,'Compliance Database'!$H1115))),OR(Query!$B$6="All",ISNUMBER(SEARCH(Query!$B$6,'Compliance Database'!$I1115))),OR(Query!$B$7="All",'Compliance Database'!$F1115=Query!$B$7),OR(Query!$B$8="All",'Compliance Database'!$J1115=Query!$B$8),OR(Query!$B$9="",ISNUMBER(SEARCH(Query!$B$9,'Compliance Database'!$D1115&amp;" "&amp;'Compliance Database'!$K1115&amp;" "&amp;'Compliance Database'!$L1115&amp;" "&amp;'Compliance Database'!$M1115&amp;" "&amp;'Compliance Database'!$N1115&amp;" "&amp;'Compliance Database'!$O1115))),OR(Query!$B$10&lt;&gt;"Yes",'Compliance Database'!$F1115&lt;&gt;"None")),1,0)</f>
        <v>0</v>
      </c>
      <c r="B1115" t="str">
        <f>IF($A1115=1,SUM($A$2:$A1115),"")</f>
        <v/>
      </c>
      <c r="C1115">
        <f>IF($A1115=1,SUM($A$2:$A1115),0)</f>
        <v>0</v>
      </c>
    </row>
    <row r="1116" spans="1:3" x14ac:dyDescent="0.3">
      <c r="A1116">
        <f>IF(AND(OR(Query!$B$4="All",'Compliance Database'!$A1116=Query!$B$4),OR(Query!$B$5="All",ISNUMBER(SEARCH(Query!$B$5,'Compliance Database'!$H1116))),OR(Query!$B$6="All",ISNUMBER(SEARCH(Query!$B$6,'Compliance Database'!$I1116))),OR(Query!$B$7="All",'Compliance Database'!$F1116=Query!$B$7),OR(Query!$B$8="All",'Compliance Database'!$J1116=Query!$B$8),OR(Query!$B$9="",ISNUMBER(SEARCH(Query!$B$9,'Compliance Database'!$D1116&amp;" "&amp;'Compliance Database'!$K1116&amp;" "&amp;'Compliance Database'!$L1116&amp;" "&amp;'Compliance Database'!$M1116&amp;" "&amp;'Compliance Database'!$N1116&amp;" "&amp;'Compliance Database'!$O1116))),OR(Query!$B$10&lt;&gt;"Yes",'Compliance Database'!$F1116&lt;&gt;"None")),1,0)</f>
        <v>0</v>
      </c>
      <c r="B1116" t="str">
        <f>IF($A1116=1,SUM($A$2:$A1116),"")</f>
        <v/>
      </c>
      <c r="C1116">
        <f>IF($A1116=1,SUM($A$2:$A1116),0)</f>
        <v>0</v>
      </c>
    </row>
    <row r="1117" spans="1:3" x14ac:dyDescent="0.3">
      <c r="A1117">
        <f>IF(AND(OR(Query!$B$4="All",'Compliance Database'!$A1117=Query!$B$4),OR(Query!$B$5="All",ISNUMBER(SEARCH(Query!$B$5,'Compliance Database'!$H1117))),OR(Query!$B$6="All",ISNUMBER(SEARCH(Query!$B$6,'Compliance Database'!$I1117))),OR(Query!$B$7="All",'Compliance Database'!$F1117=Query!$B$7),OR(Query!$B$8="All",'Compliance Database'!$J1117=Query!$B$8),OR(Query!$B$9="",ISNUMBER(SEARCH(Query!$B$9,'Compliance Database'!$D1117&amp;" "&amp;'Compliance Database'!$K1117&amp;" "&amp;'Compliance Database'!$L1117&amp;" "&amp;'Compliance Database'!$M1117&amp;" "&amp;'Compliance Database'!$N1117&amp;" "&amp;'Compliance Database'!$O1117))),OR(Query!$B$10&lt;&gt;"Yes",'Compliance Database'!$F1117&lt;&gt;"None")),1,0)</f>
        <v>0</v>
      </c>
      <c r="B1117" t="str">
        <f>IF($A1117=1,SUM($A$2:$A1117),"")</f>
        <v/>
      </c>
      <c r="C1117">
        <f>IF($A1117=1,SUM($A$2:$A1117),0)</f>
        <v>0</v>
      </c>
    </row>
    <row r="1118" spans="1:3" x14ac:dyDescent="0.3">
      <c r="A1118">
        <f>IF(AND(OR(Query!$B$4="All",'Compliance Database'!$A1118=Query!$B$4),OR(Query!$B$5="All",ISNUMBER(SEARCH(Query!$B$5,'Compliance Database'!$H1118))),OR(Query!$B$6="All",ISNUMBER(SEARCH(Query!$B$6,'Compliance Database'!$I1118))),OR(Query!$B$7="All",'Compliance Database'!$F1118=Query!$B$7),OR(Query!$B$8="All",'Compliance Database'!$J1118=Query!$B$8),OR(Query!$B$9="",ISNUMBER(SEARCH(Query!$B$9,'Compliance Database'!$D1118&amp;" "&amp;'Compliance Database'!$K1118&amp;" "&amp;'Compliance Database'!$L1118&amp;" "&amp;'Compliance Database'!$M1118&amp;" "&amp;'Compliance Database'!$N1118&amp;" "&amp;'Compliance Database'!$O1118))),OR(Query!$B$10&lt;&gt;"Yes",'Compliance Database'!$F1118&lt;&gt;"None")),1,0)</f>
        <v>0</v>
      </c>
      <c r="B1118" t="str">
        <f>IF($A1118=1,SUM($A$2:$A1118),"")</f>
        <v/>
      </c>
      <c r="C1118">
        <f>IF($A1118=1,SUM($A$2:$A1118),0)</f>
        <v>0</v>
      </c>
    </row>
    <row r="1119" spans="1:3" x14ac:dyDescent="0.3">
      <c r="A1119">
        <f>IF(AND(OR(Query!$B$4="All",'Compliance Database'!$A1119=Query!$B$4),OR(Query!$B$5="All",ISNUMBER(SEARCH(Query!$B$5,'Compliance Database'!$H1119))),OR(Query!$B$6="All",ISNUMBER(SEARCH(Query!$B$6,'Compliance Database'!$I1119))),OR(Query!$B$7="All",'Compliance Database'!$F1119=Query!$B$7),OR(Query!$B$8="All",'Compliance Database'!$J1119=Query!$B$8),OR(Query!$B$9="",ISNUMBER(SEARCH(Query!$B$9,'Compliance Database'!$D1119&amp;" "&amp;'Compliance Database'!$K1119&amp;" "&amp;'Compliance Database'!$L1119&amp;" "&amp;'Compliance Database'!$M1119&amp;" "&amp;'Compliance Database'!$N1119&amp;" "&amp;'Compliance Database'!$O1119))),OR(Query!$B$10&lt;&gt;"Yes",'Compliance Database'!$F1119&lt;&gt;"None")),1,0)</f>
        <v>0</v>
      </c>
      <c r="B1119" t="str">
        <f>IF($A1119=1,SUM($A$2:$A1119),"")</f>
        <v/>
      </c>
      <c r="C1119">
        <f>IF($A1119=1,SUM($A$2:$A1119),0)</f>
        <v>0</v>
      </c>
    </row>
    <row r="1120" spans="1:3" x14ac:dyDescent="0.3">
      <c r="A1120">
        <f>IF(AND(OR(Query!$B$4="All",'Compliance Database'!$A1120=Query!$B$4),OR(Query!$B$5="All",ISNUMBER(SEARCH(Query!$B$5,'Compliance Database'!$H1120))),OR(Query!$B$6="All",ISNUMBER(SEARCH(Query!$B$6,'Compliance Database'!$I1120))),OR(Query!$B$7="All",'Compliance Database'!$F1120=Query!$B$7),OR(Query!$B$8="All",'Compliance Database'!$J1120=Query!$B$8),OR(Query!$B$9="",ISNUMBER(SEARCH(Query!$B$9,'Compliance Database'!$D1120&amp;" "&amp;'Compliance Database'!$K1120&amp;" "&amp;'Compliance Database'!$L1120&amp;" "&amp;'Compliance Database'!$M1120&amp;" "&amp;'Compliance Database'!$N1120&amp;" "&amp;'Compliance Database'!$O1120))),OR(Query!$B$10&lt;&gt;"Yes",'Compliance Database'!$F1120&lt;&gt;"None")),1,0)</f>
        <v>0</v>
      </c>
      <c r="B1120" t="str">
        <f>IF($A1120=1,SUM($A$2:$A1120),"")</f>
        <v/>
      </c>
      <c r="C1120">
        <f>IF($A1120=1,SUM($A$2:$A1120),0)</f>
        <v>0</v>
      </c>
    </row>
    <row r="1121" spans="1:3" x14ac:dyDescent="0.3">
      <c r="A1121">
        <f>IF(AND(OR(Query!$B$4="All",'Compliance Database'!$A1121=Query!$B$4),OR(Query!$B$5="All",ISNUMBER(SEARCH(Query!$B$5,'Compliance Database'!$H1121))),OR(Query!$B$6="All",ISNUMBER(SEARCH(Query!$B$6,'Compliance Database'!$I1121))),OR(Query!$B$7="All",'Compliance Database'!$F1121=Query!$B$7),OR(Query!$B$8="All",'Compliance Database'!$J1121=Query!$B$8),OR(Query!$B$9="",ISNUMBER(SEARCH(Query!$B$9,'Compliance Database'!$D1121&amp;" "&amp;'Compliance Database'!$K1121&amp;" "&amp;'Compliance Database'!$L1121&amp;" "&amp;'Compliance Database'!$M1121&amp;" "&amp;'Compliance Database'!$N1121&amp;" "&amp;'Compliance Database'!$O1121))),OR(Query!$B$10&lt;&gt;"Yes",'Compliance Database'!$F1121&lt;&gt;"None")),1,0)</f>
        <v>0</v>
      </c>
      <c r="B1121" t="str">
        <f>IF($A1121=1,SUM($A$2:$A1121),"")</f>
        <v/>
      </c>
      <c r="C1121">
        <f>IF($A1121=1,SUM($A$2:$A1121),0)</f>
        <v>0</v>
      </c>
    </row>
    <row r="1122" spans="1:3" x14ac:dyDescent="0.3">
      <c r="A1122">
        <f>IF(AND(OR(Query!$B$4="All",'Compliance Database'!$A1122=Query!$B$4),OR(Query!$B$5="All",ISNUMBER(SEARCH(Query!$B$5,'Compliance Database'!$H1122))),OR(Query!$B$6="All",ISNUMBER(SEARCH(Query!$B$6,'Compliance Database'!$I1122))),OR(Query!$B$7="All",'Compliance Database'!$F1122=Query!$B$7),OR(Query!$B$8="All",'Compliance Database'!$J1122=Query!$B$8),OR(Query!$B$9="",ISNUMBER(SEARCH(Query!$B$9,'Compliance Database'!$D1122&amp;" "&amp;'Compliance Database'!$K1122&amp;" "&amp;'Compliance Database'!$L1122&amp;" "&amp;'Compliance Database'!$M1122&amp;" "&amp;'Compliance Database'!$N1122&amp;" "&amp;'Compliance Database'!$O1122))),OR(Query!$B$10&lt;&gt;"Yes",'Compliance Database'!$F1122&lt;&gt;"None")),1,0)</f>
        <v>0</v>
      </c>
      <c r="B1122" t="str">
        <f>IF($A1122=1,SUM($A$2:$A1122),"")</f>
        <v/>
      </c>
      <c r="C1122">
        <f>IF($A1122=1,SUM($A$2:$A1122),0)</f>
        <v>0</v>
      </c>
    </row>
    <row r="1123" spans="1:3" x14ac:dyDescent="0.3">
      <c r="A1123">
        <f>IF(AND(OR(Query!$B$4="All",'Compliance Database'!$A1123=Query!$B$4),OR(Query!$B$5="All",ISNUMBER(SEARCH(Query!$B$5,'Compliance Database'!$H1123))),OR(Query!$B$6="All",ISNUMBER(SEARCH(Query!$B$6,'Compliance Database'!$I1123))),OR(Query!$B$7="All",'Compliance Database'!$F1123=Query!$B$7),OR(Query!$B$8="All",'Compliance Database'!$J1123=Query!$B$8),OR(Query!$B$9="",ISNUMBER(SEARCH(Query!$B$9,'Compliance Database'!$D1123&amp;" "&amp;'Compliance Database'!$K1123&amp;" "&amp;'Compliance Database'!$L1123&amp;" "&amp;'Compliance Database'!$M1123&amp;" "&amp;'Compliance Database'!$N1123&amp;" "&amp;'Compliance Database'!$O1123))),OR(Query!$B$10&lt;&gt;"Yes",'Compliance Database'!$F1123&lt;&gt;"None")),1,0)</f>
        <v>0</v>
      </c>
      <c r="B1123" t="str">
        <f>IF($A1123=1,SUM($A$2:$A1123),"")</f>
        <v/>
      </c>
      <c r="C1123">
        <f>IF($A1123=1,SUM($A$2:$A1123),0)</f>
        <v>0</v>
      </c>
    </row>
    <row r="1124" spans="1:3" x14ac:dyDescent="0.3">
      <c r="A1124">
        <f>IF(AND(OR(Query!$B$4="All",'Compliance Database'!$A1124=Query!$B$4),OR(Query!$B$5="All",ISNUMBER(SEARCH(Query!$B$5,'Compliance Database'!$H1124))),OR(Query!$B$6="All",ISNUMBER(SEARCH(Query!$B$6,'Compliance Database'!$I1124))),OR(Query!$B$7="All",'Compliance Database'!$F1124=Query!$B$7),OR(Query!$B$8="All",'Compliance Database'!$J1124=Query!$B$8),OR(Query!$B$9="",ISNUMBER(SEARCH(Query!$B$9,'Compliance Database'!$D1124&amp;" "&amp;'Compliance Database'!$K1124&amp;" "&amp;'Compliance Database'!$L1124&amp;" "&amp;'Compliance Database'!$M1124&amp;" "&amp;'Compliance Database'!$N1124&amp;" "&amp;'Compliance Database'!$O1124))),OR(Query!$B$10&lt;&gt;"Yes",'Compliance Database'!$F1124&lt;&gt;"None")),1,0)</f>
        <v>0</v>
      </c>
      <c r="B1124" t="str">
        <f>IF($A1124=1,SUM($A$2:$A1124),"")</f>
        <v/>
      </c>
      <c r="C1124">
        <f>IF($A1124=1,SUM($A$2:$A1124),0)</f>
        <v>0</v>
      </c>
    </row>
    <row r="1125" spans="1:3" x14ac:dyDescent="0.3">
      <c r="A1125">
        <f>IF(AND(OR(Query!$B$4="All",'Compliance Database'!$A1125=Query!$B$4),OR(Query!$B$5="All",ISNUMBER(SEARCH(Query!$B$5,'Compliance Database'!$H1125))),OR(Query!$B$6="All",ISNUMBER(SEARCH(Query!$B$6,'Compliance Database'!$I1125))),OR(Query!$B$7="All",'Compliance Database'!$F1125=Query!$B$7),OR(Query!$B$8="All",'Compliance Database'!$J1125=Query!$B$8),OR(Query!$B$9="",ISNUMBER(SEARCH(Query!$B$9,'Compliance Database'!$D1125&amp;" "&amp;'Compliance Database'!$K1125&amp;" "&amp;'Compliance Database'!$L1125&amp;" "&amp;'Compliance Database'!$M1125&amp;" "&amp;'Compliance Database'!$N1125&amp;" "&amp;'Compliance Database'!$O1125))),OR(Query!$B$10&lt;&gt;"Yes",'Compliance Database'!$F1125&lt;&gt;"None")),1,0)</f>
        <v>0</v>
      </c>
      <c r="B1125" t="str">
        <f>IF($A1125=1,SUM($A$2:$A1125),"")</f>
        <v/>
      </c>
      <c r="C1125">
        <f>IF($A1125=1,SUM($A$2:$A1125),0)</f>
        <v>0</v>
      </c>
    </row>
    <row r="1126" spans="1:3" x14ac:dyDescent="0.3">
      <c r="A1126">
        <f>IF(AND(OR(Query!$B$4="All",'Compliance Database'!$A1126=Query!$B$4),OR(Query!$B$5="All",ISNUMBER(SEARCH(Query!$B$5,'Compliance Database'!$H1126))),OR(Query!$B$6="All",ISNUMBER(SEARCH(Query!$B$6,'Compliance Database'!$I1126))),OR(Query!$B$7="All",'Compliance Database'!$F1126=Query!$B$7),OR(Query!$B$8="All",'Compliance Database'!$J1126=Query!$B$8),OR(Query!$B$9="",ISNUMBER(SEARCH(Query!$B$9,'Compliance Database'!$D1126&amp;" "&amp;'Compliance Database'!$K1126&amp;" "&amp;'Compliance Database'!$L1126&amp;" "&amp;'Compliance Database'!$M1126&amp;" "&amp;'Compliance Database'!$N1126&amp;" "&amp;'Compliance Database'!$O1126))),OR(Query!$B$10&lt;&gt;"Yes",'Compliance Database'!$F1126&lt;&gt;"None")),1,0)</f>
        <v>0</v>
      </c>
      <c r="B1126" t="str">
        <f>IF($A1126=1,SUM($A$2:$A1126),"")</f>
        <v/>
      </c>
      <c r="C1126">
        <f>IF($A1126=1,SUM($A$2:$A1126),0)</f>
        <v>0</v>
      </c>
    </row>
    <row r="1127" spans="1:3" x14ac:dyDescent="0.3">
      <c r="A1127">
        <f>IF(AND(OR(Query!$B$4="All",'Compliance Database'!$A1127=Query!$B$4),OR(Query!$B$5="All",ISNUMBER(SEARCH(Query!$B$5,'Compliance Database'!$H1127))),OR(Query!$B$6="All",ISNUMBER(SEARCH(Query!$B$6,'Compliance Database'!$I1127))),OR(Query!$B$7="All",'Compliance Database'!$F1127=Query!$B$7),OR(Query!$B$8="All",'Compliance Database'!$J1127=Query!$B$8),OR(Query!$B$9="",ISNUMBER(SEARCH(Query!$B$9,'Compliance Database'!$D1127&amp;" "&amp;'Compliance Database'!$K1127&amp;" "&amp;'Compliance Database'!$L1127&amp;" "&amp;'Compliance Database'!$M1127&amp;" "&amp;'Compliance Database'!$N1127&amp;" "&amp;'Compliance Database'!$O1127))),OR(Query!$B$10&lt;&gt;"Yes",'Compliance Database'!$F1127&lt;&gt;"None")),1,0)</f>
        <v>0</v>
      </c>
      <c r="B1127" t="str">
        <f>IF($A1127=1,SUM($A$2:$A1127),"")</f>
        <v/>
      </c>
      <c r="C1127">
        <f>IF($A1127=1,SUM($A$2:$A1127),0)</f>
        <v>0</v>
      </c>
    </row>
    <row r="1128" spans="1:3" x14ac:dyDescent="0.3">
      <c r="A1128">
        <f>IF(AND(OR(Query!$B$4="All",'Compliance Database'!$A1128=Query!$B$4),OR(Query!$B$5="All",ISNUMBER(SEARCH(Query!$B$5,'Compliance Database'!$H1128))),OR(Query!$B$6="All",ISNUMBER(SEARCH(Query!$B$6,'Compliance Database'!$I1128))),OR(Query!$B$7="All",'Compliance Database'!$F1128=Query!$B$7),OR(Query!$B$8="All",'Compliance Database'!$J1128=Query!$B$8),OR(Query!$B$9="",ISNUMBER(SEARCH(Query!$B$9,'Compliance Database'!$D1128&amp;" "&amp;'Compliance Database'!$K1128&amp;" "&amp;'Compliance Database'!$L1128&amp;" "&amp;'Compliance Database'!$M1128&amp;" "&amp;'Compliance Database'!$N1128&amp;" "&amp;'Compliance Database'!$O1128))),OR(Query!$B$10&lt;&gt;"Yes",'Compliance Database'!$F1128&lt;&gt;"None")),1,0)</f>
        <v>0</v>
      </c>
      <c r="B1128" t="str">
        <f>IF($A1128=1,SUM($A$2:$A1128),"")</f>
        <v/>
      </c>
      <c r="C1128">
        <f>IF($A1128=1,SUM($A$2:$A1128),0)</f>
        <v>0</v>
      </c>
    </row>
    <row r="1129" spans="1:3" x14ac:dyDescent="0.3">
      <c r="A1129">
        <f>IF(AND(OR(Query!$B$4="All",'Compliance Database'!$A1129=Query!$B$4),OR(Query!$B$5="All",ISNUMBER(SEARCH(Query!$B$5,'Compliance Database'!$H1129))),OR(Query!$B$6="All",ISNUMBER(SEARCH(Query!$B$6,'Compliance Database'!$I1129))),OR(Query!$B$7="All",'Compliance Database'!$F1129=Query!$B$7),OR(Query!$B$8="All",'Compliance Database'!$J1129=Query!$B$8),OR(Query!$B$9="",ISNUMBER(SEARCH(Query!$B$9,'Compliance Database'!$D1129&amp;" "&amp;'Compliance Database'!$K1129&amp;" "&amp;'Compliance Database'!$L1129&amp;" "&amp;'Compliance Database'!$M1129&amp;" "&amp;'Compliance Database'!$N1129&amp;" "&amp;'Compliance Database'!$O1129))),OR(Query!$B$10&lt;&gt;"Yes",'Compliance Database'!$F1129&lt;&gt;"None")),1,0)</f>
        <v>0</v>
      </c>
      <c r="B1129" t="str">
        <f>IF($A1129=1,SUM($A$2:$A1129),"")</f>
        <v/>
      </c>
      <c r="C1129">
        <f>IF($A1129=1,SUM($A$2:$A1129),0)</f>
        <v>0</v>
      </c>
    </row>
    <row r="1130" spans="1:3" x14ac:dyDescent="0.3">
      <c r="A1130">
        <f>IF(AND(OR(Query!$B$4="All",'Compliance Database'!$A1130=Query!$B$4),OR(Query!$B$5="All",ISNUMBER(SEARCH(Query!$B$5,'Compliance Database'!$H1130))),OR(Query!$B$6="All",ISNUMBER(SEARCH(Query!$B$6,'Compliance Database'!$I1130))),OR(Query!$B$7="All",'Compliance Database'!$F1130=Query!$B$7),OR(Query!$B$8="All",'Compliance Database'!$J1130=Query!$B$8),OR(Query!$B$9="",ISNUMBER(SEARCH(Query!$B$9,'Compliance Database'!$D1130&amp;" "&amp;'Compliance Database'!$K1130&amp;" "&amp;'Compliance Database'!$L1130&amp;" "&amp;'Compliance Database'!$M1130&amp;" "&amp;'Compliance Database'!$N1130&amp;" "&amp;'Compliance Database'!$O1130))),OR(Query!$B$10&lt;&gt;"Yes",'Compliance Database'!$F1130&lt;&gt;"None")),1,0)</f>
        <v>0</v>
      </c>
      <c r="B1130" t="str">
        <f>IF($A1130=1,SUM($A$2:$A1130),"")</f>
        <v/>
      </c>
      <c r="C1130">
        <f>IF($A1130=1,SUM($A$2:$A1130),0)</f>
        <v>0</v>
      </c>
    </row>
    <row r="1131" spans="1:3" x14ac:dyDescent="0.3">
      <c r="A1131">
        <f>IF(AND(OR(Query!$B$4="All",'Compliance Database'!$A1131=Query!$B$4),OR(Query!$B$5="All",ISNUMBER(SEARCH(Query!$B$5,'Compliance Database'!$H1131))),OR(Query!$B$6="All",ISNUMBER(SEARCH(Query!$B$6,'Compliance Database'!$I1131))),OR(Query!$B$7="All",'Compliance Database'!$F1131=Query!$B$7),OR(Query!$B$8="All",'Compliance Database'!$J1131=Query!$B$8),OR(Query!$B$9="",ISNUMBER(SEARCH(Query!$B$9,'Compliance Database'!$D1131&amp;" "&amp;'Compliance Database'!$K1131&amp;" "&amp;'Compliance Database'!$L1131&amp;" "&amp;'Compliance Database'!$M1131&amp;" "&amp;'Compliance Database'!$N1131&amp;" "&amp;'Compliance Database'!$O1131))),OR(Query!$B$10&lt;&gt;"Yes",'Compliance Database'!$F1131&lt;&gt;"None")),1,0)</f>
        <v>0</v>
      </c>
      <c r="B1131" t="str">
        <f>IF($A1131=1,SUM($A$2:$A1131),"")</f>
        <v/>
      </c>
      <c r="C1131">
        <f>IF($A1131=1,SUM($A$2:$A1131),0)</f>
        <v>0</v>
      </c>
    </row>
    <row r="1132" spans="1:3" x14ac:dyDescent="0.3">
      <c r="A1132">
        <f>IF(AND(OR(Query!$B$4="All",'Compliance Database'!$A1132=Query!$B$4),OR(Query!$B$5="All",ISNUMBER(SEARCH(Query!$B$5,'Compliance Database'!$H1132))),OR(Query!$B$6="All",ISNUMBER(SEARCH(Query!$B$6,'Compliance Database'!$I1132))),OR(Query!$B$7="All",'Compliance Database'!$F1132=Query!$B$7),OR(Query!$B$8="All",'Compliance Database'!$J1132=Query!$B$8),OR(Query!$B$9="",ISNUMBER(SEARCH(Query!$B$9,'Compliance Database'!$D1132&amp;" "&amp;'Compliance Database'!$K1132&amp;" "&amp;'Compliance Database'!$L1132&amp;" "&amp;'Compliance Database'!$M1132&amp;" "&amp;'Compliance Database'!$N1132&amp;" "&amp;'Compliance Database'!$O1132))),OR(Query!$B$10&lt;&gt;"Yes",'Compliance Database'!$F1132&lt;&gt;"None")),1,0)</f>
        <v>0</v>
      </c>
      <c r="B1132" t="str">
        <f>IF($A1132=1,SUM($A$2:$A1132),"")</f>
        <v/>
      </c>
      <c r="C1132">
        <f>IF($A1132=1,SUM($A$2:$A1132),0)</f>
        <v>0</v>
      </c>
    </row>
    <row r="1133" spans="1:3" x14ac:dyDescent="0.3">
      <c r="A1133">
        <f>IF(AND(OR(Query!$B$4="All",'Compliance Database'!$A1133=Query!$B$4),OR(Query!$B$5="All",ISNUMBER(SEARCH(Query!$B$5,'Compliance Database'!$H1133))),OR(Query!$B$6="All",ISNUMBER(SEARCH(Query!$B$6,'Compliance Database'!$I1133))),OR(Query!$B$7="All",'Compliance Database'!$F1133=Query!$B$7),OR(Query!$B$8="All",'Compliance Database'!$J1133=Query!$B$8),OR(Query!$B$9="",ISNUMBER(SEARCH(Query!$B$9,'Compliance Database'!$D1133&amp;" "&amp;'Compliance Database'!$K1133&amp;" "&amp;'Compliance Database'!$L1133&amp;" "&amp;'Compliance Database'!$M1133&amp;" "&amp;'Compliance Database'!$N1133&amp;" "&amp;'Compliance Database'!$O1133))),OR(Query!$B$10&lt;&gt;"Yes",'Compliance Database'!$F1133&lt;&gt;"None")),1,0)</f>
        <v>0</v>
      </c>
      <c r="B1133" t="str">
        <f>IF($A1133=1,SUM($A$2:$A1133),"")</f>
        <v/>
      </c>
      <c r="C1133">
        <f>IF($A1133=1,SUM($A$2:$A1133),0)</f>
        <v>0</v>
      </c>
    </row>
    <row r="1134" spans="1:3" x14ac:dyDescent="0.3">
      <c r="A1134">
        <f>IF(AND(OR(Query!$B$4="All",'Compliance Database'!$A1134=Query!$B$4),OR(Query!$B$5="All",ISNUMBER(SEARCH(Query!$B$5,'Compliance Database'!$H1134))),OR(Query!$B$6="All",ISNUMBER(SEARCH(Query!$B$6,'Compliance Database'!$I1134))),OR(Query!$B$7="All",'Compliance Database'!$F1134=Query!$B$7),OR(Query!$B$8="All",'Compliance Database'!$J1134=Query!$B$8),OR(Query!$B$9="",ISNUMBER(SEARCH(Query!$B$9,'Compliance Database'!$D1134&amp;" "&amp;'Compliance Database'!$K1134&amp;" "&amp;'Compliance Database'!$L1134&amp;" "&amp;'Compliance Database'!$M1134&amp;" "&amp;'Compliance Database'!$N1134&amp;" "&amp;'Compliance Database'!$O1134))),OR(Query!$B$10&lt;&gt;"Yes",'Compliance Database'!$F1134&lt;&gt;"None")),1,0)</f>
        <v>0</v>
      </c>
      <c r="B1134" t="str">
        <f>IF($A1134=1,SUM($A$2:$A1134),"")</f>
        <v/>
      </c>
      <c r="C1134">
        <f>IF($A1134=1,SUM($A$2:$A1134),0)</f>
        <v>0</v>
      </c>
    </row>
    <row r="1135" spans="1:3" x14ac:dyDescent="0.3">
      <c r="A1135">
        <f>IF(AND(OR(Query!$B$4="All",'Compliance Database'!$A1135=Query!$B$4),OR(Query!$B$5="All",ISNUMBER(SEARCH(Query!$B$5,'Compliance Database'!$H1135))),OR(Query!$B$6="All",ISNUMBER(SEARCH(Query!$B$6,'Compliance Database'!$I1135))),OR(Query!$B$7="All",'Compliance Database'!$F1135=Query!$B$7),OR(Query!$B$8="All",'Compliance Database'!$J1135=Query!$B$8),OR(Query!$B$9="",ISNUMBER(SEARCH(Query!$B$9,'Compliance Database'!$D1135&amp;" "&amp;'Compliance Database'!$K1135&amp;" "&amp;'Compliance Database'!$L1135&amp;" "&amp;'Compliance Database'!$M1135&amp;" "&amp;'Compliance Database'!$N1135&amp;" "&amp;'Compliance Database'!$O1135))),OR(Query!$B$10&lt;&gt;"Yes",'Compliance Database'!$F1135&lt;&gt;"None")),1,0)</f>
        <v>0</v>
      </c>
      <c r="B1135" t="str">
        <f>IF($A1135=1,SUM($A$2:$A1135),"")</f>
        <v/>
      </c>
      <c r="C1135">
        <f>IF($A1135=1,SUM($A$2:$A1135),0)</f>
        <v>0</v>
      </c>
    </row>
    <row r="1136" spans="1:3" x14ac:dyDescent="0.3">
      <c r="A1136">
        <f>IF(AND(OR(Query!$B$4="All",'Compliance Database'!$A1136=Query!$B$4),OR(Query!$B$5="All",ISNUMBER(SEARCH(Query!$B$5,'Compliance Database'!$H1136))),OR(Query!$B$6="All",ISNUMBER(SEARCH(Query!$B$6,'Compliance Database'!$I1136))),OR(Query!$B$7="All",'Compliance Database'!$F1136=Query!$B$7),OR(Query!$B$8="All",'Compliance Database'!$J1136=Query!$B$8),OR(Query!$B$9="",ISNUMBER(SEARCH(Query!$B$9,'Compliance Database'!$D1136&amp;" "&amp;'Compliance Database'!$K1136&amp;" "&amp;'Compliance Database'!$L1136&amp;" "&amp;'Compliance Database'!$M1136&amp;" "&amp;'Compliance Database'!$N1136&amp;" "&amp;'Compliance Database'!$O1136))),OR(Query!$B$10&lt;&gt;"Yes",'Compliance Database'!$F1136&lt;&gt;"None")),1,0)</f>
        <v>0</v>
      </c>
      <c r="B1136" t="str">
        <f>IF($A1136=1,SUM($A$2:$A1136),"")</f>
        <v/>
      </c>
      <c r="C1136">
        <f>IF($A1136=1,SUM($A$2:$A1136),0)</f>
        <v>0</v>
      </c>
    </row>
    <row r="1137" spans="1:3" x14ac:dyDescent="0.3">
      <c r="A1137">
        <f>IF(AND(OR(Query!$B$4="All",'Compliance Database'!$A1137=Query!$B$4),OR(Query!$B$5="All",ISNUMBER(SEARCH(Query!$B$5,'Compliance Database'!$H1137))),OR(Query!$B$6="All",ISNUMBER(SEARCH(Query!$B$6,'Compliance Database'!$I1137))),OR(Query!$B$7="All",'Compliance Database'!$F1137=Query!$B$7),OR(Query!$B$8="All",'Compliance Database'!$J1137=Query!$B$8),OR(Query!$B$9="",ISNUMBER(SEARCH(Query!$B$9,'Compliance Database'!$D1137&amp;" "&amp;'Compliance Database'!$K1137&amp;" "&amp;'Compliance Database'!$L1137&amp;" "&amp;'Compliance Database'!$M1137&amp;" "&amp;'Compliance Database'!$N1137&amp;" "&amp;'Compliance Database'!$O1137))),OR(Query!$B$10&lt;&gt;"Yes",'Compliance Database'!$F1137&lt;&gt;"None")),1,0)</f>
        <v>0</v>
      </c>
      <c r="B1137" t="str">
        <f>IF($A1137=1,SUM($A$2:$A1137),"")</f>
        <v/>
      </c>
      <c r="C1137">
        <f>IF($A1137=1,SUM($A$2:$A1137),0)</f>
        <v>0</v>
      </c>
    </row>
    <row r="1138" spans="1:3" x14ac:dyDescent="0.3">
      <c r="A1138">
        <f>IF(AND(OR(Query!$B$4="All",'Compliance Database'!$A1138=Query!$B$4),OR(Query!$B$5="All",ISNUMBER(SEARCH(Query!$B$5,'Compliance Database'!$H1138))),OR(Query!$B$6="All",ISNUMBER(SEARCH(Query!$B$6,'Compliance Database'!$I1138))),OR(Query!$B$7="All",'Compliance Database'!$F1138=Query!$B$7),OR(Query!$B$8="All",'Compliance Database'!$J1138=Query!$B$8),OR(Query!$B$9="",ISNUMBER(SEARCH(Query!$B$9,'Compliance Database'!$D1138&amp;" "&amp;'Compliance Database'!$K1138&amp;" "&amp;'Compliance Database'!$L1138&amp;" "&amp;'Compliance Database'!$M1138&amp;" "&amp;'Compliance Database'!$N1138&amp;" "&amp;'Compliance Database'!$O1138))),OR(Query!$B$10&lt;&gt;"Yes",'Compliance Database'!$F1138&lt;&gt;"None")),1,0)</f>
        <v>0</v>
      </c>
      <c r="B1138" t="str">
        <f>IF($A1138=1,SUM($A$2:$A1138),"")</f>
        <v/>
      </c>
      <c r="C1138">
        <f>IF($A1138=1,SUM($A$2:$A1138),0)</f>
        <v>0</v>
      </c>
    </row>
    <row r="1139" spans="1:3" x14ac:dyDescent="0.3">
      <c r="A1139">
        <f>IF(AND(OR(Query!$B$4="All",'Compliance Database'!$A1139=Query!$B$4),OR(Query!$B$5="All",ISNUMBER(SEARCH(Query!$B$5,'Compliance Database'!$H1139))),OR(Query!$B$6="All",ISNUMBER(SEARCH(Query!$B$6,'Compliance Database'!$I1139))),OR(Query!$B$7="All",'Compliance Database'!$F1139=Query!$B$7),OR(Query!$B$8="All",'Compliance Database'!$J1139=Query!$B$8),OR(Query!$B$9="",ISNUMBER(SEARCH(Query!$B$9,'Compliance Database'!$D1139&amp;" "&amp;'Compliance Database'!$K1139&amp;" "&amp;'Compliance Database'!$L1139&amp;" "&amp;'Compliance Database'!$M1139&amp;" "&amp;'Compliance Database'!$N1139&amp;" "&amp;'Compliance Database'!$O1139))),OR(Query!$B$10&lt;&gt;"Yes",'Compliance Database'!$F1139&lt;&gt;"None")),1,0)</f>
        <v>0</v>
      </c>
      <c r="B1139" t="str">
        <f>IF($A1139=1,SUM($A$2:$A1139),"")</f>
        <v/>
      </c>
      <c r="C1139">
        <f>IF($A1139=1,SUM($A$2:$A1139),0)</f>
        <v>0</v>
      </c>
    </row>
    <row r="1140" spans="1:3" x14ac:dyDescent="0.3">
      <c r="A1140">
        <f>IF(AND(OR(Query!$B$4="All",'Compliance Database'!$A1140=Query!$B$4),OR(Query!$B$5="All",ISNUMBER(SEARCH(Query!$B$5,'Compliance Database'!$H1140))),OR(Query!$B$6="All",ISNUMBER(SEARCH(Query!$B$6,'Compliance Database'!$I1140))),OR(Query!$B$7="All",'Compliance Database'!$F1140=Query!$B$7),OR(Query!$B$8="All",'Compliance Database'!$J1140=Query!$B$8),OR(Query!$B$9="",ISNUMBER(SEARCH(Query!$B$9,'Compliance Database'!$D1140&amp;" "&amp;'Compliance Database'!$K1140&amp;" "&amp;'Compliance Database'!$L1140&amp;" "&amp;'Compliance Database'!$M1140&amp;" "&amp;'Compliance Database'!$N1140&amp;" "&amp;'Compliance Database'!$O1140))),OR(Query!$B$10&lt;&gt;"Yes",'Compliance Database'!$F1140&lt;&gt;"None")),1,0)</f>
        <v>0</v>
      </c>
      <c r="B1140" t="str">
        <f>IF($A1140=1,SUM($A$2:$A1140),"")</f>
        <v/>
      </c>
      <c r="C1140">
        <f>IF($A1140=1,SUM($A$2:$A1140),0)</f>
        <v>0</v>
      </c>
    </row>
    <row r="1141" spans="1:3" x14ac:dyDescent="0.3">
      <c r="A1141">
        <f>IF(AND(OR(Query!$B$4="All",'Compliance Database'!$A1141=Query!$B$4),OR(Query!$B$5="All",ISNUMBER(SEARCH(Query!$B$5,'Compliance Database'!$H1141))),OR(Query!$B$6="All",ISNUMBER(SEARCH(Query!$B$6,'Compliance Database'!$I1141))),OR(Query!$B$7="All",'Compliance Database'!$F1141=Query!$B$7),OR(Query!$B$8="All",'Compliance Database'!$J1141=Query!$B$8),OR(Query!$B$9="",ISNUMBER(SEARCH(Query!$B$9,'Compliance Database'!$D1141&amp;" "&amp;'Compliance Database'!$K1141&amp;" "&amp;'Compliance Database'!$L1141&amp;" "&amp;'Compliance Database'!$M1141&amp;" "&amp;'Compliance Database'!$N1141&amp;" "&amp;'Compliance Database'!$O1141))),OR(Query!$B$10&lt;&gt;"Yes",'Compliance Database'!$F1141&lt;&gt;"None")),1,0)</f>
        <v>0</v>
      </c>
      <c r="B1141" t="str">
        <f>IF($A1141=1,SUM($A$2:$A1141),"")</f>
        <v/>
      </c>
      <c r="C1141">
        <f>IF($A1141=1,SUM($A$2:$A1141),0)</f>
        <v>0</v>
      </c>
    </row>
    <row r="1142" spans="1:3" x14ac:dyDescent="0.3">
      <c r="A1142">
        <f>IF(AND(OR(Query!$B$4="All",'Compliance Database'!$A1142=Query!$B$4),OR(Query!$B$5="All",ISNUMBER(SEARCH(Query!$B$5,'Compliance Database'!$H1142))),OR(Query!$B$6="All",ISNUMBER(SEARCH(Query!$B$6,'Compliance Database'!$I1142))),OR(Query!$B$7="All",'Compliance Database'!$F1142=Query!$B$7),OR(Query!$B$8="All",'Compliance Database'!$J1142=Query!$B$8),OR(Query!$B$9="",ISNUMBER(SEARCH(Query!$B$9,'Compliance Database'!$D1142&amp;" "&amp;'Compliance Database'!$K1142&amp;" "&amp;'Compliance Database'!$L1142&amp;" "&amp;'Compliance Database'!$M1142&amp;" "&amp;'Compliance Database'!$N1142&amp;" "&amp;'Compliance Database'!$O1142))),OR(Query!$B$10&lt;&gt;"Yes",'Compliance Database'!$F1142&lt;&gt;"None")),1,0)</f>
        <v>0</v>
      </c>
      <c r="B1142" t="str">
        <f>IF($A1142=1,SUM($A$2:$A1142),"")</f>
        <v/>
      </c>
      <c r="C1142">
        <f>IF($A1142=1,SUM($A$2:$A1142),0)</f>
        <v>0</v>
      </c>
    </row>
    <row r="1143" spans="1:3" x14ac:dyDescent="0.3">
      <c r="A1143">
        <f>IF(AND(OR(Query!$B$4="All",'Compliance Database'!$A1143=Query!$B$4),OR(Query!$B$5="All",ISNUMBER(SEARCH(Query!$B$5,'Compliance Database'!$H1143))),OR(Query!$B$6="All",ISNUMBER(SEARCH(Query!$B$6,'Compliance Database'!$I1143))),OR(Query!$B$7="All",'Compliance Database'!$F1143=Query!$B$7),OR(Query!$B$8="All",'Compliance Database'!$J1143=Query!$B$8),OR(Query!$B$9="",ISNUMBER(SEARCH(Query!$B$9,'Compliance Database'!$D1143&amp;" "&amp;'Compliance Database'!$K1143&amp;" "&amp;'Compliance Database'!$L1143&amp;" "&amp;'Compliance Database'!$M1143&amp;" "&amp;'Compliance Database'!$N1143&amp;" "&amp;'Compliance Database'!$O1143))),OR(Query!$B$10&lt;&gt;"Yes",'Compliance Database'!$F1143&lt;&gt;"None")),1,0)</f>
        <v>0</v>
      </c>
      <c r="B1143" t="str">
        <f>IF($A1143=1,SUM($A$2:$A1143),"")</f>
        <v/>
      </c>
      <c r="C1143">
        <f>IF($A1143=1,SUM($A$2:$A1143),0)</f>
        <v>0</v>
      </c>
    </row>
    <row r="1144" spans="1:3" x14ac:dyDescent="0.3">
      <c r="A1144">
        <f>IF(AND(OR(Query!$B$4="All",'Compliance Database'!$A1144=Query!$B$4),OR(Query!$B$5="All",ISNUMBER(SEARCH(Query!$B$5,'Compliance Database'!$H1144))),OR(Query!$B$6="All",ISNUMBER(SEARCH(Query!$B$6,'Compliance Database'!$I1144))),OR(Query!$B$7="All",'Compliance Database'!$F1144=Query!$B$7),OR(Query!$B$8="All",'Compliance Database'!$J1144=Query!$B$8),OR(Query!$B$9="",ISNUMBER(SEARCH(Query!$B$9,'Compliance Database'!$D1144&amp;" "&amp;'Compliance Database'!$K1144&amp;" "&amp;'Compliance Database'!$L1144&amp;" "&amp;'Compliance Database'!$M1144&amp;" "&amp;'Compliance Database'!$N1144&amp;" "&amp;'Compliance Database'!$O1144))),OR(Query!$B$10&lt;&gt;"Yes",'Compliance Database'!$F1144&lt;&gt;"None")),1,0)</f>
        <v>0</v>
      </c>
      <c r="B1144" t="str">
        <f>IF($A1144=1,SUM($A$2:$A1144),"")</f>
        <v/>
      </c>
      <c r="C1144">
        <f>IF($A1144=1,SUM($A$2:$A1144),0)</f>
        <v>0</v>
      </c>
    </row>
    <row r="1145" spans="1:3" x14ac:dyDescent="0.3">
      <c r="A1145">
        <f>IF(AND(OR(Query!$B$4="All",'Compliance Database'!$A1145=Query!$B$4),OR(Query!$B$5="All",ISNUMBER(SEARCH(Query!$B$5,'Compliance Database'!$H1145))),OR(Query!$B$6="All",ISNUMBER(SEARCH(Query!$B$6,'Compliance Database'!$I1145))),OR(Query!$B$7="All",'Compliance Database'!$F1145=Query!$B$7),OR(Query!$B$8="All",'Compliance Database'!$J1145=Query!$B$8),OR(Query!$B$9="",ISNUMBER(SEARCH(Query!$B$9,'Compliance Database'!$D1145&amp;" "&amp;'Compliance Database'!$K1145&amp;" "&amp;'Compliance Database'!$L1145&amp;" "&amp;'Compliance Database'!$M1145&amp;" "&amp;'Compliance Database'!$N1145&amp;" "&amp;'Compliance Database'!$O1145))),OR(Query!$B$10&lt;&gt;"Yes",'Compliance Database'!$F1145&lt;&gt;"None")),1,0)</f>
        <v>0</v>
      </c>
      <c r="B1145" t="str">
        <f>IF($A1145=1,SUM($A$2:$A1145),"")</f>
        <v/>
      </c>
      <c r="C1145">
        <f>IF($A1145=1,SUM($A$2:$A1145),0)</f>
        <v>0</v>
      </c>
    </row>
    <row r="1146" spans="1:3" x14ac:dyDescent="0.3">
      <c r="A1146">
        <f>IF(AND(OR(Query!$B$4="All",'Compliance Database'!$A1146=Query!$B$4),OR(Query!$B$5="All",ISNUMBER(SEARCH(Query!$B$5,'Compliance Database'!$H1146))),OR(Query!$B$6="All",ISNUMBER(SEARCH(Query!$B$6,'Compliance Database'!$I1146))),OR(Query!$B$7="All",'Compliance Database'!$F1146=Query!$B$7),OR(Query!$B$8="All",'Compliance Database'!$J1146=Query!$B$8),OR(Query!$B$9="",ISNUMBER(SEARCH(Query!$B$9,'Compliance Database'!$D1146&amp;" "&amp;'Compliance Database'!$K1146&amp;" "&amp;'Compliance Database'!$L1146&amp;" "&amp;'Compliance Database'!$M1146&amp;" "&amp;'Compliance Database'!$N1146&amp;" "&amp;'Compliance Database'!$O1146))),OR(Query!$B$10&lt;&gt;"Yes",'Compliance Database'!$F1146&lt;&gt;"None")),1,0)</f>
        <v>0</v>
      </c>
      <c r="B1146" t="str">
        <f>IF($A1146=1,SUM($A$2:$A1146),"")</f>
        <v/>
      </c>
      <c r="C1146">
        <f>IF($A1146=1,SUM($A$2:$A1146),0)</f>
        <v>0</v>
      </c>
    </row>
    <row r="1147" spans="1:3" x14ac:dyDescent="0.3">
      <c r="A1147">
        <f>IF(AND(OR(Query!$B$4="All",'Compliance Database'!$A1147=Query!$B$4),OR(Query!$B$5="All",ISNUMBER(SEARCH(Query!$B$5,'Compliance Database'!$H1147))),OR(Query!$B$6="All",ISNUMBER(SEARCH(Query!$B$6,'Compliance Database'!$I1147))),OR(Query!$B$7="All",'Compliance Database'!$F1147=Query!$B$7),OR(Query!$B$8="All",'Compliance Database'!$J1147=Query!$B$8),OR(Query!$B$9="",ISNUMBER(SEARCH(Query!$B$9,'Compliance Database'!$D1147&amp;" "&amp;'Compliance Database'!$K1147&amp;" "&amp;'Compliance Database'!$L1147&amp;" "&amp;'Compliance Database'!$M1147&amp;" "&amp;'Compliance Database'!$N1147&amp;" "&amp;'Compliance Database'!$O1147))),OR(Query!$B$10&lt;&gt;"Yes",'Compliance Database'!$F1147&lt;&gt;"None")),1,0)</f>
        <v>0</v>
      </c>
      <c r="B1147" t="str">
        <f>IF($A1147=1,SUM($A$2:$A1147),"")</f>
        <v/>
      </c>
      <c r="C1147">
        <f>IF($A1147=1,SUM($A$2:$A1147),0)</f>
        <v>0</v>
      </c>
    </row>
    <row r="1148" spans="1:3" x14ac:dyDescent="0.3">
      <c r="A1148">
        <f>IF(AND(OR(Query!$B$4="All",'Compliance Database'!$A1148=Query!$B$4),OR(Query!$B$5="All",ISNUMBER(SEARCH(Query!$B$5,'Compliance Database'!$H1148))),OR(Query!$B$6="All",ISNUMBER(SEARCH(Query!$B$6,'Compliance Database'!$I1148))),OR(Query!$B$7="All",'Compliance Database'!$F1148=Query!$B$7),OR(Query!$B$8="All",'Compliance Database'!$J1148=Query!$B$8),OR(Query!$B$9="",ISNUMBER(SEARCH(Query!$B$9,'Compliance Database'!$D1148&amp;" "&amp;'Compliance Database'!$K1148&amp;" "&amp;'Compliance Database'!$L1148&amp;" "&amp;'Compliance Database'!$M1148&amp;" "&amp;'Compliance Database'!$N1148&amp;" "&amp;'Compliance Database'!$O1148))),OR(Query!$B$10&lt;&gt;"Yes",'Compliance Database'!$F1148&lt;&gt;"None")),1,0)</f>
        <v>0</v>
      </c>
      <c r="B1148" t="str">
        <f>IF($A1148=1,SUM($A$2:$A1148),"")</f>
        <v/>
      </c>
      <c r="C1148">
        <f>IF($A1148=1,SUM($A$2:$A1148),0)</f>
        <v>0</v>
      </c>
    </row>
    <row r="1149" spans="1:3" x14ac:dyDescent="0.3">
      <c r="A1149">
        <f>IF(AND(OR(Query!$B$4="All",'Compliance Database'!$A1149=Query!$B$4),OR(Query!$B$5="All",ISNUMBER(SEARCH(Query!$B$5,'Compliance Database'!$H1149))),OR(Query!$B$6="All",ISNUMBER(SEARCH(Query!$B$6,'Compliance Database'!$I1149))),OR(Query!$B$7="All",'Compliance Database'!$F1149=Query!$B$7),OR(Query!$B$8="All",'Compliance Database'!$J1149=Query!$B$8),OR(Query!$B$9="",ISNUMBER(SEARCH(Query!$B$9,'Compliance Database'!$D1149&amp;" "&amp;'Compliance Database'!$K1149&amp;" "&amp;'Compliance Database'!$L1149&amp;" "&amp;'Compliance Database'!$M1149&amp;" "&amp;'Compliance Database'!$N1149&amp;" "&amp;'Compliance Database'!$O1149))),OR(Query!$B$10&lt;&gt;"Yes",'Compliance Database'!$F1149&lt;&gt;"None")),1,0)</f>
        <v>0</v>
      </c>
      <c r="B1149" t="str">
        <f>IF($A1149=1,SUM($A$2:$A1149),"")</f>
        <v/>
      </c>
      <c r="C1149">
        <f>IF($A1149=1,SUM($A$2:$A1149),0)</f>
        <v>0</v>
      </c>
    </row>
    <row r="1150" spans="1:3" x14ac:dyDescent="0.3">
      <c r="A1150">
        <f>IF(AND(OR(Query!$B$4="All",'Compliance Database'!$A1150=Query!$B$4),OR(Query!$B$5="All",ISNUMBER(SEARCH(Query!$B$5,'Compliance Database'!$H1150))),OR(Query!$B$6="All",ISNUMBER(SEARCH(Query!$B$6,'Compliance Database'!$I1150))),OR(Query!$B$7="All",'Compliance Database'!$F1150=Query!$B$7),OR(Query!$B$8="All",'Compliance Database'!$J1150=Query!$B$8),OR(Query!$B$9="",ISNUMBER(SEARCH(Query!$B$9,'Compliance Database'!$D1150&amp;" "&amp;'Compliance Database'!$K1150&amp;" "&amp;'Compliance Database'!$L1150&amp;" "&amp;'Compliance Database'!$M1150&amp;" "&amp;'Compliance Database'!$N1150&amp;" "&amp;'Compliance Database'!$O1150))),OR(Query!$B$10&lt;&gt;"Yes",'Compliance Database'!$F1150&lt;&gt;"None")),1,0)</f>
        <v>0</v>
      </c>
      <c r="B1150" t="str">
        <f>IF($A1150=1,SUM($A$2:$A1150),"")</f>
        <v/>
      </c>
      <c r="C1150">
        <f>IF($A1150=1,SUM($A$2:$A1150),0)</f>
        <v>0</v>
      </c>
    </row>
    <row r="1151" spans="1:3" x14ac:dyDescent="0.3">
      <c r="A1151">
        <f>IF(AND(OR(Query!$B$4="All",'Compliance Database'!$A1151=Query!$B$4),OR(Query!$B$5="All",ISNUMBER(SEARCH(Query!$B$5,'Compliance Database'!$H1151))),OR(Query!$B$6="All",ISNUMBER(SEARCH(Query!$B$6,'Compliance Database'!$I1151))),OR(Query!$B$7="All",'Compliance Database'!$F1151=Query!$B$7),OR(Query!$B$8="All",'Compliance Database'!$J1151=Query!$B$8),OR(Query!$B$9="",ISNUMBER(SEARCH(Query!$B$9,'Compliance Database'!$D1151&amp;" "&amp;'Compliance Database'!$K1151&amp;" "&amp;'Compliance Database'!$L1151&amp;" "&amp;'Compliance Database'!$M1151&amp;" "&amp;'Compliance Database'!$N1151&amp;" "&amp;'Compliance Database'!$O1151))),OR(Query!$B$10&lt;&gt;"Yes",'Compliance Database'!$F1151&lt;&gt;"None")),1,0)</f>
        <v>0</v>
      </c>
      <c r="B1151" t="str">
        <f>IF($A1151=1,SUM($A$2:$A1151),"")</f>
        <v/>
      </c>
      <c r="C1151">
        <f>IF($A1151=1,SUM($A$2:$A1151),0)</f>
        <v>0</v>
      </c>
    </row>
    <row r="1152" spans="1:3" x14ac:dyDescent="0.3">
      <c r="A1152">
        <f>IF(AND(OR(Query!$B$4="All",'Compliance Database'!$A1152=Query!$B$4),OR(Query!$B$5="All",ISNUMBER(SEARCH(Query!$B$5,'Compliance Database'!$H1152))),OR(Query!$B$6="All",ISNUMBER(SEARCH(Query!$B$6,'Compliance Database'!$I1152))),OR(Query!$B$7="All",'Compliance Database'!$F1152=Query!$B$7),OR(Query!$B$8="All",'Compliance Database'!$J1152=Query!$B$8),OR(Query!$B$9="",ISNUMBER(SEARCH(Query!$B$9,'Compliance Database'!$D1152&amp;" "&amp;'Compliance Database'!$K1152&amp;" "&amp;'Compliance Database'!$L1152&amp;" "&amp;'Compliance Database'!$M1152&amp;" "&amp;'Compliance Database'!$N1152&amp;" "&amp;'Compliance Database'!$O1152))),OR(Query!$B$10&lt;&gt;"Yes",'Compliance Database'!$F1152&lt;&gt;"None")),1,0)</f>
        <v>0</v>
      </c>
      <c r="B1152" t="str">
        <f>IF($A1152=1,SUM($A$2:$A1152),"")</f>
        <v/>
      </c>
      <c r="C1152">
        <f>IF($A1152=1,SUM($A$2:$A1152),0)</f>
        <v>0</v>
      </c>
    </row>
    <row r="1153" spans="1:3" x14ac:dyDescent="0.3">
      <c r="A1153">
        <f>IF(AND(OR(Query!$B$4="All",'Compliance Database'!$A1153=Query!$B$4),OR(Query!$B$5="All",ISNUMBER(SEARCH(Query!$B$5,'Compliance Database'!$H1153))),OR(Query!$B$6="All",ISNUMBER(SEARCH(Query!$B$6,'Compliance Database'!$I1153))),OR(Query!$B$7="All",'Compliance Database'!$F1153=Query!$B$7),OR(Query!$B$8="All",'Compliance Database'!$J1153=Query!$B$8),OR(Query!$B$9="",ISNUMBER(SEARCH(Query!$B$9,'Compliance Database'!$D1153&amp;" "&amp;'Compliance Database'!$K1153&amp;" "&amp;'Compliance Database'!$L1153&amp;" "&amp;'Compliance Database'!$M1153&amp;" "&amp;'Compliance Database'!$N1153&amp;" "&amp;'Compliance Database'!$O1153))),OR(Query!$B$10&lt;&gt;"Yes",'Compliance Database'!$F1153&lt;&gt;"None")),1,0)</f>
        <v>0</v>
      </c>
      <c r="B1153" t="str">
        <f>IF($A1153=1,SUM($A$2:$A1153),"")</f>
        <v/>
      </c>
      <c r="C1153">
        <f>IF($A1153=1,SUM($A$2:$A1153),0)</f>
        <v>0</v>
      </c>
    </row>
    <row r="1154" spans="1:3" x14ac:dyDescent="0.3">
      <c r="A1154">
        <f>IF(AND(OR(Query!$B$4="All",'Compliance Database'!$A1154=Query!$B$4),OR(Query!$B$5="All",ISNUMBER(SEARCH(Query!$B$5,'Compliance Database'!$H1154))),OR(Query!$B$6="All",ISNUMBER(SEARCH(Query!$B$6,'Compliance Database'!$I1154))),OR(Query!$B$7="All",'Compliance Database'!$F1154=Query!$B$7),OR(Query!$B$8="All",'Compliance Database'!$J1154=Query!$B$8),OR(Query!$B$9="",ISNUMBER(SEARCH(Query!$B$9,'Compliance Database'!$D1154&amp;" "&amp;'Compliance Database'!$K1154&amp;" "&amp;'Compliance Database'!$L1154&amp;" "&amp;'Compliance Database'!$M1154&amp;" "&amp;'Compliance Database'!$N1154&amp;" "&amp;'Compliance Database'!$O1154))),OR(Query!$B$10&lt;&gt;"Yes",'Compliance Database'!$F1154&lt;&gt;"None")),1,0)</f>
        <v>0</v>
      </c>
      <c r="B1154" t="str">
        <f>IF($A1154=1,SUM($A$2:$A1154),"")</f>
        <v/>
      </c>
      <c r="C1154">
        <f>IF($A1154=1,SUM($A$2:$A1154),0)</f>
        <v>0</v>
      </c>
    </row>
    <row r="1155" spans="1:3" x14ac:dyDescent="0.3">
      <c r="A1155">
        <f>IF(AND(OR(Query!$B$4="All",'Compliance Database'!$A1155=Query!$B$4),OR(Query!$B$5="All",ISNUMBER(SEARCH(Query!$B$5,'Compliance Database'!$H1155))),OR(Query!$B$6="All",ISNUMBER(SEARCH(Query!$B$6,'Compliance Database'!$I1155))),OR(Query!$B$7="All",'Compliance Database'!$F1155=Query!$B$7),OR(Query!$B$8="All",'Compliance Database'!$J1155=Query!$B$8),OR(Query!$B$9="",ISNUMBER(SEARCH(Query!$B$9,'Compliance Database'!$D1155&amp;" "&amp;'Compliance Database'!$K1155&amp;" "&amp;'Compliance Database'!$L1155&amp;" "&amp;'Compliance Database'!$M1155&amp;" "&amp;'Compliance Database'!$N1155&amp;" "&amp;'Compliance Database'!$O1155))),OR(Query!$B$10&lt;&gt;"Yes",'Compliance Database'!$F1155&lt;&gt;"None")),1,0)</f>
        <v>0</v>
      </c>
      <c r="B1155" t="str">
        <f>IF($A1155=1,SUM($A$2:$A1155),"")</f>
        <v/>
      </c>
      <c r="C1155">
        <f>IF($A1155=1,SUM($A$2:$A1155),0)</f>
        <v>0</v>
      </c>
    </row>
    <row r="1156" spans="1:3" x14ac:dyDescent="0.3">
      <c r="A1156">
        <f>IF(AND(OR(Query!$B$4="All",'Compliance Database'!$A1156=Query!$B$4),OR(Query!$B$5="All",ISNUMBER(SEARCH(Query!$B$5,'Compliance Database'!$H1156))),OR(Query!$B$6="All",ISNUMBER(SEARCH(Query!$B$6,'Compliance Database'!$I1156))),OR(Query!$B$7="All",'Compliance Database'!$F1156=Query!$B$7),OR(Query!$B$8="All",'Compliance Database'!$J1156=Query!$B$8),OR(Query!$B$9="",ISNUMBER(SEARCH(Query!$B$9,'Compliance Database'!$D1156&amp;" "&amp;'Compliance Database'!$K1156&amp;" "&amp;'Compliance Database'!$L1156&amp;" "&amp;'Compliance Database'!$M1156&amp;" "&amp;'Compliance Database'!$N1156&amp;" "&amp;'Compliance Database'!$O1156))),OR(Query!$B$10&lt;&gt;"Yes",'Compliance Database'!$F1156&lt;&gt;"None")),1,0)</f>
        <v>0</v>
      </c>
      <c r="B1156" t="str">
        <f>IF($A1156=1,SUM($A$2:$A1156),"")</f>
        <v/>
      </c>
      <c r="C1156">
        <f>IF($A1156=1,SUM($A$2:$A1156),0)</f>
        <v>0</v>
      </c>
    </row>
    <row r="1157" spans="1:3" x14ac:dyDescent="0.3">
      <c r="A1157">
        <f>IF(AND(OR(Query!$B$4="All",'Compliance Database'!$A1157=Query!$B$4),OR(Query!$B$5="All",ISNUMBER(SEARCH(Query!$B$5,'Compliance Database'!$H1157))),OR(Query!$B$6="All",ISNUMBER(SEARCH(Query!$B$6,'Compliance Database'!$I1157))),OR(Query!$B$7="All",'Compliance Database'!$F1157=Query!$B$7),OR(Query!$B$8="All",'Compliance Database'!$J1157=Query!$B$8),OR(Query!$B$9="",ISNUMBER(SEARCH(Query!$B$9,'Compliance Database'!$D1157&amp;" "&amp;'Compliance Database'!$K1157&amp;" "&amp;'Compliance Database'!$L1157&amp;" "&amp;'Compliance Database'!$M1157&amp;" "&amp;'Compliance Database'!$N1157&amp;" "&amp;'Compliance Database'!$O1157))),OR(Query!$B$10&lt;&gt;"Yes",'Compliance Database'!$F1157&lt;&gt;"None")),1,0)</f>
        <v>0</v>
      </c>
      <c r="B1157" t="str">
        <f>IF($A1157=1,SUM($A$2:$A1157),"")</f>
        <v/>
      </c>
      <c r="C1157">
        <f>IF($A1157=1,SUM($A$2:$A1157),0)</f>
        <v>0</v>
      </c>
    </row>
    <row r="1158" spans="1:3" x14ac:dyDescent="0.3">
      <c r="A1158">
        <f>IF(AND(OR(Query!$B$4="All",'Compliance Database'!$A1158=Query!$B$4),OR(Query!$B$5="All",ISNUMBER(SEARCH(Query!$B$5,'Compliance Database'!$H1158))),OR(Query!$B$6="All",ISNUMBER(SEARCH(Query!$B$6,'Compliance Database'!$I1158))),OR(Query!$B$7="All",'Compliance Database'!$F1158=Query!$B$7),OR(Query!$B$8="All",'Compliance Database'!$J1158=Query!$B$8),OR(Query!$B$9="",ISNUMBER(SEARCH(Query!$B$9,'Compliance Database'!$D1158&amp;" "&amp;'Compliance Database'!$K1158&amp;" "&amp;'Compliance Database'!$L1158&amp;" "&amp;'Compliance Database'!$M1158&amp;" "&amp;'Compliance Database'!$N1158&amp;" "&amp;'Compliance Database'!$O1158))),OR(Query!$B$10&lt;&gt;"Yes",'Compliance Database'!$F1158&lt;&gt;"None")),1,0)</f>
        <v>0</v>
      </c>
      <c r="B1158" t="str">
        <f>IF($A1158=1,SUM($A$2:$A1158),"")</f>
        <v/>
      </c>
      <c r="C1158">
        <f>IF($A1158=1,SUM($A$2:$A1158),0)</f>
        <v>0</v>
      </c>
    </row>
    <row r="1159" spans="1:3" x14ac:dyDescent="0.3">
      <c r="A1159">
        <f>IF(AND(OR(Query!$B$4="All",'Compliance Database'!$A1159=Query!$B$4),OR(Query!$B$5="All",ISNUMBER(SEARCH(Query!$B$5,'Compliance Database'!$H1159))),OR(Query!$B$6="All",ISNUMBER(SEARCH(Query!$B$6,'Compliance Database'!$I1159))),OR(Query!$B$7="All",'Compliance Database'!$F1159=Query!$B$7),OR(Query!$B$8="All",'Compliance Database'!$J1159=Query!$B$8),OR(Query!$B$9="",ISNUMBER(SEARCH(Query!$B$9,'Compliance Database'!$D1159&amp;" "&amp;'Compliance Database'!$K1159&amp;" "&amp;'Compliance Database'!$L1159&amp;" "&amp;'Compliance Database'!$M1159&amp;" "&amp;'Compliance Database'!$N1159&amp;" "&amp;'Compliance Database'!$O1159))),OR(Query!$B$10&lt;&gt;"Yes",'Compliance Database'!$F1159&lt;&gt;"None")),1,0)</f>
        <v>0</v>
      </c>
      <c r="B1159" t="str">
        <f>IF($A1159=1,SUM($A$2:$A1159),"")</f>
        <v/>
      </c>
      <c r="C1159">
        <f>IF($A1159=1,SUM($A$2:$A1159),0)</f>
        <v>0</v>
      </c>
    </row>
    <row r="1160" spans="1:3" x14ac:dyDescent="0.3">
      <c r="A1160">
        <f>IF(AND(OR(Query!$B$4="All",'Compliance Database'!$A1160=Query!$B$4),OR(Query!$B$5="All",ISNUMBER(SEARCH(Query!$B$5,'Compliance Database'!$H1160))),OR(Query!$B$6="All",ISNUMBER(SEARCH(Query!$B$6,'Compliance Database'!$I1160))),OR(Query!$B$7="All",'Compliance Database'!$F1160=Query!$B$7),OR(Query!$B$8="All",'Compliance Database'!$J1160=Query!$B$8),OR(Query!$B$9="",ISNUMBER(SEARCH(Query!$B$9,'Compliance Database'!$D1160&amp;" "&amp;'Compliance Database'!$K1160&amp;" "&amp;'Compliance Database'!$L1160&amp;" "&amp;'Compliance Database'!$M1160&amp;" "&amp;'Compliance Database'!$N1160&amp;" "&amp;'Compliance Database'!$O1160))),OR(Query!$B$10&lt;&gt;"Yes",'Compliance Database'!$F1160&lt;&gt;"None")),1,0)</f>
        <v>0</v>
      </c>
      <c r="B1160" t="str">
        <f>IF($A1160=1,SUM($A$2:$A1160),"")</f>
        <v/>
      </c>
      <c r="C1160">
        <f>IF($A1160=1,SUM($A$2:$A1160),0)</f>
        <v>0</v>
      </c>
    </row>
    <row r="1161" spans="1:3" x14ac:dyDescent="0.3">
      <c r="A1161">
        <f>IF(AND(OR(Query!$B$4="All",'Compliance Database'!$A1161=Query!$B$4),OR(Query!$B$5="All",ISNUMBER(SEARCH(Query!$B$5,'Compliance Database'!$H1161))),OR(Query!$B$6="All",ISNUMBER(SEARCH(Query!$B$6,'Compliance Database'!$I1161))),OR(Query!$B$7="All",'Compliance Database'!$F1161=Query!$B$7),OR(Query!$B$8="All",'Compliance Database'!$J1161=Query!$B$8),OR(Query!$B$9="",ISNUMBER(SEARCH(Query!$B$9,'Compliance Database'!$D1161&amp;" "&amp;'Compliance Database'!$K1161&amp;" "&amp;'Compliance Database'!$L1161&amp;" "&amp;'Compliance Database'!$M1161&amp;" "&amp;'Compliance Database'!$N1161&amp;" "&amp;'Compliance Database'!$O1161))),OR(Query!$B$10&lt;&gt;"Yes",'Compliance Database'!$F1161&lt;&gt;"None")),1,0)</f>
        <v>0</v>
      </c>
      <c r="B1161" t="str">
        <f>IF($A1161=1,SUM($A$2:$A1161),"")</f>
        <v/>
      </c>
      <c r="C1161">
        <f>IF($A1161=1,SUM($A$2:$A1161),0)</f>
        <v>0</v>
      </c>
    </row>
    <row r="1162" spans="1:3" x14ac:dyDescent="0.3">
      <c r="A1162">
        <f>IF(AND(OR(Query!$B$4="All",'Compliance Database'!$A1162=Query!$B$4),OR(Query!$B$5="All",ISNUMBER(SEARCH(Query!$B$5,'Compliance Database'!$H1162))),OR(Query!$B$6="All",ISNUMBER(SEARCH(Query!$B$6,'Compliance Database'!$I1162))),OR(Query!$B$7="All",'Compliance Database'!$F1162=Query!$B$7),OR(Query!$B$8="All",'Compliance Database'!$J1162=Query!$B$8),OR(Query!$B$9="",ISNUMBER(SEARCH(Query!$B$9,'Compliance Database'!$D1162&amp;" "&amp;'Compliance Database'!$K1162&amp;" "&amp;'Compliance Database'!$L1162&amp;" "&amp;'Compliance Database'!$M1162&amp;" "&amp;'Compliance Database'!$N1162&amp;" "&amp;'Compliance Database'!$O1162))),OR(Query!$B$10&lt;&gt;"Yes",'Compliance Database'!$F1162&lt;&gt;"None")),1,0)</f>
        <v>0</v>
      </c>
      <c r="B1162" t="str">
        <f>IF($A1162=1,SUM($A$2:$A1162),"")</f>
        <v/>
      </c>
      <c r="C1162">
        <f>IF($A1162=1,SUM($A$2:$A1162),0)</f>
        <v>0</v>
      </c>
    </row>
    <row r="1163" spans="1:3" x14ac:dyDescent="0.3">
      <c r="A1163">
        <f>IF(AND(OR(Query!$B$4="All",'Compliance Database'!$A1163=Query!$B$4),OR(Query!$B$5="All",ISNUMBER(SEARCH(Query!$B$5,'Compliance Database'!$H1163))),OR(Query!$B$6="All",ISNUMBER(SEARCH(Query!$B$6,'Compliance Database'!$I1163))),OR(Query!$B$7="All",'Compliance Database'!$F1163=Query!$B$7),OR(Query!$B$8="All",'Compliance Database'!$J1163=Query!$B$8),OR(Query!$B$9="",ISNUMBER(SEARCH(Query!$B$9,'Compliance Database'!$D1163&amp;" "&amp;'Compliance Database'!$K1163&amp;" "&amp;'Compliance Database'!$L1163&amp;" "&amp;'Compliance Database'!$M1163&amp;" "&amp;'Compliance Database'!$N1163&amp;" "&amp;'Compliance Database'!$O1163))),OR(Query!$B$10&lt;&gt;"Yes",'Compliance Database'!$F1163&lt;&gt;"None")),1,0)</f>
        <v>0</v>
      </c>
      <c r="B1163" t="str">
        <f>IF($A1163=1,SUM($A$2:$A1163),"")</f>
        <v/>
      </c>
      <c r="C1163">
        <f>IF($A1163=1,SUM($A$2:$A1163),0)</f>
        <v>0</v>
      </c>
    </row>
    <row r="1164" spans="1:3" x14ac:dyDescent="0.3">
      <c r="A1164">
        <f>IF(AND(OR(Query!$B$4="All",'Compliance Database'!$A1164=Query!$B$4),OR(Query!$B$5="All",ISNUMBER(SEARCH(Query!$B$5,'Compliance Database'!$H1164))),OR(Query!$B$6="All",ISNUMBER(SEARCH(Query!$B$6,'Compliance Database'!$I1164))),OR(Query!$B$7="All",'Compliance Database'!$F1164=Query!$B$7),OR(Query!$B$8="All",'Compliance Database'!$J1164=Query!$B$8),OR(Query!$B$9="",ISNUMBER(SEARCH(Query!$B$9,'Compliance Database'!$D1164&amp;" "&amp;'Compliance Database'!$K1164&amp;" "&amp;'Compliance Database'!$L1164&amp;" "&amp;'Compliance Database'!$M1164&amp;" "&amp;'Compliance Database'!$N1164&amp;" "&amp;'Compliance Database'!$O1164))),OR(Query!$B$10&lt;&gt;"Yes",'Compliance Database'!$F1164&lt;&gt;"None")),1,0)</f>
        <v>0</v>
      </c>
      <c r="B1164" t="str">
        <f>IF($A1164=1,SUM($A$2:$A1164),"")</f>
        <v/>
      </c>
      <c r="C1164">
        <f>IF($A1164=1,SUM($A$2:$A1164),0)</f>
        <v>0</v>
      </c>
    </row>
    <row r="1165" spans="1:3" x14ac:dyDescent="0.3">
      <c r="A1165">
        <f>IF(AND(OR(Query!$B$4="All",'Compliance Database'!$A1165=Query!$B$4),OR(Query!$B$5="All",ISNUMBER(SEARCH(Query!$B$5,'Compliance Database'!$H1165))),OR(Query!$B$6="All",ISNUMBER(SEARCH(Query!$B$6,'Compliance Database'!$I1165))),OR(Query!$B$7="All",'Compliance Database'!$F1165=Query!$B$7),OR(Query!$B$8="All",'Compliance Database'!$J1165=Query!$B$8),OR(Query!$B$9="",ISNUMBER(SEARCH(Query!$B$9,'Compliance Database'!$D1165&amp;" "&amp;'Compliance Database'!$K1165&amp;" "&amp;'Compliance Database'!$L1165&amp;" "&amp;'Compliance Database'!$M1165&amp;" "&amp;'Compliance Database'!$N1165&amp;" "&amp;'Compliance Database'!$O1165))),OR(Query!$B$10&lt;&gt;"Yes",'Compliance Database'!$F1165&lt;&gt;"None")),1,0)</f>
        <v>0</v>
      </c>
      <c r="B1165" t="str">
        <f>IF($A1165=1,SUM($A$2:$A1165),"")</f>
        <v/>
      </c>
      <c r="C1165">
        <f>IF($A1165=1,SUM($A$2:$A1165),0)</f>
        <v>0</v>
      </c>
    </row>
    <row r="1166" spans="1:3" x14ac:dyDescent="0.3">
      <c r="A1166">
        <f>IF(AND(OR(Query!$B$4="All",'Compliance Database'!$A1166=Query!$B$4),OR(Query!$B$5="All",ISNUMBER(SEARCH(Query!$B$5,'Compliance Database'!$H1166))),OR(Query!$B$6="All",ISNUMBER(SEARCH(Query!$B$6,'Compliance Database'!$I1166))),OR(Query!$B$7="All",'Compliance Database'!$F1166=Query!$B$7),OR(Query!$B$8="All",'Compliance Database'!$J1166=Query!$B$8),OR(Query!$B$9="",ISNUMBER(SEARCH(Query!$B$9,'Compliance Database'!$D1166&amp;" "&amp;'Compliance Database'!$K1166&amp;" "&amp;'Compliance Database'!$L1166&amp;" "&amp;'Compliance Database'!$M1166&amp;" "&amp;'Compliance Database'!$N1166&amp;" "&amp;'Compliance Database'!$O1166))),OR(Query!$B$10&lt;&gt;"Yes",'Compliance Database'!$F1166&lt;&gt;"None")),1,0)</f>
        <v>0</v>
      </c>
      <c r="B1166" t="str">
        <f>IF($A1166=1,SUM($A$2:$A1166),"")</f>
        <v/>
      </c>
      <c r="C1166">
        <f>IF($A1166=1,SUM($A$2:$A1166),0)</f>
        <v>0</v>
      </c>
    </row>
    <row r="1167" spans="1:3" x14ac:dyDescent="0.3">
      <c r="A1167">
        <f>IF(AND(OR(Query!$B$4="All",'Compliance Database'!$A1167=Query!$B$4),OR(Query!$B$5="All",ISNUMBER(SEARCH(Query!$B$5,'Compliance Database'!$H1167))),OR(Query!$B$6="All",ISNUMBER(SEARCH(Query!$B$6,'Compliance Database'!$I1167))),OR(Query!$B$7="All",'Compliance Database'!$F1167=Query!$B$7),OR(Query!$B$8="All",'Compliance Database'!$J1167=Query!$B$8),OR(Query!$B$9="",ISNUMBER(SEARCH(Query!$B$9,'Compliance Database'!$D1167&amp;" "&amp;'Compliance Database'!$K1167&amp;" "&amp;'Compliance Database'!$L1167&amp;" "&amp;'Compliance Database'!$M1167&amp;" "&amp;'Compliance Database'!$N1167&amp;" "&amp;'Compliance Database'!$O1167))),OR(Query!$B$10&lt;&gt;"Yes",'Compliance Database'!$F1167&lt;&gt;"None")),1,0)</f>
        <v>0</v>
      </c>
      <c r="B1167" t="str">
        <f>IF($A1167=1,SUM($A$2:$A1167),"")</f>
        <v/>
      </c>
      <c r="C1167">
        <f>IF($A1167=1,SUM($A$2:$A1167),0)</f>
        <v>0</v>
      </c>
    </row>
    <row r="1168" spans="1:3" x14ac:dyDescent="0.3">
      <c r="A1168">
        <f>IF(AND(OR(Query!$B$4="All",'Compliance Database'!$A1168=Query!$B$4),OR(Query!$B$5="All",ISNUMBER(SEARCH(Query!$B$5,'Compliance Database'!$H1168))),OR(Query!$B$6="All",ISNUMBER(SEARCH(Query!$B$6,'Compliance Database'!$I1168))),OR(Query!$B$7="All",'Compliance Database'!$F1168=Query!$B$7),OR(Query!$B$8="All",'Compliance Database'!$J1168=Query!$B$8),OR(Query!$B$9="",ISNUMBER(SEARCH(Query!$B$9,'Compliance Database'!$D1168&amp;" "&amp;'Compliance Database'!$K1168&amp;" "&amp;'Compliance Database'!$L1168&amp;" "&amp;'Compliance Database'!$M1168&amp;" "&amp;'Compliance Database'!$N1168&amp;" "&amp;'Compliance Database'!$O1168))),OR(Query!$B$10&lt;&gt;"Yes",'Compliance Database'!$F1168&lt;&gt;"None")),1,0)</f>
        <v>0</v>
      </c>
      <c r="B1168" t="str">
        <f>IF($A1168=1,SUM($A$2:$A1168),"")</f>
        <v/>
      </c>
      <c r="C1168">
        <f>IF($A1168=1,SUM($A$2:$A1168),0)</f>
        <v>0</v>
      </c>
    </row>
    <row r="1169" spans="1:3" x14ac:dyDescent="0.3">
      <c r="A1169">
        <f>IF(AND(OR(Query!$B$4="All",'Compliance Database'!$A1169=Query!$B$4),OR(Query!$B$5="All",ISNUMBER(SEARCH(Query!$B$5,'Compliance Database'!$H1169))),OR(Query!$B$6="All",ISNUMBER(SEARCH(Query!$B$6,'Compliance Database'!$I1169))),OR(Query!$B$7="All",'Compliance Database'!$F1169=Query!$B$7),OR(Query!$B$8="All",'Compliance Database'!$J1169=Query!$B$8),OR(Query!$B$9="",ISNUMBER(SEARCH(Query!$B$9,'Compliance Database'!$D1169&amp;" "&amp;'Compliance Database'!$K1169&amp;" "&amp;'Compliance Database'!$L1169&amp;" "&amp;'Compliance Database'!$M1169&amp;" "&amp;'Compliance Database'!$N1169&amp;" "&amp;'Compliance Database'!$O1169))),OR(Query!$B$10&lt;&gt;"Yes",'Compliance Database'!$F1169&lt;&gt;"None")),1,0)</f>
        <v>0</v>
      </c>
      <c r="B1169" t="str">
        <f>IF($A1169=1,SUM($A$2:$A1169),"")</f>
        <v/>
      </c>
      <c r="C1169">
        <f>IF($A1169=1,SUM($A$2:$A1169),0)</f>
        <v>0</v>
      </c>
    </row>
    <row r="1170" spans="1:3" x14ac:dyDescent="0.3">
      <c r="A1170">
        <f>IF(AND(OR(Query!$B$4="All",'Compliance Database'!$A1170=Query!$B$4),OR(Query!$B$5="All",ISNUMBER(SEARCH(Query!$B$5,'Compliance Database'!$H1170))),OR(Query!$B$6="All",ISNUMBER(SEARCH(Query!$B$6,'Compliance Database'!$I1170))),OR(Query!$B$7="All",'Compliance Database'!$F1170=Query!$B$7),OR(Query!$B$8="All",'Compliance Database'!$J1170=Query!$B$8),OR(Query!$B$9="",ISNUMBER(SEARCH(Query!$B$9,'Compliance Database'!$D1170&amp;" "&amp;'Compliance Database'!$K1170&amp;" "&amp;'Compliance Database'!$L1170&amp;" "&amp;'Compliance Database'!$M1170&amp;" "&amp;'Compliance Database'!$N1170&amp;" "&amp;'Compliance Database'!$O1170))),OR(Query!$B$10&lt;&gt;"Yes",'Compliance Database'!$F1170&lt;&gt;"None")),1,0)</f>
        <v>0</v>
      </c>
      <c r="B1170" t="str">
        <f>IF($A1170=1,SUM($A$2:$A1170),"")</f>
        <v/>
      </c>
      <c r="C1170">
        <f>IF($A1170=1,SUM($A$2:$A1170),0)</f>
        <v>0</v>
      </c>
    </row>
    <row r="1171" spans="1:3" x14ac:dyDescent="0.3">
      <c r="A1171">
        <f>IF(AND(OR(Query!$B$4="All",'Compliance Database'!$A1171=Query!$B$4),OR(Query!$B$5="All",ISNUMBER(SEARCH(Query!$B$5,'Compliance Database'!$H1171))),OR(Query!$B$6="All",ISNUMBER(SEARCH(Query!$B$6,'Compliance Database'!$I1171))),OR(Query!$B$7="All",'Compliance Database'!$F1171=Query!$B$7),OR(Query!$B$8="All",'Compliance Database'!$J1171=Query!$B$8),OR(Query!$B$9="",ISNUMBER(SEARCH(Query!$B$9,'Compliance Database'!$D1171&amp;" "&amp;'Compliance Database'!$K1171&amp;" "&amp;'Compliance Database'!$L1171&amp;" "&amp;'Compliance Database'!$M1171&amp;" "&amp;'Compliance Database'!$N1171&amp;" "&amp;'Compliance Database'!$O1171))),OR(Query!$B$10&lt;&gt;"Yes",'Compliance Database'!$F1171&lt;&gt;"None")),1,0)</f>
        <v>0</v>
      </c>
      <c r="B1171" t="str">
        <f>IF($A1171=1,SUM($A$2:$A1171),"")</f>
        <v/>
      </c>
      <c r="C1171">
        <f>IF($A1171=1,SUM($A$2:$A1171),0)</f>
        <v>0</v>
      </c>
    </row>
    <row r="1172" spans="1:3" x14ac:dyDescent="0.3">
      <c r="A1172">
        <f>IF(AND(OR(Query!$B$4="All",'Compliance Database'!$A1172=Query!$B$4),OR(Query!$B$5="All",ISNUMBER(SEARCH(Query!$B$5,'Compliance Database'!$H1172))),OR(Query!$B$6="All",ISNUMBER(SEARCH(Query!$B$6,'Compliance Database'!$I1172))),OR(Query!$B$7="All",'Compliance Database'!$F1172=Query!$B$7),OR(Query!$B$8="All",'Compliance Database'!$J1172=Query!$B$8),OR(Query!$B$9="",ISNUMBER(SEARCH(Query!$B$9,'Compliance Database'!$D1172&amp;" "&amp;'Compliance Database'!$K1172&amp;" "&amp;'Compliance Database'!$L1172&amp;" "&amp;'Compliance Database'!$M1172&amp;" "&amp;'Compliance Database'!$N1172&amp;" "&amp;'Compliance Database'!$O1172))),OR(Query!$B$10&lt;&gt;"Yes",'Compliance Database'!$F1172&lt;&gt;"None")),1,0)</f>
        <v>0</v>
      </c>
      <c r="B1172" t="str">
        <f>IF($A1172=1,SUM($A$2:$A1172),"")</f>
        <v/>
      </c>
      <c r="C1172">
        <f>IF($A1172=1,SUM($A$2:$A1172),0)</f>
        <v>0</v>
      </c>
    </row>
    <row r="1173" spans="1:3" x14ac:dyDescent="0.3">
      <c r="A1173">
        <f>IF(AND(OR(Query!$B$4="All",'Compliance Database'!$A1173=Query!$B$4),OR(Query!$B$5="All",ISNUMBER(SEARCH(Query!$B$5,'Compliance Database'!$H1173))),OR(Query!$B$6="All",ISNUMBER(SEARCH(Query!$B$6,'Compliance Database'!$I1173))),OR(Query!$B$7="All",'Compliance Database'!$F1173=Query!$B$7),OR(Query!$B$8="All",'Compliance Database'!$J1173=Query!$B$8),OR(Query!$B$9="",ISNUMBER(SEARCH(Query!$B$9,'Compliance Database'!$D1173&amp;" "&amp;'Compliance Database'!$K1173&amp;" "&amp;'Compliance Database'!$L1173&amp;" "&amp;'Compliance Database'!$M1173&amp;" "&amp;'Compliance Database'!$N1173&amp;" "&amp;'Compliance Database'!$O1173))),OR(Query!$B$10&lt;&gt;"Yes",'Compliance Database'!$F1173&lt;&gt;"None")),1,0)</f>
        <v>0</v>
      </c>
      <c r="B1173" t="str">
        <f>IF($A1173=1,SUM($A$2:$A1173),"")</f>
        <v/>
      </c>
      <c r="C1173">
        <f>IF($A1173=1,SUM($A$2:$A1173),0)</f>
        <v>0</v>
      </c>
    </row>
    <row r="1174" spans="1:3" x14ac:dyDescent="0.3">
      <c r="A1174">
        <f>IF(AND(OR(Query!$B$4="All",'Compliance Database'!$A1174=Query!$B$4),OR(Query!$B$5="All",ISNUMBER(SEARCH(Query!$B$5,'Compliance Database'!$H1174))),OR(Query!$B$6="All",ISNUMBER(SEARCH(Query!$B$6,'Compliance Database'!$I1174))),OR(Query!$B$7="All",'Compliance Database'!$F1174=Query!$B$7),OR(Query!$B$8="All",'Compliance Database'!$J1174=Query!$B$8),OR(Query!$B$9="",ISNUMBER(SEARCH(Query!$B$9,'Compliance Database'!$D1174&amp;" "&amp;'Compliance Database'!$K1174&amp;" "&amp;'Compliance Database'!$L1174&amp;" "&amp;'Compliance Database'!$M1174&amp;" "&amp;'Compliance Database'!$N1174&amp;" "&amp;'Compliance Database'!$O1174))),OR(Query!$B$10&lt;&gt;"Yes",'Compliance Database'!$F1174&lt;&gt;"None")),1,0)</f>
        <v>0</v>
      </c>
      <c r="B1174" t="str">
        <f>IF($A1174=1,SUM($A$2:$A1174),"")</f>
        <v/>
      </c>
      <c r="C1174">
        <f>IF($A1174=1,SUM($A$2:$A1174),0)</f>
        <v>0</v>
      </c>
    </row>
    <row r="1175" spans="1:3" x14ac:dyDescent="0.3">
      <c r="A1175">
        <f>IF(AND(OR(Query!$B$4="All",'Compliance Database'!$A1175=Query!$B$4),OR(Query!$B$5="All",ISNUMBER(SEARCH(Query!$B$5,'Compliance Database'!$H1175))),OR(Query!$B$6="All",ISNUMBER(SEARCH(Query!$B$6,'Compliance Database'!$I1175))),OR(Query!$B$7="All",'Compliance Database'!$F1175=Query!$B$7),OR(Query!$B$8="All",'Compliance Database'!$J1175=Query!$B$8),OR(Query!$B$9="",ISNUMBER(SEARCH(Query!$B$9,'Compliance Database'!$D1175&amp;" "&amp;'Compliance Database'!$K1175&amp;" "&amp;'Compliance Database'!$L1175&amp;" "&amp;'Compliance Database'!$M1175&amp;" "&amp;'Compliance Database'!$N1175&amp;" "&amp;'Compliance Database'!$O1175))),OR(Query!$B$10&lt;&gt;"Yes",'Compliance Database'!$F1175&lt;&gt;"None")),1,0)</f>
        <v>0</v>
      </c>
      <c r="B1175" t="str">
        <f>IF($A1175=1,SUM($A$2:$A1175),"")</f>
        <v/>
      </c>
      <c r="C1175">
        <f>IF($A1175=1,SUM($A$2:$A1175),0)</f>
        <v>0</v>
      </c>
    </row>
    <row r="1176" spans="1:3" x14ac:dyDescent="0.3">
      <c r="A1176">
        <f>IF(AND(OR(Query!$B$4="All",'Compliance Database'!$A1176=Query!$B$4),OR(Query!$B$5="All",ISNUMBER(SEARCH(Query!$B$5,'Compliance Database'!$H1176))),OR(Query!$B$6="All",ISNUMBER(SEARCH(Query!$B$6,'Compliance Database'!$I1176))),OR(Query!$B$7="All",'Compliance Database'!$F1176=Query!$B$7),OR(Query!$B$8="All",'Compliance Database'!$J1176=Query!$B$8),OR(Query!$B$9="",ISNUMBER(SEARCH(Query!$B$9,'Compliance Database'!$D1176&amp;" "&amp;'Compliance Database'!$K1176&amp;" "&amp;'Compliance Database'!$L1176&amp;" "&amp;'Compliance Database'!$M1176&amp;" "&amp;'Compliance Database'!$N1176&amp;" "&amp;'Compliance Database'!$O1176))),OR(Query!$B$10&lt;&gt;"Yes",'Compliance Database'!$F1176&lt;&gt;"None")),1,0)</f>
        <v>0</v>
      </c>
      <c r="B1176" t="str">
        <f>IF($A1176=1,SUM($A$2:$A1176),"")</f>
        <v/>
      </c>
      <c r="C1176">
        <f>IF($A1176=1,SUM($A$2:$A1176),0)</f>
        <v>0</v>
      </c>
    </row>
    <row r="1177" spans="1:3" x14ac:dyDescent="0.3">
      <c r="A1177">
        <f>IF(AND(OR(Query!$B$4="All",'Compliance Database'!$A1177=Query!$B$4),OR(Query!$B$5="All",ISNUMBER(SEARCH(Query!$B$5,'Compliance Database'!$H1177))),OR(Query!$B$6="All",ISNUMBER(SEARCH(Query!$B$6,'Compliance Database'!$I1177))),OR(Query!$B$7="All",'Compliance Database'!$F1177=Query!$B$7),OR(Query!$B$8="All",'Compliance Database'!$J1177=Query!$B$8),OR(Query!$B$9="",ISNUMBER(SEARCH(Query!$B$9,'Compliance Database'!$D1177&amp;" "&amp;'Compliance Database'!$K1177&amp;" "&amp;'Compliance Database'!$L1177&amp;" "&amp;'Compliance Database'!$M1177&amp;" "&amp;'Compliance Database'!$N1177&amp;" "&amp;'Compliance Database'!$O1177))),OR(Query!$B$10&lt;&gt;"Yes",'Compliance Database'!$F1177&lt;&gt;"None")),1,0)</f>
        <v>0</v>
      </c>
      <c r="B1177" t="str">
        <f>IF($A1177=1,SUM($A$2:$A1177),"")</f>
        <v/>
      </c>
      <c r="C1177">
        <f>IF($A1177=1,SUM($A$2:$A1177),0)</f>
        <v>0</v>
      </c>
    </row>
    <row r="1178" spans="1:3" x14ac:dyDescent="0.3">
      <c r="A1178">
        <f>IF(AND(OR(Query!$B$4="All",'Compliance Database'!$A1178=Query!$B$4),OR(Query!$B$5="All",ISNUMBER(SEARCH(Query!$B$5,'Compliance Database'!$H1178))),OR(Query!$B$6="All",ISNUMBER(SEARCH(Query!$B$6,'Compliance Database'!$I1178))),OR(Query!$B$7="All",'Compliance Database'!$F1178=Query!$B$7),OR(Query!$B$8="All",'Compliance Database'!$J1178=Query!$B$8),OR(Query!$B$9="",ISNUMBER(SEARCH(Query!$B$9,'Compliance Database'!$D1178&amp;" "&amp;'Compliance Database'!$K1178&amp;" "&amp;'Compliance Database'!$L1178&amp;" "&amp;'Compliance Database'!$M1178&amp;" "&amp;'Compliance Database'!$N1178&amp;" "&amp;'Compliance Database'!$O1178))),OR(Query!$B$10&lt;&gt;"Yes",'Compliance Database'!$F1178&lt;&gt;"None")),1,0)</f>
        <v>0</v>
      </c>
      <c r="B1178" t="str">
        <f>IF($A1178=1,SUM($A$2:$A1178),"")</f>
        <v/>
      </c>
      <c r="C1178">
        <f>IF($A1178=1,SUM($A$2:$A1178),0)</f>
        <v>0</v>
      </c>
    </row>
    <row r="1179" spans="1:3" x14ac:dyDescent="0.3">
      <c r="A1179">
        <f>IF(AND(OR(Query!$B$4="All",'Compliance Database'!$A1179=Query!$B$4),OR(Query!$B$5="All",ISNUMBER(SEARCH(Query!$B$5,'Compliance Database'!$H1179))),OR(Query!$B$6="All",ISNUMBER(SEARCH(Query!$B$6,'Compliance Database'!$I1179))),OR(Query!$B$7="All",'Compliance Database'!$F1179=Query!$B$7),OR(Query!$B$8="All",'Compliance Database'!$J1179=Query!$B$8),OR(Query!$B$9="",ISNUMBER(SEARCH(Query!$B$9,'Compliance Database'!$D1179&amp;" "&amp;'Compliance Database'!$K1179&amp;" "&amp;'Compliance Database'!$L1179&amp;" "&amp;'Compliance Database'!$M1179&amp;" "&amp;'Compliance Database'!$N1179&amp;" "&amp;'Compliance Database'!$O1179))),OR(Query!$B$10&lt;&gt;"Yes",'Compliance Database'!$F1179&lt;&gt;"None")),1,0)</f>
        <v>0</v>
      </c>
      <c r="B1179" t="str">
        <f>IF($A1179=1,SUM($A$2:$A1179),"")</f>
        <v/>
      </c>
      <c r="C1179">
        <f>IF($A1179=1,SUM($A$2:$A1179),0)</f>
        <v>0</v>
      </c>
    </row>
    <row r="1180" spans="1:3" x14ac:dyDescent="0.3">
      <c r="A1180">
        <f>IF(AND(OR(Query!$B$4="All",'Compliance Database'!$A1180=Query!$B$4),OR(Query!$B$5="All",ISNUMBER(SEARCH(Query!$B$5,'Compliance Database'!$H1180))),OR(Query!$B$6="All",ISNUMBER(SEARCH(Query!$B$6,'Compliance Database'!$I1180))),OR(Query!$B$7="All",'Compliance Database'!$F1180=Query!$B$7),OR(Query!$B$8="All",'Compliance Database'!$J1180=Query!$B$8),OR(Query!$B$9="",ISNUMBER(SEARCH(Query!$B$9,'Compliance Database'!$D1180&amp;" "&amp;'Compliance Database'!$K1180&amp;" "&amp;'Compliance Database'!$L1180&amp;" "&amp;'Compliance Database'!$M1180&amp;" "&amp;'Compliance Database'!$N1180&amp;" "&amp;'Compliance Database'!$O1180))),OR(Query!$B$10&lt;&gt;"Yes",'Compliance Database'!$F1180&lt;&gt;"None")),1,0)</f>
        <v>0</v>
      </c>
      <c r="B1180" t="str">
        <f>IF($A1180=1,SUM($A$2:$A1180),"")</f>
        <v/>
      </c>
      <c r="C1180">
        <f>IF($A1180=1,SUM($A$2:$A1180),0)</f>
        <v>0</v>
      </c>
    </row>
    <row r="1181" spans="1:3" x14ac:dyDescent="0.3">
      <c r="A1181">
        <f>IF(AND(OR(Query!$B$4="All",'Compliance Database'!$A1181=Query!$B$4),OR(Query!$B$5="All",ISNUMBER(SEARCH(Query!$B$5,'Compliance Database'!$H1181))),OR(Query!$B$6="All",ISNUMBER(SEARCH(Query!$B$6,'Compliance Database'!$I1181))),OR(Query!$B$7="All",'Compliance Database'!$F1181=Query!$B$7),OR(Query!$B$8="All",'Compliance Database'!$J1181=Query!$B$8),OR(Query!$B$9="",ISNUMBER(SEARCH(Query!$B$9,'Compliance Database'!$D1181&amp;" "&amp;'Compliance Database'!$K1181&amp;" "&amp;'Compliance Database'!$L1181&amp;" "&amp;'Compliance Database'!$M1181&amp;" "&amp;'Compliance Database'!$N1181&amp;" "&amp;'Compliance Database'!$O1181))),OR(Query!$B$10&lt;&gt;"Yes",'Compliance Database'!$F1181&lt;&gt;"None")),1,0)</f>
        <v>0</v>
      </c>
      <c r="B1181" t="str">
        <f>IF($A1181=1,SUM($A$2:$A1181),"")</f>
        <v/>
      </c>
      <c r="C1181">
        <f>IF($A1181=1,SUM($A$2:$A1181),0)</f>
        <v>0</v>
      </c>
    </row>
    <row r="1182" spans="1:3" x14ac:dyDescent="0.3">
      <c r="A1182">
        <f>IF(AND(OR(Query!$B$4="All",'Compliance Database'!$A1182=Query!$B$4),OR(Query!$B$5="All",ISNUMBER(SEARCH(Query!$B$5,'Compliance Database'!$H1182))),OR(Query!$B$6="All",ISNUMBER(SEARCH(Query!$B$6,'Compliance Database'!$I1182))),OR(Query!$B$7="All",'Compliance Database'!$F1182=Query!$B$7),OR(Query!$B$8="All",'Compliance Database'!$J1182=Query!$B$8),OR(Query!$B$9="",ISNUMBER(SEARCH(Query!$B$9,'Compliance Database'!$D1182&amp;" "&amp;'Compliance Database'!$K1182&amp;" "&amp;'Compliance Database'!$L1182&amp;" "&amp;'Compliance Database'!$M1182&amp;" "&amp;'Compliance Database'!$N1182&amp;" "&amp;'Compliance Database'!$O1182))),OR(Query!$B$10&lt;&gt;"Yes",'Compliance Database'!$F1182&lt;&gt;"None")),1,0)</f>
        <v>0</v>
      </c>
      <c r="B1182" t="str">
        <f>IF($A1182=1,SUM($A$2:$A1182),"")</f>
        <v/>
      </c>
      <c r="C1182">
        <f>IF($A1182=1,SUM($A$2:$A1182),0)</f>
        <v>0</v>
      </c>
    </row>
    <row r="1183" spans="1:3" x14ac:dyDescent="0.3">
      <c r="A1183">
        <f>IF(AND(OR(Query!$B$4="All",'Compliance Database'!$A1183=Query!$B$4),OR(Query!$B$5="All",ISNUMBER(SEARCH(Query!$B$5,'Compliance Database'!$H1183))),OR(Query!$B$6="All",ISNUMBER(SEARCH(Query!$B$6,'Compliance Database'!$I1183))),OR(Query!$B$7="All",'Compliance Database'!$F1183=Query!$B$7),OR(Query!$B$8="All",'Compliance Database'!$J1183=Query!$B$8),OR(Query!$B$9="",ISNUMBER(SEARCH(Query!$B$9,'Compliance Database'!$D1183&amp;" "&amp;'Compliance Database'!$K1183&amp;" "&amp;'Compliance Database'!$L1183&amp;" "&amp;'Compliance Database'!$M1183&amp;" "&amp;'Compliance Database'!$N1183&amp;" "&amp;'Compliance Database'!$O1183))),OR(Query!$B$10&lt;&gt;"Yes",'Compliance Database'!$F1183&lt;&gt;"None")),1,0)</f>
        <v>0</v>
      </c>
      <c r="B1183" t="str">
        <f>IF($A1183=1,SUM($A$2:$A1183),"")</f>
        <v/>
      </c>
      <c r="C1183">
        <f>IF($A1183=1,SUM($A$2:$A1183),0)</f>
        <v>0</v>
      </c>
    </row>
    <row r="1184" spans="1:3" x14ac:dyDescent="0.3">
      <c r="A1184">
        <f>IF(AND(OR(Query!$B$4="All",'Compliance Database'!$A1184=Query!$B$4),OR(Query!$B$5="All",ISNUMBER(SEARCH(Query!$B$5,'Compliance Database'!$H1184))),OR(Query!$B$6="All",ISNUMBER(SEARCH(Query!$B$6,'Compliance Database'!$I1184))),OR(Query!$B$7="All",'Compliance Database'!$F1184=Query!$B$7),OR(Query!$B$8="All",'Compliance Database'!$J1184=Query!$B$8),OR(Query!$B$9="",ISNUMBER(SEARCH(Query!$B$9,'Compliance Database'!$D1184&amp;" "&amp;'Compliance Database'!$K1184&amp;" "&amp;'Compliance Database'!$L1184&amp;" "&amp;'Compliance Database'!$M1184&amp;" "&amp;'Compliance Database'!$N1184&amp;" "&amp;'Compliance Database'!$O1184))),OR(Query!$B$10&lt;&gt;"Yes",'Compliance Database'!$F1184&lt;&gt;"None")),1,0)</f>
        <v>0</v>
      </c>
      <c r="B1184" t="str">
        <f>IF($A1184=1,SUM($A$2:$A1184),"")</f>
        <v/>
      </c>
      <c r="C1184">
        <f>IF($A1184=1,SUM($A$2:$A1184),0)</f>
        <v>0</v>
      </c>
    </row>
    <row r="1185" spans="1:3" x14ac:dyDescent="0.3">
      <c r="A1185">
        <f>IF(AND(OR(Query!$B$4="All",'Compliance Database'!$A1185=Query!$B$4),OR(Query!$B$5="All",ISNUMBER(SEARCH(Query!$B$5,'Compliance Database'!$H1185))),OR(Query!$B$6="All",ISNUMBER(SEARCH(Query!$B$6,'Compliance Database'!$I1185))),OR(Query!$B$7="All",'Compliance Database'!$F1185=Query!$B$7),OR(Query!$B$8="All",'Compliance Database'!$J1185=Query!$B$8),OR(Query!$B$9="",ISNUMBER(SEARCH(Query!$B$9,'Compliance Database'!$D1185&amp;" "&amp;'Compliance Database'!$K1185&amp;" "&amp;'Compliance Database'!$L1185&amp;" "&amp;'Compliance Database'!$M1185&amp;" "&amp;'Compliance Database'!$N1185&amp;" "&amp;'Compliance Database'!$O1185))),OR(Query!$B$10&lt;&gt;"Yes",'Compliance Database'!$F1185&lt;&gt;"None")),1,0)</f>
        <v>0</v>
      </c>
      <c r="B1185" t="str">
        <f>IF($A1185=1,SUM($A$2:$A1185),"")</f>
        <v/>
      </c>
      <c r="C1185">
        <f>IF($A1185=1,SUM($A$2:$A1185),0)</f>
        <v>0</v>
      </c>
    </row>
    <row r="1186" spans="1:3" x14ac:dyDescent="0.3">
      <c r="A1186">
        <f>IF(AND(OR(Query!$B$4="All",'Compliance Database'!$A1186=Query!$B$4),OR(Query!$B$5="All",ISNUMBER(SEARCH(Query!$B$5,'Compliance Database'!$H1186))),OR(Query!$B$6="All",ISNUMBER(SEARCH(Query!$B$6,'Compliance Database'!$I1186))),OR(Query!$B$7="All",'Compliance Database'!$F1186=Query!$B$7),OR(Query!$B$8="All",'Compliance Database'!$J1186=Query!$B$8),OR(Query!$B$9="",ISNUMBER(SEARCH(Query!$B$9,'Compliance Database'!$D1186&amp;" "&amp;'Compliance Database'!$K1186&amp;" "&amp;'Compliance Database'!$L1186&amp;" "&amp;'Compliance Database'!$M1186&amp;" "&amp;'Compliance Database'!$N1186&amp;" "&amp;'Compliance Database'!$O1186))),OR(Query!$B$10&lt;&gt;"Yes",'Compliance Database'!$F1186&lt;&gt;"None")),1,0)</f>
        <v>0</v>
      </c>
      <c r="B1186" t="str">
        <f>IF($A1186=1,SUM($A$2:$A1186),"")</f>
        <v/>
      </c>
      <c r="C1186">
        <f>IF($A1186=1,SUM($A$2:$A1186),0)</f>
        <v>0</v>
      </c>
    </row>
    <row r="1187" spans="1:3" x14ac:dyDescent="0.3">
      <c r="A1187">
        <f>IF(AND(OR(Query!$B$4="All",'Compliance Database'!$A1187=Query!$B$4),OR(Query!$B$5="All",ISNUMBER(SEARCH(Query!$B$5,'Compliance Database'!$H1187))),OR(Query!$B$6="All",ISNUMBER(SEARCH(Query!$B$6,'Compliance Database'!$I1187))),OR(Query!$B$7="All",'Compliance Database'!$F1187=Query!$B$7),OR(Query!$B$8="All",'Compliance Database'!$J1187=Query!$B$8),OR(Query!$B$9="",ISNUMBER(SEARCH(Query!$B$9,'Compliance Database'!$D1187&amp;" "&amp;'Compliance Database'!$K1187&amp;" "&amp;'Compliance Database'!$L1187&amp;" "&amp;'Compliance Database'!$M1187&amp;" "&amp;'Compliance Database'!$N1187&amp;" "&amp;'Compliance Database'!$O1187))),OR(Query!$B$10&lt;&gt;"Yes",'Compliance Database'!$F1187&lt;&gt;"None")),1,0)</f>
        <v>0</v>
      </c>
      <c r="B1187" t="str">
        <f>IF($A1187=1,SUM($A$2:$A1187),"")</f>
        <v/>
      </c>
      <c r="C1187">
        <f>IF($A1187=1,SUM($A$2:$A1187),0)</f>
        <v>0</v>
      </c>
    </row>
    <row r="1188" spans="1:3" x14ac:dyDescent="0.3">
      <c r="A1188">
        <f>IF(AND(OR(Query!$B$4="All",'Compliance Database'!$A1188=Query!$B$4),OR(Query!$B$5="All",ISNUMBER(SEARCH(Query!$B$5,'Compliance Database'!$H1188))),OR(Query!$B$6="All",ISNUMBER(SEARCH(Query!$B$6,'Compliance Database'!$I1188))),OR(Query!$B$7="All",'Compliance Database'!$F1188=Query!$B$7),OR(Query!$B$8="All",'Compliance Database'!$J1188=Query!$B$8),OR(Query!$B$9="",ISNUMBER(SEARCH(Query!$B$9,'Compliance Database'!$D1188&amp;" "&amp;'Compliance Database'!$K1188&amp;" "&amp;'Compliance Database'!$L1188&amp;" "&amp;'Compliance Database'!$M1188&amp;" "&amp;'Compliance Database'!$N1188&amp;" "&amp;'Compliance Database'!$O1188))),OR(Query!$B$10&lt;&gt;"Yes",'Compliance Database'!$F1188&lt;&gt;"None")),1,0)</f>
        <v>0</v>
      </c>
      <c r="B1188" t="str">
        <f>IF($A1188=1,SUM($A$2:$A1188),"")</f>
        <v/>
      </c>
      <c r="C1188">
        <f>IF($A1188=1,SUM($A$2:$A1188),0)</f>
        <v>0</v>
      </c>
    </row>
    <row r="1189" spans="1:3" x14ac:dyDescent="0.3">
      <c r="A1189">
        <f>IF(AND(OR(Query!$B$4="All",'Compliance Database'!$A1189=Query!$B$4),OR(Query!$B$5="All",ISNUMBER(SEARCH(Query!$B$5,'Compliance Database'!$H1189))),OR(Query!$B$6="All",ISNUMBER(SEARCH(Query!$B$6,'Compliance Database'!$I1189))),OR(Query!$B$7="All",'Compliance Database'!$F1189=Query!$B$7),OR(Query!$B$8="All",'Compliance Database'!$J1189=Query!$B$8),OR(Query!$B$9="",ISNUMBER(SEARCH(Query!$B$9,'Compliance Database'!$D1189&amp;" "&amp;'Compliance Database'!$K1189&amp;" "&amp;'Compliance Database'!$L1189&amp;" "&amp;'Compliance Database'!$M1189&amp;" "&amp;'Compliance Database'!$N1189&amp;" "&amp;'Compliance Database'!$O1189))),OR(Query!$B$10&lt;&gt;"Yes",'Compliance Database'!$F1189&lt;&gt;"None")),1,0)</f>
        <v>0</v>
      </c>
      <c r="B1189" t="str">
        <f>IF($A1189=1,SUM($A$2:$A1189),"")</f>
        <v/>
      </c>
      <c r="C1189">
        <f>IF($A1189=1,SUM($A$2:$A1189),0)</f>
        <v>0</v>
      </c>
    </row>
    <row r="1190" spans="1:3" x14ac:dyDescent="0.3">
      <c r="A1190">
        <f>IF(AND(OR(Query!$B$4="All",'Compliance Database'!$A1190=Query!$B$4),OR(Query!$B$5="All",ISNUMBER(SEARCH(Query!$B$5,'Compliance Database'!$H1190))),OR(Query!$B$6="All",ISNUMBER(SEARCH(Query!$B$6,'Compliance Database'!$I1190))),OR(Query!$B$7="All",'Compliance Database'!$F1190=Query!$B$7),OR(Query!$B$8="All",'Compliance Database'!$J1190=Query!$B$8),OR(Query!$B$9="",ISNUMBER(SEARCH(Query!$B$9,'Compliance Database'!$D1190&amp;" "&amp;'Compliance Database'!$K1190&amp;" "&amp;'Compliance Database'!$L1190&amp;" "&amp;'Compliance Database'!$M1190&amp;" "&amp;'Compliance Database'!$N1190&amp;" "&amp;'Compliance Database'!$O1190))),OR(Query!$B$10&lt;&gt;"Yes",'Compliance Database'!$F1190&lt;&gt;"None")),1,0)</f>
        <v>0</v>
      </c>
      <c r="B1190" t="str">
        <f>IF($A1190=1,SUM($A$2:$A1190),"")</f>
        <v/>
      </c>
      <c r="C1190">
        <f>IF($A1190=1,SUM($A$2:$A1190),0)</f>
        <v>0</v>
      </c>
    </row>
    <row r="1191" spans="1:3" x14ac:dyDescent="0.3">
      <c r="A1191">
        <f>IF(AND(OR(Query!$B$4="All",'Compliance Database'!$A1191=Query!$B$4),OR(Query!$B$5="All",ISNUMBER(SEARCH(Query!$B$5,'Compliance Database'!$H1191))),OR(Query!$B$6="All",ISNUMBER(SEARCH(Query!$B$6,'Compliance Database'!$I1191))),OR(Query!$B$7="All",'Compliance Database'!$F1191=Query!$B$7),OR(Query!$B$8="All",'Compliance Database'!$J1191=Query!$B$8),OR(Query!$B$9="",ISNUMBER(SEARCH(Query!$B$9,'Compliance Database'!$D1191&amp;" "&amp;'Compliance Database'!$K1191&amp;" "&amp;'Compliance Database'!$L1191&amp;" "&amp;'Compliance Database'!$M1191&amp;" "&amp;'Compliance Database'!$N1191&amp;" "&amp;'Compliance Database'!$O1191))),OR(Query!$B$10&lt;&gt;"Yes",'Compliance Database'!$F1191&lt;&gt;"None")),1,0)</f>
        <v>0</v>
      </c>
      <c r="B1191" t="str">
        <f>IF($A1191=1,SUM($A$2:$A1191),"")</f>
        <v/>
      </c>
      <c r="C1191">
        <f>IF($A1191=1,SUM($A$2:$A1191),0)</f>
        <v>0</v>
      </c>
    </row>
    <row r="1192" spans="1:3" x14ac:dyDescent="0.3">
      <c r="A1192">
        <f>IF(AND(OR(Query!$B$4="All",'Compliance Database'!$A1192=Query!$B$4),OR(Query!$B$5="All",ISNUMBER(SEARCH(Query!$B$5,'Compliance Database'!$H1192))),OR(Query!$B$6="All",ISNUMBER(SEARCH(Query!$B$6,'Compliance Database'!$I1192))),OR(Query!$B$7="All",'Compliance Database'!$F1192=Query!$B$7),OR(Query!$B$8="All",'Compliance Database'!$J1192=Query!$B$8),OR(Query!$B$9="",ISNUMBER(SEARCH(Query!$B$9,'Compliance Database'!$D1192&amp;" "&amp;'Compliance Database'!$K1192&amp;" "&amp;'Compliance Database'!$L1192&amp;" "&amp;'Compliance Database'!$M1192&amp;" "&amp;'Compliance Database'!$N1192&amp;" "&amp;'Compliance Database'!$O1192))),OR(Query!$B$10&lt;&gt;"Yes",'Compliance Database'!$F1192&lt;&gt;"None")),1,0)</f>
        <v>0</v>
      </c>
      <c r="B1192" t="str">
        <f>IF($A1192=1,SUM($A$2:$A1192),"")</f>
        <v/>
      </c>
      <c r="C1192">
        <f>IF($A1192=1,SUM($A$2:$A1192),0)</f>
        <v>0</v>
      </c>
    </row>
    <row r="1193" spans="1:3" x14ac:dyDescent="0.3">
      <c r="A1193">
        <f>IF(AND(OR(Query!$B$4="All",'Compliance Database'!$A1193=Query!$B$4),OR(Query!$B$5="All",ISNUMBER(SEARCH(Query!$B$5,'Compliance Database'!$H1193))),OR(Query!$B$6="All",ISNUMBER(SEARCH(Query!$B$6,'Compliance Database'!$I1193))),OR(Query!$B$7="All",'Compliance Database'!$F1193=Query!$B$7),OR(Query!$B$8="All",'Compliance Database'!$J1193=Query!$B$8),OR(Query!$B$9="",ISNUMBER(SEARCH(Query!$B$9,'Compliance Database'!$D1193&amp;" "&amp;'Compliance Database'!$K1193&amp;" "&amp;'Compliance Database'!$L1193&amp;" "&amp;'Compliance Database'!$M1193&amp;" "&amp;'Compliance Database'!$N1193&amp;" "&amp;'Compliance Database'!$O1193))),OR(Query!$B$10&lt;&gt;"Yes",'Compliance Database'!$F1193&lt;&gt;"None")),1,0)</f>
        <v>0</v>
      </c>
      <c r="B1193" t="str">
        <f>IF($A1193=1,SUM($A$2:$A1193),"")</f>
        <v/>
      </c>
      <c r="C1193">
        <f>IF($A1193=1,SUM($A$2:$A1193),0)</f>
        <v>0</v>
      </c>
    </row>
    <row r="1194" spans="1:3" x14ac:dyDescent="0.3">
      <c r="A1194">
        <f>IF(AND(OR(Query!$B$4="All",'Compliance Database'!$A1194=Query!$B$4),OR(Query!$B$5="All",ISNUMBER(SEARCH(Query!$B$5,'Compliance Database'!$H1194))),OR(Query!$B$6="All",ISNUMBER(SEARCH(Query!$B$6,'Compliance Database'!$I1194))),OR(Query!$B$7="All",'Compliance Database'!$F1194=Query!$B$7),OR(Query!$B$8="All",'Compliance Database'!$J1194=Query!$B$8),OR(Query!$B$9="",ISNUMBER(SEARCH(Query!$B$9,'Compliance Database'!$D1194&amp;" "&amp;'Compliance Database'!$K1194&amp;" "&amp;'Compliance Database'!$L1194&amp;" "&amp;'Compliance Database'!$M1194&amp;" "&amp;'Compliance Database'!$N1194&amp;" "&amp;'Compliance Database'!$O1194))),OR(Query!$B$10&lt;&gt;"Yes",'Compliance Database'!$F1194&lt;&gt;"None")),1,0)</f>
        <v>0</v>
      </c>
      <c r="B1194" t="str">
        <f>IF($A1194=1,SUM($A$2:$A1194),"")</f>
        <v/>
      </c>
      <c r="C1194">
        <f>IF($A1194=1,SUM($A$2:$A1194),0)</f>
        <v>0</v>
      </c>
    </row>
    <row r="1195" spans="1:3" x14ac:dyDescent="0.3">
      <c r="A1195">
        <f>IF(AND(OR(Query!$B$4="All",'Compliance Database'!$A1195=Query!$B$4),OR(Query!$B$5="All",ISNUMBER(SEARCH(Query!$B$5,'Compliance Database'!$H1195))),OR(Query!$B$6="All",ISNUMBER(SEARCH(Query!$B$6,'Compliance Database'!$I1195))),OR(Query!$B$7="All",'Compliance Database'!$F1195=Query!$B$7),OR(Query!$B$8="All",'Compliance Database'!$J1195=Query!$B$8),OR(Query!$B$9="",ISNUMBER(SEARCH(Query!$B$9,'Compliance Database'!$D1195&amp;" "&amp;'Compliance Database'!$K1195&amp;" "&amp;'Compliance Database'!$L1195&amp;" "&amp;'Compliance Database'!$M1195&amp;" "&amp;'Compliance Database'!$N1195&amp;" "&amp;'Compliance Database'!$O1195))),OR(Query!$B$10&lt;&gt;"Yes",'Compliance Database'!$F1195&lt;&gt;"None")),1,0)</f>
        <v>0</v>
      </c>
      <c r="B1195" t="str">
        <f>IF($A1195=1,SUM($A$2:$A1195),"")</f>
        <v/>
      </c>
      <c r="C1195">
        <f>IF($A1195=1,SUM($A$2:$A1195),0)</f>
        <v>0</v>
      </c>
    </row>
    <row r="1196" spans="1:3" x14ac:dyDescent="0.3">
      <c r="A1196">
        <f>IF(AND(OR(Query!$B$4="All",'Compliance Database'!$A1196=Query!$B$4),OR(Query!$B$5="All",ISNUMBER(SEARCH(Query!$B$5,'Compliance Database'!$H1196))),OR(Query!$B$6="All",ISNUMBER(SEARCH(Query!$B$6,'Compliance Database'!$I1196))),OR(Query!$B$7="All",'Compliance Database'!$F1196=Query!$B$7),OR(Query!$B$8="All",'Compliance Database'!$J1196=Query!$B$8),OR(Query!$B$9="",ISNUMBER(SEARCH(Query!$B$9,'Compliance Database'!$D1196&amp;" "&amp;'Compliance Database'!$K1196&amp;" "&amp;'Compliance Database'!$L1196&amp;" "&amp;'Compliance Database'!$M1196&amp;" "&amp;'Compliance Database'!$N1196&amp;" "&amp;'Compliance Database'!$O1196))),OR(Query!$B$10&lt;&gt;"Yes",'Compliance Database'!$F1196&lt;&gt;"None")),1,0)</f>
        <v>0</v>
      </c>
      <c r="B1196" t="str">
        <f>IF($A1196=1,SUM($A$2:$A1196),"")</f>
        <v/>
      </c>
      <c r="C1196">
        <f>IF($A1196=1,SUM($A$2:$A1196),0)</f>
        <v>0</v>
      </c>
    </row>
    <row r="1197" spans="1:3" x14ac:dyDescent="0.3">
      <c r="A1197">
        <f>IF(AND(OR(Query!$B$4="All",'Compliance Database'!$A1197=Query!$B$4),OR(Query!$B$5="All",ISNUMBER(SEARCH(Query!$B$5,'Compliance Database'!$H1197))),OR(Query!$B$6="All",ISNUMBER(SEARCH(Query!$B$6,'Compliance Database'!$I1197))),OR(Query!$B$7="All",'Compliance Database'!$F1197=Query!$B$7),OR(Query!$B$8="All",'Compliance Database'!$J1197=Query!$B$8),OR(Query!$B$9="",ISNUMBER(SEARCH(Query!$B$9,'Compliance Database'!$D1197&amp;" "&amp;'Compliance Database'!$K1197&amp;" "&amp;'Compliance Database'!$L1197&amp;" "&amp;'Compliance Database'!$M1197&amp;" "&amp;'Compliance Database'!$N1197&amp;" "&amp;'Compliance Database'!$O1197))),OR(Query!$B$10&lt;&gt;"Yes",'Compliance Database'!$F1197&lt;&gt;"None")),1,0)</f>
        <v>0</v>
      </c>
      <c r="B1197" t="str">
        <f>IF($A1197=1,SUM($A$2:$A1197),"")</f>
        <v/>
      </c>
      <c r="C1197">
        <f>IF($A1197=1,SUM($A$2:$A1197),0)</f>
        <v>0</v>
      </c>
    </row>
    <row r="1198" spans="1:3" x14ac:dyDescent="0.3">
      <c r="A1198">
        <f>IF(AND(OR(Query!$B$4="All",'Compliance Database'!$A1198=Query!$B$4),OR(Query!$B$5="All",ISNUMBER(SEARCH(Query!$B$5,'Compliance Database'!$H1198))),OR(Query!$B$6="All",ISNUMBER(SEARCH(Query!$B$6,'Compliance Database'!$I1198))),OR(Query!$B$7="All",'Compliance Database'!$F1198=Query!$B$7),OR(Query!$B$8="All",'Compliance Database'!$J1198=Query!$B$8),OR(Query!$B$9="",ISNUMBER(SEARCH(Query!$B$9,'Compliance Database'!$D1198&amp;" "&amp;'Compliance Database'!$K1198&amp;" "&amp;'Compliance Database'!$L1198&amp;" "&amp;'Compliance Database'!$M1198&amp;" "&amp;'Compliance Database'!$N1198&amp;" "&amp;'Compliance Database'!$O1198))),OR(Query!$B$10&lt;&gt;"Yes",'Compliance Database'!$F1198&lt;&gt;"None")),1,0)</f>
        <v>0</v>
      </c>
      <c r="B1198" t="str">
        <f>IF($A1198=1,SUM($A$2:$A1198),"")</f>
        <v/>
      </c>
      <c r="C1198">
        <f>IF($A1198=1,SUM($A$2:$A1198),0)</f>
        <v>0</v>
      </c>
    </row>
    <row r="1199" spans="1:3" x14ac:dyDescent="0.3">
      <c r="A1199">
        <f>IF(AND(OR(Query!$B$4="All",'Compliance Database'!$A1199=Query!$B$4),OR(Query!$B$5="All",ISNUMBER(SEARCH(Query!$B$5,'Compliance Database'!$H1199))),OR(Query!$B$6="All",ISNUMBER(SEARCH(Query!$B$6,'Compliance Database'!$I1199))),OR(Query!$B$7="All",'Compliance Database'!$F1199=Query!$B$7),OR(Query!$B$8="All",'Compliance Database'!$J1199=Query!$B$8),OR(Query!$B$9="",ISNUMBER(SEARCH(Query!$B$9,'Compliance Database'!$D1199&amp;" "&amp;'Compliance Database'!$K1199&amp;" "&amp;'Compliance Database'!$L1199&amp;" "&amp;'Compliance Database'!$M1199&amp;" "&amp;'Compliance Database'!$N1199&amp;" "&amp;'Compliance Database'!$O1199))),OR(Query!$B$10&lt;&gt;"Yes",'Compliance Database'!$F1199&lt;&gt;"None")),1,0)</f>
        <v>0</v>
      </c>
      <c r="B1199" t="str">
        <f>IF($A1199=1,SUM($A$2:$A1199),"")</f>
        <v/>
      </c>
      <c r="C1199">
        <f>IF($A1199=1,SUM($A$2:$A1199),0)</f>
        <v>0</v>
      </c>
    </row>
  </sheetData>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D1199"/>
  <sheetViews>
    <sheetView workbookViewId="0"/>
  </sheetViews>
  <sheetFormatPr defaultRowHeight="14.4" x14ac:dyDescent="0.3"/>
  <sheetData>
    <row r="1" spans="1:4" x14ac:dyDescent="0.3">
      <c r="A1" t="s">
        <v>7689</v>
      </c>
      <c r="B1" t="s">
        <v>7690</v>
      </c>
      <c r="C1" t="s">
        <v>7691</v>
      </c>
      <c r="D1">
        <f>SUM($A$2:$A$1199)</f>
        <v>368</v>
      </c>
    </row>
    <row r="2" spans="1:4" x14ac:dyDescent="0.3">
      <c r="A2">
        <f>IF(AND(OR('Compliance Database'!$A2='Data Transfer'!$B$4,'Compliance Database'!$A2='Data Transfer'!$B$5),OR('Data Transfer'!$B$6="",ISNUMBER(SEARCH('Data Transfer'!$B$6,'Compliance Database'!$D2&amp;" "&amp;'Compliance Database'!$K2&amp;" "&amp;'Compliance Database'!$L2&amp;" "&amp;'Compliance Database'!$M2&amp;" "&amp;'Compliance Database'!$N2&amp;" "&amp;'Compliance Database'!$O2)))),1,0)</f>
        <v>1</v>
      </c>
      <c r="B2">
        <f>IF($A2=1,SUM($A$2:$A2),"")</f>
        <v>1</v>
      </c>
      <c r="C2">
        <f>IF($A2=1,SUM($A$2:$A2),0)</f>
        <v>1</v>
      </c>
    </row>
    <row r="3" spans="1:4" x14ac:dyDescent="0.3">
      <c r="A3">
        <f>IF(AND(OR('Compliance Database'!$A3='Data Transfer'!$B$4,'Compliance Database'!$A3='Data Transfer'!$B$5),OR('Data Transfer'!$B$6="",ISNUMBER(SEARCH('Data Transfer'!$B$6,'Compliance Database'!$D3&amp;" "&amp;'Compliance Database'!$K3&amp;" "&amp;'Compliance Database'!$L3&amp;" "&amp;'Compliance Database'!$M3&amp;" "&amp;'Compliance Database'!$N3&amp;" "&amp;'Compliance Database'!$O3)))),1,0)</f>
        <v>1</v>
      </c>
      <c r="B3">
        <f>IF($A3=1,SUM($A$2:$A3),"")</f>
        <v>2</v>
      </c>
      <c r="C3">
        <f>IF($A3=1,SUM($A$2:$A3),0)</f>
        <v>2</v>
      </c>
    </row>
    <row r="4" spans="1:4" x14ac:dyDescent="0.3">
      <c r="A4">
        <f>IF(AND(OR('Compliance Database'!$A4='Data Transfer'!$B$4,'Compliance Database'!$A4='Data Transfer'!$B$5),OR('Data Transfer'!$B$6="",ISNUMBER(SEARCH('Data Transfer'!$B$6,'Compliance Database'!$D4&amp;" "&amp;'Compliance Database'!$K4&amp;" "&amp;'Compliance Database'!$L4&amp;" "&amp;'Compliance Database'!$M4&amp;" "&amp;'Compliance Database'!$N4&amp;" "&amp;'Compliance Database'!$O4)))),1,0)</f>
        <v>1</v>
      </c>
      <c r="B4">
        <f>IF($A4=1,SUM($A$2:$A4),"")</f>
        <v>3</v>
      </c>
      <c r="C4">
        <f>IF($A4=1,SUM($A$2:$A4),0)</f>
        <v>3</v>
      </c>
    </row>
    <row r="5" spans="1:4" x14ac:dyDescent="0.3">
      <c r="A5">
        <f>IF(AND(OR('Compliance Database'!$A5='Data Transfer'!$B$4,'Compliance Database'!$A5='Data Transfer'!$B$5),OR('Data Transfer'!$B$6="",ISNUMBER(SEARCH('Data Transfer'!$B$6,'Compliance Database'!$D5&amp;" "&amp;'Compliance Database'!$K5&amp;" "&amp;'Compliance Database'!$L5&amp;" "&amp;'Compliance Database'!$M5&amp;" "&amp;'Compliance Database'!$N5&amp;" "&amp;'Compliance Database'!$O5)))),1,0)</f>
        <v>1</v>
      </c>
      <c r="B5">
        <f>IF($A5=1,SUM($A$2:$A5),"")</f>
        <v>4</v>
      </c>
      <c r="C5">
        <f>IF($A5=1,SUM($A$2:$A5),0)</f>
        <v>4</v>
      </c>
    </row>
    <row r="6" spans="1:4" x14ac:dyDescent="0.3">
      <c r="A6">
        <f>IF(AND(OR('Compliance Database'!$A6='Data Transfer'!$B$4,'Compliance Database'!$A6='Data Transfer'!$B$5),OR('Data Transfer'!$B$6="",ISNUMBER(SEARCH('Data Transfer'!$B$6,'Compliance Database'!$D6&amp;" "&amp;'Compliance Database'!$K6&amp;" "&amp;'Compliance Database'!$L6&amp;" "&amp;'Compliance Database'!$M6&amp;" "&amp;'Compliance Database'!$N6&amp;" "&amp;'Compliance Database'!$O6)))),1,0)</f>
        <v>1</v>
      </c>
      <c r="B6">
        <f>IF($A6=1,SUM($A$2:$A6),"")</f>
        <v>5</v>
      </c>
      <c r="C6">
        <f>IF($A6=1,SUM($A$2:$A6),0)</f>
        <v>5</v>
      </c>
    </row>
    <row r="7" spans="1:4" x14ac:dyDescent="0.3">
      <c r="A7">
        <f>IF(AND(OR('Compliance Database'!$A7='Data Transfer'!$B$4,'Compliance Database'!$A7='Data Transfer'!$B$5),OR('Data Transfer'!$B$6="",ISNUMBER(SEARCH('Data Transfer'!$B$6,'Compliance Database'!$D7&amp;" "&amp;'Compliance Database'!$K7&amp;" "&amp;'Compliance Database'!$L7&amp;" "&amp;'Compliance Database'!$M7&amp;" "&amp;'Compliance Database'!$N7&amp;" "&amp;'Compliance Database'!$O7)))),1,0)</f>
        <v>1</v>
      </c>
      <c r="B7">
        <f>IF($A7=1,SUM($A$2:$A7),"")</f>
        <v>6</v>
      </c>
      <c r="C7">
        <f>IF($A7=1,SUM($A$2:$A7),0)</f>
        <v>6</v>
      </c>
    </row>
    <row r="8" spans="1:4" x14ac:dyDescent="0.3">
      <c r="A8">
        <f>IF(AND(OR('Compliance Database'!$A8='Data Transfer'!$B$4,'Compliance Database'!$A8='Data Transfer'!$B$5),OR('Data Transfer'!$B$6="",ISNUMBER(SEARCH('Data Transfer'!$B$6,'Compliance Database'!$D8&amp;" "&amp;'Compliance Database'!$K8&amp;" "&amp;'Compliance Database'!$L8&amp;" "&amp;'Compliance Database'!$M8&amp;" "&amp;'Compliance Database'!$N8&amp;" "&amp;'Compliance Database'!$O8)))),1,0)</f>
        <v>1</v>
      </c>
      <c r="B8">
        <f>IF($A8=1,SUM($A$2:$A8),"")</f>
        <v>7</v>
      </c>
      <c r="C8">
        <f>IF($A8=1,SUM($A$2:$A8),0)</f>
        <v>7</v>
      </c>
    </row>
    <row r="9" spans="1:4" x14ac:dyDescent="0.3">
      <c r="A9">
        <f>IF(AND(OR('Compliance Database'!$A9='Data Transfer'!$B$4,'Compliance Database'!$A9='Data Transfer'!$B$5),OR('Data Transfer'!$B$6="",ISNUMBER(SEARCH('Data Transfer'!$B$6,'Compliance Database'!$D9&amp;" "&amp;'Compliance Database'!$K9&amp;" "&amp;'Compliance Database'!$L9&amp;" "&amp;'Compliance Database'!$M9&amp;" "&amp;'Compliance Database'!$N9&amp;" "&amp;'Compliance Database'!$O9)))),1,0)</f>
        <v>1</v>
      </c>
      <c r="B9">
        <f>IF($A9=1,SUM($A$2:$A9),"")</f>
        <v>8</v>
      </c>
      <c r="C9">
        <f>IF($A9=1,SUM($A$2:$A9),0)</f>
        <v>8</v>
      </c>
    </row>
    <row r="10" spans="1:4" x14ac:dyDescent="0.3">
      <c r="A10">
        <f>IF(AND(OR('Compliance Database'!$A10='Data Transfer'!$B$4,'Compliance Database'!$A10='Data Transfer'!$B$5),OR('Data Transfer'!$B$6="",ISNUMBER(SEARCH('Data Transfer'!$B$6,'Compliance Database'!$D10&amp;" "&amp;'Compliance Database'!$K10&amp;" "&amp;'Compliance Database'!$L10&amp;" "&amp;'Compliance Database'!$M10&amp;" "&amp;'Compliance Database'!$N10&amp;" "&amp;'Compliance Database'!$O10)))),1,0)</f>
        <v>1</v>
      </c>
      <c r="B10">
        <f>IF($A10=1,SUM($A$2:$A10),"")</f>
        <v>9</v>
      </c>
      <c r="C10">
        <f>IF($A10=1,SUM($A$2:$A10),0)</f>
        <v>9</v>
      </c>
    </row>
    <row r="11" spans="1:4" x14ac:dyDescent="0.3">
      <c r="A11">
        <f>IF(AND(OR('Compliance Database'!$A11='Data Transfer'!$B$4,'Compliance Database'!$A11='Data Transfer'!$B$5),OR('Data Transfer'!$B$6="",ISNUMBER(SEARCH('Data Transfer'!$B$6,'Compliance Database'!$D11&amp;" "&amp;'Compliance Database'!$K11&amp;" "&amp;'Compliance Database'!$L11&amp;" "&amp;'Compliance Database'!$M11&amp;" "&amp;'Compliance Database'!$N11&amp;" "&amp;'Compliance Database'!$O11)))),1,0)</f>
        <v>1</v>
      </c>
      <c r="B11">
        <f>IF($A11=1,SUM($A$2:$A11),"")</f>
        <v>10</v>
      </c>
      <c r="C11">
        <f>IF($A11=1,SUM($A$2:$A11),0)</f>
        <v>10</v>
      </c>
    </row>
    <row r="12" spans="1:4" x14ac:dyDescent="0.3">
      <c r="A12">
        <f>IF(AND(OR('Compliance Database'!$A12='Data Transfer'!$B$4,'Compliance Database'!$A12='Data Transfer'!$B$5),OR('Data Transfer'!$B$6="",ISNUMBER(SEARCH('Data Transfer'!$B$6,'Compliance Database'!$D12&amp;" "&amp;'Compliance Database'!$K12&amp;" "&amp;'Compliance Database'!$L12&amp;" "&amp;'Compliance Database'!$M12&amp;" "&amp;'Compliance Database'!$N12&amp;" "&amp;'Compliance Database'!$O12)))),1,0)</f>
        <v>1</v>
      </c>
      <c r="B12">
        <f>IF($A12=1,SUM($A$2:$A12),"")</f>
        <v>11</v>
      </c>
      <c r="C12">
        <f>IF($A12=1,SUM($A$2:$A12),0)</f>
        <v>11</v>
      </c>
    </row>
    <row r="13" spans="1:4" x14ac:dyDescent="0.3">
      <c r="A13">
        <f>IF(AND(OR('Compliance Database'!$A13='Data Transfer'!$B$4,'Compliance Database'!$A13='Data Transfer'!$B$5),OR('Data Transfer'!$B$6="",ISNUMBER(SEARCH('Data Transfer'!$B$6,'Compliance Database'!$D13&amp;" "&amp;'Compliance Database'!$K13&amp;" "&amp;'Compliance Database'!$L13&amp;" "&amp;'Compliance Database'!$M13&amp;" "&amp;'Compliance Database'!$N13&amp;" "&amp;'Compliance Database'!$O13)))),1,0)</f>
        <v>1</v>
      </c>
      <c r="B13">
        <f>IF($A13=1,SUM($A$2:$A13),"")</f>
        <v>12</v>
      </c>
      <c r="C13">
        <f>IF($A13=1,SUM($A$2:$A13),0)</f>
        <v>12</v>
      </c>
    </row>
    <row r="14" spans="1:4" x14ac:dyDescent="0.3">
      <c r="A14">
        <f>IF(AND(OR('Compliance Database'!$A14='Data Transfer'!$B$4,'Compliance Database'!$A14='Data Transfer'!$B$5),OR('Data Transfer'!$B$6="",ISNUMBER(SEARCH('Data Transfer'!$B$6,'Compliance Database'!$D14&amp;" "&amp;'Compliance Database'!$K14&amp;" "&amp;'Compliance Database'!$L14&amp;" "&amp;'Compliance Database'!$M14&amp;" "&amp;'Compliance Database'!$N14&amp;" "&amp;'Compliance Database'!$O14)))),1,0)</f>
        <v>1</v>
      </c>
      <c r="B14">
        <f>IF($A14=1,SUM($A$2:$A14),"")</f>
        <v>13</v>
      </c>
      <c r="C14">
        <f>IF($A14=1,SUM($A$2:$A14),0)</f>
        <v>13</v>
      </c>
    </row>
    <row r="15" spans="1:4" x14ac:dyDescent="0.3">
      <c r="A15">
        <f>IF(AND(OR('Compliance Database'!$A15='Data Transfer'!$B$4,'Compliance Database'!$A15='Data Transfer'!$B$5),OR('Data Transfer'!$B$6="",ISNUMBER(SEARCH('Data Transfer'!$B$6,'Compliance Database'!$D15&amp;" "&amp;'Compliance Database'!$K15&amp;" "&amp;'Compliance Database'!$L15&amp;" "&amp;'Compliance Database'!$M15&amp;" "&amp;'Compliance Database'!$N15&amp;" "&amp;'Compliance Database'!$O15)))),1,0)</f>
        <v>1</v>
      </c>
      <c r="B15">
        <f>IF($A15=1,SUM($A$2:$A15),"")</f>
        <v>14</v>
      </c>
      <c r="C15">
        <f>IF($A15=1,SUM($A$2:$A15),0)</f>
        <v>14</v>
      </c>
    </row>
    <row r="16" spans="1:4" x14ac:dyDescent="0.3">
      <c r="A16">
        <f>IF(AND(OR('Compliance Database'!$A16='Data Transfer'!$B$4,'Compliance Database'!$A16='Data Transfer'!$B$5),OR('Data Transfer'!$B$6="",ISNUMBER(SEARCH('Data Transfer'!$B$6,'Compliance Database'!$D16&amp;" "&amp;'Compliance Database'!$K16&amp;" "&amp;'Compliance Database'!$L16&amp;" "&amp;'Compliance Database'!$M16&amp;" "&amp;'Compliance Database'!$N16&amp;" "&amp;'Compliance Database'!$O16)))),1,0)</f>
        <v>1</v>
      </c>
      <c r="B16">
        <f>IF($A16=1,SUM($A$2:$A16),"")</f>
        <v>15</v>
      </c>
      <c r="C16">
        <f>IF($A16=1,SUM($A$2:$A16),0)</f>
        <v>15</v>
      </c>
    </row>
    <row r="17" spans="1:3" x14ac:dyDescent="0.3">
      <c r="A17">
        <f>IF(AND(OR('Compliance Database'!$A17='Data Transfer'!$B$4,'Compliance Database'!$A17='Data Transfer'!$B$5),OR('Data Transfer'!$B$6="",ISNUMBER(SEARCH('Data Transfer'!$B$6,'Compliance Database'!$D17&amp;" "&amp;'Compliance Database'!$K17&amp;" "&amp;'Compliance Database'!$L17&amp;" "&amp;'Compliance Database'!$M17&amp;" "&amp;'Compliance Database'!$N17&amp;" "&amp;'Compliance Database'!$O17)))),1,0)</f>
        <v>1</v>
      </c>
      <c r="B17">
        <f>IF($A17=1,SUM($A$2:$A17),"")</f>
        <v>16</v>
      </c>
      <c r="C17">
        <f>IF($A17=1,SUM($A$2:$A17),0)</f>
        <v>16</v>
      </c>
    </row>
    <row r="18" spans="1:3" x14ac:dyDescent="0.3">
      <c r="A18">
        <f>IF(AND(OR('Compliance Database'!$A18='Data Transfer'!$B$4,'Compliance Database'!$A18='Data Transfer'!$B$5),OR('Data Transfer'!$B$6="",ISNUMBER(SEARCH('Data Transfer'!$B$6,'Compliance Database'!$D18&amp;" "&amp;'Compliance Database'!$K18&amp;" "&amp;'Compliance Database'!$L18&amp;" "&amp;'Compliance Database'!$M18&amp;" "&amp;'Compliance Database'!$N18&amp;" "&amp;'Compliance Database'!$O18)))),1,0)</f>
        <v>1</v>
      </c>
      <c r="B18">
        <f>IF($A18=1,SUM($A$2:$A18),"")</f>
        <v>17</v>
      </c>
      <c r="C18">
        <f>IF($A18=1,SUM($A$2:$A18),0)</f>
        <v>17</v>
      </c>
    </row>
    <row r="19" spans="1:3" x14ac:dyDescent="0.3">
      <c r="A19">
        <f>IF(AND(OR('Compliance Database'!$A19='Data Transfer'!$B$4,'Compliance Database'!$A19='Data Transfer'!$B$5),OR('Data Transfer'!$B$6="",ISNUMBER(SEARCH('Data Transfer'!$B$6,'Compliance Database'!$D19&amp;" "&amp;'Compliance Database'!$K19&amp;" "&amp;'Compliance Database'!$L19&amp;" "&amp;'Compliance Database'!$M19&amp;" "&amp;'Compliance Database'!$N19&amp;" "&amp;'Compliance Database'!$O19)))),1,0)</f>
        <v>1</v>
      </c>
      <c r="B19">
        <f>IF($A19=1,SUM($A$2:$A19),"")</f>
        <v>18</v>
      </c>
      <c r="C19">
        <f>IF($A19=1,SUM($A$2:$A19),0)</f>
        <v>18</v>
      </c>
    </row>
    <row r="20" spans="1:3" x14ac:dyDescent="0.3">
      <c r="A20">
        <f>IF(AND(OR('Compliance Database'!$A20='Data Transfer'!$B$4,'Compliance Database'!$A20='Data Transfer'!$B$5),OR('Data Transfer'!$B$6="",ISNUMBER(SEARCH('Data Transfer'!$B$6,'Compliance Database'!$D20&amp;" "&amp;'Compliance Database'!$K20&amp;" "&amp;'Compliance Database'!$L20&amp;" "&amp;'Compliance Database'!$M20&amp;" "&amp;'Compliance Database'!$N20&amp;" "&amp;'Compliance Database'!$O20)))),1,0)</f>
        <v>1</v>
      </c>
      <c r="B20">
        <f>IF($A20=1,SUM($A$2:$A20),"")</f>
        <v>19</v>
      </c>
      <c r="C20">
        <f>IF($A20=1,SUM($A$2:$A20),0)</f>
        <v>19</v>
      </c>
    </row>
    <row r="21" spans="1:3" x14ac:dyDescent="0.3">
      <c r="A21">
        <f>IF(AND(OR('Compliance Database'!$A21='Data Transfer'!$B$4,'Compliance Database'!$A21='Data Transfer'!$B$5),OR('Data Transfer'!$B$6="",ISNUMBER(SEARCH('Data Transfer'!$B$6,'Compliance Database'!$D21&amp;" "&amp;'Compliance Database'!$K21&amp;" "&amp;'Compliance Database'!$L21&amp;" "&amp;'Compliance Database'!$M21&amp;" "&amp;'Compliance Database'!$N21&amp;" "&amp;'Compliance Database'!$O21)))),1,0)</f>
        <v>1</v>
      </c>
      <c r="B21">
        <f>IF($A21=1,SUM($A$2:$A21),"")</f>
        <v>20</v>
      </c>
      <c r="C21">
        <f>IF($A21=1,SUM($A$2:$A21),0)</f>
        <v>20</v>
      </c>
    </row>
    <row r="22" spans="1:3" x14ac:dyDescent="0.3">
      <c r="A22">
        <f>IF(AND(OR('Compliance Database'!$A22='Data Transfer'!$B$4,'Compliance Database'!$A22='Data Transfer'!$B$5),OR('Data Transfer'!$B$6="",ISNUMBER(SEARCH('Data Transfer'!$B$6,'Compliance Database'!$D22&amp;" "&amp;'Compliance Database'!$K22&amp;" "&amp;'Compliance Database'!$L22&amp;" "&amp;'Compliance Database'!$M22&amp;" "&amp;'Compliance Database'!$N22&amp;" "&amp;'Compliance Database'!$O22)))),1,0)</f>
        <v>1</v>
      </c>
      <c r="B22">
        <f>IF($A22=1,SUM($A$2:$A22),"")</f>
        <v>21</v>
      </c>
      <c r="C22">
        <f>IF($A22=1,SUM($A$2:$A22),0)</f>
        <v>21</v>
      </c>
    </row>
    <row r="23" spans="1:3" x14ac:dyDescent="0.3">
      <c r="A23">
        <f>IF(AND(OR('Compliance Database'!$A23='Data Transfer'!$B$4,'Compliance Database'!$A23='Data Transfer'!$B$5),OR('Data Transfer'!$B$6="",ISNUMBER(SEARCH('Data Transfer'!$B$6,'Compliance Database'!$D23&amp;" "&amp;'Compliance Database'!$K23&amp;" "&amp;'Compliance Database'!$L23&amp;" "&amp;'Compliance Database'!$M23&amp;" "&amp;'Compliance Database'!$N23&amp;" "&amp;'Compliance Database'!$O23)))),1,0)</f>
        <v>1</v>
      </c>
      <c r="B23">
        <f>IF($A23=1,SUM($A$2:$A23),"")</f>
        <v>22</v>
      </c>
      <c r="C23">
        <f>IF($A23=1,SUM($A$2:$A23),0)</f>
        <v>22</v>
      </c>
    </row>
    <row r="24" spans="1:3" x14ac:dyDescent="0.3">
      <c r="A24">
        <f>IF(AND(OR('Compliance Database'!$A24='Data Transfer'!$B$4,'Compliance Database'!$A24='Data Transfer'!$B$5),OR('Data Transfer'!$B$6="",ISNUMBER(SEARCH('Data Transfer'!$B$6,'Compliance Database'!$D24&amp;" "&amp;'Compliance Database'!$K24&amp;" "&amp;'Compliance Database'!$L24&amp;" "&amp;'Compliance Database'!$M24&amp;" "&amp;'Compliance Database'!$N24&amp;" "&amp;'Compliance Database'!$O24)))),1,0)</f>
        <v>1</v>
      </c>
      <c r="B24">
        <f>IF($A24=1,SUM($A$2:$A24),"")</f>
        <v>23</v>
      </c>
      <c r="C24">
        <f>IF($A24=1,SUM($A$2:$A24),0)</f>
        <v>23</v>
      </c>
    </row>
    <row r="25" spans="1:3" x14ac:dyDescent="0.3">
      <c r="A25">
        <f>IF(AND(OR('Compliance Database'!$A25='Data Transfer'!$B$4,'Compliance Database'!$A25='Data Transfer'!$B$5),OR('Data Transfer'!$B$6="",ISNUMBER(SEARCH('Data Transfer'!$B$6,'Compliance Database'!$D25&amp;" "&amp;'Compliance Database'!$K25&amp;" "&amp;'Compliance Database'!$L25&amp;" "&amp;'Compliance Database'!$M25&amp;" "&amp;'Compliance Database'!$N25&amp;" "&amp;'Compliance Database'!$O25)))),1,0)</f>
        <v>1</v>
      </c>
      <c r="B25">
        <f>IF($A25=1,SUM($A$2:$A25),"")</f>
        <v>24</v>
      </c>
      <c r="C25">
        <f>IF($A25=1,SUM($A$2:$A25),0)</f>
        <v>24</v>
      </c>
    </row>
    <row r="26" spans="1:3" x14ac:dyDescent="0.3">
      <c r="A26">
        <f>IF(AND(OR('Compliance Database'!$A26='Data Transfer'!$B$4,'Compliance Database'!$A26='Data Transfer'!$B$5),OR('Data Transfer'!$B$6="",ISNUMBER(SEARCH('Data Transfer'!$B$6,'Compliance Database'!$D26&amp;" "&amp;'Compliance Database'!$K26&amp;" "&amp;'Compliance Database'!$L26&amp;" "&amp;'Compliance Database'!$M26&amp;" "&amp;'Compliance Database'!$N26&amp;" "&amp;'Compliance Database'!$O26)))),1,0)</f>
        <v>1</v>
      </c>
      <c r="B26">
        <f>IF($A26=1,SUM($A$2:$A26),"")</f>
        <v>25</v>
      </c>
      <c r="C26">
        <f>IF($A26=1,SUM($A$2:$A26),0)</f>
        <v>25</v>
      </c>
    </row>
    <row r="27" spans="1:3" x14ac:dyDescent="0.3">
      <c r="A27">
        <f>IF(AND(OR('Compliance Database'!$A27='Data Transfer'!$B$4,'Compliance Database'!$A27='Data Transfer'!$B$5),OR('Data Transfer'!$B$6="",ISNUMBER(SEARCH('Data Transfer'!$B$6,'Compliance Database'!$D27&amp;" "&amp;'Compliance Database'!$K27&amp;" "&amp;'Compliance Database'!$L27&amp;" "&amp;'Compliance Database'!$M27&amp;" "&amp;'Compliance Database'!$N27&amp;" "&amp;'Compliance Database'!$O27)))),1,0)</f>
        <v>1</v>
      </c>
      <c r="B27">
        <f>IF($A27=1,SUM($A$2:$A27),"")</f>
        <v>26</v>
      </c>
      <c r="C27">
        <f>IF($A27=1,SUM($A$2:$A27),0)</f>
        <v>26</v>
      </c>
    </row>
    <row r="28" spans="1:3" x14ac:dyDescent="0.3">
      <c r="A28">
        <f>IF(AND(OR('Compliance Database'!$A28='Data Transfer'!$B$4,'Compliance Database'!$A28='Data Transfer'!$B$5),OR('Data Transfer'!$B$6="",ISNUMBER(SEARCH('Data Transfer'!$B$6,'Compliance Database'!$D28&amp;" "&amp;'Compliance Database'!$K28&amp;" "&amp;'Compliance Database'!$L28&amp;" "&amp;'Compliance Database'!$M28&amp;" "&amp;'Compliance Database'!$N28&amp;" "&amp;'Compliance Database'!$O28)))),1,0)</f>
        <v>1</v>
      </c>
      <c r="B28">
        <f>IF($A28=1,SUM($A$2:$A28),"")</f>
        <v>27</v>
      </c>
      <c r="C28">
        <f>IF($A28=1,SUM($A$2:$A28),0)</f>
        <v>27</v>
      </c>
    </row>
    <row r="29" spans="1:3" x14ac:dyDescent="0.3">
      <c r="A29">
        <f>IF(AND(OR('Compliance Database'!$A29='Data Transfer'!$B$4,'Compliance Database'!$A29='Data Transfer'!$B$5),OR('Data Transfer'!$B$6="",ISNUMBER(SEARCH('Data Transfer'!$B$6,'Compliance Database'!$D29&amp;" "&amp;'Compliance Database'!$K29&amp;" "&amp;'Compliance Database'!$L29&amp;" "&amp;'Compliance Database'!$M29&amp;" "&amp;'Compliance Database'!$N29&amp;" "&amp;'Compliance Database'!$O29)))),1,0)</f>
        <v>1</v>
      </c>
      <c r="B29">
        <f>IF($A29=1,SUM($A$2:$A29),"")</f>
        <v>28</v>
      </c>
      <c r="C29">
        <f>IF($A29=1,SUM($A$2:$A29),0)</f>
        <v>28</v>
      </c>
    </row>
    <row r="30" spans="1:3" x14ac:dyDescent="0.3">
      <c r="A30">
        <f>IF(AND(OR('Compliance Database'!$A30='Data Transfer'!$B$4,'Compliance Database'!$A30='Data Transfer'!$B$5),OR('Data Transfer'!$B$6="",ISNUMBER(SEARCH('Data Transfer'!$B$6,'Compliance Database'!$D30&amp;" "&amp;'Compliance Database'!$K30&amp;" "&amp;'Compliance Database'!$L30&amp;" "&amp;'Compliance Database'!$M30&amp;" "&amp;'Compliance Database'!$N30&amp;" "&amp;'Compliance Database'!$O30)))),1,0)</f>
        <v>1</v>
      </c>
      <c r="B30">
        <f>IF($A30=1,SUM($A$2:$A30),"")</f>
        <v>29</v>
      </c>
      <c r="C30">
        <f>IF($A30=1,SUM($A$2:$A30),0)</f>
        <v>29</v>
      </c>
    </row>
    <row r="31" spans="1:3" x14ac:dyDescent="0.3">
      <c r="A31">
        <f>IF(AND(OR('Compliance Database'!$A31='Data Transfer'!$B$4,'Compliance Database'!$A31='Data Transfer'!$B$5),OR('Data Transfer'!$B$6="",ISNUMBER(SEARCH('Data Transfer'!$B$6,'Compliance Database'!$D31&amp;" "&amp;'Compliance Database'!$K31&amp;" "&amp;'Compliance Database'!$L31&amp;" "&amp;'Compliance Database'!$M31&amp;" "&amp;'Compliance Database'!$N31&amp;" "&amp;'Compliance Database'!$O31)))),1,0)</f>
        <v>1</v>
      </c>
      <c r="B31">
        <f>IF($A31=1,SUM($A$2:$A31),"")</f>
        <v>30</v>
      </c>
      <c r="C31">
        <f>IF($A31=1,SUM($A$2:$A31),0)</f>
        <v>30</v>
      </c>
    </row>
    <row r="32" spans="1:3" x14ac:dyDescent="0.3">
      <c r="A32">
        <f>IF(AND(OR('Compliance Database'!$A32='Data Transfer'!$B$4,'Compliance Database'!$A32='Data Transfer'!$B$5),OR('Data Transfer'!$B$6="",ISNUMBER(SEARCH('Data Transfer'!$B$6,'Compliance Database'!$D32&amp;" "&amp;'Compliance Database'!$K32&amp;" "&amp;'Compliance Database'!$L32&amp;" "&amp;'Compliance Database'!$M32&amp;" "&amp;'Compliance Database'!$N32&amp;" "&amp;'Compliance Database'!$O32)))),1,0)</f>
        <v>1</v>
      </c>
      <c r="B32">
        <f>IF($A32=1,SUM($A$2:$A32),"")</f>
        <v>31</v>
      </c>
      <c r="C32">
        <f>IF($A32=1,SUM($A$2:$A32),0)</f>
        <v>31</v>
      </c>
    </row>
    <row r="33" spans="1:3" x14ac:dyDescent="0.3">
      <c r="A33">
        <f>IF(AND(OR('Compliance Database'!$A33='Data Transfer'!$B$4,'Compliance Database'!$A33='Data Transfer'!$B$5),OR('Data Transfer'!$B$6="",ISNUMBER(SEARCH('Data Transfer'!$B$6,'Compliance Database'!$D33&amp;" "&amp;'Compliance Database'!$K33&amp;" "&amp;'Compliance Database'!$L33&amp;" "&amp;'Compliance Database'!$M33&amp;" "&amp;'Compliance Database'!$N33&amp;" "&amp;'Compliance Database'!$O33)))),1,0)</f>
        <v>1</v>
      </c>
      <c r="B33">
        <f>IF($A33=1,SUM($A$2:$A33),"")</f>
        <v>32</v>
      </c>
      <c r="C33">
        <f>IF($A33=1,SUM($A$2:$A33),0)</f>
        <v>32</v>
      </c>
    </row>
    <row r="34" spans="1:3" x14ac:dyDescent="0.3">
      <c r="A34">
        <f>IF(AND(OR('Compliance Database'!$A34='Data Transfer'!$B$4,'Compliance Database'!$A34='Data Transfer'!$B$5),OR('Data Transfer'!$B$6="",ISNUMBER(SEARCH('Data Transfer'!$B$6,'Compliance Database'!$D34&amp;" "&amp;'Compliance Database'!$K34&amp;" "&amp;'Compliance Database'!$L34&amp;" "&amp;'Compliance Database'!$M34&amp;" "&amp;'Compliance Database'!$N34&amp;" "&amp;'Compliance Database'!$O34)))),1,0)</f>
        <v>1</v>
      </c>
      <c r="B34">
        <f>IF($A34=1,SUM($A$2:$A34),"")</f>
        <v>33</v>
      </c>
      <c r="C34">
        <f>IF($A34=1,SUM($A$2:$A34),0)</f>
        <v>33</v>
      </c>
    </row>
    <row r="35" spans="1:3" x14ac:dyDescent="0.3">
      <c r="A35">
        <f>IF(AND(OR('Compliance Database'!$A35='Data Transfer'!$B$4,'Compliance Database'!$A35='Data Transfer'!$B$5),OR('Data Transfer'!$B$6="",ISNUMBER(SEARCH('Data Transfer'!$B$6,'Compliance Database'!$D35&amp;" "&amp;'Compliance Database'!$K35&amp;" "&amp;'Compliance Database'!$L35&amp;" "&amp;'Compliance Database'!$M35&amp;" "&amp;'Compliance Database'!$N35&amp;" "&amp;'Compliance Database'!$O35)))),1,0)</f>
        <v>1</v>
      </c>
      <c r="B35">
        <f>IF($A35=1,SUM($A$2:$A35),"")</f>
        <v>34</v>
      </c>
      <c r="C35">
        <f>IF($A35=1,SUM($A$2:$A35),0)</f>
        <v>34</v>
      </c>
    </row>
    <row r="36" spans="1:3" x14ac:dyDescent="0.3">
      <c r="A36">
        <f>IF(AND(OR('Compliance Database'!$A36='Data Transfer'!$B$4,'Compliance Database'!$A36='Data Transfer'!$B$5),OR('Data Transfer'!$B$6="",ISNUMBER(SEARCH('Data Transfer'!$B$6,'Compliance Database'!$D36&amp;" "&amp;'Compliance Database'!$K36&amp;" "&amp;'Compliance Database'!$L36&amp;" "&amp;'Compliance Database'!$M36&amp;" "&amp;'Compliance Database'!$N36&amp;" "&amp;'Compliance Database'!$O36)))),1,0)</f>
        <v>1</v>
      </c>
      <c r="B36">
        <f>IF($A36=1,SUM($A$2:$A36),"")</f>
        <v>35</v>
      </c>
      <c r="C36">
        <f>IF($A36=1,SUM($A$2:$A36),0)</f>
        <v>35</v>
      </c>
    </row>
    <row r="37" spans="1:3" x14ac:dyDescent="0.3">
      <c r="A37">
        <f>IF(AND(OR('Compliance Database'!$A37='Data Transfer'!$B$4,'Compliance Database'!$A37='Data Transfer'!$B$5),OR('Data Transfer'!$B$6="",ISNUMBER(SEARCH('Data Transfer'!$B$6,'Compliance Database'!$D37&amp;" "&amp;'Compliance Database'!$K37&amp;" "&amp;'Compliance Database'!$L37&amp;" "&amp;'Compliance Database'!$M37&amp;" "&amp;'Compliance Database'!$N37&amp;" "&amp;'Compliance Database'!$O37)))),1,0)</f>
        <v>1</v>
      </c>
      <c r="B37">
        <f>IF($A37=1,SUM($A$2:$A37),"")</f>
        <v>36</v>
      </c>
      <c r="C37">
        <f>IF($A37=1,SUM($A$2:$A37),0)</f>
        <v>36</v>
      </c>
    </row>
    <row r="38" spans="1:3" x14ac:dyDescent="0.3">
      <c r="A38">
        <f>IF(AND(OR('Compliance Database'!$A38='Data Transfer'!$B$4,'Compliance Database'!$A38='Data Transfer'!$B$5),OR('Data Transfer'!$B$6="",ISNUMBER(SEARCH('Data Transfer'!$B$6,'Compliance Database'!$D38&amp;" "&amp;'Compliance Database'!$K38&amp;" "&amp;'Compliance Database'!$L38&amp;" "&amp;'Compliance Database'!$M38&amp;" "&amp;'Compliance Database'!$N38&amp;" "&amp;'Compliance Database'!$O38)))),1,0)</f>
        <v>1</v>
      </c>
      <c r="B38">
        <f>IF($A38=1,SUM($A$2:$A38),"")</f>
        <v>37</v>
      </c>
      <c r="C38">
        <f>IF($A38=1,SUM($A$2:$A38),0)</f>
        <v>37</v>
      </c>
    </row>
    <row r="39" spans="1:3" x14ac:dyDescent="0.3">
      <c r="A39">
        <f>IF(AND(OR('Compliance Database'!$A39='Data Transfer'!$B$4,'Compliance Database'!$A39='Data Transfer'!$B$5),OR('Data Transfer'!$B$6="",ISNUMBER(SEARCH('Data Transfer'!$B$6,'Compliance Database'!$D39&amp;" "&amp;'Compliance Database'!$K39&amp;" "&amp;'Compliance Database'!$L39&amp;" "&amp;'Compliance Database'!$M39&amp;" "&amp;'Compliance Database'!$N39&amp;" "&amp;'Compliance Database'!$O39)))),1,0)</f>
        <v>1</v>
      </c>
      <c r="B39">
        <f>IF($A39=1,SUM($A$2:$A39),"")</f>
        <v>38</v>
      </c>
      <c r="C39">
        <f>IF($A39=1,SUM($A$2:$A39),0)</f>
        <v>38</v>
      </c>
    </row>
    <row r="40" spans="1:3" x14ac:dyDescent="0.3">
      <c r="A40">
        <f>IF(AND(OR('Compliance Database'!$A40='Data Transfer'!$B$4,'Compliance Database'!$A40='Data Transfer'!$B$5),OR('Data Transfer'!$B$6="",ISNUMBER(SEARCH('Data Transfer'!$B$6,'Compliance Database'!$D40&amp;" "&amp;'Compliance Database'!$K40&amp;" "&amp;'Compliance Database'!$L40&amp;" "&amp;'Compliance Database'!$M40&amp;" "&amp;'Compliance Database'!$N40&amp;" "&amp;'Compliance Database'!$O40)))),1,0)</f>
        <v>1</v>
      </c>
      <c r="B40">
        <f>IF($A40=1,SUM($A$2:$A40),"")</f>
        <v>39</v>
      </c>
      <c r="C40">
        <f>IF($A40=1,SUM($A$2:$A40),0)</f>
        <v>39</v>
      </c>
    </row>
    <row r="41" spans="1:3" x14ac:dyDescent="0.3">
      <c r="A41">
        <f>IF(AND(OR('Compliance Database'!$A41='Data Transfer'!$B$4,'Compliance Database'!$A41='Data Transfer'!$B$5),OR('Data Transfer'!$B$6="",ISNUMBER(SEARCH('Data Transfer'!$B$6,'Compliance Database'!$D41&amp;" "&amp;'Compliance Database'!$K41&amp;" "&amp;'Compliance Database'!$L41&amp;" "&amp;'Compliance Database'!$M41&amp;" "&amp;'Compliance Database'!$N41&amp;" "&amp;'Compliance Database'!$O41)))),1,0)</f>
        <v>1</v>
      </c>
      <c r="B41">
        <f>IF($A41=1,SUM($A$2:$A41),"")</f>
        <v>40</v>
      </c>
      <c r="C41">
        <f>IF($A41=1,SUM($A$2:$A41),0)</f>
        <v>40</v>
      </c>
    </row>
    <row r="42" spans="1:3" x14ac:dyDescent="0.3">
      <c r="A42">
        <f>IF(AND(OR('Compliance Database'!$A42='Data Transfer'!$B$4,'Compliance Database'!$A42='Data Transfer'!$B$5),OR('Data Transfer'!$B$6="",ISNUMBER(SEARCH('Data Transfer'!$B$6,'Compliance Database'!$D42&amp;" "&amp;'Compliance Database'!$K42&amp;" "&amp;'Compliance Database'!$L42&amp;" "&amp;'Compliance Database'!$M42&amp;" "&amp;'Compliance Database'!$N42&amp;" "&amp;'Compliance Database'!$O42)))),1,0)</f>
        <v>1</v>
      </c>
      <c r="B42">
        <f>IF($A42=1,SUM($A$2:$A42),"")</f>
        <v>41</v>
      </c>
      <c r="C42">
        <f>IF($A42=1,SUM($A$2:$A42),0)</f>
        <v>41</v>
      </c>
    </row>
    <row r="43" spans="1:3" x14ac:dyDescent="0.3">
      <c r="A43">
        <f>IF(AND(OR('Compliance Database'!$A43='Data Transfer'!$B$4,'Compliance Database'!$A43='Data Transfer'!$B$5),OR('Data Transfer'!$B$6="",ISNUMBER(SEARCH('Data Transfer'!$B$6,'Compliance Database'!$D43&amp;" "&amp;'Compliance Database'!$K43&amp;" "&amp;'Compliance Database'!$L43&amp;" "&amp;'Compliance Database'!$M43&amp;" "&amp;'Compliance Database'!$N43&amp;" "&amp;'Compliance Database'!$O43)))),1,0)</f>
        <v>1</v>
      </c>
      <c r="B43">
        <f>IF($A43=1,SUM($A$2:$A43),"")</f>
        <v>42</v>
      </c>
      <c r="C43">
        <f>IF($A43=1,SUM($A$2:$A43),0)</f>
        <v>42</v>
      </c>
    </row>
    <row r="44" spans="1:3" x14ac:dyDescent="0.3">
      <c r="A44">
        <f>IF(AND(OR('Compliance Database'!$A44='Data Transfer'!$B$4,'Compliance Database'!$A44='Data Transfer'!$B$5),OR('Data Transfer'!$B$6="",ISNUMBER(SEARCH('Data Transfer'!$B$6,'Compliance Database'!$D44&amp;" "&amp;'Compliance Database'!$K44&amp;" "&amp;'Compliance Database'!$L44&amp;" "&amp;'Compliance Database'!$M44&amp;" "&amp;'Compliance Database'!$N44&amp;" "&amp;'Compliance Database'!$O44)))),1,0)</f>
        <v>1</v>
      </c>
      <c r="B44">
        <f>IF($A44=1,SUM($A$2:$A44),"")</f>
        <v>43</v>
      </c>
      <c r="C44">
        <f>IF($A44=1,SUM($A$2:$A44),0)</f>
        <v>43</v>
      </c>
    </row>
    <row r="45" spans="1:3" x14ac:dyDescent="0.3">
      <c r="A45">
        <f>IF(AND(OR('Compliance Database'!$A45='Data Transfer'!$B$4,'Compliance Database'!$A45='Data Transfer'!$B$5),OR('Data Transfer'!$B$6="",ISNUMBER(SEARCH('Data Transfer'!$B$6,'Compliance Database'!$D45&amp;" "&amp;'Compliance Database'!$K45&amp;" "&amp;'Compliance Database'!$L45&amp;" "&amp;'Compliance Database'!$M45&amp;" "&amp;'Compliance Database'!$N45&amp;" "&amp;'Compliance Database'!$O45)))),1,0)</f>
        <v>1</v>
      </c>
      <c r="B45">
        <f>IF($A45=1,SUM($A$2:$A45),"")</f>
        <v>44</v>
      </c>
      <c r="C45">
        <f>IF($A45=1,SUM($A$2:$A45),0)</f>
        <v>44</v>
      </c>
    </row>
    <row r="46" spans="1:3" x14ac:dyDescent="0.3">
      <c r="A46">
        <f>IF(AND(OR('Compliance Database'!$A46='Data Transfer'!$B$4,'Compliance Database'!$A46='Data Transfer'!$B$5),OR('Data Transfer'!$B$6="",ISNUMBER(SEARCH('Data Transfer'!$B$6,'Compliance Database'!$D46&amp;" "&amp;'Compliance Database'!$K46&amp;" "&amp;'Compliance Database'!$L46&amp;" "&amp;'Compliance Database'!$M46&amp;" "&amp;'Compliance Database'!$N46&amp;" "&amp;'Compliance Database'!$O46)))),1,0)</f>
        <v>1</v>
      </c>
      <c r="B46">
        <f>IF($A46=1,SUM($A$2:$A46),"")</f>
        <v>45</v>
      </c>
      <c r="C46">
        <f>IF($A46=1,SUM($A$2:$A46),0)</f>
        <v>45</v>
      </c>
    </row>
    <row r="47" spans="1:3" x14ac:dyDescent="0.3">
      <c r="A47">
        <f>IF(AND(OR('Compliance Database'!$A47='Data Transfer'!$B$4,'Compliance Database'!$A47='Data Transfer'!$B$5),OR('Data Transfer'!$B$6="",ISNUMBER(SEARCH('Data Transfer'!$B$6,'Compliance Database'!$D47&amp;" "&amp;'Compliance Database'!$K47&amp;" "&amp;'Compliance Database'!$L47&amp;" "&amp;'Compliance Database'!$M47&amp;" "&amp;'Compliance Database'!$N47&amp;" "&amp;'Compliance Database'!$O47)))),1,0)</f>
        <v>1</v>
      </c>
      <c r="B47">
        <f>IF($A47=1,SUM($A$2:$A47),"")</f>
        <v>46</v>
      </c>
      <c r="C47">
        <f>IF($A47=1,SUM($A$2:$A47),0)</f>
        <v>46</v>
      </c>
    </row>
    <row r="48" spans="1:3" x14ac:dyDescent="0.3">
      <c r="A48">
        <f>IF(AND(OR('Compliance Database'!$A48='Data Transfer'!$B$4,'Compliance Database'!$A48='Data Transfer'!$B$5),OR('Data Transfer'!$B$6="",ISNUMBER(SEARCH('Data Transfer'!$B$6,'Compliance Database'!$D48&amp;" "&amp;'Compliance Database'!$K48&amp;" "&amp;'Compliance Database'!$L48&amp;" "&amp;'Compliance Database'!$M48&amp;" "&amp;'Compliance Database'!$N48&amp;" "&amp;'Compliance Database'!$O48)))),1,0)</f>
        <v>1</v>
      </c>
      <c r="B48">
        <f>IF($A48=1,SUM($A$2:$A48),"")</f>
        <v>47</v>
      </c>
      <c r="C48">
        <f>IF($A48=1,SUM($A$2:$A48),0)</f>
        <v>47</v>
      </c>
    </row>
    <row r="49" spans="1:3" x14ac:dyDescent="0.3">
      <c r="A49">
        <f>IF(AND(OR('Compliance Database'!$A49='Data Transfer'!$B$4,'Compliance Database'!$A49='Data Transfer'!$B$5),OR('Data Transfer'!$B$6="",ISNUMBER(SEARCH('Data Transfer'!$B$6,'Compliance Database'!$D49&amp;" "&amp;'Compliance Database'!$K49&amp;" "&amp;'Compliance Database'!$L49&amp;" "&amp;'Compliance Database'!$M49&amp;" "&amp;'Compliance Database'!$N49&amp;" "&amp;'Compliance Database'!$O49)))),1,0)</f>
        <v>1</v>
      </c>
      <c r="B49">
        <f>IF($A49=1,SUM($A$2:$A49),"")</f>
        <v>48</v>
      </c>
      <c r="C49">
        <f>IF($A49=1,SUM($A$2:$A49),0)</f>
        <v>48</v>
      </c>
    </row>
    <row r="50" spans="1:3" x14ac:dyDescent="0.3">
      <c r="A50">
        <f>IF(AND(OR('Compliance Database'!$A50='Data Transfer'!$B$4,'Compliance Database'!$A50='Data Transfer'!$B$5),OR('Data Transfer'!$B$6="",ISNUMBER(SEARCH('Data Transfer'!$B$6,'Compliance Database'!$D50&amp;" "&amp;'Compliance Database'!$K50&amp;" "&amp;'Compliance Database'!$L50&amp;" "&amp;'Compliance Database'!$M50&amp;" "&amp;'Compliance Database'!$N50&amp;" "&amp;'Compliance Database'!$O50)))),1,0)</f>
        <v>1</v>
      </c>
      <c r="B50">
        <f>IF($A50=1,SUM($A$2:$A50),"")</f>
        <v>49</v>
      </c>
      <c r="C50">
        <f>IF($A50=1,SUM($A$2:$A50),0)</f>
        <v>49</v>
      </c>
    </row>
    <row r="51" spans="1:3" x14ac:dyDescent="0.3">
      <c r="A51">
        <f>IF(AND(OR('Compliance Database'!$A51='Data Transfer'!$B$4,'Compliance Database'!$A51='Data Transfer'!$B$5),OR('Data Transfer'!$B$6="",ISNUMBER(SEARCH('Data Transfer'!$B$6,'Compliance Database'!$D51&amp;" "&amp;'Compliance Database'!$K51&amp;" "&amp;'Compliance Database'!$L51&amp;" "&amp;'Compliance Database'!$M51&amp;" "&amp;'Compliance Database'!$N51&amp;" "&amp;'Compliance Database'!$O51)))),1,0)</f>
        <v>1</v>
      </c>
      <c r="B51">
        <f>IF($A51=1,SUM($A$2:$A51),"")</f>
        <v>50</v>
      </c>
      <c r="C51">
        <f>IF($A51=1,SUM($A$2:$A51),0)</f>
        <v>50</v>
      </c>
    </row>
    <row r="52" spans="1:3" x14ac:dyDescent="0.3">
      <c r="A52">
        <f>IF(AND(OR('Compliance Database'!$A52='Data Transfer'!$B$4,'Compliance Database'!$A52='Data Transfer'!$B$5),OR('Data Transfer'!$B$6="",ISNUMBER(SEARCH('Data Transfer'!$B$6,'Compliance Database'!$D52&amp;" "&amp;'Compliance Database'!$K52&amp;" "&amp;'Compliance Database'!$L52&amp;" "&amp;'Compliance Database'!$M52&amp;" "&amp;'Compliance Database'!$N52&amp;" "&amp;'Compliance Database'!$O52)))),1,0)</f>
        <v>1</v>
      </c>
      <c r="B52">
        <f>IF($A52=1,SUM($A$2:$A52),"")</f>
        <v>51</v>
      </c>
      <c r="C52">
        <f>IF($A52=1,SUM($A$2:$A52),0)</f>
        <v>51</v>
      </c>
    </row>
    <row r="53" spans="1:3" x14ac:dyDescent="0.3">
      <c r="A53">
        <f>IF(AND(OR('Compliance Database'!$A53='Data Transfer'!$B$4,'Compliance Database'!$A53='Data Transfer'!$B$5),OR('Data Transfer'!$B$6="",ISNUMBER(SEARCH('Data Transfer'!$B$6,'Compliance Database'!$D53&amp;" "&amp;'Compliance Database'!$K53&amp;" "&amp;'Compliance Database'!$L53&amp;" "&amp;'Compliance Database'!$M53&amp;" "&amp;'Compliance Database'!$N53&amp;" "&amp;'Compliance Database'!$O53)))),1,0)</f>
        <v>1</v>
      </c>
      <c r="B53">
        <f>IF($A53=1,SUM($A$2:$A53),"")</f>
        <v>52</v>
      </c>
      <c r="C53">
        <f>IF($A53=1,SUM($A$2:$A53),0)</f>
        <v>52</v>
      </c>
    </row>
    <row r="54" spans="1:3" x14ac:dyDescent="0.3">
      <c r="A54">
        <f>IF(AND(OR('Compliance Database'!$A54='Data Transfer'!$B$4,'Compliance Database'!$A54='Data Transfer'!$B$5),OR('Data Transfer'!$B$6="",ISNUMBER(SEARCH('Data Transfer'!$B$6,'Compliance Database'!$D54&amp;" "&amp;'Compliance Database'!$K54&amp;" "&amp;'Compliance Database'!$L54&amp;" "&amp;'Compliance Database'!$M54&amp;" "&amp;'Compliance Database'!$N54&amp;" "&amp;'Compliance Database'!$O54)))),1,0)</f>
        <v>1</v>
      </c>
      <c r="B54">
        <f>IF($A54=1,SUM($A$2:$A54),"")</f>
        <v>53</v>
      </c>
      <c r="C54">
        <f>IF($A54=1,SUM($A$2:$A54),0)</f>
        <v>53</v>
      </c>
    </row>
    <row r="55" spans="1:3" x14ac:dyDescent="0.3">
      <c r="A55">
        <f>IF(AND(OR('Compliance Database'!$A55='Data Transfer'!$B$4,'Compliance Database'!$A55='Data Transfer'!$B$5),OR('Data Transfer'!$B$6="",ISNUMBER(SEARCH('Data Transfer'!$B$6,'Compliance Database'!$D55&amp;" "&amp;'Compliance Database'!$K55&amp;" "&amp;'Compliance Database'!$L55&amp;" "&amp;'Compliance Database'!$M55&amp;" "&amp;'Compliance Database'!$N55&amp;" "&amp;'Compliance Database'!$O55)))),1,0)</f>
        <v>1</v>
      </c>
      <c r="B55">
        <f>IF($A55=1,SUM($A$2:$A55),"")</f>
        <v>54</v>
      </c>
      <c r="C55">
        <f>IF($A55=1,SUM($A$2:$A55),0)</f>
        <v>54</v>
      </c>
    </row>
    <row r="56" spans="1:3" x14ac:dyDescent="0.3">
      <c r="A56">
        <f>IF(AND(OR('Compliance Database'!$A56='Data Transfer'!$B$4,'Compliance Database'!$A56='Data Transfer'!$B$5),OR('Data Transfer'!$B$6="",ISNUMBER(SEARCH('Data Transfer'!$B$6,'Compliance Database'!$D56&amp;" "&amp;'Compliance Database'!$K56&amp;" "&amp;'Compliance Database'!$L56&amp;" "&amp;'Compliance Database'!$M56&amp;" "&amp;'Compliance Database'!$N56&amp;" "&amp;'Compliance Database'!$O56)))),1,0)</f>
        <v>1</v>
      </c>
      <c r="B56">
        <f>IF($A56=1,SUM($A$2:$A56),"")</f>
        <v>55</v>
      </c>
      <c r="C56">
        <f>IF($A56=1,SUM($A$2:$A56),0)</f>
        <v>55</v>
      </c>
    </row>
    <row r="57" spans="1:3" x14ac:dyDescent="0.3">
      <c r="A57">
        <f>IF(AND(OR('Compliance Database'!$A57='Data Transfer'!$B$4,'Compliance Database'!$A57='Data Transfer'!$B$5),OR('Data Transfer'!$B$6="",ISNUMBER(SEARCH('Data Transfer'!$B$6,'Compliance Database'!$D57&amp;" "&amp;'Compliance Database'!$K57&amp;" "&amp;'Compliance Database'!$L57&amp;" "&amp;'Compliance Database'!$M57&amp;" "&amp;'Compliance Database'!$N57&amp;" "&amp;'Compliance Database'!$O57)))),1,0)</f>
        <v>1</v>
      </c>
      <c r="B57">
        <f>IF($A57=1,SUM($A$2:$A57),"")</f>
        <v>56</v>
      </c>
      <c r="C57">
        <f>IF($A57=1,SUM($A$2:$A57),0)</f>
        <v>56</v>
      </c>
    </row>
    <row r="58" spans="1:3" x14ac:dyDescent="0.3">
      <c r="A58">
        <f>IF(AND(OR('Compliance Database'!$A58='Data Transfer'!$B$4,'Compliance Database'!$A58='Data Transfer'!$B$5),OR('Data Transfer'!$B$6="",ISNUMBER(SEARCH('Data Transfer'!$B$6,'Compliance Database'!$D58&amp;" "&amp;'Compliance Database'!$K58&amp;" "&amp;'Compliance Database'!$L58&amp;" "&amp;'Compliance Database'!$M58&amp;" "&amp;'Compliance Database'!$N58&amp;" "&amp;'Compliance Database'!$O58)))),1,0)</f>
        <v>1</v>
      </c>
      <c r="B58">
        <f>IF($A58=1,SUM($A$2:$A58),"")</f>
        <v>57</v>
      </c>
      <c r="C58">
        <f>IF($A58=1,SUM($A$2:$A58),0)</f>
        <v>57</v>
      </c>
    </row>
    <row r="59" spans="1:3" x14ac:dyDescent="0.3">
      <c r="A59">
        <f>IF(AND(OR('Compliance Database'!$A59='Data Transfer'!$B$4,'Compliance Database'!$A59='Data Transfer'!$B$5),OR('Data Transfer'!$B$6="",ISNUMBER(SEARCH('Data Transfer'!$B$6,'Compliance Database'!$D59&amp;" "&amp;'Compliance Database'!$K59&amp;" "&amp;'Compliance Database'!$L59&amp;" "&amp;'Compliance Database'!$M59&amp;" "&amp;'Compliance Database'!$N59&amp;" "&amp;'Compliance Database'!$O59)))),1,0)</f>
        <v>1</v>
      </c>
      <c r="B59">
        <f>IF($A59=1,SUM($A$2:$A59),"")</f>
        <v>58</v>
      </c>
      <c r="C59">
        <f>IF($A59=1,SUM($A$2:$A59),0)</f>
        <v>58</v>
      </c>
    </row>
    <row r="60" spans="1:3" x14ac:dyDescent="0.3">
      <c r="A60">
        <f>IF(AND(OR('Compliance Database'!$A60='Data Transfer'!$B$4,'Compliance Database'!$A60='Data Transfer'!$B$5),OR('Data Transfer'!$B$6="",ISNUMBER(SEARCH('Data Transfer'!$B$6,'Compliance Database'!$D60&amp;" "&amp;'Compliance Database'!$K60&amp;" "&amp;'Compliance Database'!$L60&amp;" "&amp;'Compliance Database'!$M60&amp;" "&amp;'Compliance Database'!$N60&amp;" "&amp;'Compliance Database'!$O60)))),1,0)</f>
        <v>1</v>
      </c>
      <c r="B60">
        <f>IF($A60=1,SUM($A$2:$A60),"")</f>
        <v>59</v>
      </c>
      <c r="C60">
        <f>IF($A60=1,SUM($A$2:$A60),0)</f>
        <v>59</v>
      </c>
    </row>
    <row r="61" spans="1:3" x14ac:dyDescent="0.3">
      <c r="A61">
        <f>IF(AND(OR('Compliance Database'!$A61='Data Transfer'!$B$4,'Compliance Database'!$A61='Data Transfer'!$B$5),OR('Data Transfer'!$B$6="",ISNUMBER(SEARCH('Data Transfer'!$B$6,'Compliance Database'!$D61&amp;" "&amp;'Compliance Database'!$K61&amp;" "&amp;'Compliance Database'!$L61&amp;" "&amp;'Compliance Database'!$M61&amp;" "&amp;'Compliance Database'!$N61&amp;" "&amp;'Compliance Database'!$O61)))),1,0)</f>
        <v>1</v>
      </c>
      <c r="B61">
        <f>IF($A61=1,SUM($A$2:$A61),"")</f>
        <v>60</v>
      </c>
      <c r="C61">
        <f>IF($A61=1,SUM($A$2:$A61),0)</f>
        <v>60</v>
      </c>
    </row>
    <row r="62" spans="1:3" x14ac:dyDescent="0.3">
      <c r="A62">
        <f>IF(AND(OR('Compliance Database'!$A62='Data Transfer'!$B$4,'Compliance Database'!$A62='Data Transfer'!$B$5),OR('Data Transfer'!$B$6="",ISNUMBER(SEARCH('Data Transfer'!$B$6,'Compliance Database'!$D62&amp;" "&amp;'Compliance Database'!$K62&amp;" "&amp;'Compliance Database'!$L62&amp;" "&amp;'Compliance Database'!$M62&amp;" "&amp;'Compliance Database'!$N62&amp;" "&amp;'Compliance Database'!$O62)))),1,0)</f>
        <v>1</v>
      </c>
      <c r="B62">
        <f>IF($A62=1,SUM($A$2:$A62),"")</f>
        <v>61</v>
      </c>
      <c r="C62">
        <f>IF($A62=1,SUM($A$2:$A62),0)</f>
        <v>61</v>
      </c>
    </row>
    <row r="63" spans="1:3" x14ac:dyDescent="0.3">
      <c r="A63">
        <f>IF(AND(OR('Compliance Database'!$A63='Data Transfer'!$B$4,'Compliance Database'!$A63='Data Transfer'!$B$5),OR('Data Transfer'!$B$6="",ISNUMBER(SEARCH('Data Transfer'!$B$6,'Compliance Database'!$D63&amp;" "&amp;'Compliance Database'!$K63&amp;" "&amp;'Compliance Database'!$L63&amp;" "&amp;'Compliance Database'!$M63&amp;" "&amp;'Compliance Database'!$N63&amp;" "&amp;'Compliance Database'!$O63)))),1,0)</f>
        <v>1</v>
      </c>
      <c r="B63">
        <f>IF($A63=1,SUM($A$2:$A63),"")</f>
        <v>62</v>
      </c>
      <c r="C63">
        <f>IF($A63=1,SUM($A$2:$A63),0)</f>
        <v>62</v>
      </c>
    </row>
    <row r="64" spans="1:3" x14ac:dyDescent="0.3">
      <c r="A64">
        <f>IF(AND(OR('Compliance Database'!$A64='Data Transfer'!$B$4,'Compliance Database'!$A64='Data Transfer'!$B$5),OR('Data Transfer'!$B$6="",ISNUMBER(SEARCH('Data Transfer'!$B$6,'Compliance Database'!$D64&amp;" "&amp;'Compliance Database'!$K64&amp;" "&amp;'Compliance Database'!$L64&amp;" "&amp;'Compliance Database'!$M64&amp;" "&amp;'Compliance Database'!$N64&amp;" "&amp;'Compliance Database'!$O64)))),1,0)</f>
        <v>1</v>
      </c>
      <c r="B64">
        <f>IF($A64=1,SUM($A$2:$A64),"")</f>
        <v>63</v>
      </c>
      <c r="C64">
        <f>IF($A64=1,SUM($A$2:$A64),0)</f>
        <v>63</v>
      </c>
    </row>
    <row r="65" spans="1:3" x14ac:dyDescent="0.3">
      <c r="A65">
        <f>IF(AND(OR('Compliance Database'!$A65='Data Transfer'!$B$4,'Compliance Database'!$A65='Data Transfer'!$B$5),OR('Data Transfer'!$B$6="",ISNUMBER(SEARCH('Data Transfer'!$B$6,'Compliance Database'!$D65&amp;" "&amp;'Compliance Database'!$K65&amp;" "&amp;'Compliance Database'!$L65&amp;" "&amp;'Compliance Database'!$M65&amp;" "&amp;'Compliance Database'!$N65&amp;" "&amp;'Compliance Database'!$O65)))),1,0)</f>
        <v>1</v>
      </c>
      <c r="B65">
        <f>IF($A65=1,SUM($A$2:$A65),"")</f>
        <v>64</v>
      </c>
      <c r="C65">
        <f>IF($A65=1,SUM($A$2:$A65),0)</f>
        <v>64</v>
      </c>
    </row>
    <row r="66" spans="1:3" x14ac:dyDescent="0.3">
      <c r="A66">
        <f>IF(AND(OR('Compliance Database'!$A66='Data Transfer'!$B$4,'Compliance Database'!$A66='Data Transfer'!$B$5),OR('Data Transfer'!$B$6="",ISNUMBER(SEARCH('Data Transfer'!$B$6,'Compliance Database'!$D66&amp;" "&amp;'Compliance Database'!$K66&amp;" "&amp;'Compliance Database'!$L66&amp;" "&amp;'Compliance Database'!$M66&amp;" "&amp;'Compliance Database'!$N66&amp;" "&amp;'Compliance Database'!$O66)))),1,0)</f>
        <v>1</v>
      </c>
      <c r="B66">
        <f>IF($A66=1,SUM($A$2:$A66),"")</f>
        <v>65</v>
      </c>
      <c r="C66">
        <f>IF($A66=1,SUM($A$2:$A66),0)</f>
        <v>65</v>
      </c>
    </row>
    <row r="67" spans="1:3" x14ac:dyDescent="0.3">
      <c r="A67">
        <f>IF(AND(OR('Compliance Database'!$A67='Data Transfer'!$B$4,'Compliance Database'!$A67='Data Transfer'!$B$5),OR('Data Transfer'!$B$6="",ISNUMBER(SEARCH('Data Transfer'!$B$6,'Compliance Database'!$D67&amp;" "&amp;'Compliance Database'!$K67&amp;" "&amp;'Compliance Database'!$L67&amp;" "&amp;'Compliance Database'!$M67&amp;" "&amp;'Compliance Database'!$N67&amp;" "&amp;'Compliance Database'!$O67)))),1,0)</f>
        <v>1</v>
      </c>
      <c r="B67">
        <f>IF($A67=1,SUM($A$2:$A67),"")</f>
        <v>66</v>
      </c>
      <c r="C67">
        <f>IF($A67=1,SUM($A$2:$A67),0)</f>
        <v>66</v>
      </c>
    </row>
    <row r="68" spans="1:3" x14ac:dyDescent="0.3">
      <c r="A68">
        <f>IF(AND(OR('Compliance Database'!$A68='Data Transfer'!$B$4,'Compliance Database'!$A68='Data Transfer'!$B$5),OR('Data Transfer'!$B$6="",ISNUMBER(SEARCH('Data Transfer'!$B$6,'Compliance Database'!$D68&amp;" "&amp;'Compliance Database'!$K68&amp;" "&amp;'Compliance Database'!$L68&amp;" "&amp;'Compliance Database'!$M68&amp;" "&amp;'Compliance Database'!$N68&amp;" "&amp;'Compliance Database'!$O68)))),1,0)</f>
        <v>1</v>
      </c>
      <c r="B68">
        <f>IF($A68=1,SUM($A$2:$A68),"")</f>
        <v>67</v>
      </c>
      <c r="C68">
        <f>IF($A68=1,SUM($A$2:$A68),0)</f>
        <v>67</v>
      </c>
    </row>
    <row r="69" spans="1:3" x14ac:dyDescent="0.3">
      <c r="A69">
        <f>IF(AND(OR('Compliance Database'!$A69='Data Transfer'!$B$4,'Compliance Database'!$A69='Data Transfer'!$B$5),OR('Data Transfer'!$B$6="",ISNUMBER(SEARCH('Data Transfer'!$B$6,'Compliance Database'!$D69&amp;" "&amp;'Compliance Database'!$K69&amp;" "&amp;'Compliance Database'!$L69&amp;" "&amp;'Compliance Database'!$M69&amp;" "&amp;'Compliance Database'!$N69&amp;" "&amp;'Compliance Database'!$O69)))),1,0)</f>
        <v>1</v>
      </c>
      <c r="B69">
        <f>IF($A69=1,SUM($A$2:$A69),"")</f>
        <v>68</v>
      </c>
      <c r="C69">
        <f>IF($A69=1,SUM($A$2:$A69),0)</f>
        <v>68</v>
      </c>
    </row>
    <row r="70" spans="1:3" x14ac:dyDescent="0.3">
      <c r="A70">
        <f>IF(AND(OR('Compliance Database'!$A70='Data Transfer'!$B$4,'Compliance Database'!$A70='Data Transfer'!$B$5),OR('Data Transfer'!$B$6="",ISNUMBER(SEARCH('Data Transfer'!$B$6,'Compliance Database'!$D70&amp;" "&amp;'Compliance Database'!$K70&amp;" "&amp;'Compliance Database'!$L70&amp;" "&amp;'Compliance Database'!$M70&amp;" "&amp;'Compliance Database'!$N70&amp;" "&amp;'Compliance Database'!$O70)))),1,0)</f>
        <v>1</v>
      </c>
      <c r="B70">
        <f>IF($A70=1,SUM($A$2:$A70),"")</f>
        <v>69</v>
      </c>
      <c r="C70">
        <f>IF($A70=1,SUM($A$2:$A70),0)</f>
        <v>69</v>
      </c>
    </row>
    <row r="71" spans="1:3" x14ac:dyDescent="0.3">
      <c r="A71">
        <f>IF(AND(OR('Compliance Database'!$A71='Data Transfer'!$B$4,'Compliance Database'!$A71='Data Transfer'!$B$5),OR('Data Transfer'!$B$6="",ISNUMBER(SEARCH('Data Transfer'!$B$6,'Compliance Database'!$D71&amp;" "&amp;'Compliance Database'!$K71&amp;" "&amp;'Compliance Database'!$L71&amp;" "&amp;'Compliance Database'!$M71&amp;" "&amp;'Compliance Database'!$N71&amp;" "&amp;'Compliance Database'!$O71)))),1,0)</f>
        <v>1</v>
      </c>
      <c r="B71">
        <f>IF($A71=1,SUM($A$2:$A71),"")</f>
        <v>70</v>
      </c>
      <c r="C71">
        <f>IF($A71=1,SUM($A$2:$A71),0)</f>
        <v>70</v>
      </c>
    </row>
    <row r="72" spans="1:3" x14ac:dyDescent="0.3">
      <c r="A72">
        <f>IF(AND(OR('Compliance Database'!$A72='Data Transfer'!$B$4,'Compliance Database'!$A72='Data Transfer'!$B$5),OR('Data Transfer'!$B$6="",ISNUMBER(SEARCH('Data Transfer'!$B$6,'Compliance Database'!$D72&amp;" "&amp;'Compliance Database'!$K72&amp;" "&amp;'Compliance Database'!$L72&amp;" "&amp;'Compliance Database'!$M72&amp;" "&amp;'Compliance Database'!$N72&amp;" "&amp;'Compliance Database'!$O72)))),1,0)</f>
        <v>1</v>
      </c>
      <c r="B72">
        <f>IF($A72=1,SUM($A$2:$A72),"")</f>
        <v>71</v>
      </c>
      <c r="C72">
        <f>IF($A72=1,SUM($A$2:$A72),0)</f>
        <v>71</v>
      </c>
    </row>
    <row r="73" spans="1:3" x14ac:dyDescent="0.3">
      <c r="A73">
        <f>IF(AND(OR('Compliance Database'!$A73='Data Transfer'!$B$4,'Compliance Database'!$A73='Data Transfer'!$B$5),OR('Data Transfer'!$B$6="",ISNUMBER(SEARCH('Data Transfer'!$B$6,'Compliance Database'!$D73&amp;" "&amp;'Compliance Database'!$K73&amp;" "&amp;'Compliance Database'!$L73&amp;" "&amp;'Compliance Database'!$M73&amp;" "&amp;'Compliance Database'!$N73&amp;" "&amp;'Compliance Database'!$O73)))),1,0)</f>
        <v>1</v>
      </c>
      <c r="B73">
        <f>IF($A73=1,SUM($A$2:$A73),"")</f>
        <v>72</v>
      </c>
      <c r="C73">
        <f>IF($A73=1,SUM($A$2:$A73),0)</f>
        <v>72</v>
      </c>
    </row>
    <row r="74" spans="1:3" x14ac:dyDescent="0.3">
      <c r="A74">
        <f>IF(AND(OR('Compliance Database'!$A74='Data Transfer'!$B$4,'Compliance Database'!$A74='Data Transfer'!$B$5),OR('Data Transfer'!$B$6="",ISNUMBER(SEARCH('Data Transfer'!$B$6,'Compliance Database'!$D74&amp;" "&amp;'Compliance Database'!$K74&amp;" "&amp;'Compliance Database'!$L74&amp;" "&amp;'Compliance Database'!$M74&amp;" "&amp;'Compliance Database'!$N74&amp;" "&amp;'Compliance Database'!$O74)))),1,0)</f>
        <v>1</v>
      </c>
      <c r="B74">
        <f>IF($A74=1,SUM($A$2:$A74),"")</f>
        <v>73</v>
      </c>
      <c r="C74">
        <f>IF($A74=1,SUM($A$2:$A74),0)</f>
        <v>73</v>
      </c>
    </row>
    <row r="75" spans="1:3" x14ac:dyDescent="0.3">
      <c r="A75">
        <f>IF(AND(OR('Compliance Database'!$A75='Data Transfer'!$B$4,'Compliance Database'!$A75='Data Transfer'!$B$5),OR('Data Transfer'!$B$6="",ISNUMBER(SEARCH('Data Transfer'!$B$6,'Compliance Database'!$D75&amp;" "&amp;'Compliance Database'!$K75&amp;" "&amp;'Compliance Database'!$L75&amp;" "&amp;'Compliance Database'!$M75&amp;" "&amp;'Compliance Database'!$N75&amp;" "&amp;'Compliance Database'!$O75)))),1,0)</f>
        <v>1</v>
      </c>
      <c r="B75">
        <f>IF($A75=1,SUM($A$2:$A75),"")</f>
        <v>74</v>
      </c>
      <c r="C75">
        <f>IF($A75=1,SUM($A$2:$A75),0)</f>
        <v>74</v>
      </c>
    </row>
    <row r="76" spans="1:3" x14ac:dyDescent="0.3">
      <c r="A76">
        <f>IF(AND(OR('Compliance Database'!$A76='Data Transfer'!$B$4,'Compliance Database'!$A76='Data Transfer'!$B$5),OR('Data Transfer'!$B$6="",ISNUMBER(SEARCH('Data Transfer'!$B$6,'Compliance Database'!$D76&amp;" "&amp;'Compliance Database'!$K76&amp;" "&amp;'Compliance Database'!$L76&amp;" "&amp;'Compliance Database'!$M76&amp;" "&amp;'Compliance Database'!$N76&amp;" "&amp;'Compliance Database'!$O76)))),1,0)</f>
        <v>1</v>
      </c>
      <c r="B76">
        <f>IF($A76=1,SUM($A$2:$A76),"")</f>
        <v>75</v>
      </c>
      <c r="C76">
        <f>IF($A76=1,SUM($A$2:$A76),0)</f>
        <v>75</v>
      </c>
    </row>
    <row r="77" spans="1:3" x14ac:dyDescent="0.3">
      <c r="A77">
        <f>IF(AND(OR('Compliance Database'!$A77='Data Transfer'!$B$4,'Compliance Database'!$A77='Data Transfer'!$B$5),OR('Data Transfer'!$B$6="",ISNUMBER(SEARCH('Data Transfer'!$B$6,'Compliance Database'!$D77&amp;" "&amp;'Compliance Database'!$K77&amp;" "&amp;'Compliance Database'!$L77&amp;" "&amp;'Compliance Database'!$M77&amp;" "&amp;'Compliance Database'!$N77&amp;" "&amp;'Compliance Database'!$O77)))),1,0)</f>
        <v>1</v>
      </c>
      <c r="B77">
        <f>IF($A77=1,SUM($A$2:$A77),"")</f>
        <v>76</v>
      </c>
      <c r="C77">
        <f>IF($A77=1,SUM($A$2:$A77),0)</f>
        <v>76</v>
      </c>
    </row>
    <row r="78" spans="1:3" x14ac:dyDescent="0.3">
      <c r="A78">
        <f>IF(AND(OR('Compliance Database'!$A78='Data Transfer'!$B$4,'Compliance Database'!$A78='Data Transfer'!$B$5),OR('Data Transfer'!$B$6="",ISNUMBER(SEARCH('Data Transfer'!$B$6,'Compliance Database'!$D78&amp;" "&amp;'Compliance Database'!$K78&amp;" "&amp;'Compliance Database'!$L78&amp;" "&amp;'Compliance Database'!$M78&amp;" "&amp;'Compliance Database'!$N78&amp;" "&amp;'Compliance Database'!$O78)))),1,0)</f>
        <v>1</v>
      </c>
      <c r="B78">
        <f>IF($A78=1,SUM($A$2:$A78),"")</f>
        <v>77</v>
      </c>
      <c r="C78">
        <f>IF($A78=1,SUM($A$2:$A78),0)</f>
        <v>77</v>
      </c>
    </row>
    <row r="79" spans="1:3" x14ac:dyDescent="0.3">
      <c r="A79">
        <f>IF(AND(OR('Compliance Database'!$A79='Data Transfer'!$B$4,'Compliance Database'!$A79='Data Transfer'!$B$5),OR('Data Transfer'!$B$6="",ISNUMBER(SEARCH('Data Transfer'!$B$6,'Compliance Database'!$D79&amp;" "&amp;'Compliance Database'!$K79&amp;" "&amp;'Compliance Database'!$L79&amp;" "&amp;'Compliance Database'!$M79&amp;" "&amp;'Compliance Database'!$N79&amp;" "&amp;'Compliance Database'!$O79)))),1,0)</f>
        <v>1</v>
      </c>
      <c r="B79">
        <f>IF($A79=1,SUM($A$2:$A79),"")</f>
        <v>78</v>
      </c>
      <c r="C79">
        <f>IF($A79=1,SUM($A$2:$A79),0)</f>
        <v>78</v>
      </c>
    </row>
    <row r="80" spans="1:3" x14ac:dyDescent="0.3">
      <c r="A80">
        <f>IF(AND(OR('Compliance Database'!$A80='Data Transfer'!$B$4,'Compliance Database'!$A80='Data Transfer'!$B$5),OR('Data Transfer'!$B$6="",ISNUMBER(SEARCH('Data Transfer'!$B$6,'Compliance Database'!$D80&amp;" "&amp;'Compliance Database'!$K80&amp;" "&amp;'Compliance Database'!$L80&amp;" "&amp;'Compliance Database'!$M80&amp;" "&amp;'Compliance Database'!$N80&amp;" "&amp;'Compliance Database'!$O80)))),1,0)</f>
        <v>1</v>
      </c>
      <c r="B80">
        <f>IF($A80=1,SUM($A$2:$A80),"")</f>
        <v>79</v>
      </c>
      <c r="C80">
        <f>IF($A80=1,SUM($A$2:$A80),0)</f>
        <v>79</v>
      </c>
    </row>
    <row r="81" spans="1:3" x14ac:dyDescent="0.3">
      <c r="A81">
        <f>IF(AND(OR('Compliance Database'!$A81='Data Transfer'!$B$4,'Compliance Database'!$A81='Data Transfer'!$B$5),OR('Data Transfer'!$B$6="",ISNUMBER(SEARCH('Data Transfer'!$B$6,'Compliance Database'!$D81&amp;" "&amp;'Compliance Database'!$K81&amp;" "&amp;'Compliance Database'!$L81&amp;" "&amp;'Compliance Database'!$M81&amp;" "&amp;'Compliance Database'!$N81&amp;" "&amp;'Compliance Database'!$O81)))),1,0)</f>
        <v>1</v>
      </c>
      <c r="B81">
        <f>IF($A81=1,SUM($A$2:$A81),"")</f>
        <v>80</v>
      </c>
      <c r="C81">
        <f>IF($A81=1,SUM($A$2:$A81),0)</f>
        <v>80</v>
      </c>
    </row>
    <row r="82" spans="1:3" x14ac:dyDescent="0.3">
      <c r="A82">
        <f>IF(AND(OR('Compliance Database'!$A82='Data Transfer'!$B$4,'Compliance Database'!$A82='Data Transfer'!$B$5),OR('Data Transfer'!$B$6="",ISNUMBER(SEARCH('Data Transfer'!$B$6,'Compliance Database'!$D82&amp;" "&amp;'Compliance Database'!$K82&amp;" "&amp;'Compliance Database'!$L82&amp;" "&amp;'Compliance Database'!$M82&amp;" "&amp;'Compliance Database'!$N82&amp;" "&amp;'Compliance Database'!$O82)))),1,0)</f>
        <v>1</v>
      </c>
      <c r="B82">
        <f>IF($A82=1,SUM($A$2:$A82),"")</f>
        <v>81</v>
      </c>
      <c r="C82">
        <f>IF($A82=1,SUM($A$2:$A82),0)</f>
        <v>81</v>
      </c>
    </row>
    <row r="83" spans="1:3" x14ac:dyDescent="0.3">
      <c r="A83">
        <f>IF(AND(OR('Compliance Database'!$A83='Data Transfer'!$B$4,'Compliance Database'!$A83='Data Transfer'!$B$5),OR('Data Transfer'!$B$6="",ISNUMBER(SEARCH('Data Transfer'!$B$6,'Compliance Database'!$D83&amp;" "&amp;'Compliance Database'!$K83&amp;" "&amp;'Compliance Database'!$L83&amp;" "&amp;'Compliance Database'!$M83&amp;" "&amp;'Compliance Database'!$N83&amp;" "&amp;'Compliance Database'!$O83)))),1,0)</f>
        <v>1</v>
      </c>
      <c r="B83">
        <f>IF($A83=1,SUM($A$2:$A83),"")</f>
        <v>82</v>
      </c>
      <c r="C83">
        <f>IF($A83=1,SUM($A$2:$A83),0)</f>
        <v>82</v>
      </c>
    </row>
    <row r="84" spans="1:3" x14ac:dyDescent="0.3">
      <c r="A84">
        <f>IF(AND(OR('Compliance Database'!$A84='Data Transfer'!$B$4,'Compliance Database'!$A84='Data Transfer'!$B$5),OR('Data Transfer'!$B$6="",ISNUMBER(SEARCH('Data Transfer'!$B$6,'Compliance Database'!$D84&amp;" "&amp;'Compliance Database'!$K84&amp;" "&amp;'Compliance Database'!$L84&amp;" "&amp;'Compliance Database'!$M84&amp;" "&amp;'Compliance Database'!$N84&amp;" "&amp;'Compliance Database'!$O84)))),1,0)</f>
        <v>1</v>
      </c>
      <c r="B84">
        <f>IF($A84=1,SUM($A$2:$A84),"")</f>
        <v>83</v>
      </c>
      <c r="C84">
        <f>IF($A84=1,SUM($A$2:$A84),0)</f>
        <v>83</v>
      </c>
    </row>
    <row r="85" spans="1:3" x14ac:dyDescent="0.3">
      <c r="A85">
        <f>IF(AND(OR('Compliance Database'!$A85='Data Transfer'!$B$4,'Compliance Database'!$A85='Data Transfer'!$B$5),OR('Data Transfer'!$B$6="",ISNUMBER(SEARCH('Data Transfer'!$B$6,'Compliance Database'!$D85&amp;" "&amp;'Compliance Database'!$K85&amp;" "&amp;'Compliance Database'!$L85&amp;" "&amp;'Compliance Database'!$M85&amp;" "&amp;'Compliance Database'!$N85&amp;" "&amp;'Compliance Database'!$O85)))),1,0)</f>
        <v>1</v>
      </c>
      <c r="B85">
        <f>IF($A85=1,SUM($A$2:$A85),"")</f>
        <v>84</v>
      </c>
      <c r="C85">
        <f>IF($A85=1,SUM($A$2:$A85),0)</f>
        <v>84</v>
      </c>
    </row>
    <row r="86" spans="1:3" x14ac:dyDescent="0.3">
      <c r="A86">
        <f>IF(AND(OR('Compliance Database'!$A86='Data Transfer'!$B$4,'Compliance Database'!$A86='Data Transfer'!$B$5),OR('Data Transfer'!$B$6="",ISNUMBER(SEARCH('Data Transfer'!$B$6,'Compliance Database'!$D86&amp;" "&amp;'Compliance Database'!$K86&amp;" "&amp;'Compliance Database'!$L86&amp;" "&amp;'Compliance Database'!$M86&amp;" "&amp;'Compliance Database'!$N86&amp;" "&amp;'Compliance Database'!$O86)))),1,0)</f>
        <v>1</v>
      </c>
      <c r="B86">
        <f>IF($A86=1,SUM($A$2:$A86),"")</f>
        <v>85</v>
      </c>
      <c r="C86">
        <f>IF($A86=1,SUM($A$2:$A86),0)</f>
        <v>85</v>
      </c>
    </row>
    <row r="87" spans="1:3" x14ac:dyDescent="0.3">
      <c r="A87">
        <f>IF(AND(OR('Compliance Database'!$A87='Data Transfer'!$B$4,'Compliance Database'!$A87='Data Transfer'!$B$5),OR('Data Transfer'!$B$6="",ISNUMBER(SEARCH('Data Transfer'!$B$6,'Compliance Database'!$D87&amp;" "&amp;'Compliance Database'!$K87&amp;" "&amp;'Compliance Database'!$L87&amp;" "&amp;'Compliance Database'!$M87&amp;" "&amp;'Compliance Database'!$N87&amp;" "&amp;'Compliance Database'!$O87)))),1,0)</f>
        <v>1</v>
      </c>
      <c r="B87">
        <f>IF($A87=1,SUM($A$2:$A87),"")</f>
        <v>86</v>
      </c>
      <c r="C87">
        <f>IF($A87=1,SUM($A$2:$A87),0)</f>
        <v>86</v>
      </c>
    </row>
    <row r="88" spans="1:3" x14ac:dyDescent="0.3">
      <c r="A88">
        <f>IF(AND(OR('Compliance Database'!$A88='Data Transfer'!$B$4,'Compliance Database'!$A88='Data Transfer'!$B$5),OR('Data Transfer'!$B$6="",ISNUMBER(SEARCH('Data Transfer'!$B$6,'Compliance Database'!$D88&amp;" "&amp;'Compliance Database'!$K88&amp;" "&amp;'Compliance Database'!$L88&amp;" "&amp;'Compliance Database'!$M88&amp;" "&amp;'Compliance Database'!$N88&amp;" "&amp;'Compliance Database'!$O88)))),1,0)</f>
        <v>1</v>
      </c>
      <c r="B88">
        <f>IF($A88=1,SUM($A$2:$A88),"")</f>
        <v>87</v>
      </c>
      <c r="C88">
        <f>IF($A88=1,SUM($A$2:$A88),0)</f>
        <v>87</v>
      </c>
    </row>
    <row r="89" spans="1:3" x14ac:dyDescent="0.3">
      <c r="A89">
        <f>IF(AND(OR('Compliance Database'!$A89='Data Transfer'!$B$4,'Compliance Database'!$A89='Data Transfer'!$B$5),OR('Data Transfer'!$B$6="",ISNUMBER(SEARCH('Data Transfer'!$B$6,'Compliance Database'!$D89&amp;" "&amp;'Compliance Database'!$K89&amp;" "&amp;'Compliance Database'!$L89&amp;" "&amp;'Compliance Database'!$M89&amp;" "&amp;'Compliance Database'!$N89&amp;" "&amp;'Compliance Database'!$O89)))),1,0)</f>
        <v>1</v>
      </c>
      <c r="B89">
        <f>IF($A89=1,SUM($A$2:$A89),"")</f>
        <v>88</v>
      </c>
      <c r="C89">
        <f>IF($A89=1,SUM($A$2:$A89),0)</f>
        <v>88</v>
      </c>
    </row>
    <row r="90" spans="1:3" x14ac:dyDescent="0.3">
      <c r="A90">
        <f>IF(AND(OR('Compliance Database'!$A90='Data Transfer'!$B$4,'Compliance Database'!$A90='Data Transfer'!$B$5),OR('Data Transfer'!$B$6="",ISNUMBER(SEARCH('Data Transfer'!$B$6,'Compliance Database'!$D90&amp;" "&amp;'Compliance Database'!$K90&amp;" "&amp;'Compliance Database'!$L90&amp;" "&amp;'Compliance Database'!$M90&amp;" "&amp;'Compliance Database'!$N90&amp;" "&amp;'Compliance Database'!$O90)))),1,0)</f>
        <v>1</v>
      </c>
      <c r="B90">
        <f>IF($A90=1,SUM($A$2:$A90),"")</f>
        <v>89</v>
      </c>
      <c r="C90">
        <f>IF($A90=1,SUM($A$2:$A90),0)</f>
        <v>89</v>
      </c>
    </row>
    <row r="91" spans="1:3" x14ac:dyDescent="0.3">
      <c r="A91">
        <f>IF(AND(OR('Compliance Database'!$A91='Data Transfer'!$B$4,'Compliance Database'!$A91='Data Transfer'!$B$5),OR('Data Transfer'!$B$6="",ISNUMBER(SEARCH('Data Transfer'!$B$6,'Compliance Database'!$D91&amp;" "&amp;'Compliance Database'!$K91&amp;" "&amp;'Compliance Database'!$L91&amp;" "&amp;'Compliance Database'!$M91&amp;" "&amp;'Compliance Database'!$N91&amp;" "&amp;'Compliance Database'!$O91)))),1,0)</f>
        <v>1</v>
      </c>
      <c r="B91">
        <f>IF($A91=1,SUM($A$2:$A91),"")</f>
        <v>90</v>
      </c>
      <c r="C91">
        <f>IF($A91=1,SUM($A$2:$A91),0)</f>
        <v>90</v>
      </c>
    </row>
    <row r="92" spans="1:3" x14ac:dyDescent="0.3">
      <c r="A92">
        <f>IF(AND(OR('Compliance Database'!$A92='Data Transfer'!$B$4,'Compliance Database'!$A92='Data Transfer'!$B$5),OR('Data Transfer'!$B$6="",ISNUMBER(SEARCH('Data Transfer'!$B$6,'Compliance Database'!$D92&amp;" "&amp;'Compliance Database'!$K92&amp;" "&amp;'Compliance Database'!$L92&amp;" "&amp;'Compliance Database'!$M92&amp;" "&amp;'Compliance Database'!$N92&amp;" "&amp;'Compliance Database'!$O92)))),1,0)</f>
        <v>1</v>
      </c>
      <c r="B92">
        <f>IF($A92=1,SUM($A$2:$A92),"")</f>
        <v>91</v>
      </c>
      <c r="C92">
        <f>IF($A92=1,SUM($A$2:$A92),0)</f>
        <v>91</v>
      </c>
    </row>
    <row r="93" spans="1:3" x14ac:dyDescent="0.3">
      <c r="A93">
        <f>IF(AND(OR('Compliance Database'!$A93='Data Transfer'!$B$4,'Compliance Database'!$A93='Data Transfer'!$B$5),OR('Data Transfer'!$B$6="",ISNUMBER(SEARCH('Data Transfer'!$B$6,'Compliance Database'!$D93&amp;" "&amp;'Compliance Database'!$K93&amp;" "&amp;'Compliance Database'!$L93&amp;" "&amp;'Compliance Database'!$M93&amp;" "&amp;'Compliance Database'!$N93&amp;" "&amp;'Compliance Database'!$O93)))),1,0)</f>
        <v>1</v>
      </c>
      <c r="B93">
        <f>IF($A93=1,SUM($A$2:$A93),"")</f>
        <v>92</v>
      </c>
      <c r="C93">
        <f>IF($A93=1,SUM($A$2:$A93),0)</f>
        <v>92</v>
      </c>
    </row>
    <row r="94" spans="1:3" x14ac:dyDescent="0.3">
      <c r="A94">
        <f>IF(AND(OR('Compliance Database'!$A94='Data Transfer'!$B$4,'Compliance Database'!$A94='Data Transfer'!$B$5),OR('Data Transfer'!$B$6="",ISNUMBER(SEARCH('Data Transfer'!$B$6,'Compliance Database'!$D94&amp;" "&amp;'Compliance Database'!$K94&amp;" "&amp;'Compliance Database'!$L94&amp;" "&amp;'Compliance Database'!$M94&amp;" "&amp;'Compliance Database'!$N94&amp;" "&amp;'Compliance Database'!$O94)))),1,0)</f>
        <v>1</v>
      </c>
      <c r="B94">
        <f>IF($A94=1,SUM($A$2:$A94),"")</f>
        <v>93</v>
      </c>
      <c r="C94">
        <f>IF($A94=1,SUM($A$2:$A94),0)</f>
        <v>93</v>
      </c>
    </row>
    <row r="95" spans="1:3" x14ac:dyDescent="0.3">
      <c r="A95">
        <f>IF(AND(OR('Compliance Database'!$A95='Data Transfer'!$B$4,'Compliance Database'!$A95='Data Transfer'!$B$5),OR('Data Transfer'!$B$6="",ISNUMBER(SEARCH('Data Transfer'!$B$6,'Compliance Database'!$D95&amp;" "&amp;'Compliance Database'!$K95&amp;" "&amp;'Compliance Database'!$L95&amp;" "&amp;'Compliance Database'!$M95&amp;" "&amp;'Compliance Database'!$N95&amp;" "&amp;'Compliance Database'!$O95)))),1,0)</f>
        <v>1</v>
      </c>
      <c r="B95">
        <f>IF($A95=1,SUM($A$2:$A95),"")</f>
        <v>94</v>
      </c>
      <c r="C95">
        <f>IF($A95=1,SUM($A$2:$A95),0)</f>
        <v>94</v>
      </c>
    </row>
    <row r="96" spans="1:3" x14ac:dyDescent="0.3">
      <c r="A96">
        <f>IF(AND(OR('Compliance Database'!$A96='Data Transfer'!$B$4,'Compliance Database'!$A96='Data Transfer'!$B$5),OR('Data Transfer'!$B$6="",ISNUMBER(SEARCH('Data Transfer'!$B$6,'Compliance Database'!$D96&amp;" "&amp;'Compliance Database'!$K96&amp;" "&amp;'Compliance Database'!$L96&amp;" "&amp;'Compliance Database'!$M96&amp;" "&amp;'Compliance Database'!$N96&amp;" "&amp;'Compliance Database'!$O96)))),1,0)</f>
        <v>1</v>
      </c>
      <c r="B96">
        <f>IF($A96=1,SUM($A$2:$A96),"")</f>
        <v>95</v>
      </c>
      <c r="C96">
        <f>IF($A96=1,SUM($A$2:$A96),0)</f>
        <v>95</v>
      </c>
    </row>
    <row r="97" spans="1:3" x14ac:dyDescent="0.3">
      <c r="A97">
        <f>IF(AND(OR('Compliance Database'!$A97='Data Transfer'!$B$4,'Compliance Database'!$A97='Data Transfer'!$B$5),OR('Data Transfer'!$B$6="",ISNUMBER(SEARCH('Data Transfer'!$B$6,'Compliance Database'!$D97&amp;" "&amp;'Compliance Database'!$K97&amp;" "&amp;'Compliance Database'!$L97&amp;" "&amp;'Compliance Database'!$M97&amp;" "&amp;'Compliance Database'!$N97&amp;" "&amp;'Compliance Database'!$O97)))),1,0)</f>
        <v>1</v>
      </c>
      <c r="B97">
        <f>IF($A97=1,SUM($A$2:$A97),"")</f>
        <v>96</v>
      </c>
      <c r="C97">
        <f>IF($A97=1,SUM($A$2:$A97),0)</f>
        <v>96</v>
      </c>
    </row>
    <row r="98" spans="1:3" x14ac:dyDescent="0.3">
      <c r="A98">
        <f>IF(AND(OR('Compliance Database'!$A98='Data Transfer'!$B$4,'Compliance Database'!$A98='Data Transfer'!$B$5),OR('Data Transfer'!$B$6="",ISNUMBER(SEARCH('Data Transfer'!$B$6,'Compliance Database'!$D98&amp;" "&amp;'Compliance Database'!$K98&amp;" "&amp;'Compliance Database'!$L98&amp;" "&amp;'Compliance Database'!$M98&amp;" "&amp;'Compliance Database'!$N98&amp;" "&amp;'Compliance Database'!$O98)))),1,0)</f>
        <v>1</v>
      </c>
      <c r="B98">
        <f>IF($A98=1,SUM($A$2:$A98),"")</f>
        <v>97</v>
      </c>
      <c r="C98">
        <f>IF($A98=1,SUM($A$2:$A98),0)</f>
        <v>97</v>
      </c>
    </row>
    <row r="99" spans="1:3" x14ac:dyDescent="0.3">
      <c r="A99">
        <f>IF(AND(OR('Compliance Database'!$A99='Data Transfer'!$B$4,'Compliance Database'!$A99='Data Transfer'!$B$5),OR('Data Transfer'!$B$6="",ISNUMBER(SEARCH('Data Transfer'!$B$6,'Compliance Database'!$D99&amp;" "&amp;'Compliance Database'!$K99&amp;" "&amp;'Compliance Database'!$L99&amp;" "&amp;'Compliance Database'!$M99&amp;" "&amp;'Compliance Database'!$N99&amp;" "&amp;'Compliance Database'!$O99)))),1,0)</f>
        <v>1</v>
      </c>
      <c r="B99">
        <f>IF($A99=1,SUM($A$2:$A99),"")</f>
        <v>98</v>
      </c>
      <c r="C99">
        <f>IF($A99=1,SUM($A$2:$A99),0)</f>
        <v>98</v>
      </c>
    </row>
    <row r="100" spans="1:3" x14ac:dyDescent="0.3">
      <c r="A100">
        <f>IF(AND(OR('Compliance Database'!$A100='Data Transfer'!$B$4,'Compliance Database'!$A100='Data Transfer'!$B$5),OR('Data Transfer'!$B$6="",ISNUMBER(SEARCH('Data Transfer'!$B$6,'Compliance Database'!$D100&amp;" "&amp;'Compliance Database'!$K100&amp;" "&amp;'Compliance Database'!$L100&amp;" "&amp;'Compliance Database'!$M100&amp;" "&amp;'Compliance Database'!$N100&amp;" "&amp;'Compliance Database'!$O100)))),1,0)</f>
        <v>1</v>
      </c>
      <c r="B100">
        <f>IF($A100=1,SUM($A$2:$A100),"")</f>
        <v>99</v>
      </c>
      <c r="C100">
        <f>IF($A100=1,SUM($A$2:$A100),0)</f>
        <v>99</v>
      </c>
    </row>
    <row r="101" spans="1:3" x14ac:dyDescent="0.3">
      <c r="A101">
        <f>IF(AND(OR('Compliance Database'!$A101='Data Transfer'!$B$4,'Compliance Database'!$A101='Data Transfer'!$B$5),OR('Data Transfer'!$B$6="",ISNUMBER(SEARCH('Data Transfer'!$B$6,'Compliance Database'!$D101&amp;" "&amp;'Compliance Database'!$K101&amp;" "&amp;'Compliance Database'!$L101&amp;" "&amp;'Compliance Database'!$M101&amp;" "&amp;'Compliance Database'!$N101&amp;" "&amp;'Compliance Database'!$O101)))),1,0)</f>
        <v>1</v>
      </c>
      <c r="B101">
        <f>IF($A101=1,SUM($A$2:$A101),"")</f>
        <v>100</v>
      </c>
      <c r="C101">
        <f>IF($A101=1,SUM($A$2:$A101),0)</f>
        <v>100</v>
      </c>
    </row>
    <row r="102" spans="1:3" x14ac:dyDescent="0.3">
      <c r="A102">
        <f>IF(AND(OR('Compliance Database'!$A102='Data Transfer'!$B$4,'Compliance Database'!$A102='Data Transfer'!$B$5),OR('Data Transfer'!$B$6="",ISNUMBER(SEARCH('Data Transfer'!$B$6,'Compliance Database'!$D102&amp;" "&amp;'Compliance Database'!$K102&amp;" "&amp;'Compliance Database'!$L102&amp;" "&amp;'Compliance Database'!$M102&amp;" "&amp;'Compliance Database'!$N102&amp;" "&amp;'Compliance Database'!$O102)))),1,0)</f>
        <v>1</v>
      </c>
      <c r="B102">
        <f>IF($A102=1,SUM($A$2:$A102),"")</f>
        <v>101</v>
      </c>
      <c r="C102">
        <f>IF($A102=1,SUM($A$2:$A102),0)</f>
        <v>101</v>
      </c>
    </row>
    <row r="103" spans="1:3" x14ac:dyDescent="0.3">
      <c r="A103">
        <f>IF(AND(OR('Compliance Database'!$A103='Data Transfer'!$B$4,'Compliance Database'!$A103='Data Transfer'!$B$5),OR('Data Transfer'!$B$6="",ISNUMBER(SEARCH('Data Transfer'!$B$6,'Compliance Database'!$D103&amp;" "&amp;'Compliance Database'!$K103&amp;" "&amp;'Compliance Database'!$L103&amp;" "&amp;'Compliance Database'!$M103&amp;" "&amp;'Compliance Database'!$N103&amp;" "&amp;'Compliance Database'!$O103)))),1,0)</f>
        <v>1</v>
      </c>
      <c r="B103">
        <f>IF($A103=1,SUM($A$2:$A103),"")</f>
        <v>102</v>
      </c>
      <c r="C103">
        <f>IF($A103=1,SUM($A$2:$A103),0)</f>
        <v>102</v>
      </c>
    </row>
    <row r="104" spans="1:3" x14ac:dyDescent="0.3">
      <c r="A104">
        <f>IF(AND(OR('Compliance Database'!$A104='Data Transfer'!$B$4,'Compliance Database'!$A104='Data Transfer'!$B$5),OR('Data Transfer'!$B$6="",ISNUMBER(SEARCH('Data Transfer'!$B$6,'Compliance Database'!$D104&amp;" "&amp;'Compliance Database'!$K104&amp;" "&amp;'Compliance Database'!$L104&amp;" "&amp;'Compliance Database'!$M104&amp;" "&amp;'Compliance Database'!$N104&amp;" "&amp;'Compliance Database'!$O104)))),1,0)</f>
        <v>1</v>
      </c>
      <c r="B104">
        <f>IF($A104=1,SUM($A$2:$A104),"")</f>
        <v>103</v>
      </c>
      <c r="C104">
        <f>IF($A104=1,SUM($A$2:$A104),0)</f>
        <v>103</v>
      </c>
    </row>
    <row r="105" spans="1:3" x14ac:dyDescent="0.3">
      <c r="A105">
        <f>IF(AND(OR('Compliance Database'!$A105='Data Transfer'!$B$4,'Compliance Database'!$A105='Data Transfer'!$B$5),OR('Data Transfer'!$B$6="",ISNUMBER(SEARCH('Data Transfer'!$B$6,'Compliance Database'!$D105&amp;" "&amp;'Compliance Database'!$K105&amp;" "&amp;'Compliance Database'!$L105&amp;" "&amp;'Compliance Database'!$M105&amp;" "&amp;'Compliance Database'!$N105&amp;" "&amp;'Compliance Database'!$O105)))),1,0)</f>
        <v>1</v>
      </c>
      <c r="B105">
        <f>IF($A105=1,SUM($A$2:$A105),"")</f>
        <v>104</v>
      </c>
      <c r="C105">
        <f>IF($A105=1,SUM($A$2:$A105),0)</f>
        <v>104</v>
      </c>
    </row>
    <row r="106" spans="1:3" x14ac:dyDescent="0.3">
      <c r="A106">
        <f>IF(AND(OR('Compliance Database'!$A106='Data Transfer'!$B$4,'Compliance Database'!$A106='Data Transfer'!$B$5),OR('Data Transfer'!$B$6="",ISNUMBER(SEARCH('Data Transfer'!$B$6,'Compliance Database'!$D106&amp;" "&amp;'Compliance Database'!$K106&amp;" "&amp;'Compliance Database'!$L106&amp;" "&amp;'Compliance Database'!$M106&amp;" "&amp;'Compliance Database'!$N106&amp;" "&amp;'Compliance Database'!$O106)))),1,0)</f>
        <v>1</v>
      </c>
      <c r="B106">
        <f>IF($A106=1,SUM($A$2:$A106),"")</f>
        <v>105</v>
      </c>
      <c r="C106">
        <f>IF($A106=1,SUM($A$2:$A106),0)</f>
        <v>105</v>
      </c>
    </row>
    <row r="107" spans="1:3" x14ac:dyDescent="0.3">
      <c r="A107">
        <f>IF(AND(OR('Compliance Database'!$A107='Data Transfer'!$B$4,'Compliance Database'!$A107='Data Transfer'!$B$5),OR('Data Transfer'!$B$6="",ISNUMBER(SEARCH('Data Transfer'!$B$6,'Compliance Database'!$D107&amp;" "&amp;'Compliance Database'!$K107&amp;" "&amp;'Compliance Database'!$L107&amp;" "&amp;'Compliance Database'!$M107&amp;" "&amp;'Compliance Database'!$N107&amp;" "&amp;'Compliance Database'!$O107)))),1,0)</f>
        <v>1</v>
      </c>
      <c r="B107">
        <f>IF($A107=1,SUM($A$2:$A107),"")</f>
        <v>106</v>
      </c>
      <c r="C107">
        <f>IF($A107=1,SUM($A$2:$A107),0)</f>
        <v>106</v>
      </c>
    </row>
    <row r="108" spans="1:3" x14ac:dyDescent="0.3">
      <c r="A108">
        <f>IF(AND(OR('Compliance Database'!$A108='Data Transfer'!$B$4,'Compliance Database'!$A108='Data Transfer'!$B$5),OR('Data Transfer'!$B$6="",ISNUMBER(SEARCH('Data Transfer'!$B$6,'Compliance Database'!$D108&amp;" "&amp;'Compliance Database'!$K108&amp;" "&amp;'Compliance Database'!$L108&amp;" "&amp;'Compliance Database'!$M108&amp;" "&amp;'Compliance Database'!$N108&amp;" "&amp;'Compliance Database'!$O108)))),1,0)</f>
        <v>1</v>
      </c>
      <c r="B108">
        <f>IF($A108=1,SUM($A$2:$A108),"")</f>
        <v>107</v>
      </c>
      <c r="C108">
        <f>IF($A108=1,SUM($A$2:$A108),0)</f>
        <v>107</v>
      </c>
    </row>
    <row r="109" spans="1:3" x14ac:dyDescent="0.3">
      <c r="A109">
        <f>IF(AND(OR('Compliance Database'!$A109='Data Transfer'!$B$4,'Compliance Database'!$A109='Data Transfer'!$B$5),OR('Data Transfer'!$B$6="",ISNUMBER(SEARCH('Data Transfer'!$B$6,'Compliance Database'!$D109&amp;" "&amp;'Compliance Database'!$K109&amp;" "&amp;'Compliance Database'!$L109&amp;" "&amp;'Compliance Database'!$M109&amp;" "&amp;'Compliance Database'!$N109&amp;" "&amp;'Compliance Database'!$O109)))),1,0)</f>
        <v>1</v>
      </c>
      <c r="B109">
        <f>IF($A109=1,SUM($A$2:$A109),"")</f>
        <v>108</v>
      </c>
      <c r="C109">
        <f>IF($A109=1,SUM($A$2:$A109),0)</f>
        <v>108</v>
      </c>
    </row>
    <row r="110" spans="1:3" x14ac:dyDescent="0.3">
      <c r="A110">
        <f>IF(AND(OR('Compliance Database'!$A110='Data Transfer'!$B$4,'Compliance Database'!$A110='Data Transfer'!$B$5),OR('Data Transfer'!$B$6="",ISNUMBER(SEARCH('Data Transfer'!$B$6,'Compliance Database'!$D110&amp;" "&amp;'Compliance Database'!$K110&amp;" "&amp;'Compliance Database'!$L110&amp;" "&amp;'Compliance Database'!$M110&amp;" "&amp;'Compliance Database'!$N110&amp;" "&amp;'Compliance Database'!$O110)))),1,0)</f>
        <v>1</v>
      </c>
      <c r="B110">
        <f>IF($A110=1,SUM($A$2:$A110),"")</f>
        <v>109</v>
      </c>
      <c r="C110">
        <f>IF($A110=1,SUM($A$2:$A110),0)</f>
        <v>109</v>
      </c>
    </row>
    <row r="111" spans="1:3" x14ac:dyDescent="0.3">
      <c r="A111">
        <f>IF(AND(OR('Compliance Database'!$A111='Data Transfer'!$B$4,'Compliance Database'!$A111='Data Transfer'!$B$5),OR('Data Transfer'!$B$6="",ISNUMBER(SEARCH('Data Transfer'!$B$6,'Compliance Database'!$D111&amp;" "&amp;'Compliance Database'!$K111&amp;" "&amp;'Compliance Database'!$L111&amp;" "&amp;'Compliance Database'!$M111&amp;" "&amp;'Compliance Database'!$N111&amp;" "&amp;'Compliance Database'!$O111)))),1,0)</f>
        <v>1</v>
      </c>
      <c r="B111">
        <f>IF($A111=1,SUM($A$2:$A111),"")</f>
        <v>110</v>
      </c>
      <c r="C111">
        <f>IF($A111=1,SUM($A$2:$A111),0)</f>
        <v>110</v>
      </c>
    </row>
    <row r="112" spans="1:3" x14ac:dyDescent="0.3">
      <c r="A112">
        <f>IF(AND(OR('Compliance Database'!$A112='Data Transfer'!$B$4,'Compliance Database'!$A112='Data Transfer'!$B$5),OR('Data Transfer'!$B$6="",ISNUMBER(SEARCH('Data Transfer'!$B$6,'Compliance Database'!$D112&amp;" "&amp;'Compliance Database'!$K112&amp;" "&amp;'Compliance Database'!$L112&amp;" "&amp;'Compliance Database'!$M112&amp;" "&amp;'Compliance Database'!$N112&amp;" "&amp;'Compliance Database'!$O112)))),1,0)</f>
        <v>1</v>
      </c>
      <c r="B112">
        <f>IF($A112=1,SUM($A$2:$A112),"")</f>
        <v>111</v>
      </c>
      <c r="C112">
        <f>IF($A112=1,SUM($A$2:$A112),0)</f>
        <v>111</v>
      </c>
    </row>
    <row r="113" spans="1:3" x14ac:dyDescent="0.3">
      <c r="A113">
        <f>IF(AND(OR('Compliance Database'!$A113='Data Transfer'!$B$4,'Compliance Database'!$A113='Data Transfer'!$B$5),OR('Data Transfer'!$B$6="",ISNUMBER(SEARCH('Data Transfer'!$B$6,'Compliance Database'!$D113&amp;" "&amp;'Compliance Database'!$K113&amp;" "&amp;'Compliance Database'!$L113&amp;" "&amp;'Compliance Database'!$M113&amp;" "&amp;'Compliance Database'!$N113&amp;" "&amp;'Compliance Database'!$O113)))),1,0)</f>
        <v>1</v>
      </c>
      <c r="B113">
        <f>IF($A113=1,SUM($A$2:$A113),"")</f>
        <v>112</v>
      </c>
      <c r="C113">
        <f>IF($A113=1,SUM($A$2:$A113),0)</f>
        <v>112</v>
      </c>
    </row>
    <row r="114" spans="1:3" x14ac:dyDescent="0.3">
      <c r="A114">
        <f>IF(AND(OR('Compliance Database'!$A114='Data Transfer'!$B$4,'Compliance Database'!$A114='Data Transfer'!$B$5),OR('Data Transfer'!$B$6="",ISNUMBER(SEARCH('Data Transfer'!$B$6,'Compliance Database'!$D114&amp;" "&amp;'Compliance Database'!$K114&amp;" "&amp;'Compliance Database'!$L114&amp;" "&amp;'Compliance Database'!$M114&amp;" "&amp;'Compliance Database'!$N114&amp;" "&amp;'Compliance Database'!$O114)))),1,0)</f>
        <v>1</v>
      </c>
      <c r="B114">
        <f>IF($A114=1,SUM($A$2:$A114),"")</f>
        <v>113</v>
      </c>
      <c r="C114">
        <f>IF($A114=1,SUM($A$2:$A114),0)</f>
        <v>113</v>
      </c>
    </row>
    <row r="115" spans="1:3" x14ac:dyDescent="0.3">
      <c r="A115">
        <f>IF(AND(OR('Compliance Database'!$A115='Data Transfer'!$B$4,'Compliance Database'!$A115='Data Transfer'!$B$5),OR('Data Transfer'!$B$6="",ISNUMBER(SEARCH('Data Transfer'!$B$6,'Compliance Database'!$D115&amp;" "&amp;'Compliance Database'!$K115&amp;" "&amp;'Compliance Database'!$L115&amp;" "&amp;'Compliance Database'!$M115&amp;" "&amp;'Compliance Database'!$N115&amp;" "&amp;'Compliance Database'!$O115)))),1,0)</f>
        <v>1</v>
      </c>
      <c r="B115">
        <f>IF($A115=1,SUM($A$2:$A115),"")</f>
        <v>114</v>
      </c>
      <c r="C115">
        <f>IF($A115=1,SUM($A$2:$A115),0)</f>
        <v>114</v>
      </c>
    </row>
    <row r="116" spans="1:3" x14ac:dyDescent="0.3">
      <c r="A116">
        <f>IF(AND(OR('Compliance Database'!$A116='Data Transfer'!$B$4,'Compliance Database'!$A116='Data Transfer'!$B$5),OR('Data Transfer'!$B$6="",ISNUMBER(SEARCH('Data Transfer'!$B$6,'Compliance Database'!$D116&amp;" "&amp;'Compliance Database'!$K116&amp;" "&amp;'Compliance Database'!$L116&amp;" "&amp;'Compliance Database'!$M116&amp;" "&amp;'Compliance Database'!$N116&amp;" "&amp;'Compliance Database'!$O116)))),1,0)</f>
        <v>1</v>
      </c>
      <c r="B116">
        <f>IF($A116=1,SUM($A$2:$A116),"")</f>
        <v>115</v>
      </c>
      <c r="C116">
        <f>IF($A116=1,SUM($A$2:$A116),0)</f>
        <v>115</v>
      </c>
    </row>
    <row r="117" spans="1:3" x14ac:dyDescent="0.3">
      <c r="A117">
        <f>IF(AND(OR('Compliance Database'!$A117='Data Transfer'!$B$4,'Compliance Database'!$A117='Data Transfer'!$B$5),OR('Data Transfer'!$B$6="",ISNUMBER(SEARCH('Data Transfer'!$B$6,'Compliance Database'!$D117&amp;" "&amp;'Compliance Database'!$K117&amp;" "&amp;'Compliance Database'!$L117&amp;" "&amp;'Compliance Database'!$M117&amp;" "&amp;'Compliance Database'!$N117&amp;" "&amp;'Compliance Database'!$O117)))),1,0)</f>
        <v>1</v>
      </c>
      <c r="B117">
        <f>IF($A117=1,SUM($A$2:$A117),"")</f>
        <v>116</v>
      </c>
      <c r="C117">
        <f>IF($A117=1,SUM($A$2:$A117),0)</f>
        <v>116</v>
      </c>
    </row>
    <row r="118" spans="1:3" x14ac:dyDescent="0.3">
      <c r="A118">
        <f>IF(AND(OR('Compliance Database'!$A118='Data Transfer'!$B$4,'Compliance Database'!$A118='Data Transfer'!$B$5),OR('Data Transfer'!$B$6="",ISNUMBER(SEARCH('Data Transfer'!$B$6,'Compliance Database'!$D118&amp;" "&amp;'Compliance Database'!$K118&amp;" "&amp;'Compliance Database'!$L118&amp;" "&amp;'Compliance Database'!$M118&amp;" "&amp;'Compliance Database'!$N118&amp;" "&amp;'Compliance Database'!$O118)))),1,0)</f>
        <v>1</v>
      </c>
      <c r="B118">
        <f>IF($A118=1,SUM($A$2:$A118),"")</f>
        <v>117</v>
      </c>
      <c r="C118">
        <f>IF($A118=1,SUM($A$2:$A118),0)</f>
        <v>117</v>
      </c>
    </row>
    <row r="119" spans="1:3" x14ac:dyDescent="0.3">
      <c r="A119">
        <f>IF(AND(OR('Compliance Database'!$A119='Data Transfer'!$B$4,'Compliance Database'!$A119='Data Transfer'!$B$5),OR('Data Transfer'!$B$6="",ISNUMBER(SEARCH('Data Transfer'!$B$6,'Compliance Database'!$D119&amp;" "&amp;'Compliance Database'!$K119&amp;" "&amp;'Compliance Database'!$L119&amp;" "&amp;'Compliance Database'!$M119&amp;" "&amp;'Compliance Database'!$N119&amp;" "&amp;'Compliance Database'!$O119)))),1,0)</f>
        <v>1</v>
      </c>
      <c r="B119">
        <f>IF($A119=1,SUM($A$2:$A119),"")</f>
        <v>118</v>
      </c>
      <c r="C119">
        <f>IF($A119=1,SUM($A$2:$A119),0)</f>
        <v>118</v>
      </c>
    </row>
    <row r="120" spans="1:3" x14ac:dyDescent="0.3">
      <c r="A120">
        <f>IF(AND(OR('Compliance Database'!$A120='Data Transfer'!$B$4,'Compliance Database'!$A120='Data Transfer'!$B$5),OR('Data Transfer'!$B$6="",ISNUMBER(SEARCH('Data Transfer'!$B$6,'Compliance Database'!$D120&amp;" "&amp;'Compliance Database'!$K120&amp;" "&amp;'Compliance Database'!$L120&amp;" "&amp;'Compliance Database'!$M120&amp;" "&amp;'Compliance Database'!$N120&amp;" "&amp;'Compliance Database'!$O120)))),1,0)</f>
        <v>1</v>
      </c>
      <c r="B120">
        <f>IF($A120=1,SUM($A$2:$A120),"")</f>
        <v>119</v>
      </c>
      <c r="C120">
        <f>IF($A120=1,SUM($A$2:$A120),0)</f>
        <v>119</v>
      </c>
    </row>
    <row r="121" spans="1:3" x14ac:dyDescent="0.3">
      <c r="A121">
        <f>IF(AND(OR('Compliance Database'!$A121='Data Transfer'!$B$4,'Compliance Database'!$A121='Data Transfer'!$B$5),OR('Data Transfer'!$B$6="",ISNUMBER(SEARCH('Data Transfer'!$B$6,'Compliance Database'!$D121&amp;" "&amp;'Compliance Database'!$K121&amp;" "&amp;'Compliance Database'!$L121&amp;" "&amp;'Compliance Database'!$M121&amp;" "&amp;'Compliance Database'!$N121&amp;" "&amp;'Compliance Database'!$O121)))),1,0)</f>
        <v>1</v>
      </c>
      <c r="B121">
        <f>IF($A121=1,SUM($A$2:$A121),"")</f>
        <v>120</v>
      </c>
      <c r="C121">
        <f>IF($A121=1,SUM($A$2:$A121),0)</f>
        <v>120</v>
      </c>
    </row>
    <row r="122" spans="1:3" x14ac:dyDescent="0.3">
      <c r="A122">
        <f>IF(AND(OR('Compliance Database'!$A122='Data Transfer'!$B$4,'Compliance Database'!$A122='Data Transfer'!$B$5),OR('Data Transfer'!$B$6="",ISNUMBER(SEARCH('Data Transfer'!$B$6,'Compliance Database'!$D122&amp;" "&amp;'Compliance Database'!$K122&amp;" "&amp;'Compliance Database'!$L122&amp;" "&amp;'Compliance Database'!$M122&amp;" "&amp;'Compliance Database'!$N122&amp;" "&amp;'Compliance Database'!$O122)))),1,0)</f>
        <v>1</v>
      </c>
      <c r="B122">
        <f>IF($A122=1,SUM($A$2:$A122),"")</f>
        <v>121</v>
      </c>
      <c r="C122">
        <f>IF($A122=1,SUM($A$2:$A122),0)</f>
        <v>121</v>
      </c>
    </row>
    <row r="123" spans="1:3" x14ac:dyDescent="0.3">
      <c r="A123">
        <f>IF(AND(OR('Compliance Database'!$A123='Data Transfer'!$B$4,'Compliance Database'!$A123='Data Transfer'!$B$5),OR('Data Transfer'!$B$6="",ISNUMBER(SEARCH('Data Transfer'!$B$6,'Compliance Database'!$D123&amp;" "&amp;'Compliance Database'!$K123&amp;" "&amp;'Compliance Database'!$L123&amp;" "&amp;'Compliance Database'!$M123&amp;" "&amp;'Compliance Database'!$N123&amp;" "&amp;'Compliance Database'!$O123)))),1,0)</f>
        <v>1</v>
      </c>
      <c r="B123">
        <f>IF($A123=1,SUM($A$2:$A123),"")</f>
        <v>122</v>
      </c>
      <c r="C123">
        <f>IF($A123=1,SUM($A$2:$A123),0)</f>
        <v>122</v>
      </c>
    </row>
    <row r="124" spans="1:3" x14ac:dyDescent="0.3">
      <c r="A124">
        <f>IF(AND(OR('Compliance Database'!$A124='Data Transfer'!$B$4,'Compliance Database'!$A124='Data Transfer'!$B$5),OR('Data Transfer'!$B$6="",ISNUMBER(SEARCH('Data Transfer'!$B$6,'Compliance Database'!$D124&amp;" "&amp;'Compliance Database'!$K124&amp;" "&amp;'Compliance Database'!$L124&amp;" "&amp;'Compliance Database'!$M124&amp;" "&amp;'Compliance Database'!$N124&amp;" "&amp;'Compliance Database'!$O124)))),1,0)</f>
        <v>1</v>
      </c>
      <c r="B124">
        <f>IF($A124=1,SUM($A$2:$A124),"")</f>
        <v>123</v>
      </c>
      <c r="C124">
        <f>IF($A124=1,SUM($A$2:$A124),0)</f>
        <v>123</v>
      </c>
    </row>
    <row r="125" spans="1:3" x14ac:dyDescent="0.3">
      <c r="A125">
        <f>IF(AND(OR('Compliance Database'!$A125='Data Transfer'!$B$4,'Compliance Database'!$A125='Data Transfer'!$B$5),OR('Data Transfer'!$B$6="",ISNUMBER(SEARCH('Data Transfer'!$B$6,'Compliance Database'!$D125&amp;" "&amp;'Compliance Database'!$K125&amp;" "&amp;'Compliance Database'!$L125&amp;" "&amp;'Compliance Database'!$M125&amp;" "&amp;'Compliance Database'!$N125&amp;" "&amp;'Compliance Database'!$O125)))),1,0)</f>
        <v>1</v>
      </c>
      <c r="B125">
        <f>IF($A125=1,SUM($A$2:$A125),"")</f>
        <v>124</v>
      </c>
      <c r="C125">
        <f>IF($A125=1,SUM($A$2:$A125),0)</f>
        <v>124</v>
      </c>
    </row>
    <row r="126" spans="1:3" x14ac:dyDescent="0.3">
      <c r="A126">
        <f>IF(AND(OR('Compliance Database'!$A126='Data Transfer'!$B$4,'Compliance Database'!$A126='Data Transfer'!$B$5),OR('Data Transfer'!$B$6="",ISNUMBER(SEARCH('Data Transfer'!$B$6,'Compliance Database'!$D126&amp;" "&amp;'Compliance Database'!$K126&amp;" "&amp;'Compliance Database'!$L126&amp;" "&amp;'Compliance Database'!$M126&amp;" "&amp;'Compliance Database'!$N126&amp;" "&amp;'Compliance Database'!$O126)))),1,0)</f>
        <v>1</v>
      </c>
      <c r="B126">
        <f>IF($A126=1,SUM($A$2:$A126),"")</f>
        <v>125</v>
      </c>
      <c r="C126">
        <f>IF($A126=1,SUM($A$2:$A126),0)</f>
        <v>125</v>
      </c>
    </row>
    <row r="127" spans="1:3" x14ac:dyDescent="0.3">
      <c r="A127">
        <f>IF(AND(OR('Compliance Database'!$A127='Data Transfer'!$B$4,'Compliance Database'!$A127='Data Transfer'!$B$5),OR('Data Transfer'!$B$6="",ISNUMBER(SEARCH('Data Transfer'!$B$6,'Compliance Database'!$D127&amp;" "&amp;'Compliance Database'!$K127&amp;" "&amp;'Compliance Database'!$L127&amp;" "&amp;'Compliance Database'!$M127&amp;" "&amp;'Compliance Database'!$N127&amp;" "&amp;'Compliance Database'!$O127)))),1,0)</f>
        <v>1</v>
      </c>
      <c r="B127">
        <f>IF($A127=1,SUM($A$2:$A127),"")</f>
        <v>126</v>
      </c>
      <c r="C127">
        <f>IF($A127=1,SUM($A$2:$A127),0)</f>
        <v>126</v>
      </c>
    </row>
    <row r="128" spans="1:3" x14ac:dyDescent="0.3">
      <c r="A128">
        <f>IF(AND(OR('Compliance Database'!$A128='Data Transfer'!$B$4,'Compliance Database'!$A128='Data Transfer'!$B$5),OR('Data Transfer'!$B$6="",ISNUMBER(SEARCH('Data Transfer'!$B$6,'Compliance Database'!$D128&amp;" "&amp;'Compliance Database'!$K128&amp;" "&amp;'Compliance Database'!$L128&amp;" "&amp;'Compliance Database'!$M128&amp;" "&amp;'Compliance Database'!$N128&amp;" "&amp;'Compliance Database'!$O128)))),1,0)</f>
        <v>1</v>
      </c>
      <c r="B128">
        <f>IF($A128=1,SUM($A$2:$A128),"")</f>
        <v>127</v>
      </c>
      <c r="C128">
        <f>IF($A128=1,SUM($A$2:$A128),0)</f>
        <v>127</v>
      </c>
    </row>
    <row r="129" spans="1:3" x14ac:dyDescent="0.3">
      <c r="A129">
        <f>IF(AND(OR('Compliance Database'!$A129='Data Transfer'!$B$4,'Compliance Database'!$A129='Data Transfer'!$B$5),OR('Data Transfer'!$B$6="",ISNUMBER(SEARCH('Data Transfer'!$B$6,'Compliance Database'!$D129&amp;" "&amp;'Compliance Database'!$K129&amp;" "&amp;'Compliance Database'!$L129&amp;" "&amp;'Compliance Database'!$M129&amp;" "&amp;'Compliance Database'!$N129&amp;" "&amp;'Compliance Database'!$O129)))),1,0)</f>
        <v>1</v>
      </c>
      <c r="B129">
        <f>IF($A129=1,SUM($A$2:$A129),"")</f>
        <v>128</v>
      </c>
      <c r="C129">
        <f>IF($A129=1,SUM($A$2:$A129),0)</f>
        <v>128</v>
      </c>
    </row>
    <row r="130" spans="1:3" x14ac:dyDescent="0.3">
      <c r="A130">
        <f>IF(AND(OR('Compliance Database'!$A130='Data Transfer'!$B$4,'Compliance Database'!$A130='Data Transfer'!$B$5),OR('Data Transfer'!$B$6="",ISNUMBER(SEARCH('Data Transfer'!$B$6,'Compliance Database'!$D130&amp;" "&amp;'Compliance Database'!$K130&amp;" "&amp;'Compliance Database'!$L130&amp;" "&amp;'Compliance Database'!$M130&amp;" "&amp;'Compliance Database'!$N130&amp;" "&amp;'Compliance Database'!$O130)))),1,0)</f>
        <v>1</v>
      </c>
      <c r="B130">
        <f>IF($A130=1,SUM($A$2:$A130),"")</f>
        <v>129</v>
      </c>
      <c r="C130">
        <f>IF($A130=1,SUM($A$2:$A130),0)</f>
        <v>129</v>
      </c>
    </row>
    <row r="131" spans="1:3" x14ac:dyDescent="0.3">
      <c r="A131">
        <f>IF(AND(OR('Compliance Database'!$A131='Data Transfer'!$B$4,'Compliance Database'!$A131='Data Transfer'!$B$5),OR('Data Transfer'!$B$6="",ISNUMBER(SEARCH('Data Transfer'!$B$6,'Compliance Database'!$D131&amp;" "&amp;'Compliance Database'!$K131&amp;" "&amp;'Compliance Database'!$L131&amp;" "&amp;'Compliance Database'!$M131&amp;" "&amp;'Compliance Database'!$N131&amp;" "&amp;'Compliance Database'!$O131)))),1,0)</f>
        <v>1</v>
      </c>
      <c r="B131">
        <f>IF($A131=1,SUM($A$2:$A131),"")</f>
        <v>130</v>
      </c>
      <c r="C131">
        <f>IF($A131=1,SUM($A$2:$A131),0)</f>
        <v>130</v>
      </c>
    </row>
    <row r="132" spans="1:3" x14ac:dyDescent="0.3">
      <c r="A132">
        <f>IF(AND(OR('Compliance Database'!$A132='Data Transfer'!$B$4,'Compliance Database'!$A132='Data Transfer'!$B$5),OR('Data Transfer'!$B$6="",ISNUMBER(SEARCH('Data Transfer'!$B$6,'Compliance Database'!$D132&amp;" "&amp;'Compliance Database'!$K132&amp;" "&amp;'Compliance Database'!$L132&amp;" "&amp;'Compliance Database'!$M132&amp;" "&amp;'Compliance Database'!$N132&amp;" "&amp;'Compliance Database'!$O132)))),1,0)</f>
        <v>1</v>
      </c>
      <c r="B132">
        <f>IF($A132=1,SUM($A$2:$A132),"")</f>
        <v>131</v>
      </c>
      <c r="C132">
        <f>IF($A132=1,SUM($A$2:$A132),0)</f>
        <v>131</v>
      </c>
    </row>
    <row r="133" spans="1:3" x14ac:dyDescent="0.3">
      <c r="A133">
        <f>IF(AND(OR('Compliance Database'!$A133='Data Transfer'!$B$4,'Compliance Database'!$A133='Data Transfer'!$B$5),OR('Data Transfer'!$B$6="",ISNUMBER(SEARCH('Data Transfer'!$B$6,'Compliance Database'!$D133&amp;" "&amp;'Compliance Database'!$K133&amp;" "&amp;'Compliance Database'!$L133&amp;" "&amp;'Compliance Database'!$M133&amp;" "&amp;'Compliance Database'!$N133&amp;" "&amp;'Compliance Database'!$O133)))),1,0)</f>
        <v>1</v>
      </c>
      <c r="B133">
        <f>IF($A133=1,SUM($A$2:$A133),"")</f>
        <v>132</v>
      </c>
      <c r="C133">
        <f>IF($A133=1,SUM($A$2:$A133),0)</f>
        <v>132</v>
      </c>
    </row>
    <row r="134" spans="1:3" x14ac:dyDescent="0.3">
      <c r="A134">
        <f>IF(AND(OR('Compliance Database'!$A134='Data Transfer'!$B$4,'Compliance Database'!$A134='Data Transfer'!$B$5),OR('Data Transfer'!$B$6="",ISNUMBER(SEARCH('Data Transfer'!$B$6,'Compliance Database'!$D134&amp;" "&amp;'Compliance Database'!$K134&amp;" "&amp;'Compliance Database'!$L134&amp;" "&amp;'Compliance Database'!$M134&amp;" "&amp;'Compliance Database'!$N134&amp;" "&amp;'Compliance Database'!$O134)))),1,0)</f>
        <v>1</v>
      </c>
      <c r="B134">
        <f>IF($A134=1,SUM($A$2:$A134),"")</f>
        <v>133</v>
      </c>
      <c r="C134">
        <f>IF($A134=1,SUM($A$2:$A134),0)</f>
        <v>133</v>
      </c>
    </row>
    <row r="135" spans="1:3" x14ac:dyDescent="0.3">
      <c r="A135">
        <f>IF(AND(OR('Compliance Database'!$A135='Data Transfer'!$B$4,'Compliance Database'!$A135='Data Transfer'!$B$5),OR('Data Transfer'!$B$6="",ISNUMBER(SEARCH('Data Transfer'!$B$6,'Compliance Database'!$D135&amp;" "&amp;'Compliance Database'!$K135&amp;" "&amp;'Compliance Database'!$L135&amp;" "&amp;'Compliance Database'!$M135&amp;" "&amp;'Compliance Database'!$N135&amp;" "&amp;'Compliance Database'!$O135)))),1,0)</f>
        <v>1</v>
      </c>
      <c r="B135">
        <f>IF($A135=1,SUM($A$2:$A135),"")</f>
        <v>134</v>
      </c>
      <c r="C135">
        <f>IF($A135=1,SUM($A$2:$A135),0)</f>
        <v>134</v>
      </c>
    </row>
    <row r="136" spans="1:3" x14ac:dyDescent="0.3">
      <c r="A136">
        <f>IF(AND(OR('Compliance Database'!$A136='Data Transfer'!$B$4,'Compliance Database'!$A136='Data Transfer'!$B$5),OR('Data Transfer'!$B$6="",ISNUMBER(SEARCH('Data Transfer'!$B$6,'Compliance Database'!$D136&amp;" "&amp;'Compliance Database'!$K136&amp;" "&amp;'Compliance Database'!$L136&amp;" "&amp;'Compliance Database'!$M136&amp;" "&amp;'Compliance Database'!$N136&amp;" "&amp;'Compliance Database'!$O136)))),1,0)</f>
        <v>1</v>
      </c>
      <c r="B136">
        <f>IF($A136=1,SUM($A$2:$A136),"")</f>
        <v>135</v>
      </c>
      <c r="C136">
        <f>IF($A136=1,SUM($A$2:$A136),0)</f>
        <v>135</v>
      </c>
    </row>
    <row r="137" spans="1:3" x14ac:dyDescent="0.3">
      <c r="A137">
        <f>IF(AND(OR('Compliance Database'!$A137='Data Transfer'!$B$4,'Compliance Database'!$A137='Data Transfer'!$B$5),OR('Data Transfer'!$B$6="",ISNUMBER(SEARCH('Data Transfer'!$B$6,'Compliance Database'!$D137&amp;" "&amp;'Compliance Database'!$K137&amp;" "&amp;'Compliance Database'!$L137&amp;" "&amp;'Compliance Database'!$M137&amp;" "&amp;'Compliance Database'!$N137&amp;" "&amp;'Compliance Database'!$O137)))),1,0)</f>
        <v>1</v>
      </c>
      <c r="B137">
        <f>IF($A137=1,SUM($A$2:$A137),"")</f>
        <v>136</v>
      </c>
      <c r="C137">
        <f>IF($A137=1,SUM($A$2:$A137),0)</f>
        <v>136</v>
      </c>
    </row>
    <row r="138" spans="1:3" x14ac:dyDescent="0.3">
      <c r="A138">
        <f>IF(AND(OR('Compliance Database'!$A138='Data Transfer'!$B$4,'Compliance Database'!$A138='Data Transfer'!$B$5),OR('Data Transfer'!$B$6="",ISNUMBER(SEARCH('Data Transfer'!$B$6,'Compliance Database'!$D138&amp;" "&amp;'Compliance Database'!$K138&amp;" "&amp;'Compliance Database'!$L138&amp;" "&amp;'Compliance Database'!$M138&amp;" "&amp;'Compliance Database'!$N138&amp;" "&amp;'Compliance Database'!$O138)))),1,0)</f>
        <v>1</v>
      </c>
      <c r="B138">
        <f>IF($A138=1,SUM($A$2:$A138),"")</f>
        <v>137</v>
      </c>
      <c r="C138">
        <f>IF($A138=1,SUM($A$2:$A138),0)</f>
        <v>137</v>
      </c>
    </row>
    <row r="139" spans="1:3" x14ac:dyDescent="0.3">
      <c r="A139">
        <f>IF(AND(OR('Compliance Database'!$A139='Data Transfer'!$B$4,'Compliance Database'!$A139='Data Transfer'!$B$5),OR('Data Transfer'!$B$6="",ISNUMBER(SEARCH('Data Transfer'!$B$6,'Compliance Database'!$D139&amp;" "&amp;'Compliance Database'!$K139&amp;" "&amp;'Compliance Database'!$L139&amp;" "&amp;'Compliance Database'!$M139&amp;" "&amp;'Compliance Database'!$N139&amp;" "&amp;'Compliance Database'!$O139)))),1,0)</f>
        <v>1</v>
      </c>
      <c r="B139">
        <f>IF($A139=1,SUM($A$2:$A139),"")</f>
        <v>138</v>
      </c>
      <c r="C139">
        <f>IF($A139=1,SUM($A$2:$A139),0)</f>
        <v>138</v>
      </c>
    </row>
    <row r="140" spans="1:3" x14ac:dyDescent="0.3">
      <c r="A140">
        <f>IF(AND(OR('Compliance Database'!$A140='Data Transfer'!$B$4,'Compliance Database'!$A140='Data Transfer'!$B$5),OR('Data Transfer'!$B$6="",ISNUMBER(SEARCH('Data Transfer'!$B$6,'Compliance Database'!$D140&amp;" "&amp;'Compliance Database'!$K140&amp;" "&amp;'Compliance Database'!$L140&amp;" "&amp;'Compliance Database'!$M140&amp;" "&amp;'Compliance Database'!$N140&amp;" "&amp;'Compliance Database'!$O140)))),1,0)</f>
        <v>1</v>
      </c>
      <c r="B140">
        <f>IF($A140=1,SUM($A$2:$A140),"")</f>
        <v>139</v>
      </c>
      <c r="C140">
        <f>IF($A140=1,SUM($A$2:$A140),0)</f>
        <v>139</v>
      </c>
    </row>
    <row r="141" spans="1:3" x14ac:dyDescent="0.3">
      <c r="A141">
        <f>IF(AND(OR('Compliance Database'!$A141='Data Transfer'!$B$4,'Compliance Database'!$A141='Data Transfer'!$B$5),OR('Data Transfer'!$B$6="",ISNUMBER(SEARCH('Data Transfer'!$B$6,'Compliance Database'!$D141&amp;" "&amp;'Compliance Database'!$K141&amp;" "&amp;'Compliance Database'!$L141&amp;" "&amp;'Compliance Database'!$M141&amp;" "&amp;'Compliance Database'!$N141&amp;" "&amp;'Compliance Database'!$O141)))),1,0)</f>
        <v>1</v>
      </c>
      <c r="B141">
        <f>IF($A141=1,SUM($A$2:$A141),"")</f>
        <v>140</v>
      </c>
      <c r="C141">
        <f>IF($A141=1,SUM($A$2:$A141),0)</f>
        <v>140</v>
      </c>
    </row>
    <row r="142" spans="1:3" x14ac:dyDescent="0.3">
      <c r="A142">
        <f>IF(AND(OR('Compliance Database'!$A142='Data Transfer'!$B$4,'Compliance Database'!$A142='Data Transfer'!$B$5),OR('Data Transfer'!$B$6="",ISNUMBER(SEARCH('Data Transfer'!$B$6,'Compliance Database'!$D142&amp;" "&amp;'Compliance Database'!$K142&amp;" "&amp;'Compliance Database'!$L142&amp;" "&amp;'Compliance Database'!$M142&amp;" "&amp;'Compliance Database'!$N142&amp;" "&amp;'Compliance Database'!$O142)))),1,0)</f>
        <v>1</v>
      </c>
      <c r="B142">
        <f>IF($A142=1,SUM($A$2:$A142),"")</f>
        <v>141</v>
      </c>
      <c r="C142">
        <f>IF($A142=1,SUM($A$2:$A142),0)</f>
        <v>141</v>
      </c>
    </row>
    <row r="143" spans="1:3" x14ac:dyDescent="0.3">
      <c r="A143">
        <f>IF(AND(OR('Compliance Database'!$A143='Data Transfer'!$B$4,'Compliance Database'!$A143='Data Transfer'!$B$5),OR('Data Transfer'!$B$6="",ISNUMBER(SEARCH('Data Transfer'!$B$6,'Compliance Database'!$D143&amp;" "&amp;'Compliance Database'!$K143&amp;" "&amp;'Compliance Database'!$L143&amp;" "&amp;'Compliance Database'!$M143&amp;" "&amp;'Compliance Database'!$N143&amp;" "&amp;'Compliance Database'!$O143)))),1,0)</f>
        <v>1</v>
      </c>
      <c r="B143">
        <f>IF($A143=1,SUM($A$2:$A143),"")</f>
        <v>142</v>
      </c>
      <c r="C143">
        <f>IF($A143=1,SUM($A$2:$A143),0)</f>
        <v>142</v>
      </c>
    </row>
    <row r="144" spans="1:3" x14ac:dyDescent="0.3">
      <c r="A144">
        <f>IF(AND(OR('Compliance Database'!$A144='Data Transfer'!$B$4,'Compliance Database'!$A144='Data Transfer'!$B$5),OR('Data Transfer'!$B$6="",ISNUMBER(SEARCH('Data Transfer'!$B$6,'Compliance Database'!$D144&amp;" "&amp;'Compliance Database'!$K144&amp;" "&amp;'Compliance Database'!$L144&amp;" "&amp;'Compliance Database'!$M144&amp;" "&amp;'Compliance Database'!$N144&amp;" "&amp;'Compliance Database'!$O144)))),1,0)</f>
        <v>1</v>
      </c>
      <c r="B144">
        <f>IF($A144=1,SUM($A$2:$A144),"")</f>
        <v>143</v>
      </c>
      <c r="C144">
        <f>IF($A144=1,SUM($A$2:$A144),0)</f>
        <v>143</v>
      </c>
    </row>
    <row r="145" spans="1:3" x14ac:dyDescent="0.3">
      <c r="A145">
        <f>IF(AND(OR('Compliance Database'!$A145='Data Transfer'!$B$4,'Compliance Database'!$A145='Data Transfer'!$B$5),OR('Data Transfer'!$B$6="",ISNUMBER(SEARCH('Data Transfer'!$B$6,'Compliance Database'!$D145&amp;" "&amp;'Compliance Database'!$K145&amp;" "&amp;'Compliance Database'!$L145&amp;" "&amp;'Compliance Database'!$M145&amp;" "&amp;'Compliance Database'!$N145&amp;" "&amp;'Compliance Database'!$O145)))),1,0)</f>
        <v>1</v>
      </c>
      <c r="B145">
        <f>IF($A145=1,SUM($A$2:$A145),"")</f>
        <v>144</v>
      </c>
      <c r="C145">
        <f>IF($A145=1,SUM($A$2:$A145),0)</f>
        <v>144</v>
      </c>
    </row>
    <row r="146" spans="1:3" x14ac:dyDescent="0.3">
      <c r="A146">
        <f>IF(AND(OR('Compliance Database'!$A146='Data Transfer'!$B$4,'Compliance Database'!$A146='Data Transfer'!$B$5),OR('Data Transfer'!$B$6="",ISNUMBER(SEARCH('Data Transfer'!$B$6,'Compliance Database'!$D146&amp;" "&amp;'Compliance Database'!$K146&amp;" "&amp;'Compliance Database'!$L146&amp;" "&amp;'Compliance Database'!$M146&amp;" "&amp;'Compliance Database'!$N146&amp;" "&amp;'Compliance Database'!$O146)))),1,0)</f>
        <v>1</v>
      </c>
      <c r="B146">
        <f>IF($A146=1,SUM($A$2:$A146),"")</f>
        <v>145</v>
      </c>
      <c r="C146">
        <f>IF($A146=1,SUM($A$2:$A146),0)</f>
        <v>145</v>
      </c>
    </row>
    <row r="147" spans="1:3" x14ac:dyDescent="0.3">
      <c r="A147">
        <f>IF(AND(OR('Compliance Database'!$A147='Data Transfer'!$B$4,'Compliance Database'!$A147='Data Transfer'!$B$5),OR('Data Transfer'!$B$6="",ISNUMBER(SEARCH('Data Transfer'!$B$6,'Compliance Database'!$D147&amp;" "&amp;'Compliance Database'!$K147&amp;" "&amp;'Compliance Database'!$L147&amp;" "&amp;'Compliance Database'!$M147&amp;" "&amp;'Compliance Database'!$N147&amp;" "&amp;'Compliance Database'!$O147)))),1,0)</f>
        <v>1</v>
      </c>
      <c r="B147">
        <f>IF($A147=1,SUM($A$2:$A147),"")</f>
        <v>146</v>
      </c>
      <c r="C147">
        <f>IF($A147=1,SUM($A$2:$A147),0)</f>
        <v>146</v>
      </c>
    </row>
    <row r="148" spans="1:3" x14ac:dyDescent="0.3">
      <c r="A148">
        <f>IF(AND(OR('Compliance Database'!$A148='Data Transfer'!$B$4,'Compliance Database'!$A148='Data Transfer'!$B$5),OR('Data Transfer'!$B$6="",ISNUMBER(SEARCH('Data Transfer'!$B$6,'Compliance Database'!$D148&amp;" "&amp;'Compliance Database'!$K148&amp;" "&amp;'Compliance Database'!$L148&amp;" "&amp;'Compliance Database'!$M148&amp;" "&amp;'Compliance Database'!$N148&amp;" "&amp;'Compliance Database'!$O148)))),1,0)</f>
        <v>1</v>
      </c>
      <c r="B148">
        <f>IF($A148=1,SUM($A$2:$A148),"")</f>
        <v>147</v>
      </c>
      <c r="C148">
        <f>IF($A148=1,SUM($A$2:$A148),0)</f>
        <v>147</v>
      </c>
    </row>
    <row r="149" spans="1:3" x14ac:dyDescent="0.3">
      <c r="A149">
        <f>IF(AND(OR('Compliance Database'!$A149='Data Transfer'!$B$4,'Compliance Database'!$A149='Data Transfer'!$B$5),OR('Data Transfer'!$B$6="",ISNUMBER(SEARCH('Data Transfer'!$B$6,'Compliance Database'!$D149&amp;" "&amp;'Compliance Database'!$K149&amp;" "&amp;'Compliance Database'!$L149&amp;" "&amp;'Compliance Database'!$M149&amp;" "&amp;'Compliance Database'!$N149&amp;" "&amp;'Compliance Database'!$O149)))),1,0)</f>
        <v>1</v>
      </c>
      <c r="B149">
        <f>IF($A149=1,SUM($A$2:$A149),"")</f>
        <v>148</v>
      </c>
      <c r="C149">
        <f>IF($A149=1,SUM($A$2:$A149),0)</f>
        <v>148</v>
      </c>
    </row>
    <row r="150" spans="1:3" x14ac:dyDescent="0.3">
      <c r="A150">
        <f>IF(AND(OR('Compliance Database'!$A150='Data Transfer'!$B$4,'Compliance Database'!$A150='Data Transfer'!$B$5),OR('Data Transfer'!$B$6="",ISNUMBER(SEARCH('Data Transfer'!$B$6,'Compliance Database'!$D150&amp;" "&amp;'Compliance Database'!$K150&amp;" "&amp;'Compliance Database'!$L150&amp;" "&amp;'Compliance Database'!$M150&amp;" "&amp;'Compliance Database'!$N150&amp;" "&amp;'Compliance Database'!$O150)))),1,0)</f>
        <v>1</v>
      </c>
      <c r="B150">
        <f>IF($A150=1,SUM($A$2:$A150),"")</f>
        <v>149</v>
      </c>
      <c r="C150">
        <f>IF($A150=1,SUM($A$2:$A150),0)</f>
        <v>149</v>
      </c>
    </row>
    <row r="151" spans="1:3" x14ac:dyDescent="0.3">
      <c r="A151">
        <f>IF(AND(OR('Compliance Database'!$A151='Data Transfer'!$B$4,'Compliance Database'!$A151='Data Transfer'!$B$5),OR('Data Transfer'!$B$6="",ISNUMBER(SEARCH('Data Transfer'!$B$6,'Compliance Database'!$D151&amp;" "&amp;'Compliance Database'!$K151&amp;" "&amp;'Compliance Database'!$L151&amp;" "&amp;'Compliance Database'!$M151&amp;" "&amp;'Compliance Database'!$N151&amp;" "&amp;'Compliance Database'!$O151)))),1,0)</f>
        <v>1</v>
      </c>
      <c r="B151">
        <f>IF($A151=1,SUM($A$2:$A151),"")</f>
        <v>150</v>
      </c>
      <c r="C151">
        <f>IF($A151=1,SUM($A$2:$A151),0)</f>
        <v>150</v>
      </c>
    </row>
    <row r="152" spans="1:3" x14ac:dyDescent="0.3">
      <c r="A152">
        <f>IF(AND(OR('Compliance Database'!$A152='Data Transfer'!$B$4,'Compliance Database'!$A152='Data Transfer'!$B$5),OR('Data Transfer'!$B$6="",ISNUMBER(SEARCH('Data Transfer'!$B$6,'Compliance Database'!$D152&amp;" "&amp;'Compliance Database'!$K152&amp;" "&amp;'Compliance Database'!$L152&amp;" "&amp;'Compliance Database'!$M152&amp;" "&amp;'Compliance Database'!$N152&amp;" "&amp;'Compliance Database'!$O152)))),1,0)</f>
        <v>1</v>
      </c>
      <c r="B152">
        <f>IF($A152=1,SUM($A$2:$A152),"")</f>
        <v>151</v>
      </c>
      <c r="C152">
        <f>IF($A152=1,SUM($A$2:$A152),0)</f>
        <v>151</v>
      </c>
    </row>
    <row r="153" spans="1:3" x14ac:dyDescent="0.3">
      <c r="A153">
        <f>IF(AND(OR('Compliance Database'!$A153='Data Transfer'!$B$4,'Compliance Database'!$A153='Data Transfer'!$B$5),OR('Data Transfer'!$B$6="",ISNUMBER(SEARCH('Data Transfer'!$B$6,'Compliance Database'!$D153&amp;" "&amp;'Compliance Database'!$K153&amp;" "&amp;'Compliance Database'!$L153&amp;" "&amp;'Compliance Database'!$M153&amp;" "&amp;'Compliance Database'!$N153&amp;" "&amp;'Compliance Database'!$O153)))),1,0)</f>
        <v>1</v>
      </c>
      <c r="B153">
        <f>IF($A153=1,SUM($A$2:$A153),"")</f>
        <v>152</v>
      </c>
      <c r="C153">
        <f>IF($A153=1,SUM($A$2:$A153),0)</f>
        <v>152</v>
      </c>
    </row>
    <row r="154" spans="1:3" x14ac:dyDescent="0.3">
      <c r="A154">
        <f>IF(AND(OR('Compliance Database'!$A154='Data Transfer'!$B$4,'Compliance Database'!$A154='Data Transfer'!$B$5),OR('Data Transfer'!$B$6="",ISNUMBER(SEARCH('Data Transfer'!$B$6,'Compliance Database'!$D154&amp;" "&amp;'Compliance Database'!$K154&amp;" "&amp;'Compliance Database'!$L154&amp;" "&amp;'Compliance Database'!$M154&amp;" "&amp;'Compliance Database'!$N154&amp;" "&amp;'Compliance Database'!$O154)))),1,0)</f>
        <v>1</v>
      </c>
      <c r="B154">
        <f>IF($A154=1,SUM($A$2:$A154),"")</f>
        <v>153</v>
      </c>
      <c r="C154">
        <f>IF($A154=1,SUM($A$2:$A154),0)</f>
        <v>153</v>
      </c>
    </row>
    <row r="155" spans="1:3" x14ac:dyDescent="0.3">
      <c r="A155">
        <f>IF(AND(OR('Compliance Database'!$A155='Data Transfer'!$B$4,'Compliance Database'!$A155='Data Transfer'!$B$5),OR('Data Transfer'!$B$6="",ISNUMBER(SEARCH('Data Transfer'!$B$6,'Compliance Database'!$D155&amp;" "&amp;'Compliance Database'!$K155&amp;" "&amp;'Compliance Database'!$L155&amp;" "&amp;'Compliance Database'!$M155&amp;" "&amp;'Compliance Database'!$N155&amp;" "&amp;'Compliance Database'!$O155)))),1,0)</f>
        <v>1</v>
      </c>
      <c r="B155">
        <f>IF($A155=1,SUM($A$2:$A155),"")</f>
        <v>154</v>
      </c>
      <c r="C155">
        <f>IF($A155=1,SUM($A$2:$A155),0)</f>
        <v>154</v>
      </c>
    </row>
    <row r="156" spans="1:3" x14ac:dyDescent="0.3">
      <c r="A156">
        <f>IF(AND(OR('Compliance Database'!$A156='Data Transfer'!$B$4,'Compliance Database'!$A156='Data Transfer'!$B$5),OR('Data Transfer'!$B$6="",ISNUMBER(SEARCH('Data Transfer'!$B$6,'Compliance Database'!$D156&amp;" "&amp;'Compliance Database'!$K156&amp;" "&amp;'Compliance Database'!$L156&amp;" "&amp;'Compliance Database'!$M156&amp;" "&amp;'Compliance Database'!$N156&amp;" "&amp;'Compliance Database'!$O156)))),1,0)</f>
        <v>1</v>
      </c>
      <c r="B156">
        <f>IF($A156=1,SUM($A$2:$A156),"")</f>
        <v>155</v>
      </c>
      <c r="C156">
        <f>IF($A156=1,SUM($A$2:$A156),0)</f>
        <v>155</v>
      </c>
    </row>
    <row r="157" spans="1:3" x14ac:dyDescent="0.3">
      <c r="A157">
        <f>IF(AND(OR('Compliance Database'!$A157='Data Transfer'!$B$4,'Compliance Database'!$A157='Data Transfer'!$B$5),OR('Data Transfer'!$B$6="",ISNUMBER(SEARCH('Data Transfer'!$B$6,'Compliance Database'!$D157&amp;" "&amp;'Compliance Database'!$K157&amp;" "&amp;'Compliance Database'!$L157&amp;" "&amp;'Compliance Database'!$M157&amp;" "&amp;'Compliance Database'!$N157&amp;" "&amp;'Compliance Database'!$O157)))),1,0)</f>
        <v>1</v>
      </c>
      <c r="B157">
        <f>IF($A157=1,SUM($A$2:$A157),"")</f>
        <v>156</v>
      </c>
      <c r="C157">
        <f>IF($A157=1,SUM($A$2:$A157),0)</f>
        <v>156</v>
      </c>
    </row>
    <row r="158" spans="1:3" x14ac:dyDescent="0.3">
      <c r="A158">
        <f>IF(AND(OR('Compliance Database'!$A158='Data Transfer'!$B$4,'Compliance Database'!$A158='Data Transfer'!$B$5),OR('Data Transfer'!$B$6="",ISNUMBER(SEARCH('Data Transfer'!$B$6,'Compliance Database'!$D158&amp;" "&amp;'Compliance Database'!$K158&amp;" "&amp;'Compliance Database'!$L158&amp;" "&amp;'Compliance Database'!$M158&amp;" "&amp;'Compliance Database'!$N158&amp;" "&amp;'Compliance Database'!$O158)))),1,0)</f>
        <v>1</v>
      </c>
      <c r="B158">
        <f>IF($A158=1,SUM($A$2:$A158),"")</f>
        <v>157</v>
      </c>
      <c r="C158">
        <f>IF($A158=1,SUM($A$2:$A158),0)</f>
        <v>157</v>
      </c>
    </row>
    <row r="159" spans="1:3" x14ac:dyDescent="0.3">
      <c r="A159">
        <f>IF(AND(OR('Compliance Database'!$A159='Data Transfer'!$B$4,'Compliance Database'!$A159='Data Transfer'!$B$5),OR('Data Transfer'!$B$6="",ISNUMBER(SEARCH('Data Transfer'!$B$6,'Compliance Database'!$D159&amp;" "&amp;'Compliance Database'!$K159&amp;" "&amp;'Compliance Database'!$L159&amp;" "&amp;'Compliance Database'!$M159&amp;" "&amp;'Compliance Database'!$N159&amp;" "&amp;'Compliance Database'!$O159)))),1,0)</f>
        <v>1</v>
      </c>
      <c r="B159">
        <f>IF($A159=1,SUM($A$2:$A159),"")</f>
        <v>158</v>
      </c>
      <c r="C159">
        <f>IF($A159=1,SUM($A$2:$A159),0)</f>
        <v>158</v>
      </c>
    </row>
    <row r="160" spans="1:3" x14ac:dyDescent="0.3">
      <c r="A160">
        <f>IF(AND(OR('Compliance Database'!$A160='Data Transfer'!$B$4,'Compliance Database'!$A160='Data Transfer'!$B$5),OR('Data Transfer'!$B$6="",ISNUMBER(SEARCH('Data Transfer'!$B$6,'Compliance Database'!$D160&amp;" "&amp;'Compliance Database'!$K160&amp;" "&amp;'Compliance Database'!$L160&amp;" "&amp;'Compliance Database'!$M160&amp;" "&amp;'Compliance Database'!$N160&amp;" "&amp;'Compliance Database'!$O160)))),1,0)</f>
        <v>1</v>
      </c>
      <c r="B160">
        <f>IF($A160=1,SUM($A$2:$A160),"")</f>
        <v>159</v>
      </c>
      <c r="C160">
        <f>IF($A160=1,SUM($A$2:$A160),0)</f>
        <v>159</v>
      </c>
    </row>
    <row r="161" spans="1:3" x14ac:dyDescent="0.3">
      <c r="A161">
        <f>IF(AND(OR('Compliance Database'!$A161='Data Transfer'!$B$4,'Compliance Database'!$A161='Data Transfer'!$B$5),OR('Data Transfer'!$B$6="",ISNUMBER(SEARCH('Data Transfer'!$B$6,'Compliance Database'!$D161&amp;" "&amp;'Compliance Database'!$K161&amp;" "&amp;'Compliance Database'!$L161&amp;" "&amp;'Compliance Database'!$M161&amp;" "&amp;'Compliance Database'!$N161&amp;" "&amp;'Compliance Database'!$O161)))),1,0)</f>
        <v>1</v>
      </c>
      <c r="B161">
        <f>IF($A161=1,SUM($A$2:$A161),"")</f>
        <v>160</v>
      </c>
      <c r="C161">
        <f>IF($A161=1,SUM($A$2:$A161),0)</f>
        <v>160</v>
      </c>
    </row>
    <row r="162" spans="1:3" x14ac:dyDescent="0.3">
      <c r="A162">
        <f>IF(AND(OR('Compliance Database'!$A162='Data Transfer'!$B$4,'Compliance Database'!$A162='Data Transfer'!$B$5),OR('Data Transfer'!$B$6="",ISNUMBER(SEARCH('Data Transfer'!$B$6,'Compliance Database'!$D162&amp;" "&amp;'Compliance Database'!$K162&amp;" "&amp;'Compliance Database'!$L162&amp;" "&amp;'Compliance Database'!$M162&amp;" "&amp;'Compliance Database'!$N162&amp;" "&amp;'Compliance Database'!$O162)))),1,0)</f>
        <v>1</v>
      </c>
      <c r="B162">
        <f>IF($A162=1,SUM($A$2:$A162),"")</f>
        <v>161</v>
      </c>
      <c r="C162">
        <f>IF($A162=1,SUM($A$2:$A162),0)</f>
        <v>161</v>
      </c>
    </row>
    <row r="163" spans="1:3" x14ac:dyDescent="0.3">
      <c r="A163">
        <f>IF(AND(OR('Compliance Database'!$A163='Data Transfer'!$B$4,'Compliance Database'!$A163='Data Transfer'!$B$5),OR('Data Transfer'!$B$6="",ISNUMBER(SEARCH('Data Transfer'!$B$6,'Compliance Database'!$D163&amp;" "&amp;'Compliance Database'!$K163&amp;" "&amp;'Compliance Database'!$L163&amp;" "&amp;'Compliance Database'!$M163&amp;" "&amp;'Compliance Database'!$N163&amp;" "&amp;'Compliance Database'!$O163)))),1,0)</f>
        <v>1</v>
      </c>
      <c r="B163">
        <f>IF($A163=1,SUM($A$2:$A163),"")</f>
        <v>162</v>
      </c>
      <c r="C163">
        <f>IF($A163=1,SUM($A$2:$A163),0)</f>
        <v>162</v>
      </c>
    </row>
    <row r="164" spans="1:3" x14ac:dyDescent="0.3">
      <c r="A164">
        <f>IF(AND(OR('Compliance Database'!$A164='Data Transfer'!$B$4,'Compliance Database'!$A164='Data Transfer'!$B$5),OR('Data Transfer'!$B$6="",ISNUMBER(SEARCH('Data Transfer'!$B$6,'Compliance Database'!$D164&amp;" "&amp;'Compliance Database'!$K164&amp;" "&amp;'Compliance Database'!$L164&amp;" "&amp;'Compliance Database'!$M164&amp;" "&amp;'Compliance Database'!$N164&amp;" "&amp;'Compliance Database'!$O164)))),1,0)</f>
        <v>1</v>
      </c>
      <c r="B164">
        <f>IF($A164=1,SUM($A$2:$A164),"")</f>
        <v>163</v>
      </c>
      <c r="C164">
        <f>IF($A164=1,SUM($A$2:$A164),0)</f>
        <v>163</v>
      </c>
    </row>
    <row r="165" spans="1:3" x14ac:dyDescent="0.3">
      <c r="A165">
        <f>IF(AND(OR('Compliance Database'!$A165='Data Transfer'!$B$4,'Compliance Database'!$A165='Data Transfer'!$B$5),OR('Data Transfer'!$B$6="",ISNUMBER(SEARCH('Data Transfer'!$B$6,'Compliance Database'!$D165&amp;" "&amp;'Compliance Database'!$K165&amp;" "&amp;'Compliance Database'!$L165&amp;" "&amp;'Compliance Database'!$M165&amp;" "&amp;'Compliance Database'!$N165&amp;" "&amp;'Compliance Database'!$O165)))),1,0)</f>
        <v>1</v>
      </c>
      <c r="B165">
        <f>IF($A165=1,SUM($A$2:$A165),"")</f>
        <v>164</v>
      </c>
      <c r="C165">
        <f>IF($A165=1,SUM($A$2:$A165),0)</f>
        <v>164</v>
      </c>
    </row>
    <row r="166" spans="1:3" x14ac:dyDescent="0.3">
      <c r="A166">
        <f>IF(AND(OR('Compliance Database'!$A166='Data Transfer'!$B$4,'Compliance Database'!$A166='Data Transfer'!$B$5),OR('Data Transfer'!$B$6="",ISNUMBER(SEARCH('Data Transfer'!$B$6,'Compliance Database'!$D166&amp;" "&amp;'Compliance Database'!$K166&amp;" "&amp;'Compliance Database'!$L166&amp;" "&amp;'Compliance Database'!$M166&amp;" "&amp;'Compliance Database'!$N166&amp;" "&amp;'Compliance Database'!$O166)))),1,0)</f>
        <v>1</v>
      </c>
      <c r="B166">
        <f>IF($A166=1,SUM($A$2:$A166),"")</f>
        <v>165</v>
      </c>
      <c r="C166">
        <f>IF($A166=1,SUM($A$2:$A166),0)</f>
        <v>165</v>
      </c>
    </row>
    <row r="167" spans="1:3" x14ac:dyDescent="0.3">
      <c r="A167">
        <f>IF(AND(OR('Compliance Database'!$A167='Data Transfer'!$B$4,'Compliance Database'!$A167='Data Transfer'!$B$5),OR('Data Transfer'!$B$6="",ISNUMBER(SEARCH('Data Transfer'!$B$6,'Compliance Database'!$D167&amp;" "&amp;'Compliance Database'!$K167&amp;" "&amp;'Compliance Database'!$L167&amp;" "&amp;'Compliance Database'!$M167&amp;" "&amp;'Compliance Database'!$N167&amp;" "&amp;'Compliance Database'!$O167)))),1,0)</f>
        <v>1</v>
      </c>
      <c r="B167">
        <f>IF($A167=1,SUM($A$2:$A167),"")</f>
        <v>166</v>
      </c>
      <c r="C167">
        <f>IF($A167=1,SUM($A$2:$A167),0)</f>
        <v>166</v>
      </c>
    </row>
    <row r="168" spans="1:3" x14ac:dyDescent="0.3">
      <c r="A168">
        <f>IF(AND(OR('Compliance Database'!$A168='Data Transfer'!$B$4,'Compliance Database'!$A168='Data Transfer'!$B$5),OR('Data Transfer'!$B$6="",ISNUMBER(SEARCH('Data Transfer'!$B$6,'Compliance Database'!$D168&amp;" "&amp;'Compliance Database'!$K168&amp;" "&amp;'Compliance Database'!$L168&amp;" "&amp;'Compliance Database'!$M168&amp;" "&amp;'Compliance Database'!$N168&amp;" "&amp;'Compliance Database'!$O168)))),1,0)</f>
        <v>1</v>
      </c>
      <c r="B168">
        <f>IF($A168=1,SUM($A$2:$A168),"")</f>
        <v>167</v>
      </c>
      <c r="C168">
        <f>IF($A168=1,SUM($A$2:$A168),0)</f>
        <v>167</v>
      </c>
    </row>
    <row r="169" spans="1:3" x14ac:dyDescent="0.3">
      <c r="A169">
        <f>IF(AND(OR('Compliance Database'!$A169='Data Transfer'!$B$4,'Compliance Database'!$A169='Data Transfer'!$B$5),OR('Data Transfer'!$B$6="",ISNUMBER(SEARCH('Data Transfer'!$B$6,'Compliance Database'!$D169&amp;" "&amp;'Compliance Database'!$K169&amp;" "&amp;'Compliance Database'!$L169&amp;" "&amp;'Compliance Database'!$M169&amp;" "&amp;'Compliance Database'!$N169&amp;" "&amp;'Compliance Database'!$O169)))),1,0)</f>
        <v>1</v>
      </c>
      <c r="B169">
        <f>IF($A169=1,SUM($A$2:$A169),"")</f>
        <v>168</v>
      </c>
      <c r="C169">
        <f>IF($A169=1,SUM($A$2:$A169),0)</f>
        <v>168</v>
      </c>
    </row>
    <row r="170" spans="1:3" x14ac:dyDescent="0.3">
      <c r="A170">
        <f>IF(AND(OR('Compliance Database'!$A170='Data Transfer'!$B$4,'Compliance Database'!$A170='Data Transfer'!$B$5),OR('Data Transfer'!$B$6="",ISNUMBER(SEARCH('Data Transfer'!$B$6,'Compliance Database'!$D170&amp;" "&amp;'Compliance Database'!$K170&amp;" "&amp;'Compliance Database'!$L170&amp;" "&amp;'Compliance Database'!$M170&amp;" "&amp;'Compliance Database'!$N170&amp;" "&amp;'Compliance Database'!$O170)))),1,0)</f>
        <v>1</v>
      </c>
      <c r="B170">
        <f>IF($A170=1,SUM($A$2:$A170),"")</f>
        <v>169</v>
      </c>
      <c r="C170">
        <f>IF($A170=1,SUM($A$2:$A170),0)</f>
        <v>169</v>
      </c>
    </row>
    <row r="171" spans="1:3" x14ac:dyDescent="0.3">
      <c r="A171">
        <f>IF(AND(OR('Compliance Database'!$A171='Data Transfer'!$B$4,'Compliance Database'!$A171='Data Transfer'!$B$5),OR('Data Transfer'!$B$6="",ISNUMBER(SEARCH('Data Transfer'!$B$6,'Compliance Database'!$D171&amp;" "&amp;'Compliance Database'!$K171&amp;" "&amp;'Compliance Database'!$L171&amp;" "&amp;'Compliance Database'!$M171&amp;" "&amp;'Compliance Database'!$N171&amp;" "&amp;'Compliance Database'!$O171)))),1,0)</f>
        <v>1</v>
      </c>
      <c r="B171">
        <f>IF($A171=1,SUM($A$2:$A171),"")</f>
        <v>170</v>
      </c>
      <c r="C171">
        <f>IF($A171=1,SUM($A$2:$A171),0)</f>
        <v>170</v>
      </c>
    </row>
    <row r="172" spans="1:3" x14ac:dyDescent="0.3">
      <c r="A172">
        <f>IF(AND(OR('Compliance Database'!$A172='Data Transfer'!$B$4,'Compliance Database'!$A172='Data Transfer'!$B$5),OR('Data Transfer'!$B$6="",ISNUMBER(SEARCH('Data Transfer'!$B$6,'Compliance Database'!$D172&amp;" "&amp;'Compliance Database'!$K172&amp;" "&amp;'Compliance Database'!$L172&amp;" "&amp;'Compliance Database'!$M172&amp;" "&amp;'Compliance Database'!$N172&amp;" "&amp;'Compliance Database'!$O172)))),1,0)</f>
        <v>1</v>
      </c>
      <c r="B172">
        <f>IF($A172=1,SUM($A$2:$A172),"")</f>
        <v>171</v>
      </c>
      <c r="C172">
        <f>IF($A172=1,SUM($A$2:$A172),0)</f>
        <v>171</v>
      </c>
    </row>
    <row r="173" spans="1:3" x14ac:dyDescent="0.3">
      <c r="A173">
        <f>IF(AND(OR('Compliance Database'!$A173='Data Transfer'!$B$4,'Compliance Database'!$A173='Data Transfer'!$B$5),OR('Data Transfer'!$B$6="",ISNUMBER(SEARCH('Data Transfer'!$B$6,'Compliance Database'!$D173&amp;" "&amp;'Compliance Database'!$K173&amp;" "&amp;'Compliance Database'!$L173&amp;" "&amp;'Compliance Database'!$M173&amp;" "&amp;'Compliance Database'!$N173&amp;" "&amp;'Compliance Database'!$O173)))),1,0)</f>
        <v>1</v>
      </c>
      <c r="B173">
        <f>IF($A173=1,SUM($A$2:$A173),"")</f>
        <v>172</v>
      </c>
      <c r="C173">
        <f>IF($A173=1,SUM($A$2:$A173),0)</f>
        <v>172</v>
      </c>
    </row>
    <row r="174" spans="1:3" x14ac:dyDescent="0.3">
      <c r="A174">
        <f>IF(AND(OR('Compliance Database'!$A174='Data Transfer'!$B$4,'Compliance Database'!$A174='Data Transfer'!$B$5),OR('Data Transfer'!$B$6="",ISNUMBER(SEARCH('Data Transfer'!$B$6,'Compliance Database'!$D174&amp;" "&amp;'Compliance Database'!$K174&amp;" "&amp;'Compliance Database'!$L174&amp;" "&amp;'Compliance Database'!$M174&amp;" "&amp;'Compliance Database'!$N174&amp;" "&amp;'Compliance Database'!$O174)))),1,0)</f>
        <v>1</v>
      </c>
      <c r="B174">
        <f>IF($A174=1,SUM($A$2:$A174),"")</f>
        <v>173</v>
      </c>
      <c r="C174">
        <f>IF($A174=1,SUM($A$2:$A174),0)</f>
        <v>173</v>
      </c>
    </row>
    <row r="175" spans="1:3" x14ac:dyDescent="0.3">
      <c r="A175">
        <f>IF(AND(OR('Compliance Database'!$A175='Data Transfer'!$B$4,'Compliance Database'!$A175='Data Transfer'!$B$5),OR('Data Transfer'!$B$6="",ISNUMBER(SEARCH('Data Transfer'!$B$6,'Compliance Database'!$D175&amp;" "&amp;'Compliance Database'!$K175&amp;" "&amp;'Compliance Database'!$L175&amp;" "&amp;'Compliance Database'!$M175&amp;" "&amp;'Compliance Database'!$N175&amp;" "&amp;'Compliance Database'!$O175)))),1,0)</f>
        <v>1</v>
      </c>
      <c r="B175">
        <f>IF($A175=1,SUM($A$2:$A175),"")</f>
        <v>174</v>
      </c>
      <c r="C175">
        <f>IF($A175=1,SUM($A$2:$A175),0)</f>
        <v>174</v>
      </c>
    </row>
    <row r="176" spans="1:3" x14ac:dyDescent="0.3">
      <c r="A176">
        <f>IF(AND(OR('Compliance Database'!$A176='Data Transfer'!$B$4,'Compliance Database'!$A176='Data Transfer'!$B$5),OR('Data Transfer'!$B$6="",ISNUMBER(SEARCH('Data Transfer'!$B$6,'Compliance Database'!$D176&amp;" "&amp;'Compliance Database'!$K176&amp;" "&amp;'Compliance Database'!$L176&amp;" "&amp;'Compliance Database'!$M176&amp;" "&amp;'Compliance Database'!$N176&amp;" "&amp;'Compliance Database'!$O176)))),1,0)</f>
        <v>1</v>
      </c>
      <c r="B176">
        <f>IF($A176=1,SUM($A$2:$A176),"")</f>
        <v>175</v>
      </c>
      <c r="C176">
        <f>IF($A176=1,SUM($A$2:$A176),0)</f>
        <v>175</v>
      </c>
    </row>
    <row r="177" spans="1:3" x14ac:dyDescent="0.3">
      <c r="A177">
        <f>IF(AND(OR('Compliance Database'!$A177='Data Transfer'!$B$4,'Compliance Database'!$A177='Data Transfer'!$B$5),OR('Data Transfer'!$B$6="",ISNUMBER(SEARCH('Data Transfer'!$B$6,'Compliance Database'!$D177&amp;" "&amp;'Compliance Database'!$K177&amp;" "&amp;'Compliance Database'!$L177&amp;" "&amp;'Compliance Database'!$M177&amp;" "&amp;'Compliance Database'!$N177&amp;" "&amp;'Compliance Database'!$O177)))),1,0)</f>
        <v>1</v>
      </c>
      <c r="B177">
        <f>IF($A177=1,SUM($A$2:$A177),"")</f>
        <v>176</v>
      </c>
      <c r="C177">
        <f>IF($A177=1,SUM($A$2:$A177),0)</f>
        <v>176</v>
      </c>
    </row>
    <row r="178" spans="1:3" x14ac:dyDescent="0.3">
      <c r="A178">
        <f>IF(AND(OR('Compliance Database'!$A178='Data Transfer'!$B$4,'Compliance Database'!$A178='Data Transfer'!$B$5),OR('Data Transfer'!$B$6="",ISNUMBER(SEARCH('Data Transfer'!$B$6,'Compliance Database'!$D178&amp;" "&amp;'Compliance Database'!$K178&amp;" "&amp;'Compliance Database'!$L178&amp;" "&amp;'Compliance Database'!$M178&amp;" "&amp;'Compliance Database'!$N178&amp;" "&amp;'Compliance Database'!$O178)))),1,0)</f>
        <v>1</v>
      </c>
      <c r="B178">
        <f>IF($A178=1,SUM($A$2:$A178),"")</f>
        <v>177</v>
      </c>
      <c r="C178">
        <f>IF($A178=1,SUM($A$2:$A178),0)</f>
        <v>177</v>
      </c>
    </row>
    <row r="179" spans="1:3" x14ac:dyDescent="0.3">
      <c r="A179">
        <f>IF(AND(OR('Compliance Database'!$A179='Data Transfer'!$B$4,'Compliance Database'!$A179='Data Transfer'!$B$5),OR('Data Transfer'!$B$6="",ISNUMBER(SEARCH('Data Transfer'!$B$6,'Compliance Database'!$D179&amp;" "&amp;'Compliance Database'!$K179&amp;" "&amp;'Compliance Database'!$L179&amp;" "&amp;'Compliance Database'!$M179&amp;" "&amp;'Compliance Database'!$N179&amp;" "&amp;'Compliance Database'!$O179)))),1,0)</f>
        <v>1</v>
      </c>
      <c r="B179">
        <f>IF($A179=1,SUM($A$2:$A179),"")</f>
        <v>178</v>
      </c>
      <c r="C179">
        <f>IF($A179=1,SUM($A$2:$A179),0)</f>
        <v>178</v>
      </c>
    </row>
    <row r="180" spans="1:3" x14ac:dyDescent="0.3">
      <c r="A180">
        <f>IF(AND(OR('Compliance Database'!$A180='Data Transfer'!$B$4,'Compliance Database'!$A180='Data Transfer'!$B$5),OR('Data Transfer'!$B$6="",ISNUMBER(SEARCH('Data Transfer'!$B$6,'Compliance Database'!$D180&amp;" "&amp;'Compliance Database'!$K180&amp;" "&amp;'Compliance Database'!$L180&amp;" "&amp;'Compliance Database'!$M180&amp;" "&amp;'Compliance Database'!$N180&amp;" "&amp;'Compliance Database'!$O180)))),1,0)</f>
        <v>1</v>
      </c>
      <c r="B180">
        <f>IF($A180=1,SUM($A$2:$A180),"")</f>
        <v>179</v>
      </c>
      <c r="C180">
        <f>IF($A180=1,SUM($A$2:$A180),0)</f>
        <v>179</v>
      </c>
    </row>
    <row r="181" spans="1:3" x14ac:dyDescent="0.3">
      <c r="A181">
        <f>IF(AND(OR('Compliance Database'!$A181='Data Transfer'!$B$4,'Compliance Database'!$A181='Data Transfer'!$B$5),OR('Data Transfer'!$B$6="",ISNUMBER(SEARCH('Data Transfer'!$B$6,'Compliance Database'!$D181&amp;" "&amp;'Compliance Database'!$K181&amp;" "&amp;'Compliance Database'!$L181&amp;" "&amp;'Compliance Database'!$M181&amp;" "&amp;'Compliance Database'!$N181&amp;" "&amp;'Compliance Database'!$O181)))),1,0)</f>
        <v>1</v>
      </c>
      <c r="B181">
        <f>IF($A181=1,SUM($A$2:$A181),"")</f>
        <v>180</v>
      </c>
      <c r="C181">
        <f>IF($A181=1,SUM($A$2:$A181),0)</f>
        <v>180</v>
      </c>
    </row>
    <row r="182" spans="1:3" x14ac:dyDescent="0.3">
      <c r="A182">
        <f>IF(AND(OR('Compliance Database'!$A182='Data Transfer'!$B$4,'Compliance Database'!$A182='Data Transfer'!$B$5),OR('Data Transfer'!$B$6="",ISNUMBER(SEARCH('Data Transfer'!$B$6,'Compliance Database'!$D182&amp;" "&amp;'Compliance Database'!$K182&amp;" "&amp;'Compliance Database'!$L182&amp;" "&amp;'Compliance Database'!$M182&amp;" "&amp;'Compliance Database'!$N182&amp;" "&amp;'Compliance Database'!$O182)))),1,0)</f>
        <v>1</v>
      </c>
      <c r="B182">
        <f>IF($A182=1,SUM($A$2:$A182),"")</f>
        <v>181</v>
      </c>
      <c r="C182">
        <f>IF($A182=1,SUM($A$2:$A182),0)</f>
        <v>181</v>
      </c>
    </row>
    <row r="183" spans="1:3" x14ac:dyDescent="0.3">
      <c r="A183">
        <f>IF(AND(OR('Compliance Database'!$A183='Data Transfer'!$B$4,'Compliance Database'!$A183='Data Transfer'!$B$5),OR('Data Transfer'!$B$6="",ISNUMBER(SEARCH('Data Transfer'!$B$6,'Compliance Database'!$D183&amp;" "&amp;'Compliance Database'!$K183&amp;" "&amp;'Compliance Database'!$L183&amp;" "&amp;'Compliance Database'!$M183&amp;" "&amp;'Compliance Database'!$N183&amp;" "&amp;'Compliance Database'!$O183)))),1,0)</f>
        <v>1</v>
      </c>
      <c r="B183">
        <f>IF($A183=1,SUM($A$2:$A183),"")</f>
        <v>182</v>
      </c>
      <c r="C183">
        <f>IF($A183=1,SUM($A$2:$A183),0)</f>
        <v>182</v>
      </c>
    </row>
    <row r="184" spans="1:3" x14ac:dyDescent="0.3">
      <c r="A184">
        <f>IF(AND(OR('Compliance Database'!$A184='Data Transfer'!$B$4,'Compliance Database'!$A184='Data Transfer'!$B$5),OR('Data Transfer'!$B$6="",ISNUMBER(SEARCH('Data Transfer'!$B$6,'Compliance Database'!$D184&amp;" "&amp;'Compliance Database'!$K184&amp;" "&amp;'Compliance Database'!$L184&amp;" "&amp;'Compliance Database'!$M184&amp;" "&amp;'Compliance Database'!$N184&amp;" "&amp;'Compliance Database'!$O184)))),1,0)</f>
        <v>1</v>
      </c>
      <c r="B184">
        <f>IF($A184=1,SUM($A$2:$A184),"")</f>
        <v>183</v>
      </c>
      <c r="C184">
        <f>IF($A184=1,SUM($A$2:$A184),0)</f>
        <v>183</v>
      </c>
    </row>
    <row r="185" spans="1:3" x14ac:dyDescent="0.3">
      <c r="A185">
        <f>IF(AND(OR('Compliance Database'!$A185='Data Transfer'!$B$4,'Compliance Database'!$A185='Data Transfer'!$B$5),OR('Data Transfer'!$B$6="",ISNUMBER(SEARCH('Data Transfer'!$B$6,'Compliance Database'!$D185&amp;" "&amp;'Compliance Database'!$K185&amp;" "&amp;'Compliance Database'!$L185&amp;" "&amp;'Compliance Database'!$M185&amp;" "&amp;'Compliance Database'!$N185&amp;" "&amp;'Compliance Database'!$O185)))),1,0)</f>
        <v>1</v>
      </c>
      <c r="B185">
        <f>IF($A185=1,SUM($A$2:$A185),"")</f>
        <v>184</v>
      </c>
      <c r="C185">
        <f>IF($A185=1,SUM($A$2:$A185),0)</f>
        <v>184</v>
      </c>
    </row>
    <row r="186" spans="1:3" x14ac:dyDescent="0.3">
      <c r="A186">
        <f>IF(AND(OR('Compliance Database'!$A186='Data Transfer'!$B$4,'Compliance Database'!$A186='Data Transfer'!$B$5),OR('Data Transfer'!$B$6="",ISNUMBER(SEARCH('Data Transfer'!$B$6,'Compliance Database'!$D186&amp;" "&amp;'Compliance Database'!$K186&amp;" "&amp;'Compliance Database'!$L186&amp;" "&amp;'Compliance Database'!$M186&amp;" "&amp;'Compliance Database'!$N186&amp;" "&amp;'Compliance Database'!$O186)))),1,0)</f>
        <v>1</v>
      </c>
      <c r="B186">
        <f>IF($A186=1,SUM($A$2:$A186),"")</f>
        <v>185</v>
      </c>
      <c r="C186">
        <f>IF($A186=1,SUM($A$2:$A186),0)</f>
        <v>185</v>
      </c>
    </row>
    <row r="187" spans="1:3" x14ac:dyDescent="0.3">
      <c r="A187">
        <f>IF(AND(OR('Compliance Database'!$A187='Data Transfer'!$B$4,'Compliance Database'!$A187='Data Transfer'!$B$5),OR('Data Transfer'!$B$6="",ISNUMBER(SEARCH('Data Transfer'!$B$6,'Compliance Database'!$D187&amp;" "&amp;'Compliance Database'!$K187&amp;" "&amp;'Compliance Database'!$L187&amp;" "&amp;'Compliance Database'!$M187&amp;" "&amp;'Compliance Database'!$N187&amp;" "&amp;'Compliance Database'!$O187)))),1,0)</f>
        <v>1</v>
      </c>
      <c r="B187">
        <f>IF($A187=1,SUM($A$2:$A187),"")</f>
        <v>186</v>
      </c>
      <c r="C187">
        <f>IF($A187=1,SUM($A$2:$A187),0)</f>
        <v>186</v>
      </c>
    </row>
    <row r="188" spans="1:3" x14ac:dyDescent="0.3">
      <c r="A188">
        <f>IF(AND(OR('Compliance Database'!$A188='Data Transfer'!$B$4,'Compliance Database'!$A188='Data Transfer'!$B$5),OR('Data Transfer'!$B$6="",ISNUMBER(SEARCH('Data Transfer'!$B$6,'Compliance Database'!$D188&amp;" "&amp;'Compliance Database'!$K188&amp;" "&amp;'Compliance Database'!$L188&amp;" "&amp;'Compliance Database'!$M188&amp;" "&amp;'Compliance Database'!$N188&amp;" "&amp;'Compliance Database'!$O188)))),1,0)</f>
        <v>1</v>
      </c>
      <c r="B188">
        <f>IF($A188=1,SUM($A$2:$A188),"")</f>
        <v>187</v>
      </c>
      <c r="C188">
        <f>IF($A188=1,SUM($A$2:$A188),0)</f>
        <v>187</v>
      </c>
    </row>
    <row r="189" spans="1:3" x14ac:dyDescent="0.3">
      <c r="A189">
        <f>IF(AND(OR('Compliance Database'!$A189='Data Transfer'!$B$4,'Compliance Database'!$A189='Data Transfer'!$B$5),OR('Data Transfer'!$B$6="",ISNUMBER(SEARCH('Data Transfer'!$B$6,'Compliance Database'!$D189&amp;" "&amp;'Compliance Database'!$K189&amp;" "&amp;'Compliance Database'!$L189&amp;" "&amp;'Compliance Database'!$M189&amp;" "&amp;'Compliance Database'!$N189&amp;" "&amp;'Compliance Database'!$O189)))),1,0)</f>
        <v>1</v>
      </c>
      <c r="B189">
        <f>IF($A189=1,SUM($A$2:$A189),"")</f>
        <v>188</v>
      </c>
      <c r="C189">
        <f>IF($A189=1,SUM($A$2:$A189),0)</f>
        <v>188</v>
      </c>
    </row>
    <row r="190" spans="1:3" x14ac:dyDescent="0.3">
      <c r="A190">
        <f>IF(AND(OR('Compliance Database'!$A190='Data Transfer'!$B$4,'Compliance Database'!$A190='Data Transfer'!$B$5),OR('Data Transfer'!$B$6="",ISNUMBER(SEARCH('Data Transfer'!$B$6,'Compliance Database'!$D190&amp;" "&amp;'Compliance Database'!$K190&amp;" "&amp;'Compliance Database'!$L190&amp;" "&amp;'Compliance Database'!$M190&amp;" "&amp;'Compliance Database'!$N190&amp;" "&amp;'Compliance Database'!$O190)))),1,0)</f>
        <v>1</v>
      </c>
      <c r="B190">
        <f>IF($A190=1,SUM($A$2:$A190),"")</f>
        <v>189</v>
      </c>
      <c r="C190">
        <f>IF($A190=1,SUM($A$2:$A190),0)</f>
        <v>189</v>
      </c>
    </row>
    <row r="191" spans="1:3" x14ac:dyDescent="0.3">
      <c r="A191">
        <f>IF(AND(OR('Compliance Database'!$A191='Data Transfer'!$B$4,'Compliance Database'!$A191='Data Transfer'!$B$5),OR('Data Transfer'!$B$6="",ISNUMBER(SEARCH('Data Transfer'!$B$6,'Compliance Database'!$D191&amp;" "&amp;'Compliance Database'!$K191&amp;" "&amp;'Compliance Database'!$L191&amp;" "&amp;'Compliance Database'!$M191&amp;" "&amp;'Compliance Database'!$N191&amp;" "&amp;'Compliance Database'!$O191)))),1,0)</f>
        <v>1</v>
      </c>
      <c r="B191">
        <f>IF($A191=1,SUM($A$2:$A191),"")</f>
        <v>190</v>
      </c>
      <c r="C191">
        <f>IF($A191=1,SUM($A$2:$A191),0)</f>
        <v>190</v>
      </c>
    </row>
    <row r="192" spans="1:3" x14ac:dyDescent="0.3">
      <c r="A192">
        <f>IF(AND(OR('Compliance Database'!$A192='Data Transfer'!$B$4,'Compliance Database'!$A192='Data Transfer'!$B$5),OR('Data Transfer'!$B$6="",ISNUMBER(SEARCH('Data Transfer'!$B$6,'Compliance Database'!$D192&amp;" "&amp;'Compliance Database'!$K192&amp;" "&amp;'Compliance Database'!$L192&amp;" "&amp;'Compliance Database'!$M192&amp;" "&amp;'Compliance Database'!$N192&amp;" "&amp;'Compliance Database'!$O192)))),1,0)</f>
        <v>1</v>
      </c>
      <c r="B192">
        <f>IF($A192=1,SUM($A$2:$A192),"")</f>
        <v>191</v>
      </c>
      <c r="C192">
        <f>IF($A192=1,SUM($A$2:$A192),0)</f>
        <v>191</v>
      </c>
    </row>
    <row r="193" spans="1:3" x14ac:dyDescent="0.3">
      <c r="A193">
        <f>IF(AND(OR('Compliance Database'!$A193='Data Transfer'!$B$4,'Compliance Database'!$A193='Data Transfer'!$B$5),OR('Data Transfer'!$B$6="",ISNUMBER(SEARCH('Data Transfer'!$B$6,'Compliance Database'!$D193&amp;" "&amp;'Compliance Database'!$K193&amp;" "&amp;'Compliance Database'!$L193&amp;" "&amp;'Compliance Database'!$M193&amp;" "&amp;'Compliance Database'!$N193&amp;" "&amp;'Compliance Database'!$O193)))),1,0)</f>
        <v>1</v>
      </c>
      <c r="B193">
        <f>IF($A193=1,SUM($A$2:$A193),"")</f>
        <v>192</v>
      </c>
      <c r="C193">
        <f>IF($A193=1,SUM($A$2:$A193),0)</f>
        <v>192</v>
      </c>
    </row>
    <row r="194" spans="1:3" x14ac:dyDescent="0.3">
      <c r="A194">
        <f>IF(AND(OR('Compliance Database'!$A194='Data Transfer'!$B$4,'Compliance Database'!$A194='Data Transfer'!$B$5),OR('Data Transfer'!$B$6="",ISNUMBER(SEARCH('Data Transfer'!$B$6,'Compliance Database'!$D194&amp;" "&amp;'Compliance Database'!$K194&amp;" "&amp;'Compliance Database'!$L194&amp;" "&amp;'Compliance Database'!$M194&amp;" "&amp;'Compliance Database'!$N194&amp;" "&amp;'Compliance Database'!$O194)))),1,0)</f>
        <v>1</v>
      </c>
      <c r="B194">
        <f>IF($A194=1,SUM($A$2:$A194),"")</f>
        <v>193</v>
      </c>
      <c r="C194">
        <f>IF($A194=1,SUM($A$2:$A194),0)</f>
        <v>193</v>
      </c>
    </row>
    <row r="195" spans="1:3" x14ac:dyDescent="0.3">
      <c r="A195">
        <f>IF(AND(OR('Compliance Database'!$A195='Data Transfer'!$B$4,'Compliance Database'!$A195='Data Transfer'!$B$5),OR('Data Transfer'!$B$6="",ISNUMBER(SEARCH('Data Transfer'!$B$6,'Compliance Database'!$D195&amp;" "&amp;'Compliance Database'!$K195&amp;" "&amp;'Compliance Database'!$L195&amp;" "&amp;'Compliance Database'!$M195&amp;" "&amp;'Compliance Database'!$N195&amp;" "&amp;'Compliance Database'!$O195)))),1,0)</f>
        <v>1</v>
      </c>
      <c r="B195">
        <f>IF($A195=1,SUM($A$2:$A195),"")</f>
        <v>194</v>
      </c>
      <c r="C195">
        <f>IF($A195=1,SUM($A$2:$A195),0)</f>
        <v>194</v>
      </c>
    </row>
    <row r="196" spans="1:3" x14ac:dyDescent="0.3">
      <c r="A196">
        <f>IF(AND(OR('Compliance Database'!$A196='Data Transfer'!$B$4,'Compliance Database'!$A196='Data Transfer'!$B$5),OR('Data Transfer'!$B$6="",ISNUMBER(SEARCH('Data Transfer'!$B$6,'Compliance Database'!$D196&amp;" "&amp;'Compliance Database'!$K196&amp;" "&amp;'Compliance Database'!$L196&amp;" "&amp;'Compliance Database'!$M196&amp;" "&amp;'Compliance Database'!$N196&amp;" "&amp;'Compliance Database'!$O196)))),1,0)</f>
        <v>1</v>
      </c>
      <c r="B196">
        <f>IF($A196=1,SUM($A$2:$A196),"")</f>
        <v>195</v>
      </c>
      <c r="C196">
        <f>IF($A196=1,SUM($A$2:$A196),0)</f>
        <v>195</v>
      </c>
    </row>
    <row r="197" spans="1:3" x14ac:dyDescent="0.3">
      <c r="A197">
        <f>IF(AND(OR('Compliance Database'!$A197='Data Transfer'!$B$4,'Compliance Database'!$A197='Data Transfer'!$B$5),OR('Data Transfer'!$B$6="",ISNUMBER(SEARCH('Data Transfer'!$B$6,'Compliance Database'!$D197&amp;" "&amp;'Compliance Database'!$K197&amp;" "&amp;'Compliance Database'!$L197&amp;" "&amp;'Compliance Database'!$M197&amp;" "&amp;'Compliance Database'!$N197&amp;" "&amp;'Compliance Database'!$O197)))),1,0)</f>
        <v>1</v>
      </c>
      <c r="B197">
        <f>IF($A197=1,SUM($A$2:$A197),"")</f>
        <v>196</v>
      </c>
      <c r="C197">
        <f>IF($A197=1,SUM($A$2:$A197),0)</f>
        <v>196</v>
      </c>
    </row>
    <row r="198" spans="1:3" x14ac:dyDescent="0.3">
      <c r="A198">
        <f>IF(AND(OR('Compliance Database'!$A198='Data Transfer'!$B$4,'Compliance Database'!$A198='Data Transfer'!$B$5),OR('Data Transfer'!$B$6="",ISNUMBER(SEARCH('Data Transfer'!$B$6,'Compliance Database'!$D198&amp;" "&amp;'Compliance Database'!$K198&amp;" "&amp;'Compliance Database'!$L198&amp;" "&amp;'Compliance Database'!$M198&amp;" "&amp;'Compliance Database'!$N198&amp;" "&amp;'Compliance Database'!$O198)))),1,0)</f>
        <v>1</v>
      </c>
      <c r="B198">
        <f>IF($A198=1,SUM($A$2:$A198),"")</f>
        <v>197</v>
      </c>
      <c r="C198">
        <f>IF($A198=1,SUM($A$2:$A198),0)</f>
        <v>197</v>
      </c>
    </row>
    <row r="199" spans="1:3" x14ac:dyDescent="0.3">
      <c r="A199">
        <f>IF(AND(OR('Compliance Database'!$A199='Data Transfer'!$B$4,'Compliance Database'!$A199='Data Transfer'!$B$5),OR('Data Transfer'!$B$6="",ISNUMBER(SEARCH('Data Transfer'!$B$6,'Compliance Database'!$D199&amp;" "&amp;'Compliance Database'!$K199&amp;" "&amp;'Compliance Database'!$L199&amp;" "&amp;'Compliance Database'!$M199&amp;" "&amp;'Compliance Database'!$N199&amp;" "&amp;'Compliance Database'!$O199)))),1,0)</f>
        <v>1</v>
      </c>
      <c r="B199">
        <f>IF($A199=1,SUM($A$2:$A199),"")</f>
        <v>198</v>
      </c>
      <c r="C199">
        <f>IF($A199=1,SUM($A$2:$A199),0)</f>
        <v>198</v>
      </c>
    </row>
    <row r="200" spans="1:3" x14ac:dyDescent="0.3">
      <c r="A200">
        <f>IF(AND(OR('Compliance Database'!$A200='Data Transfer'!$B$4,'Compliance Database'!$A200='Data Transfer'!$B$5),OR('Data Transfer'!$B$6="",ISNUMBER(SEARCH('Data Transfer'!$B$6,'Compliance Database'!$D200&amp;" "&amp;'Compliance Database'!$K200&amp;" "&amp;'Compliance Database'!$L200&amp;" "&amp;'Compliance Database'!$M200&amp;" "&amp;'Compliance Database'!$N200&amp;" "&amp;'Compliance Database'!$O200)))),1,0)</f>
        <v>1</v>
      </c>
      <c r="B200">
        <f>IF($A200=1,SUM($A$2:$A200),"")</f>
        <v>199</v>
      </c>
      <c r="C200">
        <f>IF($A200=1,SUM($A$2:$A200),0)</f>
        <v>199</v>
      </c>
    </row>
    <row r="201" spans="1:3" x14ac:dyDescent="0.3">
      <c r="A201">
        <f>IF(AND(OR('Compliance Database'!$A201='Data Transfer'!$B$4,'Compliance Database'!$A201='Data Transfer'!$B$5),OR('Data Transfer'!$B$6="",ISNUMBER(SEARCH('Data Transfer'!$B$6,'Compliance Database'!$D201&amp;" "&amp;'Compliance Database'!$K201&amp;" "&amp;'Compliance Database'!$L201&amp;" "&amp;'Compliance Database'!$M201&amp;" "&amp;'Compliance Database'!$N201&amp;" "&amp;'Compliance Database'!$O201)))),1,0)</f>
        <v>1</v>
      </c>
      <c r="B201">
        <f>IF($A201=1,SUM($A$2:$A201),"")</f>
        <v>200</v>
      </c>
      <c r="C201">
        <f>IF($A201=1,SUM($A$2:$A201),0)</f>
        <v>200</v>
      </c>
    </row>
    <row r="202" spans="1:3" x14ac:dyDescent="0.3">
      <c r="A202">
        <f>IF(AND(OR('Compliance Database'!$A202='Data Transfer'!$B$4,'Compliance Database'!$A202='Data Transfer'!$B$5),OR('Data Transfer'!$B$6="",ISNUMBER(SEARCH('Data Transfer'!$B$6,'Compliance Database'!$D202&amp;" "&amp;'Compliance Database'!$K202&amp;" "&amp;'Compliance Database'!$L202&amp;" "&amp;'Compliance Database'!$M202&amp;" "&amp;'Compliance Database'!$N202&amp;" "&amp;'Compliance Database'!$O202)))),1,0)</f>
        <v>1</v>
      </c>
      <c r="B202">
        <f>IF($A202=1,SUM($A$2:$A202),"")</f>
        <v>201</v>
      </c>
      <c r="C202">
        <f>IF($A202=1,SUM($A$2:$A202),0)</f>
        <v>201</v>
      </c>
    </row>
    <row r="203" spans="1:3" x14ac:dyDescent="0.3">
      <c r="A203">
        <f>IF(AND(OR('Compliance Database'!$A203='Data Transfer'!$B$4,'Compliance Database'!$A203='Data Transfer'!$B$5),OR('Data Transfer'!$B$6="",ISNUMBER(SEARCH('Data Transfer'!$B$6,'Compliance Database'!$D203&amp;" "&amp;'Compliance Database'!$K203&amp;" "&amp;'Compliance Database'!$L203&amp;" "&amp;'Compliance Database'!$M203&amp;" "&amp;'Compliance Database'!$N203&amp;" "&amp;'Compliance Database'!$O203)))),1,0)</f>
        <v>1</v>
      </c>
      <c r="B203">
        <f>IF($A203=1,SUM($A$2:$A203),"")</f>
        <v>202</v>
      </c>
      <c r="C203">
        <f>IF($A203=1,SUM($A$2:$A203),0)</f>
        <v>202</v>
      </c>
    </row>
    <row r="204" spans="1:3" x14ac:dyDescent="0.3">
      <c r="A204">
        <f>IF(AND(OR('Compliance Database'!$A204='Data Transfer'!$B$4,'Compliance Database'!$A204='Data Transfer'!$B$5),OR('Data Transfer'!$B$6="",ISNUMBER(SEARCH('Data Transfer'!$B$6,'Compliance Database'!$D204&amp;" "&amp;'Compliance Database'!$K204&amp;" "&amp;'Compliance Database'!$L204&amp;" "&amp;'Compliance Database'!$M204&amp;" "&amp;'Compliance Database'!$N204&amp;" "&amp;'Compliance Database'!$O204)))),1,0)</f>
        <v>1</v>
      </c>
      <c r="B204">
        <f>IF($A204=1,SUM($A$2:$A204),"")</f>
        <v>203</v>
      </c>
      <c r="C204">
        <f>IF($A204=1,SUM($A$2:$A204),0)</f>
        <v>203</v>
      </c>
    </row>
    <row r="205" spans="1:3" x14ac:dyDescent="0.3">
      <c r="A205">
        <f>IF(AND(OR('Compliance Database'!$A205='Data Transfer'!$B$4,'Compliance Database'!$A205='Data Transfer'!$B$5),OR('Data Transfer'!$B$6="",ISNUMBER(SEARCH('Data Transfer'!$B$6,'Compliance Database'!$D205&amp;" "&amp;'Compliance Database'!$K205&amp;" "&amp;'Compliance Database'!$L205&amp;" "&amp;'Compliance Database'!$M205&amp;" "&amp;'Compliance Database'!$N205&amp;" "&amp;'Compliance Database'!$O205)))),1,0)</f>
        <v>1</v>
      </c>
      <c r="B205">
        <f>IF($A205=1,SUM($A$2:$A205),"")</f>
        <v>204</v>
      </c>
      <c r="C205">
        <f>IF($A205=1,SUM($A$2:$A205),0)</f>
        <v>204</v>
      </c>
    </row>
    <row r="206" spans="1:3" x14ac:dyDescent="0.3">
      <c r="A206">
        <f>IF(AND(OR('Compliance Database'!$A206='Data Transfer'!$B$4,'Compliance Database'!$A206='Data Transfer'!$B$5),OR('Data Transfer'!$B$6="",ISNUMBER(SEARCH('Data Transfer'!$B$6,'Compliance Database'!$D206&amp;" "&amp;'Compliance Database'!$K206&amp;" "&amp;'Compliance Database'!$L206&amp;" "&amp;'Compliance Database'!$M206&amp;" "&amp;'Compliance Database'!$N206&amp;" "&amp;'Compliance Database'!$O206)))),1,0)</f>
        <v>1</v>
      </c>
      <c r="B206">
        <f>IF($A206=1,SUM($A$2:$A206),"")</f>
        <v>205</v>
      </c>
      <c r="C206">
        <f>IF($A206=1,SUM($A$2:$A206),0)</f>
        <v>205</v>
      </c>
    </row>
    <row r="207" spans="1:3" x14ac:dyDescent="0.3">
      <c r="A207">
        <f>IF(AND(OR('Compliance Database'!$A207='Data Transfer'!$B$4,'Compliance Database'!$A207='Data Transfer'!$B$5),OR('Data Transfer'!$B$6="",ISNUMBER(SEARCH('Data Transfer'!$B$6,'Compliance Database'!$D207&amp;" "&amp;'Compliance Database'!$K207&amp;" "&amp;'Compliance Database'!$L207&amp;" "&amp;'Compliance Database'!$M207&amp;" "&amp;'Compliance Database'!$N207&amp;" "&amp;'Compliance Database'!$O207)))),1,0)</f>
        <v>1</v>
      </c>
      <c r="B207">
        <f>IF($A207=1,SUM($A$2:$A207),"")</f>
        <v>206</v>
      </c>
      <c r="C207">
        <f>IF($A207=1,SUM($A$2:$A207),0)</f>
        <v>206</v>
      </c>
    </row>
    <row r="208" spans="1:3" x14ac:dyDescent="0.3">
      <c r="A208">
        <f>IF(AND(OR('Compliance Database'!$A208='Data Transfer'!$B$4,'Compliance Database'!$A208='Data Transfer'!$B$5),OR('Data Transfer'!$B$6="",ISNUMBER(SEARCH('Data Transfer'!$B$6,'Compliance Database'!$D208&amp;" "&amp;'Compliance Database'!$K208&amp;" "&amp;'Compliance Database'!$L208&amp;" "&amp;'Compliance Database'!$M208&amp;" "&amp;'Compliance Database'!$N208&amp;" "&amp;'Compliance Database'!$O208)))),1,0)</f>
        <v>1</v>
      </c>
      <c r="B208">
        <f>IF($A208=1,SUM($A$2:$A208),"")</f>
        <v>207</v>
      </c>
      <c r="C208">
        <f>IF($A208=1,SUM($A$2:$A208),0)</f>
        <v>207</v>
      </c>
    </row>
    <row r="209" spans="1:3" x14ac:dyDescent="0.3">
      <c r="A209">
        <f>IF(AND(OR('Compliance Database'!$A209='Data Transfer'!$B$4,'Compliance Database'!$A209='Data Transfer'!$B$5),OR('Data Transfer'!$B$6="",ISNUMBER(SEARCH('Data Transfer'!$B$6,'Compliance Database'!$D209&amp;" "&amp;'Compliance Database'!$K209&amp;" "&amp;'Compliance Database'!$L209&amp;" "&amp;'Compliance Database'!$M209&amp;" "&amp;'Compliance Database'!$N209&amp;" "&amp;'Compliance Database'!$O209)))),1,0)</f>
        <v>1</v>
      </c>
      <c r="B209">
        <f>IF($A209=1,SUM($A$2:$A209),"")</f>
        <v>208</v>
      </c>
      <c r="C209">
        <f>IF($A209=1,SUM($A$2:$A209),0)</f>
        <v>208</v>
      </c>
    </row>
    <row r="210" spans="1:3" x14ac:dyDescent="0.3">
      <c r="A210">
        <f>IF(AND(OR('Compliance Database'!$A210='Data Transfer'!$B$4,'Compliance Database'!$A210='Data Transfer'!$B$5),OR('Data Transfer'!$B$6="",ISNUMBER(SEARCH('Data Transfer'!$B$6,'Compliance Database'!$D210&amp;" "&amp;'Compliance Database'!$K210&amp;" "&amp;'Compliance Database'!$L210&amp;" "&amp;'Compliance Database'!$M210&amp;" "&amp;'Compliance Database'!$N210&amp;" "&amp;'Compliance Database'!$O210)))),1,0)</f>
        <v>1</v>
      </c>
      <c r="B210">
        <f>IF($A210=1,SUM($A$2:$A210),"")</f>
        <v>209</v>
      </c>
      <c r="C210">
        <f>IF($A210=1,SUM($A$2:$A210),0)</f>
        <v>209</v>
      </c>
    </row>
    <row r="211" spans="1:3" x14ac:dyDescent="0.3">
      <c r="A211">
        <f>IF(AND(OR('Compliance Database'!$A211='Data Transfer'!$B$4,'Compliance Database'!$A211='Data Transfer'!$B$5),OR('Data Transfer'!$B$6="",ISNUMBER(SEARCH('Data Transfer'!$B$6,'Compliance Database'!$D211&amp;" "&amp;'Compliance Database'!$K211&amp;" "&amp;'Compliance Database'!$L211&amp;" "&amp;'Compliance Database'!$M211&amp;" "&amp;'Compliance Database'!$N211&amp;" "&amp;'Compliance Database'!$O211)))),1,0)</f>
        <v>1</v>
      </c>
      <c r="B211">
        <f>IF($A211=1,SUM($A$2:$A211),"")</f>
        <v>210</v>
      </c>
      <c r="C211">
        <f>IF($A211=1,SUM($A$2:$A211),0)</f>
        <v>210</v>
      </c>
    </row>
    <row r="212" spans="1:3" x14ac:dyDescent="0.3">
      <c r="A212">
        <f>IF(AND(OR('Compliance Database'!$A212='Data Transfer'!$B$4,'Compliance Database'!$A212='Data Transfer'!$B$5),OR('Data Transfer'!$B$6="",ISNUMBER(SEARCH('Data Transfer'!$B$6,'Compliance Database'!$D212&amp;" "&amp;'Compliance Database'!$K212&amp;" "&amp;'Compliance Database'!$L212&amp;" "&amp;'Compliance Database'!$M212&amp;" "&amp;'Compliance Database'!$N212&amp;" "&amp;'Compliance Database'!$O212)))),1,0)</f>
        <v>1</v>
      </c>
      <c r="B212">
        <f>IF($A212=1,SUM($A$2:$A212),"")</f>
        <v>211</v>
      </c>
      <c r="C212">
        <f>IF($A212=1,SUM($A$2:$A212),0)</f>
        <v>211</v>
      </c>
    </row>
    <row r="213" spans="1:3" x14ac:dyDescent="0.3">
      <c r="A213">
        <f>IF(AND(OR('Compliance Database'!$A213='Data Transfer'!$B$4,'Compliance Database'!$A213='Data Transfer'!$B$5),OR('Data Transfer'!$B$6="",ISNUMBER(SEARCH('Data Transfer'!$B$6,'Compliance Database'!$D213&amp;" "&amp;'Compliance Database'!$K213&amp;" "&amp;'Compliance Database'!$L213&amp;" "&amp;'Compliance Database'!$M213&amp;" "&amp;'Compliance Database'!$N213&amp;" "&amp;'Compliance Database'!$O213)))),1,0)</f>
        <v>1</v>
      </c>
      <c r="B213">
        <f>IF($A213=1,SUM($A$2:$A213),"")</f>
        <v>212</v>
      </c>
      <c r="C213">
        <f>IF($A213=1,SUM($A$2:$A213),0)</f>
        <v>212</v>
      </c>
    </row>
    <row r="214" spans="1:3" x14ac:dyDescent="0.3">
      <c r="A214">
        <f>IF(AND(OR('Compliance Database'!$A214='Data Transfer'!$B$4,'Compliance Database'!$A214='Data Transfer'!$B$5),OR('Data Transfer'!$B$6="",ISNUMBER(SEARCH('Data Transfer'!$B$6,'Compliance Database'!$D214&amp;" "&amp;'Compliance Database'!$K214&amp;" "&amp;'Compliance Database'!$L214&amp;" "&amp;'Compliance Database'!$M214&amp;" "&amp;'Compliance Database'!$N214&amp;" "&amp;'Compliance Database'!$O214)))),1,0)</f>
        <v>1</v>
      </c>
      <c r="B214">
        <f>IF($A214=1,SUM($A$2:$A214),"")</f>
        <v>213</v>
      </c>
      <c r="C214">
        <f>IF($A214=1,SUM($A$2:$A214),0)</f>
        <v>213</v>
      </c>
    </row>
    <row r="215" spans="1:3" x14ac:dyDescent="0.3">
      <c r="A215">
        <f>IF(AND(OR('Compliance Database'!$A215='Data Transfer'!$B$4,'Compliance Database'!$A215='Data Transfer'!$B$5),OR('Data Transfer'!$B$6="",ISNUMBER(SEARCH('Data Transfer'!$B$6,'Compliance Database'!$D215&amp;" "&amp;'Compliance Database'!$K215&amp;" "&amp;'Compliance Database'!$L215&amp;" "&amp;'Compliance Database'!$M215&amp;" "&amp;'Compliance Database'!$N215&amp;" "&amp;'Compliance Database'!$O215)))),1,0)</f>
        <v>1</v>
      </c>
      <c r="B215">
        <f>IF($A215=1,SUM($A$2:$A215),"")</f>
        <v>214</v>
      </c>
      <c r="C215">
        <f>IF($A215=1,SUM($A$2:$A215),0)</f>
        <v>214</v>
      </c>
    </row>
    <row r="216" spans="1:3" x14ac:dyDescent="0.3">
      <c r="A216">
        <f>IF(AND(OR('Compliance Database'!$A216='Data Transfer'!$B$4,'Compliance Database'!$A216='Data Transfer'!$B$5),OR('Data Transfer'!$B$6="",ISNUMBER(SEARCH('Data Transfer'!$B$6,'Compliance Database'!$D216&amp;" "&amp;'Compliance Database'!$K216&amp;" "&amp;'Compliance Database'!$L216&amp;" "&amp;'Compliance Database'!$M216&amp;" "&amp;'Compliance Database'!$N216&amp;" "&amp;'Compliance Database'!$O216)))),1,0)</f>
        <v>1</v>
      </c>
      <c r="B216">
        <f>IF($A216=1,SUM($A$2:$A216),"")</f>
        <v>215</v>
      </c>
      <c r="C216">
        <f>IF($A216=1,SUM($A$2:$A216),0)</f>
        <v>215</v>
      </c>
    </row>
    <row r="217" spans="1:3" x14ac:dyDescent="0.3">
      <c r="A217">
        <f>IF(AND(OR('Compliance Database'!$A217='Data Transfer'!$B$4,'Compliance Database'!$A217='Data Transfer'!$B$5),OR('Data Transfer'!$B$6="",ISNUMBER(SEARCH('Data Transfer'!$B$6,'Compliance Database'!$D217&amp;" "&amp;'Compliance Database'!$K217&amp;" "&amp;'Compliance Database'!$L217&amp;" "&amp;'Compliance Database'!$M217&amp;" "&amp;'Compliance Database'!$N217&amp;" "&amp;'Compliance Database'!$O217)))),1,0)</f>
        <v>1</v>
      </c>
      <c r="B217">
        <f>IF($A217=1,SUM($A$2:$A217),"")</f>
        <v>216</v>
      </c>
      <c r="C217">
        <f>IF($A217=1,SUM($A$2:$A217),0)</f>
        <v>216</v>
      </c>
    </row>
    <row r="218" spans="1:3" x14ac:dyDescent="0.3">
      <c r="A218">
        <f>IF(AND(OR('Compliance Database'!$A218='Data Transfer'!$B$4,'Compliance Database'!$A218='Data Transfer'!$B$5),OR('Data Transfer'!$B$6="",ISNUMBER(SEARCH('Data Transfer'!$B$6,'Compliance Database'!$D218&amp;" "&amp;'Compliance Database'!$K218&amp;" "&amp;'Compliance Database'!$L218&amp;" "&amp;'Compliance Database'!$M218&amp;" "&amp;'Compliance Database'!$N218&amp;" "&amp;'Compliance Database'!$O218)))),1,0)</f>
        <v>1</v>
      </c>
      <c r="B218">
        <f>IF($A218=1,SUM($A$2:$A218),"")</f>
        <v>217</v>
      </c>
      <c r="C218">
        <f>IF($A218=1,SUM($A$2:$A218),0)</f>
        <v>217</v>
      </c>
    </row>
    <row r="219" spans="1:3" x14ac:dyDescent="0.3">
      <c r="A219">
        <f>IF(AND(OR('Compliance Database'!$A219='Data Transfer'!$B$4,'Compliance Database'!$A219='Data Transfer'!$B$5),OR('Data Transfer'!$B$6="",ISNUMBER(SEARCH('Data Transfer'!$B$6,'Compliance Database'!$D219&amp;" "&amp;'Compliance Database'!$K219&amp;" "&amp;'Compliance Database'!$L219&amp;" "&amp;'Compliance Database'!$M219&amp;" "&amp;'Compliance Database'!$N219&amp;" "&amp;'Compliance Database'!$O219)))),1,0)</f>
        <v>1</v>
      </c>
      <c r="B219">
        <f>IF($A219=1,SUM($A$2:$A219),"")</f>
        <v>218</v>
      </c>
      <c r="C219">
        <f>IF($A219=1,SUM($A$2:$A219),0)</f>
        <v>218</v>
      </c>
    </row>
    <row r="220" spans="1:3" x14ac:dyDescent="0.3">
      <c r="A220">
        <f>IF(AND(OR('Compliance Database'!$A220='Data Transfer'!$B$4,'Compliance Database'!$A220='Data Transfer'!$B$5),OR('Data Transfer'!$B$6="",ISNUMBER(SEARCH('Data Transfer'!$B$6,'Compliance Database'!$D220&amp;" "&amp;'Compliance Database'!$K220&amp;" "&amp;'Compliance Database'!$L220&amp;" "&amp;'Compliance Database'!$M220&amp;" "&amp;'Compliance Database'!$N220&amp;" "&amp;'Compliance Database'!$O220)))),1,0)</f>
        <v>1</v>
      </c>
      <c r="B220">
        <f>IF($A220=1,SUM($A$2:$A220),"")</f>
        <v>219</v>
      </c>
      <c r="C220">
        <f>IF($A220=1,SUM($A$2:$A220),0)</f>
        <v>219</v>
      </c>
    </row>
    <row r="221" spans="1:3" x14ac:dyDescent="0.3">
      <c r="A221">
        <f>IF(AND(OR('Compliance Database'!$A221='Data Transfer'!$B$4,'Compliance Database'!$A221='Data Transfer'!$B$5),OR('Data Transfer'!$B$6="",ISNUMBER(SEARCH('Data Transfer'!$B$6,'Compliance Database'!$D221&amp;" "&amp;'Compliance Database'!$K221&amp;" "&amp;'Compliance Database'!$L221&amp;" "&amp;'Compliance Database'!$M221&amp;" "&amp;'Compliance Database'!$N221&amp;" "&amp;'Compliance Database'!$O221)))),1,0)</f>
        <v>1</v>
      </c>
      <c r="B221">
        <f>IF($A221=1,SUM($A$2:$A221),"")</f>
        <v>220</v>
      </c>
      <c r="C221">
        <f>IF($A221=1,SUM($A$2:$A221),0)</f>
        <v>220</v>
      </c>
    </row>
    <row r="222" spans="1:3" x14ac:dyDescent="0.3">
      <c r="A222">
        <f>IF(AND(OR('Compliance Database'!$A222='Data Transfer'!$B$4,'Compliance Database'!$A222='Data Transfer'!$B$5),OR('Data Transfer'!$B$6="",ISNUMBER(SEARCH('Data Transfer'!$B$6,'Compliance Database'!$D222&amp;" "&amp;'Compliance Database'!$K222&amp;" "&amp;'Compliance Database'!$L222&amp;" "&amp;'Compliance Database'!$M222&amp;" "&amp;'Compliance Database'!$N222&amp;" "&amp;'Compliance Database'!$O222)))),1,0)</f>
        <v>1</v>
      </c>
      <c r="B222">
        <f>IF($A222=1,SUM($A$2:$A222),"")</f>
        <v>221</v>
      </c>
      <c r="C222">
        <f>IF($A222=1,SUM($A$2:$A222),0)</f>
        <v>221</v>
      </c>
    </row>
    <row r="223" spans="1:3" x14ac:dyDescent="0.3">
      <c r="A223">
        <f>IF(AND(OR('Compliance Database'!$A223='Data Transfer'!$B$4,'Compliance Database'!$A223='Data Transfer'!$B$5),OR('Data Transfer'!$B$6="",ISNUMBER(SEARCH('Data Transfer'!$B$6,'Compliance Database'!$D223&amp;" "&amp;'Compliance Database'!$K223&amp;" "&amp;'Compliance Database'!$L223&amp;" "&amp;'Compliance Database'!$M223&amp;" "&amp;'Compliance Database'!$N223&amp;" "&amp;'Compliance Database'!$O223)))),1,0)</f>
        <v>1</v>
      </c>
      <c r="B223">
        <f>IF($A223=1,SUM($A$2:$A223),"")</f>
        <v>222</v>
      </c>
      <c r="C223">
        <f>IF($A223=1,SUM($A$2:$A223),0)</f>
        <v>222</v>
      </c>
    </row>
    <row r="224" spans="1:3" x14ac:dyDescent="0.3">
      <c r="A224">
        <f>IF(AND(OR('Compliance Database'!$A224='Data Transfer'!$B$4,'Compliance Database'!$A224='Data Transfer'!$B$5),OR('Data Transfer'!$B$6="",ISNUMBER(SEARCH('Data Transfer'!$B$6,'Compliance Database'!$D224&amp;" "&amp;'Compliance Database'!$K224&amp;" "&amp;'Compliance Database'!$L224&amp;" "&amp;'Compliance Database'!$M224&amp;" "&amp;'Compliance Database'!$N224&amp;" "&amp;'Compliance Database'!$O224)))),1,0)</f>
        <v>1</v>
      </c>
      <c r="B224">
        <f>IF($A224=1,SUM($A$2:$A224),"")</f>
        <v>223</v>
      </c>
      <c r="C224">
        <f>IF($A224=1,SUM($A$2:$A224),0)</f>
        <v>223</v>
      </c>
    </row>
    <row r="225" spans="1:3" x14ac:dyDescent="0.3">
      <c r="A225">
        <f>IF(AND(OR('Compliance Database'!$A225='Data Transfer'!$B$4,'Compliance Database'!$A225='Data Transfer'!$B$5),OR('Data Transfer'!$B$6="",ISNUMBER(SEARCH('Data Transfer'!$B$6,'Compliance Database'!$D225&amp;" "&amp;'Compliance Database'!$K225&amp;" "&amp;'Compliance Database'!$L225&amp;" "&amp;'Compliance Database'!$M225&amp;" "&amp;'Compliance Database'!$N225&amp;" "&amp;'Compliance Database'!$O225)))),1,0)</f>
        <v>1</v>
      </c>
      <c r="B225">
        <f>IF($A225=1,SUM($A$2:$A225),"")</f>
        <v>224</v>
      </c>
      <c r="C225">
        <f>IF($A225=1,SUM($A$2:$A225),0)</f>
        <v>224</v>
      </c>
    </row>
    <row r="226" spans="1:3" x14ac:dyDescent="0.3">
      <c r="A226">
        <f>IF(AND(OR('Compliance Database'!$A226='Data Transfer'!$B$4,'Compliance Database'!$A226='Data Transfer'!$B$5),OR('Data Transfer'!$B$6="",ISNUMBER(SEARCH('Data Transfer'!$B$6,'Compliance Database'!$D226&amp;" "&amp;'Compliance Database'!$K226&amp;" "&amp;'Compliance Database'!$L226&amp;" "&amp;'Compliance Database'!$M226&amp;" "&amp;'Compliance Database'!$N226&amp;" "&amp;'Compliance Database'!$O226)))),1,0)</f>
        <v>1</v>
      </c>
      <c r="B226">
        <f>IF($A226=1,SUM($A$2:$A226),"")</f>
        <v>225</v>
      </c>
      <c r="C226">
        <f>IF($A226=1,SUM($A$2:$A226),0)</f>
        <v>225</v>
      </c>
    </row>
    <row r="227" spans="1:3" x14ac:dyDescent="0.3">
      <c r="A227">
        <f>IF(AND(OR('Compliance Database'!$A227='Data Transfer'!$B$4,'Compliance Database'!$A227='Data Transfer'!$B$5),OR('Data Transfer'!$B$6="",ISNUMBER(SEARCH('Data Transfer'!$B$6,'Compliance Database'!$D227&amp;" "&amp;'Compliance Database'!$K227&amp;" "&amp;'Compliance Database'!$L227&amp;" "&amp;'Compliance Database'!$M227&amp;" "&amp;'Compliance Database'!$N227&amp;" "&amp;'Compliance Database'!$O227)))),1,0)</f>
        <v>1</v>
      </c>
      <c r="B227">
        <f>IF($A227=1,SUM($A$2:$A227),"")</f>
        <v>226</v>
      </c>
      <c r="C227">
        <f>IF($A227=1,SUM($A$2:$A227),0)</f>
        <v>226</v>
      </c>
    </row>
    <row r="228" spans="1:3" x14ac:dyDescent="0.3">
      <c r="A228">
        <f>IF(AND(OR('Compliance Database'!$A228='Data Transfer'!$B$4,'Compliance Database'!$A228='Data Transfer'!$B$5),OR('Data Transfer'!$B$6="",ISNUMBER(SEARCH('Data Transfer'!$B$6,'Compliance Database'!$D228&amp;" "&amp;'Compliance Database'!$K228&amp;" "&amp;'Compliance Database'!$L228&amp;" "&amp;'Compliance Database'!$M228&amp;" "&amp;'Compliance Database'!$N228&amp;" "&amp;'Compliance Database'!$O228)))),1,0)</f>
        <v>1</v>
      </c>
      <c r="B228">
        <f>IF($A228=1,SUM($A$2:$A228),"")</f>
        <v>227</v>
      </c>
      <c r="C228">
        <f>IF($A228=1,SUM($A$2:$A228),0)</f>
        <v>227</v>
      </c>
    </row>
    <row r="229" spans="1:3" x14ac:dyDescent="0.3">
      <c r="A229">
        <f>IF(AND(OR('Compliance Database'!$A229='Data Transfer'!$B$4,'Compliance Database'!$A229='Data Transfer'!$B$5),OR('Data Transfer'!$B$6="",ISNUMBER(SEARCH('Data Transfer'!$B$6,'Compliance Database'!$D229&amp;" "&amp;'Compliance Database'!$K229&amp;" "&amp;'Compliance Database'!$L229&amp;" "&amp;'Compliance Database'!$M229&amp;" "&amp;'Compliance Database'!$N229&amp;" "&amp;'Compliance Database'!$O229)))),1,0)</f>
        <v>1</v>
      </c>
      <c r="B229">
        <f>IF($A229=1,SUM($A$2:$A229),"")</f>
        <v>228</v>
      </c>
      <c r="C229">
        <f>IF($A229=1,SUM($A$2:$A229),0)</f>
        <v>228</v>
      </c>
    </row>
    <row r="230" spans="1:3" x14ac:dyDescent="0.3">
      <c r="A230">
        <f>IF(AND(OR('Compliance Database'!$A230='Data Transfer'!$B$4,'Compliance Database'!$A230='Data Transfer'!$B$5),OR('Data Transfer'!$B$6="",ISNUMBER(SEARCH('Data Transfer'!$B$6,'Compliance Database'!$D230&amp;" "&amp;'Compliance Database'!$K230&amp;" "&amp;'Compliance Database'!$L230&amp;" "&amp;'Compliance Database'!$M230&amp;" "&amp;'Compliance Database'!$N230&amp;" "&amp;'Compliance Database'!$O230)))),1,0)</f>
        <v>1</v>
      </c>
      <c r="B230">
        <f>IF($A230=1,SUM($A$2:$A230),"")</f>
        <v>229</v>
      </c>
      <c r="C230">
        <f>IF($A230=1,SUM($A$2:$A230),0)</f>
        <v>229</v>
      </c>
    </row>
    <row r="231" spans="1:3" x14ac:dyDescent="0.3">
      <c r="A231">
        <f>IF(AND(OR('Compliance Database'!$A231='Data Transfer'!$B$4,'Compliance Database'!$A231='Data Transfer'!$B$5),OR('Data Transfer'!$B$6="",ISNUMBER(SEARCH('Data Transfer'!$B$6,'Compliance Database'!$D231&amp;" "&amp;'Compliance Database'!$K231&amp;" "&amp;'Compliance Database'!$L231&amp;" "&amp;'Compliance Database'!$M231&amp;" "&amp;'Compliance Database'!$N231&amp;" "&amp;'Compliance Database'!$O231)))),1,0)</f>
        <v>1</v>
      </c>
      <c r="B231">
        <f>IF($A231=1,SUM($A$2:$A231),"")</f>
        <v>230</v>
      </c>
      <c r="C231">
        <f>IF($A231=1,SUM($A$2:$A231),0)</f>
        <v>230</v>
      </c>
    </row>
    <row r="232" spans="1:3" x14ac:dyDescent="0.3">
      <c r="A232">
        <f>IF(AND(OR('Compliance Database'!$A232='Data Transfer'!$B$4,'Compliance Database'!$A232='Data Transfer'!$B$5),OR('Data Transfer'!$B$6="",ISNUMBER(SEARCH('Data Transfer'!$B$6,'Compliance Database'!$D232&amp;" "&amp;'Compliance Database'!$K232&amp;" "&amp;'Compliance Database'!$L232&amp;" "&amp;'Compliance Database'!$M232&amp;" "&amp;'Compliance Database'!$N232&amp;" "&amp;'Compliance Database'!$O232)))),1,0)</f>
        <v>1</v>
      </c>
      <c r="B232">
        <f>IF($A232=1,SUM($A$2:$A232),"")</f>
        <v>231</v>
      </c>
      <c r="C232">
        <f>IF($A232=1,SUM($A$2:$A232),0)</f>
        <v>231</v>
      </c>
    </row>
    <row r="233" spans="1:3" x14ac:dyDescent="0.3">
      <c r="A233">
        <f>IF(AND(OR('Compliance Database'!$A233='Data Transfer'!$B$4,'Compliance Database'!$A233='Data Transfer'!$B$5),OR('Data Transfer'!$B$6="",ISNUMBER(SEARCH('Data Transfer'!$B$6,'Compliance Database'!$D233&amp;" "&amp;'Compliance Database'!$K233&amp;" "&amp;'Compliance Database'!$L233&amp;" "&amp;'Compliance Database'!$M233&amp;" "&amp;'Compliance Database'!$N233&amp;" "&amp;'Compliance Database'!$O233)))),1,0)</f>
        <v>1</v>
      </c>
      <c r="B233">
        <f>IF($A233=1,SUM($A$2:$A233),"")</f>
        <v>232</v>
      </c>
      <c r="C233">
        <f>IF($A233=1,SUM($A$2:$A233),0)</f>
        <v>232</v>
      </c>
    </row>
    <row r="234" spans="1:3" x14ac:dyDescent="0.3">
      <c r="A234">
        <f>IF(AND(OR('Compliance Database'!$A234='Data Transfer'!$B$4,'Compliance Database'!$A234='Data Transfer'!$B$5),OR('Data Transfer'!$B$6="",ISNUMBER(SEARCH('Data Transfer'!$B$6,'Compliance Database'!$D234&amp;" "&amp;'Compliance Database'!$K234&amp;" "&amp;'Compliance Database'!$L234&amp;" "&amp;'Compliance Database'!$M234&amp;" "&amp;'Compliance Database'!$N234&amp;" "&amp;'Compliance Database'!$O234)))),1,0)</f>
        <v>1</v>
      </c>
      <c r="B234">
        <f>IF($A234=1,SUM($A$2:$A234),"")</f>
        <v>233</v>
      </c>
      <c r="C234">
        <f>IF($A234=1,SUM($A$2:$A234),0)</f>
        <v>233</v>
      </c>
    </row>
    <row r="235" spans="1:3" x14ac:dyDescent="0.3">
      <c r="A235">
        <f>IF(AND(OR('Compliance Database'!$A235='Data Transfer'!$B$4,'Compliance Database'!$A235='Data Transfer'!$B$5),OR('Data Transfer'!$B$6="",ISNUMBER(SEARCH('Data Transfer'!$B$6,'Compliance Database'!$D235&amp;" "&amp;'Compliance Database'!$K235&amp;" "&amp;'Compliance Database'!$L235&amp;" "&amp;'Compliance Database'!$M235&amp;" "&amp;'Compliance Database'!$N235&amp;" "&amp;'Compliance Database'!$O235)))),1,0)</f>
        <v>1</v>
      </c>
      <c r="B235">
        <f>IF($A235=1,SUM($A$2:$A235),"")</f>
        <v>234</v>
      </c>
      <c r="C235">
        <f>IF($A235=1,SUM($A$2:$A235),0)</f>
        <v>234</v>
      </c>
    </row>
    <row r="236" spans="1:3" x14ac:dyDescent="0.3">
      <c r="A236">
        <f>IF(AND(OR('Compliance Database'!$A236='Data Transfer'!$B$4,'Compliance Database'!$A236='Data Transfer'!$B$5),OR('Data Transfer'!$B$6="",ISNUMBER(SEARCH('Data Transfer'!$B$6,'Compliance Database'!$D236&amp;" "&amp;'Compliance Database'!$K236&amp;" "&amp;'Compliance Database'!$L236&amp;" "&amp;'Compliance Database'!$M236&amp;" "&amp;'Compliance Database'!$N236&amp;" "&amp;'Compliance Database'!$O236)))),1,0)</f>
        <v>1</v>
      </c>
      <c r="B236">
        <f>IF($A236=1,SUM($A$2:$A236),"")</f>
        <v>235</v>
      </c>
      <c r="C236">
        <f>IF($A236=1,SUM($A$2:$A236),0)</f>
        <v>235</v>
      </c>
    </row>
    <row r="237" spans="1:3" x14ac:dyDescent="0.3">
      <c r="A237">
        <f>IF(AND(OR('Compliance Database'!$A237='Data Transfer'!$B$4,'Compliance Database'!$A237='Data Transfer'!$B$5),OR('Data Transfer'!$B$6="",ISNUMBER(SEARCH('Data Transfer'!$B$6,'Compliance Database'!$D237&amp;" "&amp;'Compliance Database'!$K237&amp;" "&amp;'Compliance Database'!$L237&amp;" "&amp;'Compliance Database'!$M237&amp;" "&amp;'Compliance Database'!$N237&amp;" "&amp;'Compliance Database'!$O237)))),1,0)</f>
        <v>1</v>
      </c>
      <c r="B237">
        <f>IF($A237=1,SUM($A$2:$A237),"")</f>
        <v>236</v>
      </c>
      <c r="C237">
        <f>IF($A237=1,SUM($A$2:$A237),0)</f>
        <v>236</v>
      </c>
    </row>
    <row r="238" spans="1:3" x14ac:dyDescent="0.3">
      <c r="A238">
        <f>IF(AND(OR('Compliance Database'!$A238='Data Transfer'!$B$4,'Compliance Database'!$A238='Data Transfer'!$B$5),OR('Data Transfer'!$B$6="",ISNUMBER(SEARCH('Data Transfer'!$B$6,'Compliance Database'!$D238&amp;" "&amp;'Compliance Database'!$K238&amp;" "&amp;'Compliance Database'!$L238&amp;" "&amp;'Compliance Database'!$M238&amp;" "&amp;'Compliance Database'!$N238&amp;" "&amp;'Compliance Database'!$O238)))),1,0)</f>
        <v>1</v>
      </c>
      <c r="B238">
        <f>IF($A238=1,SUM($A$2:$A238),"")</f>
        <v>237</v>
      </c>
      <c r="C238">
        <f>IF($A238=1,SUM($A$2:$A238),0)</f>
        <v>237</v>
      </c>
    </row>
    <row r="239" spans="1:3" x14ac:dyDescent="0.3">
      <c r="A239">
        <f>IF(AND(OR('Compliance Database'!$A239='Data Transfer'!$B$4,'Compliance Database'!$A239='Data Transfer'!$B$5),OR('Data Transfer'!$B$6="",ISNUMBER(SEARCH('Data Transfer'!$B$6,'Compliance Database'!$D239&amp;" "&amp;'Compliance Database'!$K239&amp;" "&amp;'Compliance Database'!$L239&amp;" "&amp;'Compliance Database'!$M239&amp;" "&amp;'Compliance Database'!$N239&amp;" "&amp;'Compliance Database'!$O239)))),1,0)</f>
        <v>1</v>
      </c>
      <c r="B239">
        <f>IF($A239=1,SUM($A$2:$A239),"")</f>
        <v>238</v>
      </c>
      <c r="C239">
        <f>IF($A239=1,SUM($A$2:$A239),0)</f>
        <v>238</v>
      </c>
    </row>
    <row r="240" spans="1:3" x14ac:dyDescent="0.3">
      <c r="A240">
        <f>IF(AND(OR('Compliance Database'!$A240='Data Transfer'!$B$4,'Compliance Database'!$A240='Data Transfer'!$B$5),OR('Data Transfer'!$B$6="",ISNUMBER(SEARCH('Data Transfer'!$B$6,'Compliance Database'!$D240&amp;" "&amp;'Compliance Database'!$K240&amp;" "&amp;'Compliance Database'!$L240&amp;" "&amp;'Compliance Database'!$M240&amp;" "&amp;'Compliance Database'!$N240&amp;" "&amp;'Compliance Database'!$O240)))),1,0)</f>
        <v>1</v>
      </c>
      <c r="B240">
        <f>IF($A240=1,SUM($A$2:$A240),"")</f>
        <v>239</v>
      </c>
      <c r="C240">
        <f>IF($A240=1,SUM($A$2:$A240),0)</f>
        <v>239</v>
      </c>
    </row>
    <row r="241" spans="1:3" x14ac:dyDescent="0.3">
      <c r="A241">
        <f>IF(AND(OR('Compliance Database'!$A241='Data Transfer'!$B$4,'Compliance Database'!$A241='Data Transfer'!$B$5),OR('Data Transfer'!$B$6="",ISNUMBER(SEARCH('Data Transfer'!$B$6,'Compliance Database'!$D241&amp;" "&amp;'Compliance Database'!$K241&amp;" "&amp;'Compliance Database'!$L241&amp;" "&amp;'Compliance Database'!$M241&amp;" "&amp;'Compliance Database'!$N241&amp;" "&amp;'Compliance Database'!$O241)))),1,0)</f>
        <v>1</v>
      </c>
      <c r="B241">
        <f>IF($A241=1,SUM($A$2:$A241),"")</f>
        <v>240</v>
      </c>
      <c r="C241">
        <f>IF($A241=1,SUM($A$2:$A241),0)</f>
        <v>240</v>
      </c>
    </row>
    <row r="242" spans="1:3" x14ac:dyDescent="0.3">
      <c r="A242">
        <f>IF(AND(OR('Compliance Database'!$A242='Data Transfer'!$B$4,'Compliance Database'!$A242='Data Transfer'!$B$5),OR('Data Transfer'!$B$6="",ISNUMBER(SEARCH('Data Transfer'!$B$6,'Compliance Database'!$D242&amp;" "&amp;'Compliance Database'!$K242&amp;" "&amp;'Compliance Database'!$L242&amp;" "&amp;'Compliance Database'!$M242&amp;" "&amp;'Compliance Database'!$N242&amp;" "&amp;'Compliance Database'!$O242)))),1,0)</f>
        <v>1</v>
      </c>
      <c r="B242">
        <f>IF($A242=1,SUM($A$2:$A242),"")</f>
        <v>241</v>
      </c>
      <c r="C242">
        <f>IF($A242=1,SUM($A$2:$A242),0)</f>
        <v>241</v>
      </c>
    </row>
    <row r="243" spans="1:3" x14ac:dyDescent="0.3">
      <c r="A243">
        <f>IF(AND(OR('Compliance Database'!$A243='Data Transfer'!$B$4,'Compliance Database'!$A243='Data Transfer'!$B$5),OR('Data Transfer'!$B$6="",ISNUMBER(SEARCH('Data Transfer'!$B$6,'Compliance Database'!$D243&amp;" "&amp;'Compliance Database'!$K243&amp;" "&amp;'Compliance Database'!$L243&amp;" "&amp;'Compliance Database'!$M243&amp;" "&amp;'Compliance Database'!$N243&amp;" "&amp;'Compliance Database'!$O243)))),1,0)</f>
        <v>1</v>
      </c>
      <c r="B243">
        <f>IF($A243=1,SUM($A$2:$A243),"")</f>
        <v>242</v>
      </c>
      <c r="C243">
        <f>IF($A243=1,SUM($A$2:$A243),0)</f>
        <v>242</v>
      </c>
    </row>
    <row r="244" spans="1:3" x14ac:dyDescent="0.3">
      <c r="A244">
        <f>IF(AND(OR('Compliance Database'!$A244='Data Transfer'!$B$4,'Compliance Database'!$A244='Data Transfer'!$B$5),OR('Data Transfer'!$B$6="",ISNUMBER(SEARCH('Data Transfer'!$B$6,'Compliance Database'!$D244&amp;" "&amp;'Compliance Database'!$K244&amp;" "&amp;'Compliance Database'!$L244&amp;" "&amp;'Compliance Database'!$M244&amp;" "&amp;'Compliance Database'!$N244&amp;" "&amp;'Compliance Database'!$O244)))),1,0)</f>
        <v>1</v>
      </c>
      <c r="B244">
        <f>IF($A244=1,SUM($A$2:$A244),"")</f>
        <v>243</v>
      </c>
      <c r="C244">
        <f>IF($A244=1,SUM($A$2:$A244),0)</f>
        <v>243</v>
      </c>
    </row>
    <row r="245" spans="1:3" x14ac:dyDescent="0.3">
      <c r="A245">
        <f>IF(AND(OR('Compliance Database'!$A245='Data Transfer'!$B$4,'Compliance Database'!$A245='Data Transfer'!$B$5),OR('Data Transfer'!$B$6="",ISNUMBER(SEARCH('Data Transfer'!$B$6,'Compliance Database'!$D245&amp;" "&amp;'Compliance Database'!$K245&amp;" "&amp;'Compliance Database'!$L245&amp;" "&amp;'Compliance Database'!$M245&amp;" "&amp;'Compliance Database'!$N245&amp;" "&amp;'Compliance Database'!$O245)))),1,0)</f>
        <v>1</v>
      </c>
      <c r="B245">
        <f>IF($A245=1,SUM($A$2:$A245),"")</f>
        <v>244</v>
      </c>
      <c r="C245">
        <f>IF($A245=1,SUM($A$2:$A245),0)</f>
        <v>244</v>
      </c>
    </row>
    <row r="246" spans="1:3" x14ac:dyDescent="0.3">
      <c r="A246">
        <f>IF(AND(OR('Compliance Database'!$A246='Data Transfer'!$B$4,'Compliance Database'!$A246='Data Transfer'!$B$5),OR('Data Transfer'!$B$6="",ISNUMBER(SEARCH('Data Transfer'!$B$6,'Compliance Database'!$D246&amp;" "&amp;'Compliance Database'!$K246&amp;" "&amp;'Compliance Database'!$L246&amp;" "&amp;'Compliance Database'!$M246&amp;" "&amp;'Compliance Database'!$N246&amp;" "&amp;'Compliance Database'!$O246)))),1,0)</f>
        <v>1</v>
      </c>
      <c r="B246">
        <f>IF($A246=1,SUM($A$2:$A246),"")</f>
        <v>245</v>
      </c>
      <c r="C246">
        <f>IF($A246=1,SUM($A$2:$A246),0)</f>
        <v>245</v>
      </c>
    </row>
    <row r="247" spans="1:3" x14ac:dyDescent="0.3">
      <c r="A247">
        <f>IF(AND(OR('Compliance Database'!$A247='Data Transfer'!$B$4,'Compliance Database'!$A247='Data Transfer'!$B$5),OR('Data Transfer'!$B$6="",ISNUMBER(SEARCH('Data Transfer'!$B$6,'Compliance Database'!$D247&amp;" "&amp;'Compliance Database'!$K247&amp;" "&amp;'Compliance Database'!$L247&amp;" "&amp;'Compliance Database'!$M247&amp;" "&amp;'Compliance Database'!$N247&amp;" "&amp;'Compliance Database'!$O247)))),1,0)</f>
        <v>1</v>
      </c>
      <c r="B247">
        <f>IF($A247=1,SUM($A$2:$A247),"")</f>
        <v>246</v>
      </c>
      <c r="C247">
        <f>IF($A247=1,SUM($A$2:$A247),0)</f>
        <v>246</v>
      </c>
    </row>
    <row r="248" spans="1:3" x14ac:dyDescent="0.3">
      <c r="A248">
        <f>IF(AND(OR('Compliance Database'!$A248='Data Transfer'!$B$4,'Compliance Database'!$A248='Data Transfer'!$B$5),OR('Data Transfer'!$B$6="",ISNUMBER(SEARCH('Data Transfer'!$B$6,'Compliance Database'!$D248&amp;" "&amp;'Compliance Database'!$K248&amp;" "&amp;'Compliance Database'!$L248&amp;" "&amp;'Compliance Database'!$M248&amp;" "&amp;'Compliance Database'!$N248&amp;" "&amp;'Compliance Database'!$O248)))),1,0)</f>
        <v>1</v>
      </c>
      <c r="B248">
        <f>IF($A248=1,SUM($A$2:$A248),"")</f>
        <v>247</v>
      </c>
      <c r="C248">
        <f>IF($A248=1,SUM($A$2:$A248),0)</f>
        <v>247</v>
      </c>
    </row>
    <row r="249" spans="1:3" x14ac:dyDescent="0.3">
      <c r="A249">
        <f>IF(AND(OR('Compliance Database'!$A249='Data Transfer'!$B$4,'Compliance Database'!$A249='Data Transfer'!$B$5),OR('Data Transfer'!$B$6="",ISNUMBER(SEARCH('Data Transfer'!$B$6,'Compliance Database'!$D249&amp;" "&amp;'Compliance Database'!$K249&amp;" "&amp;'Compliance Database'!$L249&amp;" "&amp;'Compliance Database'!$M249&amp;" "&amp;'Compliance Database'!$N249&amp;" "&amp;'Compliance Database'!$O249)))),1,0)</f>
        <v>1</v>
      </c>
      <c r="B249">
        <f>IF($A249=1,SUM($A$2:$A249),"")</f>
        <v>248</v>
      </c>
      <c r="C249">
        <f>IF($A249=1,SUM($A$2:$A249),0)</f>
        <v>248</v>
      </c>
    </row>
    <row r="250" spans="1:3" x14ac:dyDescent="0.3">
      <c r="A250">
        <f>IF(AND(OR('Compliance Database'!$A250='Data Transfer'!$B$4,'Compliance Database'!$A250='Data Transfer'!$B$5),OR('Data Transfer'!$B$6="",ISNUMBER(SEARCH('Data Transfer'!$B$6,'Compliance Database'!$D250&amp;" "&amp;'Compliance Database'!$K250&amp;" "&amp;'Compliance Database'!$L250&amp;" "&amp;'Compliance Database'!$M250&amp;" "&amp;'Compliance Database'!$N250&amp;" "&amp;'Compliance Database'!$O250)))),1,0)</f>
        <v>1</v>
      </c>
      <c r="B250">
        <f>IF($A250=1,SUM($A$2:$A250),"")</f>
        <v>249</v>
      </c>
      <c r="C250">
        <f>IF($A250=1,SUM($A$2:$A250),0)</f>
        <v>249</v>
      </c>
    </row>
    <row r="251" spans="1:3" x14ac:dyDescent="0.3">
      <c r="A251">
        <f>IF(AND(OR('Compliance Database'!$A251='Data Transfer'!$B$4,'Compliance Database'!$A251='Data Transfer'!$B$5),OR('Data Transfer'!$B$6="",ISNUMBER(SEARCH('Data Transfer'!$B$6,'Compliance Database'!$D251&amp;" "&amp;'Compliance Database'!$K251&amp;" "&amp;'Compliance Database'!$L251&amp;" "&amp;'Compliance Database'!$M251&amp;" "&amp;'Compliance Database'!$N251&amp;" "&amp;'Compliance Database'!$O251)))),1,0)</f>
        <v>1</v>
      </c>
      <c r="B251">
        <f>IF($A251=1,SUM($A$2:$A251),"")</f>
        <v>250</v>
      </c>
      <c r="C251">
        <f>IF($A251=1,SUM($A$2:$A251),0)</f>
        <v>250</v>
      </c>
    </row>
    <row r="252" spans="1:3" x14ac:dyDescent="0.3">
      <c r="A252">
        <f>IF(AND(OR('Compliance Database'!$A252='Data Transfer'!$B$4,'Compliance Database'!$A252='Data Transfer'!$B$5),OR('Data Transfer'!$B$6="",ISNUMBER(SEARCH('Data Transfer'!$B$6,'Compliance Database'!$D252&amp;" "&amp;'Compliance Database'!$K252&amp;" "&amp;'Compliance Database'!$L252&amp;" "&amp;'Compliance Database'!$M252&amp;" "&amp;'Compliance Database'!$N252&amp;" "&amp;'Compliance Database'!$O252)))),1,0)</f>
        <v>1</v>
      </c>
      <c r="B252">
        <f>IF($A252=1,SUM($A$2:$A252),"")</f>
        <v>251</v>
      </c>
      <c r="C252">
        <f>IF($A252=1,SUM($A$2:$A252),0)</f>
        <v>251</v>
      </c>
    </row>
    <row r="253" spans="1:3" x14ac:dyDescent="0.3">
      <c r="A253">
        <f>IF(AND(OR('Compliance Database'!$A253='Data Transfer'!$B$4,'Compliance Database'!$A253='Data Transfer'!$B$5),OR('Data Transfer'!$B$6="",ISNUMBER(SEARCH('Data Transfer'!$B$6,'Compliance Database'!$D253&amp;" "&amp;'Compliance Database'!$K253&amp;" "&amp;'Compliance Database'!$L253&amp;" "&amp;'Compliance Database'!$M253&amp;" "&amp;'Compliance Database'!$N253&amp;" "&amp;'Compliance Database'!$O253)))),1,0)</f>
        <v>1</v>
      </c>
      <c r="B253">
        <f>IF($A253=1,SUM($A$2:$A253),"")</f>
        <v>252</v>
      </c>
      <c r="C253">
        <f>IF($A253=1,SUM($A$2:$A253),0)</f>
        <v>252</v>
      </c>
    </row>
    <row r="254" spans="1:3" x14ac:dyDescent="0.3">
      <c r="A254">
        <f>IF(AND(OR('Compliance Database'!$A254='Data Transfer'!$B$4,'Compliance Database'!$A254='Data Transfer'!$B$5),OR('Data Transfer'!$B$6="",ISNUMBER(SEARCH('Data Transfer'!$B$6,'Compliance Database'!$D254&amp;" "&amp;'Compliance Database'!$K254&amp;" "&amp;'Compliance Database'!$L254&amp;" "&amp;'Compliance Database'!$M254&amp;" "&amp;'Compliance Database'!$N254&amp;" "&amp;'Compliance Database'!$O254)))),1,0)</f>
        <v>1</v>
      </c>
      <c r="B254">
        <f>IF($A254=1,SUM($A$2:$A254),"")</f>
        <v>253</v>
      </c>
      <c r="C254">
        <f>IF($A254=1,SUM($A$2:$A254),0)</f>
        <v>253</v>
      </c>
    </row>
    <row r="255" spans="1:3" x14ac:dyDescent="0.3">
      <c r="A255">
        <f>IF(AND(OR('Compliance Database'!$A255='Data Transfer'!$B$4,'Compliance Database'!$A255='Data Transfer'!$B$5),OR('Data Transfer'!$B$6="",ISNUMBER(SEARCH('Data Transfer'!$B$6,'Compliance Database'!$D255&amp;" "&amp;'Compliance Database'!$K255&amp;" "&amp;'Compliance Database'!$L255&amp;" "&amp;'Compliance Database'!$M255&amp;" "&amp;'Compliance Database'!$N255&amp;" "&amp;'Compliance Database'!$O255)))),1,0)</f>
        <v>1</v>
      </c>
      <c r="B255">
        <f>IF($A255=1,SUM($A$2:$A255),"")</f>
        <v>254</v>
      </c>
      <c r="C255">
        <f>IF($A255=1,SUM($A$2:$A255),0)</f>
        <v>254</v>
      </c>
    </row>
    <row r="256" spans="1:3" x14ac:dyDescent="0.3">
      <c r="A256">
        <f>IF(AND(OR('Compliance Database'!$A256='Data Transfer'!$B$4,'Compliance Database'!$A256='Data Transfer'!$B$5),OR('Data Transfer'!$B$6="",ISNUMBER(SEARCH('Data Transfer'!$B$6,'Compliance Database'!$D256&amp;" "&amp;'Compliance Database'!$K256&amp;" "&amp;'Compliance Database'!$L256&amp;" "&amp;'Compliance Database'!$M256&amp;" "&amp;'Compliance Database'!$N256&amp;" "&amp;'Compliance Database'!$O256)))),1,0)</f>
        <v>1</v>
      </c>
      <c r="B256">
        <f>IF($A256=1,SUM($A$2:$A256),"")</f>
        <v>255</v>
      </c>
      <c r="C256">
        <f>IF($A256=1,SUM($A$2:$A256),0)</f>
        <v>255</v>
      </c>
    </row>
    <row r="257" spans="1:3" x14ac:dyDescent="0.3">
      <c r="A257">
        <f>IF(AND(OR('Compliance Database'!$A257='Data Transfer'!$B$4,'Compliance Database'!$A257='Data Transfer'!$B$5),OR('Data Transfer'!$B$6="",ISNUMBER(SEARCH('Data Transfer'!$B$6,'Compliance Database'!$D257&amp;" "&amp;'Compliance Database'!$K257&amp;" "&amp;'Compliance Database'!$L257&amp;" "&amp;'Compliance Database'!$M257&amp;" "&amp;'Compliance Database'!$N257&amp;" "&amp;'Compliance Database'!$O257)))),1,0)</f>
        <v>1</v>
      </c>
      <c r="B257">
        <f>IF($A257=1,SUM($A$2:$A257),"")</f>
        <v>256</v>
      </c>
      <c r="C257">
        <f>IF($A257=1,SUM($A$2:$A257),0)</f>
        <v>256</v>
      </c>
    </row>
    <row r="258" spans="1:3" x14ac:dyDescent="0.3">
      <c r="A258">
        <f>IF(AND(OR('Compliance Database'!$A258='Data Transfer'!$B$4,'Compliance Database'!$A258='Data Transfer'!$B$5),OR('Data Transfer'!$B$6="",ISNUMBER(SEARCH('Data Transfer'!$B$6,'Compliance Database'!$D258&amp;" "&amp;'Compliance Database'!$K258&amp;" "&amp;'Compliance Database'!$L258&amp;" "&amp;'Compliance Database'!$M258&amp;" "&amp;'Compliance Database'!$N258&amp;" "&amp;'Compliance Database'!$O258)))),1,0)</f>
        <v>1</v>
      </c>
      <c r="B258">
        <f>IF($A258=1,SUM($A$2:$A258),"")</f>
        <v>257</v>
      </c>
      <c r="C258">
        <f>IF($A258=1,SUM($A$2:$A258),0)</f>
        <v>257</v>
      </c>
    </row>
    <row r="259" spans="1:3" x14ac:dyDescent="0.3">
      <c r="A259">
        <f>IF(AND(OR('Compliance Database'!$A259='Data Transfer'!$B$4,'Compliance Database'!$A259='Data Transfer'!$B$5),OR('Data Transfer'!$B$6="",ISNUMBER(SEARCH('Data Transfer'!$B$6,'Compliance Database'!$D259&amp;" "&amp;'Compliance Database'!$K259&amp;" "&amp;'Compliance Database'!$L259&amp;" "&amp;'Compliance Database'!$M259&amp;" "&amp;'Compliance Database'!$N259&amp;" "&amp;'Compliance Database'!$O259)))),1,0)</f>
        <v>1</v>
      </c>
      <c r="B259">
        <f>IF($A259=1,SUM($A$2:$A259),"")</f>
        <v>258</v>
      </c>
      <c r="C259">
        <f>IF($A259=1,SUM($A$2:$A259),0)</f>
        <v>258</v>
      </c>
    </row>
    <row r="260" spans="1:3" x14ac:dyDescent="0.3">
      <c r="A260">
        <f>IF(AND(OR('Compliance Database'!$A260='Data Transfer'!$B$4,'Compliance Database'!$A260='Data Transfer'!$B$5),OR('Data Transfer'!$B$6="",ISNUMBER(SEARCH('Data Transfer'!$B$6,'Compliance Database'!$D260&amp;" "&amp;'Compliance Database'!$K260&amp;" "&amp;'Compliance Database'!$L260&amp;" "&amp;'Compliance Database'!$M260&amp;" "&amp;'Compliance Database'!$N260&amp;" "&amp;'Compliance Database'!$O260)))),1,0)</f>
        <v>1</v>
      </c>
      <c r="B260">
        <f>IF($A260=1,SUM($A$2:$A260),"")</f>
        <v>259</v>
      </c>
      <c r="C260">
        <f>IF($A260=1,SUM($A$2:$A260),0)</f>
        <v>259</v>
      </c>
    </row>
    <row r="261" spans="1:3" x14ac:dyDescent="0.3">
      <c r="A261">
        <f>IF(AND(OR('Compliance Database'!$A261='Data Transfer'!$B$4,'Compliance Database'!$A261='Data Transfer'!$B$5),OR('Data Transfer'!$B$6="",ISNUMBER(SEARCH('Data Transfer'!$B$6,'Compliance Database'!$D261&amp;" "&amp;'Compliance Database'!$K261&amp;" "&amp;'Compliance Database'!$L261&amp;" "&amp;'Compliance Database'!$M261&amp;" "&amp;'Compliance Database'!$N261&amp;" "&amp;'Compliance Database'!$O261)))),1,0)</f>
        <v>1</v>
      </c>
      <c r="B261">
        <f>IF($A261=1,SUM($A$2:$A261),"")</f>
        <v>260</v>
      </c>
      <c r="C261">
        <f>IF($A261=1,SUM($A$2:$A261),0)</f>
        <v>260</v>
      </c>
    </row>
    <row r="262" spans="1:3" x14ac:dyDescent="0.3">
      <c r="A262">
        <f>IF(AND(OR('Compliance Database'!$A262='Data Transfer'!$B$4,'Compliance Database'!$A262='Data Transfer'!$B$5),OR('Data Transfer'!$B$6="",ISNUMBER(SEARCH('Data Transfer'!$B$6,'Compliance Database'!$D262&amp;" "&amp;'Compliance Database'!$K262&amp;" "&amp;'Compliance Database'!$L262&amp;" "&amp;'Compliance Database'!$M262&amp;" "&amp;'Compliance Database'!$N262&amp;" "&amp;'Compliance Database'!$O262)))),1,0)</f>
        <v>1</v>
      </c>
      <c r="B262">
        <f>IF($A262=1,SUM($A$2:$A262),"")</f>
        <v>261</v>
      </c>
      <c r="C262">
        <f>IF($A262=1,SUM($A$2:$A262),0)</f>
        <v>261</v>
      </c>
    </row>
    <row r="263" spans="1:3" x14ac:dyDescent="0.3">
      <c r="A263">
        <f>IF(AND(OR('Compliance Database'!$A263='Data Transfer'!$B$4,'Compliance Database'!$A263='Data Transfer'!$B$5),OR('Data Transfer'!$B$6="",ISNUMBER(SEARCH('Data Transfer'!$B$6,'Compliance Database'!$D263&amp;" "&amp;'Compliance Database'!$K263&amp;" "&amp;'Compliance Database'!$L263&amp;" "&amp;'Compliance Database'!$M263&amp;" "&amp;'Compliance Database'!$N263&amp;" "&amp;'Compliance Database'!$O263)))),1,0)</f>
        <v>1</v>
      </c>
      <c r="B263">
        <f>IF($A263=1,SUM($A$2:$A263),"")</f>
        <v>262</v>
      </c>
      <c r="C263">
        <f>IF($A263=1,SUM($A$2:$A263),0)</f>
        <v>262</v>
      </c>
    </row>
    <row r="264" spans="1:3" x14ac:dyDescent="0.3">
      <c r="A264">
        <f>IF(AND(OR('Compliance Database'!$A264='Data Transfer'!$B$4,'Compliance Database'!$A264='Data Transfer'!$B$5),OR('Data Transfer'!$B$6="",ISNUMBER(SEARCH('Data Transfer'!$B$6,'Compliance Database'!$D264&amp;" "&amp;'Compliance Database'!$K264&amp;" "&amp;'Compliance Database'!$L264&amp;" "&amp;'Compliance Database'!$M264&amp;" "&amp;'Compliance Database'!$N264&amp;" "&amp;'Compliance Database'!$O264)))),1,0)</f>
        <v>1</v>
      </c>
      <c r="B264">
        <f>IF($A264=1,SUM($A$2:$A264),"")</f>
        <v>263</v>
      </c>
      <c r="C264">
        <f>IF($A264=1,SUM($A$2:$A264),0)</f>
        <v>263</v>
      </c>
    </row>
    <row r="265" spans="1:3" x14ac:dyDescent="0.3">
      <c r="A265">
        <f>IF(AND(OR('Compliance Database'!$A265='Data Transfer'!$B$4,'Compliance Database'!$A265='Data Transfer'!$B$5),OR('Data Transfer'!$B$6="",ISNUMBER(SEARCH('Data Transfer'!$B$6,'Compliance Database'!$D265&amp;" "&amp;'Compliance Database'!$K265&amp;" "&amp;'Compliance Database'!$L265&amp;" "&amp;'Compliance Database'!$M265&amp;" "&amp;'Compliance Database'!$N265&amp;" "&amp;'Compliance Database'!$O265)))),1,0)</f>
        <v>1</v>
      </c>
      <c r="B265">
        <f>IF($A265=1,SUM($A$2:$A265),"")</f>
        <v>264</v>
      </c>
      <c r="C265">
        <f>IF($A265=1,SUM($A$2:$A265),0)</f>
        <v>264</v>
      </c>
    </row>
    <row r="266" spans="1:3" x14ac:dyDescent="0.3">
      <c r="A266">
        <f>IF(AND(OR('Compliance Database'!$A266='Data Transfer'!$B$4,'Compliance Database'!$A266='Data Transfer'!$B$5),OR('Data Transfer'!$B$6="",ISNUMBER(SEARCH('Data Transfer'!$B$6,'Compliance Database'!$D266&amp;" "&amp;'Compliance Database'!$K266&amp;" "&amp;'Compliance Database'!$L266&amp;" "&amp;'Compliance Database'!$M266&amp;" "&amp;'Compliance Database'!$N266&amp;" "&amp;'Compliance Database'!$O266)))),1,0)</f>
        <v>1</v>
      </c>
      <c r="B266">
        <f>IF($A266=1,SUM($A$2:$A266),"")</f>
        <v>265</v>
      </c>
      <c r="C266">
        <f>IF($A266=1,SUM($A$2:$A266),0)</f>
        <v>265</v>
      </c>
    </row>
    <row r="267" spans="1:3" x14ac:dyDescent="0.3">
      <c r="A267">
        <f>IF(AND(OR('Compliance Database'!$A267='Data Transfer'!$B$4,'Compliance Database'!$A267='Data Transfer'!$B$5),OR('Data Transfer'!$B$6="",ISNUMBER(SEARCH('Data Transfer'!$B$6,'Compliance Database'!$D267&amp;" "&amp;'Compliance Database'!$K267&amp;" "&amp;'Compliance Database'!$L267&amp;" "&amp;'Compliance Database'!$M267&amp;" "&amp;'Compliance Database'!$N267&amp;" "&amp;'Compliance Database'!$O267)))),1,0)</f>
        <v>1</v>
      </c>
      <c r="B267">
        <f>IF($A267=1,SUM($A$2:$A267),"")</f>
        <v>266</v>
      </c>
      <c r="C267">
        <f>IF($A267=1,SUM($A$2:$A267),0)</f>
        <v>266</v>
      </c>
    </row>
    <row r="268" spans="1:3" x14ac:dyDescent="0.3">
      <c r="A268">
        <f>IF(AND(OR('Compliance Database'!$A268='Data Transfer'!$B$4,'Compliance Database'!$A268='Data Transfer'!$B$5),OR('Data Transfer'!$B$6="",ISNUMBER(SEARCH('Data Transfer'!$B$6,'Compliance Database'!$D268&amp;" "&amp;'Compliance Database'!$K268&amp;" "&amp;'Compliance Database'!$L268&amp;" "&amp;'Compliance Database'!$M268&amp;" "&amp;'Compliance Database'!$N268&amp;" "&amp;'Compliance Database'!$O268)))),1,0)</f>
        <v>1</v>
      </c>
      <c r="B268">
        <f>IF($A268=1,SUM($A$2:$A268),"")</f>
        <v>267</v>
      </c>
      <c r="C268">
        <f>IF($A268=1,SUM($A$2:$A268),0)</f>
        <v>267</v>
      </c>
    </row>
    <row r="269" spans="1:3" x14ac:dyDescent="0.3">
      <c r="A269">
        <f>IF(AND(OR('Compliance Database'!$A269='Data Transfer'!$B$4,'Compliance Database'!$A269='Data Transfer'!$B$5),OR('Data Transfer'!$B$6="",ISNUMBER(SEARCH('Data Transfer'!$B$6,'Compliance Database'!$D269&amp;" "&amp;'Compliance Database'!$K269&amp;" "&amp;'Compliance Database'!$L269&amp;" "&amp;'Compliance Database'!$M269&amp;" "&amp;'Compliance Database'!$N269&amp;" "&amp;'Compliance Database'!$O269)))),1,0)</f>
        <v>1</v>
      </c>
      <c r="B269">
        <f>IF($A269=1,SUM($A$2:$A269),"")</f>
        <v>268</v>
      </c>
      <c r="C269">
        <f>IF($A269=1,SUM($A$2:$A269),0)</f>
        <v>268</v>
      </c>
    </row>
    <row r="270" spans="1:3" x14ac:dyDescent="0.3">
      <c r="A270">
        <f>IF(AND(OR('Compliance Database'!$A270='Data Transfer'!$B$4,'Compliance Database'!$A270='Data Transfer'!$B$5),OR('Data Transfer'!$B$6="",ISNUMBER(SEARCH('Data Transfer'!$B$6,'Compliance Database'!$D270&amp;" "&amp;'Compliance Database'!$K270&amp;" "&amp;'Compliance Database'!$L270&amp;" "&amp;'Compliance Database'!$M270&amp;" "&amp;'Compliance Database'!$N270&amp;" "&amp;'Compliance Database'!$O270)))),1,0)</f>
        <v>1</v>
      </c>
      <c r="B270">
        <f>IF($A270=1,SUM($A$2:$A270),"")</f>
        <v>269</v>
      </c>
      <c r="C270">
        <f>IF($A270=1,SUM($A$2:$A270),0)</f>
        <v>269</v>
      </c>
    </row>
    <row r="271" spans="1:3" x14ac:dyDescent="0.3">
      <c r="A271">
        <f>IF(AND(OR('Compliance Database'!$A271='Data Transfer'!$B$4,'Compliance Database'!$A271='Data Transfer'!$B$5),OR('Data Transfer'!$B$6="",ISNUMBER(SEARCH('Data Transfer'!$B$6,'Compliance Database'!$D271&amp;" "&amp;'Compliance Database'!$K271&amp;" "&amp;'Compliance Database'!$L271&amp;" "&amp;'Compliance Database'!$M271&amp;" "&amp;'Compliance Database'!$N271&amp;" "&amp;'Compliance Database'!$O271)))),1,0)</f>
        <v>1</v>
      </c>
      <c r="B271">
        <f>IF($A271=1,SUM($A$2:$A271),"")</f>
        <v>270</v>
      </c>
      <c r="C271">
        <f>IF($A271=1,SUM($A$2:$A271),0)</f>
        <v>270</v>
      </c>
    </row>
    <row r="272" spans="1:3" x14ac:dyDescent="0.3">
      <c r="A272">
        <f>IF(AND(OR('Compliance Database'!$A272='Data Transfer'!$B$4,'Compliance Database'!$A272='Data Transfer'!$B$5),OR('Data Transfer'!$B$6="",ISNUMBER(SEARCH('Data Transfer'!$B$6,'Compliance Database'!$D272&amp;" "&amp;'Compliance Database'!$K272&amp;" "&amp;'Compliance Database'!$L272&amp;" "&amp;'Compliance Database'!$M272&amp;" "&amp;'Compliance Database'!$N272&amp;" "&amp;'Compliance Database'!$O272)))),1,0)</f>
        <v>1</v>
      </c>
      <c r="B272">
        <f>IF($A272=1,SUM($A$2:$A272),"")</f>
        <v>271</v>
      </c>
      <c r="C272">
        <f>IF($A272=1,SUM($A$2:$A272),0)</f>
        <v>271</v>
      </c>
    </row>
    <row r="273" spans="1:3" x14ac:dyDescent="0.3">
      <c r="A273">
        <f>IF(AND(OR('Compliance Database'!$A273='Data Transfer'!$B$4,'Compliance Database'!$A273='Data Transfer'!$B$5),OR('Data Transfer'!$B$6="",ISNUMBER(SEARCH('Data Transfer'!$B$6,'Compliance Database'!$D273&amp;" "&amp;'Compliance Database'!$K273&amp;" "&amp;'Compliance Database'!$L273&amp;" "&amp;'Compliance Database'!$M273&amp;" "&amp;'Compliance Database'!$N273&amp;" "&amp;'Compliance Database'!$O273)))),1,0)</f>
        <v>1</v>
      </c>
      <c r="B273">
        <f>IF($A273=1,SUM($A$2:$A273),"")</f>
        <v>272</v>
      </c>
      <c r="C273">
        <f>IF($A273=1,SUM($A$2:$A273),0)</f>
        <v>272</v>
      </c>
    </row>
    <row r="274" spans="1:3" x14ac:dyDescent="0.3">
      <c r="A274">
        <f>IF(AND(OR('Compliance Database'!$A274='Data Transfer'!$B$4,'Compliance Database'!$A274='Data Transfer'!$B$5),OR('Data Transfer'!$B$6="",ISNUMBER(SEARCH('Data Transfer'!$B$6,'Compliance Database'!$D274&amp;" "&amp;'Compliance Database'!$K274&amp;" "&amp;'Compliance Database'!$L274&amp;" "&amp;'Compliance Database'!$M274&amp;" "&amp;'Compliance Database'!$N274&amp;" "&amp;'Compliance Database'!$O274)))),1,0)</f>
        <v>1</v>
      </c>
      <c r="B274">
        <f>IF($A274=1,SUM($A$2:$A274),"")</f>
        <v>273</v>
      </c>
      <c r="C274">
        <f>IF($A274=1,SUM($A$2:$A274),0)</f>
        <v>273</v>
      </c>
    </row>
    <row r="275" spans="1:3" x14ac:dyDescent="0.3">
      <c r="A275">
        <f>IF(AND(OR('Compliance Database'!$A275='Data Transfer'!$B$4,'Compliance Database'!$A275='Data Transfer'!$B$5),OR('Data Transfer'!$B$6="",ISNUMBER(SEARCH('Data Transfer'!$B$6,'Compliance Database'!$D275&amp;" "&amp;'Compliance Database'!$K275&amp;" "&amp;'Compliance Database'!$L275&amp;" "&amp;'Compliance Database'!$M275&amp;" "&amp;'Compliance Database'!$N275&amp;" "&amp;'Compliance Database'!$O275)))),1,0)</f>
        <v>1</v>
      </c>
      <c r="B275">
        <f>IF($A275=1,SUM($A$2:$A275),"")</f>
        <v>274</v>
      </c>
      <c r="C275">
        <f>IF($A275=1,SUM($A$2:$A275),0)</f>
        <v>274</v>
      </c>
    </row>
    <row r="276" spans="1:3" x14ac:dyDescent="0.3">
      <c r="A276">
        <f>IF(AND(OR('Compliance Database'!$A276='Data Transfer'!$B$4,'Compliance Database'!$A276='Data Transfer'!$B$5),OR('Data Transfer'!$B$6="",ISNUMBER(SEARCH('Data Transfer'!$B$6,'Compliance Database'!$D276&amp;" "&amp;'Compliance Database'!$K276&amp;" "&amp;'Compliance Database'!$L276&amp;" "&amp;'Compliance Database'!$M276&amp;" "&amp;'Compliance Database'!$N276&amp;" "&amp;'Compliance Database'!$O276)))),1,0)</f>
        <v>1</v>
      </c>
      <c r="B276">
        <f>IF($A276=1,SUM($A$2:$A276),"")</f>
        <v>275</v>
      </c>
      <c r="C276">
        <f>IF($A276=1,SUM($A$2:$A276),0)</f>
        <v>275</v>
      </c>
    </row>
    <row r="277" spans="1:3" x14ac:dyDescent="0.3">
      <c r="A277">
        <f>IF(AND(OR('Compliance Database'!$A277='Data Transfer'!$B$4,'Compliance Database'!$A277='Data Transfer'!$B$5),OR('Data Transfer'!$B$6="",ISNUMBER(SEARCH('Data Transfer'!$B$6,'Compliance Database'!$D277&amp;" "&amp;'Compliance Database'!$K277&amp;" "&amp;'Compliance Database'!$L277&amp;" "&amp;'Compliance Database'!$M277&amp;" "&amp;'Compliance Database'!$N277&amp;" "&amp;'Compliance Database'!$O277)))),1,0)</f>
        <v>1</v>
      </c>
      <c r="B277">
        <f>IF($A277=1,SUM($A$2:$A277),"")</f>
        <v>276</v>
      </c>
      <c r="C277">
        <f>IF($A277=1,SUM($A$2:$A277),0)</f>
        <v>276</v>
      </c>
    </row>
    <row r="278" spans="1:3" x14ac:dyDescent="0.3">
      <c r="A278">
        <f>IF(AND(OR('Compliance Database'!$A278='Data Transfer'!$B$4,'Compliance Database'!$A278='Data Transfer'!$B$5),OR('Data Transfer'!$B$6="",ISNUMBER(SEARCH('Data Transfer'!$B$6,'Compliance Database'!$D278&amp;" "&amp;'Compliance Database'!$K278&amp;" "&amp;'Compliance Database'!$L278&amp;" "&amp;'Compliance Database'!$M278&amp;" "&amp;'Compliance Database'!$N278&amp;" "&amp;'Compliance Database'!$O278)))),1,0)</f>
        <v>1</v>
      </c>
      <c r="B278">
        <f>IF($A278=1,SUM($A$2:$A278),"")</f>
        <v>277</v>
      </c>
      <c r="C278">
        <f>IF($A278=1,SUM($A$2:$A278),0)</f>
        <v>277</v>
      </c>
    </row>
    <row r="279" spans="1:3" x14ac:dyDescent="0.3">
      <c r="A279">
        <f>IF(AND(OR('Compliance Database'!$A279='Data Transfer'!$B$4,'Compliance Database'!$A279='Data Transfer'!$B$5),OR('Data Transfer'!$B$6="",ISNUMBER(SEARCH('Data Transfer'!$B$6,'Compliance Database'!$D279&amp;" "&amp;'Compliance Database'!$K279&amp;" "&amp;'Compliance Database'!$L279&amp;" "&amp;'Compliance Database'!$M279&amp;" "&amp;'Compliance Database'!$N279&amp;" "&amp;'Compliance Database'!$O279)))),1,0)</f>
        <v>1</v>
      </c>
      <c r="B279">
        <f>IF($A279=1,SUM($A$2:$A279),"")</f>
        <v>278</v>
      </c>
      <c r="C279">
        <f>IF($A279=1,SUM($A$2:$A279),0)</f>
        <v>278</v>
      </c>
    </row>
    <row r="280" spans="1:3" x14ac:dyDescent="0.3">
      <c r="A280">
        <f>IF(AND(OR('Compliance Database'!$A280='Data Transfer'!$B$4,'Compliance Database'!$A280='Data Transfer'!$B$5),OR('Data Transfer'!$B$6="",ISNUMBER(SEARCH('Data Transfer'!$B$6,'Compliance Database'!$D280&amp;" "&amp;'Compliance Database'!$K280&amp;" "&amp;'Compliance Database'!$L280&amp;" "&amp;'Compliance Database'!$M280&amp;" "&amp;'Compliance Database'!$N280&amp;" "&amp;'Compliance Database'!$O280)))),1,0)</f>
        <v>1</v>
      </c>
      <c r="B280">
        <f>IF($A280=1,SUM($A$2:$A280),"")</f>
        <v>279</v>
      </c>
      <c r="C280">
        <f>IF($A280=1,SUM($A$2:$A280),0)</f>
        <v>279</v>
      </c>
    </row>
    <row r="281" spans="1:3" x14ac:dyDescent="0.3">
      <c r="A281">
        <f>IF(AND(OR('Compliance Database'!$A281='Data Transfer'!$B$4,'Compliance Database'!$A281='Data Transfer'!$B$5),OR('Data Transfer'!$B$6="",ISNUMBER(SEARCH('Data Transfer'!$B$6,'Compliance Database'!$D281&amp;" "&amp;'Compliance Database'!$K281&amp;" "&amp;'Compliance Database'!$L281&amp;" "&amp;'Compliance Database'!$M281&amp;" "&amp;'Compliance Database'!$N281&amp;" "&amp;'Compliance Database'!$O281)))),1,0)</f>
        <v>1</v>
      </c>
      <c r="B281">
        <f>IF($A281=1,SUM($A$2:$A281),"")</f>
        <v>280</v>
      </c>
      <c r="C281">
        <f>IF($A281=1,SUM($A$2:$A281),0)</f>
        <v>280</v>
      </c>
    </row>
    <row r="282" spans="1:3" x14ac:dyDescent="0.3">
      <c r="A282">
        <f>IF(AND(OR('Compliance Database'!$A282='Data Transfer'!$B$4,'Compliance Database'!$A282='Data Transfer'!$B$5),OR('Data Transfer'!$B$6="",ISNUMBER(SEARCH('Data Transfer'!$B$6,'Compliance Database'!$D282&amp;" "&amp;'Compliance Database'!$K282&amp;" "&amp;'Compliance Database'!$L282&amp;" "&amp;'Compliance Database'!$M282&amp;" "&amp;'Compliance Database'!$N282&amp;" "&amp;'Compliance Database'!$O282)))),1,0)</f>
        <v>1</v>
      </c>
      <c r="B282">
        <f>IF($A282=1,SUM($A$2:$A282),"")</f>
        <v>281</v>
      </c>
      <c r="C282">
        <f>IF($A282=1,SUM($A$2:$A282),0)</f>
        <v>281</v>
      </c>
    </row>
    <row r="283" spans="1:3" x14ac:dyDescent="0.3">
      <c r="A283">
        <f>IF(AND(OR('Compliance Database'!$A283='Data Transfer'!$B$4,'Compliance Database'!$A283='Data Transfer'!$B$5),OR('Data Transfer'!$B$6="",ISNUMBER(SEARCH('Data Transfer'!$B$6,'Compliance Database'!$D283&amp;" "&amp;'Compliance Database'!$K283&amp;" "&amp;'Compliance Database'!$L283&amp;" "&amp;'Compliance Database'!$M283&amp;" "&amp;'Compliance Database'!$N283&amp;" "&amp;'Compliance Database'!$O283)))),1,0)</f>
        <v>1</v>
      </c>
      <c r="B283">
        <f>IF($A283=1,SUM($A$2:$A283),"")</f>
        <v>282</v>
      </c>
      <c r="C283">
        <f>IF($A283=1,SUM($A$2:$A283),0)</f>
        <v>282</v>
      </c>
    </row>
    <row r="284" spans="1:3" x14ac:dyDescent="0.3">
      <c r="A284">
        <f>IF(AND(OR('Compliance Database'!$A284='Data Transfer'!$B$4,'Compliance Database'!$A284='Data Transfer'!$B$5),OR('Data Transfer'!$B$6="",ISNUMBER(SEARCH('Data Transfer'!$B$6,'Compliance Database'!$D284&amp;" "&amp;'Compliance Database'!$K284&amp;" "&amp;'Compliance Database'!$L284&amp;" "&amp;'Compliance Database'!$M284&amp;" "&amp;'Compliance Database'!$N284&amp;" "&amp;'Compliance Database'!$O284)))),1,0)</f>
        <v>1</v>
      </c>
      <c r="B284">
        <f>IF($A284=1,SUM($A$2:$A284),"")</f>
        <v>283</v>
      </c>
      <c r="C284">
        <f>IF($A284=1,SUM($A$2:$A284),0)</f>
        <v>283</v>
      </c>
    </row>
    <row r="285" spans="1:3" x14ac:dyDescent="0.3">
      <c r="A285">
        <f>IF(AND(OR('Compliance Database'!$A285='Data Transfer'!$B$4,'Compliance Database'!$A285='Data Transfer'!$B$5),OR('Data Transfer'!$B$6="",ISNUMBER(SEARCH('Data Transfer'!$B$6,'Compliance Database'!$D285&amp;" "&amp;'Compliance Database'!$K285&amp;" "&amp;'Compliance Database'!$L285&amp;" "&amp;'Compliance Database'!$M285&amp;" "&amp;'Compliance Database'!$N285&amp;" "&amp;'Compliance Database'!$O285)))),1,0)</f>
        <v>1</v>
      </c>
      <c r="B285">
        <f>IF($A285=1,SUM($A$2:$A285),"")</f>
        <v>284</v>
      </c>
      <c r="C285">
        <f>IF($A285=1,SUM($A$2:$A285),0)</f>
        <v>284</v>
      </c>
    </row>
    <row r="286" spans="1:3" x14ac:dyDescent="0.3">
      <c r="A286">
        <f>IF(AND(OR('Compliance Database'!$A286='Data Transfer'!$B$4,'Compliance Database'!$A286='Data Transfer'!$B$5),OR('Data Transfer'!$B$6="",ISNUMBER(SEARCH('Data Transfer'!$B$6,'Compliance Database'!$D286&amp;" "&amp;'Compliance Database'!$K286&amp;" "&amp;'Compliance Database'!$L286&amp;" "&amp;'Compliance Database'!$M286&amp;" "&amp;'Compliance Database'!$N286&amp;" "&amp;'Compliance Database'!$O286)))),1,0)</f>
        <v>1</v>
      </c>
      <c r="B286">
        <f>IF($A286=1,SUM($A$2:$A286),"")</f>
        <v>285</v>
      </c>
      <c r="C286">
        <f>IF($A286=1,SUM($A$2:$A286),0)</f>
        <v>285</v>
      </c>
    </row>
    <row r="287" spans="1:3" x14ac:dyDescent="0.3">
      <c r="A287">
        <f>IF(AND(OR('Compliance Database'!$A287='Data Transfer'!$B$4,'Compliance Database'!$A287='Data Transfer'!$B$5),OR('Data Transfer'!$B$6="",ISNUMBER(SEARCH('Data Transfer'!$B$6,'Compliance Database'!$D287&amp;" "&amp;'Compliance Database'!$K287&amp;" "&amp;'Compliance Database'!$L287&amp;" "&amp;'Compliance Database'!$M287&amp;" "&amp;'Compliance Database'!$N287&amp;" "&amp;'Compliance Database'!$O287)))),1,0)</f>
        <v>1</v>
      </c>
      <c r="B287">
        <f>IF($A287=1,SUM($A$2:$A287),"")</f>
        <v>286</v>
      </c>
      <c r="C287">
        <f>IF($A287=1,SUM($A$2:$A287),0)</f>
        <v>286</v>
      </c>
    </row>
    <row r="288" spans="1:3" x14ac:dyDescent="0.3">
      <c r="A288">
        <f>IF(AND(OR('Compliance Database'!$A288='Data Transfer'!$B$4,'Compliance Database'!$A288='Data Transfer'!$B$5),OR('Data Transfer'!$B$6="",ISNUMBER(SEARCH('Data Transfer'!$B$6,'Compliance Database'!$D288&amp;" "&amp;'Compliance Database'!$K288&amp;" "&amp;'Compliance Database'!$L288&amp;" "&amp;'Compliance Database'!$M288&amp;" "&amp;'Compliance Database'!$N288&amp;" "&amp;'Compliance Database'!$O288)))),1,0)</f>
        <v>1</v>
      </c>
      <c r="B288">
        <f>IF($A288=1,SUM($A$2:$A288),"")</f>
        <v>287</v>
      </c>
      <c r="C288">
        <f>IF($A288=1,SUM($A$2:$A288),0)</f>
        <v>287</v>
      </c>
    </row>
    <row r="289" spans="1:3" x14ac:dyDescent="0.3">
      <c r="A289">
        <f>IF(AND(OR('Compliance Database'!$A289='Data Transfer'!$B$4,'Compliance Database'!$A289='Data Transfer'!$B$5),OR('Data Transfer'!$B$6="",ISNUMBER(SEARCH('Data Transfer'!$B$6,'Compliance Database'!$D289&amp;" "&amp;'Compliance Database'!$K289&amp;" "&amp;'Compliance Database'!$L289&amp;" "&amp;'Compliance Database'!$M289&amp;" "&amp;'Compliance Database'!$N289&amp;" "&amp;'Compliance Database'!$O289)))),1,0)</f>
        <v>1</v>
      </c>
      <c r="B289">
        <f>IF($A289=1,SUM($A$2:$A289),"")</f>
        <v>288</v>
      </c>
      <c r="C289">
        <f>IF($A289=1,SUM($A$2:$A289),0)</f>
        <v>288</v>
      </c>
    </row>
    <row r="290" spans="1:3" x14ac:dyDescent="0.3">
      <c r="A290">
        <f>IF(AND(OR('Compliance Database'!$A290='Data Transfer'!$B$4,'Compliance Database'!$A290='Data Transfer'!$B$5),OR('Data Transfer'!$B$6="",ISNUMBER(SEARCH('Data Transfer'!$B$6,'Compliance Database'!$D290&amp;" "&amp;'Compliance Database'!$K290&amp;" "&amp;'Compliance Database'!$L290&amp;" "&amp;'Compliance Database'!$M290&amp;" "&amp;'Compliance Database'!$N290&amp;" "&amp;'Compliance Database'!$O290)))),1,0)</f>
        <v>1</v>
      </c>
      <c r="B290">
        <f>IF($A290=1,SUM($A$2:$A290),"")</f>
        <v>289</v>
      </c>
      <c r="C290">
        <f>IF($A290=1,SUM($A$2:$A290),0)</f>
        <v>289</v>
      </c>
    </row>
    <row r="291" spans="1:3" x14ac:dyDescent="0.3">
      <c r="A291">
        <f>IF(AND(OR('Compliance Database'!$A291='Data Transfer'!$B$4,'Compliance Database'!$A291='Data Transfer'!$B$5),OR('Data Transfer'!$B$6="",ISNUMBER(SEARCH('Data Transfer'!$B$6,'Compliance Database'!$D291&amp;" "&amp;'Compliance Database'!$K291&amp;" "&amp;'Compliance Database'!$L291&amp;" "&amp;'Compliance Database'!$M291&amp;" "&amp;'Compliance Database'!$N291&amp;" "&amp;'Compliance Database'!$O291)))),1,0)</f>
        <v>1</v>
      </c>
      <c r="B291">
        <f>IF($A291=1,SUM($A$2:$A291),"")</f>
        <v>290</v>
      </c>
      <c r="C291">
        <f>IF($A291=1,SUM($A$2:$A291),0)</f>
        <v>290</v>
      </c>
    </row>
    <row r="292" spans="1:3" x14ac:dyDescent="0.3">
      <c r="A292">
        <f>IF(AND(OR('Compliance Database'!$A292='Data Transfer'!$B$4,'Compliance Database'!$A292='Data Transfer'!$B$5),OR('Data Transfer'!$B$6="",ISNUMBER(SEARCH('Data Transfer'!$B$6,'Compliance Database'!$D292&amp;" "&amp;'Compliance Database'!$K292&amp;" "&amp;'Compliance Database'!$L292&amp;" "&amp;'Compliance Database'!$M292&amp;" "&amp;'Compliance Database'!$N292&amp;" "&amp;'Compliance Database'!$O292)))),1,0)</f>
        <v>1</v>
      </c>
      <c r="B292">
        <f>IF($A292=1,SUM($A$2:$A292),"")</f>
        <v>291</v>
      </c>
      <c r="C292">
        <f>IF($A292=1,SUM($A$2:$A292),0)</f>
        <v>291</v>
      </c>
    </row>
    <row r="293" spans="1:3" x14ac:dyDescent="0.3">
      <c r="A293">
        <f>IF(AND(OR('Compliance Database'!$A293='Data Transfer'!$B$4,'Compliance Database'!$A293='Data Transfer'!$B$5),OR('Data Transfer'!$B$6="",ISNUMBER(SEARCH('Data Transfer'!$B$6,'Compliance Database'!$D293&amp;" "&amp;'Compliance Database'!$K293&amp;" "&amp;'Compliance Database'!$L293&amp;" "&amp;'Compliance Database'!$M293&amp;" "&amp;'Compliance Database'!$N293&amp;" "&amp;'Compliance Database'!$O293)))),1,0)</f>
        <v>1</v>
      </c>
      <c r="B293">
        <f>IF($A293=1,SUM($A$2:$A293),"")</f>
        <v>292</v>
      </c>
      <c r="C293">
        <f>IF($A293=1,SUM($A$2:$A293),0)</f>
        <v>292</v>
      </c>
    </row>
    <row r="294" spans="1:3" x14ac:dyDescent="0.3">
      <c r="A294">
        <f>IF(AND(OR('Compliance Database'!$A294='Data Transfer'!$B$4,'Compliance Database'!$A294='Data Transfer'!$B$5),OR('Data Transfer'!$B$6="",ISNUMBER(SEARCH('Data Transfer'!$B$6,'Compliance Database'!$D294&amp;" "&amp;'Compliance Database'!$K294&amp;" "&amp;'Compliance Database'!$L294&amp;" "&amp;'Compliance Database'!$M294&amp;" "&amp;'Compliance Database'!$N294&amp;" "&amp;'Compliance Database'!$O294)))),1,0)</f>
        <v>1</v>
      </c>
      <c r="B294">
        <f>IF($A294=1,SUM($A$2:$A294),"")</f>
        <v>293</v>
      </c>
      <c r="C294">
        <f>IF($A294=1,SUM($A$2:$A294),0)</f>
        <v>293</v>
      </c>
    </row>
    <row r="295" spans="1:3" x14ac:dyDescent="0.3">
      <c r="A295">
        <f>IF(AND(OR('Compliance Database'!$A295='Data Transfer'!$B$4,'Compliance Database'!$A295='Data Transfer'!$B$5),OR('Data Transfer'!$B$6="",ISNUMBER(SEARCH('Data Transfer'!$B$6,'Compliance Database'!$D295&amp;" "&amp;'Compliance Database'!$K295&amp;" "&amp;'Compliance Database'!$L295&amp;" "&amp;'Compliance Database'!$M295&amp;" "&amp;'Compliance Database'!$N295&amp;" "&amp;'Compliance Database'!$O295)))),1,0)</f>
        <v>1</v>
      </c>
      <c r="B295">
        <f>IF($A295=1,SUM($A$2:$A295),"")</f>
        <v>294</v>
      </c>
      <c r="C295">
        <f>IF($A295=1,SUM($A$2:$A295),0)</f>
        <v>294</v>
      </c>
    </row>
    <row r="296" spans="1:3" x14ac:dyDescent="0.3">
      <c r="A296">
        <f>IF(AND(OR('Compliance Database'!$A296='Data Transfer'!$B$4,'Compliance Database'!$A296='Data Transfer'!$B$5),OR('Data Transfer'!$B$6="",ISNUMBER(SEARCH('Data Transfer'!$B$6,'Compliance Database'!$D296&amp;" "&amp;'Compliance Database'!$K296&amp;" "&amp;'Compliance Database'!$L296&amp;" "&amp;'Compliance Database'!$M296&amp;" "&amp;'Compliance Database'!$N296&amp;" "&amp;'Compliance Database'!$O296)))),1,0)</f>
        <v>1</v>
      </c>
      <c r="B296">
        <f>IF($A296=1,SUM($A$2:$A296),"")</f>
        <v>295</v>
      </c>
      <c r="C296">
        <f>IF($A296=1,SUM($A$2:$A296),0)</f>
        <v>295</v>
      </c>
    </row>
    <row r="297" spans="1:3" x14ac:dyDescent="0.3">
      <c r="A297">
        <f>IF(AND(OR('Compliance Database'!$A297='Data Transfer'!$B$4,'Compliance Database'!$A297='Data Transfer'!$B$5),OR('Data Transfer'!$B$6="",ISNUMBER(SEARCH('Data Transfer'!$B$6,'Compliance Database'!$D297&amp;" "&amp;'Compliance Database'!$K297&amp;" "&amp;'Compliance Database'!$L297&amp;" "&amp;'Compliance Database'!$M297&amp;" "&amp;'Compliance Database'!$N297&amp;" "&amp;'Compliance Database'!$O297)))),1,0)</f>
        <v>1</v>
      </c>
      <c r="B297">
        <f>IF($A297=1,SUM($A$2:$A297),"")</f>
        <v>296</v>
      </c>
      <c r="C297">
        <f>IF($A297=1,SUM($A$2:$A297),0)</f>
        <v>296</v>
      </c>
    </row>
    <row r="298" spans="1:3" x14ac:dyDescent="0.3">
      <c r="A298">
        <f>IF(AND(OR('Compliance Database'!$A298='Data Transfer'!$B$4,'Compliance Database'!$A298='Data Transfer'!$B$5),OR('Data Transfer'!$B$6="",ISNUMBER(SEARCH('Data Transfer'!$B$6,'Compliance Database'!$D298&amp;" "&amp;'Compliance Database'!$K298&amp;" "&amp;'Compliance Database'!$L298&amp;" "&amp;'Compliance Database'!$M298&amp;" "&amp;'Compliance Database'!$N298&amp;" "&amp;'Compliance Database'!$O298)))),1,0)</f>
        <v>1</v>
      </c>
      <c r="B298">
        <f>IF($A298=1,SUM($A$2:$A298),"")</f>
        <v>297</v>
      </c>
      <c r="C298">
        <f>IF($A298=1,SUM($A$2:$A298),0)</f>
        <v>297</v>
      </c>
    </row>
    <row r="299" spans="1:3" x14ac:dyDescent="0.3">
      <c r="A299">
        <f>IF(AND(OR('Compliance Database'!$A299='Data Transfer'!$B$4,'Compliance Database'!$A299='Data Transfer'!$B$5),OR('Data Transfer'!$B$6="",ISNUMBER(SEARCH('Data Transfer'!$B$6,'Compliance Database'!$D299&amp;" "&amp;'Compliance Database'!$K299&amp;" "&amp;'Compliance Database'!$L299&amp;" "&amp;'Compliance Database'!$M299&amp;" "&amp;'Compliance Database'!$N299&amp;" "&amp;'Compliance Database'!$O299)))),1,0)</f>
        <v>1</v>
      </c>
      <c r="B299">
        <f>IF($A299=1,SUM($A$2:$A299),"")</f>
        <v>298</v>
      </c>
      <c r="C299">
        <f>IF($A299=1,SUM($A$2:$A299),0)</f>
        <v>298</v>
      </c>
    </row>
    <row r="300" spans="1:3" x14ac:dyDescent="0.3">
      <c r="A300">
        <f>IF(AND(OR('Compliance Database'!$A300='Data Transfer'!$B$4,'Compliance Database'!$A300='Data Transfer'!$B$5),OR('Data Transfer'!$B$6="",ISNUMBER(SEARCH('Data Transfer'!$B$6,'Compliance Database'!$D300&amp;" "&amp;'Compliance Database'!$K300&amp;" "&amp;'Compliance Database'!$L300&amp;" "&amp;'Compliance Database'!$M300&amp;" "&amp;'Compliance Database'!$N300&amp;" "&amp;'Compliance Database'!$O300)))),1,0)</f>
        <v>1</v>
      </c>
      <c r="B300">
        <f>IF($A300=1,SUM($A$2:$A300),"")</f>
        <v>299</v>
      </c>
      <c r="C300">
        <f>IF($A300=1,SUM($A$2:$A300),0)</f>
        <v>299</v>
      </c>
    </row>
    <row r="301" spans="1:3" x14ac:dyDescent="0.3">
      <c r="A301">
        <f>IF(AND(OR('Compliance Database'!$A301='Data Transfer'!$B$4,'Compliance Database'!$A301='Data Transfer'!$B$5),OR('Data Transfer'!$B$6="",ISNUMBER(SEARCH('Data Transfer'!$B$6,'Compliance Database'!$D301&amp;" "&amp;'Compliance Database'!$K301&amp;" "&amp;'Compliance Database'!$L301&amp;" "&amp;'Compliance Database'!$M301&amp;" "&amp;'Compliance Database'!$N301&amp;" "&amp;'Compliance Database'!$O301)))),1,0)</f>
        <v>1</v>
      </c>
      <c r="B301">
        <f>IF($A301=1,SUM($A$2:$A301),"")</f>
        <v>300</v>
      </c>
      <c r="C301">
        <f>IF($A301=1,SUM($A$2:$A301),0)</f>
        <v>300</v>
      </c>
    </row>
    <row r="302" spans="1:3" x14ac:dyDescent="0.3">
      <c r="A302">
        <f>IF(AND(OR('Compliance Database'!$A302='Data Transfer'!$B$4,'Compliance Database'!$A302='Data Transfer'!$B$5),OR('Data Transfer'!$B$6="",ISNUMBER(SEARCH('Data Transfer'!$B$6,'Compliance Database'!$D302&amp;" "&amp;'Compliance Database'!$K302&amp;" "&amp;'Compliance Database'!$L302&amp;" "&amp;'Compliance Database'!$M302&amp;" "&amp;'Compliance Database'!$N302&amp;" "&amp;'Compliance Database'!$O302)))),1,0)</f>
        <v>1</v>
      </c>
      <c r="B302">
        <f>IF($A302=1,SUM($A$2:$A302),"")</f>
        <v>301</v>
      </c>
      <c r="C302">
        <f>IF($A302=1,SUM($A$2:$A302),0)</f>
        <v>301</v>
      </c>
    </row>
    <row r="303" spans="1:3" x14ac:dyDescent="0.3">
      <c r="A303">
        <f>IF(AND(OR('Compliance Database'!$A303='Data Transfer'!$B$4,'Compliance Database'!$A303='Data Transfer'!$B$5),OR('Data Transfer'!$B$6="",ISNUMBER(SEARCH('Data Transfer'!$B$6,'Compliance Database'!$D303&amp;" "&amp;'Compliance Database'!$K303&amp;" "&amp;'Compliance Database'!$L303&amp;" "&amp;'Compliance Database'!$M303&amp;" "&amp;'Compliance Database'!$N303&amp;" "&amp;'Compliance Database'!$O303)))),1,0)</f>
        <v>1</v>
      </c>
      <c r="B303">
        <f>IF($A303=1,SUM($A$2:$A303),"")</f>
        <v>302</v>
      </c>
      <c r="C303">
        <f>IF($A303=1,SUM($A$2:$A303),0)</f>
        <v>302</v>
      </c>
    </row>
    <row r="304" spans="1:3" x14ac:dyDescent="0.3">
      <c r="A304">
        <f>IF(AND(OR('Compliance Database'!$A304='Data Transfer'!$B$4,'Compliance Database'!$A304='Data Transfer'!$B$5),OR('Data Transfer'!$B$6="",ISNUMBER(SEARCH('Data Transfer'!$B$6,'Compliance Database'!$D304&amp;" "&amp;'Compliance Database'!$K304&amp;" "&amp;'Compliance Database'!$L304&amp;" "&amp;'Compliance Database'!$M304&amp;" "&amp;'Compliance Database'!$N304&amp;" "&amp;'Compliance Database'!$O304)))),1,0)</f>
        <v>1</v>
      </c>
      <c r="B304">
        <f>IF($A304=1,SUM($A$2:$A304),"")</f>
        <v>303</v>
      </c>
      <c r="C304">
        <f>IF($A304=1,SUM($A$2:$A304),0)</f>
        <v>303</v>
      </c>
    </row>
    <row r="305" spans="1:3" x14ac:dyDescent="0.3">
      <c r="A305">
        <f>IF(AND(OR('Compliance Database'!$A305='Data Transfer'!$B$4,'Compliance Database'!$A305='Data Transfer'!$B$5),OR('Data Transfer'!$B$6="",ISNUMBER(SEARCH('Data Transfer'!$B$6,'Compliance Database'!$D305&amp;" "&amp;'Compliance Database'!$K305&amp;" "&amp;'Compliance Database'!$L305&amp;" "&amp;'Compliance Database'!$M305&amp;" "&amp;'Compliance Database'!$N305&amp;" "&amp;'Compliance Database'!$O305)))),1,0)</f>
        <v>1</v>
      </c>
      <c r="B305">
        <f>IF($A305=1,SUM($A$2:$A305),"")</f>
        <v>304</v>
      </c>
      <c r="C305">
        <f>IF($A305=1,SUM($A$2:$A305),0)</f>
        <v>304</v>
      </c>
    </row>
    <row r="306" spans="1:3" x14ac:dyDescent="0.3">
      <c r="A306">
        <f>IF(AND(OR('Compliance Database'!$A306='Data Transfer'!$B$4,'Compliance Database'!$A306='Data Transfer'!$B$5),OR('Data Transfer'!$B$6="",ISNUMBER(SEARCH('Data Transfer'!$B$6,'Compliance Database'!$D306&amp;" "&amp;'Compliance Database'!$K306&amp;" "&amp;'Compliance Database'!$L306&amp;" "&amp;'Compliance Database'!$M306&amp;" "&amp;'Compliance Database'!$N306&amp;" "&amp;'Compliance Database'!$O306)))),1,0)</f>
        <v>1</v>
      </c>
      <c r="B306">
        <f>IF($A306=1,SUM($A$2:$A306),"")</f>
        <v>305</v>
      </c>
      <c r="C306">
        <f>IF($A306=1,SUM($A$2:$A306),0)</f>
        <v>305</v>
      </c>
    </row>
    <row r="307" spans="1:3" x14ac:dyDescent="0.3">
      <c r="A307">
        <f>IF(AND(OR('Compliance Database'!$A307='Data Transfer'!$B$4,'Compliance Database'!$A307='Data Transfer'!$B$5),OR('Data Transfer'!$B$6="",ISNUMBER(SEARCH('Data Transfer'!$B$6,'Compliance Database'!$D307&amp;" "&amp;'Compliance Database'!$K307&amp;" "&amp;'Compliance Database'!$L307&amp;" "&amp;'Compliance Database'!$M307&amp;" "&amp;'Compliance Database'!$N307&amp;" "&amp;'Compliance Database'!$O307)))),1,0)</f>
        <v>1</v>
      </c>
      <c r="B307">
        <f>IF($A307=1,SUM($A$2:$A307),"")</f>
        <v>306</v>
      </c>
      <c r="C307">
        <f>IF($A307=1,SUM($A$2:$A307),0)</f>
        <v>306</v>
      </c>
    </row>
    <row r="308" spans="1:3" x14ac:dyDescent="0.3">
      <c r="A308">
        <f>IF(AND(OR('Compliance Database'!$A308='Data Transfer'!$B$4,'Compliance Database'!$A308='Data Transfer'!$B$5),OR('Data Transfer'!$B$6="",ISNUMBER(SEARCH('Data Transfer'!$B$6,'Compliance Database'!$D308&amp;" "&amp;'Compliance Database'!$K308&amp;" "&amp;'Compliance Database'!$L308&amp;" "&amp;'Compliance Database'!$M308&amp;" "&amp;'Compliance Database'!$N308&amp;" "&amp;'Compliance Database'!$O308)))),1,0)</f>
        <v>1</v>
      </c>
      <c r="B308">
        <f>IF($A308=1,SUM($A$2:$A308),"")</f>
        <v>307</v>
      </c>
      <c r="C308">
        <f>IF($A308=1,SUM($A$2:$A308),0)</f>
        <v>307</v>
      </c>
    </row>
    <row r="309" spans="1:3" x14ac:dyDescent="0.3">
      <c r="A309">
        <f>IF(AND(OR('Compliance Database'!$A309='Data Transfer'!$B$4,'Compliance Database'!$A309='Data Transfer'!$B$5),OR('Data Transfer'!$B$6="",ISNUMBER(SEARCH('Data Transfer'!$B$6,'Compliance Database'!$D309&amp;" "&amp;'Compliance Database'!$K309&amp;" "&amp;'Compliance Database'!$L309&amp;" "&amp;'Compliance Database'!$M309&amp;" "&amp;'Compliance Database'!$N309&amp;" "&amp;'Compliance Database'!$O309)))),1,0)</f>
        <v>1</v>
      </c>
      <c r="B309">
        <f>IF($A309=1,SUM($A$2:$A309),"")</f>
        <v>308</v>
      </c>
      <c r="C309">
        <f>IF($A309=1,SUM($A$2:$A309),0)</f>
        <v>308</v>
      </c>
    </row>
    <row r="310" spans="1:3" x14ac:dyDescent="0.3">
      <c r="A310">
        <f>IF(AND(OR('Compliance Database'!$A310='Data Transfer'!$B$4,'Compliance Database'!$A310='Data Transfer'!$B$5),OR('Data Transfer'!$B$6="",ISNUMBER(SEARCH('Data Transfer'!$B$6,'Compliance Database'!$D310&amp;" "&amp;'Compliance Database'!$K310&amp;" "&amp;'Compliance Database'!$L310&amp;" "&amp;'Compliance Database'!$M310&amp;" "&amp;'Compliance Database'!$N310&amp;" "&amp;'Compliance Database'!$O310)))),1,0)</f>
        <v>1</v>
      </c>
      <c r="B310">
        <f>IF($A310=1,SUM($A$2:$A310),"")</f>
        <v>309</v>
      </c>
      <c r="C310">
        <f>IF($A310=1,SUM($A$2:$A310),0)</f>
        <v>309</v>
      </c>
    </row>
    <row r="311" spans="1:3" x14ac:dyDescent="0.3">
      <c r="A311">
        <f>IF(AND(OR('Compliance Database'!$A311='Data Transfer'!$B$4,'Compliance Database'!$A311='Data Transfer'!$B$5),OR('Data Transfer'!$B$6="",ISNUMBER(SEARCH('Data Transfer'!$B$6,'Compliance Database'!$D311&amp;" "&amp;'Compliance Database'!$K311&amp;" "&amp;'Compliance Database'!$L311&amp;" "&amp;'Compliance Database'!$M311&amp;" "&amp;'Compliance Database'!$N311&amp;" "&amp;'Compliance Database'!$O311)))),1,0)</f>
        <v>1</v>
      </c>
      <c r="B311">
        <f>IF($A311=1,SUM($A$2:$A311),"")</f>
        <v>310</v>
      </c>
      <c r="C311">
        <f>IF($A311=1,SUM($A$2:$A311),0)</f>
        <v>310</v>
      </c>
    </row>
    <row r="312" spans="1:3" x14ac:dyDescent="0.3">
      <c r="A312">
        <f>IF(AND(OR('Compliance Database'!$A312='Data Transfer'!$B$4,'Compliance Database'!$A312='Data Transfer'!$B$5),OR('Data Transfer'!$B$6="",ISNUMBER(SEARCH('Data Transfer'!$B$6,'Compliance Database'!$D312&amp;" "&amp;'Compliance Database'!$K312&amp;" "&amp;'Compliance Database'!$L312&amp;" "&amp;'Compliance Database'!$M312&amp;" "&amp;'Compliance Database'!$N312&amp;" "&amp;'Compliance Database'!$O312)))),1,0)</f>
        <v>1</v>
      </c>
      <c r="B312">
        <f>IF($A312=1,SUM($A$2:$A312),"")</f>
        <v>311</v>
      </c>
      <c r="C312">
        <f>IF($A312=1,SUM($A$2:$A312),0)</f>
        <v>311</v>
      </c>
    </row>
    <row r="313" spans="1:3" x14ac:dyDescent="0.3">
      <c r="A313">
        <f>IF(AND(OR('Compliance Database'!$A313='Data Transfer'!$B$4,'Compliance Database'!$A313='Data Transfer'!$B$5),OR('Data Transfer'!$B$6="",ISNUMBER(SEARCH('Data Transfer'!$B$6,'Compliance Database'!$D313&amp;" "&amp;'Compliance Database'!$K313&amp;" "&amp;'Compliance Database'!$L313&amp;" "&amp;'Compliance Database'!$M313&amp;" "&amp;'Compliance Database'!$N313&amp;" "&amp;'Compliance Database'!$O313)))),1,0)</f>
        <v>1</v>
      </c>
      <c r="B313">
        <f>IF($A313=1,SUM($A$2:$A313),"")</f>
        <v>312</v>
      </c>
      <c r="C313">
        <f>IF($A313=1,SUM($A$2:$A313),0)</f>
        <v>312</v>
      </c>
    </row>
    <row r="314" spans="1:3" x14ac:dyDescent="0.3">
      <c r="A314">
        <f>IF(AND(OR('Compliance Database'!$A314='Data Transfer'!$B$4,'Compliance Database'!$A314='Data Transfer'!$B$5),OR('Data Transfer'!$B$6="",ISNUMBER(SEARCH('Data Transfer'!$B$6,'Compliance Database'!$D314&amp;" "&amp;'Compliance Database'!$K314&amp;" "&amp;'Compliance Database'!$L314&amp;" "&amp;'Compliance Database'!$M314&amp;" "&amp;'Compliance Database'!$N314&amp;" "&amp;'Compliance Database'!$O314)))),1,0)</f>
        <v>1</v>
      </c>
      <c r="B314">
        <f>IF($A314=1,SUM($A$2:$A314),"")</f>
        <v>313</v>
      </c>
      <c r="C314">
        <f>IF($A314=1,SUM($A$2:$A314),0)</f>
        <v>313</v>
      </c>
    </row>
    <row r="315" spans="1:3" x14ac:dyDescent="0.3">
      <c r="A315">
        <f>IF(AND(OR('Compliance Database'!$A315='Data Transfer'!$B$4,'Compliance Database'!$A315='Data Transfer'!$B$5),OR('Data Transfer'!$B$6="",ISNUMBER(SEARCH('Data Transfer'!$B$6,'Compliance Database'!$D315&amp;" "&amp;'Compliance Database'!$K315&amp;" "&amp;'Compliance Database'!$L315&amp;" "&amp;'Compliance Database'!$M315&amp;" "&amp;'Compliance Database'!$N315&amp;" "&amp;'Compliance Database'!$O315)))),1,0)</f>
        <v>1</v>
      </c>
      <c r="B315">
        <f>IF($A315=1,SUM($A$2:$A315),"")</f>
        <v>314</v>
      </c>
      <c r="C315">
        <f>IF($A315=1,SUM($A$2:$A315),0)</f>
        <v>314</v>
      </c>
    </row>
    <row r="316" spans="1:3" x14ac:dyDescent="0.3">
      <c r="A316">
        <f>IF(AND(OR('Compliance Database'!$A316='Data Transfer'!$B$4,'Compliance Database'!$A316='Data Transfer'!$B$5),OR('Data Transfer'!$B$6="",ISNUMBER(SEARCH('Data Transfer'!$B$6,'Compliance Database'!$D316&amp;" "&amp;'Compliance Database'!$K316&amp;" "&amp;'Compliance Database'!$L316&amp;" "&amp;'Compliance Database'!$M316&amp;" "&amp;'Compliance Database'!$N316&amp;" "&amp;'Compliance Database'!$O316)))),1,0)</f>
        <v>1</v>
      </c>
      <c r="B316">
        <f>IF($A316=1,SUM($A$2:$A316),"")</f>
        <v>315</v>
      </c>
      <c r="C316">
        <f>IF($A316=1,SUM($A$2:$A316),0)</f>
        <v>315</v>
      </c>
    </row>
    <row r="317" spans="1:3" x14ac:dyDescent="0.3">
      <c r="A317">
        <f>IF(AND(OR('Compliance Database'!$A317='Data Transfer'!$B$4,'Compliance Database'!$A317='Data Transfer'!$B$5),OR('Data Transfer'!$B$6="",ISNUMBER(SEARCH('Data Transfer'!$B$6,'Compliance Database'!$D317&amp;" "&amp;'Compliance Database'!$K317&amp;" "&amp;'Compliance Database'!$L317&amp;" "&amp;'Compliance Database'!$M317&amp;" "&amp;'Compliance Database'!$N317&amp;" "&amp;'Compliance Database'!$O317)))),1,0)</f>
        <v>1</v>
      </c>
      <c r="B317">
        <f>IF($A317=1,SUM($A$2:$A317),"")</f>
        <v>316</v>
      </c>
      <c r="C317">
        <f>IF($A317=1,SUM($A$2:$A317),0)</f>
        <v>316</v>
      </c>
    </row>
    <row r="318" spans="1:3" x14ac:dyDescent="0.3">
      <c r="A318">
        <f>IF(AND(OR('Compliance Database'!$A318='Data Transfer'!$B$4,'Compliance Database'!$A318='Data Transfer'!$B$5),OR('Data Transfer'!$B$6="",ISNUMBER(SEARCH('Data Transfer'!$B$6,'Compliance Database'!$D318&amp;" "&amp;'Compliance Database'!$K318&amp;" "&amp;'Compliance Database'!$L318&amp;" "&amp;'Compliance Database'!$M318&amp;" "&amp;'Compliance Database'!$N318&amp;" "&amp;'Compliance Database'!$O318)))),1,0)</f>
        <v>1</v>
      </c>
      <c r="B318">
        <f>IF($A318=1,SUM($A$2:$A318),"")</f>
        <v>317</v>
      </c>
      <c r="C318">
        <f>IF($A318=1,SUM($A$2:$A318),0)</f>
        <v>317</v>
      </c>
    </row>
    <row r="319" spans="1:3" x14ac:dyDescent="0.3">
      <c r="A319">
        <f>IF(AND(OR('Compliance Database'!$A319='Data Transfer'!$B$4,'Compliance Database'!$A319='Data Transfer'!$B$5),OR('Data Transfer'!$B$6="",ISNUMBER(SEARCH('Data Transfer'!$B$6,'Compliance Database'!$D319&amp;" "&amp;'Compliance Database'!$K319&amp;" "&amp;'Compliance Database'!$L319&amp;" "&amp;'Compliance Database'!$M319&amp;" "&amp;'Compliance Database'!$N319&amp;" "&amp;'Compliance Database'!$O319)))),1,0)</f>
        <v>1</v>
      </c>
      <c r="B319">
        <f>IF($A319=1,SUM($A$2:$A319),"")</f>
        <v>318</v>
      </c>
      <c r="C319">
        <f>IF($A319=1,SUM($A$2:$A319),0)</f>
        <v>318</v>
      </c>
    </row>
    <row r="320" spans="1:3" x14ac:dyDescent="0.3">
      <c r="A320">
        <f>IF(AND(OR('Compliance Database'!$A320='Data Transfer'!$B$4,'Compliance Database'!$A320='Data Transfer'!$B$5),OR('Data Transfer'!$B$6="",ISNUMBER(SEARCH('Data Transfer'!$B$6,'Compliance Database'!$D320&amp;" "&amp;'Compliance Database'!$K320&amp;" "&amp;'Compliance Database'!$L320&amp;" "&amp;'Compliance Database'!$M320&amp;" "&amp;'Compliance Database'!$N320&amp;" "&amp;'Compliance Database'!$O320)))),1,0)</f>
        <v>1</v>
      </c>
      <c r="B320">
        <f>IF($A320=1,SUM($A$2:$A320),"")</f>
        <v>319</v>
      </c>
      <c r="C320">
        <f>IF($A320=1,SUM($A$2:$A320),0)</f>
        <v>319</v>
      </c>
    </row>
    <row r="321" spans="1:3" x14ac:dyDescent="0.3">
      <c r="A321">
        <f>IF(AND(OR('Compliance Database'!$A321='Data Transfer'!$B$4,'Compliance Database'!$A321='Data Transfer'!$B$5),OR('Data Transfer'!$B$6="",ISNUMBER(SEARCH('Data Transfer'!$B$6,'Compliance Database'!$D321&amp;" "&amp;'Compliance Database'!$K321&amp;" "&amp;'Compliance Database'!$L321&amp;" "&amp;'Compliance Database'!$M321&amp;" "&amp;'Compliance Database'!$N321&amp;" "&amp;'Compliance Database'!$O321)))),1,0)</f>
        <v>1</v>
      </c>
      <c r="B321">
        <f>IF($A321=1,SUM($A$2:$A321),"")</f>
        <v>320</v>
      </c>
      <c r="C321">
        <f>IF($A321=1,SUM($A$2:$A321),0)</f>
        <v>320</v>
      </c>
    </row>
    <row r="322" spans="1:3" x14ac:dyDescent="0.3">
      <c r="A322">
        <f>IF(AND(OR('Compliance Database'!$A322='Data Transfer'!$B$4,'Compliance Database'!$A322='Data Transfer'!$B$5),OR('Data Transfer'!$B$6="",ISNUMBER(SEARCH('Data Transfer'!$B$6,'Compliance Database'!$D322&amp;" "&amp;'Compliance Database'!$K322&amp;" "&amp;'Compliance Database'!$L322&amp;" "&amp;'Compliance Database'!$M322&amp;" "&amp;'Compliance Database'!$N322&amp;" "&amp;'Compliance Database'!$O322)))),1,0)</f>
        <v>1</v>
      </c>
      <c r="B322">
        <f>IF($A322=1,SUM($A$2:$A322),"")</f>
        <v>321</v>
      </c>
      <c r="C322">
        <f>IF($A322=1,SUM($A$2:$A322),0)</f>
        <v>321</v>
      </c>
    </row>
    <row r="323" spans="1:3" x14ac:dyDescent="0.3">
      <c r="A323">
        <f>IF(AND(OR('Compliance Database'!$A323='Data Transfer'!$B$4,'Compliance Database'!$A323='Data Transfer'!$B$5),OR('Data Transfer'!$B$6="",ISNUMBER(SEARCH('Data Transfer'!$B$6,'Compliance Database'!$D323&amp;" "&amp;'Compliance Database'!$K323&amp;" "&amp;'Compliance Database'!$L323&amp;" "&amp;'Compliance Database'!$M323&amp;" "&amp;'Compliance Database'!$N323&amp;" "&amp;'Compliance Database'!$O323)))),1,0)</f>
        <v>1</v>
      </c>
      <c r="B323">
        <f>IF($A323=1,SUM($A$2:$A323),"")</f>
        <v>322</v>
      </c>
      <c r="C323">
        <f>IF($A323=1,SUM($A$2:$A323),0)</f>
        <v>322</v>
      </c>
    </row>
    <row r="324" spans="1:3" x14ac:dyDescent="0.3">
      <c r="A324">
        <f>IF(AND(OR('Compliance Database'!$A324='Data Transfer'!$B$4,'Compliance Database'!$A324='Data Transfer'!$B$5),OR('Data Transfer'!$B$6="",ISNUMBER(SEARCH('Data Transfer'!$B$6,'Compliance Database'!$D324&amp;" "&amp;'Compliance Database'!$K324&amp;" "&amp;'Compliance Database'!$L324&amp;" "&amp;'Compliance Database'!$M324&amp;" "&amp;'Compliance Database'!$N324&amp;" "&amp;'Compliance Database'!$O324)))),1,0)</f>
        <v>1</v>
      </c>
      <c r="B324">
        <f>IF($A324=1,SUM($A$2:$A324),"")</f>
        <v>323</v>
      </c>
      <c r="C324">
        <f>IF($A324=1,SUM($A$2:$A324),0)</f>
        <v>323</v>
      </c>
    </row>
    <row r="325" spans="1:3" x14ac:dyDescent="0.3">
      <c r="A325">
        <f>IF(AND(OR('Compliance Database'!$A325='Data Transfer'!$B$4,'Compliance Database'!$A325='Data Transfer'!$B$5),OR('Data Transfer'!$B$6="",ISNUMBER(SEARCH('Data Transfer'!$B$6,'Compliance Database'!$D325&amp;" "&amp;'Compliance Database'!$K325&amp;" "&amp;'Compliance Database'!$L325&amp;" "&amp;'Compliance Database'!$M325&amp;" "&amp;'Compliance Database'!$N325&amp;" "&amp;'Compliance Database'!$O325)))),1,0)</f>
        <v>1</v>
      </c>
      <c r="B325">
        <f>IF($A325=1,SUM($A$2:$A325),"")</f>
        <v>324</v>
      </c>
      <c r="C325">
        <f>IF($A325=1,SUM($A$2:$A325),0)</f>
        <v>324</v>
      </c>
    </row>
    <row r="326" spans="1:3" x14ac:dyDescent="0.3">
      <c r="A326">
        <f>IF(AND(OR('Compliance Database'!$A326='Data Transfer'!$B$4,'Compliance Database'!$A326='Data Transfer'!$B$5),OR('Data Transfer'!$B$6="",ISNUMBER(SEARCH('Data Transfer'!$B$6,'Compliance Database'!$D326&amp;" "&amp;'Compliance Database'!$K326&amp;" "&amp;'Compliance Database'!$L326&amp;" "&amp;'Compliance Database'!$M326&amp;" "&amp;'Compliance Database'!$N326&amp;" "&amp;'Compliance Database'!$O326)))),1,0)</f>
        <v>1</v>
      </c>
      <c r="B326">
        <f>IF($A326=1,SUM($A$2:$A326),"")</f>
        <v>325</v>
      </c>
      <c r="C326">
        <f>IF($A326=1,SUM($A$2:$A326),0)</f>
        <v>325</v>
      </c>
    </row>
    <row r="327" spans="1:3" x14ac:dyDescent="0.3">
      <c r="A327">
        <f>IF(AND(OR('Compliance Database'!$A327='Data Transfer'!$B$4,'Compliance Database'!$A327='Data Transfer'!$B$5),OR('Data Transfer'!$B$6="",ISNUMBER(SEARCH('Data Transfer'!$B$6,'Compliance Database'!$D327&amp;" "&amp;'Compliance Database'!$K327&amp;" "&amp;'Compliance Database'!$L327&amp;" "&amp;'Compliance Database'!$M327&amp;" "&amp;'Compliance Database'!$N327&amp;" "&amp;'Compliance Database'!$O327)))),1,0)</f>
        <v>1</v>
      </c>
      <c r="B327">
        <f>IF($A327=1,SUM($A$2:$A327),"")</f>
        <v>326</v>
      </c>
      <c r="C327">
        <f>IF($A327=1,SUM($A$2:$A327),0)</f>
        <v>326</v>
      </c>
    </row>
    <row r="328" spans="1:3" x14ac:dyDescent="0.3">
      <c r="A328">
        <f>IF(AND(OR('Compliance Database'!$A328='Data Transfer'!$B$4,'Compliance Database'!$A328='Data Transfer'!$B$5),OR('Data Transfer'!$B$6="",ISNUMBER(SEARCH('Data Transfer'!$B$6,'Compliance Database'!$D328&amp;" "&amp;'Compliance Database'!$K328&amp;" "&amp;'Compliance Database'!$L328&amp;" "&amp;'Compliance Database'!$M328&amp;" "&amp;'Compliance Database'!$N328&amp;" "&amp;'Compliance Database'!$O328)))),1,0)</f>
        <v>1</v>
      </c>
      <c r="B328">
        <f>IF($A328=1,SUM($A$2:$A328),"")</f>
        <v>327</v>
      </c>
      <c r="C328">
        <f>IF($A328=1,SUM($A$2:$A328),0)</f>
        <v>327</v>
      </c>
    </row>
    <row r="329" spans="1:3" x14ac:dyDescent="0.3">
      <c r="A329">
        <f>IF(AND(OR('Compliance Database'!$A329='Data Transfer'!$B$4,'Compliance Database'!$A329='Data Transfer'!$B$5),OR('Data Transfer'!$B$6="",ISNUMBER(SEARCH('Data Transfer'!$B$6,'Compliance Database'!$D329&amp;" "&amp;'Compliance Database'!$K329&amp;" "&amp;'Compliance Database'!$L329&amp;" "&amp;'Compliance Database'!$M329&amp;" "&amp;'Compliance Database'!$N329&amp;" "&amp;'Compliance Database'!$O329)))),1,0)</f>
        <v>1</v>
      </c>
      <c r="B329">
        <f>IF($A329=1,SUM($A$2:$A329),"")</f>
        <v>328</v>
      </c>
      <c r="C329">
        <f>IF($A329=1,SUM($A$2:$A329),0)</f>
        <v>328</v>
      </c>
    </row>
    <row r="330" spans="1:3" x14ac:dyDescent="0.3">
      <c r="A330">
        <f>IF(AND(OR('Compliance Database'!$A330='Data Transfer'!$B$4,'Compliance Database'!$A330='Data Transfer'!$B$5),OR('Data Transfer'!$B$6="",ISNUMBER(SEARCH('Data Transfer'!$B$6,'Compliance Database'!$D330&amp;" "&amp;'Compliance Database'!$K330&amp;" "&amp;'Compliance Database'!$L330&amp;" "&amp;'Compliance Database'!$M330&amp;" "&amp;'Compliance Database'!$N330&amp;" "&amp;'Compliance Database'!$O330)))),1,0)</f>
        <v>1</v>
      </c>
      <c r="B330">
        <f>IF($A330=1,SUM($A$2:$A330),"")</f>
        <v>329</v>
      </c>
      <c r="C330">
        <f>IF($A330=1,SUM($A$2:$A330),0)</f>
        <v>329</v>
      </c>
    </row>
    <row r="331" spans="1:3" x14ac:dyDescent="0.3">
      <c r="A331">
        <f>IF(AND(OR('Compliance Database'!$A331='Data Transfer'!$B$4,'Compliance Database'!$A331='Data Transfer'!$B$5),OR('Data Transfer'!$B$6="",ISNUMBER(SEARCH('Data Transfer'!$B$6,'Compliance Database'!$D331&amp;" "&amp;'Compliance Database'!$K331&amp;" "&amp;'Compliance Database'!$L331&amp;" "&amp;'Compliance Database'!$M331&amp;" "&amp;'Compliance Database'!$N331&amp;" "&amp;'Compliance Database'!$O331)))),1,0)</f>
        <v>1</v>
      </c>
      <c r="B331">
        <f>IF($A331=1,SUM($A$2:$A331),"")</f>
        <v>330</v>
      </c>
      <c r="C331">
        <f>IF($A331=1,SUM($A$2:$A331),0)</f>
        <v>330</v>
      </c>
    </row>
    <row r="332" spans="1:3" x14ac:dyDescent="0.3">
      <c r="A332">
        <f>IF(AND(OR('Compliance Database'!$A332='Data Transfer'!$B$4,'Compliance Database'!$A332='Data Transfer'!$B$5),OR('Data Transfer'!$B$6="",ISNUMBER(SEARCH('Data Transfer'!$B$6,'Compliance Database'!$D332&amp;" "&amp;'Compliance Database'!$K332&amp;" "&amp;'Compliance Database'!$L332&amp;" "&amp;'Compliance Database'!$M332&amp;" "&amp;'Compliance Database'!$N332&amp;" "&amp;'Compliance Database'!$O332)))),1,0)</f>
        <v>1</v>
      </c>
      <c r="B332">
        <f>IF($A332=1,SUM($A$2:$A332),"")</f>
        <v>331</v>
      </c>
      <c r="C332">
        <f>IF($A332=1,SUM($A$2:$A332),0)</f>
        <v>331</v>
      </c>
    </row>
    <row r="333" spans="1:3" x14ac:dyDescent="0.3">
      <c r="A333">
        <f>IF(AND(OR('Compliance Database'!$A333='Data Transfer'!$B$4,'Compliance Database'!$A333='Data Transfer'!$B$5),OR('Data Transfer'!$B$6="",ISNUMBER(SEARCH('Data Transfer'!$B$6,'Compliance Database'!$D333&amp;" "&amp;'Compliance Database'!$K333&amp;" "&amp;'Compliance Database'!$L333&amp;" "&amp;'Compliance Database'!$M333&amp;" "&amp;'Compliance Database'!$N333&amp;" "&amp;'Compliance Database'!$O333)))),1,0)</f>
        <v>1</v>
      </c>
      <c r="B333">
        <f>IF($A333=1,SUM($A$2:$A333),"")</f>
        <v>332</v>
      </c>
      <c r="C333">
        <f>IF($A333=1,SUM($A$2:$A333),0)</f>
        <v>332</v>
      </c>
    </row>
    <row r="334" spans="1:3" x14ac:dyDescent="0.3">
      <c r="A334">
        <f>IF(AND(OR('Compliance Database'!$A334='Data Transfer'!$B$4,'Compliance Database'!$A334='Data Transfer'!$B$5),OR('Data Transfer'!$B$6="",ISNUMBER(SEARCH('Data Transfer'!$B$6,'Compliance Database'!$D334&amp;" "&amp;'Compliance Database'!$K334&amp;" "&amp;'Compliance Database'!$L334&amp;" "&amp;'Compliance Database'!$M334&amp;" "&amp;'Compliance Database'!$N334&amp;" "&amp;'Compliance Database'!$O334)))),1,0)</f>
        <v>1</v>
      </c>
      <c r="B334">
        <f>IF($A334=1,SUM($A$2:$A334),"")</f>
        <v>333</v>
      </c>
      <c r="C334">
        <f>IF($A334=1,SUM($A$2:$A334),0)</f>
        <v>333</v>
      </c>
    </row>
    <row r="335" spans="1:3" x14ac:dyDescent="0.3">
      <c r="A335">
        <f>IF(AND(OR('Compliance Database'!$A335='Data Transfer'!$B$4,'Compliance Database'!$A335='Data Transfer'!$B$5),OR('Data Transfer'!$B$6="",ISNUMBER(SEARCH('Data Transfer'!$B$6,'Compliance Database'!$D335&amp;" "&amp;'Compliance Database'!$K335&amp;" "&amp;'Compliance Database'!$L335&amp;" "&amp;'Compliance Database'!$M335&amp;" "&amp;'Compliance Database'!$N335&amp;" "&amp;'Compliance Database'!$O335)))),1,0)</f>
        <v>1</v>
      </c>
      <c r="B335">
        <f>IF($A335=1,SUM($A$2:$A335),"")</f>
        <v>334</v>
      </c>
      <c r="C335">
        <f>IF($A335=1,SUM($A$2:$A335),0)</f>
        <v>334</v>
      </c>
    </row>
    <row r="336" spans="1:3" x14ac:dyDescent="0.3">
      <c r="A336">
        <f>IF(AND(OR('Compliance Database'!$A336='Data Transfer'!$B$4,'Compliance Database'!$A336='Data Transfer'!$B$5),OR('Data Transfer'!$B$6="",ISNUMBER(SEARCH('Data Transfer'!$B$6,'Compliance Database'!$D336&amp;" "&amp;'Compliance Database'!$K336&amp;" "&amp;'Compliance Database'!$L336&amp;" "&amp;'Compliance Database'!$M336&amp;" "&amp;'Compliance Database'!$N336&amp;" "&amp;'Compliance Database'!$O336)))),1,0)</f>
        <v>1</v>
      </c>
      <c r="B336">
        <f>IF($A336=1,SUM($A$2:$A336),"")</f>
        <v>335</v>
      </c>
      <c r="C336">
        <f>IF($A336=1,SUM($A$2:$A336),0)</f>
        <v>335</v>
      </c>
    </row>
    <row r="337" spans="1:3" x14ac:dyDescent="0.3">
      <c r="A337">
        <f>IF(AND(OR('Compliance Database'!$A337='Data Transfer'!$B$4,'Compliance Database'!$A337='Data Transfer'!$B$5),OR('Data Transfer'!$B$6="",ISNUMBER(SEARCH('Data Transfer'!$B$6,'Compliance Database'!$D337&amp;" "&amp;'Compliance Database'!$K337&amp;" "&amp;'Compliance Database'!$L337&amp;" "&amp;'Compliance Database'!$M337&amp;" "&amp;'Compliance Database'!$N337&amp;" "&amp;'Compliance Database'!$O337)))),1,0)</f>
        <v>1</v>
      </c>
      <c r="B337">
        <f>IF($A337=1,SUM($A$2:$A337),"")</f>
        <v>336</v>
      </c>
      <c r="C337">
        <f>IF($A337=1,SUM($A$2:$A337),0)</f>
        <v>336</v>
      </c>
    </row>
    <row r="338" spans="1:3" x14ac:dyDescent="0.3">
      <c r="A338">
        <f>IF(AND(OR('Compliance Database'!$A338='Data Transfer'!$B$4,'Compliance Database'!$A338='Data Transfer'!$B$5),OR('Data Transfer'!$B$6="",ISNUMBER(SEARCH('Data Transfer'!$B$6,'Compliance Database'!$D338&amp;" "&amp;'Compliance Database'!$K338&amp;" "&amp;'Compliance Database'!$L338&amp;" "&amp;'Compliance Database'!$M338&amp;" "&amp;'Compliance Database'!$N338&amp;" "&amp;'Compliance Database'!$O338)))),1,0)</f>
        <v>1</v>
      </c>
      <c r="B338">
        <f>IF($A338=1,SUM($A$2:$A338),"")</f>
        <v>337</v>
      </c>
      <c r="C338">
        <f>IF($A338=1,SUM($A$2:$A338),0)</f>
        <v>337</v>
      </c>
    </row>
    <row r="339" spans="1:3" x14ac:dyDescent="0.3">
      <c r="A339">
        <f>IF(AND(OR('Compliance Database'!$A339='Data Transfer'!$B$4,'Compliance Database'!$A339='Data Transfer'!$B$5),OR('Data Transfer'!$B$6="",ISNUMBER(SEARCH('Data Transfer'!$B$6,'Compliance Database'!$D339&amp;" "&amp;'Compliance Database'!$K339&amp;" "&amp;'Compliance Database'!$L339&amp;" "&amp;'Compliance Database'!$M339&amp;" "&amp;'Compliance Database'!$N339&amp;" "&amp;'Compliance Database'!$O339)))),1,0)</f>
        <v>1</v>
      </c>
      <c r="B339">
        <f>IF($A339=1,SUM($A$2:$A339),"")</f>
        <v>338</v>
      </c>
      <c r="C339">
        <f>IF($A339=1,SUM($A$2:$A339),0)</f>
        <v>338</v>
      </c>
    </row>
    <row r="340" spans="1:3" x14ac:dyDescent="0.3">
      <c r="A340">
        <f>IF(AND(OR('Compliance Database'!$A340='Data Transfer'!$B$4,'Compliance Database'!$A340='Data Transfer'!$B$5),OR('Data Transfer'!$B$6="",ISNUMBER(SEARCH('Data Transfer'!$B$6,'Compliance Database'!$D340&amp;" "&amp;'Compliance Database'!$K340&amp;" "&amp;'Compliance Database'!$L340&amp;" "&amp;'Compliance Database'!$M340&amp;" "&amp;'Compliance Database'!$N340&amp;" "&amp;'Compliance Database'!$O340)))),1,0)</f>
        <v>1</v>
      </c>
      <c r="B340">
        <f>IF($A340=1,SUM($A$2:$A340),"")</f>
        <v>339</v>
      </c>
      <c r="C340">
        <f>IF($A340=1,SUM($A$2:$A340),0)</f>
        <v>339</v>
      </c>
    </row>
    <row r="341" spans="1:3" x14ac:dyDescent="0.3">
      <c r="A341">
        <f>IF(AND(OR('Compliance Database'!$A341='Data Transfer'!$B$4,'Compliance Database'!$A341='Data Transfer'!$B$5),OR('Data Transfer'!$B$6="",ISNUMBER(SEARCH('Data Transfer'!$B$6,'Compliance Database'!$D341&amp;" "&amp;'Compliance Database'!$K341&amp;" "&amp;'Compliance Database'!$L341&amp;" "&amp;'Compliance Database'!$M341&amp;" "&amp;'Compliance Database'!$N341&amp;" "&amp;'Compliance Database'!$O341)))),1,0)</f>
        <v>1</v>
      </c>
      <c r="B341">
        <f>IF($A341=1,SUM($A$2:$A341),"")</f>
        <v>340</v>
      </c>
      <c r="C341">
        <f>IF($A341=1,SUM($A$2:$A341),0)</f>
        <v>340</v>
      </c>
    </row>
    <row r="342" spans="1:3" x14ac:dyDescent="0.3">
      <c r="A342">
        <f>IF(AND(OR('Compliance Database'!$A342='Data Transfer'!$B$4,'Compliance Database'!$A342='Data Transfer'!$B$5),OR('Data Transfer'!$B$6="",ISNUMBER(SEARCH('Data Transfer'!$B$6,'Compliance Database'!$D342&amp;" "&amp;'Compliance Database'!$K342&amp;" "&amp;'Compliance Database'!$L342&amp;" "&amp;'Compliance Database'!$M342&amp;" "&amp;'Compliance Database'!$N342&amp;" "&amp;'Compliance Database'!$O342)))),1,0)</f>
        <v>1</v>
      </c>
      <c r="B342">
        <f>IF($A342=1,SUM($A$2:$A342),"")</f>
        <v>341</v>
      </c>
      <c r="C342">
        <f>IF($A342=1,SUM($A$2:$A342),0)</f>
        <v>341</v>
      </c>
    </row>
    <row r="343" spans="1:3" x14ac:dyDescent="0.3">
      <c r="A343">
        <f>IF(AND(OR('Compliance Database'!$A343='Data Transfer'!$B$4,'Compliance Database'!$A343='Data Transfer'!$B$5),OR('Data Transfer'!$B$6="",ISNUMBER(SEARCH('Data Transfer'!$B$6,'Compliance Database'!$D343&amp;" "&amp;'Compliance Database'!$K343&amp;" "&amp;'Compliance Database'!$L343&amp;" "&amp;'Compliance Database'!$M343&amp;" "&amp;'Compliance Database'!$N343&amp;" "&amp;'Compliance Database'!$O343)))),1,0)</f>
        <v>1</v>
      </c>
      <c r="B343">
        <f>IF($A343=1,SUM($A$2:$A343),"")</f>
        <v>342</v>
      </c>
      <c r="C343">
        <f>IF($A343=1,SUM($A$2:$A343),0)</f>
        <v>342</v>
      </c>
    </row>
    <row r="344" spans="1:3" x14ac:dyDescent="0.3">
      <c r="A344">
        <f>IF(AND(OR('Compliance Database'!$A344='Data Transfer'!$B$4,'Compliance Database'!$A344='Data Transfer'!$B$5),OR('Data Transfer'!$B$6="",ISNUMBER(SEARCH('Data Transfer'!$B$6,'Compliance Database'!$D344&amp;" "&amp;'Compliance Database'!$K344&amp;" "&amp;'Compliance Database'!$L344&amp;" "&amp;'Compliance Database'!$M344&amp;" "&amp;'Compliance Database'!$N344&amp;" "&amp;'Compliance Database'!$O344)))),1,0)</f>
        <v>1</v>
      </c>
      <c r="B344">
        <f>IF($A344=1,SUM($A$2:$A344),"")</f>
        <v>343</v>
      </c>
      <c r="C344">
        <f>IF($A344=1,SUM($A$2:$A344),0)</f>
        <v>343</v>
      </c>
    </row>
    <row r="345" spans="1:3" x14ac:dyDescent="0.3">
      <c r="A345">
        <f>IF(AND(OR('Compliance Database'!$A345='Data Transfer'!$B$4,'Compliance Database'!$A345='Data Transfer'!$B$5),OR('Data Transfer'!$B$6="",ISNUMBER(SEARCH('Data Transfer'!$B$6,'Compliance Database'!$D345&amp;" "&amp;'Compliance Database'!$K345&amp;" "&amp;'Compliance Database'!$L345&amp;" "&amp;'Compliance Database'!$M345&amp;" "&amp;'Compliance Database'!$N345&amp;" "&amp;'Compliance Database'!$O345)))),1,0)</f>
        <v>1</v>
      </c>
      <c r="B345">
        <f>IF($A345=1,SUM($A$2:$A345),"")</f>
        <v>344</v>
      </c>
      <c r="C345">
        <f>IF($A345=1,SUM($A$2:$A345),0)</f>
        <v>344</v>
      </c>
    </row>
    <row r="346" spans="1:3" x14ac:dyDescent="0.3">
      <c r="A346">
        <f>IF(AND(OR('Compliance Database'!$A346='Data Transfer'!$B$4,'Compliance Database'!$A346='Data Transfer'!$B$5),OR('Data Transfer'!$B$6="",ISNUMBER(SEARCH('Data Transfer'!$B$6,'Compliance Database'!$D346&amp;" "&amp;'Compliance Database'!$K346&amp;" "&amp;'Compliance Database'!$L346&amp;" "&amp;'Compliance Database'!$M346&amp;" "&amp;'Compliance Database'!$N346&amp;" "&amp;'Compliance Database'!$O346)))),1,0)</f>
        <v>1</v>
      </c>
      <c r="B346">
        <f>IF($A346=1,SUM($A$2:$A346),"")</f>
        <v>345</v>
      </c>
      <c r="C346">
        <f>IF($A346=1,SUM($A$2:$A346),0)</f>
        <v>345</v>
      </c>
    </row>
    <row r="347" spans="1:3" x14ac:dyDescent="0.3">
      <c r="A347">
        <f>IF(AND(OR('Compliance Database'!$A347='Data Transfer'!$B$4,'Compliance Database'!$A347='Data Transfer'!$B$5),OR('Data Transfer'!$B$6="",ISNUMBER(SEARCH('Data Transfer'!$B$6,'Compliance Database'!$D347&amp;" "&amp;'Compliance Database'!$K347&amp;" "&amp;'Compliance Database'!$L347&amp;" "&amp;'Compliance Database'!$M347&amp;" "&amp;'Compliance Database'!$N347&amp;" "&amp;'Compliance Database'!$O347)))),1,0)</f>
        <v>1</v>
      </c>
      <c r="B347">
        <f>IF($A347=1,SUM($A$2:$A347),"")</f>
        <v>346</v>
      </c>
      <c r="C347">
        <f>IF($A347=1,SUM($A$2:$A347),0)</f>
        <v>346</v>
      </c>
    </row>
    <row r="348" spans="1:3" x14ac:dyDescent="0.3">
      <c r="A348">
        <f>IF(AND(OR('Compliance Database'!$A348='Data Transfer'!$B$4,'Compliance Database'!$A348='Data Transfer'!$B$5),OR('Data Transfer'!$B$6="",ISNUMBER(SEARCH('Data Transfer'!$B$6,'Compliance Database'!$D348&amp;" "&amp;'Compliance Database'!$K348&amp;" "&amp;'Compliance Database'!$L348&amp;" "&amp;'Compliance Database'!$M348&amp;" "&amp;'Compliance Database'!$N348&amp;" "&amp;'Compliance Database'!$O348)))),1,0)</f>
        <v>1</v>
      </c>
      <c r="B348">
        <f>IF($A348=1,SUM($A$2:$A348),"")</f>
        <v>347</v>
      </c>
      <c r="C348">
        <f>IF($A348=1,SUM($A$2:$A348),0)</f>
        <v>347</v>
      </c>
    </row>
    <row r="349" spans="1:3" x14ac:dyDescent="0.3">
      <c r="A349">
        <f>IF(AND(OR('Compliance Database'!$A349='Data Transfer'!$B$4,'Compliance Database'!$A349='Data Transfer'!$B$5),OR('Data Transfer'!$B$6="",ISNUMBER(SEARCH('Data Transfer'!$B$6,'Compliance Database'!$D349&amp;" "&amp;'Compliance Database'!$K349&amp;" "&amp;'Compliance Database'!$L349&amp;" "&amp;'Compliance Database'!$M349&amp;" "&amp;'Compliance Database'!$N349&amp;" "&amp;'Compliance Database'!$O349)))),1,0)</f>
        <v>1</v>
      </c>
      <c r="B349">
        <f>IF($A349=1,SUM($A$2:$A349),"")</f>
        <v>348</v>
      </c>
      <c r="C349">
        <f>IF($A349=1,SUM($A$2:$A349),0)</f>
        <v>348</v>
      </c>
    </row>
    <row r="350" spans="1:3" x14ac:dyDescent="0.3">
      <c r="A350">
        <f>IF(AND(OR('Compliance Database'!$A350='Data Transfer'!$B$4,'Compliance Database'!$A350='Data Transfer'!$B$5),OR('Data Transfer'!$B$6="",ISNUMBER(SEARCH('Data Transfer'!$B$6,'Compliance Database'!$D350&amp;" "&amp;'Compliance Database'!$K350&amp;" "&amp;'Compliance Database'!$L350&amp;" "&amp;'Compliance Database'!$M350&amp;" "&amp;'Compliance Database'!$N350&amp;" "&amp;'Compliance Database'!$O350)))),1,0)</f>
        <v>1</v>
      </c>
      <c r="B350">
        <f>IF($A350=1,SUM($A$2:$A350),"")</f>
        <v>349</v>
      </c>
      <c r="C350">
        <f>IF($A350=1,SUM($A$2:$A350),0)</f>
        <v>349</v>
      </c>
    </row>
    <row r="351" spans="1:3" x14ac:dyDescent="0.3">
      <c r="A351">
        <f>IF(AND(OR('Compliance Database'!$A351='Data Transfer'!$B$4,'Compliance Database'!$A351='Data Transfer'!$B$5),OR('Data Transfer'!$B$6="",ISNUMBER(SEARCH('Data Transfer'!$B$6,'Compliance Database'!$D351&amp;" "&amp;'Compliance Database'!$K351&amp;" "&amp;'Compliance Database'!$L351&amp;" "&amp;'Compliance Database'!$M351&amp;" "&amp;'Compliance Database'!$N351&amp;" "&amp;'Compliance Database'!$O351)))),1,0)</f>
        <v>1</v>
      </c>
      <c r="B351">
        <f>IF($A351=1,SUM($A$2:$A351),"")</f>
        <v>350</v>
      </c>
      <c r="C351">
        <f>IF($A351=1,SUM($A$2:$A351),0)</f>
        <v>350</v>
      </c>
    </row>
    <row r="352" spans="1:3" x14ac:dyDescent="0.3">
      <c r="A352">
        <f>IF(AND(OR('Compliance Database'!$A352='Data Transfer'!$B$4,'Compliance Database'!$A352='Data Transfer'!$B$5),OR('Data Transfer'!$B$6="",ISNUMBER(SEARCH('Data Transfer'!$B$6,'Compliance Database'!$D352&amp;" "&amp;'Compliance Database'!$K352&amp;" "&amp;'Compliance Database'!$L352&amp;" "&amp;'Compliance Database'!$M352&amp;" "&amp;'Compliance Database'!$N352&amp;" "&amp;'Compliance Database'!$O352)))),1,0)</f>
        <v>1</v>
      </c>
      <c r="B352">
        <f>IF($A352=1,SUM($A$2:$A352),"")</f>
        <v>351</v>
      </c>
      <c r="C352">
        <f>IF($A352=1,SUM($A$2:$A352),0)</f>
        <v>351</v>
      </c>
    </row>
    <row r="353" spans="1:3" x14ac:dyDescent="0.3">
      <c r="A353">
        <f>IF(AND(OR('Compliance Database'!$A353='Data Transfer'!$B$4,'Compliance Database'!$A353='Data Transfer'!$B$5),OR('Data Transfer'!$B$6="",ISNUMBER(SEARCH('Data Transfer'!$B$6,'Compliance Database'!$D353&amp;" "&amp;'Compliance Database'!$K353&amp;" "&amp;'Compliance Database'!$L353&amp;" "&amp;'Compliance Database'!$M353&amp;" "&amp;'Compliance Database'!$N353&amp;" "&amp;'Compliance Database'!$O353)))),1,0)</f>
        <v>1</v>
      </c>
      <c r="B353">
        <f>IF($A353=1,SUM($A$2:$A353),"")</f>
        <v>352</v>
      </c>
      <c r="C353">
        <f>IF($A353=1,SUM($A$2:$A353),0)</f>
        <v>352</v>
      </c>
    </row>
    <row r="354" spans="1:3" x14ac:dyDescent="0.3">
      <c r="A354">
        <f>IF(AND(OR('Compliance Database'!$A354='Data Transfer'!$B$4,'Compliance Database'!$A354='Data Transfer'!$B$5),OR('Data Transfer'!$B$6="",ISNUMBER(SEARCH('Data Transfer'!$B$6,'Compliance Database'!$D354&amp;" "&amp;'Compliance Database'!$K354&amp;" "&amp;'Compliance Database'!$L354&amp;" "&amp;'Compliance Database'!$M354&amp;" "&amp;'Compliance Database'!$N354&amp;" "&amp;'Compliance Database'!$O354)))),1,0)</f>
        <v>1</v>
      </c>
      <c r="B354">
        <f>IF($A354=1,SUM($A$2:$A354),"")</f>
        <v>353</v>
      </c>
      <c r="C354">
        <f>IF($A354=1,SUM($A$2:$A354),0)</f>
        <v>353</v>
      </c>
    </row>
    <row r="355" spans="1:3" x14ac:dyDescent="0.3">
      <c r="A355">
        <f>IF(AND(OR('Compliance Database'!$A355='Data Transfer'!$B$4,'Compliance Database'!$A355='Data Transfer'!$B$5),OR('Data Transfer'!$B$6="",ISNUMBER(SEARCH('Data Transfer'!$B$6,'Compliance Database'!$D355&amp;" "&amp;'Compliance Database'!$K355&amp;" "&amp;'Compliance Database'!$L355&amp;" "&amp;'Compliance Database'!$M355&amp;" "&amp;'Compliance Database'!$N355&amp;" "&amp;'Compliance Database'!$O355)))),1,0)</f>
        <v>1</v>
      </c>
      <c r="B355">
        <f>IF($A355=1,SUM($A$2:$A355),"")</f>
        <v>354</v>
      </c>
      <c r="C355">
        <f>IF($A355=1,SUM($A$2:$A355),0)</f>
        <v>354</v>
      </c>
    </row>
    <row r="356" spans="1:3" x14ac:dyDescent="0.3">
      <c r="A356">
        <f>IF(AND(OR('Compliance Database'!$A356='Data Transfer'!$B$4,'Compliance Database'!$A356='Data Transfer'!$B$5),OR('Data Transfer'!$B$6="",ISNUMBER(SEARCH('Data Transfer'!$B$6,'Compliance Database'!$D356&amp;" "&amp;'Compliance Database'!$K356&amp;" "&amp;'Compliance Database'!$L356&amp;" "&amp;'Compliance Database'!$M356&amp;" "&amp;'Compliance Database'!$N356&amp;" "&amp;'Compliance Database'!$O356)))),1,0)</f>
        <v>1</v>
      </c>
      <c r="B356">
        <f>IF($A356=1,SUM($A$2:$A356),"")</f>
        <v>355</v>
      </c>
      <c r="C356">
        <f>IF($A356=1,SUM($A$2:$A356),0)</f>
        <v>355</v>
      </c>
    </row>
    <row r="357" spans="1:3" x14ac:dyDescent="0.3">
      <c r="A357">
        <f>IF(AND(OR('Compliance Database'!$A357='Data Transfer'!$B$4,'Compliance Database'!$A357='Data Transfer'!$B$5),OR('Data Transfer'!$B$6="",ISNUMBER(SEARCH('Data Transfer'!$B$6,'Compliance Database'!$D357&amp;" "&amp;'Compliance Database'!$K357&amp;" "&amp;'Compliance Database'!$L357&amp;" "&amp;'Compliance Database'!$M357&amp;" "&amp;'Compliance Database'!$N357&amp;" "&amp;'Compliance Database'!$O357)))),1,0)</f>
        <v>1</v>
      </c>
      <c r="B357">
        <f>IF($A357=1,SUM($A$2:$A357),"")</f>
        <v>356</v>
      </c>
      <c r="C357">
        <f>IF($A357=1,SUM($A$2:$A357),0)</f>
        <v>356</v>
      </c>
    </row>
    <row r="358" spans="1:3" x14ac:dyDescent="0.3">
      <c r="A358">
        <f>IF(AND(OR('Compliance Database'!$A358='Data Transfer'!$B$4,'Compliance Database'!$A358='Data Transfer'!$B$5),OR('Data Transfer'!$B$6="",ISNUMBER(SEARCH('Data Transfer'!$B$6,'Compliance Database'!$D358&amp;" "&amp;'Compliance Database'!$K358&amp;" "&amp;'Compliance Database'!$L358&amp;" "&amp;'Compliance Database'!$M358&amp;" "&amp;'Compliance Database'!$N358&amp;" "&amp;'Compliance Database'!$O358)))),1,0)</f>
        <v>1</v>
      </c>
      <c r="B358">
        <f>IF($A358=1,SUM($A$2:$A358),"")</f>
        <v>357</v>
      </c>
      <c r="C358">
        <f>IF($A358=1,SUM($A$2:$A358),0)</f>
        <v>357</v>
      </c>
    </row>
    <row r="359" spans="1:3" x14ac:dyDescent="0.3">
      <c r="A359">
        <f>IF(AND(OR('Compliance Database'!$A359='Data Transfer'!$B$4,'Compliance Database'!$A359='Data Transfer'!$B$5),OR('Data Transfer'!$B$6="",ISNUMBER(SEARCH('Data Transfer'!$B$6,'Compliance Database'!$D359&amp;" "&amp;'Compliance Database'!$K359&amp;" "&amp;'Compliance Database'!$L359&amp;" "&amp;'Compliance Database'!$M359&amp;" "&amp;'Compliance Database'!$N359&amp;" "&amp;'Compliance Database'!$O359)))),1,0)</f>
        <v>1</v>
      </c>
      <c r="B359">
        <f>IF($A359=1,SUM($A$2:$A359),"")</f>
        <v>358</v>
      </c>
      <c r="C359">
        <f>IF($A359=1,SUM($A$2:$A359),0)</f>
        <v>358</v>
      </c>
    </row>
    <row r="360" spans="1:3" x14ac:dyDescent="0.3">
      <c r="A360">
        <f>IF(AND(OR('Compliance Database'!$A360='Data Transfer'!$B$4,'Compliance Database'!$A360='Data Transfer'!$B$5),OR('Data Transfer'!$B$6="",ISNUMBER(SEARCH('Data Transfer'!$B$6,'Compliance Database'!$D360&amp;" "&amp;'Compliance Database'!$K360&amp;" "&amp;'Compliance Database'!$L360&amp;" "&amp;'Compliance Database'!$M360&amp;" "&amp;'Compliance Database'!$N360&amp;" "&amp;'Compliance Database'!$O360)))),1,0)</f>
        <v>1</v>
      </c>
      <c r="B360">
        <f>IF($A360=1,SUM($A$2:$A360),"")</f>
        <v>359</v>
      </c>
      <c r="C360">
        <f>IF($A360=1,SUM($A$2:$A360),0)</f>
        <v>359</v>
      </c>
    </row>
    <row r="361" spans="1:3" x14ac:dyDescent="0.3">
      <c r="A361">
        <f>IF(AND(OR('Compliance Database'!$A361='Data Transfer'!$B$4,'Compliance Database'!$A361='Data Transfer'!$B$5),OR('Data Transfer'!$B$6="",ISNUMBER(SEARCH('Data Transfer'!$B$6,'Compliance Database'!$D361&amp;" "&amp;'Compliance Database'!$K361&amp;" "&amp;'Compliance Database'!$L361&amp;" "&amp;'Compliance Database'!$M361&amp;" "&amp;'Compliance Database'!$N361&amp;" "&amp;'Compliance Database'!$O361)))),1,0)</f>
        <v>1</v>
      </c>
      <c r="B361">
        <f>IF($A361=1,SUM($A$2:$A361),"")</f>
        <v>360</v>
      </c>
      <c r="C361">
        <f>IF($A361=1,SUM($A$2:$A361),0)</f>
        <v>360</v>
      </c>
    </row>
    <row r="362" spans="1:3" x14ac:dyDescent="0.3">
      <c r="A362">
        <f>IF(AND(OR('Compliance Database'!$A362='Data Transfer'!$B$4,'Compliance Database'!$A362='Data Transfer'!$B$5),OR('Data Transfer'!$B$6="",ISNUMBER(SEARCH('Data Transfer'!$B$6,'Compliance Database'!$D362&amp;" "&amp;'Compliance Database'!$K362&amp;" "&amp;'Compliance Database'!$L362&amp;" "&amp;'Compliance Database'!$M362&amp;" "&amp;'Compliance Database'!$N362&amp;" "&amp;'Compliance Database'!$O362)))),1,0)</f>
        <v>1</v>
      </c>
      <c r="B362">
        <f>IF($A362=1,SUM($A$2:$A362),"")</f>
        <v>361</v>
      </c>
      <c r="C362">
        <f>IF($A362=1,SUM($A$2:$A362),0)</f>
        <v>361</v>
      </c>
    </row>
    <row r="363" spans="1:3" x14ac:dyDescent="0.3">
      <c r="A363">
        <f>IF(AND(OR('Compliance Database'!$A363='Data Transfer'!$B$4,'Compliance Database'!$A363='Data Transfer'!$B$5),OR('Data Transfer'!$B$6="",ISNUMBER(SEARCH('Data Transfer'!$B$6,'Compliance Database'!$D363&amp;" "&amp;'Compliance Database'!$K363&amp;" "&amp;'Compliance Database'!$L363&amp;" "&amp;'Compliance Database'!$M363&amp;" "&amp;'Compliance Database'!$N363&amp;" "&amp;'Compliance Database'!$O363)))),1,0)</f>
        <v>1</v>
      </c>
      <c r="B363">
        <f>IF($A363=1,SUM($A$2:$A363),"")</f>
        <v>362</v>
      </c>
      <c r="C363">
        <f>IF($A363=1,SUM($A$2:$A363),0)</f>
        <v>362</v>
      </c>
    </row>
    <row r="364" spans="1:3" x14ac:dyDescent="0.3">
      <c r="A364">
        <f>IF(AND(OR('Compliance Database'!$A364='Data Transfer'!$B$4,'Compliance Database'!$A364='Data Transfer'!$B$5),OR('Data Transfer'!$B$6="",ISNUMBER(SEARCH('Data Transfer'!$B$6,'Compliance Database'!$D364&amp;" "&amp;'Compliance Database'!$K364&amp;" "&amp;'Compliance Database'!$L364&amp;" "&amp;'Compliance Database'!$M364&amp;" "&amp;'Compliance Database'!$N364&amp;" "&amp;'Compliance Database'!$O364)))),1,0)</f>
        <v>1</v>
      </c>
      <c r="B364">
        <f>IF($A364=1,SUM($A$2:$A364),"")</f>
        <v>363</v>
      </c>
      <c r="C364">
        <f>IF($A364=1,SUM($A$2:$A364),0)</f>
        <v>363</v>
      </c>
    </row>
    <row r="365" spans="1:3" x14ac:dyDescent="0.3">
      <c r="A365">
        <f>IF(AND(OR('Compliance Database'!$A365='Data Transfer'!$B$4,'Compliance Database'!$A365='Data Transfer'!$B$5),OR('Data Transfer'!$B$6="",ISNUMBER(SEARCH('Data Transfer'!$B$6,'Compliance Database'!$D365&amp;" "&amp;'Compliance Database'!$K365&amp;" "&amp;'Compliance Database'!$L365&amp;" "&amp;'Compliance Database'!$M365&amp;" "&amp;'Compliance Database'!$N365&amp;" "&amp;'Compliance Database'!$O365)))),1,0)</f>
        <v>1</v>
      </c>
      <c r="B365">
        <f>IF($A365=1,SUM($A$2:$A365),"")</f>
        <v>364</v>
      </c>
      <c r="C365">
        <f>IF($A365=1,SUM($A$2:$A365),0)</f>
        <v>364</v>
      </c>
    </row>
    <row r="366" spans="1:3" x14ac:dyDescent="0.3">
      <c r="A366">
        <f>IF(AND(OR('Compliance Database'!$A366='Data Transfer'!$B$4,'Compliance Database'!$A366='Data Transfer'!$B$5),OR('Data Transfer'!$B$6="",ISNUMBER(SEARCH('Data Transfer'!$B$6,'Compliance Database'!$D366&amp;" "&amp;'Compliance Database'!$K366&amp;" "&amp;'Compliance Database'!$L366&amp;" "&amp;'Compliance Database'!$M366&amp;" "&amp;'Compliance Database'!$N366&amp;" "&amp;'Compliance Database'!$O366)))),1,0)</f>
        <v>1</v>
      </c>
      <c r="B366">
        <f>IF($A366=1,SUM($A$2:$A366),"")</f>
        <v>365</v>
      </c>
      <c r="C366">
        <f>IF($A366=1,SUM($A$2:$A366),0)</f>
        <v>365</v>
      </c>
    </row>
    <row r="367" spans="1:3" x14ac:dyDescent="0.3">
      <c r="A367">
        <f>IF(AND(OR('Compliance Database'!$A367='Data Transfer'!$B$4,'Compliance Database'!$A367='Data Transfer'!$B$5),OR('Data Transfer'!$B$6="",ISNUMBER(SEARCH('Data Transfer'!$B$6,'Compliance Database'!$D367&amp;" "&amp;'Compliance Database'!$K367&amp;" "&amp;'Compliance Database'!$L367&amp;" "&amp;'Compliance Database'!$M367&amp;" "&amp;'Compliance Database'!$N367&amp;" "&amp;'Compliance Database'!$O367)))),1,0)</f>
        <v>1</v>
      </c>
      <c r="B367">
        <f>IF($A367=1,SUM($A$2:$A367),"")</f>
        <v>366</v>
      </c>
      <c r="C367">
        <f>IF($A367=1,SUM($A$2:$A367),0)</f>
        <v>366</v>
      </c>
    </row>
    <row r="368" spans="1:3" x14ac:dyDescent="0.3">
      <c r="A368">
        <f>IF(AND(OR('Compliance Database'!$A368='Data Transfer'!$B$4,'Compliance Database'!$A368='Data Transfer'!$B$5),OR('Data Transfer'!$B$6="",ISNUMBER(SEARCH('Data Transfer'!$B$6,'Compliance Database'!$D368&amp;" "&amp;'Compliance Database'!$K368&amp;" "&amp;'Compliance Database'!$L368&amp;" "&amp;'Compliance Database'!$M368&amp;" "&amp;'Compliance Database'!$N368&amp;" "&amp;'Compliance Database'!$O368)))),1,0)</f>
        <v>1</v>
      </c>
      <c r="B368">
        <f>IF($A368=1,SUM($A$2:$A368),"")</f>
        <v>367</v>
      </c>
      <c r="C368">
        <f>IF($A368=1,SUM($A$2:$A368),0)</f>
        <v>367</v>
      </c>
    </row>
    <row r="369" spans="1:3" x14ac:dyDescent="0.3">
      <c r="A369">
        <f>IF(AND(OR('Compliance Database'!$A369='Data Transfer'!$B$4,'Compliance Database'!$A369='Data Transfer'!$B$5),OR('Data Transfer'!$B$6="",ISNUMBER(SEARCH('Data Transfer'!$B$6,'Compliance Database'!$D369&amp;" "&amp;'Compliance Database'!$K369&amp;" "&amp;'Compliance Database'!$L369&amp;" "&amp;'Compliance Database'!$M369&amp;" "&amp;'Compliance Database'!$N369&amp;" "&amp;'Compliance Database'!$O369)))),1,0)</f>
        <v>1</v>
      </c>
      <c r="B369">
        <f>IF($A369=1,SUM($A$2:$A369),"")</f>
        <v>368</v>
      </c>
      <c r="C369">
        <f>IF($A369=1,SUM($A$2:$A369),0)</f>
        <v>368</v>
      </c>
    </row>
    <row r="370" spans="1:3" x14ac:dyDescent="0.3">
      <c r="A370">
        <f>IF(AND(OR('Compliance Database'!$A370='Data Transfer'!$B$4,'Compliance Database'!$A370='Data Transfer'!$B$5),OR('Data Transfer'!$B$6="",ISNUMBER(SEARCH('Data Transfer'!$B$6,'Compliance Database'!$D370&amp;" "&amp;'Compliance Database'!$K370&amp;" "&amp;'Compliance Database'!$L370&amp;" "&amp;'Compliance Database'!$M370&amp;" "&amp;'Compliance Database'!$N370&amp;" "&amp;'Compliance Database'!$O370)))),1,0)</f>
        <v>0</v>
      </c>
      <c r="B370" t="str">
        <f>IF($A370=1,SUM($A$2:$A370),"")</f>
        <v/>
      </c>
      <c r="C370">
        <f>IF($A370=1,SUM($A$2:$A370),0)</f>
        <v>0</v>
      </c>
    </row>
    <row r="371" spans="1:3" x14ac:dyDescent="0.3">
      <c r="A371">
        <f>IF(AND(OR('Compliance Database'!$A371='Data Transfer'!$B$4,'Compliance Database'!$A371='Data Transfer'!$B$5),OR('Data Transfer'!$B$6="",ISNUMBER(SEARCH('Data Transfer'!$B$6,'Compliance Database'!$D371&amp;" "&amp;'Compliance Database'!$K371&amp;" "&amp;'Compliance Database'!$L371&amp;" "&amp;'Compliance Database'!$M371&amp;" "&amp;'Compliance Database'!$N371&amp;" "&amp;'Compliance Database'!$O371)))),1,0)</f>
        <v>0</v>
      </c>
      <c r="B371" t="str">
        <f>IF($A371=1,SUM($A$2:$A371),"")</f>
        <v/>
      </c>
      <c r="C371">
        <f>IF($A371=1,SUM($A$2:$A371),0)</f>
        <v>0</v>
      </c>
    </row>
    <row r="372" spans="1:3" x14ac:dyDescent="0.3">
      <c r="A372">
        <f>IF(AND(OR('Compliance Database'!$A372='Data Transfer'!$B$4,'Compliance Database'!$A372='Data Transfer'!$B$5),OR('Data Transfer'!$B$6="",ISNUMBER(SEARCH('Data Transfer'!$B$6,'Compliance Database'!$D372&amp;" "&amp;'Compliance Database'!$K372&amp;" "&amp;'Compliance Database'!$L372&amp;" "&amp;'Compliance Database'!$M372&amp;" "&amp;'Compliance Database'!$N372&amp;" "&amp;'Compliance Database'!$O372)))),1,0)</f>
        <v>0</v>
      </c>
      <c r="B372" t="str">
        <f>IF($A372=1,SUM($A$2:$A372),"")</f>
        <v/>
      </c>
      <c r="C372">
        <f>IF($A372=1,SUM($A$2:$A372),0)</f>
        <v>0</v>
      </c>
    </row>
    <row r="373" spans="1:3" x14ac:dyDescent="0.3">
      <c r="A373">
        <f>IF(AND(OR('Compliance Database'!$A373='Data Transfer'!$B$4,'Compliance Database'!$A373='Data Transfer'!$B$5),OR('Data Transfer'!$B$6="",ISNUMBER(SEARCH('Data Transfer'!$B$6,'Compliance Database'!$D373&amp;" "&amp;'Compliance Database'!$K373&amp;" "&amp;'Compliance Database'!$L373&amp;" "&amp;'Compliance Database'!$M373&amp;" "&amp;'Compliance Database'!$N373&amp;" "&amp;'Compliance Database'!$O373)))),1,0)</f>
        <v>0</v>
      </c>
      <c r="B373" t="str">
        <f>IF($A373=1,SUM($A$2:$A373),"")</f>
        <v/>
      </c>
      <c r="C373">
        <f>IF($A373=1,SUM($A$2:$A373),0)</f>
        <v>0</v>
      </c>
    </row>
    <row r="374" spans="1:3" x14ac:dyDescent="0.3">
      <c r="A374">
        <f>IF(AND(OR('Compliance Database'!$A374='Data Transfer'!$B$4,'Compliance Database'!$A374='Data Transfer'!$B$5),OR('Data Transfer'!$B$6="",ISNUMBER(SEARCH('Data Transfer'!$B$6,'Compliance Database'!$D374&amp;" "&amp;'Compliance Database'!$K374&amp;" "&amp;'Compliance Database'!$L374&amp;" "&amp;'Compliance Database'!$M374&amp;" "&amp;'Compliance Database'!$N374&amp;" "&amp;'Compliance Database'!$O374)))),1,0)</f>
        <v>0</v>
      </c>
      <c r="B374" t="str">
        <f>IF($A374=1,SUM($A$2:$A374),"")</f>
        <v/>
      </c>
      <c r="C374">
        <f>IF($A374=1,SUM($A$2:$A374),0)</f>
        <v>0</v>
      </c>
    </row>
    <row r="375" spans="1:3" x14ac:dyDescent="0.3">
      <c r="A375">
        <f>IF(AND(OR('Compliance Database'!$A375='Data Transfer'!$B$4,'Compliance Database'!$A375='Data Transfer'!$B$5),OR('Data Transfer'!$B$6="",ISNUMBER(SEARCH('Data Transfer'!$B$6,'Compliance Database'!$D375&amp;" "&amp;'Compliance Database'!$K375&amp;" "&amp;'Compliance Database'!$L375&amp;" "&amp;'Compliance Database'!$M375&amp;" "&amp;'Compliance Database'!$N375&amp;" "&amp;'Compliance Database'!$O375)))),1,0)</f>
        <v>0</v>
      </c>
      <c r="B375" t="str">
        <f>IF($A375=1,SUM($A$2:$A375),"")</f>
        <v/>
      </c>
      <c r="C375">
        <f>IF($A375=1,SUM($A$2:$A375),0)</f>
        <v>0</v>
      </c>
    </row>
    <row r="376" spans="1:3" x14ac:dyDescent="0.3">
      <c r="A376">
        <f>IF(AND(OR('Compliance Database'!$A376='Data Transfer'!$B$4,'Compliance Database'!$A376='Data Transfer'!$B$5),OR('Data Transfer'!$B$6="",ISNUMBER(SEARCH('Data Transfer'!$B$6,'Compliance Database'!$D376&amp;" "&amp;'Compliance Database'!$K376&amp;" "&amp;'Compliance Database'!$L376&amp;" "&amp;'Compliance Database'!$M376&amp;" "&amp;'Compliance Database'!$N376&amp;" "&amp;'Compliance Database'!$O376)))),1,0)</f>
        <v>0</v>
      </c>
      <c r="B376" t="str">
        <f>IF($A376=1,SUM($A$2:$A376),"")</f>
        <v/>
      </c>
      <c r="C376">
        <f>IF($A376=1,SUM($A$2:$A376),0)</f>
        <v>0</v>
      </c>
    </row>
    <row r="377" spans="1:3" x14ac:dyDescent="0.3">
      <c r="A377">
        <f>IF(AND(OR('Compliance Database'!$A377='Data Transfer'!$B$4,'Compliance Database'!$A377='Data Transfer'!$B$5),OR('Data Transfer'!$B$6="",ISNUMBER(SEARCH('Data Transfer'!$B$6,'Compliance Database'!$D377&amp;" "&amp;'Compliance Database'!$K377&amp;" "&amp;'Compliance Database'!$L377&amp;" "&amp;'Compliance Database'!$M377&amp;" "&amp;'Compliance Database'!$N377&amp;" "&amp;'Compliance Database'!$O377)))),1,0)</f>
        <v>0</v>
      </c>
      <c r="B377" t="str">
        <f>IF($A377=1,SUM($A$2:$A377),"")</f>
        <v/>
      </c>
      <c r="C377">
        <f>IF($A377=1,SUM($A$2:$A377),0)</f>
        <v>0</v>
      </c>
    </row>
    <row r="378" spans="1:3" x14ac:dyDescent="0.3">
      <c r="A378">
        <f>IF(AND(OR('Compliance Database'!$A378='Data Transfer'!$B$4,'Compliance Database'!$A378='Data Transfer'!$B$5),OR('Data Transfer'!$B$6="",ISNUMBER(SEARCH('Data Transfer'!$B$6,'Compliance Database'!$D378&amp;" "&amp;'Compliance Database'!$K378&amp;" "&amp;'Compliance Database'!$L378&amp;" "&amp;'Compliance Database'!$M378&amp;" "&amp;'Compliance Database'!$N378&amp;" "&amp;'Compliance Database'!$O378)))),1,0)</f>
        <v>0</v>
      </c>
      <c r="B378" t="str">
        <f>IF($A378=1,SUM($A$2:$A378),"")</f>
        <v/>
      </c>
      <c r="C378">
        <f>IF($A378=1,SUM($A$2:$A378),0)</f>
        <v>0</v>
      </c>
    </row>
    <row r="379" spans="1:3" x14ac:dyDescent="0.3">
      <c r="A379">
        <f>IF(AND(OR('Compliance Database'!$A379='Data Transfer'!$B$4,'Compliance Database'!$A379='Data Transfer'!$B$5),OR('Data Transfer'!$B$6="",ISNUMBER(SEARCH('Data Transfer'!$B$6,'Compliance Database'!$D379&amp;" "&amp;'Compliance Database'!$K379&amp;" "&amp;'Compliance Database'!$L379&amp;" "&amp;'Compliance Database'!$M379&amp;" "&amp;'Compliance Database'!$N379&amp;" "&amp;'Compliance Database'!$O379)))),1,0)</f>
        <v>0</v>
      </c>
      <c r="B379" t="str">
        <f>IF($A379=1,SUM($A$2:$A379),"")</f>
        <v/>
      </c>
      <c r="C379">
        <f>IF($A379=1,SUM($A$2:$A379),0)</f>
        <v>0</v>
      </c>
    </row>
    <row r="380" spans="1:3" x14ac:dyDescent="0.3">
      <c r="A380">
        <f>IF(AND(OR('Compliance Database'!$A380='Data Transfer'!$B$4,'Compliance Database'!$A380='Data Transfer'!$B$5),OR('Data Transfer'!$B$6="",ISNUMBER(SEARCH('Data Transfer'!$B$6,'Compliance Database'!$D380&amp;" "&amp;'Compliance Database'!$K380&amp;" "&amp;'Compliance Database'!$L380&amp;" "&amp;'Compliance Database'!$M380&amp;" "&amp;'Compliance Database'!$N380&amp;" "&amp;'Compliance Database'!$O380)))),1,0)</f>
        <v>0</v>
      </c>
      <c r="B380" t="str">
        <f>IF($A380=1,SUM($A$2:$A380),"")</f>
        <v/>
      </c>
      <c r="C380">
        <f>IF($A380=1,SUM($A$2:$A380),0)</f>
        <v>0</v>
      </c>
    </row>
    <row r="381" spans="1:3" x14ac:dyDescent="0.3">
      <c r="A381">
        <f>IF(AND(OR('Compliance Database'!$A381='Data Transfer'!$B$4,'Compliance Database'!$A381='Data Transfer'!$B$5),OR('Data Transfer'!$B$6="",ISNUMBER(SEARCH('Data Transfer'!$B$6,'Compliance Database'!$D381&amp;" "&amp;'Compliance Database'!$K381&amp;" "&amp;'Compliance Database'!$L381&amp;" "&amp;'Compliance Database'!$M381&amp;" "&amp;'Compliance Database'!$N381&amp;" "&amp;'Compliance Database'!$O381)))),1,0)</f>
        <v>0</v>
      </c>
      <c r="B381" t="str">
        <f>IF($A381=1,SUM($A$2:$A381),"")</f>
        <v/>
      </c>
      <c r="C381">
        <f>IF($A381=1,SUM($A$2:$A381),0)</f>
        <v>0</v>
      </c>
    </row>
    <row r="382" spans="1:3" x14ac:dyDescent="0.3">
      <c r="A382">
        <f>IF(AND(OR('Compliance Database'!$A382='Data Transfer'!$B$4,'Compliance Database'!$A382='Data Transfer'!$B$5),OR('Data Transfer'!$B$6="",ISNUMBER(SEARCH('Data Transfer'!$B$6,'Compliance Database'!$D382&amp;" "&amp;'Compliance Database'!$K382&amp;" "&amp;'Compliance Database'!$L382&amp;" "&amp;'Compliance Database'!$M382&amp;" "&amp;'Compliance Database'!$N382&amp;" "&amp;'Compliance Database'!$O382)))),1,0)</f>
        <v>0</v>
      </c>
      <c r="B382" t="str">
        <f>IF($A382=1,SUM($A$2:$A382),"")</f>
        <v/>
      </c>
      <c r="C382">
        <f>IF($A382=1,SUM($A$2:$A382),0)</f>
        <v>0</v>
      </c>
    </row>
    <row r="383" spans="1:3" x14ac:dyDescent="0.3">
      <c r="A383">
        <f>IF(AND(OR('Compliance Database'!$A383='Data Transfer'!$B$4,'Compliance Database'!$A383='Data Transfer'!$B$5),OR('Data Transfer'!$B$6="",ISNUMBER(SEARCH('Data Transfer'!$B$6,'Compliance Database'!$D383&amp;" "&amp;'Compliance Database'!$K383&amp;" "&amp;'Compliance Database'!$L383&amp;" "&amp;'Compliance Database'!$M383&amp;" "&amp;'Compliance Database'!$N383&amp;" "&amp;'Compliance Database'!$O383)))),1,0)</f>
        <v>0</v>
      </c>
      <c r="B383" t="str">
        <f>IF($A383=1,SUM($A$2:$A383),"")</f>
        <v/>
      </c>
      <c r="C383">
        <f>IF($A383=1,SUM($A$2:$A383),0)</f>
        <v>0</v>
      </c>
    </row>
    <row r="384" spans="1:3" x14ac:dyDescent="0.3">
      <c r="A384">
        <f>IF(AND(OR('Compliance Database'!$A384='Data Transfer'!$B$4,'Compliance Database'!$A384='Data Transfer'!$B$5),OR('Data Transfer'!$B$6="",ISNUMBER(SEARCH('Data Transfer'!$B$6,'Compliance Database'!$D384&amp;" "&amp;'Compliance Database'!$K384&amp;" "&amp;'Compliance Database'!$L384&amp;" "&amp;'Compliance Database'!$M384&amp;" "&amp;'Compliance Database'!$N384&amp;" "&amp;'Compliance Database'!$O384)))),1,0)</f>
        <v>0</v>
      </c>
      <c r="B384" t="str">
        <f>IF($A384=1,SUM($A$2:$A384),"")</f>
        <v/>
      </c>
      <c r="C384">
        <f>IF($A384=1,SUM($A$2:$A384),0)</f>
        <v>0</v>
      </c>
    </row>
    <row r="385" spans="1:3" x14ac:dyDescent="0.3">
      <c r="A385">
        <f>IF(AND(OR('Compliance Database'!$A385='Data Transfer'!$B$4,'Compliance Database'!$A385='Data Transfer'!$B$5),OR('Data Transfer'!$B$6="",ISNUMBER(SEARCH('Data Transfer'!$B$6,'Compliance Database'!$D385&amp;" "&amp;'Compliance Database'!$K385&amp;" "&amp;'Compliance Database'!$L385&amp;" "&amp;'Compliance Database'!$M385&amp;" "&amp;'Compliance Database'!$N385&amp;" "&amp;'Compliance Database'!$O385)))),1,0)</f>
        <v>0</v>
      </c>
      <c r="B385" t="str">
        <f>IF($A385=1,SUM($A$2:$A385),"")</f>
        <v/>
      </c>
      <c r="C385">
        <f>IF($A385=1,SUM($A$2:$A385),0)</f>
        <v>0</v>
      </c>
    </row>
    <row r="386" spans="1:3" x14ac:dyDescent="0.3">
      <c r="A386">
        <f>IF(AND(OR('Compliance Database'!$A386='Data Transfer'!$B$4,'Compliance Database'!$A386='Data Transfer'!$B$5),OR('Data Transfer'!$B$6="",ISNUMBER(SEARCH('Data Transfer'!$B$6,'Compliance Database'!$D386&amp;" "&amp;'Compliance Database'!$K386&amp;" "&amp;'Compliance Database'!$L386&amp;" "&amp;'Compliance Database'!$M386&amp;" "&amp;'Compliance Database'!$N386&amp;" "&amp;'Compliance Database'!$O386)))),1,0)</f>
        <v>0</v>
      </c>
      <c r="B386" t="str">
        <f>IF($A386=1,SUM($A$2:$A386),"")</f>
        <v/>
      </c>
      <c r="C386">
        <f>IF($A386=1,SUM($A$2:$A386),0)</f>
        <v>0</v>
      </c>
    </row>
    <row r="387" spans="1:3" x14ac:dyDescent="0.3">
      <c r="A387">
        <f>IF(AND(OR('Compliance Database'!$A387='Data Transfer'!$B$4,'Compliance Database'!$A387='Data Transfer'!$B$5),OR('Data Transfer'!$B$6="",ISNUMBER(SEARCH('Data Transfer'!$B$6,'Compliance Database'!$D387&amp;" "&amp;'Compliance Database'!$K387&amp;" "&amp;'Compliance Database'!$L387&amp;" "&amp;'Compliance Database'!$M387&amp;" "&amp;'Compliance Database'!$N387&amp;" "&amp;'Compliance Database'!$O387)))),1,0)</f>
        <v>0</v>
      </c>
      <c r="B387" t="str">
        <f>IF($A387=1,SUM($A$2:$A387),"")</f>
        <v/>
      </c>
      <c r="C387">
        <f>IF($A387=1,SUM($A$2:$A387),0)</f>
        <v>0</v>
      </c>
    </row>
    <row r="388" spans="1:3" x14ac:dyDescent="0.3">
      <c r="A388">
        <f>IF(AND(OR('Compliance Database'!$A388='Data Transfer'!$B$4,'Compliance Database'!$A388='Data Transfer'!$B$5),OR('Data Transfer'!$B$6="",ISNUMBER(SEARCH('Data Transfer'!$B$6,'Compliance Database'!$D388&amp;" "&amp;'Compliance Database'!$K388&amp;" "&amp;'Compliance Database'!$L388&amp;" "&amp;'Compliance Database'!$M388&amp;" "&amp;'Compliance Database'!$N388&amp;" "&amp;'Compliance Database'!$O388)))),1,0)</f>
        <v>0</v>
      </c>
      <c r="B388" t="str">
        <f>IF($A388=1,SUM($A$2:$A388),"")</f>
        <v/>
      </c>
      <c r="C388">
        <f>IF($A388=1,SUM($A$2:$A388),0)</f>
        <v>0</v>
      </c>
    </row>
    <row r="389" spans="1:3" x14ac:dyDescent="0.3">
      <c r="A389">
        <f>IF(AND(OR('Compliance Database'!$A389='Data Transfer'!$B$4,'Compliance Database'!$A389='Data Transfer'!$B$5),OR('Data Transfer'!$B$6="",ISNUMBER(SEARCH('Data Transfer'!$B$6,'Compliance Database'!$D389&amp;" "&amp;'Compliance Database'!$K389&amp;" "&amp;'Compliance Database'!$L389&amp;" "&amp;'Compliance Database'!$M389&amp;" "&amp;'Compliance Database'!$N389&amp;" "&amp;'Compliance Database'!$O389)))),1,0)</f>
        <v>0</v>
      </c>
      <c r="B389" t="str">
        <f>IF($A389=1,SUM($A$2:$A389),"")</f>
        <v/>
      </c>
      <c r="C389">
        <f>IF($A389=1,SUM($A$2:$A389),0)</f>
        <v>0</v>
      </c>
    </row>
    <row r="390" spans="1:3" x14ac:dyDescent="0.3">
      <c r="A390">
        <f>IF(AND(OR('Compliance Database'!$A390='Data Transfer'!$B$4,'Compliance Database'!$A390='Data Transfer'!$B$5),OR('Data Transfer'!$B$6="",ISNUMBER(SEARCH('Data Transfer'!$B$6,'Compliance Database'!$D390&amp;" "&amp;'Compliance Database'!$K390&amp;" "&amp;'Compliance Database'!$L390&amp;" "&amp;'Compliance Database'!$M390&amp;" "&amp;'Compliance Database'!$N390&amp;" "&amp;'Compliance Database'!$O390)))),1,0)</f>
        <v>0</v>
      </c>
      <c r="B390" t="str">
        <f>IF($A390=1,SUM($A$2:$A390),"")</f>
        <v/>
      </c>
      <c r="C390">
        <f>IF($A390=1,SUM($A$2:$A390),0)</f>
        <v>0</v>
      </c>
    </row>
    <row r="391" spans="1:3" x14ac:dyDescent="0.3">
      <c r="A391">
        <f>IF(AND(OR('Compliance Database'!$A391='Data Transfer'!$B$4,'Compliance Database'!$A391='Data Transfer'!$B$5),OR('Data Transfer'!$B$6="",ISNUMBER(SEARCH('Data Transfer'!$B$6,'Compliance Database'!$D391&amp;" "&amp;'Compliance Database'!$K391&amp;" "&amp;'Compliance Database'!$L391&amp;" "&amp;'Compliance Database'!$M391&amp;" "&amp;'Compliance Database'!$N391&amp;" "&amp;'Compliance Database'!$O391)))),1,0)</f>
        <v>0</v>
      </c>
      <c r="B391" t="str">
        <f>IF($A391=1,SUM($A$2:$A391),"")</f>
        <v/>
      </c>
      <c r="C391">
        <f>IF($A391=1,SUM($A$2:$A391),0)</f>
        <v>0</v>
      </c>
    </row>
    <row r="392" spans="1:3" x14ac:dyDescent="0.3">
      <c r="A392">
        <f>IF(AND(OR('Compliance Database'!$A392='Data Transfer'!$B$4,'Compliance Database'!$A392='Data Transfer'!$B$5),OR('Data Transfer'!$B$6="",ISNUMBER(SEARCH('Data Transfer'!$B$6,'Compliance Database'!$D392&amp;" "&amp;'Compliance Database'!$K392&amp;" "&amp;'Compliance Database'!$L392&amp;" "&amp;'Compliance Database'!$M392&amp;" "&amp;'Compliance Database'!$N392&amp;" "&amp;'Compliance Database'!$O392)))),1,0)</f>
        <v>0</v>
      </c>
      <c r="B392" t="str">
        <f>IF($A392=1,SUM($A$2:$A392),"")</f>
        <v/>
      </c>
      <c r="C392">
        <f>IF($A392=1,SUM($A$2:$A392),0)</f>
        <v>0</v>
      </c>
    </row>
    <row r="393" spans="1:3" x14ac:dyDescent="0.3">
      <c r="A393">
        <f>IF(AND(OR('Compliance Database'!$A393='Data Transfer'!$B$4,'Compliance Database'!$A393='Data Transfer'!$B$5),OR('Data Transfer'!$B$6="",ISNUMBER(SEARCH('Data Transfer'!$B$6,'Compliance Database'!$D393&amp;" "&amp;'Compliance Database'!$K393&amp;" "&amp;'Compliance Database'!$L393&amp;" "&amp;'Compliance Database'!$M393&amp;" "&amp;'Compliance Database'!$N393&amp;" "&amp;'Compliance Database'!$O393)))),1,0)</f>
        <v>0</v>
      </c>
      <c r="B393" t="str">
        <f>IF($A393=1,SUM($A$2:$A393),"")</f>
        <v/>
      </c>
      <c r="C393">
        <f>IF($A393=1,SUM($A$2:$A393),0)</f>
        <v>0</v>
      </c>
    </row>
    <row r="394" spans="1:3" x14ac:dyDescent="0.3">
      <c r="A394">
        <f>IF(AND(OR('Compliance Database'!$A394='Data Transfer'!$B$4,'Compliance Database'!$A394='Data Transfer'!$B$5),OR('Data Transfer'!$B$6="",ISNUMBER(SEARCH('Data Transfer'!$B$6,'Compliance Database'!$D394&amp;" "&amp;'Compliance Database'!$K394&amp;" "&amp;'Compliance Database'!$L394&amp;" "&amp;'Compliance Database'!$M394&amp;" "&amp;'Compliance Database'!$N394&amp;" "&amp;'Compliance Database'!$O394)))),1,0)</f>
        <v>0</v>
      </c>
      <c r="B394" t="str">
        <f>IF($A394=1,SUM($A$2:$A394),"")</f>
        <v/>
      </c>
      <c r="C394">
        <f>IF($A394=1,SUM($A$2:$A394),0)</f>
        <v>0</v>
      </c>
    </row>
    <row r="395" spans="1:3" x14ac:dyDescent="0.3">
      <c r="A395">
        <f>IF(AND(OR('Compliance Database'!$A395='Data Transfer'!$B$4,'Compliance Database'!$A395='Data Transfer'!$B$5),OR('Data Transfer'!$B$6="",ISNUMBER(SEARCH('Data Transfer'!$B$6,'Compliance Database'!$D395&amp;" "&amp;'Compliance Database'!$K395&amp;" "&amp;'Compliance Database'!$L395&amp;" "&amp;'Compliance Database'!$M395&amp;" "&amp;'Compliance Database'!$N395&amp;" "&amp;'Compliance Database'!$O395)))),1,0)</f>
        <v>0</v>
      </c>
      <c r="B395" t="str">
        <f>IF($A395=1,SUM($A$2:$A395),"")</f>
        <v/>
      </c>
      <c r="C395">
        <f>IF($A395=1,SUM($A$2:$A395),0)</f>
        <v>0</v>
      </c>
    </row>
    <row r="396" spans="1:3" x14ac:dyDescent="0.3">
      <c r="A396">
        <f>IF(AND(OR('Compliance Database'!$A396='Data Transfer'!$B$4,'Compliance Database'!$A396='Data Transfer'!$B$5),OR('Data Transfer'!$B$6="",ISNUMBER(SEARCH('Data Transfer'!$B$6,'Compliance Database'!$D396&amp;" "&amp;'Compliance Database'!$K396&amp;" "&amp;'Compliance Database'!$L396&amp;" "&amp;'Compliance Database'!$M396&amp;" "&amp;'Compliance Database'!$N396&amp;" "&amp;'Compliance Database'!$O396)))),1,0)</f>
        <v>0</v>
      </c>
      <c r="B396" t="str">
        <f>IF($A396=1,SUM($A$2:$A396),"")</f>
        <v/>
      </c>
      <c r="C396">
        <f>IF($A396=1,SUM($A$2:$A396),0)</f>
        <v>0</v>
      </c>
    </row>
    <row r="397" spans="1:3" x14ac:dyDescent="0.3">
      <c r="A397">
        <f>IF(AND(OR('Compliance Database'!$A397='Data Transfer'!$B$4,'Compliance Database'!$A397='Data Transfer'!$B$5),OR('Data Transfer'!$B$6="",ISNUMBER(SEARCH('Data Transfer'!$B$6,'Compliance Database'!$D397&amp;" "&amp;'Compliance Database'!$K397&amp;" "&amp;'Compliance Database'!$L397&amp;" "&amp;'Compliance Database'!$M397&amp;" "&amp;'Compliance Database'!$N397&amp;" "&amp;'Compliance Database'!$O397)))),1,0)</f>
        <v>0</v>
      </c>
      <c r="B397" t="str">
        <f>IF($A397=1,SUM($A$2:$A397),"")</f>
        <v/>
      </c>
      <c r="C397">
        <f>IF($A397=1,SUM($A$2:$A397),0)</f>
        <v>0</v>
      </c>
    </row>
    <row r="398" spans="1:3" x14ac:dyDescent="0.3">
      <c r="A398">
        <f>IF(AND(OR('Compliance Database'!$A398='Data Transfer'!$B$4,'Compliance Database'!$A398='Data Transfer'!$B$5),OR('Data Transfer'!$B$6="",ISNUMBER(SEARCH('Data Transfer'!$B$6,'Compliance Database'!$D398&amp;" "&amp;'Compliance Database'!$K398&amp;" "&amp;'Compliance Database'!$L398&amp;" "&amp;'Compliance Database'!$M398&amp;" "&amp;'Compliance Database'!$N398&amp;" "&amp;'Compliance Database'!$O398)))),1,0)</f>
        <v>0</v>
      </c>
      <c r="B398" t="str">
        <f>IF($A398=1,SUM($A$2:$A398),"")</f>
        <v/>
      </c>
      <c r="C398">
        <f>IF($A398=1,SUM($A$2:$A398),0)</f>
        <v>0</v>
      </c>
    </row>
    <row r="399" spans="1:3" x14ac:dyDescent="0.3">
      <c r="A399">
        <f>IF(AND(OR('Compliance Database'!$A399='Data Transfer'!$B$4,'Compliance Database'!$A399='Data Transfer'!$B$5),OR('Data Transfer'!$B$6="",ISNUMBER(SEARCH('Data Transfer'!$B$6,'Compliance Database'!$D399&amp;" "&amp;'Compliance Database'!$K399&amp;" "&amp;'Compliance Database'!$L399&amp;" "&amp;'Compliance Database'!$M399&amp;" "&amp;'Compliance Database'!$N399&amp;" "&amp;'Compliance Database'!$O399)))),1,0)</f>
        <v>0</v>
      </c>
      <c r="B399" t="str">
        <f>IF($A399=1,SUM($A$2:$A399),"")</f>
        <v/>
      </c>
      <c r="C399">
        <f>IF($A399=1,SUM($A$2:$A399),0)</f>
        <v>0</v>
      </c>
    </row>
    <row r="400" spans="1:3" x14ac:dyDescent="0.3">
      <c r="A400">
        <f>IF(AND(OR('Compliance Database'!$A400='Data Transfer'!$B$4,'Compliance Database'!$A400='Data Transfer'!$B$5),OR('Data Transfer'!$B$6="",ISNUMBER(SEARCH('Data Transfer'!$B$6,'Compliance Database'!$D400&amp;" "&amp;'Compliance Database'!$K400&amp;" "&amp;'Compliance Database'!$L400&amp;" "&amp;'Compliance Database'!$M400&amp;" "&amp;'Compliance Database'!$N400&amp;" "&amp;'Compliance Database'!$O400)))),1,0)</f>
        <v>0</v>
      </c>
      <c r="B400" t="str">
        <f>IF($A400=1,SUM($A$2:$A400),"")</f>
        <v/>
      </c>
      <c r="C400">
        <f>IF($A400=1,SUM($A$2:$A400),0)</f>
        <v>0</v>
      </c>
    </row>
    <row r="401" spans="1:3" x14ac:dyDescent="0.3">
      <c r="A401">
        <f>IF(AND(OR('Compliance Database'!$A401='Data Transfer'!$B$4,'Compliance Database'!$A401='Data Transfer'!$B$5),OR('Data Transfer'!$B$6="",ISNUMBER(SEARCH('Data Transfer'!$B$6,'Compliance Database'!$D401&amp;" "&amp;'Compliance Database'!$K401&amp;" "&amp;'Compliance Database'!$L401&amp;" "&amp;'Compliance Database'!$M401&amp;" "&amp;'Compliance Database'!$N401&amp;" "&amp;'Compliance Database'!$O401)))),1,0)</f>
        <v>0</v>
      </c>
      <c r="B401" t="str">
        <f>IF($A401=1,SUM($A$2:$A401),"")</f>
        <v/>
      </c>
      <c r="C401">
        <f>IF($A401=1,SUM($A$2:$A401),0)</f>
        <v>0</v>
      </c>
    </row>
    <row r="402" spans="1:3" x14ac:dyDescent="0.3">
      <c r="A402">
        <f>IF(AND(OR('Compliance Database'!$A402='Data Transfer'!$B$4,'Compliance Database'!$A402='Data Transfer'!$B$5),OR('Data Transfer'!$B$6="",ISNUMBER(SEARCH('Data Transfer'!$B$6,'Compliance Database'!$D402&amp;" "&amp;'Compliance Database'!$K402&amp;" "&amp;'Compliance Database'!$L402&amp;" "&amp;'Compliance Database'!$M402&amp;" "&amp;'Compliance Database'!$N402&amp;" "&amp;'Compliance Database'!$O402)))),1,0)</f>
        <v>0</v>
      </c>
      <c r="B402" t="str">
        <f>IF($A402=1,SUM($A$2:$A402),"")</f>
        <v/>
      </c>
      <c r="C402">
        <f>IF($A402=1,SUM($A$2:$A402),0)</f>
        <v>0</v>
      </c>
    </row>
    <row r="403" spans="1:3" x14ac:dyDescent="0.3">
      <c r="A403">
        <f>IF(AND(OR('Compliance Database'!$A403='Data Transfer'!$B$4,'Compliance Database'!$A403='Data Transfer'!$B$5),OR('Data Transfer'!$B$6="",ISNUMBER(SEARCH('Data Transfer'!$B$6,'Compliance Database'!$D403&amp;" "&amp;'Compliance Database'!$K403&amp;" "&amp;'Compliance Database'!$L403&amp;" "&amp;'Compliance Database'!$M403&amp;" "&amp;'Compliance Database'!$N403&amp;" "&amp;'Compliance Database'!$O403)))),1,0)</f>
        <v>0</v>
      </c>
      <c r="B403" t="str">
        <f>IF($A403=1,SUM($A$2:$A403),"")</f>
        <v/>
      </c>
      <c r="C403">
        <f>IF($A403=1,SUM($A$2:$A403),0)</f>
        <v>0</v>
      </c>
    </row>
    <row r="404" spans="1:3" x14ac:dyDescent="0.3">
      <c r="A404">
        <f>IF(AND(OR('Compliance Database'!$A404='Data Transfer'!$B$4,'Compliance Database'!$A404='Data Transfer'!$B$5),OR('Data Transfer'!$B$6="",ISNUMBER(SEARCH('Data Transfer'!$B$6,'Compliance Database'!$D404&amp;" "&amp;'Compliance Database'!$K404&amp;" "&amp;'Compliance Database'!$L404&amp;" "&amp;'Compliance Database'!$M404&amp;" "&amp;'Compliance Database'!$N404&amp;" "&amp;'Compliance Database'!$O404)))),1,0)</f>
        <v>0</v>
      </c>
      <c r="B404" t="str">
        <f>IF($A404=1,SUM($A$2:$A404),"")</f>
        <v/>
      </c>
      <c r="C404">
        <f>IF($A404=1,SUM($A$2:$A404),0)</f>
        <v>0</v>
      </c>
    </row>
    <row r="405" spans="1:3" x14ac:dyDescent="0.3">
      <c r="A405">
        <f>IF(AND(OR('Compliance Database'!$A405='Data Transfer'!$B$4,'Compliance Database'!$A405='Data Transfer'!$B$5),OR('Data Transfer'!$B$6="",ISNUMBER(SEARCH('Data Transfer'!$B$6,'Compliance Database'!$D405&amp;" "&amp;'Compliance Database'!$K405&amp;" "&amp;'Compliance Database'!$L405&amp;" "&amp;'Compliance Database'!$M405&amp;" "&amp;'Compliance Database'!$N405&amp;" "&amp;'Compliance Database'!$O405)))),1,0)</f>
        <v>0</v>
      </c>
      <c r="B405" t="str">
        <f>IF($A405=1,SUM($A$2:$A405),"")</f>
        <v/>
      </c>
      <c r="C405">
        <f>IF($A405=1,SUM($A$2:$A405),0)</f>
        <v>0</v>
      </c>
    </row>
    <row r="406" spans="1:3" x14ac:dyDescent="0.3">
      <c r="A406">
        <f>IF(AND(OR('Compliance Database'!$A406='Data Transfer'!$B$4,'Compliance Database'!$A406='Data Transfer'!$B$5),OR('Data Transfer'!$B$6="",ISNUMBER(SEARCH('Data Transfer'!$B$6,'Compliance Database'!$D406&amp;" "&amp;'Compliance Database'!$K406&amp;" "&amp;'Compliance Database'!$L406&amp;" "&amp;'Compliance Database'!$M406&amp;" "&amp;'Compliance Database'!$N406&amp;" "&amp;'Compliance Database'!$O406)))),1,0)</f>
        <v>0</v>
      </c>
      <c r="B406" t="str">
        <f>IF($A406=1,SUM($A$2:$A406),"")</f>
        <v/>
      </c>
      <c r="C406">
        <f>IF($A406=1,SUM($A$2:$A406),0)</f>
        <v>0</v>
      </c>
    </row>
    <row r="407" spans="1:3" x14ac:dyDescent="0.3">
      <c r="A407">
        <f>IF(AND(OR('Compliance Database'!$A407='Data Transfer'!$B$4,'Compliance Database'!$A407='Data Transfer'!$B$5),OR('Data Transfer'!$B$6="",ISNUMBER(SEARCH('Data Transfer'!$B$6,'Compliance Database'!$D407&amp;" "&amp;'Compliance Database'!$K407&amp;" "&amp;'Compliance Database'!$L407&amp;" "&amp;'Compliance Database'!$M407&amp;" "&amp;'Compliance Database'!$N407&amp;" "&amp;'Compliance Database'!$O407)))),1,0)</f>
        <v>0</v>
      </c>
      <c r="B407" t="str">
        <f>IF($A407=1,SUM($A$2:$A407),"")</f>
        <v/>
      </c>
      <c r="C407">
        <f>IF($A407=1,SUM($A$2:$A407),0)</f>
        <v>0</v>
      </c>
    </row>
    <row r="408" spans="1:3" x14ac:dyDescent="0.3">
      <c r="A408">
        <f>IF(AND(OR('Compliance Database'!$A408='Data Transfer'!$B$4,'Compliance Database'!$A408='Data Transfer'!$B$5),OR('Data Transfer'!$B$6="",ISNUMBER(SEARCH('Data Transfer'!$B$6,'Compliance Database'!$D408&amp;" "&amp;'Compliance Database'!$K408&amp;" "&amp;'Compliance Database'!$L408&amp;" "&amp;'Compliance Database'!$M408&amp;" "&amp;'Compliance Database'!$N408&amp;" "&amp;'Compliance Database'!$O408)))),1,0)</f>
        <v>0</v>
      </c>
      <c r="B408" t="str">
        <f>IF($A408=1,SUM($A$2:$A408),"")</f>
        <v/>
      </c>
      <c r="C408">
        <f>IF($A408=1,SUM($A$2:$A408),0)</f>
        <v>0</v>
      </c>
    </row>
    <row r="409" spans="1:3" x14ac:dyDescent="0.3">
      <c r="A409">
        <f>IF(AND(OR('Compliance Database'!$A409='Data Transfer'!$B$4,'Compliance Database'!$A409='Data Transfer'!$B$5),OR('Data Transfer'!$B$6="",ISNUMBER(SEARCH('Data Transfer'!$B$6,'Compliance Database'!$D409&amp;" "&amp;'Compliance Database'!$K409&amp;" "&amp;'Compliance Database'!$L409&amp;" "&amp;'Compliance Database'!$M409&amp;" "&amp;'Compliance Database'!$N409&amp;" "&amp;'Compliance Database'!$O409)))),1,0)</f>
        <v>0</v>
      </c>
      <c r="B409" t="str">
        <f>IF($A409=1,SUM($A$2:$A409),"")</f>
        <v/>
      </c>
      <c r="C409">
        <f>IF($A409=1,SUM($A$2:$A409),0)</f>
        <v>0</v>
      </c>
    </row>
    <row r="410" spans="1:3" x14ac:dyDescent="0.3">
      <c r="A410">
        <f>IF(AND(OR('Compliance Database'!$A410='Data Transfer'!$B$4,'Compliance Database'!$A410='Data Transfer'!$B$5),OR('Data Transfer'!$B$6="",ISNUMBER(SEARCH('Data Transfer'!$B$6,'Compliance Database'!$D410&amp;" "&amp;'Compliance Database'!$K410&amp;" "&amp;'Compliance Database'!$L410&amp;" "&amp;'Compliance Database'!$M410&amp;" "&amp;'Compliance Database'!$N410&amp;" "&amp;'Compliance Database'!$O410)))),1,0)</f>
        <v>0</v>
      </c>
      <c r="B410" t="str">
        <f>IF($A410=1,SUM($A$2:$A410),"")</f>
        <v/>
      </c>
      <c r="C410">
        <f>IF($A410=1,SUM($A$2:$A410),0)</f>
        <v>0</v>
      </c>
    </row>
    <row r="411" spans="1:3" x14ac:dyDescent="0.3">
      <c r="A411">
        <f>IF(AND(OR('Compliance Database'!$A411='Data Transfer'!$B$4,'Compliance Database'!$A411='Data Transfer'!$B$5),OR('Data Transfer'!$B$6="",ISNUMBER(SEARCH('Data Transfer'!$B$6,'Compliance Database'!$D411&amp;" "&amp;'Compliance Database'!$K411&amp;" "&amp;'Compliance Database'!$L411&amp;" "&amp;'Compliance Database'!$M411&amp;" "&amp;'Compliance Database'!$N411&amp;" "&amp;'Compliance Database'!$O411)))),1,0)</f>
        <v>0</v>
      </c>
      <c r="B411" t="str">
        <f>IF($A411=1,SUM($A$2:$A411),"")</f>
        <v/>
      </c>
      <c r="C411">
        <f>IF($A411=1,SUM($A$2:$A411),0)</f>
        <v>0</v>
      </c>
    </row>
    <row r="412" spans="1:3" x14ac:dyDescent="0.3">
      <c r="A412">
        <f>IF(AND(OR('Compliance Database'!$A412='Data Transfer'!$B$4,'Compliance Database'!$A412='Data Transfer'!$B$5),OR('Data Transfer'!$B$6="",ISNUMBER(SEARCH('Data Transfer'!$B$6,'Compliance Database'!$D412&amp;" "&amp;'Compliance Database'!$K412&amp;" "&amp;'Compliance Database'!$L412&amp;" "&amp;'Compliance Database'!$M412&amp;" "&amp;'Compliance Database'!$N412&amp;" "&amp;'Compliance Database'!$O412)))),1,0)</f>
        <v>0</v>
      </c>
      <c r="B412" t="str">
        <f>IF($A412=1,SUM($A$2:$A412),"")</f>
        <v/>
      </c>
      <c r="C412">
        <f>IF($A412=1,SUM($A$2:$A412),0)</f>
        <v>0</v>
      </c>
    </row>
    <row r="413" spans="1:3" x14ac:dyDescent="0.3">
      <c r="A413">
        <f>IF(AND(OR('Compliance Database'!$A413='Data Transfer'!$B$4,'Compliance Database'!$A413='Data Transfer'!$B$5),OR('Data Transfer'!$B$6="",ISNUMBER(SEARCH('Data Transfer'!$B$6,'Compliance Database'!$D413&amp;" "&amp;'Compliance Database'!$K413&amp;" "&amp;'Compliance Database'!$L413&amp;" "&amp;'Compliance Database'!$M413&amp;" "&amp;'Compliance Database'!$N413&amp;" "&amp;'Compliance Database'!$O413)))),1,0)</f>
        <v>0</v>
      </c>
      <c r="B413" t="str">
        <f>IF($A413=1,SUM($A$2:$A413),"")</f>
        <v/>
      </c>
      <c r="C413">
        <f>IF($A413=1,SUM($A$2:$A413),0)</f>
        <v>0</v>
      </c>
    </row>
    <row r="414" spans="1:3" x14ac:dyDescent="0.3">
      <c r="A414">
        <f>IF(AND(OR('Compliance Database'!$A414='Data Transfer'!$B$4,'Compliance Database'!$A414='Data Transfer'!$B$5),OR('Data Transfer'!$B$6="",ISNUMBER(SEARCH('Data Transfer'!$B$6,'Compliance Database'!$D414&amp;" "&amp;'Compliance Database'!$K414&amp;" "&amp;'Compliance Database'!$L414&amp;" "&amp;'Compliance Database'!$M414&amp;" "&amp;'Compliance Database'!$N414&amp;" "&amp;'Compliance Database'!$O414)))),1,0)</f>
        <v>0</v>
      </c>
      <c r="B414" t="str">
        <f>IF($A414=1,SUM($A$2:$A414),"")</f>
        <v/>
      </c>
      <c r="C414">
        <f>IF($A414=1,SUM($A$2:$A414),0)</f>
        <v>0</v>
      </c>
    </row>
    <row r="415" spans="1:3" x14ac:dyDescent="0.3">
      <c r="A415">
        <f>IF(AND(OR('Compliance Database'!$A415='Data Transfer'!$B$4,'Compliance Database'!$A415='Data Transfer'!$B$5),OR('Data Transfer'!$B$6="",ISNUMBER(SEARCH('Data Transfer'!$B$6,'Compliance Database'!$D415&amp;" "&amp;'Compliance Database'!$K415&amp;" "&amp;'Compliance Database'!$L415&amp;" "&amp;'Compliance Database'!$M415&amp;" "&amp;'Compliance Database'!$N415&amp;" "&amp;'Compliance Database'!$O415)))),1,0)</f>
        <v>0</v>
      </c>
      <c r="B415" t="str">
        <f>IF($A415=1,SUM($A$2:$A415),"")</f>
        <v/>
      </c>
      <c r="C415">
        <f>IF($A415=1,SUM($A$2:$A415),0)</f>
        <v>0</v>
      </c>
    </row>
    <row r="416" spans="1:3" x14ac:dyDescent="0.3">
      <c r="A416">
        <f>IF(AND(OR('Compliance Database'!$A416='Data Transfer'!$B$4,'Compliance Database'!$A416='Data Transfer'!$B$5),OR('Data Transfer'!$B$6="",ISNUMBER(SEARCH('Data Transfer'!$B$6,'Compliance Database'!$D416&amp;" "&amp;'Compliance Database'!$K416&amp;" "&amp;'Compliance Database'!$L416&amp;" "&amp;'Compliance Database'!$M416&amp;" "&amp;'Compliance Database'!$N416&amp;" "&amp;'Compliance Database'!$O416)))),1,0)</f>
        <v>0</v>
      </c>
      <c r="B416" t="str">
        <f>IF($A416=1,SUM($A$2:$A416),"")</f>
        <v/>
      </c>
      <c r="C416">
        <f>IF($A416=1,SUM($A$2:$A416),0)</f>
        <v>0</v>
      </c>
    </row>
    <row r="417" spans="1:3" x14ac:dyDescent="0.3">
      <c r="A417">
        <f>IF(AND(OR('Compliance Database'!$A417='Data Transfer'!$B$4,'Compliance Database'!$A417='Data Transfer'!$B$5),OR('Data Transfer'!$B$6="",ISNUMBER(SEARCH('Data Transfer'!$B$6,'Compliance Database'!$D417&amp;" "&amp;'Compliance Database'!$K417&amp;" "&amp;'Compliance Database'!$L417&amp;" "&amp;'Compliance Database'!$M417&amp;" "&amp;'Compliance Database'!$N417&amp;" "&amp;'Compliance Database'!$O417)))),1,0)</f>
        <v>0</v>
      </c>
      <c r="B417" t="str">
        <f>IF($A417=1,SUM($A$2:$A417),"")</f>
        <v/>
      </c>
      <c r="C417">
        <f>IF($A417=1,SUM($A$2:$A417),0)</f>
        <v>0</v>
      </c>
    </row>
    <row r="418" spans="1:3" x14ac:dyDescent="0.3">
      <c r="A418">
        <f>IF(AND(OR('Compliance Database'!$A418='Data Transfer'!$B$4,'Compliance Database'!$A418='Data Transfer'!$B$5),OR('Data Transfer'!$B$6="",ISNUMBER(SEARCH('Data Transfer'!$B$6,'Compliance Database'!$D418&amp;" "&amp;'Compliance Database'!$K418&amp;" "&amp;'Compliance Database'!$L418&amp;" "&amp;'Compliance Database'!$M418&amp;" "&amp;'Compliance Database'!$N418&amp;" "&amp;'Compliance Database'!$O418)))),1,0)</f>
        <v>0</v>
      </c>
      <c r="B418" t="str">
        <f>IF($A418=1,SUM($A$2:$A418),"")</f>
        <v/>
      </c>
      <c r="C418">
        <f>IF($A418=1,SUM($A$2:$A418),0)</f>
        <v>0</v>
      </c>
    </row>
    <row r="419" spans="1:3" x14ac:dyDescent="0.3">
      <c r="A419">
        <f>IF(AND(OR('Compliance Database'!$A419='Data Transfer'!$B$4,'Compliance Database'!$A419='Data Transfer'!$B$5),OR('Data Transfer'!$B$6="",ISNUMBER(SEARCH('Data Transfer'!$B$6,'Compliance Database'!$D419&amp;" "&amp;'Compliance Database'!$K419&amp;" "&amp;'Compliance Database'!$L419&amp;" "&amp;'Compliance Database'!$M419&amp;" "&amp;'Compliance Database'!$N419&amp;" "&amp;'Compliance Database'!$O419)))),1,0)</f>
        <v>0</v>
      </c>
      <c r="B419" t="str">
        <f>IF($A419=1,SUM($A$2:$A419),"")</f>
        <v/>
      </c>
      <c r="C419">
        <f>IF($A419=1,SUM($A$2:$A419),0)</f>
        <v>0</v>
      </c>
    </row>
    <row r="420" spans="1:3" x14ac:dyDescent="0.3">
      <c r="A420">
        <f>IF(AND(OR('Compliance Database'!$A420='Data Transfer'!$B$4,'Compliance Database'!$A420='Data Transfer'!$B$5),OR('Data Transfer'!$B$6="",ISNUMBER(SEARCH('Data Transfer'!$B$6,'Compliance Database'!$D420&amp;" "&amp;'Compliance Database'!$K420&amp;" "&amp;'Compliance Database'!$L420&amp;" "&amp;'Compliance Database'!$M420&amp;" "&amp;'Compliance Database'!$N420&amp;" "&amp;'Compliance Database'!$O420)))),1,0)</f>
        <v>0</v>
      </c>
      <c r="B420" t="str">
        <f>IF($A420=1,SUM($A$2:$A420),"")</f>
        <v/>
      </c>
      <c r="C420">
        <f>IF($A420=1,SUM($A$2:$A420),0)</f>
        <v>0</v>
      </c>
    </row>
    <row r="421" spans="1:3" x14ac:dyDescent="0.3">
      <c r="A421">
        <f>IF(AND(OR('Compliance Database'!$A421='Data Transfer'!$B$4,'Compliance Database'!$A421='Data Transfer'!$B$5),OR('Data Transfer'!$B$6="",ISNUMBER(SEARCH('Data Transfer'!$B$6,'Compliance Database'!$D421&amp;" "&amp;'Compliance Database'!$K421&amp;" "&amp;'Compliance Database'!$L421&amp;" "&amp;'Compliance Database'!$M421&amp;" "&amp;'Compliance Database'!$N421&amp;" "&amp;'Compliance Database'!$O421)))),1,0)</f>
        <v>0</v>
      </c>
      <c r="B421" t="str">
        <f>IF($A421=1,SUM($A$2:$A421),"")</f>
        <v/>
      </c>
      <c r="C421">
        <f>IF($A421=1,SUM($A$2:$A421),0)</f>
        <v>0</v>
      </c>
    </row>
    <row r="422" spans="1:3" x14ac:dyDescent="0.3">
      <c r="A422">
        <f>IF(AND(OR('Compliance Database'!$A422='Data Transfer'!$B$4,'Compliance Database'!$A422='Data Transfer'!$B$5),OR('Data Transfer'!$B$6="",ISNUMBER(SEARCH('Data Transfer'!$B$6,'Compliance Database'!$D422&amp;" "&amp;'Compliance Database'!$K422&amp;" "&amp;'Compliance Database'!$L422&amp;" "&amp;'Compliance Database'!$M422&amp;" "&amp;'Compliance Database'!$N422&amp;" "&amp;'Compliance Database'!$O422)))),1,0)</f>
        <v>0</v>
      </c>
      <c r="B422" t="str">
        <f>IF($A422=1,SUM($A$2:$A422),"")</f>
        <v/>
      </c>
      <c r="C422">
        <f>IF($A422=1,SUM($A$2:$A422),0)</f>
        <v>0</v>
      </c>
    </row>
    <row r="423" spans="1:3" x14ac:dyDescent="0.3">
      <c r="A423">
        <f>IF(AND(OR('Compliance Database'!$A423='Data Transfer'!$B$4,'Compliance Database'!$A423='Data Transfer'!$B$5),OR('Data Transfer'!$B$6="",ISNUMBER(SEARCH('Data Transfer'!$B$6,'Compliance Database'!$D423&amp;" "&amp;'Compliance Database'!$K423&amp;" "&amp;'Compliance Database'!$L423&amp;" "&amp;'Compliance Database'!$M423&amp;" "&amp;'Compliance Database'!$N423&amp;" "&amp;'Compliance Database'!$O423)))),1,0)</f>
        <v>0</v>
      </c>
      <c r="B423" t="str">
        <f>IF($A423=1,SUM($A$2:$A423),"")</f>
        <v/>
      </c>
      <c r="C423">
        <f>IF($A423=1,SUM($A$2:$A423),0)</f>
        <v>0</v>
      </c>
    </row>
    <row r="424" spans="1:3" x14ac:dyDescent="0.3">
      <c r="A424">
        <f>IF(AND(OR('Compliance Database'!$A424='Data Transfer'!$B$4,'Compliance Database'!$A424='Data Transfer'!$B$5),OR('Data Transfer'!$B$6="",ISNUMBER(SEARCH('Data Transfer'!$B$6,'Compliance Database'!$D424&amp;" "&amp;'Compliance Database'!$K424&amp;" "&amp;'Compliance Database'!$L424&amp;" "&amp;'Compliance Database'!$M424&amp;" "&amp;'Compliance Database'!$N424&amp;" "&amp;'Compliance Database'!$O424)))),1,0)</f>
        <v>0</v>
      </c>
      <c r="B424" t="str">
        <f>IF($A424=1,SUM($A$2:$A424),"")</f>
        <v/>
      </c>
      <c r="C424">
        <f>IF($A424=1,SUM($A$2:$A424),0)</f>
        <v>0</v>
      </c>
    </row>
    <row r="425" spans="1:3" x14ac:dyDescent="0.3">
      <c r="A425">
        <f>IF(AND(OR('Compliance Database'!$A425='Data Transfer'!$B$4,'Compliance Database'!$A425='Data Transfer'!$B$5),OR('Data Transfer'!$B$6="",ISNUMBER(SEARCH('Data Transfer'!$B$6,'Compliance Database'!$D425&amp;" "&amp;'Compliance Database'!$K425&amp;" "&amp;'Compliance Database'!$L425&amp;" "&amp;'Compliance Database'!$M425&amp;" "&amp;'Compliance Database'!$N425&amp;" "&amp;'Compliance Database'!$O425)))),1,0)</f>
        <v>0</v>
      </c>
      <c r="B425" t="str">
        <f>IF($A425=1,SUM($A$2:$A425),"")</f>
        <v/>
      </c>
      <c r="C425">
        <f>IF($A425=1,SUM($A$2:$A425),0)</f>
        <v>0</v>
      </c>
    </row>
    <row r="426" spans="1:3" x14ac:dyDescent="0.3">
      <c r="A426">
        <f>IF(AND(OR('Compliance Database'!$A426='Data Transfer'!$B$4,'Compliance Database'!$A426='Data Transfer'!$B$5),OR('Data Transfer'!$B$6="",ISNUMBER(SEARCH('Data Transfer'!$B$6,'Compliance Database'!$D426&amp;" "&amp;'Compliance Database'!$K426&amp;" "&amp;'Compliance Database'!$L426&amp;" "&amp;'Compliance Database'!$M426&amp;" "&amp;'Compliance Database'!$N426&amp;" "&amp;'Compliance Database'!$O426)))),1,0)</f>
        <v>0</v>
      </c>
      <c r="B426" t="str">
        <f>IF($A426=1,SUM($A$2:$A426),"")</f>
        <v/>
      </c>
      <c r="C426">
        <f>IF($A426=1,SUM($A$2:$A426),0)</f>
        <v>0</v>
      </c>
    </row>
    <row r="427" spans="1:3" x14ac:dyDescent="0.3">
      <c r="A427">
        <f>IF(AND(OR('Compliance Database'!$A427='Data Transfer'!$B$4,'Compliance Database'!$A427='Data Transfer'!$B$5),OR('Data Transfer'!$B$6="",ISNUMBER(SEARCH('Data Transfer'!$B$6,'Compliance Database'!$D427&amp;" "&amp;'Compliance Database'!$K427&amp;" "&amp;'Compliance Database'!$L427&amp;" "&amp;'Compliance Database'!$M427&amp;" "&amp;'Compliance Database'!$N427&amp;" "&amp;'Compliance Database'!$O427)))),1,0)</f>
        <v>0</v>
      </c>
      <c r="B427" t="str">
        <f>IF($A427=1,SUM($A$2:$A427),"")</f>
        <v/>
      </c>
      <c r="C427">
        <f>IF($A427=1,SUM($A$2:$A427),0)</f>
        <v>0</v>
      </c>
    </row>
    <row r="428" spans="1:3" x14ac:dyDescent="0.3">
      <c r="A428">
        <f>IF(AND(OR('Compliance Database'!$A428='Data Transfer'!$B$4,'Compliance Database'!$A428='Data Transfer'!$B$5),OR('Data Transfer'!$B$6="",ISNUMBER(SEARCH('Data Transfer'!$B$6,'Compliance Database'!$D428&amp;" "&amp;'Compliance Database'!$K428&amp;" "&amp;'Compliance Database'!$L428&amp;" "&amp;'Compliance Database'!$M428&amp;" "&amp;'Compliance Database'!$N428&amp;" "&amp;'Compliance Database'!$O428)))),1,0)</f>
        <v>0</v>
      </c>
      <c r="B428" t="str">
        <f>IF($A428=1,SUM($A$2:$A428),"")</f>
        <v/>
      </c>
      <c r="C428">
        <f>IF($A428=1,SUM($A$2:$A428),0)</f>
        <v>0</v>
      </c>
    </row>
    <row r="429" spans="1:3" x14ac:dyDescent="0.3">
      <c r="A429">
        <f>IF(AND(OR('Compliance Database'!$A429='Data Transfer'!$B$4,'Compliance Database'!$A429='Data Transfer'!$B$5),OR('Data Transfer'!$B$6="",ISNUMBER(SEARCH('Data Transfer'!$B$6,'Compliance Database'!$D429&amp;" "&amp;'Compliance Database'!$K429&amp;" "&amp;'Compliance Database'!$L429&amp;" "&amp;'Compliance Database'!$M429&amp;" "&amp;'Compliance Database'!$N429&amp;" "&amp;'Compliance Database'!$O429)))),1,0)</f>
        <v>0</v>
      </c>
      <c r="B429" t="str">
        <f>IF($A429=1,SUM($A$2:$A429),"")</f>
        <v/>
      </c>
      <c r="C429">
        <f>IF($A429=1,SUM($A$2:$A429),0)</f>
        <v>0</v>
      </c>
    </row>
    <row r="430" spans="1:3" x14ac:dyDescent="0.3">
      <c r="A430">
        <f>IF(AND(OR('Compliance Database'!$A430='Data Transfer'!$B$4,'Compliance Database'!$A430='Data Transfer'!$B$5),OR('Data Transfer'!$B$6="",ISNUMBER(SEARCH('Data Transfer'!$B$6,'Compliance Database'!$D430&amp;" "&amp;'Compliance Database'!$K430&amp;" "&amp;'Compliance Database'!$L430&amp;" "&amp;'Compliance Database'!$M430&amp;" "&amp;'Compliance Database'!$N430&amp;" "&amp;'Compliance Database'!$O430)))),1,0)</f>
        <v>0</v>
      </c>
      <c r="B430" t="str">
        <f>IF($A430=1,SUM($A$2:$A430),"")</f>
        <v/>
      </c>
      <c r="C430">
        <f>IF($A430=1,SUM($A$2:$A430),0)</f>
        <v>0</v>
      </c>
    </row>
    <row r="431" spans="1:3" x14ac:dyDescent="0.3">
      <c r="A431">
        <f>IF(AND(OR('Compliance Database'!$A431='Data Transfer'!$B$4,'Compliance Database'!$A431='Data Transfer'!$B$5),OR('Data Transfer'!$B$6="",ISNUMBER(SEARCH('Data Transfer'!$B$6,'Compliance Database'!$D431&amp;" "&amp;'Compliance Database'!$K431&amp;" "&amp;'Compliance Database'!$L431&amp;" "&amp;'Compliance Database'!$M431&amp;" "&amp;'Compliance Database'!$N431&amp;" "&amp;'Compliance Database'!$O431)))),1,0)</f>
        <v>0</v>
      </c>
      <c r="B431" t="str">
        <f>IF($A431=1,SUM($A$2:$A431),"")</f>
        <v/>
      </c>
      <c r="C431">
        <f>IF($A431=1,SUM($A$2:$A431),0)</f>
        <v>0</v>
      </c>
    </row>
    <row r="432" spans="1:3" x14ac:dyDescent="0.3">
      <c r="A432">
        <f>IF(AND(OR('Compliance Database'!$A432='Data Transfer'!$B$4,'Compliance Database'!$A432='Data Transfer'!$B$5),OR('Data Transfer'!$B$6="",ISNUMBER(SEARCH('Data Transfer'!$B$6,'Compliance Database'!$D432&amp;" "&amp;'Compliance Database'!$K432&amp;" "&amp;'Compliance Database'!$L432&amp;" "&amp;'Compliance Database'!$M432&amp;" "&amp;'Compliance Database'!$N432&amp;" "&amp;'Compliance Database'!$O432)))),1,0)</f>
        <v>0</v>
      </c>
      <c r="B432" t="str">
        <f>IF($A432=1,SUM($A$2:$A432),"")</f>
        <v/>
      </c>
      <c r="C432">
        <f>IF($A432=1,SUM($A$2:$A432),0)</f>
        <v>0</v>
      </c>
    </row>
    <row r="433" spans="1:3" x14ac:dyDescent="0.3">
      <c r="A433">
        <f>IF(AND(OR('Compliance Database'!$A433='Data Transfer'!$B$4,'Compliance Database'!$A433='Data Transfer'!$B$5),OR('Data Transfer'!$B$6="",ISNUMBER(SEARCH('Data Transfer'!$B$6,'Compliance Database'!$D433&amp;" "&amp;'Compliance Database'!$K433&amp;" "&amp;'Compliance Database'!$L433&amp;" "&amp;'Compliance Database'!$M433&amp;" "&amp;'Compliance Database'!$N433&amp;" "&amp;'Compliance Database'!$O433)))),1,0)</f>
        <v>0</v>
      </c>
      <c r="B433" t="str">
        <f>IF($A433=1,SUM($A$2:$A433),"")</f>
        <v/>
      </c>
      <c r="C433">
        <f>IF($A433=1,SUM($A$2:$A433),0)</f>
        <v>0</v>
      </c>
    </row>
    <row r="434" spans="1:3" x14ac:dyDescent="0.3">
      <c r="A434">
        <f>IF(AND(OR('Compliance Database'!$A434='Data Transfer'!$B$4,'Compliance Database'!$A434='Data Transfer'!$B$5),OR('Data Transfer'!$B$6="",ISNUMBER(SEARCH('Data Transfer'!$B$6,'Compliance Database'!$D434&amp;" "&amp;'Compliance Database'!$K434&amp;" "&amp;'Compliance Database'!$L434&amp;" "&amp;'Compliance Database'!$M434&amp;" "&amp;'Compliance Database'!$N434&amp;" "&amp;'Compliance Database'!$O434)))),1,0)</f>
        <v>0</v>
      </c>
      <c r="B434" t="str">
        <f>IF($A434=1,SUM($A$2:$A434),"")</f>
        <v/>
      </c>
      <c r="C434">
        <f>IF($A434=1,SUM($A$2:$A434),0)</f>
        <v>0</v>
      </c>
    </row>
    <row r="435" spans="1:3" x14ac:dyDescent="0.3">
      <c r="A435">
        <f>IF(AND(OR('Compliance Database'!$A435='Data Transfer'!$B$4,'Compliance Database'!$A435='Data Transfer'!$B$5),OR('Data Transfer'!$B$6="",ISNUMBER(SEARCH('Data Transfer'!$B$6,'Compliance Database'!$D435&amp;" "&amp;'Compliance Database'!$K435&amp;" "&amp;'Compliance Database'!$L435&amp;" "&amp;'Compliance Database'!$M435&amp;" "&amp;'Compliance Database'!$N435&amp;" "&amp;'Compliance Database'!$O435)))),1,0)</f>
        <v>0</v>
      </c>
      <c r="B435" t="str">
        <f>IF($A435=1,SUM($A$2:$A435),"")</f>
        <v/>
      </c>
      <c r="C435">
        <f>IF($A435=1,SUM($A$2:$A435),0)</f>
        <v>0</v>
      </c>
    </row>
    <row r="436" spans="1:3" x14ac:dyDescent="0.3">
      <c r="A436">
        <f>IF(AND(OR('Compliance Database'!$A436='Data Transfer'!$B$4,'Compliance Database'!$A436='Data Transfer'!$B$5),OR('Data Transfer'!$B$6="",ISNUMBER(SEARCH('Data Transfer'!$B$6,'Compliance Database'!$D436&amp;" "&amp;'Compliance Database'!$K436&amp;" "&amp;'Compliance Database'!$L436&amp;" "&amp;'Compliance Database'!$M436&amp;" "&amp;'Compliance Database'!$N436&amp;" "&amp;'Compliance Database'!$O436)))),1,0)</f>
        <v>0</v>
      </c>
      <c r="B436" t="str">
        <f>IF($A436=1,SUM($A$2:$A436),"")</f>
        <v/>
      </c>
      <c r="C436">
        <f>IF($A436=1,SUM($A$2:$A436),0)</f>
        <v>0</v>
      </c>
    </row>
    <row r="437" spans="1:3" x14ac:dyDescent="0.3">
      <c r="A437">
        <f>IF(AND(OR('Compliance Database'!$A437='Data Transfer'!$B$4,'Compliance Database'!$A437='Data Transfer'!$B$5),OR('Data Transfer'!$B$6="",ISNUMBER(SEARCH('Data Transfer'!$B$6,'Compliance Database'!$D437&amp;" "&amp;'Compliance Database'!$K437&amp;" "&amp;'Compliance Database'!$L437&amp;" "&amp;'Compliance Database'!$M437&amp;" "&amp;'Compliance Database'!$N437&amp;" "&amp;'Compliance Database'!$O437)))),1,0)</f>
        <v>0</v>
      </c>
      <c r="B437" t="str">
        <f>IF($A437=1,SUM($A$2:$A437),"")</f>
        <v/>
      </c>
      <c r="C437">
        <f>IF($A437=1,SUM($A$2:$A437),0)</f>
        <v>0</v>
      </c>
    </row>
    <row r="438" spans="1:3" x14ac:dyDescent="0.3">
      <c r="A438">
        <f>IF(AND(OR('Compliance Database'!$A438='Data Transfer'!$B$4,'Compliance Database'!$A438='Data Transfer'!$B$5),OR('Data Transfer'!$B$6="",ISNUMBER(SEARCH('Data Transfer'!$B$6,'Compliance Database'!$D438&amp;" "&amp;'Compliance Database'!$K438&amp;" "&amp;'Compliance Database'!$L438&amp;" "&amp;'Compliance Database'!$M438&amp;" "&amp;'Compliance Database'!$N438&amp;" "&amp;'Compliance Database'!$O438)))),1,0)</f>
        <v>0</v>
      </c>
      <c r="B438" t="str">
        <f>IF($A438=1,SUM($A$2:$A438),"")</f>
        <v/>
      </c>
      <c r="C438">
        <f>IF($A438=1,SUM($A$2:$A438),0)</f>
        <v>0</v>
      </c>
    </row>
    <row r="439" spans="1:3" x14ac:dyDescent="0.3">
      <c r="A439">
        <f>IF(AND(OR('Compliance Database'!$A439='Data Transfer'!$B$4,'Compliance Database'!$A439='Data Transfer'!$B$5),OR('Data Transfer'!$B$6="",ISNUMBER(SEARCH('Data Transfer'!$B$6,'Compliance Database'!$D439&amp;" "&amp;'Compliance Database'!$K439&amp;" "&amp;'Compliance Database'!$L439&amp;" "&amp;'Compliance Database'!$M439&amp;" "&amp;'Compliance Database'!$N439&amp;" "&amp;'Compliance Database'!$O439)))),1,0)</f>
        <v>0</v>
      </c>
      <c r="B439" t="str">
        <f>IF($A439=1,SUM($A$2:$A439),"")</f>
        <v/>
      </c>
      <c r="C439">
        <f>IF($A439=1,SUM($A$2:$A439),0)</f>
        <v>0</v>
      </c>
    </row>
    <row r="440" spans="1:3" x14ac:dyDescent="0.3">
      <c r="A440">
        <f>IF(AND(OR('Compliance Database'!$A440='Data Transfer'!$B$4,'Compliance Database'!$A440='Data Transfer'!$B$5),OR('Data Transfer'!$B$6="",ISNUMBER(SEARCH('Data Transfer'!$B$6,'Compliance Database'!$D440&amp;" "&amp;'Compliance Database'!$K440&amp;" "&amp;'Compliance Database'!$L440&amp;" "&amp;'Compliance Database'!$M440&amp;" "&amp;'Compliance Database'!$N440&amp;" "&amp;'Compliance Database'!$O440)))),1,0)</f>
        <v>0</v>
      </c>
      <c r="B440" t="str">
        <f>IF($A440=1,SUM($A$2:$A440),"")</f>
        <v/>
      </c>
      <c r="C440">
        <f>IF($A440=1,SUM($A$2:$A440),0)</f>
        <v>0</v>
      </c>
    </row>
    <row r="441" spans="1:3" x14ac:dyDescent="0.3">
      <c r="A441">
        <f>IF(AND(OR('Compliance Database'!$A441='Data Transfer'!$B$4,'Compliance Database'!$A441='Data Transfer'!$B$5),OR('Data Transfer'!$B$6="",ISNUMBER(SEARCH('Data Transfer'!$B$6,'Compliance Database'!$D441&amp;" "&amp;'Compliance Database'!$K441&amp;" "&amp;'Compliance Database'!$L441&amp;" "&amp;'Compliance Database'!$M441&amp;" "&amp;'Compliance Database'!$N441&amp;" "&amp;'Compliance Database'!$O441)))),1,0)</f>
        <v>0</v>
      </c>
      <c r="B441" t="str">
        <f>IF($A441=1,SUM($A$2:$A441),"")</f>
        <v/>
      </c>
      <c r="C441">
        <f>IF($A441=1,SUM($A$2:$A441),0)</f>
        <v>0</v>
      </c>
    </row>
    <row r="442" spans="1:3" x14ac:dyDescent="0.3">
      <c r="A442">
        <f>IF(AND(OR('Compliance Database'!$A442='Data Transfer'!$B$4,'Compliance Database'!$A442='Data Transfer'!$B$5),OR('Data Transfer'!$B$6="",ISNUMBER(SEARCH('Data Transfer'!$B$6,'Compliance Database'!$D442&amp;" "&amp;'Compliance Database'!$K442&amp;" "&amp;'Compliance Database'!$L442&amp;" "&amp;'Compliance Database'!$M442&amp;" "&amp;'Compliance Database'!$N442&amp;" "&amp;'Compliance Database'!$O442)))),1,0)</f>
        <v>0</v>
      </c>
      <c r="B442" t="str">
        <f>IF($A442=1,SUM($A$2:$A442),"")</f>
        <v/>
      </c>
      <c r="C442">
        <f>IF($A442=1,SUM($A$2:$A442),0)</f>
        <v>0</v>
      </c>
    </row>
    <row r="443" spans="1:3" x14ac:dyDescent="0.3">
      <c r="A443">
        <f>IF(AND(OR('Compliance Database'!$A443='Data Transfer'!$B$4,'Compliance Database'!$A443='Data Transfer'!$B$5),OR('Data Transfer'!$B$6="",ISNUMBER(SEARCH('Data Transfer'!$B$6,'Compliance Database'!$D443&amp;" "&amp;'Compliance Database'!$K443&amp;" "&amp;'Compliance Database'!$L443&amp;" "&amp;'Compliance Database'!$M443&amp;" "&amp;'Compliance Database'!$N443&amp;" "&amp;'Compliance Database'!$O443)))),1,0)</f>
        <v>0</v>
      </c>
      <c r="B443" t="str">
        <f>IF($A443=1,SUM($A$2:$A443),"")</f>
        <v/>
      </c>
      <c r="C443">
        <f>IF($A443=1,SUM($A$2:$A443),0)</f>
        <v>0</v>
      </c>
    </row>
    <row r="444" spans="1:3" x14ac:dyDescent="0.3">
      <c r="A444">
        <f>IF(AND(OR('Compliance Database'!$A444='Data Transfer'!$B$4,'Compliance Database'!$A444='Data Transfer'!$B$5),OR('Data Transfer'!$B$6="",ISNUMBER(SEARCH('Data Transfer'!$B$6,'Compliance Database'!$D444&amp;" "&amp;'Compliance Database'!$K444&amp;" "&amp;'Compliance Database'!$L444&amp;" "&amp;'Compliance Database'!$M444&amp;" "&amp;'Compliance Database'!$N444&amp;" "&amp;'Compliance Database'!$O444)))),1,0)</f>
        <v>0</v>
      </c>
      <c r="B444" t="str">
        <f>IF($A444=1,SUM($A$2:$A444),"")</f>
        <v/>
      </c>
      <c r="C444">
        <f>IF($A444=1,SUM($A$2:$A444),0)</f>
        <v>0</v>
      </c>
    </row>
    <row r="445" spans="1:3" x14ac:dyDescent="0.3">
      <c r="A445">
        <f>IF(AND(OR('Compliance Database'!$A445='Data Transfer'!$B$4,'Compliance Database'!$A445='Data Transfer'!$B$5),OR('Data Transfer'!$B$6="",ISNUMBER(SEARCH('Data Transfer'!$B$6,'Compliance Database'!$D445&amp;" "&amp;'Compliance Database'!$K445&amp;" "&amp;'Compliance Database'!$L445&amp;" "&amp;'Compliance Database'!$M445&amp;" "&amp;'Compliance Database'!$N445&amp;" "&amp;'Compliance Database'!$O445)))),1,0)</f>
        <v>0</v>
      </c>
      <c r="B445" t="str">
        <f>IF($A445=1,SUM($A$2:$A445),"")</f>
        <v/>
      </c>
      <c r="C445">
        <f>IF($A445=1,SUM($A$2:$A445),0)</f>
        <v>0</v>
      </c>
    </row>
    <row r="446" spans="1:3" x14ac:dyDescent="0.3">
      <c r="A446">
        <f>IF(AND(OR('Compliance Database'!$A446='Data Transfer'!$B$4,'Compliance Database'!$A446='Data Transfer'!$B$5),OR('Data Transfer'!$B$6="",ISNUMBER(SEARCH('Data Transfer'!$B$6,'Compliance Database'!$D446&amp;" "&amp;'Compliance Database'!$K446&amp;" "&amp;'Compliance Database'!$L446&amp;" "&amp;'Compliance Database'!$M446&amp;" "&amp;'Compliance Database'!$N446&amp;" "&amp;'Compliance Database'!$O446)))),1,0)</f>
        <v>0</v>
      </c>
      <c r="B446" t="str">
        <f>IF($A446=1,SUM($A$2:$A446),"")</f>
        <v/>
      </c>
      <c r="C446">
        <f>IF($A446=1,SUM($A$2:$A446),0)</f>
        <v>0</v>
      </c>
    </row>
    <row r="447" spans="1:3" x14ac:dyDescent="0.3">
      <c r="A447">
        <f>IF(AND(OR('Compliance Database'!$A447='Data Transfer'!$B$4,'Compliance Database'!$A447='Data Transfer'!$B$5),OR('Data Transfer'!$B$6="",ISNUMBER(SEARCH('Data Transfer'!$B$6,'Compliance Database'!$D447&amp;" "&amp;'Compliance Database'!$K447&amp;" "&amp;'Compliance Database'!$L447&amp;" "&amp;'Compliance Database'!$M447&amp;" "&amp;'Compliance Database'!$N447&amp;" "&amp;'Compliance Database'!$O447)))),1,0)</f>
        <v>0</v>
      </c>
      <c r="B447" t="str">
        <f>IF($A447=1,SUM($A$2:$A447),"")</f>
        <v/>
      </c>
      <c r="C447">
        <f>IF($A447=1,SUM($A$2:$A447),0)</f>
        <v>0</v>
      </c>
    </row>
    <row r="448" spans="1:3" x14ac:dyDescent="0.3">
      <c r="A448">
        <f>IF(AND(OR('Compliance Database'!$A448='Data Transfer'!$B$4,'Compliance Database'!$A448='Data Transfer'!$B$5),OR('Data Transfer'!$B$6="",ISNUMBER(SEARCH('Data Transfer'!$B$6,'Compliance Database'!$D448&amp;" "&amp;'Compliance Database'!$K448&amp;" "&amp;'Compliance Database'!$L448&amp;" "&amp;'Compliance Database'!$M448&amp;" "&amp;'Compliance Database'!$N448&amp;" "&amp;'Compliance Database'!$O448)))),1,0)</f>
        <v>0</v>
      </c>
      <c r="B448" t="str">
        <f>IF($A448=1,SUM($A$2:$A448),"")</f>
        <v/>
      </c>
      <c r="C448">
        <f>IF($A448=1,SUM($A$2:$A448),0)</f>
        <v>0</v>
      </c>
    </row>
    <row r="449" spans="1:3" x14ac:dyDescent="0.3">
      <c r="A449">
        <f>IF(AND(OR('Compliance Database'!$A449='Data Transfer'!$B$4,'Compliance Database'!$A449='Data Transfer'!$B$5),OR('Data Transfer'!$B$6="",ISNUMBER(SEARCH('Data Transfer'!$B$6,'Compliance Database'!$D449&amp;" "&amp;'Compliance Database'!$K449&amp;" "&amp;'Compliance Database'!$L449&amp;" "&amp;'Compliance Database'!$M449&amp;" "&amp;'Compliance Database'!$N449&amp;" "&amp;'Compliance Database'!$O449)))),1,0)</f>
        <v>0</v>
      </c>
      <c r="B449" t="str">
        <f>IF($A449=1,SUM($A$2:$A449),"")</f>
        <v/>
      </c>
      <c r="C449">
        <f>IF($A449=1,SUM($A$2:$A449),0)</f>
        <v>0</v>
      </c>
    </row>
    <row r="450" spans="1:3" x14ac:dyDescent="0.3">
      <c r="A450">
        <f>IF(AND(OR('Compliance Database'!$A450='Data Transfer'!$B$4,'Compliance Database'!$A450='Data Transfer'!$B$5),OR('Data Transfer'!$B$6="",ISNUMBER(SEARCH('Data Transfer'!$B$6,'Compliance Database'!$D450&amp;" "&amp;'Compliance Database'!$K450&amp;" "&amp;'Compliance Database'!$L450&amp;" "&amp;'Compliance Database'!$M450&amp;" "&amp;'Compliance Database'!$N450&amp;" "&amp;'Compliance Database'!$O450)))),1,0)</f>
        <v>0</v>
      </c>
      <c r="B450" t="str">
        <f>IF($A450=1,SUM($A$2:$A450),"")</f>
        <v/>
      </c>
      <c r="C450">
        <f>IF($A450=1,SUM($A$2:$A450),0)</f>
        <v>0</v>
      </c>
    </row>
    <row r="451" spans="1:3" x14ac:dyDescent="0.3">
      <c r="A451">
        <f>IF(AND(OR('Compliance Database'!$A451='Data Transfer'!$B$4,'Compliance Database'!$A451='Data Transfer'!$B$5),OR('Data Transfer'!$B$6="",ISNUMBER(SEARCH('Data Transfer'!$B$6,'Compliance Database'!$D451&amp;" "&amp;'Compliance Database'!$K451&amp;" "&amp;'Compliance Database'!$L451&amp;" "&amp;'Compliance Database'!$M451&amp;" "&amp;'Compliance Database'!$N451&amp;" "&amp;'Compliance Database'!$O451)))),1,0)</f>
        <v>0</v>
      </c>
      <c r="B451" t="str">
        <f>IF($A451=1,SUM($A$2:$A451),"")</f>
        <v/>
      </c>
      <c r="C451">
        <f>IF($A451=1,SUM($A$2:$A451),0)</f>
        <v>0</v>
      </c>
    </row>
    <row r="452" spans="1:3" x14ac:dyDescent="0.3">
      <c r="A452">
        <f>IF(AND(OR('Compliance Database'!$A452='Data Transfer'!$B$4,'Compliance Database'!$A452='Data Transfer'!$B$5),OR('Data Transfer'!$B$6="",ISNUMBER(SEARCH('Data Transfer'!$B$6,'Compliance Database'!$D452&amp;" "&amp;'Compliance Database'!$K452&amp;" "&amp;'Compliance Database'!$L452&amp;" "&amp;'Compliance Database'!$M452&amp;" "&amp;'Compliance Database'!$N452&amp;" "&amp;'Compliance Database'!$O452)))),1,0)</f>
        <v>0</v>
      </c>
      <c r="B452" t="str">
        <f>IF($A452=1,SUM($A$2:$A452),"")</f>
        <v/>
      </c>
      <c r="C452">
        <f>IF($A452=1,SUM($A$2:$A452),0)</f>
        <v>0</v>
      </c>
    </row>
    <row r="453" spans="1:3" x14ac:dyDescent="0.3">
      <c r="A453">
        <f>IF(AND(OR('Compliance Database'!$A453='Data Transfer'!$B$4,'Compliance Database'!$A453='Data Transfer'!$B$5),OR('Data Transfer'!$B$6="",ISNUMBER(SEARCH('Data Transfer'!$B$6,'Compliance Database'!$D453&amp;" "&amp;'Compliance Database'!$K453&amp;" "&amp;'Compliance Database'!$L453&amp;" "&amp;'Compliance Database'!$M453&amp;" "&amp;'Compliance Database'!$N453&amp;" "&amp;'Compliance Database'!$O453)))),1,0)</f>
        <v>0</v>
      </c>
      <c r="B453" t="str">
        <f>IF($A453=1,SUM($A$2:$A453),"")</f>
        <v/>
      </c>
      <c r="C453">
        <f>IF($A453=1,SUM($A$2:$A453),0)</f>
        <v>0</v>
      </c>
    </row>
    <row r="454" spans="1:3" x14ac:dyDescent="0.3">
      <c r="A454">
        <f>IF(AND(OR('Compliance Database'!$A454='Data Transfer'!$B$4,'Compliance Database'!$A454='Data Transfer'!$B$5),OR('Data Transfer'!$B$6="",ISNUMBER(SEARCH('Data Transfer'!$B$6,'Compliance Database'!$D454&amp;" "&amp;'Compliance Database'!$K454&amp;" "&amp;'Compliance Database'!$L454&amp;" "&amp;'Compliance Database'!$M454&amp;" "&amp;'Compliance Database'!$N454&amp;" "&amp;'Compliance Database'!$O454)))),1,0)</f>
        <v>0</v>
      </c>
      <c r="B454" t="str">
        <f>IF($A454=1,SUM($A$2:$A454),"")</f>
        <v/>
      </c>
      <c r="C454">
        <f>IF($A454=1,SUM($A$2:$A454),0)</f>
        <v>0</v>
      </c>
    </row>
    <row r="455" spans="1:3" x14ac:dyDescent="0.3">
      <c r="A455">
        <f>IF(AND(OR('Compliance Database'!$A455='Data Transfer'!$B$4,'Compliance Database'!$A455='Data Transfer'!$B$5),OR('Data Transfer'!$B$6="",ISNUMBER(SEARCH('Data Transfer'!$B$6,'Compliance Database'!$D455&amp;" "&amp;'Compliance Database'!$K455&amp;" "&amp;'Compliance Database'!$L455&amp;" "&amp;'Compliance Database'!$M455&amp;" "&amp;'Compliance Database'!$N455&amp;" "&amp;'Compliance Database'!$O455)))),1,0)</f>
        <v>0</v>
      </c>
      <c r="B455" t="str">
        <f>IF($A455=1,SUM($A$2:$A455),"")</f>
        <v/>
      </c>
      <c r="C455">
        <f>IF($A455=1,SUM($A$2:$A455),0)</f>
        <v>0</v>
      </c>
    </row>
    <row r="456" spans="1:3" x14ac:dyDescent="0.3">
      <c r="A456">
        <f>IF(AND(OR('Compliance Database'!$A456='Data Transfer'!$B$4,'Compliance Database'!$A456='Data Transfer'!$B$5),OR('Data Transfer'!$B$6="",ISNUMBER(SEARCH('Data Transfer'!$B$6,'Compliance Database'!$D456&amp;" "&amp;'Compliance Database'!$K456&amp;" "&amp;'Compliance Database'!$L456&amp;" "&amp;'Compliance Database'!$M456&amp;" "&amp;'Compliance Database'!$N456&amp;" "&amp;'Compliance Database'!$O456)))),1,0)</f>
        <v>0</v>
      </c>
      <c r="B456" t="str">
        <f>IF($A456=1,SUM($A$2:$A456),"")</f>
        <v/>
      </c>
      <c r="C456">
        <f>IF($A456=1,SUM($A$2:$A456),0)</f>
        <v>0</v>
      </c>
    </row>
    <row r="457" spans="1:3" x14ac:dyDescent="0.3">
      <c r="A457">
        <f>IF(AND(OR('Compliance Database'!$A457='Data Transfer'!$B$4,'Compliance Database'!$A457='Data Transfer'!$B$5),OR('Data Transfer'!$B$6="",ISNUMBER(SEARCH('Data Transfer'!$B$6,'Compliance Database'!$D457&amp;" "&amp;'Compliance Database'!$K457&amp;" "&amp;'Compliance Database'!$L457&amp;" "&amp;'Compliance Database'!$M457&amp;" "&amp;'Compliance Database'!$N457&amp;" "&amp;'Compliance Database'!$O457)))),1,0)</f>
        <v>0</v>
      </c>
      <c r="B457" t="str">
        <f>IF($A457=1,SUM($A$2:$A457),"")</f>
        <v/>
      </c>
      <c r="C457">
        <f>IF($A457=1,SUM($A$2:$A457),0)</f>
        <v>0</v>
      </c>
    </row>
    <row r="458" spans="1:3" x14ac:dyDescent="0.3">
      <c r="A458">
        <f>IF(AND(OR('Compliance Database'!$A458='Data Transfer'!$B$4,'Compliance Database'!$A458='Data Transfer'!$B$5),OR('Data Transfer'!$B$6="",ISNUMBER(SEARCH('Data Transfer'!$B$6,'Compliance Database'!$D458&amp;" "&amp;'Compliance Database'!$K458&amp;" "&amp;'Compliance Database'!$L458&amp;" "&amp;'Compliance Database'!$M458&amp;" "&amp;'Compliance Database'!$N458&amp;" "&amp;'Compliance Database'!$O458)))),1,0)</f>
        <v>0</v>
      </c>
      <c r="B458" t="str">
        <f>IF($A458=1,SUM($A$2:$A458),"")</f>
        <v/>
      </c>
      <c r="C458">
        <f>IF($A458=1,SUM($A$2:$A458),0)</f>
        <v>0</v>
      </c>
    </row>
    <row r="459" spans="1:3" x14ac:dyDescent="0.3">
      <c r="A459">
        <f>IF(AND(OR('Compliance Database'!$A459='Data Transfer'!$B$4,'Compliance Database'!$A459='Data Transfer'!$B$5),OR('Data Transfer'!$B$6="",ISNUMBER(SEARCH('Data Transfer'!$B$6,'Compliance Database'!$D459&amp;" "&amp;'Compliance Database'!$K459&amp;" "&amp;'Compliance Database'!$L459&amp;" "&amp;'Compliance Database'!$M459&amp;" "&amp;'Compliance Database'!$N459&amp;" "&amp;'Compliance Database'!$O459)))),1,0)</f>
        <v>0</v>
      </c>
      <c r="B459" t="str">
        <f>IF($A459=1,SUM($A$2:$A459),"")</f>
        <v/>
      </c>
      <c r="C459">
        <f>IF($A459=1,SUM($A$2:$A459),0)</f>
        <v>0</v>
      </c>
    </row>
    <row r="460" spans="1:3" x14ac:dyDescent="0.3">
      <c r="A460">
        <f>IF(AND(OR('Compliance Database'!$A460='Data Transfer'!$B$4,'Compliance Database'!$A460='Data Transfer'!$B$5),OR('Data Transfer'!$B$6="",ISNUMBER(SEARCH('Data Transfer'!$B$6,'Compliance Database'!$D460&amp;" "&amp;'Compliance Database'!$K460&amp;" "&amp;'Compliance Database'!$L460&amp;" "&amp;'Compliance Database'!$M460&amp;" "&amp;'Compliance Database'!$N460&amp;" "&amp;'Compliance Database'!$O460)))),1,0)</f>
        <v>0</v>
      </c>
      <c r="B460" t="str">
        <f>IF($A460=1,SUM($A$2:$A460),"")</f>
        <v/>
      </c>
      <c r="C460">
        <f>IF($A460=1,SUM($A$2:$A460),0)</f>
        <v>0</v>
      </c>
    </row>
    <row r="461" spans="1:3" x14ac:dyDescent="0.3">
      <c r="A461">
        <f>IF(AND(OR('Compliance Database'!$A461='Data Transfer'!$B$4,'Compliance Database'!$A461='Data Transfer'!$B$5),OR('Data Transfer'!$B$6="",ISNUMBER(SEARCH('Data Transfer'!$B$6,'Compliance Database'!$D461&amp;" "&amp;'Compliance Database'!$K461&amp;" "&amp;'Compliance Database'!$L461&amp;" "&amp;'Compliance Database'!$M461&amp;" "&amp;'Compliance Database'!$N461&amp;" "&amp;'Compliance Database'!$O461)))),1,0)</f>
        <v>0</v>
      </c>
      <c r="B461" t="str">
        <f>IF($A461=1,SUM($A$2:$A461),"")</f>
        <v/>
      </c>
      <c r="C461">
        <f>IF($A461=1,SUM($A$2:$A461),0)</f>
        <v>0</v>
      </c>
    </row>
    <row r="462" spans="1:3" x14ac:dyDescent="0.3">
      <c r="A462">
        <f>IF(AND(OR('Compliance Database'!$A462='Data Transfer'!$B$4,'Compliance Database'!$A462='Data Transfer'!$B$5),OR('Data Transfer'!$B$6="",ISNUMBER(SEARCH('Data Transfer'!$B$6,'Compliance Database'!$D462&amp;" "&amp;'Compliance Database'!$K462&amp;" "&amp;'Compliance Database'!$L462&amp;" "&amp;'Compliance Database'!$M462&amp;" "&amp;'Compliance Database'!$N462&amp;" "&amp;'Compliance Database'!$O462)))),1,0)</f>
        <v>0</v>
      </c>
      <c r="B462" t="str">
        <f>IF($A462=1,SUM($A$2:$A462),"")</f>
        <v/>
      </c>
      <c r="C462">
        <f>IF($A462=1,SUM($A$2:$A462),0)</f>
        <v>0</v>
      </c>
    </row>
    <row r="463" spans="1:3" x14ac:dyDescent="0.3">
      <c r="A463">
        <f>IF(AND(OR('Compliance Database'!$A463='Data Transfer'!$B$4,'Compliance Database'!$A463='Data Transfer'!$B$5),OR('Data Transfer'!$B$6="",ISNUMBER(SEARCH('Data Transfer'!$B$6,'Compliance Database'!$D463&amp;" "&amp;'Compliance Database'!$K463&amp;" "&amp;'Compliance Database'!$L463&amp;" "&amp;'Compliance Database'!$M463&amp;" "&amp;'Compliance Database'!$N463&amp;" "&amp;'Compliance Database'!$O463)))),1,0)</f>
        <v>0</v>
      </c>
      <c r="B463" t="str">
        <f>IF($A463=1,SUM($A$2:$A463),"")</f>
        <v/>
      </c>
      <c r="C463">
        <f>IF($A463=1,SUM($A$2:$A463),0)</f>
        <v>0</v>
      </c>
    </row>
    <row r="464" spans="1:3" x14ac:dyDescent="0.3">
      <c r="A464">
        <f>IF(AND(OR('Compliance Database'!$A464='Data Transfer'!$B$4,'Compliance Database'!$A464='Data Transfer'!$B$5),OR('Data Transfer'!$B$6="",ISNUMBER(SEARCH('Data Transfer'!$B$6,'Compliance Database'!$D464&amp;" "&amp;'Compliance Database'!$K464&amp;" "&amp;'Compliance Database'!$L464&amp;" "&amp;'Compliance Database'!$M464&amp;" "&amp;'Compliance Database'!$N464&amp;" "&amp;'Compliance Database'!$O464)))),1,0)</f>
        <v>0</v>
      </c>
      <c r="B464" t="str">
        <f>IF($A464=1,SUM($A$2:$A464),"")</f>
        <v/>
      </c>
      <c r="C464">
        <f>IF($A464=1,SUM($A$2:$A464),0)</f>
        <v>0</v>
      </c>
    </row>
    <row r="465" spans="1:3" x14ac:dyDescent="0.3">
      <c r="A465">
        <f>IF(AND(OR('Compliance Database'!$A465='Data Transfer'!$B$4,'Compliance Database'!$A465='Data Transfer'!$B$5),OR('Data Transfer'!$B$6="",ISNUMBER(SEARCH('Data Transfer'!$B$6,'Compliance Database'!$D465&amp;" "&amp;'Compliance Database'!$K465&amp;" "&amp;'Compliance Database'!$L465&amp;" "&amp;'Compliance Database'!$M465&amp;" "&amp;'Compliance Database'!$N465&amp;" "&amp;'Compliance Database'!$O465)))),1,0)</f>
        <v>0</v>
      </c>
      <c r="B465" t="str">
        <f>IF($A465=1,SUM($A$2:$A465),"")</f>
        <v/>
      </c>
      <c r="C465">
        <f>IF($A465=1,SUM($A$2:$A465),0)</f>
        <v>0</v>
      </c>
    </row>
    <row r="466" spans="1:3" x14ac:dyDescent="0.3">
      <c r="A466">
        <f>IF(AND(OR('Compliance Database'!$A466='Data Transfer'!$B$4,'Compliance Database'!$A466='Data Transfer'!$B$5),OR('Data Transfer'!$B$6="",ISNUMBER(SEARCH('Data Transfer'!$B$6,'Compliance Database'!$D466&amp;" "&amp;'Compliance Database'!$K466&amp;" "&amp;'Compliance Database'!$L466&amp;" "&amp;'Compliance Database'!$M466&amp;" "&amp;'Compliance Database'!$N466&amp;" "&amp;'Compliance Database'!$O466)))),1,0)</f>
        <v>0</v>
      </c>
      <c r="B466" t="str">
        <f>IF($A466=1,SUM($A$2:$A466),"")</f>
        <v/>
      </c>
      <c r="C466">
        <f>IF($A466=1,SUM($A$2:$A466),0)</f>
        <v>0</v>
      </c>
    </row>
    <row r="467" spans="1:3" x14ac:dyDescent="0.3">
      <c r="A467">
        <f>IF(AND(OR('Compliance Database'!$A467='Data Transfer'!$B$4,'Compliance Database'!$A467='Data Transfer'!$B$5),OR('Data Transfer'!$B$6="",ISNUMBER(SEARCH('Data Transfer'!$B$6,'Compliance Database'!$D467&amp;" "&amp;'Compliance Database'!$K467&amp;" "&amp;'Compliance Database'!$L467&amp;" "&amp;'Compliance Database'!$M467&amp;" "&amp;'Compliance Database'!$N467&amp;" "&amp;'Compliance Database'!$O467)))),1,0)</f>
        <v>0</v>
      </c>
      <c r="B467" t="str">
        <f>IF($A467=1,SUM($A$2:$A467),"")</f>
        <v/>
      </c>
      <c r="C467">
        <f>IF($A467=1,SUM($A$2:$A467),0)</f>
        <v>0</v>
      </c>
    </row>
    <row r="468" spans="1:3" x14ac:dyDescent="0.3">
      <c r="A468">
        <f>IF(AND(OR('Compliance Database'!$A468='Data Transfer'!$B$4,'Compliance Database'!$A468='Data Transfer'!$B$5),OR('Data Transfer'!$B$6="",ISNUMBER(SEARCH('Data Transfer'!$B$6,'Compliance Database'!$D468&amp;" "&amp;'Compliance Database'!$K468&amp;" "&amp;'Compliance Database'!$L468&amp;" "&amp;'Compliance Database'!$M468&amp;" "&amp;'Compliance Database'!$N468&amp;" "&amp;'Compliance Database'!$O468)))),1,0)</f>
        <v>0</v>
      </c>
      <c r="B468" t="str">
        <f>IF($A468=1,SUM($A$2:$A468),"")</f>
        <v/>
      </c>
      <c r="C468">
        <f>IF($A468=1,SUM($A$2:$A468),0)</f>
        <v>0</v>
      </c>
    </row>
    <row r="469" spans="1:3" x14ac:dyDescent="0.3">
      <c r="A469">
        <f>IF(AND(OR('Compliance Database'!$A469='Data Transfer'!$B$4,'Compliance Database'!$A469='Data Transfer'!$B$5),OR('Data Transfer'!$B$6="",ISNUMBER(SEARCH('Data Transfer'!$B$6,'Compliance Database'!$D469&amp;" "&amp;'Compliance Database'!$K469&amp;" "&amp;'Compliance Database'!$L469&amp;" "&amp;'Compliance Database'!$M469&amp;" "&amp;'Compliance Database'!$N469&amp;" "&amp;'Compliance Database'!$O469)))),1,0)</f>
        <v>0</v>
      </c>
      <c r="B469" t="str">
        <f>IF($A469=1,SUM($A$2:$A469),"")</f>
        <v/>
      </c>
      <c r="C469">
        <f>IF($A469=1,SUM($A$2:$A469),0)</f>
        <v>0</v>
      </c>
    </row>
    <row r="470" spans="1:3" x14ac:dyDescent="0.3">
      <c r="A470">
        <f>IF(AND(OR('Compliance Database'!$A470='Data Transfer'!$B$4,'Compliance Database'!$A470='Data Transfer'!$B$5),OR('Data Transfer'!$B$6="",ISNUMBER(SEARCH('Data Transfer'!$B$6,'Compliance Database'!$D470&amp;" "&amp;'Compliance Database'!$K470&amp;" "&amp;'Compliance Database'!$L470&amp;" "&amp;'Compliance Database'!$M470&amp;" "&amp;'Compliance Database'!$N470&amp;" "&amp;'Compliance Database'!$O470)))),1,0)</f>
        <v>0</v>
      </c>
      <c r="B470" t="str">
        <f>IF($A470=1,SUM($A$2:$A470),"")</f>
        <v/>
      </c>
      <c r="C470">
        <f>IF($A470=1,SUM($A$2:$A470),0)</f>
        <v>0</v>
      </c>
    </row>
    <row r="471" spans="1:3" x14ac:dyDescent="0.3">
      <c r="A471">
        <f>IF(AND(OR('Compliance Database'!$A471='Data Transfer'!$B$4,'Compliance Database'!$A471='Data Transfer'!$B$5),OR('Data Transfer'!$B$6="",ISNUMBER(SEARCH('Data Transfer'!$B$6,'Compliance Database'!$D471&amp;" "&amp;'Compliance Database'!$K471&amp;" "&amp;'Compliance Database'!$L471&amp;" "&amp;'Compliance Database'!$M471&amp;" "&amp;'Compliance Database'!$N471&amp;" "&amp;'Compliance Database'!$O471)))),1,0)</f>
        <v>0</v>
      </c>
      <c r="B471" t="str">
        <f>IF($A471=1,SUM($A$2:$A471),"")</f>
        <v/>
      </c>
      <c r="C471">
        <f>IF($A471=1,SUM($A$2:$A471),0)</f>
        <v>0</v>
      </c>
    </row>
    <row r="472" spans="1:3" x14ac:dyDescent="0.3">
      <c r="A472">
        <f>IF(AND(OR('Compliance Database'!$A472='Data Transfer'!$B$4,'Compliance Database'!$A472='Data Transfer'!$B$5),OR('Data Transfer'!$B$6="",ISNUMBER(SEARCH('Data Transfer'!$B$6,'Compliance Database'!$D472&amp;" "&amp;'Compliance Database'!$K472&amp;" "&amp;'Compliance Database'!$L472&amp;" "&amp;'Compliance Database'!$M472&amp;" "&amp;'Compliance Database'!$N472&amp;" "&amp;'Compliance Database'!$O472)))),1,0)</f>
        <v>0</v>
      </c>
      <c r="B472" t="str">
        <f>IF($A472=1,SUM($A$2:$A472),"")</f>
        <v/>
      </c>
      <c r="C472">
        <f>IF($A472=1,SUM($A$2:$A472),0)</f>
        <v>0</v>
      </c>
    </row>
    <row r="473" spans="1:3" x14ac:dyDescent="0.3">
      <c r="A473">
        <f>IF(AND(OR('Compliance Database'!$A473='Data Transfer'!$B$4,'Compliance Database'!$A473='Data Transfer'!$B$5),OR('Data Transfer'!$B$6="",ISNUMBER(SEARCH('Data Transfer'!$B$6,'Compliance Database'!$D473&amp;" "&amp;'Compliance Database'!$K473&amp;" "&amp;'Compliance Database'!$L473&amp;" "&amp;'Compliance Database'!$M473&amp;" "&amp;'Compliance Database'!$N473&amp;" "&amp;'Compliance Database'!$O473)))),1,0)</f>
        <v>0</v>
      </c>
      <c r="B473" t="str">
        <f>IF($A473=1,SUM($A$2:$A473),"")</f>
        <v/>
      </c>
      <c r="C473">
        <f>IF($A473=1,SUM($A$2:$A473),0)</f>
        <v>0</v>
      </c>
    </row>
    <row r="474" spans="1:3" x14ac:dyDescent="0.3">
      <c r="A474">
        <f>IF(AND(OR('Compliance Database'!$A474='Data Transfer'!$B$4,'Compliance Database'!$A474='Data Transfer'!$B$5),OR('Data Transfer'!$B$6="",ISNUMBER(SEARCH('Data Transfer'!$B$6,'Compliance Database'!$D474&amp;" "&amp;'Compliance Database'!$K474&amp;" "&amp;'Compliance Database'!$L474&amp;" "&amp;'Compliance Database'!$M474&amp;" "&amp;'Compliance Database'!$N474&amp;" "&amp;'Compliance Database'!$O474)))),1,0)</f>
        <v>0</v>
      </c>
      <c r="B474" t="str">
        <f>IF($A474=1,SUM($A$2:$A474),"")</f>
        <v/>
      </c>
      <c r="C474">
        <f>IF($A474=1,SUM($A$2:$A474),0)</f>
        <v>0</v>
      </c>
    </row>
    <row r="475" spans="1:3" x14ac:dyDescent="0.3">
      <c r="A475">
        <f>IF(AND(OR('Compliance Database'!$A475='Data Transfer'!$B$4,'Compliance Database'!$A475='Data Transfer'!$B$5),OR('Data Transfer'!$B$6="",ISNUMBER(SEARCH('Data Transfer'!$B$6,'Compliance Database'!$D475&amp;" "&amp;'Compliance Database'!$K475&amp;" "&amp;'Compliance Database'!$L475&amp;" "&amp;'Compliance Database'!$M475&amp;" "&amp;'Compliance Database'!$N475&amp;" "&amp;'Compliance Database'!$O475)))),1,0)</f>
        <v>0</v>
      </c>
      <c r="B475" t="str">
        <f>IF($A475=1,SUM($A$2:$A475),"")</f>
        <v/>
      </c>
      <c r="C475">
        <f>IF($A475=1,SUM($A$2:$A475),0)</f>
        <v>0</v>
      </c>
    </row>
    <row r="476" spans="1:3" x14ac:dyDescent="0.3">
      <c r="A476">
        <f>IF(AND(OR('Compliance Database'!$A476='Data Transfer'!$B$4,'Compliance Database'!$A476='Data Transfer'!$B$5),OR('Data Transfer'!$B$6="",ISNUMBER(SEARCH('Data Transfer'!$B$6,'Compliance Database'!$D476&amp;" "&amp;'Compliance Database'!$K476&amp;" "&amp;'Compliance Database'!$L476&amp;" "&amp;'Compliance Database'!$M476&amp;" "&amp;'Compliance Database'!$N476&amp;" "&amp;'Compliance Database'!$O476)))),1,0)</f>
        <v>0</v>
      </c>
      <c r="B476" t="str">
        <f>IF($A476=1,SUM($A$2:$A476),"")</f>
        <v/>
      </c>
      <c r="C476">
        <f>IF($A476=1,SUM($A$2:$A476),0)</f>
        <v>0</v>
      </c>
    </row>
    <row r="477" spans="1:3" x14ac:dyDescent="0.3">
      <c r="A477">
        <f>IF(AND(OR('Compliance Database'!$A477='Data Transfer'!$B$4,'Compliance Database'!$A477='Data Transfer'!$B$5),OR('Data Transfer'!$B$6="",ISNUMBER(SEARCH('Data Transfer'!$B$6,'Compliance Database'!$D477&amp;" "&amp;'Compliance Database'!$K477&amp;" "&amp;'Compliance Database'!$L477&amp;" "&amp;'Compliance Database'!$M477&amp;" "&amp;'Compliance Database'!$N477&amp;" "&amp;'Compliance Database'!$O477)))),1,0)</f>
        <v>0</v>
      </c>
      <c r="B477" t="str">
        <f>IF($A477=1,SUM($A$2:$A477),"")</f>
        <v/>
      </c>
      <c r="C477">
        <f>IF($A477=1,SUM($A$2:$A477),0)</f>
        <v>0</v>
      </c>
    </row>
    <row r="478" spans="1:3" x14ac:dyDescent="0.3">
      <c r="A478">
        <f>IF(AND(OR('Compliance Database'!$A478='Data Transfer'!$B$4,'Compliance Database'!$A478='Data Transfer'!$B$5),OR('Data Transfer'!$B$6="",ISNUMBER(SEARCH('Data Transfer'!$B$6,'Compliance Database'!$D478&amp;" "&amp;'Compliance Database'!$K478&amp;" "&amp;'Compliance Database'!$L478&amp;" "&amp;'Compliance Database'!$M478&amp;" "&amp;'Compliance Database'!$N478&amp;" "&amp;'Compliance Database'!$O478)))),1,0)</f>
        <v>0</v>
      </c>
      <c r="B478" t="str">
        <f>IF($A478=1,SUM($A$2:$A478),"")</f>
        <v/>
      </c>
      <c r="C478">
        <f>IF($A478=1,SUM($A$2:$A478),0)</f>
        <v>0</v>
      </c>
    </row>
    <row r="479" spans="1:3" x14ac:dyDescent="0.3">
      <c r="A479">
        <f>IF(AND(OR('Compliance Database'!$A479='Data Transfer'!$B$4,'Compliance Database'!$A479='Data Transfer'!$B$5),OR('Data Transfer'!$B$6="",ISNUMBER(SEARCH('Data Transfer'!$B$6,'Compliance Database'!$D479&amp;" "&amp;'Compliance Database'!$K479&amp;" "&amp;'Compliance Database'!$L479&amp;" "&amp;'Compliance Database'!$M479&amp;" "&amp;'Compliance Database'!$N479&amp;" "&amp;'Compliance Database'!$O479)))),1,0)</f>
        <v>0</v>
      </c>
      <c r="B479" t="str">
        <f>IF($A479=1,SUM($A$2:$A479),"")</f>
        <v/>
      </c>
      <c r="C479">
        <f>IF($A479=1,SUM($A$2:$A479),0)</f>
        <v>0</v>
      </c>
    </row>
    <row r="480" spans="1:3" x14ac:dyDescent="0.3">
      <c r="A480">
        <f>IF(AND(OR('Compliance Database'!$A480='Data Transfer'!$B$4,'Compliance Database'!$A480='Data Transfer'!$B$5),OR('Data Transfer'!$B$6="",ISNUMBER(SEARCH('Data Transfer'!$B$6,'Compliance Database'!$D480&amp;" "&amp;'Compliance Database'!$K480&amp;" "&amp;'Compliance Database'!$L480&amp;" "&amp;'Compliance Database'!$M480&amp;" "&amp;'Compliance Database'!$N480&amp;" "&amp;'Compliance Database'!$O480)))),1,0)</f>
        <v>0</v>
      </c>
      <c r="B480" t="str">
        <f>IF($A480=1,SUM($A$2:$A480),"")</f>
        <v/>
      </c>
      <c r="C480">
        <f>IF($A480=1,SUM($A$2:$A480),0)</f>
        <v>0</v>
      </c>
    </row>
    <row r="481" spans="1:3" x14ac:dyDescent="0.3">
      <c r="A481">
        <f>IF(AND(OR('Compliance Database'!$A481='Data Transfer'!$B$4,'Compliance Database'!$A481='Data Transfer'!$B$5),OR('Data Transfer'!$B$6="",ISNUMBER(SEARCH('Data Transfer'!$B$6,'Compliance Database'!$D481&amp;" "&amp;'Compliance Database'!$K481&amp;" "&amp;'Compliance Database'!$L481&amp;" "&amp;'Compliance Database'!$M481&amp;" "&amp;'Compliance Database'!$N481&amp;" "&amp;'Compliance Database'!$O481)))),1,0)</f>
        <v>0</v>
      </c>
      <c r="B481" t="str">
        <f>IF($A481=1,SUM($A$2:$A481),"")</f>
        <v/>
      </c>
      <c r="C481">
        <f>IF($A481=1,SUM($A$2:$A481),0)</f>
        <v>0</v>
      </c>
    </row>
    <row r="482" spans="1:3" x14ac:dyDescent="0.3">
      <c r="A482">
        <f>IF(AND(OR('Compliance Database'!$A482='Data Transfer'!$B$4,'Compliance Database'!$A482='Data Transfer'!$B$5),OR('Data Transfer'!$B$6="",ISNUMBER(SEARCH('Data Transfer'!$B$6,'Compliance Database'!$D482&amp;" "&amp;'Compliance Database'!$K482&amp;" "&amp;'Compliance Database'!$L482&amp;" "&amp;'Compliance Database'!$M482&amp;" "&amp;'Compliance Database'!$N482&amp;" "&amp;'Compliance Database'!$O482)))),1,0)</f>
        <v>0</v>
      </c>
      <c r="B482" t="str">
        <f>IF($A482=1,SUM($A$2:$A482),"")</f>
        <v/>
      </c>
      <c r="C482">
        <f>IF($A482=1,SUM($A$2:$A482),0)</f>
        <v>0</v>
      </c>
    </row>
    <row r="483" spans="1:3" x14ac:dyDescent="0.3">
      <c r="A483">
        <f>IF(AND(OR('Compliance Database'!$A483='Data Transfer'!$B$4,'Compliance Database'!$A483='Data Transfer'!$B$5),OR('Data Transfer'!$B$6="",ISNUMBER(SEARCH('Data Transfer'!$B$6,'Compliance Database'!$D483&amp;" "&amp;'Compliance Database'!$K483&amp;" "&amp;'Compliance Database'!$L483&amp;" "&amp;'Compliance Database'!$M483&amp;" "&amp;'Compliance Database'!$N483&amp;" "&amp;'Compliance Database'!$O483)))),1,0)</f>
        <v>0</v>
      </c>
      <c r="B483" t="str">
        <f>IF($A483=1,SUM($A$2:$A483),"")</f>
        <v/>
      </c>
      <c r="C483">
        <f>IF($A483=1,SUM($A$2:$A483),0)</f>
        <v>0</v>
      </c>
    </row>
    <row r="484" spans="1:3" x14ac:dyDescent="0.3">
      <c r="A484">
        <f>IF(AND(OR('Compliance Database'!$A484='Data Transfer'!$B$4,'Compliance Database'!$A484='Data Transfer'!$B$5),OR('Data Transfer'!$B$6="",ISNUMBER(SEARCH('Data Transfer'!$B$6,'Compliance Database'!$D484&amp;" "&amp;'Compliance Database'!$K484&amp;" "&amp;'Compliance Database'!$L484&amp;" "&amp;'Compliance Database'!$M484&amp;" "&amp;'Compliance Database'!$N484&amp;" "&amp;'Compliance Database'!$O484)))),1,0)</f>
        <v>0</v>
      </c>
      <c r="B484" t="str">
        <f>IF($A484=1,SUM($A$2:$A484),"")</f>
        <v/>
      </c>
      <c r="C484">
        <f>IF($A484=1,SUM($A$2:$A484),0)</f>
        <v>0</v>
      </c>
    </row>
    <row r="485" spans="1:3" x14ac:dyDescent="0.3">
      <c r="A485">
        <f>IF(AND(OR('Compliance Database'!$A485='Data Transfer'!$B$4,'Compliance Database'!$A485='Data Transfer'!$B$5),OR('Data Transfer'!$B$6="",ISNUMBER(SEARCH('Data Transfer'!$B$6,'Compliance Database'!$D485&amp;" "&amp;'Compliance Database'!$K485&amp;" "&amp;'Compliance Database'!$L485&amp;" "&amp;'Compliance Database'!$M485&amp;" "&amp;'Compliance Database'!$N485&amp;" "&amp;'Compliance Database'!$O485)))),1,0)</f>
        <v>0</v>
      </c>
      <c r="B485" t="str">
        <f>IF($A485=1,SUM($A$2:$A485),"")</f>
        <v/>
      </c>
      <c r="C485">
        <f>IF($A485=1,SUM($A$2:$A485),0)</f>
        <v>0</v>
      </c>
    </row>
    <row r="486" spans="1:3" x14ac:dyDescent="0.3">
      <c r="A486">
        <f>IF(AND(OR('Compliance Database'!$A486='Data Transfer'!$B$4,'Compliance Database'!$A486='Data Transfer'!$B$5),OR('Data Transfer'!$B$6="",ISNUMBER(SEARCH('Data Transfer'!$B$6,'Compliance Database'!$D486&amp;" "&amp;'Compliance Database'!$K486&amp;" "&amp;'Compliance Database'!$L486&amp;" "&amp;'Compliance Database'!$M486&amp;" "&amp;'Compliance Database'!$N486&amp;" "&amp;'Compliance Database'!$O486)))),1,0)</f>
        <v>0</v>
      </c>
      <c r="B486" t="str">
        <f>IF($A486=1,SUM($A$2:$A486),"")</f>
        <v/>
      </c>
      <c r="C486">
        <f>IF($A486=1,SUM($A$2:$A486),0)</f>
        <v>0</v>
      </c>
    </row>
    <row r="487" spans="1:3" x14ac:dyDescent="0.3">
      <c r="A487">
        <f>IF(AND(OR('Compliance Database'!$A487='Data Transfer'!$B$4,'Compliance Database'!$A487='Data Transfer'!$B$5),OR('Data Transfer'!$B$6="",ISNUMBER(SEARCH('Data Transfer'!$B$6,'Compliance Database'!$D487&amp;" "&amp;'Compliance Database'!$K487&amp;" "&amp;'Compliance Database'!$L487&amp;" "&amp;'Compliance Database'!$M487&amp;" "&amp;'Compliance Database'!$N487&amp;" "&amp;'Compliance Database'!$O487)))),1,0)</f>
        <v>0</v>
      </c>
      <c r="B487" t="str">
        <f>IF($A487=1,SUM($A$2:$A487),"")</f>
        <v/>
      </c>
      <c r="C487">
        <f>IF($A487=1,SUM($A$2:$A487),0)</f>
        <v>0</v>
      </c>
    </row>
    <row r="488" spans="1:3" x14ac:dyDescent="0.3">
      <c r="A488">
        <f>IF(AND(OR('Compliance Database'!$A488='Data Transfer'!$B$4,'Compliance Database'!$A488='Data Transfer'!$B$5),OR('Data Transfer'!$B$6="",ISNUMBER(SEARCH('Data Transfer'!$B$6,'Compliance Database'!$D488&amp;" "&amp;'Compliance Database'!$K488&amp;" "&amp;'Compliance Database'!$L488&amp;" "&amp;'Compliance Database'!$M488&amp;" "&amp;'Compliance Database'!$N488&amp;" "&amp;'Compliance Database'!$O488)))),1,0)</f>
        <v>0</v>
      </c>
      <c r="B488" t="str">
        <f>IF($A488=1,SUM($A$2:$A488),"")</f>
        <v/>
      </c>
      <c r="C488">
        <f>IF($A488=1,SUM($A$2:$A488),0)</f>
        <v>0</v>
      </c>
    </row>
    <row r="489" spans="1:3" x14ac:dyDescent="0.3">
      <c r="A489">
        <f>IF(AND(OR('Compliance Database'!$A489='Data Transfer'!$B$4,'Compliance Database'!$A489='Data Transfer'!$B$5),OR('Data Transfer'!$B$6="",ISNUMBER(SEARCH('Data Transfer'!$B$6,'Compliance Database'!$D489&amp;" "&amp;'Compliance Database'!$K489&amp;" "&amp;'Compliance Database'!$L489&amp;" "&amp;'Compliance Database'!$M489&amp;" "&amp;'Compliance Database'!$N489&amp;" "&amp;'Compliance Database'!$O489)))),1,0)</f>
        <v>0</v>
      </c>
      <c r="B489" t="str">
        <f>IF($A489=1,SUM($A$2:$A489),"")</f>
        <v/>
      </c>
      <c r="C489">
        <f>IF($A489=1,SUM($A$2:$A489),0)</f>
        <v>0</v>
      </c>
    </row>
    <row r="490" spans="1:3" x14ac:dyDescent="0.3">
      <c r="A490">
        <f>IF(AND(OR('Compliance Database'!$A490='Data Transfer'!$B$4,'Compliance Database'!$A490='Data Transfer'!$B$5),OR('Data Transfer'!$B$6="",ISNUMBER(SEARCH('Data Transfer'!$B$6,'Compliance Database'!$D490&amp;" "&amp;'Compliance Database'!$K490&amp;" "&amp;'Compliance Database'!$L490&amp;" "&amp;'Compliance Database'!$M490&amp;" "&amp;'Compliance Database'!$N490&amp;" "&amp;'Compliance Database'!$O490)))),1,0)</f>
        <v>0</v>
      </c>
      <c r="B490" t="str">
        <f>IF($A490=1,SUM($A$2:$A490),"")</f>
        <v/>
      </c>
      <c r="C490">
        <f>IF($A490=1,SUM($A$2:$A490),0)</f>
        <v>0</v>
      </c>
    </row>
    <row r="491" spans="1:3" x14ac:dyDescent="0.3">
      <c r="A491">
        <f>IF(AND(OR('Compliance Database'!$A491='Data Transfer'!$B$4,'Compliance Database'!$A491='Data Transfer'!$B$5),OR('Data Transfer'!$B$6="",ISNUMBER(SEARCH('Data Transfer'!$B$6,'Compliance Database'!$D491&amp;" "&amp;'Compliance Database'!$K491&amp;" "&amp;'Compliance Database'!$L491&amp;" "&amp;'Compliance Database'!$M491&amp;" "&amp;'Compliance Database'!$N491&amp;" "&amp;'Compliance Database'!$O491)))),1,0)</f>
        <v>0</v>
      </c>
      <c r="B491" t="str">
        <f>IF($A491=1,SUM($A$2:$A491),"")</f>
        <v/>
      </c>
      <c r="C491">
        <f>IF($A491=1,SUM($A$2:$A491),0)</f>
        <v>0</v>
      </c>
    </row>
    <row r="492" spans="1:3" x14ac:dyDescent="0.3">
      <c r="A492">
        <f>IF(AND(OR('Compliance Database'!$A492='Data Transfer'!$B$4,'Compliance Database'!$A492='Data Transfer'!$B$5),OR('Data Transfer'!$B$6="",ISNUMBER(SEARCH('Data Transfer'!$B$6,'Compliance Database'!$D492&amp;" "&amp;'Compliance Database'!$K492&amp;" "&amp;'Compliance Database'!$L492&amp;" "&amp;'Compliance Database'!$M492&amp;" "&amp;'Compliance Database'!$N492&amp;" "&amp;'Compliance Database'!$O492)))),1,0)</f>
        <v>0</v>
      </c>
      <c r="B492" t="str">
        <f>IF($A492=1,SUM($A$2:$A492),"")</f>
        <v/>
      </c>
      <c r="C492">
        <f>IF($A492=1,SUM($A$2:$A492),0)</f>
        <v>0</v>
      </c>
    </row>
    <row r="493" spans="1:3" x14ac:dyDescent="0.3">
      <c r="A493">
        <f>IF(AND(OR('Compliance Database'!$A493='Data Transfer'!$B$4,'Compliance Database'!$A493='Data Transfer'!$B$5),OR('Data Transfer'!$B$6="",ISNUMBER(SEARCH('Data Transfer'!$B$6,'Compliance Database'!$D493&amp;" "&amp;'Compliance Database'!$K493&amp;" "&amp;'Compliance Database'!$L493&amp;" "&amp;'Compliance Database'!$M493&amp;" "&amp;'Compliance Database'!$N493&amp;" "&amp;'Compliance Database'!$O493)))),1,0)</f>
        <v>0</v>
      </c>
      <c r="B493" t="str">
        <f>IF($A493=1,SUM($A$2:$A493),"")</f>
        <v/>
      </c>
      <c r="C493">
        <f>IF($A493=1,SUM($A$2:$A493),0)</f>
        <v>0</v>
      </c>
    </row>
    <row r="494" spans="1:3" x14ac:dyDescent="0.3">
      <c r="A494">
        <f>IF(AND(OR('Compliance Database'!$A494='Data Transfer'!$B$4,'Compliance Database'!$A494='Data Transfer'!$B$5),OR('Data Transfer'!$B$6="",ISNUMBER(SEARCH('Data Transfer'!$B$6,'Compliance Database'!$D494&amp;" "&amp;'Compliance Database'!$K494&amp;" "&amp;'Compliance Database'!$L494&amp;" "&amp;'Compliance Database'!$M494&amp;" "&amp;'Compliance Database'!$N494&amp;" "&amp;'Compliance Database'!$O494)))),1,0)</f>
        <v>0</v>
      </c>
      <c r="B494" t="str">
        <f>IF($A494=1,SUM($A$2:$A494),"")</f>
        <v/>
      </c>
      <c r="C494">
        <f>IF($A494=1,SUM($A$2:$A494),0)</f>
        <v>0</v>
      </c>
    </row>
    <row r="495" spans="1:3" x14ac:dyDescent="0.3">
      <c r="A495">
        <f>IF(AND(OR('Compliance Database'!$A495='Data Transfer'!$B$4,'Compliance Database'!$A495='Data Transfer'!$B$5),OR('Data Transfer'!$B$6="",ISNUMBER(SEARCH('Data Transfer'!$B$6,'Compliance Database'!$D495&amp;" "&amp;'Compliance Database'!$K495&amp;" "&amp;'Compliance Database'!$L495&amp;" "&amp;'Compliance Database'!$M495&amp;" "&amp;'Compliance Database'!$N495&amp;" "&amp;'Compliance Database'!$O495)))),1,0)</f>
        <v>0</v>
      </c>
      <c r="B495" t="str">
        <f>IF($A495=1,SUM($A$2:$A495),"")</f>
        <v/>
      </c>
      <c r="C495">
        <f>IF($A495=1,SUM($A$2:$A495),0)</f>
        <v>0</v>
      </c>
    </row>
    <row r="496" spans="1:3" x14ac:dyDescent="0.3">
      <c r="A496">
        <f>IF(AND(OR('Compliance Database'!$A496='Data Transfer'!$B$4,'Compliance Database'!$A496='Data Transfer'!$B$5),OR('Data Transfer'!$B$6="",ISNUMBER(SEARCH('Data Transfer'!$B$6,'Compliance Database'!$D496&amp;" "&amp;'Compliance Database'!$K496&amp;" "&amp;'Compliance Database'!$L496&amp;" "&amp;'Compliance Database'!$M496&amp;" "&amp;'Compliance Database'!$N496&amp;" "&amp;'Compliance Database'!$O496)))),1,0)</f>
        <v>0</v>
      </c>
      <c r="B496" t="str">
        <f>IF($A496=1,SUM($A$2:$A496),"")</f>
        <v/>
      </c>
      <c r="C496">
        <f>IF($A496=1,SUM($A$2:$A496),0)</f>
        <v>0</v>
      </c>
    </row>
    <row r="497" spans="1:3" x14ac:dyDescent="0.3">
      <c r="A497">
        <f>IF(AND(OR('Compliance Database'!$A497='Data Transfer'!$B$4,'Compliance Database'!$A497='Data Transfer'!$B$5),OR('Data Transfer'!$B$6="",ISNUMBER(SEARCH('Data Transfer'!$B$6,'Compliance Database'!$D497&amp;" "&amp;'Compliance Database'!$K497&amp;" "&amp;'Compliance Database'!$L497&amp;" "&amp;'Compliance Database'!$M497&amp;" "&amp;'Compliance Database'!$N497&amp;" "&amp;'Compliance Database'!$O497)))),1,0)</f>
        <v>0</v>
      </c>
      <c r="B497" t="str">
        <f>IF($A497=1,SUM($A$2:$A497),"")</f>
        <v/>
      </c>
      <c r="C497">
        <f>IF($A497=1,SUM($A$2:$A497),0)</f>
        <v>0</v>
      </c>
    </row>
    <row r="498" spans="1:3" x14ac:dyDescent="0.3">
      <c r="A498">
        <f>IF(AND(OR('Compliance Database'!$A498='Data Transfer'!$B$4,'Compliance Database'!$A498='Data Transfer'!$B$5),OR('Data Transfer'!$B$6="",ISNUMBER(SEARCH('Data Transfer'!$B$6,'Compliance Database'!$D498&amp;" "&amp;'Compliance Database'!$K498&amp;" "&amp;'Compliance Database'!$L498&amp;" "&amp;'Compliance Database'!$M498&amp;" "&amp;'Compliance Database'!$N498&amp;" "&amp;'Compliance Database'!$O498)))),1,0)</f>
        <v>0</v>
      </c>
      <c r="B498" t="str">
        <f>IF($A498=1,SUM($A$2:$A498),"")</f>
        <v/>
      </c>
      <c r="C498">
        <f>IF($A498=1,SUM($A$2:$A498),0)</f>
        <v>0</v>
      </c>
    </row>
    <row r="499" spans="1:3" x14ac:dyDescent="0.3">
      <c r="A499">
        <f>IF(AND(OR('Compliance Database'!$A499='Data Transfer'!$B$4,'Compliance Database'!$A499='Data Transfer'!$B$5),OR('Data Transfer'!$B$6="",ISNUMBER(SEARCH('Data Transfer'!$B$6,'Compliance Database'!$D499&amp;" "&amp;'Compliance Database'!$K499&amp;" "&amp;'Compliance Database'!$L499&amp;" "&amp;'Compliance Database'!$M499&amp;" "&amp;'Compliance Database'!$N499&amp;" "&amp;'Compliance Database'!$O499)))),1,0)</f>
        <v>0</v>
      </c>
      <c r="B499" t="str">
        <f>IF($A499=1,SUM($A$2:$A499),"")</f>
        <v/>
      </c>
      <c r="C499">
        <f>IF($A499=1,SUM($A$2:$A499),0)</f>
        <v>0</v>
      </c>
    </row>
    <row r="500" spans="1:3" x14ac:dyDescent="0.3">
      <c r="A500">
        <f>IF(AND(OR('Compliance Database'!$A500='Data Transfer'!$B$4,'Compliance Database'!$A500='Data Transfer'!$B$5),OR('Data Transfer'!$B$6="",ISNUMBER(SEARCH('Data Transfer'!$B$6,'Compliance Database'!$D500&amp;" "&amp;'Compliance Database'!$K500&amp;" "&amp;'Compliance Database'!$L500&amp;" "&amp;'Compliance Database'!$M500&amp;" "&amp;'Compliance Database'!$N500&amp;" "&amp;'Compliance Database'!$O500)))),1,0)</f>
        <v>0</v>
      </c>
      <c r="B500" t="str">
        <f>IF($A500=1,SUM($A$2:$A500),"")</f>
        <v/>
      </c>
      <c r="C500">
        <f>IF($A500=1,SUM($A$2:$A500),0)</f>
        <v>0</v>
      </c>
    </row>
    <row r="501" spans="1:3" x14ac:dyDescent="0.3">
      <c r="A501">
        <f>IF(AND(OR('Compliance Database'!$A501='Data Transfer'!$B$4,'Compliance Database'!$A501='Data Transfer'!$B$5),OR('Data Transfer'!$B$6="",ISNUMBER(SEARCH('Data Transfer'!$B$6,'Compliance Database'!$D501&amp;" "&amp;'Compliance Database'!$K501&amp;" "&amp;'Compliance Database'!$L501&amp;" "&amp;'Compliance Database'!$M501&amp;" "&amp;'Compliance Database'!$N501&amp;" "&amp;'Compliance Database'!$O501)))),1,0)</f>
        <v>0</v>
      </c>
      <c r="B501" t="str">
        <f>IF($A501=1,SUM($A$2:$A501),"")</f>
        <v/>
      </c>
      <c r="C501">
        <f>IF($A501=1,SUM($A$2:$A501),0)</f>
        <v>0</v>
      </c>
    </row>
    <row r="502" spans="1:3" x14ac:dyDescent="0.3">
      <c r="A502">
        <f>IF(AND(OR('Compliance Database'!$A502='Data Transfer'!$B$4,'Compliance Database'!$A502='Data Transfer'!$B$5),OR('Data Transfer'!$B$6="",ISNUMBER(SEARCH('Data Transfer'!$B$6,'Compliance Database'!$D502&amp;" "&amp;'Compliance Database'!$K502&amp;" "&amp;'Compliance Database'!$L502&amp;" "&amp;'Compliance Database'!$M502&amp;" "&amp;'Compliance Database'!$N502&amp;" "&amp;'Compliance Database'!$O502)))),1,0)</f>
        <v>0</v>
      </c>
      <c r="B502" t="str">
        <f>IF($A502=1,SUM($A$2:$A502),"")</f>
        <v/>
      </c>
      <c r="C502">
        <f>IF($A502=1,SUM($A$2:$A502),0)</f>
        <v>0</v>
      </c>
    </row>
    <row r="503" spans="1:3" x14ac:dyDescent="0.3">
      <c r="A503">
        <f>IF(AND(OR('Compliance Database'!$A503='Data Transfer'!$B$4,'Compliance Database'!$A503='Data Transfer'!$B$5),OR('Data Transfer'!$B$6="",ISNUMBER(SEARCH('Data Transfer'!$B$6,'Compliance Database'!$D503&amp;" "&amp;'Compliance Database'!$K503&amp;" "&amp;'Compliance Database'!$L503&amp;" "&amp;'Compliance Database'!$M503&amp;" "&amp;'Compliance Database'!$N503&amp;" "&amp;'Compliance Database'!$O503)))),1,0)</f>
        <v>0</v>
      </c>
      <c r="B503" t="str">
        <f>IF($A503=1,SUM($A$2:$A503),"")</f>
        <v/>
      </c>
      <c r="C503">
        <f>IF($A503=1,SUM($A$2:$A503),0)</f>
        <v>0</v>
      </c>
    </row>
    <row r="504" spans="1:3" x14ac:dyDescent="0.3">
      <c r="A504">
        <f>IF(AND(OR('Compliance Database'!$A504='Data Transfer'!$B$4,'Compliance Database'!$A504='Data Transfer'!$B$5),OR('Data Transfer'!$B$6="",ISNUMBER(SEARCH('Data Transfer'!$B$6,'Compliance Database'!$D504&amp;" "&amp;'Compliance Database'!$K504&amp;" "&amp;'Compliance Database'!$L504&amp;" "&amp;'Compliance Database'!$M504&amp;" "&amp;'Compliance Database'!$N504&amp;" "&amp;'Compliance Database'!$O504)))),1,0)</f>
        <v>0</v>
      </c>
      <c r="B504" t="str">
        <f>IF($A504=1,SUM($A$2:$A504),"")</f>
        <v/>
      </c>
      <c r="C504">
        <f>IF($A504=1,SUM($A$2:$A504),0)</f>
        <v>0</v>
      </c>
    </row>
    <row r="505" spans="1:3" x14ac:dyDescent="0.3">
      <c r="A505">
        <f>IF(AND(OR('Compliance Database'!$A505='Data Transfer'!$B$4,'Compliance Database'!$A505='Data Transfer'!$B$5),OR('Data Transfer'!$B$6="",ISNUMBER(SEARCH('Data Transfer'!$B$6,'Compliance Database'!$D505&amp;" "&amp;'Compliance Database'!$K505&amp;" "&amp;'Compliance Database'!$L505&amp;" "&amp;'Compliance Database'!$M505&amp;" "&amp;'Compliance Database'!$N505&amp;" "&amp;'Compliance Database'!$O505)))),1,0)</f>
        <v>0</v>
      </c>
      <c r="B505" t="str">
        <f>IF($A505=1,SUM($A$2:$A505),"")</f>
        <v/>
      </c>
      <c r="C505">
        <f>IF($A505=1,SUM($A$2:$A505),0)</f>
        <v>0</v>
      </c>
    </row>
    <row r="506" spans="1:3" x14ac:dyDescent="0.3">
      <c r="A506">
        <f>IF(AND(OR('Compliance Database'!$A506='Data Transfer'!$B$4,'Compliance Database'!$A506='Data Transfer'!$B$5),OR('Data Transfer'!$B$6="",ISNUMBER(SEARCH('Data Transfer'!$B$6,'Compliance Database'!$D506&amp;" "&amp;'Compliance Database'!$K506&amp;" "&amp;'Compliance Database'!$L506&amp;" "&amp;'Compliance Database'!$M506&amp;" "&amp;'Compliance Database'!$N506&amp;" "&amp;'Compliance Database'!$O506)))),1,0)</f>
        <v>0</v>
      </c>
      <c r="B506" t="str">
        <f>IF($A506=1,SUM($A$2:$A506),"")</f>
        <v/>
      </c>
      <c r="C506">
        <f>IF($A506=1,SUM($A$2:$A506),0)</f>
        <v>0</v>
      </c>
    </row>
    <row r="507" spans="1:3" x14ac:dyDescent="0.3">
      <c r="A507">
        <f>IF(AND(OR('Compliance Database'!$A507='Data Transfer'!$B$4,'Compliance Database'!$A507='Data Transfer'!$B$5),OR('Data Transfer'!$B$6="",ISNUMBER(SEARCH('Data Transfer'!$B$6,'Compliance Database'!$D507&amp;" "&amp;'Compliance Database'!$K507&amp;" "&amp;'Compliance Database'!$L507&amp;" "&amp;'Compliance Database'!$M507&amp;" "&amp;'Compliance Database'!$N507&amp;" "&amp;'Compliance Database'!$O507)))),1,0)</f>
        <v>0</v>
      </c>
      <c r="B507" t="str">
        <f>IF($A507=1,SUM($A$2:$A507),"")</f>
        <v/>
      </c>
      <c r="C507">
        <f>IF($A507=1,SUM($A$2:$A507),0)</f>
        <v>0</v>
      </c>
    </row>
    <row r="508" spans="1:3" x14ac:dyDescent="0.3">
      <c r="A508">
        <f>IF(AND(OR('Compliance Database'!$A508='Data Transfer'!$B$4,'Compliance Database'!$A508='Data Transfer'!$B$5),OR('Data Transfer'!$B$6="",ISNUMBER(SEARCH('Data Transfer'!$B$6,'Compliance Database'!$D508&amp;" "&amp;'Compliance Database'!$K508&amp;" "&amp;'Compliance Database'!$L508&amp;" "&amp;'Compliance Database'!$M508&amp;" "&amp;'Compliance Database'!$N508&amp;" "&amp;'Compliance Database'!$O508)))),1,0)</f>
        <v>0</v>
      </c>
      <c r="B508" t="str">
        <f>IF($A508=1,SUM($A$2:$A508),"")</f>
        <v/>
      </c>
      <c r="C508">
        <f>IF($A508=1,SUM($A$2:$A508),0)</f>
        <v>0</v>
      </c>
    </row>
    <row r="509" spans="1:3" x14ac:dyDescent="0.3">
      <c r="A509">
        <f>IF(AND(OR('Compliance Database'!$A509='Data Transfer'!$B$4,'Compliance Database'!$A509='Data Transfer'!$B$5),OR('Data Transfer'!$B$6="",ISNUMBER(SEARCH('Data Transfer'!$B$6,'Compliance Database'!$D509&amp;" "&amp;'Compliance Database'!$K509&amp;" "&amp;'Compliance Database'!$L509&amp;" "&amp;'Compliance Database'!$M509&amp;" "&amp;'Compliance Database'!$N509&amp;" "&amp;'Compliance Database'!$O509)))),1,0)</f>
        <v>0</v>
      </c>
      <c r="B509" t="str">
        <f>IF($A509=1,SUM($A$2:$A509),"")</f>
        <v/>
      </c>
      <c r="C509">
        <f>IF($A509=1,SUM($A$2:$A509),0)</f>
        <v>0</v>
      </c>
    </row>
    <row r="510" spans="1:3" x14ac:dyDescent="0.3">
      <c r="A510">
        <f>IF(AND(OR('Compliance Database'!$A510='Data Transfer'!$B$4,'Compliance Database'!$A510='Data Transfer'!$B$5),OR('Data Transfer'!$B$6="",ISNUMBER(SEARCH('Data Transfer'!$B$6,'Compliance Database'!$D510&amp;" "&amp;'Compliance Database'!$K510&amp;" "&amp;'Compliance Database'!$L510&amp;" "&amp;'Compliance Database'!$M510&amp;" "&amp;'Compliance Database'!$N510&amp;" "&amp;'Compliance Database'!$O510)))),1,0)</f>
        <v>0</v>
      </c>
      <c r="B510" t="str">
        <f>IF($A510=1,SUM($A$2:$A510),"")</f>
        <v/>
      </c>
      <c r="C510">
        <f>IF($A510=1,SUM($A$2:$A510),0)</f>
        <v>0</v>
      </c>
    </row>
    <row r="511" spans="1:3" x14ac:dyDescent="0.3">
      <c r="A511">
        <f>IF(AND(OR('Compliance Database'!$A511='Data Transfer'!$B$4,'Compliance Database'!$A511='Data Transfer'!$B$5),OR('Data Transfer'!$B$6="",ISNUMBER(SEARCH('Data Transfer'!$B$6,'Compliance Database'!$D511&amp;" "&amp;'Compliance Database'!$K511&amp;" "&amp;'Compliance Database'!$L511&amp;" "&amp;'Compliance Database'!$M511&amp;" "&amp;'Compliance Database'!$N511&amp;" "&amp;'Compliance Database'!$O511)))),1,0)</f>
        <v>0</v>
      </c>
      <c r="B511" t="str">
        <f>IF($A511=1,SUM($A$2:$A511),"")</f>
        <v/>
      </c>
      <c r="C511">
        <f>IF($A511=1,SUM($A$2:$A511),0)</f>
        <v>0</v>
      </c>
    </row>
    <row r="512" spans="1:3" x14ac:dyDescent="0.3">
      <c r="A512">
        <f>IF(AND(OR('Compliance Database'!$A512='Data Transfer'!$B$4,'Compliance Database'!$A512='Data Transfer'!$B$5),OR('Data Transfer'!$B$6="",ISNUMBER(SEARCH('Data Transfer'!$B$6,'Compliance Database'!$D512&amp;" "&amp;'Compliance Database'!$K512&amp;" "&amp;'Compliance Database'!$L512&amp;" "&amp;'Compliance Database'!$M512&amp;" "&amp;'Compliance Database'!$N512&amp;" "&amp;'Compliance Database'!$O512)))),1,0)</f>
        <v>0</v>
      </c>
      <c r="B512" t="str">
        <f>IF($A512=1,SUM($A$2:$A512),"")</f>
        <v/>
      </c>
      <c r="C512">
        <f>IF($A512=1,SUM($A$2:$A512),0)</f>
        <v>0</v>
      </c>
    </row>
    <row r="513" spans="1:3" x14ac:dyDescent="0.3">
      <c r="A513">
        <f>IF(AND(OR('Compliance Database'!$A513='Data Transfer'!$B$4,'Compliance Database'!$A513='Data Transfer'!$B$5),OR('Data Transfer'!$B$6="",ISNUMBER(SEARCH('Data Transfer'!$B$6,'Compliance Database'!$D513&amp;" "&amp;'Compliance Database'!$K513&amp;" "&amp;'Compliance Database'!$L513&amp;" "&amp;'Compliance Database'!$M513&amp;" "&amp;'Compliance Database'!$N513&amp;" "&amp;'Compliance Database'!$O513)))),1,0)</f>
        <v>0</v>
      </c>
      <c r="B513" t="str">
        <f>IF($A513=1,SUM($A$2:$A513),"")</f>
        <v/>
      </c>
      <c r="C513">
        <f>IF($A513=1,SUM($A$2:$A513),0)</f>
        <v>0</v>
      </c>
    </row>
    <row r="514" spans="1:3" x14ac:dyDescent="0.3">
      <c r="A514">
        <f>IF(AND(OR('Compliance Database'!$A514='Data Transfer'!$B$4,'Compliance Database'!$A514='Data Transfer'!$B$5),OR('Data Transfer'!$B$6="",ISNUMBER(SEARCH('Data Transfer'!$B$6,'Compliance Database'!$D514&amp;" "&amp;'Compliance Database'!$K514&amp;" "&amp;'Compliance Database'!$L514&amp;" "&amp;'Compliance Database'!$M514&amp;" "&amp;'Compliance Database'!$N514&amp;" "&amp;'Compliance Database'!$O514)))),1,0)</f>
        <v>0</v>
      </c>
      <c r="B514" t="str">
        <f>IF($A514=1,SUM($A$2:$A514),"")</f>
        <v/>
      </c>
      <c r="C514">
        <f>IF($A514=1,SUM($A$2:$A514),0)</f>
        <v>0</v>
      </c>
    </row>
    <row r="515" spans="1:3" x14ac:dyDescent="0.3">
      <c r="A515">
        <f>IF(AND(OR('Compliance Database'!$A515='Data Transfer'!$B$4,'Compliance Database'!$A515='Data Transfer'!$B$5),OR('Data Transfer'!$B$6="",ISNUMBER(SEARCH('Data Transfer'!$B$6,'Compliance Database'!$D515&amp;" "&amp;'Compliance Database'!$K515&amp;" "&amp;'Compliance Database'!$L515&amp;" "&amp;'Compliance Database'!$M515&amp;" "&amp;'Compliance Database'!$N515&amp;" "&amp;'Compliance Database'!$O515)))),1,0)</f>
        <v>0</v>
      </c>
      <c r="B515" t="str">
        <f>IF($A515=1,SUM($A$2:$A515),"")</f>
        <v/>
      </c>
      <c r="C515">
        <f>IF($A515=1,SUM($A$2:$A515),0)</f>
        <v>0</v>
      </c>
    </row>
    <row r="516" spans="1:3" x14ac:dyDescent="0.3">
      <c r="A516">
        <f>IF(AND(OR('Compliance Database'!$A516='Data Transfer'!$B$4,'Compliance Database'!$A516='Data Transfer'!$B$5),OR('Data Transfer'!$B$6="",ISNUMBER(SEARCH('Data Transfer'!$B$6,'Compliance Database'!$D516&amp;" "&amp;'Compliance Database'!$K516&amp;" "&amp;'Compliance Database'!$L516&amp;" "&amp;'Compliance Database'!$M516&amp;" "&amp;'Compliance Database'!$N516&amp;" "&amp;'Compliance Database'!$O516)))),1,0)</f>
        <v>0</v>
      </c>
      <c r="B516" t="str">
        <f>IF($A516=1,SUM($A$2:$A516),"")</f>
        <v/>
      </c>
      <c r="C516">
        <f>IF($A516=1,SUM($A$2:$A516),0)</f>
        <v>0</v>
      </c>
    </row>
    <row r="517" spans="1:3" x14ac:dyDescent="0.3">
      <c r="A517">
        <f>IF(AND(OR('Compliance Database'!$A517='Data Transfer'!$B$4,'Compliance Database'!$A517='Data Transfer'!$B$5),OR('Data Transfer'!$B$6="",ISNUMBER(SEARCH('Data Transfer'!$B$6,'Compliance Database'!$D517&amp;" "&amp;'Compliance Database'!$K517&amp;" "&amp;'Compliance Database'!$L517&amp;" "&amp;'Compliance Database'!$M517&amp;" "&amp;'Compliance Database'!$N517&amp;" "&amp;'Compliance Database'!$O517)))),1,0)</f>
        <v>0</v>
      </c>
      <c r="B517" t="str">
        <f>IF($A517=1,SUM($A$2:$A517),"")</f>
        <v/>
      </c>
      <c r="C517">
        <f>IF($A517=1,SUM($A$2:$A517),0)</f>
        <v>0</v>
      </c>
    </row>
    <row r="518" spans="1:3" x14ac:dyDescent="0.3">
      <c r="A518">
        <f>IF(AND(OR('Compliance Database'!$A518='Data Transfer'!$B$4,'Compliance Database'!$A518='Data Transfer'!$B$5),OR('Data Transfer'!$B$6="",ISNUMBER(SEARCH('Data Transfer'!$B$6,'Compliance Database'!$D518&amp;" "&amp;'Compliance Database'!$K518&amp;" "&amp;'Compliance Database'!$L518&amp;" "&amp;'Compliance Database'!$M518&amp;" "&amp;'Compliance Database'!$N518&amp;" "&amp;'Compliance Database'!$O518)))),1,0)</f>
        <v>0</v>
      </c>
      <c r="B518" t="str">
        <f>IF($A518=1,SUM($A$2:$A518),"")</f>
        <v/>
      </c>
      <c r="C518">
        <f>IF($A518=1,SUM($A$2:$A518),0)</f>
        <v>0</v>
      </c>
    </row>
    <row r="519" spans="1:3" x14ac:dyDescent="0.3">
      <c r="A519">
        <f>IF(AND(OR('Compliance Database'!$A519='Data Transfer'!$B$4,'Compliance Database'!$A519='Data Transfer'!$B$5),OR('Data Transfer'!$B$6="",ISNUMBER(SEARCH('Data Transfer'!$B$6,'Compliance Database'!$D519&amp;" "&amp;'Compliance Database'!$K519&amp;" "&amp;'Compliance Database'!$L519&amp;" "&amp;'Compliance Database'!$M519&amp;" "&amp;'Compliance Database'!$N519&amp;" "&amp;'Compliance Database'!$O519)))),1,0)</f>
        <v>0</v>
      </c>
      <c r="B519" t="str">
        <f>IF($A519=1,SUM($A$2:$A519),"")</f>
        <v/>
      </c>
      <c r="C519">
        <f>IF($A519=1,SUM($A$2:$A519),0)</f>
        <v>0</v>
      </c>
    </row>
    <row r="520" spans="1:3" x14ac:dyDescent="0.3">
      <c r="A520">
        <f>IF(AND(OR('Compliance Database'!$A520='Data Transfer'!$B$4,'Compliance Database'!$A520='Data Transfer'!$B$5),OR('Data Transfer'!$B$6="",ISNUMBER(SEARCH('Data Transfer'!$B$6,'Compliance Database'!$D520&amp;" "&amp;'Compliance Database'!$K520&amp;" "&amp;'Compliance Database'!$L520&amp;" "&amp;'Compliance Database'!$M520&amp;" "&amp;'Compliance Database'!$N520&amp;" "&amp;'Compliance Database'!$O520)))),1,0)</f>
        <v>0</v>
      </c>
      <c r="B520" t="str">
        <f>IF($A520=1,SUM($A$2:$A520),"")</f>
        <v/>
      </c>
      <c r="C520">
        <f>IF($A520=1,SUM($A$2:$A520),0)</f>
        <v>0</v>
      </c>
    </row>
    <row r="521" spans="1:3" x14ac:dyDescent="0.3">
      <c r="A521">
        <f>IF(AND(OR('Compliance Database'!$A521='Data Transfer'!$B$4,'Compliance Database'!$A521='Data Transfer'!$B$5),OR('Data Transfer'!$B$6="",ISNUMBER(SEARCH('Data Transfer'!$B$6,'Compliance Database'!$D521&amp;" "&amp;'Compliance Database'!$K521&amp;" "&amp;'Compliance Database'!$L521&amp;" "&amp;'Compliance Database'!$M521&amp;" "&amp;'Compliance Database'!$N521&amp;" "&amp;'Compliance Database'!$O521)))),1,0)</f>
        <v>0</v>
      </c>
      <c r="B521" t="str">
        <f>IF($A521=1,SUM($A$2:$A521),"")</f>
        <v/>
      </c>
      <c r="C521">
        <f>IF($A521=1,SUM($A$2:$A521),0)</f>
        <v>0</v>
      </c>
    </row>
    <row r="522" spans="1:3" x14ac:dyDescent="0.3">
      <c r="A522">
        <f>IF(AND(OR('Compliance Database'!$A522='Data Transfer'!$B$4,'Compliance Database'!$A522='Data Transfer'!$B$5),OR('Data Transfer'!$B$6="",ISNUMBER(SEARCH('Data Transfer'!$B$6,'Compliance Database'!$D522&amp;" "&amp;'Compliance Database'!$K522&amp;" "&amp;'Compliance Database'!$L522&amp;" "&amp;'Compliance Database'!$M522&amp;" "&amp;'Compliance Database'!$N522&amp;" "&amp;'Compliance Database'!$O522)))),1,0)</f>
        <v>0</v>
      </c>
      <c r="B522" t="str">
        <f>IF($A522=1,SUM($A$2:$A522),"")</f>
        <v/>
      </c>
      <c r="C522">
        <f>IF($A522=1,SUM($A$2:$A522),0)</f>
        <v>0</v>
      </c>
    </row>
    <row r="523" spans="1:3" x14ac:dyDescent="0.3">
      <c r="A523">
        <f>IF(AND(OR('Compliance Database'!$A523='Data Transfer'!$B$4,'Compliance Database'!$A523='Data Transfer'!$B$5),OR('Data Transfer'!$B$6="",ISNUMBER(SEARCH('Data Transfer'!$B$6,'Compliance Database'!$D523&amp;" "&amp;'Compliance Database'!$K523&amp;" "&amp;'Compliance Database'!$L523&amp;" "&amp;'Compliance Database'!$M523&amp;" "&amp;'Compliance Database'!$N523&amp;" "&amp;'Compliance Database'!$O523)))),1,0)</f>
        <v>0</v>
      </c>
      <c r="B523" t="str">
        <f>IF($A523=1,SUM($A$2:$A523),"")</f>
        <v/>
      </c>
      <c r="C523">
        <f>IF($A523=1,SUM($A$2:$A523),0)</f>
        <v>0</v>
      </c>
    </row>
    <row r="524" spans="1:3" x14ac:dyDescent="0.3">
      <c r="A524">
        <f>IF(AND(OR('Compliance Database'!$A524='Data Transfer'!$B$4,'Compliance Database'!$A524='Data Transfer'!$B$5),OR('Data Transfer'!$B$6="",ISNUMBER(SEARCH('Data Transfer'!$B$6,'Compliance Database'!$D524&amp;" "&amp;'Compliance Database'!$K524&amp;" "&amp;'Compliance Database'!$L524&amp;" "&amp;'Compliance Database'!$M524&amp;" "&amp;'Compliance Database'!$N524&amp;" "&amp;'Compliance Database'!$O524)))),1,0)</f>
        <v>0</v>
      </c>
      <c r="B524" t="str">
        <f>IF($A524=1,SUM($A$2:$A524),"")</f>
        <v/>
      </c>
      <c r="C524">
        <f>IF($A524=1,SUM($A$2:$A524),0)</f>
        <v>0</v>
      </c>
    </row>
    <row r="525" spans="1:3" x14ac:dyDescent="0.3">
      <c r="A525">
        <f>IF(AND(OR('Compliance Database'!$A525='Data Transfer'!$B$4,'Compliance Database'!$A525='Data Transfer'!$B$5),OR('Data Transfer'!$B$6="",ISNUMBER(SEARCH('Data Transfer'!$B$6,'Compliance Database'!$D525&amp;" "&amp;'Compliance Database'!$K525&amp;" "&amp;'Compliance Database'!$L525&amp;" "&amp;'Compliance Database'!$M525&amp;" "&amp;'Compliance Database'!$N525&amp;" "&amp;'Compliance Database'!$O525)))),1,0)</f>
        <v>0</v>
      </c>
      <c r="B525" t="str">
        <f>IF($A525=1,SUM($A$2:$A525),"")</f>
        <v/>
      </c>
      <c r="C525">
        <f>IF($A525=1,SUM($A$2:$A525),0)</f>
        <v>0</v>
      </c>
    </row>
    <row r="526" spans="1:3" x14ac:dyDescent="0.3">
      <c r="A526">
        <f>IF(AND(OR('Compliance Database'!$A526='Data Transfer'!$B$4,'Compliance Database'!$A526='Data Transfer'!$B$5),OR('Data Transfer'!$B$6="",ISNUMBER(SEARCH('Data Transfer'!$B$6,'Compliance Database'!$D526&amp;" "&amp;'Compliance Database'!$K526&amp;" "&amp;'Compliance Database'!$L526&amp;" "&amp;'Compliance Database'!$M526&amp;" "&amp;'Compliance Database'!$N526&amp;" "&amp;'Compliance Database'!$O526)))),1,0)</f>
        <v>0</v>
      </c>
      <c r="B526" t="str">
        <f>IF($A526=1,SUM($A$2:$A526),"")</f>
        <v/>
      </c>
      <c r="C526">
        <f>IF($A526=1,SUM($A$2:$A526),0)</f>
        <v>0</v>
      </c>
    </row>
    <row r="527" spans="1:3" x14ac:dyDescent="0.3">
      <c r="A527">
        <f>IF(AND(OR('Compliance Database'!$A527='Data Transfer'!$B$4,'Compliance Database'!$A527='Data Transfer'!$B$5),OR('Data Transfer'!$B$6="",ISNUMBER(SEARCH('Data Transfer'!$B$6,'Compliance Database'!$D527&amp;" "&amp;'Compliance Database'!$K527&amp;" "&amp;'Compliance Database'!$L527&amp;" "&amp;'Compliance Database'!$M527&amp;" "&amp;'Compliance Database'!$N527&amp;" "&amp;'Compliance Database'!$O527)))),1,0)</f>
        <v>0</v>
      </c>
      <c r="B527" t="str">
        <f>IF($A527=1,SUM($A$2:$A527),"")</f>
        <v/>
      </c>
      <c r="C527">
        <f>IF($A527=1,SUM($A$2:$A527),0)</f>
        <v>0</v>
      </c>
    </row>
    <row r="528" spans="1:3" x14ac:dyDescent="0.3">
      <c r="A528">
        <f>IF(AND(OR('Compliance Database'!$A528='Data Transfer'!$B$4,'Compliance Database'!$A528='Data Transfer'!$B$5),OR('Data Transfer'!$B$6="",ISNUMBER(SEARCH('Data Transfer'!$B$6,'Compliance Database'!$D528&amp;" "&amp;'Compliance Database'!$K528&amp;" "&amp;'Compliance Database'!$L528&amp;" "&amp;'Compliance Database'!$M528&amp;" "&amp;'Compliance Database'!$N528&amp;" "&amp;'Compliance Database'!$O528)))),1,0)</f>
        <v>0</v>
      </c>
      <c r="B528" t="str">
        <f>IF($A528=1,SUM($A$2:$A528),"")</f>
        <v/>
      </c>
      <c r="C528">
        <f>IF($A528=1,SUM($A$2:$A528),0)</f>
        <v>0</v>
      </c>
    </row>
    <row r="529" spans="1:3" x14ac:dyDescent="0.3">
      <c r="A529">
        <f>IF(AND(OR('Compliance Database'!$A529='Data Transfer'!$B$4,'Compliance Database'!$A529='Data Transfer'!$B$5),OR('Data Transfer'!$B$6="",ISNUMBER(SEARCH('Data Transfer'!$B$6,'Compliance Database'!$D529&amp;" "&amp;'Compliance Database'!$K529&amp;" "&amp;'Compliance Database'!$L529&amp;" "&amp;'Compliance Database'!$M529&amp;" "&amp;'Compliance Database'!$N529&amp;" "&amp;'Compliance Database'!$O529)))),1,0)</f>
        <v>0</v>
      </c>
      <c r="B529" t="str">
        <f>IF($A529=1,SUM($A$2:$A529),"")</f>
        <v/>
      </c>
      <c r="C529">
        <f>IF($A529=1,SUM($A$2:$A529),0)</f>
        <v>0</v>
      </c>
    </row>
    <row r="530" spans="1:3" x14ac:dyDescent="0.3">
      <c r="A530">
        <f>IF(AND(OR('Compliance Database'!$A530='Data Transfer'!$B$4,'Compliance Database'!$A530='Data Transfer'!$B$5),OR('Data Transfer'!$B$6="",ISNUMBER(SEARCH('Data Transfer'!$B$6,'Compliance Database'!$D530&amp;" "&amp;'Compliance Database'!$K530&amp;" "&amp;'Compliance Database'!$L530&amp;" "&amp;'Compliance Database'!$M530&amp;" "&amp;'Compliance Database'!$N530&amp;" "&amp;'Compliance Database'!$O530)))),1,0)</f>
        <v>0</v>
      </c>
      <c r="B530" t="str">
        <f>IF($A530=1,SUM($A$2:$A530),"")</f>
        <v/>
      </c>
      <c r="C530">
        <f>IF($A530=1,SUM($A$2:$A530),0)</f>
        <v>0</v>
      </c>
    </row>
    <row r="531" spans="1:3" x14ac:dyDescent="0.3">
      <c r="A531">
        <f>IF(AND(OR('Compliance Database'!$A531='Data Transfer'!$B$4,'Compliance Database'!$A531='Data Transfer'!$B$5),OR('Data Transfer'!$B$6="",ISNUMBER(SEARCH('Data Transfer'!$B$6,'Compliance Database'!$D531&amp;" "&amp;'Compliance Database'!$K531&amp;" "&amp;'Compliance Database'!$L531&amp;" "&amp;'Compliance Database'!$M531&amp;" "&amp;'Compliance Database'!$N531&amp;" "&amp;'Compliance Database'!$O531)))),1,0)</f>
        <v>0</v>
      </c>
      <c r="B531" t="str">
        <f>IF($A531=1,SUM($A$2:$A531),"")</f>
        <v/>
      </c>
      <c r="C531">
        <f>IF($A531=1,SUM($A$2:$A531),0)</f>
        <v>0</v>
      </c>
    </row>
    <row r="532" spans="1:3" x14ac:dyDescent="0.3">
      <c r="A532">
        <f>IF(AND(OR('Compliance Database'!$A532='Data Transfer'!$B$4,'Compliance Database'!$A532='Data Transfer'!$B$5),OR('Data Transfer'!$B$6="",ISNUMBER(SEARCH('Data Transfer'!$B$6,'Compliance Database'!$D532&amp;" "&amp;'Compliance Database'!$K532&amp;" "&amp;'Compliance Database'!$L532&amp;" "&amp;'Compliance Database'!$M532&amp;" "&amp;'Compliance Database'!$N532&amp;" "&amp;'Compliance Database'!$O532)))),1,0)</f>
        <v>0</v>
      </c>
      <c r="B532" t="str">
        <f>IF($A532=1,SUM($A$2:$A532),"")</f>
        <v/>
      </c>
      <c r="C532">
        <f>IF($A532=1,SUM($A$2:$A532),0)</f>
        <v>0</v>
      </c>
    </row>
    <row r="533" spans="1:3" x14ac:dyDescent="0.3">
      <c r="A533">
        <f>IF(AND(OR('Compliance Database'!$A533='Data Transfer'!$B$4,'Compliance Database'!$A533='Data Transfer'!$B$5),OR('Data Transfer'!$B$6="",ISNUMBER(SEARCH('Data Transfer'!$B$6,'Compliance Database'!$D533&amp;" "&amp;'Compliance Database'!$K533&amp;" "&amp;'Compliance Database'!$L533&amp;" "&amp;'Compliance Database'!$M533&amp;" "&amp;'Compliance Database'!$N533&amp;" "&amp;'Compliance Database'!$O533)))),1,0)</f>
        <v>0</v>
      </c>
      <c r="B533" t="str">
        <f>IF($A533=1,SUM($A$2:$A533),"")</f>
        <v/>
      </c>
      <c r="C533">
        <f>IF($A533=1,SUM($A$2:$A533),0)</f>
        <v>0</v>
      </c>
    </row>
    <row r="534" spans="1:3" x14ac:dyDescent="0.3">
      <c r="A534">
        <f>IF(AND(OR('Compliance Database'!$A534='Data Transfer'!$B$4,'Compliance Database'!$A534='Data Transfer'!$B$5),OR('Data Transfer'!$B$6="",ISNUMBER(SEARCH('Data Transfer'!$B$6,'Compliance Database'!$D534&amp;" "&amp;'Compliance Database'!$K534&amp;" "&amp;'Compliance Database'!$L534&amp;" "&amp;'Compliance Database'!$M534&amp;" "&amp;'Compliance Database'!$N534&amp;" "&amp;'Compliance Database'!$O534)))),1,0)</f>
        <v>0</v>
      </c>
      <c r="B534" t="str">
        <f>IF($A534=1,SUM($A$2:$A534),"")</f>
        <v/>
      </c>
      <c r="C534">
        <f>IF($A534=1,SUM($A$2:$A534),0)</f>
        <v>0</v>
      </c>
    </row>
    <row r="535" spans="1:3" x14ac:dyDescent="0.3">
      <c r="A535">
        <f>IF(AND(OR('Compliance Database'!$A535='Data Transfer'!$B$4,'Compliance Database'!$A535='Data Transfer'!$B$5),OR('Data Transfer'!$B$6="",ISNUMBER(SEARCH('Data Transfer'!$B$6,'Compliance Database'!$D535&amp;" "&amp;'Compliance Database'!$K535&amp;" "&amp;'Compliance Database'!$L535&amp;" "&amp;'Compliance Database'!$M535&amp;" "&amp;'Compliance Database'!$N535&amp;" "&amp;'Compliance Database'!$O535)))),1,0)</f>
        <v>0</v>
      </c>
      <c r="B535" t="str">
        <f>IF($A535=1,SUM($A$2:$A535),"")</f>
        <v/>
      </c>
      <c r="C535">
        <f>IF($A535=1,SUM($A$2:$A535),0)</f>
        <v>0</v>
      </c>
    </row>
    <row r="536" spans="1:3" x14ac:dyDescent="0.3">
      <c r="A536">
        <f>IF(AND(OR('Compliance Database'!$A536='Data Transfer'!$B$4,'Compliance Database'!$A536='Data Transfer'!$B$5),OR('Data Transfer'!$B$6="",ISNUMBER(SEARCH('Data Transfer'!$B$6,'Compliance Database'!$D536&amp;" "&amp;'Compliance Database'!$K536&amp;" "&amp;'Compliance Database'!$L536&amp;" "&amp;'Compliance Database'!$M536&amp;" "&amp;'Compliance Database'!$N536&amp;" "&amp;'Compliance Database'!$O536)))),1,0)</f>
        <v>0</v>
      </c>
      <c r="B536" t="str">
        <f>IF($A536=1,SUM($A$2:$A536),"")</f>
        <v/>
      </c>
      <c r="C536">
        <f>IF($A536=1,SUM($A$2:$A536),0)</f>
        <v>0</v>
      </c>
    </row>
    <row r="537" spans="1:3" x14ac:dyDescent="0.3">
      <c r="A537">
        <f>IF(AND(OR('Compliance Database'!$A537='Data Transfer'!$B$4,'Compliance Database'!$A537='Data Transfer'!$B$5),OR('Data Transfer'!$B$6="",ISNUMBER(SEARCH('Data Transfer'!$B$6,'Compliance Database'!$D537&amp;" "&amp;'Compliance Database'!$K537&amp;" "&amp;'Compliance Database'!$L537&amp;" "&amp;'Compliance Database'!$M537&amp;" "&amp;'Compliance Database'!$N537&amp;" "&amp;'Compliance Database'!$O537)))),1,0)</f>
        <v>0</v>
      </c>
      <c r="B537" t="str">
        <f>IF($A537=1,SUM($A$2:$A537),"")</f>
        <v/>
      </c>
      <c r="C537">
        <f>IF($A537=1,SUM($A$2:$A537),0)</f>
        <v>0</v>
      </c>
    </row>
    <row r="538" spans="1:3" x14ac:dyDescent="0.3">
      <c r="A538">
        <f>IF(AND(OR('Compliance Database'!$A538='Data Transfer'!$B$4,'Compliance Database'!$A538='Data Transfer'!$B$5),OR('Data Transfer'!$B$6="",ISNUMBER(SEARCH('Data Transfer'!$B$6,'Compliance Database'!$D538&amp;" "&amp;'Compliance Database'!$K538&amp;" "&amp;'Compliance Database'!$L538&amp;" "&amp;'Compliance Database'!$M538&amp;" "&amp;'Compliance Database'!$N538&amp;" "&amp;'Compliance Database'!$O538)))),1,0)</f>
        <v>0</v>
      </c>
      <c r="B538" t="str">
        <f>IF($A538=1,SUM($A$2:$A538),"")</f>
        <v/>
      </c>
      <c r="C538">
        <f>IF($A538=1,SUM($A$2:$A538),0)</f>
        <v>0</v>
      </c>
    </row>
    <row r="539" spans="1:3" x14ac:dyDescent="0.3">
      <c r="A539">
        <f>IF(AND(OR('Compliance Database'!$A539='Data Transfer'!$B$4,'Compliance Database'!$A539='Data Transfer'!$B$5),OR('Data Transfer'!$B$6="",ISNUMBER(SEARCH('Data Transfer'!$B$6,'Compliance Database'!$D539&amp;" "&amp;'Compliance Database'!$K539&amp;" "&amp;'Compliance Database'!$L539&amp;" "&amp;'Compliance Database'!$M539&amp;" "&amp;'Compliance Database'!$N539&amp;" "&amp;'Compliance Database'!$O539)))),1,0)</f>
        <v>0</v>
      </c>
      <c r="B539" t="str">
        <f>IF($A539=1,SUM($A$2:$A539),"")</f>
        <v/>
      </c>
      <c r="C539">
        <f>IF($A539=1,SUM($A$2:$A539),0)</f>
        <v>0</v>
      </c>
    </row>
    <row r="540" spans="1:3" x14ac:dyDescent="0.3">
      <c r="A540">
        <f>IF(AND(OR('Compliance Database'!$A540='Data Transfer'!$B$4,'Compliance Database'!$A540='Data Transfer'!$B$5),OR('Data Transfer'!$B$6="",ISNUMBER(SEARCH('Data Transfer'!$B$6,'Compliance Database'!$D540&amp;" "&amp;'Compliance Database'!$K540&amp;" "&amp;'Compliance Database'!$L540&amp;" "&amp;'Compliance Database'!$M540&amp;" "&amp;'Compliance Database'!$N540&amp;" "&amp;'Compliance Database'!$O540)))),1,0)</f>
        <v>0</v>
      </c>
      <c r="B540" t="str">
        <f>IF($A540=1,SUM($A$2:$A540),"")</f>
        <v/>
      </c>
      <c r="C540">
        <f>IF($A540=1,SUM($A$2:$A540),0)</f>
        <v>0</v>
      </c>
    </row>
    <row r="541" spans="1:3" x14ac:dyDescent="0.3">
      <c r="A541">
        <f>IF(AND(OR('Compliance Database'!$A541='Data Transfer'!$B$4,'Compliance Database'!$A541='Data Transfer'!$B$5),OR('Data Transfer'!$B$6="",ISNUMBER(SEARCH('Data Transfer'!$B$6,'Compliance Database'!$D541&amp;" "&amp;'Compliance Database'!$K541&amp;" "&amp;'Compliance Database'!$L541&amp;" "&amp;'Compliance Database'!$M541&amp;" "&amp;'Compliance Database'!$N541&amp;" "&amp;'Compliance Database'!$O541)))),1,0)</f>
        <v>0</v>
      </c>
      <c r="B541" t="str">
        <f>IF($A541=1,SUM($A$2:$A541),"")</f>
        <v/>
      </c>
      <c r="C541">
        <f>IF($A541=1,SUM($A$2:$A541),0)</f>
        <v>0</v>
      </c>
    </row>
    <row r="542" spans="1:3" x14ac:dyDescent="0.3">
      <c r="A542">
        <f>IF(AND(OR('Compliance Database'!$A542='Data Transfer'!$B$4,'Compliance Database'!$A542='Data Transfer'!$B$5),OR('Data Transfer'!$B$6="",ISNUMBER(SEARCH('Data Transfer'!$B$6,'Compliance Database'!$D542&amp;" "&amp;'Compliance Database'!$K542&amp;" "&amp;'Compliance Database'!$L542&amp;" "&amp;'Compliance Database'!$M542&amp;" "&amp;'Compliance Database'!$N542&amp;" "&amp;'Compliance Database'!$O542)))),1,0)</f>
        <v>0</v>
      </c>
      <c r="B542" t="str">
        <f>IF($A542=1,SUM($A$2:$A542),"")</f>
        <v/>
      </c>
      <c r="C542">
        <f>IF($A542=1,SUM($A$2:$A542),0)</f>
        <v>0</v>
      </c>
    </row>
    <row r="543" spans="1:3" x14ac:dyDescent="0.3">
      <c r="A543">
        <f>IF(AND(OR('Compliance Database'!$A543='Data Transfer'!$B$4,'Compliance Database'!$A543='Data Transfer'!$B$5),OR('Data Transfer'!$B$6="",ISNUMBER(SEARCH('Data Transfer'!$B$6,'Compliance Database'!$D543&amp;" "&amp;'Compliance Database'!$K543&amp;" "&amp;'Compliance Database'!$L543&amp;" "&amp;'Compliance Database'!$M543&amp;" "&amp;'Compliance Database'!$N543&amp;" "&amp;'Compliance Database'!$O543)))),1,0)</f>
        <v>0</v>
      </c>
      <c r="B543" t="str">
        <f>IF($A543=1,SUM($A$2:$A543),"")</f>
        <v/>
      </c>
      <c r="C543">
        <f>IF($A543=1,SUM($A$2:$A543),0)</f>
        <v>0</v>
      </c>
    </row>
    <row r="544" spans="1:3" x14ac:dyDescent="0.3">
      <c r="A544">
        <f>IF(AND(OR('Compliance Database'!$A544='Data Transfer'!$B$4,'Compliance Database'!$A544='Data Transfer'!$B$5),OR('Data Transfer'!$B$6="",ISNUMBER(SEARCH('Data Transfer'!$B$6,'Compliance Database'!$D544&amp;" "&amp;'Compliance Database'!$K544&amp;" "&amp;'Compliance Database'!$L544&amp;" "&amp;'Compliance Database'!$M544&amp;" "&amp;'Compliance Database'!$N544&amp;" "&amp;'Compliance Database'!$O544)))),1,0)</f>
        <v>0</v>
      </c>
      <c r="B544" t="str">
        <f>IF($A544=1,SUM($A$2:$A544),"")</f>
        <v/>
      </c>
      <c r="C544">
        <f>IF($A544=1,SUM($A$2:$A544),0)</f>
        <v>0</v>
      </c>
    </row>
    <row r="545" spans="1:3" x14ac:dyDescent="0.3">
      <c r="A545">
        <f>IF(AND(OR('Compliance Database'!$A545='Data Transfer'!$B$4,'Compliance Database'!$A545='Data Transfer'!$B$5),OR('Data Transfer'!$B$6="",ISNUMBER(SEARCH('Data Transfer'!$B$6,'Compliance Database'!$D545&amp;" "&amp;'Compliance Database'!$K545&amp;" "&amp;'Compliance Database'!$L545&amp;" "&amp;'Compliance Database'!$M545&amp;" "&amp;'Compliance Database'!$N545&amp;" "&amp;'Compliance Database'!$O545)))),1,0)</f>
        <v>0</v>
      </c>
      <c r="B545" t="str">
        <f>IF($A545=1,SUM($A$2:$A545),"")</f>
        <v/>
      </c>
      <c r="C545">
        <f>IF($A545=1,SUM($A$2:$A545),0)</f>
        <v>0</v>
      </c>
    </row>
    <row r="546" spans="1:3" x14ac:dyDescent="0.3">
      <c r="A546">
        <f>IF(AND(OR('Compliance Database'!$A546='Data Transfer'!$B$4,'Compliance Database'!$A546='Data Transfer'!$B$5),OR('Data Transfer'!$B$6="",ISNUMBER(SEARCH('Data Transfer'!$B$6,'Compliance Database'!$D546&amp;" "&amp;'Compliance Database'!$K546&amp;" "&amp;'Compliance Database'!$L546&amp;" "&amp;'Compliance Database'!$M546&amp;" "&amp;'Compliance Database'!$N546&amp;" "&amp;'Compliance Database'!$O546)))),1,0)</f>
        <v>0</v>
      </c>
      <c r="B546" t="str">
        <f>IF($A546=1,SUM($A$2:$A546),"")</f>
        <v/>
      </c>
      <c r="C546">
        <f>IF($A546=1,SUM($A$2:$A546),0)</f>
        <v>0</v>
      </c>
    </row>
    <row r="547" spans="1:3" x14ac:dyDescent="0.3">
      <c r="A547">
        <f>IF(AND(OR('Compliance Database'!$A547='Data Transfer'!$B$4,'Compliance Database'!$A547='Data Transfer'!$B$5),OR('Data Transfer'!$B$6="",ISNUMBER(SEARCH('Data Transfer'!$B$6,'Compliance Database'!$D547&amp;" "&amp;'Compliance Database'!$K547&amp;" "&amp;'Compliance Database'!$L547&amp;" "&amp;'Compliance Database'!$M547&amp;" "&amp;'Compliance Database'!$N547&amp;" "&amp;'Compliance Database'!$O547)))),1,0)</f>
        <v>0</v>
      </c>
      <c r="B547" t="str">
        <f>IF($A547=1,SUM($A$2:$A547),"")</f>
        <v/>
      </c>
      <c r="C547">
        <f>IF($A547=1,SUM($A$2:$A547),0)</f>
        <v>0</v>
      </c>
    </row>
    <row r="548" spans="1:3" x14ac:dyDescent="0.3">
      <c r="A548">
        <f>IF(AND(OR('Compliance Database'!$A548='Data Transfer'!$B$4,'Compliance Database'!$A548='Data Transfer'!$B$5),OR('Data Transfer'!$B$6="",ISNUMBER(SEARCH('Data Transfer'!$B$6,'Compliance Database'!$D548&amp;" "&amp;'Compliance Database'!$K548&amp;" "&amp;'Compliance Database'!$L548&amp;" "&amp;'Compliance Database'!$M548&amp;" "&amp;'Compliance Database'!$N548&amp;" "&amp;'Compliance Database'!$O548)))),1,0)</f>
        <v>0</v>
      </c>
      <c r="B548" t="str">
        <f>IF($A548=1,SUM($A$2:$A548),"")</f>
        <v/>
      </c>
      <c r="C548">
        <f>IF($A548=1,SUM($A$2:$A548),0)</f>
        <v>0</v>
      </c>
    </row>
    <row r="549" spans="1:3" x14ac:dyDescent="0.3">
      <c r="A549">
        <f>IF(AND(OR('Compliance Database'!$A549='Data Transfer'!$B$4,'Compliance Database'!$A549='Data Transfer'!$B$5),OR('Data Transfer'!$B$6="",ISNUMBER(SEARCH('Data Transfer'!$B$6,'Compliance Database'!$D549&amp;" "&amp;'Compliance Database'!$K549&amp;" "&amp;'Compliance Database'!$L549&amp;" "&amp;'Compliance Database'!$M549&amp;" "&amp;'Compliance Database'!$N549&amp;" "&amp;'Compliance Database'!$O549)))),1,0)</f>
        <v>0</v>
      </c>
      <c r="B549" t="str">
        <f>IF($A549=1,SUM($A$2:$A549),"")</f>
        <v/>
      </c>
      <c r="C549">
        <f>IF($A549=1,SUM($A$2:$A549),0)</f>
        <v>0</v>
      </c>
    </row>
    <row r="550" spans="1:3" x14ac:dyDescent="0.3">
      <c r="A550">
        <f>IF(AND(OR('Compliance Database'!$A550='Data Transfer'!$B$4,'Compliance Database'!$A550='Data Transfer'!$B$5),OR('Data Transfer'!$B$6="",ISNUMBER(SEARCH('Data Transfer'!$B$6,'Compliance Database'!$D550&amp;" "&amp;'Compliance Database'!$K550&amp;" "&amp;'Compliance Database'!$L550&amp;" "&amp;'Compliance Database'!$M550&amp;" "&amp;'Compliance Database'!$N550&amp;" "&amp;'Compliance Database'!$O550)))),1,0)</f>
        <v>0</v>
      </c>
      <c r="B550" t="str">
        <f>IF($A550=1,SUM($A$2:$A550),"")</f>
        <v/>
      </c>
      <c r="C550">
        <f>IF($A550=1,SUM($A$2:$A550),0)</f>
        <v>0</v>
      </c>
    </row>
    <row r="551" spans="1:3" x14ac:dyDescent="0.3">
      <c r="A551">
        <f>IF(AND(OR('Compliance Database'!$A551='Data Transfer'!$B$4,'Compliance Database'!$A551='Data Transfer'!$B$5),OR('Data Transfer'!$B$6="",ISNUMBER(SEARCH('Data Transfer'!$B$6,'Compliance Database'!$D551&amp;" "&amp;'Compliance Database'!$K551&amp;" "&amp;'Compliance Database'!$L551&amp;" "&amp;'Compliance Database'!$M551&amp;" "&amp;'Compliance Database'!$N551&amp;" "&amp;'Compliance Database'!$O551)))),1,0)</f>
        <v>0</v>
      </c>
      <c r="B551" t="str">
        <f>IF($A551=1,SUM($A$2:$A551),"")</f>
        <v/>
      </c>
      <c r="C551">
        <f>IF($A551=1,SUM($A$2:$A551),0)</f>
        <v>0</v>
      </c>
    </row>
    <row r="552" spans="1:3" x14ac:dyDescent="0.3">
      <c r="A552">
        <f>IF(AND(OR('Compliance Database'!$A552='Data Transfer'!$B$4,'Compliance Database'!$A552='Data Transfer'!$B$5),OR('Data Transfer'!$B$6="",ISNUMBER(SEARCH('Data Transfer'!$B$6,'Compliance Database'!$D552&amp;" "&amp;'Compliance Database'!$K552&amp;" "&amp;'Compliance Database'!$L552&amp;" "&amp;'Compliance Database'!$M552&amp;" "&amp;'Compliance Database'!$N552&amp;" "&amp;'Compliance Database'!$O552)))),1,0)</f>
        <v>0</v>
      </c>
      <c r="B552" t="str">
        <f>IF($A552=1,SUM($A$2:$A552),"")</f>
        <v/>
      </c>
      <c r="C552">
        <f>IF($A552=1,SUM($A$2:$A552),0)</f>
        <v>0</v>
      </c>
    </row>
    <row r="553" spans="1:3" x14ac:dyDescent="0.3">
      <c r="A553">
        <f>IF(AND(OR('Compliance Database'!$A553='Data Transfer'!$B$4,'Compliance Database'!$A553='Data Transfer'!$B$5),OR('Data Transfer'!$B$6="",ISNUMBER(SEARCH('Data Transfer'!$B$6,'Compliance Database'!$D553&amp;" "&amp;'Compliance Database'!$K553&amp;" "&amp;'Compliance Database'!$L553&amp;" "&amp;'Compliance Database'!$M553&amp;" "&amp;'Compliance Database'!$N553&amp;" "&amp;'Compliance Database'!$O553)))),1,0)</f>
        <v>0</v>
      </c>
      <c r="B553" t="str">
        <f>IF($A553=1,SUM($A$2:$A553),"")</f>
        <v/>
      </c>
      <c r="C553">
        <f>IF($A553=1,SUM($A$2:$A553),0)</f>
        <v>0</v>
      </c>
    </row>
    <row r="554" spans="1:3" x14ac:dyDescent="0.3">
      <c r="A554">
        <f>IF(AND(OR('Compliance Database'!$A554='Data Transfer'!$B$4,'Compliance Database'!$A554='Data Transfer'!$B$5),OR('Data Transfer'!$B$6="",ISNUMBER(SEARCH('Data Transfer'!$B$6,'Compliance Database'!$D554&amp;" "&amp;'Compliance Database'!$K554&amp;" "&amp;'Compliance Database'!$L554&amp;" "&amp;'Compliance Database'!$M554&amp;" "&amp;'Compliance Database'!$N554&amp;" "&amp;'Compliance Database'!$O554)))),1,0)</f>
        <v>0</v>
      </c>
      <c r="B554" t="str">
        <f>IF($A554=1,SUM($A$2:$A554),"")</f>
        <v/>
      </c>
      <c r="C554">
        <f>IF($A554=1,SUM($A$2:$A554),0)</f>
        <v>0</v>
      </c>
    </row>
    <row r="555" spans="1:3" x14ac:dyDescent="0.3">
      <c r="A555">
        <f>IF(AND(OR('Compliance Database'!$A555='Data Transfer'!$B$4,'Compliance Database'!$A555='Data Transfer'!$B$5),OR('Data Transfer'!$B$6="",ISNUMBER(SEARCH('Data Transfer'!$B$6,'Compliance Database'!$D555&amp;" "&amp;'Compliance Database'!$K555&amp;" "&amp;'Compliance Database'!$L555&amp;" "&amp;'Compliance Database'!$M555&amp;" "&amp;'Compliance Database'!$N555&amp;" "&amp;'Compliance Database'!$O555)))),1,0)</f>
        <v>0</v>
      </c>
      <c r="B555" t="str">
        <f>IF($A555=1,SUM($A$2:$A555),"")</f>
        <v/>
      </c>
      <c r="C555">
        <f>IF($A555=1,SUM($A$2:$A555),0)</f>
        <v>0</v>
      </c>
    </row>
    <row r="556" spans="1:3" x14ac:dyDescent="0.3">
      <c r="A556">
        <f>IF(AND(OR('Compliance Database'!$A556='Data Transfer'!$B$4,'Compliance Database'!$A556='Data Transfer'!$B$5),OR('Data Transfer'!$B$6="",ISNUMBER(SEARCH('Data Transfer'!$B$6,'Compliance Database'!$D556&amp;" "&amp;'Compliance Database'!$K556&amp;" "&amp;'Compliance Database'!$L556&amp;" "&amp;'Compliance Database'!$M556&amp;" "&amp;'Compliance Database'!$N556&amp;" "&amp;'Compliance Database'!$O556)))),1,0)</f>
        <v>0</v>
      </c>
      <c r="B556" t="str">
        <f>IF($A556=1,SUM($A$2:$A556),"")</f>
        <v/>
      </c>
      <c r="C556">
        <f>IF($A556=1,SUM($A$2:$A556),0)</f>
        <v>0</v>
      </c>
    </row>
    <row r="557" spans="1:3" x14ac:dyDescent="0.3">
      <c r="A557">
        <f>IF(AND(OR('Compliance Database'!$A557='Data Transfer'!$B$4,'Compliance Database'!$A557='Data Transfer'!$B$5),OR('Data Transfer'!$B$6="",ISNUMBER(SEARCH('Data Transfer'!$B$6,'Compliance Database'!$D557&amp;" "&amp;'Compliance Database'!$K557&amp;" "&amp;'Compliance Database'!$L557&amp;" "&amp;'Compliance Database'!$M557&amp;" "&amp;'Compliance Database'!$N557&amp;" "&amp;'Compliance Database'!$O557)))),1,0)</f>
        <v>0</v>
      </c>
      <c r="B557" t="str">
        <f>IF($A557=1,SUM($A$2:$A557),"")</f>
        <v/>
      </c>
      <c r="C557">
        <f>IF($A557=1,SUM($A$2:$A557),0)</f>
        <v>0</v>
      </c>
    </row>
    <row r="558" spans="1:3" x14ac:dyDescent="0.3">
      <c r="A558">
        <f>IF(AND(OR('Compliance Database'!$A558='Data Transfer'!$B$4,'Compliance Database'!$A558='Data Transfer'!$B$5),OR('Data Transfer'!$B$6="",ISNUMBER(SEARCH('Data Transfer'!$B$6,'Compliance Database'!$D558&amp;" "&amp;'Compliance Database'!$K558&amp;" "&amp;'Compliance Database'!$L558&amp;" "&amp;'Compliance Database'!$M558&amp;" "&amp;'Compliance Database'!$N558&amp;" "&amp;'Compliance Database'!$O558)))),1,0)</f>
        <v>0</v>
      </c>
      <c r="B558" t="str">
        <f>IF($A558=1,SUM($A$2:$A558),"")</f>
        <v/>
      </c>
      <c r="C558">
        <f>IF($A558=1,SUM($A$2:$A558),0)</f>
        <v>0</v>
      </c>
    </row>
    <row r="559" spans="1:3" x14ac:dyDescent="0.3">
      <c r="A559">
        <f>IF(AND(OR('Compliance Database'!$A559='Data Transfer'!$B$4,'Compliance Database'!$A559='Data Transfer'!$B$5),OR('Data Transfer'!$B$6="",ISNUMBER(SEARCH('Data Transfer'!$B$6,'Compliance Database'!$D559&amp;" "&amp;'Compliance Database'!$K559&amp;" "&amp;'Compliance Database'!$L559&amp;" "&amp;'Compliance Database'!$M559&amp;" "&amp;'Compliance Database'!$N559&amp;" "&amp;'Compliance Database'!$O559)))),1,0)</f>
        <v>0</v>
      </c>
      <c r="B559" t="str">
        <f>IF($A559=1,SUM($A$2:$A559),"")</f>
        <v/>
      </c>
      <c r="C559">
        <f>IF($A559=1,SUM($A$2:$A559),0)</f>
        <v>0</v>
      </c>
    </row>
    <row r="560" spans="1:3" x14ac:dyDescent="0.3">
      <c r="A560">
        <f>IF(AND(OR('Compliance Database'!$A560='Data Transfer'!$B$4,'Compliance Database'!$A560='Data Transfer'!$B$5),OR('Data Transfer'!$B$6="",ISNUMBER(SEARCH('Data Transfer'!$B$6,'Compliance Database'!$D560&amp;" "&amp;'Compliance Database'!$K560&amp;" "&amp;'Compliance Database'!$L560&amp;" "&amp;'Compliance Database'!$M560&amp;" "&amp;'Compliance Database'!$N560&amp;" "&amp;'Compliance Database'!$O560)))),1,0)</f>
        <v>0</v>
      </c>
      <c r="B560" t="str">
        <f>IF($A560=1,SUM($A$2:$A560),"")</f>
        <v/>
      </c>
      <c r="C560">
        <f>IF($A560=1,SUM($A$2:$A560),0)</f>
        <v>0</v>
      </c>
    </row>
    <row r="561" spans="1:3" x14ac:dyDescent="0.3">
      <c r="A561">
        <f>IF(AND(OR('Compliance Database'!$A561='Data Transfer'!$B$4,'Compliance Database'!$A561='Data Transfer'!$B$5),OR('Data Transfer'!$B$6="",ISNUMBER(SEARCH('Data Transfer'!$B$6,'Compliance Database'!$D561&amp;" "&amp;'Compliance Database'!$K561&amp;" "&amp;'Compliance Database'!$L561&amp;" "&amp;'Compliance Database'!$M561&amp;" "&amp;'Compliance Database'!$N561&amp;" "&amp;'Compliance Database'!$O561)))),1,0)</f>
        <v>0</v>
      </c>
      <c r="B561" t="str">
        <f>IF($A561=1,SUM($A$2:$A561),"")</f>
        <v/>
      </c>
      <c r="C561">
        <f>IF($A561=1,SUM($A$2:$A561),0)</f>
        <v>0</v>
      </c>
    </row>
    <row r="562" spans="1:3" x14ac:dyDescent="0.3">
      <c r="A562">
        <f>IF(AND(OR('Compliance Database'!$A562='Data Transfer'!$B$4,'Compliance Database'!$A562='Data Transfer'!$B$5),OR('Data Transfer'!$B$6="",ISNUMBER(SEARCH('Data Transfer'!$B$6,'Compliance Database'!$D562&amp;" "&amp;'Compliance Database'!$K562&amp;" "&amp;'Compliance Database'!$L562&amp;" "&amp;'Compliance Database'!$M562&amp;" "&amp;'Compliance Database'!$N562&amp;" "&amp;'Compliance Database'!$O562)))),1,0)</f>
        <v>0</v>
      </c>
      <c r="B562" t="str">
        <f>IF($A562=1,SUM($A$2:$A562),"")</f>
        <v/>
      </c>
      <c r="C562">
        <f>IF($A562=1,SUM($A$2:$A562),0)</f>
        <v>0</v>
      </c>
    </row>
    <row r="563" spans="1:3" x14ac:dyDescent="0.3">
      <c r="A563">
        <f>IF(AND(OR('Compliance Database'!$A563='Data Transfer'!$B$4,'Compliance Database'!$A563='Data Transfer'!$B$5),OR('Data Transfer'!$B$6="",ISNUMBER(SEARCH('Data Transfer'!$B$6,'Compliance Database'!$D563&amp;" "&amp;'Compliance Database'!$K563&amp;" "&amp;'Compliance Database'!$L563&amp;" "&amp;'Compliance Database'!$M563&amp;" "&amp;'Compliance Database'!$N563&amp;" "&amp;'Compliance Database'!$O563)))),1,0)</f>
        <v>0</v>
      </c>
      <c r="B563" t="str">
        <f>IF($A563=1,SUM($A$2:$A563),"")</f>
        <v/>
      </c>
      <c r="C563">
        <f>IF($A563=1,SUM($A$2:$A563),0)</f>
        <v>0</v>
      </c>
    </row>
    <row r="564" spans="1:3" x14ac:dyDescent="0.3">
      <c r="A564">
        <f>IF(AND(OR('Compliance Database'!$A564='Data Transfer'!$B$4,'Compliance Database'!$A564='Data Transfer'!$B$5),OR('Data Transfer'!$B$6="",ISNUMBER(SEARCH('Data Transfer'!$B$6,'Compliance Database'!$D564&amp;" "&amp;'Compliance Database'!$K564&amp;" "&amp;'Compliance Database'!$L564&amp;" "&amp;'Compliance Database'!$M564&amp;" "&amp;'Compliance Database'!$N564&amp;" "&amp;'Compliance Database'!$O564)))),1,0)</f>
        <v>0</v>
      </c>
      <c r="B564" t="str">
        <f>IF($A564=1,SUM($A$2:$A564),"")</f>
        <v/>
      </c>
      <c r="C564">
        <f>IF($A564=1,SUM($A$2:$A564),0)</f>
        <v>0</v>
      </c>
    </row>
    <row r="565" spans="1:3" x14ac:dyDescent="0.3">
      <c r="A565">
        <f>IF(AND(OR('Compliance Database'!$A565='Data Transfer'!$B$4,'Compliance Database'!$A565='Data Transfer'!$B$5),OR('Data Transfer'!$B$6="",ISNUMBER(SEARCH('Data Transfer'!$B$6,'Compliance Database'!$D565&amp;" "&amp;'Compliance Database'!$K565&amp;" "&amp;'Compliance Database'!$L565&amp;" "&amp;'Compliance Database'!$M565&amp;" "&amp;'Compliance Database'!$N565&amp;" "&amp;'Compliance Database'!$O565)))),1,0)</f>
        <v>0</v>
      </c>
      <c r="B565" t="str">
        <f>IF($A565=1,SUM($A$2:$A565),"")</f>
        <v/>
      </c>
      <c r="C565">
        <f>IF($A565=1,SUM($A$2:$A565),0)</f>
        <v>0</v>
      </c>
    </row>
    <row r="566" spans="1:3" x14ac:dyDescent="0.3">
      <c r="A566">
        <f>IF(AND(OR('Compliance Database'!$A566='Data Transfer'!$B$4,'Compliance Database'!$A566='Data Transfer'!$B$5),OR('Data Transfer'!$B$6="",ISNUMBER(SEARCH('Data Transfer'!$B$6,'Compliance Database'!$D566&amp;" "&amp;'Compliance Database'!$K566&amp;" "&amp;'Compliance Database'!$L566&amp;" "&amp;'Compliance Database'!$M566&amp;" "&amp;'Compliance Database'!$N566&amp;" "&amp;'Compliance Database'!$O566)))),1,0)</f>
        <v>0</v>
      </c>
      <c r="B566" t="str">
        <f>IF($A566=1,SUM($A$2:$A566),"")</f>
        <v/>
      </c>
      <c r="C566">
        <f>IF($A566=1,SUM($A$2:$A566),0)</f>
        <v>0</v>
      </c>
    </row>
    <row r="567" spans="1:3" x14ac:dyDescent="0.3">
      <c r="A567">
        <f>IF(AND(OR('Compliance Database'!$A567='Data Transfer'!$B$4,'Compliance Database'!$A567='Data Transfer'!$B$5),OR('Data Transfer'!$B$6="",ISNUMBER(SEARCH('Data Transfer'!$B$6,'Compliance Database'!$D567&amp;" "&amp;'Compliance Database'!$K567&amp;" "&amp;'Compliance Database'!$L567&amp;" "&amp;'Compliance Database'!$M567&amp;" "&amp;'Compliance Database'!$N567&amp;" "&amp;'Compliance Database'!$O567)))),1,0)</f>
        <v>0</v>
      </c>
      <c r="B567" t="str">
        <f>IF($A567=1,SUM($A$2:$A567),"")</f>
        <v/>
      </c>
      <c r="C567">
        <f>IF($A567=1,SUM($A$2:$A567),0)</f>
        <v>0</v>
      </c>
    </row>
    <row r="568" spans="1:3" x14ac:dyDescent="0.3">
      <c r="A568">
        <f>IF(AND(OR('Compliance Database'!$A568='Data Transfer'!$B$4,'Compliance Database'!$A568='Data Transfer'!$B$5),OR('Data Transfer'!$B$6="",ISNUMBER(SEARCH('Data Transfer'!$B$6,'Compliance Database'!$D568&amp;" "&amp;'Compliance Database'!$K568&amp;" "&amp;'Compliance Database'!$L568&amp;" "&amp;'Compliance Database'!$M568&amp;" "&amp;'Compliance Database'!$N568&amp;" "&amp;'Compliance Database'!$O568)))),1,0)</f>
        <v>0</v>
      </c>
      <c r="B568" t="str">
        <f>IF($A568=1,SUM($A$2:$A568),"")</f>
        <v/>
      </c>
      <c r="C568">
        <f>IF($A568=1,SUM($A$2:$A568),0)</f>
        <v>0</v>
      </c>
    </row>
    <row r="569" spans="1:3" x14ac:dyDescent="0.3">
      <c r="A569">
        <f>IF(AND(OR('Compliance Database'!$A569='Data Transfer'!$B$4,'Compliance Database'!$A569='Data Transfer'!$B$5),OR('Data Transfer'!$B$6="",ISNUMBER(SEARCH('Data Transfer'!$B$6,'Compliance Database'!$D569&amp;" "&amp;'Compliance Database'!$K569&amp;" "&amp;'Compliance Database'!$L569&amp;" "&amp;'Compliance Database'!$M569&amp;" "&amp;'Compliance Database'!$N569&amp;" "&amp;'Compliance Database'!$O569)))),1,0)</f>
        <v>0</v>
      </c>
      <c r="B569" t="str">
        <f>IF($A569=1,SUM($A$2:$A569),"")</f>
        <v/>
      </c>
      <c r="C569">
        <f>IF($A569=1,SUM($A$2:$A569),0)</f>
        <v>0</v>
      </c>
    </row>
    <row r="570" spans="1:3" x14ac:dyDescent="0.3">
      <c r="A570">
        <f>IF(AND(OR('Compliance Database'!$A570='Data Transfer'!$B$4,'Compliance Database'!$A570='Data Transfer'!$B$5),OR('Data Transfer'!$B$6="",ISNUMBER(SEARCH('Data Transfer'!$B$6,'Compliance Database'!$D570&amp;" "&amp;'Compliance Database'!$K570&amp;" "&amp;'Compliance Database'!$L570&amp;" "&amp;'Compliance Database'!$M570&amp;" "&amp;'Compliance Database'!$N570&amp;" "&amp;'Compliance Database'!$O570)))),1,0)</f>
        <v>0</v>
      </c>
      <c r="B570" t="str">
        <f>IF($A570=1,SUM($A$2:$A570),"")</f>
        <v/>
      </c>
      <c r="C570">
        <f>IF($A570=1,SUM($A$2:$A570),0)</f>
        <v>0</v>
      </c>
    </row>
    <row r="571" spans="1:3" x14ac:dyDescent="0.3">
      <c r="A571">
        <f>IF(AND(OR('Compliance Database'!$A571='Data Transfer'!$B$4,'Compliance Database'!$A571='Data Transfer'!$B$5),OR('Data Transfer'!$B$6="",ISNUMBER(SEARCH('Data Transfer'!$B$6,'Compliance Database'!$D571&amp;" "&amp;'Compliance Database'!$K571&amp;" "&amp;'Compliance Database'!$L571&amp;" "&amp;'Compliance Database'!$M571&amp;" "&amp;'Compliance Database'!$N571&amp;" "&amp;'Compliance Database'!$O571)))),1,0)</f>
        <v>0</v>
      </c>
      <c r="B571" t="str">
        <f>IF($A571=1,SUM($A$2:$A571),"")</f>
        <v/>
      </c>
      <c r="C571">
        <f>IF($A571=1,SUM($A$2:$A571),0)</f>
        <v>0</v>
      </c>
    </row>
    <row r="572" spans="1:3" x14ac:dyDescent="0.3">
      <c r="A572">
        <f>IF(AND(OR('Compliance Database'!$A572='Data Transfer'!$B$4,'Compliance Database'!$A572='Data Transfer'!$B$5),OR('Data Transfer'!$B$6="",ISNUMBER(SEARCH('Data Transfer'!$B$6,'Compliance Database'!$D572&amp;" "&amp;'Compliance Database'!$K572&amp;" "&amp;'Compliance Database'!$L572&amp;" "&amp;'Compliance Database'!$M572&amp;" "&amp;'Compliance Database'!$N572&amp;" "&amp;'Compliance Database'!$O572)))),1,0)</f>
        <v>0</v>
      </c>
      <c r="B572" t="str">
        <f>IF($A572=1,SUM($A$2:$A572),"")</f>
        <v/>
      </c>
      <c r="C572">
        <f>IF($A572=1,SUM($A$2:$A572),0)</f>
        <v>0</v>
      </c>
    </row>
    <row r="573" spans="1:3" x14ac:dyDescent="0.3">
      <c r="A573">
        <f>IF(AND(OR('Compliance Database'!$A573='Data Transfer'!$B$4,'Compliance Database'!$A573='Data Transfer'!$B$5),OR('Data Transfer'!$B$6="",ISNUMBER(SEARCH('Data Transfer'!$B$6,'Compliance Database'!$D573&amp;" "&amp;'Compliance Database'!$K573&amp;" "&amp;'Compliance Database'!$L573&amp;" "&amp;'Compliance Database'!$M573&amp;" "&amp;'Compliance Database'!$N573&amp;" "&amp;'Compliance Database'!$O573)))),1,0)</f>
        <v>0</v>
      </c>
      <c r="B573" t="str">
        <f>IF($A573=1,SUM($A$2:$A573),"")</f>
        <v/>
      </c>
      <c r="C573">
        <f>IF($A573=1,SUM($A$2:$A573),0)</f>
        <v>0</v>
      </c>
    </row>
    <row r="574" spans="1:3" x14ac:dyDescent="0.3">
      <c r="A574">
        <f>IF(AND(OR('Compliance Database'!$A574='Data Transfer'!$B$4,'Compliance Database'!$A574='Data Transfer'!$B$5),OR('Data Transfer'!$B$6="",ISNUMBER(SEARCH('Data Transfer'!$B$6,'Compliance Database'!$D574&amp;" "&amp;'Compliance Database'!$K574&amp;" "&amp;'Compliance Database'!$L574&amp;" "&amp;'Compliance Database'!$M574&amp;" "&amp;'Compliance Database'!$N574&amp;" "&amp;'Compliance Database'!$O574)))),1,0)</f>
        <v>0</v>
      </c>
      <c r="B574" t="str">
        <f>IF($A574=1,SUM($A$2:$A574),"")</f>
        <v/>
      </c>
      <c r="C574">
        <f>IF($A574=1,SUM($A$2:$A574),0)</f>
        <v>0</v>
      </c>
    </row>
    <row r="575" spans="1:3" x14ac:dyDescent="0.3">
      <c r="A575">
        <f>IF(AND(OR('Compliance Database'!$A575='Data Transfer'!$B$4,'Compliance Database'!$A575='Data Transfer'!$B$5),OR('Data Transfer'!$B$6="",ISNUMBER(SEARCH('Data Transfer'!$B$6,'Compliance Database'!$D575&amp;" "&amp;'Compliance Database'!$K575&amp;" "&amp;'Compliance Database'!$L575&amp;" "&amp;'Compliance Database'!$M575&amp;" "&amp;'Compliance Database'!$N575&amp;" "&amp;'Compliance Database'!$O575)))),1,0)</f>
        <v>0</v>
      </c>
      <c r="B575" t="str">
        <f>IF($A575=1,SUM($A$2:$A575),"")</f>
        <v/>
      </c>
      <c r="C575">
        <f>IF($A575=1,SUM($A$2:$A575),0)</f>
        <v>0</v>
      </c>
    </row>
    <row r="576" spans="1:3" x14ac:dyDescent="0.3">
      <c r="A576">
        <f>IF(AND(OR('Compliance Database'!$A576='Data Transfer'!$B$4,'Compliance Database'!$A576='Data Transfer'!$B$5),OR('Data Transfer'!$B$6="",ISNUMBER(SEARCH('Data Transfer'!$B$6,'Compliance Database'!$D576&amp;" "&amp;'Compliance Database'!$K576&amp;" "&amp;'Compliance Database'!$L576&amp;" "&amp;'Compliance Database'!$M576&amp;" "&amp;'Compliance Database'!$N576&amp;" "&amp;'Compliance Database'!$O576)))),1,0)</f>
        <v>0</v>
      </c>
      <c r="B576" t="str">
        <f>IF($A576=1,SUM($A$2:$A576),"")</f>
        <v/>
      </c>
      <c r="C576">
        <f>IF($A576=1,SUM($A$2:$A576),0)</f>
        <v>0</v>
      </c>
    </row>
    <row r="577" spans="1:3" x14ac:dyDescent="0.3">
      <c r="A577">
        <f>IF(AND(OR('Compliance Database'!$A577='Data Transfer'!$B$4,'Compliance Database'!$A577='Data Transfer'!$B$5),OR('Data Transfer'!$B$6="",ISNUMBER(SEARCH('Data Transfer'!$B$6,'Compliance Database'!$D577&amp;" "&amp;'Compliance Database'!$K577&amp;" "&amp;'Compliance Database'!$L577&amp;" "&amp;'Compliance Database'!$M577&amp;" "&amp;'Compliance Database'!$N577&amp;" "&amp;'Compliance Database'!$O577)))),1,0)</f>
        <v>0</v>
      </c>
      <c r="B577" t="str">
        <f>IF($A577=1,SUM($A$2:$A577),"")</f>
        <v/>
      </c>
      <c r="C577">
        <f>IF($A577=1,SUM($A$2:$A577),0)</f>
        <v>0</v>
      </c>
    </row>
    <row r="578" spans="1:3" x14ac:dyDescent="0.3">
      <c r="A578">
        <f>IF(AND(OR('Compliance Database'!$A578='Data Transfer'!$B$4,'Compliance Database'!$A578='Data Transfer'!$B$5),OR('Data Transfer'!$B$6="",ISNUMBER(SEARCH('Data Transfer'!$B$6,'Compliance Database'!$D578&amp;" "&amp;'Compliance Database'!$K578&amp;" "&amp;'Compliance Database'!$L578&amp;" "&amp;'Compliance Database'!$M578&amp;" "&amp;'Compliance Database'!$N578&amp;" "&amp;'Compliance Database'!$O578)))),1,0)</f>
        <v>0</v>
      </c>
      <c r="B578" t="str">
        <f>IF($A578=1,SUM($A$2:$A578),"")</f>
        <v/>
      </c>
      <c r="C578">
        <f>IF($A578=1,SUM($A$2:$A578),0)</f>
        <v>0</v>
      </c>
    </row>
    <row r="579" spans="1:3" x14ac:dyDescent="0.3">
      <c r="A579">
        <f>IF(AND(OR('Compliance Database'!$A579='Data Transfer'!$B$4,'Compliance Database'!$A579='Data Transfer'!$B$5),OR('Data Transfer'!$B$6="",ISNUMBER(SEARCH('Data Transfer'!$B$6,'Compliance Database'!$D579&amp;" "&amp;'Compliance Database'!$K579&amp;" "&amp;'Compliance Database'!$L579&amp;" "&amp;'Compliance Database'!$M579&amp;" "&amp;'Compliance Database'!$N579&amp;" "&amp;'Compliance Database'!$O579)))),1,0)</f>
        <v>0</v>
      </c>
      <c r="B579" t="str">
        <f>IF($A579=1,SUM($A$2:$A579),"")</f>
        <v/>
      </c>
      <c r="C579">
        <f>IF($A579=1,SUM($A$2:$A579),0)</f>
        <v>0</v>
      </c>
    </row>
    <row r="580" spans="1:3" x14ac:dyDescent="0.3">
      <c r="A580">
        <f>IF(AND(OR('Compliance Database'!$A580='Data Transfer'!$B$4,'Compliance Database'!$A580='Data Transfer'!$B$5),OR('Data Transfer'!$B$6="",ISNUMBER(SEARCH('Data Transfer'!$B$6,'Compliance Database'!$D580&amp;" "&amp;'Compliance Database'!$K580&amp;" "&amp;'Compliance Database'!$L580&amp;" "&amp;'Compliance Database'!$M580&amp;" "&amp;'Compliance Database'!$N580&amp;" "&amp;'Compliance Database'!$O580)))),1,0)</f>
        <v>0</v>
      </c>
      <c r="B580" t="str">
        <f>IF($A580=1,SUM($A$2:$A580),"")</f>
        <v/>
      </c>
      <c r="C580">
        <f>IF($A580=1,SUM($A$2:$A580),0)</f>
        <v>0</v>
      </c>
    </row>
    <row r="581" spans="1:3" x14ac:dyDescent="0.3">
      <c r="A581">
        <f>IF(AND(OR('Compliance Database'!$A581='Data Transfer'!$B$4,'Compliance Database'!$A581='Data Transfer'!$B$5),OR('Data Transfer'!$B$6="",ISNUMBER(SEARCH('Data Transfer'!$B$6,'Compliance Database'!$D581&amp;" "&amp;'Compliance Database'!$K581&amp;" "&amp;'Compliance Database'!$L581&amp;" "&amp;'Compliance Database'!$M581&amp;" "&amp;'Compliance Database'!$N581&amp;" "&amp;'Compliance Database'!$O581)))),1,0)</f>
        <v>0</v>
      </c>
      <c r="B581" t="str">
        <f>IF($A581=1,SUM($A$2:$A581),"")</f>
        <v/>
      </c>
      <c r="C581">
        <f>IF($A581=1,SUM($A$2:$A581),0)</f>
        <v>0</v>
      </c>
    </row>
    <row r="582" spans="1:3" x14ac:dyDescent="0.3">
      <c r="A582">
        <f>IF(AND(OR('Compliance Database'!$A582='Data Transfer'!$B$4,'Compliance Database'!$A582='Data Transfer'!$B$5),OR('Data Transfer'!$B$6="",ISNUMBER(SEARCH('Data Transfer'!$B$6,'Compliance Database'!$D582&amp;" "&amp;'Compliance Database'!$K582&amp;" "&amp;'Compliance Database'!$L582&amp;" "&amp;'Compliance Database'!$M582&amp;" "&amp;'Compliance Database'!$N582&amp;" "&amp;'Compliance Database'!$O582)))),1,0)</f>
        <v>0</v>
      </c>
      <c r="B582" t="str">
        <f>IF($A582=1,SUM($A$2:$A582),"")</f>
        <v/>
      </c>
      <c r="C582">
        <f>IF($A582=1,SUM($A$2:$A582),0)</f>
        <v>0</v>
      </c>
    </row>
    <row r="583" spans="1:3" x14ac:dyDescent="0.3">
      <c r="A583">
        <f>IF(AND(OR('Compliance Database'!$A583='Data Transfer'!$B$4,'Compliance Database'!$A583='Data Transfer'!$B$5),OR('Data Transfer'!$B$6="",ISNUMBER(SEARCH('Data Transfer'!$B$6,'Compliance Database'!$D583&amp;" "&amp;'Compliance Database'!$K583&amp;" "&amp;'Compliance Database'!$L583&amp;" "&amp;'Compliance Database'!$M583&amp;" "&amp;'Compliance Database'!$N583&amp;" "&amp;'Compliance Database'!$O583)))),1,0)</f>
        <v>0</v>
      </c>
      <c r="B583" t="str">
        <f>IF($A583=1,SUM($A$2:$A583),"")</f>
        <v/>
      </c>
      <c r="C583">
        <f>IF($A583=1,SUM($A$2:$A583),0)</f>
        <v>0</v>
      </c>
    </row>
    <row r="584" spans="1:3" x14ac:dyDescent="0.3">
      <c r="A584">
        <f>IF(AND(OR('Compliance Database'!$A584='Data Transfer'!$B$4,'Compliance Database'!$A584='Data Transfer'!$B$5),OR('Data Transfer'!$B$6="",ISNUMBER(SEARCH('Data Transfer'!$B$6,'Compliance Database'!$D584&amp;" "&amp;'Compliance Database'!$K584&amp;" "&amp;'Compliance Database'!$L584&amp;" "&amp;'Compliance Database'!$M584&amp;" "&amp;'Compliance Database'!$N584&amp;" "&amp;'Compliance Database'!$O584)))),1,0)</f>
        <v>0</v>
      </c>
      <c r="B584" t="str">
        <f>IF($A584=1,SUM($A$2:$A584),"")</f>
        <v/>
      </c>
      <c r="C584">
        <f>IF($A584=1,SUM($A$2:$A584),0)</f>
        <v>0</v>
      </c>
    </row>
    <row r="585" spans="1:3" x14ac:dyDescent="0.3">
      <c r="A585">
        <f>IF(AND(OR('Compliance Database'!$A585='Data Transfer'!$B$4,'Compliance Database'!$A585='Data Transfer'!$B$5),OR('Data Transfer'!$B$6="",ISNUMBER(SEARCH('Data Transfer'!$B$6,'Compliance Database'!$D585&amp;" "&amp;'Compliance Database'!$K585&amp;" "&amp;'Compliance Database'!$L585&amp;" "&amp;'Compliance Database'!$M585&amp;" "&amp;'Compliance Database'!$N585&amp;" "&amp;'Compliance Database'!$O585)))),1,0)</f>
        <v>0</v>
      </c>
      <c r="B585" t="str">
        <f>IF($A585=1,SUM($A$2:$A585),"")</f>
        <v/>
      </c>
      <c r="C585">
        <f>IF($A585=1,SUM($A$2:$A585),0)</f>
        <v>0</v>
      </c>
    </row>
    <row r="586" spans="1:3" x14ac:dyDescent="0.3">
      <c r="A586">
        <f>IF(AND(OR('Compliance Database'!$A586='Data Transfer'!$B$4,'Compliance Database'!$A586='Data Transfer'!$B$5),OR('Data Transfer'!$B$6="",ISNUMBER(SEARCH('Data Transfer'!$B$6,'Compliance Database'!$D586&amp;" "&amp;'Compliance Database'!$K586&amp;" "&amp;'Compliance Database'!$L586&amp;" "&amp;'Compliance Database'!$M586&amp;" "&amp;'Compliance Database'!$N586&amp;" "&amp;'Compliance Database'!$O586)))),1,0)</f>
        <v>0</v>
      </c>
      <c r="B586" t="str">
        <f>IF($A586=1,SUM($A$2:$A586),"")</f>
        <v/>
      </c>
      <c r="C586">
        <f>IF($A586=1,SUM($A$2:$A586),0)</f>
        <v>0</v>
      </c>
    </row>
    <row r="587" spans="1:3" x14ac:dyDescent="0.3">
      <c r="A587">
        <f>IF(AND(OR('Compliance Database'!$A587='Data Transfer'!$B$4,'Compliance Database'!$A587='Data Transfer'!$B$5),OR('Data Transfer'!$B$6="",ISNUMBER(SEARCH('Data Transfer'!$B$6,'Compliance Database'!$D587&amp;" "&amp;'Compliance Database'!$K587&amp;" "&amp;'Compliance Database'!$L587&amp;" "&amp;'Compliance Database'!$M587&amp;" "&amp;'Compliance Database'!$N587&amp;" "&amp;'Compliance Database'!$O587)))),1,0)</f>
        <v>0</v>
      </c>
      <c r="B587" t="str">
        <f>IF($A587=1,SUM($A$2:$A587),"")</f>
        <v/>
      </c>
      <c r="C587">
        <f>IF($A587=1,SUM($A$2:$A587),0)</f>
        <v>0</v>
      </c>
    </row>
    <row r="588" spans="1:3" x14ac:dyDescent="0.3">
      <c r="A588">
        <f>IF(AND(OR('Compliance Database'!$A588='Data Transfer'!$B$4,'Compliance Database'!$A588='Data Transfer'!$B$5),OR('Data Transfer'!$B$6="",ISNUMBER(SEARCH('Data Transfer'!$B$6,'Compliance Database'!$D588&amp;" "&amp;'Compliance Database'!$K588&amp;" "&amp;'Compliance Database'!$L588&amp;" "&amp;'Compliance Database'!$M588&amp;" "&amp;'Compliance Database'!$N588&amp;" "&amp;'Compliance Database'!$O588)))),1,0)</f>
        <v>0</v>
      </c>
      <c r="B588" t="str">
        <f>IF($A588=1,SUM($A$2:$A588),"")</f>
        <v/>
      </c>
      <c r="C588">
        <f>IF($A588=1,SUM($A$2:$A588),0)</f>
        <v>0</v>
      </c>
    </row>
    <row r="589" spans="1:3" x14ac:dyDescent="0.3">
      <c r="A589">
        <f>IF(AND(OR('Compliance Database'!$A589='Data Transfer'!$B$4,'Compliance Database'!$A589='Data Transfer'!$B$5),OR('Data Transfer'!$B$6="",ISNUMBER(SEARCH('Data Transfer'!$B$6,'Compliance Database'!$D589&amp;" "&amp;'Compliance Database'!$K589&amp;" "&amp;'Compliance Database'!$L589&amp;" "&amp;'Compliance Database'!$M589&amp;" "&amp;'Compliance Database'!$N589&amp;" "&amp;'Compliance Database'!$O589)))),1,0)</f>
        <v>0</v>
      </c>
      <c r="B589" t="str">
        <f>IF($A589=1,SUM($A$2:$A589),"")</f>
        <v/>
      </c>
      <c r="C589">
        <f>IF($A589=1,SUM($A$2:$A589),0)</f>
        <v>0</v>
      </c>
    </row>
    <row r="590" spans="1:3" x14ac:dyDescent="0.3">
      <c r="A590">
        <f>IF(AND(OR('Compliance Database'!$A590='Data Transfer'!$B$4,'Compliance Database'!$A590='Data Transfer'!$B$5),OR('Data Transfer'!$B$6="",ISNUMBER(SEARCH('Data Transfer'!$B$6,'Compliance Database'!$D590&amp;" "&amp;'Compliance Database'!$K590&amp;" "&amp;'Compliance Database'!$L590&amp;" "&amp;'Compliance Database'!$M590&amp;" "&amp;'Compliance Database'!$N590&amp;" "&amp;'Compliance Database'!$O590)))),1,0)</f>
        <v>0</v>
      </c>
      <c r="B590" t="str">
        <f>IF($A590=1,SUM($A$2:$A590),"")</f>
        <v/>
      </c>
      <c r="C590">
        <f>IF($A590=1,SUM($A$2:$A590),0)</f>
        <v>0</v>
      </c>
    </row>
    <row r="591" spans="1:3" x14ac:dyDescent="0.3">
      <c r="A591">
        <f>IF(AND(OR('Compliance Database'!$A591='Data Transfer'!$B$4,'Compliance Database'!$A591='Data Transfer'!$B$5),OR('Data Transfer'!$B$6="",ISNUMBER(SEARCH('Data Transfer'!$B$6,'Compliance Database'!$D591&amp;" "&amp;'Compliance Database'!$K591&amp;" "&amp;'Compliance Database'!$L591&amp;" "&amp;'Compliance Database'!$M591&amp;" "&amp;'Compliance Database'!$N591&amp;" "&amp;'Compliance Database'!$O591)))),1,0)</f>
        <v>0</v>
      </c>
      <c r="B591" t="str">
        <f>IF($A591=1,SUM($A$2:$A591),"")</f>
        <v/>
      </c>
      <c r="C591">
        <f>IF($A591=1,SUM($A$2:$A591),0)</f>
        <v>0</v>
      </c>
    </row>
    <row r="592" spans="1:3" x14ac:dyDescent="0.3">
      <c r="A592">
        <f>IF(AND(OR('Compliance Database'!$A592='Data Transfer'!$B$4,'Compliance Database'!$A592='Data Transfer'!$B$5),OR('Data Transfer'!$B$6="",ISNUMBER(SEARCH('Data Transfer'!$B$6,'Compliance Database'!$D592&amp;" "&amp;'Compliance Database'!$K592&amp;" "&amp;'Compliance Database'!$L592&amp;" "&amp;'Compliance Database'!$M592&amp;" "&amp;'Compliance Database'!$N592&amp;" "&amp;'Compliance Database'!$O592)))),1,0)</f>
        <v>0</v>
      </c>
      <c r="B592" t="str">
        <f>IF($A592=1,SUM($A$2:$A592),"")</f>
        <v/>
      </c>
      <c r="C592">
        <f>IF($A592=1,SUM($A$2:$A592),0)</f>
        <v>0</v>
      </c>
    </row>
    <row r="593" spans="1:3" x14ac:dyDescent="0.3">
      <c r="A593">
        <f>IF(AND(OR('Compliance Database'!$A593='Data Transfer'!$B$4,'Compliance Database'!$A593='Data Transfer'!$B$5),OR('Data Transfer'!$B$6="",ISNUMBER(SEARCH('Data Transfer'!$B$6,'Compliance Database'!$D593&amp;" "&amp;'Compliance Database'!$K593&amp;" "&amp;'Compliance Database'!$L593&amp;" "&amp;'Compliance Database'!$M593&amp;" "&amp;'Compliance Database'!$N593&amp;" "&amp;'Compliance Database'!$O593)))),1,0)</f>
        <v>0</v>
      </c>
      <c r="B593" t="str">
        <f>IF($A593=1,SUM($A$2:$A593),"")</f>
        <v/>
      </c>
      <c r="C593">
        <f>IF($A593=1,SUM($A$2:$A593),0)</f>
        <v>0</v>
      </c>
    </row>
    <row r="594" spans="1:3" x14ac:dyDescent="0.3">
      <c r="A594">
        <f>IF(AND(OR('Compliance Database'!$A594='Data Transfer'!$B$4,'Compliance Database'!$A594='Data Transfer'!$B$5),OR('Data Transfer'!$B$6="",ISNUMBER(SEARCH('Data Transfer'!$B$6,'Compliance Database'!$D594&amp;" "&amp;'Compliance Database'!$K594&amp;" "&amp;'Compliance Database'!$L594&amp;" "&amp;'Compliance Database'!$M594&amp;" "&amp;'Compliance Database'!$N594&amp;" "&amp;'Compliance Database'!$O594)))),1,0)</f>
        <v>0</v>
      </c>
      <c r="B594" t="str">
        <f>IF($A594=1,SUM($A$2:$A594),"")</f>
        <v/>
      </c>
      <c r="C594">
        <f>IF($A594=1,SUM($A$2:$A594),0)</f>
        <v>0</v>
      </c>
    </row>
    <row r="595" spans="1:3" x14ac:dyDescent="0.3">
      <c r="A595">
        <f>IF(AND(OR('Compliance Database'!$A595='Data Transfer'!$B$4,'Compliance Database'!$A595='Data Transfer'!$B$5),OR('Data Transfer'!$B$6="",ISNUMBER(SEARCH('Data Transfer'!$B$6,'Compliance Database'!$D595&amp;" "&amp;'Compliance Database'!$K595&amp;" "&amp;'Compliance Database'!$L595&amp;" "&amp;'Compliance Database'!$M595&amp;" "&amp;'Compliance Database'!$N595&amp;" "&amp;'Compliance Database'!$O595)))),1,0)</f>
        <v>0</v>
      </c>
      <c r="B595" t="str">
        <f>IF($A595=1,SUM($A$2:$A595),"")</f>
        <v/>
      </c>
      <c r="C595">
        <f>IF($A595=1,SUM($A$2:$A595),0)</f>
        <v>0</v>
      </c>
    </row>
    <row r="596" spans="1:3" x14ac:dyDescent="0.3">
      <c r="A596">
        <f>IF(AND(OR('Compliance Database'!$A596='Data Transfer'!$B$4,'Compliance Database'!$A596='Data Transfer'!$B$5),OR('Data Transfer'!$B$6="",ISNUMBER(SEARCH('Data Transfer'!$B$6,'Compliance Database'!$D596&amp;" "&amp;'Compliance Database'!$K596&amp;" "&amp;'Compliance Database'!$L596&amp;" "&amp;'Compliance Database'!$M596&amp;" "&amp;'Compliance Database'!$N596&amp;" "&amp;'Compliance Database'!$O596)))),1,0)</f>
        <v>0</v>
      </c>
      <c r="B596" t="str">
        <f>IF($A596=1,SUM($A$2:$A596),"")</f>
        <v/>
      </c>
      <c r="C596">
        <f>IF($A596=1,SUM($A$2:$A596),0)</f>
        <v>0</v>
      </c>
    </row>
    <row r="597" spans="1:3" x14ac:dyDescent="0.3">
      <c r="A597">
        <f>IF(AND(OR('Compliance Database'!$A597='Data Transfer'!$B$4,'Compliance Database'!$A597='Data Transfer'!$B$5),OR('Data Transfer'!$B$6="",ISNUMBER(SEARCH('Data Transfer'!$B$6,'Compliance Database'!$D597&amp;" "&amp;'Compliance Database'!$K597&amp;" "&amp;'Compliance Database'!$L597&amp;" "&amp;'Compliance Database'!$M597&amp;" "&amp;'Compliance Database'!$N597&amp;" "&amp;'Compliance Database'!$O597)))),1,0)</f>
        <v>0</v>
      </c>
      <c r="B597" t="str">
        <f>IF($A597=1,SUM($A$2:$A597),"")</f>
        <v/>
      </c>
      <c r="C597">
        <f>IF($A597=1,SUM($A$2:$A597),0)</f>
        <v>0</v>
      </c>
    </row>
    <row r="598" spans="1:3" x14ac:dyDescent="0.3">
      <c r="A598">
        <f>IF(AND(OR('Compliance Database'!$A598='Data Transfer'!$B$4,'Compliance Database'!$A598='Data Transfer'!$B$5),OR('Data Transfer'!$B$6="",ISNUMBER(SEARCH('Data Transfer'!$B$6,'Compliance Database'!$D598&amp;" "&amp;'Compliance Database'!$K598&amp;" "&amp;'Compliance Database'!$L598&amp;" "&amp;'Compliance Database'!$M598&amp;" "&amp;'Compliance Database'!$N598&amp;" "&amp;'Compliance Database'!$O598)))),1,0)</f>
        <v>0</v>
      </c>
      <c r="B598" t="str">
        <f>IF($A598=1,SUM($A$2:$A598),"")</f>
        <v/>
      </c>
      <c r="C598">
        <f>IF($A598=1,SUM($A$2:$A598),0)</f>
        <v>0</v>
      </c>
    </row>
    <row r="599" spans="1:3" x14ac:dyDescent="0.3">
      <c r="A599">
        <f>IF(AND(OR('Compliance Database'!$A599='Data Transfer'!$B$4,'Compliance Database'!$A599='Data Transfer'!$B$5),OR('Data Transfer'!$B$6="",ISNUMBER(SEARCH('Data Transfer'!$B$6,'Compliance Database'!$D599&amp;" "&amp;'Compliance Database'!$K599&amp;" "&amp;'Compliance Database'!$L599&amp;" "&amp;'Compliance Database'!$M599&amp;" "&amp;'Compliance Database'!$N599&amp;" "&amp;'Compliance Database'!$O599)))),1,0)</f>
        <v>0</v>
      </c>
      <c r="B599" t="str">
        <f>IF($A599=1,SUM($A$2:$A599),"")</f>
        <v/>
      </c>
      <c r="C599">
        <f>IF($A599=1,SUM($A$2:$A599),0)</f>
        <v>0</v>
      </c>
    </row>
    <row r="600" spans="1:3" x14ac:dyDescent="0.3">
      <c r="A600">
        <f>IF(AND(OR('Compliance Database'!$A600='Data Transfer'!$B$4,'Compliance Database'!$A600='Data Transfer'!$B$5),OR('Data Transfer'!$B$6="",ISNUMBER(SEARCH('Data Transfer'!$B$6,'Compliance Database'!$D600&amp;" "&amp;'Compliance Database'!$K600&amp;" "&amp;'Compliance Database'!$L600&amp;" "&amp;'Compliance Database'!$M600&amp;" "&amp;'Compliance Database'!$N600&amp;" "&amp;'Compliance Database'!$O600)))),1,0)</f>
        <v>0</v>
      </c>
      <c r="B600" t="str">
        <f>IF($A600=1,SUM($A$2:$A600),"")</f>
        <v/>
      </c>
      <c r="C600">
        <f>IF($A600=1,SUM($A$2:$A600),0)</f>
        <v>0</v>
      </c>
    </row>
    <row r="601" spans="1:3" x14ac:dyDescent="0.3">
      <c r="A601">
        <f>IF(AND(OR('Compliance Database'!$A601='Data Transfer'!$B$4,'Compliance Database'!$A601='Data Transfer'!$B$5),OR('Data Transfer'!$B$6="",ISNUMBER(SEARCH('Data Transfer'!$B$6,'Compliance Database'!$D601&amp;" "&amp;'Compliance Database'!$K601&amp;" "&amp;'Compliance Database'!$L601&amp;" "&amp;'Compliance Database'!$M601&amp;" "&amp;'Compliance Database'!$N601&amp;" "&amp;'Compliance Database'!$O601)))),1,0)</f>
        <v>0</v>
      </c>
      <c r="B601" t="str">
        <f>IF($A601=1,SUM($A$2:$A601),"")</f>
        <v/>
      </c>
      <c r="C601">
        <f>IF($A601=1,SUM($A$2:$A601),0)</f>
        <v>0</v>
      </c>
    </row>
    <row r="602" spans="1:3" x14ac:dyDescent="0.3">
      <c r="A602">
        <f>IF(AND(OR('Compliance Database'!$A602='Data Transfer'!$B$4,'Compliance Database'!$A602='Data Transfer'!$B$5),OR('Data Transfer'!$B$6="",ISNUMBER(SEARCH('Data Transfer'!$B$6,'Compliance Database'!$D602&amp;" "&amp;'Compliance Database'!$K602&amp;" "&amp;'Compliance Database'!$L602&amp;" "&amp;'Compliance Database'!$M602&amp;" "&amp;'Compliance Database'!$N602&amp;" "&amp;'Compliance Database'!$O602)))),1,0)</f>
        <v>0</v>
      </c>
      <c r="B602" t="str">
        <f>IF($A602=1,SUM($A$2:$A602),"")</f>
        <v/>
      </c>
      <c r="C602">
        <f>IF($A602=1,SUM($A$2:$A602),0)</f>
        <v>0</v>
      </c>
    </row>
    <row r="603" spans="1:3" x14ac:dyDescent="0.3">
      <c r="A603">
        <f>IF(AND(OR('Compliance Database'!$A603='Data Transfer'!$B$4,'Compliance Database'!$A603='Data Transfer'!$B$5),OR('Data Transfer'!$B$6="",ISNUMBER(SEARCH('Data Transfer'!$B$6,'Compliance Database'!$D603&amp;" "&amp;'Compliance Database'!$K603&amp;" "&amp;'Compliance Database'!$L603&amp;" "&amp;'Compliance Database'!$M603&amp;" "&amp;'Compliance Database'!$N603&amp;" "&amp;'Compliance Database'!$O603)))),1,0)</f>
        <v>0</v>
      </c>
      <c r="B603" t="str">
        <f>IF($A603=1,SUM($A$2:$A603),"")</f>
        <v/>
      </c>
      <c r="C603">
        <f>IF($A603=1,SUM($A$2:$A603),0)</f>
        <v>0</v>
      </c>
    </row>
    <row r="604" spans="1:3" x14ac:dyDescent="0.3">
      <c r="A604">
        <f>IF(AND(OR('Compliance Database'!$A604='Data Transfer'!$B$4,'Compliance Database'!$A604='Data Transfer'!$B$5),OR('Data Transfer'!$B$6="",ISNUMBER(SEARCH('Data Transfer'!$B$6,'Compliance Database'!$D604&amp;" "&amp;'Compliance Database'!$K604&amp;" "&amp;'Compliance Database'!$L604&amp;" "&amp;'Compliance Database'!$M604&amp;" "&amp;'Compliance Database'!$N604&amp;" "&amp;'Compliance Database'!$O604)))),1,0)</f>
        <v>0</v>
      </c>
      <c r="B604" t="str">
        <f>IF($A604=1,SUM($A$2:$A604),"")</f>
        <v/>
      </c>
      <c r="C604">
        <f>IF($A604=1,SUM($A$2:$A604),0)</f>
        <v>0</v>
      </c>
    </row>
    <row r="605" spans="1:3" x14ac:dyDescent="0.3">
      <c r="A605">
        <f>IF(AND(OR('Compliance Database'!$A605='Data Transfer'!$B$4,'Compliance Database'!$A605='Data Transfer'!$B$5),OR('Data Transfer'!$B$6="",ISNUMBER(SEARCH('Data Transfer'!$B$6,'Compliance Database'!$D605&amp;" "&amp;'Compliance Database'!$K605&amp;" "&amp;'Compliance Database'!$L605&amp;" "&amp;'Compliance Database'!$M605&amp;" "&amp;'Compliance Database'!$N605&amp;" "&amp;'Compliance Database'!$O605)))),1,0)</f>
        <v>0</v>
      </c>
      <c r="B605" t="str">
        <f>IF($A605=1,SUM($A$2:$A605),"")</f>
        <v/>
      </c>
      <c r="C605">
        <f>IF($A605=1,SUM($A$2:$A605),0)</f>
        <v>0</v>
      </c>
    </row>
    <row r="606" spans="1:3" x14ac:dyDescent="0.3">
      <c r="A606">
        <f>IF(AND(OR('Compliance Database'!$A606='Data Transfer'!$B$4,'Compliance Database'!$A606='Data Transfer'!$B$5),OR('Data Transfer'!$B$6="",ISNUMBER(SEARCH('Data Transfer'!$B$6,'Compliance Database'!$D606&amp;" "&amp;'Compliance Database'!$K606&amp;" "&amp;'Compliance Database'!$L606&amp;" "&amp;'Compliance Database'!$M606&amp;" "&amp;'Compliance Database'!$N606&amp;" "&amp;'Compliance Database'!$O606)))),1,0)</f>
        <v>0</v>
      </c>
      <c r="B606" t="str">
        <f>IF($A606=1,SUM($A$2:$A606),"")</f>
        <v/>
      </c>
      <c r="C606">
        <f>IF($A606=1,SUM($A$2:$A606),0)</f>
        <v>0</v>
      </c>
    </row>
    <row r="607" spans="1:3" x14ac:dyDescent="0.3">
      <c r="A607">
        <f>IF(AND(OR('Compliance Database'!$A607='Data Transfer'!$B$4,'Compliance Database'!$A607='Data Transfer'!$B$5),OR('Data Transfer'!$B$6="",ISNUMBER(SEARCH('Data Transfer'!$B$6,'Compliance Database'!$D607&amp;" "&amp;'Compliance Database'!$K607&amp;" "&amp;'Compliance Database'!$L607&amp;" "&amp;'Compliance Database'!$M607&amp;" "&amp;'Compliance Database'!$N607&amp;" "&amp;'Compliance Database'!$O607)))),1,0)</f>
        <v>0</v>
      </c>
      <c r="B607" t="str">
        <f>IF($A607=1,SUM($A$2:$A607),"")</f>
        <v/>
      </c>
      <c r="C607">
        <f>IF($A607=1,SUM($A$2:$A607),0)</f>
        <v>0</v>
      </c>
    </row>
    <row r="608" spans="1:3" x14ac:dyDescent="0.3">
      <c r="A608">
        <f>IF(AND(OR('Compliance Database'!$A608='Data Transfer'!$B$4,'Compliance Database'!$A608='Data Transfer'!$B$5),OR('Data Transfer'!$B$6="",ISNUMBER(SEARCH('Data Transfer'!$B$6,'Compliance Database'!$D608&amp;" "&amp;'Compliance Database'!$K608&amp;" "&amp;'Compliance Database'!$L608&amp;" "&amp;'Compliance Database'!$M608&amp;" "&amp;'Compliance Database'!$N608&amp;" "&amp;'Compliance Database'!$O608)))),1,0)</f>
        <v>0</v>
      </c>
      <c r="B608" t="str">
        <f>IF($A608=1,SUM($A$2:$A608),"")</f>
        <v/>
      </c>
      <c r="C608">
        <f>IF($A608=1,SUM($A$2:$A608),0)</f>
        <v>0</v>
      </c>
    </row>
    <row r="609" spans="1:3" x14ac:dyDescent="0.3">
      <c r="A609">
        <f>IF(AND(OR('Compliance Database'!$A609='Data Transfer'!$B$4,'Compliance Database'!$A609='Data Transfer'!$B$5),OR('Data Transfer'!$B$6="",ISNUMBER(SEARCH('Data Transfer'!$B$6,'Compliance Database'!$D609&amp;" "&amp;'Compliance Database'!$K609&amp;" "&amp;'Compliance Database'!$L609&amp;" "&amp;'Compliance Database'!$M609&amp;" "&amp;'Compliance Database'!$N609&amp;" "&amp;'Compliance Database'!$O609)))),1,0)</f>
        <v>0</v>
      </c>
      <c r="B609" t="str">
        <f>IF($A609=1,SUM($A$2:$A609),"")</f>
        <v/>
      </c>
      <c r="C609">
        <f>IF($A609=1,SUM($A$2:$A609),0)</f>
        <v>0</v>
      </c>
    </row>
    <row r="610" spans="1:3" x14ac:dyDescent="0.3">
      <c r="A610">
        <f>IF(AND(OR('Compliance Database'!$A610='Data Transfer'!$B$4,'Compliance Database'!$A610='Data Transfer'!$B$5),OR('Data Transfer'!$B$6="",ISNUMBER(SEARCH('Data Transfer'!$B$6,'Compliance Database'!$D610&amp;" "&amp;'Compliance Database'!$K610&amp;" "&amp;'Compliance Database'!$L610&amp;" "&amp;'Compliance Database'!$M610&amp;" "&amp;'Compliance Database'!$N610&amp;" "&amp;'Compliance Database'!$O610)))),1,0)</f>
        <v>0</v>
      </c>
      <c r="B610" t="str">
        <f>IF($A610=1,SUM($A$2:$A610),"")</f>
        <v/>
      </c>
      <c r="C610">
        <f>IF($A610=1,SUM($A$2:$A610),0)</f>
        <v>0</v>
      </c>
    </row>
    <row r="611" spans="1:3" x14ac:dyDescent="0.3">
      <c r="A611">
        <f>IF(AND(OR('Compliance Database'!$A611='Data Transfer'!$B$4,'Compliance Database'!$A611='Data Transfer'!$B$5),OR('Data Transfer'!$B$6="",ISNUMBER(SEARCH('Data Transfer'!$B$6,'Compliance Database'!$D611&amp;" "&amp;'Compliance Database'!$K611&amp;" "&amp;'Compliance Database'!$L611&amp;" "&amp;'Compliance Database'!$M611&amp;" "&amp;'Compliance Database'!$N611&amp;" "&amp;'Compliance Database'!$O611)))),1,0)</f>
        <v>0</v>
      </c>
      <c r="B611" t="str">
        <f>IF($A611=1,SUM($A$2:$A611),"")</f>
        <v/>
      </c>
      <c r="C611">
        <f>IF($A611=1,SUM($A$2:$A611),0)</f>
        <v>0</v>
      </c>
    </row>
    <row r="612" spans="1:3" x14ac:dyDescent="0.3">
      <c r="A612">
        <f>IF(AND(OR('Compliance Database'!$A612='Data Transfer'!$B$4,'Compliance Database'!$A612='Data Transfer'!$B$5),OR('Data Transfer'!$B$6="",ISNUMBER(SEARCH('Data Transfer'!$B$6,'Compliance Database'!$D612&amp;" "&amp;'Compliance Database'!$K612&amp;" "&amp;'Compliance Database'!$L612&amp;" "&amp;'Compliance Database'!$M612&amp;" "&amp;'Compliance Database'!$N612&amp;" "&amp;'Compliance Database'!$O612)))),1,0)</f>
        <v>0</v>
      </c>
      <c r="B612" t="str">
        <f>IF($A612=1,SUM($A$2:$A612),"")</f>
        <v/>
      </c>
      <c r="C612">
        <f>IF($A612=1,SUM($A$2:$A612),0)</f>
        <v>0</v>
      </c>
    </row>
    <row r="613" spans="1:3" x14ac:dyDescent="0.3">
      <c r="A613">
        <f>IF(AND(OR('Compliance Database'!$A613='Data Transfer'!$B$4,'Compliance Database'!$A613='Data Transfer'!$B$5),OR('Data Transfer'!$B$6="",ISNUMBER(SEARCH('Data Transfer'!$B$6,'Compliance Database'!$D613&amp;" "&amp;'Compliance Database'!$K613&amp;" "&amp;'Compliance Database'!$L613&amp;" "&amp;'Compliance Database'!$M613&amp;" "&amp;'Compliance Database'!$N613&amp;" "&amp;'Compliance Database'!$O613)))),1,0)</f>
        <v>0</v>
      </c>
      <c r="B613" t="str">
        <f>IF($A613=1,SUM($A$2:$A613),"")</f>
        <v/>
      </c>
      <c r="C613">
        <f>IF($A613=1,SUM($A$2:$A613),0)</f>
        <v>0</v>
      </c>
    </row>
    <row r="614" spans="1:3" x14ac:dyDescent="0.3">
      <c r="A614">
        <f>IF(AND(OR('Compliance Database'!$A614='Data Transfer'!$B$4,'Compliance Database'!$A614='Data Transfer'!$B$5),OR('Data Transfer'!$B$6="",ISNUMBER(SEARCH('Data Transfer'!$B$6,'Compliance Database'!$D614&amp;" "&amp;'Compliance Database'!$K614&amp;" "&amp;'Compliance Database'!$L614&amp;" "&amp;'Compliance Database'!$M614&amp;" "&amp;'Compliance Database'!$N614&amp;" "&amp;'Compliance Database'!$O614)))),1,0)</f>
        <v>0</v>
      </c>
      <c r="B614" t="str">
        <f>IF($A614=1,SUM($A$2:$A614),"")</f>
        <v/>
      </c>
      <c r="C614">
        <f>IF($A614=1,SUM($A$2:$A614),0)</f>
        <v>0</v>
      </c>
    </row>
    <row r="615" spans="1:3" x14ac:dyDescent="0.3">
      <c r="A615">
        <f>IF(AND(OR('Compliance Database'!$A615='Data Transfer'!$B$4,'Compliance Database'!$A615='Data Transfer'!$B$5),OR('Data Transfer'!$B$6="",ISNUMBER(SEARCH('Data Transfer'!$B$6,'Compliance Database'!$D615&amp;" "&amp;'Compliance Database'!$K615&amp;" "&amp;'Compliance Database'!$L615&amp;" "&amp;'Compliance Database'!$M615&amp;" "&amp;'Compliance Database'!$N615&amp;" "&amp;'Compliance Database'!$O615)))),1,0)</f>
        <v>0</v>
      </c>
      <c r="B615" t="str">
        <f>IF($A615=1,SUM($A$2:$A615),"")</f>
        <v/>
      </c>
      <c r="C615">
        <f>IF($A615=1,SUM($A$2:$A615),0)</f>
        <v>0</v>
      </c>
    </row>
    <row r="616" spans="1:3" x14ac:dyDescent="0.3">
      <c r="A616">
        <f>IF(AND(OR('Compliance Database'!$A616='Data Transfer'!$B$4,'Compliance Database'!$A616='Data Transfer'!$B$5),OR('Data Transfer'!$B$6="",ISNUMBER(SEARCH('Data Transfer'!$B$6,'Compliance Database'!$D616&amp;" "&amp;'Compliance Database'!$K616&amp;" "&amp;'Compliance Database'!$L616&amp;" "&amp;'Compliance Database'!$M616&amp;" "&amp;'Compliance Database'!$N616&amp;" "&amp;'Compliance Database'!$O616)))),1,0)</f>
        <v>0</v>
      </c>
      <c r="B616" t="str">
        <f>IF($A616=1,SUM($A$2:$A616),"")</f>
        <v/>
      </c>
      <c r="C616">
        <f>IF($A616=1,SUM($A$2:$A616),0)</f>
        <v>0</v>
      </c>
    </row>
    <row r="617" spans="1:3" x14ac:dyDescent="0.3">
      <c r="A617">
        <f>IF(AND(OR('Compliance Database'!$A617='Data Transfer'!$B$4,'Compliance Database'!$A617='Data Transfer'!$B$5),OR('Data Transfer'!$B$6="",ISNUMBER(SEARCH('Data Transfer'!$B$6,'Compliance Database'!$D617&amp;" "&amp;'Compliance Database'!$K617&amp;" "&amp;'Compliance Database'!$L617&amp;" "&amp;'Compliance Database'!$M617&amp;" "&amp;'Compliance Database'!$N617&amp;" "&amp;'Compliance Database'!$O617)))),1,0)</f>
        <v>0</v>
      </c>
      <c r="B617" t="str">
        <f>IF($A617=1,SUM($A$2:$A617),"")</f>
        <v/>
      </c>
      <c r="C617">
        <f>IF($A617=1,SUM($A$2:$A617),0)</f>
        <v>0</v>
      </c>
    </row>
    <row r="618" spans="1:3" x14ac:dyDescent="0.3">
      <c r="A618">
        <f>IF(AND(OR('Compliance Database'!$A618='Data Transfer'!$B$4,'Compliance Database'!$A618='Data Transfer'!$B$5),OR('Data Transfer'!$B$6="",ISNUMBER(SEARCH('Data Transfer'!$B$6,'Compliance Database'!$D618&amp;" "&amp;'Compliance Database'!$K618&amp;" "&amp;'Compliance Database'!$L618&amp;" "&amp;'Compliance Database'!$M618&amp;" "&amp;'Compliance Database'!$N618&amp;" "&amp;'Compliance Database'!$O618)))),1,0)</f>
        <v>0</v>
      </c>
      <c r="B618" t="str">
        <f>IF($A618=1,SUM($A$2:$A618),"")</f>
        <v/>
      </c>
      <c r="C618">
        <f>IF($A618=1,SUM($A$2:$A618),0)</f>
        <v>0</v>
      </c>
    </row>
    <row r="619" spans="1:3" x14ac:dyDescent="0.3">
      <c r="A619">
        <f>IF(AND(OR('Compliance Database'!$A619='Data Transfer'!$B$4,'Compliance Database'!$A619='Data Transfer'!$B$5),OR('Data Transfer'!$B$6="",ISNUMBER(SEARCH('Data Transfer'!$B$6,'Compliance Database'!$D619&amp;" "&amp;'Compliance Database'!$K619&amp;" "&amp;'Compliance Database'!$L619&amp;" "&amp;'Compliance Database'!$M619&amp;" "&amp;'Compliance Database'!$N619&amp;" "&amp;'Compliance Database'!$O619)))),1,0)</f>
        <v>0</v>
      </c>
      <c r="B619" t="str">
        <f>IF($A619=1,SUM($A$2:$A619),"")</f>
        <v/>
      </c>
      <c r="C619">
        <f>IF($A619=1,SUM($A$2:$A619),0)</f>
        <v>0</v>
      </c>
    </row>
    <row r="620" spans="1:3" x14ac:dyDescent="0.3">
      <c r="A620">
        <f>IF(AND(OR('Compliance Database'!$A620='Data Transfer'!$B$4,'Compliance Database'!$A620='Data Transfer'!$B$5),OR('Data Transfer'!$B$6="",ISNUMBER(SEARCH('Data Transfer'!$B$6,'Compliance Database'!$D620&amp;" "&amp;'Compliance Database'!$K620&amp;" "&amp;'Compliance Database'!$L620&amp;" "&amp;'Compliance Database'!$M620&amp;" "&amp;'Compliance Database'!$N620&amp;" "&amp;'Compliance Database'!$O620)))),1,0)</f>
        <v>0</v>
      </c>
      <c r="B620" t="str">
        <f>IF($A620=1,SUM($A$2:$A620),"")</f>
        <v/>
      </c>
      <c r="C620">
        <f>IF($A620=1,SUM($A$2:$A620),0)</f>
        <v>0</v>
      </c>
    </row>
    <row r="621" spans="1:3" x14ac:dyDescent="0.3">
      <c r="A621">
        <f>IF(AND(OR('Compliance Database'!$A621='Data Transfer'!$B$4,'Compliance Database'!$A621='Data Transfer'!$B$5),OR('Data Transfer'!$B$6="",ISNUMBER(SEARCH('Data Transfer'!$B$6,'Compliance Database'!$D621&amp;" "&amp;'Compliance Database'!$K621&amp;" "&amp;'Compliance Database'!$L621&amp;" "&amp;'Compliance Database'!$M621&amp;" "&amp;'Compliance Database'!$N621&amp;" "&amp;'Compliance Database'!$O621)))),1,0)</f>
        <v>0</v>
      </c>
      <c r="B621" t="str">
        <f>IF($A621=1,SUM($A$2:$A621),"")</f>
        <v/>
      </c>
      <c r="C621">
        <f>IF($A621=1,SUM($A$2:$A621),0)</f>
        <v>0</v>
      </c>
    </row>
    <row r="622" spans="1:3" x14ac:dyDescent="0.3">
      <c r="A622">
        <f>IF(AND(OR('Compliance Database'!$A622='Data Transfer'!$B$4,'Compliance Database'!$A622='Data Transfer'!$B$5),OR('Data Transfer'!$B$6="",ISNUMBER(SEARCH('Data Transfer'!$B$6,'Compliance Database'!$D622&amp;" "&amp;'Compliance Database'!$K622&amp;" "&amp;'Compliance Database'!$L622&amp;" "&amp;'Compliance Database'!$M622&amp;" "&amp;'Compliance Database'!$N622&amp;" "&amp;'Compliance Database'!$O622)))),1,0)</f>
        <v>0</v>
      </c>
      <c r="B622" t="str">
        <f>IF($A622=1,SUM($A$2:$A622),"")</f>
        <v/>
      </c>
      <c r="C622">
        <f>IF($A622=1,SUM($A$2:$A622),0)</f>
        <v>0</v>
      </c>
    </row>
    <row r="623" spans="1:3" x14ac:dyDescent="0.3">
      <c r="A623">
        <f>IF(AND(OR('Compliance Database'!$A623='Data Transfer'!$B$4,'Compliance Database'!$A623='Data Transfer'!$B$5),OR('Data Transfer'!$B$6="",ISNUMBER(SEARCH('Data Transfer'!$B$6,'Compliance Database'!$D623&amp;" "&amp;'Compliance Database'!$K623&amp;" "&amp;'Compliance Database'!$L623&amp;" "&amp;'Compliance Database'!$M623&amp;" "&amp;'Compliance Database'!$N623&amp;" "&amp;'Compliance Database'!$O623)))),1,0)</f>
        <v>0</v>
      </c>
      <c r="B623" t="str">
        <f>IF($A623=1,SUM($A$2:$A623),"")</f>
        <v/>
      </c>
      <c r="C623">
        <f>IF($A623=1,SUM($A$2:$A623),0)</f>
        <v>0</v>
      </c>
    </row>
    <row r="624" spans="1:3" x14ac:dyDescent="0.3">
      <c r="A624">
        <f>IF(AND(OR('Compliance Database'!$A624='Data Transfer'!$B$4,'Compliance Database'!$A624='Data Transfer'!$B$5),OR('Data Transfer'!$B$6="",ISNUMBER(SEARCH('Data Transfer'!$B$6,'Compliance Database'!$D624&amp;" "&amp;'Compliance Database'!$K624&amp;" "&amp;'Compliance Database'!$L624&amp;" "&amp;'Compliance Database'!$M624&amp;" "&amp;'Compliance Database'!$N624&amp;" "&amp;'Compliance Database'!$O624)))),1,0)</f>
        <v>0</v>
      </c>
      <c r="B624" t="str">
        <f>IF($A624=1,SUM($A$2:$A624),"")</f>
        <v/>
      </c>
      <c r="C624">
        <f>IF($A624=1,SUM($A$2:$A624),0)</f>
        <v>0</v>
      </c>
    </row>
    <row r="625" spans="1:3" x14ac:dyDescent="0.3">
      <c r="A625">
        <f>IF(AND(OR('Compliance Database'!$A625='Data Transfer'!$B$4,'Compliance Database'!$A625='Data Transfer'!$B$5),OR('Data Transfer'!$B$6="",ISNUMBER(SEARCH('Data Transfer'!$B$6,'Compliance Database'!$D625&amp;" "&amp;'Compliance Database'!$K625&amp;" "&amp;'Compliance Database'!$L625&amp;" "&amp;'Compliance Database'!$M625&amp;" "&amp;'Compliance Database'!$N625&amp;" "&amp;'Compliance Database'!$O625)))),1,0)</f>
        <v>0</v>
      </c>
      <c r="B625" t="str">
        <f>IF($A625=1,SUM($A$2:$A625),"")</f>
        <v/>
      </c>
      <c r="C625">
        <f>IF($A625=1,SUM($A$2:$A625),0)</f>
        <v>0</v>
      </c>
    </row>
    <row r="626" spans="1:3" x14ac:dyDescent="0.3">
      <c r="A626">
        <f>IF(AND(OR('Compliance Database'!$A626='Data Transfer'!$B$4,'Compliance Database'!$A626='Data Transfer'!$B$5),OR('Data Transfer'!$B$6="",ISNUMBER(SEARCH('Data Transfer'!$B$6,'Compliance Database'!$D626&amp;" "&amp;'Compliance Database'!$K626&amp;" "&amp;'Compliance Database'!$L626&amp;" "&amp;'Compliance Database'!$M626&amp;" "&amp;'Compliance Database'!$N626&amp;" "&amp;'Compliance Database'!$O626)))),1,0)</f>
        <v>0</v>
      </c>
      <c r="B626" t="str">
        <f>IF($A626=1,SUM($A$2:$A626),"")</f>
        <v/>
      </c>
      <c r="C626">
        <f>IF($A626=1,SUM($A$2:$A626),0)</f>
        <v>0</v>
      </c>
    </row>
    <row r="627" spans="1:3" x14ac:dyDescent="0.3">
      <c r="A627">
        <f>IF(AND(OR('Compliance Database'!$A627='Data Transfer'!$B$4,'Compliance Database'!$A627='Data Transfer'!$B$5),OR('Data Transfer'!$B$6="",ISNUMBER(SEARCH('Data Transfer'!$B$6,'Compliance Database'!$D627&amp;" "&amp;'Compliance Database'!$K627&amp;" "&amp;'Compliance Database'!$L627&amp;" "&amp;'Compliance Database'!$M627&amp;" "&amp;'Compliance Database'!$N627&amp;" "&amp;'Compliance Database'!$O627)))),1,0)</f>
        <v>0</v>
      </c>
      <c r="B627" t="str">
        <f>IF($A627=1,SUM($A$2:$A627),"")</f>
        <v/>
      </c>
      <c r="C627">
        <f>IF($A627=1,SUM($A$2:$A627),0)</f>
        <v>0</v>
      </c>
    </row>
    <row r="628" spans="1:3" x14ac:dyDescent="0.3">
      <c r="A628">
        <f>IF(AND(OR('Compliance Database'!$A628='Data Transfer'!$B$4,'Compliance Database'!$A628='Data Transfer'!$B$5),OR('Data Transfer'!$B$6="",ISNUMBER(SEARCH('Data Transfer'!$B$6,'Compliance Database'!$D628&amp;" "&amp;'Compliance Database'!$K628&amp;" "&amp;'Compliance Database'!$L628&amp;" "&amp;'Compliance Database'!$M628&amp;" "&amp;'Compliance Database'!$N628&amp;" "&amp;'Compliance Database'!$O628)))),1,0)</f>
        <v>0</v>
      </c>
      <c r="B628" t="str">
        <f>IF($A628=1,SUM($A$2:$A628),"")</f>
        <v/>
      </c>
      <c r="C628">
        <f>IF($A628=1,SUM($A$2:$A628),0)</f>
        <v>0</v>
      </c>
    </row>
    <row r="629" spans="1:3" x14ac:dyDescent="0.3">
      <c r="A629">
        <f>IF(AND(OR('Compliance Database'!$A629='Data Transfer'!$B$4,'Compliance Database'!$A629='Data Transfer'!$B$5),OR('Data Transfer'!$B$6="",ISNUMBER(SEARCH('Data Transfer'!$B$6,'Compliance Database'!$D629&amp;" "&amp;'Compliance Database'!$K629&amp;" "&amp;'Compliance Database'!$L629&amp;" "&amp;'Compliance Database'!$M629&amp;" "&amp;'Compliance Database'!$N629&amp;" "&amp;'Compliance Database'!$O629)))),1,0)</f>
        <v>0</v>
      </c>
      <c r="B629" t="str">
        <f>IF($A629=1,SUM($A$2:$A629),"")</f>
        <v/>
      </c>
      <c r="C629">
        <f>IF($A629=1,SUM($A$2:$A629),0)</f>
        <v>0</v>
      </c>
    </row>
    <row r="630" spans="1:3" x14ac:dyDescent="0.3">
      <c r="A630">
        <f>IF(AND(OR('Compliance Database'!$A630='Data Transfer'!$B$4,'Compliance Database'!$A630='Data Transfer'!$B$5),OR('Data Transfer'!$B$6="",ISNUMBER(SEARCH('Data Transfer'!$B$6,'Compliance Database'!$D630&amp;" "&amp;'Compliance Database'!$K630&amp;" "&amp;'Compliance Database'!$L630&amp;" "&amp;'Compliance Database'!$M630&amp;" "&amp;'Compliance Database'!$N630&amp;" "&amp;'Compliance Database'!$O630)))),1,0)</f>
        <v>0</v>
      </c>
      <c r="B630" t="str">
        <f>IF($A630=1,SUM($A$2:$A630),"")</f>
        <v/>
      </c>
      <c r="C630">
        <f>IF($A630=1,SUM($A$2:$A630),0)</f>
        <v>0</v>
      </c>
    </row>
    <row r="631" spans="1:3" x14ac:dyDescent="0.3">
      <c r="A631">
        <f>IF(AND(OR('Compliance Database'!$A631='Data Transfer'!$B$4,'Compliance Database'!$A631='Data Transfer'!$B$5),OR('Data Transfer'!$B$6="",ISNUMBER(SEARCH('Data Transfer'!$B$6,'Compliance Database'!$D631&amp;" "&amp;'Compliance Database'!$K631&amp;" "&amp;'Compliance Database'!$L631&amp;" "&amp;'Compliance Database'!$M631&amp;" "&amp;'Compliance Database'!$N631&amp;" "&amp;'Compliance Database'!$O631)))),1,0)</f>
        <v>0</v>
      </c>
      <c r="B631" t="str">
        <f>IF($A631=1,SUM($A$2:$A631),"")</f>
        <v/>
      </c>
      <c r="C631">
        <f>IF($A631=1,SUM($A$2:$A631),0)</f>
        <v>0</v>
      </c>
    </row>
    <row r="632" spans="1:3" x14ac:dyDescent="0.3">
      <c r="A632">
        <f>IF(AND(OR('Compliance Database'!$A632='Data Transfer'!$B$4,'Compliance Database'!$A632='Data Transfer'!$B$5),OR('Data Transfer'!$B$6="",ISNUMBER(SEARCH('Data Transfer'!$B$6,'Compliance Database'!$D632&amp;" "&amp;'Compliance Database'!$K632&amp;" "&amp;'Compliance Database'!$L632&amp;" "&amp;'Compliance Database'!$M632&amp;" "&amp;'Compliance Database'!$N632&amp;" "&amp;'Compliance Database'!$O632)))),1,0)</f>
        <v>0</v>
      </c>
      <c r="B632" t="str">
        <f>IF($A632=1,SUM($A$2:$A632),"")</f>
        <v/>
      </c>
      <c r="C632">
        <f>IF($A632=1,SUM($A$2:$A632),0)</f>
        <v>0</v>
      </c>
    </row>
    <row r="633" spans="1:3" x14ac:dyDescent="0.3">
      <c r="A633">
        <f>IF(AND(OR('Compliance Database'!$A633='Data Transfer'!$B$4,'Compliance Database'!$A633='Data Transfer'!$B$5),OR('Data Transfer'!$B$6="",ISNUMBER(SEARCH('Data Transfer'!$B$6,'Compliance Database'!$D633&amp;" "&amp;'Compliance Database'!$K633&amp;" "&amp;'Compliance Database'!$L633&amp;" "&amp;'Compliance Database'!$M633&amp;" "&amp;'Compliance Database'!$N633&amp;" "&amp;'Compliance Database'!$O633)))),1,0)</f>
        <v>0</v>
      </c>
      <c r="B633" t="str">
        <f>IF($A633=1,SUM($A$2:$A633),"")</f>
        <v/>
      </c>
      <c r="C633">
        <f>IF($A633=1,SUM($A$2:$A633),0)</f>
        <v>0</v>
      </c>
    </row>
    <row r="634" spans="1:3" x14ac:dyDescent="0.3">
      <c r="A634">
        <f>IF(AND(OR('Compliance Database'!$A634='Data Transfer'!$B$4,'Compliance Database'!$A634='Data Transfer'!$B$5),OR('Data Transfer'!$B$6="",ISNUMBER(SEARCH('Data Transfer'!$B$6,'Compliance Database'!$D634&amp;" "&amp;'Compliance Database'!$K634&amp;" "&amp;'Compliance Database'!$L634&amp;" "&amp;'Compliance Database'!$M634&amp;" "&amp;'Compliance Database'!$N634&amp;" "&amp;'Compliance Database'!$O634)))),1,0)</f>
        <v>0</v>
      </c>
      <c r="B634" t="str">
        <f>IF($A634=1,SUM($A$2:$A634),"")</f>
        <v/>
      </c>
      <c r="C634">
        <f>IF($A634=1,SUM($A$2:$A634),0)</f>
        <v>0</v>
      </c>
    </row>
    <row r="635" spans="1:3" x14ac:dyDescent="0.3">
      <c r="A635">
        <f>IF(AND(OR('Compliance Database'!$A635='Data Transfer'!$B$4,'Compliance Database'!$A635='Data Transfer'!$B$5),OR('Data Transfer'!$B$6="",ISNUMBER(SEARCH('Data Transfer'!$B$6,'Compliance Database'!$D635&amp;" "&amp;'Compliance Database'!$K635&amp;" "&amp;'Compliance Database'!$L635&amp;" "&amp;'Compliance Database'!$M635&amp;" "&amp;'Compliance Database'!$N635&amp;" "&amp;'Compliance Database'!$O635)))),1,0)</f>
        <v>0</v>
      </c>
      <c r="B635" t="str">
        <f>IF($A635=1,SUM($A$2:$A635),"")</f>
        <v/>
      </c>
      <c r="C635">
        <f>IF($A635=1,SUM($A$2:$A635),0)</f>
        <v>0</v>
      </c>
    </row>
    <row r="636" spans="1:3" x14ac:dyDescent="0.3">
      <c r="A636">
        <f>IF(AND(OR('Compliance Database'!$A636='Data Transfer'!$B$4,'Compliance Database'!$A636='Data Transfer'!$B$5),OR('Data Transfer'!$B$6="",ISNUMBER(SEARCH('Data Transfer'!$B$6,'Compliance Database'!$D636&amp;" "&amp;'Compliance Database'!$K636&amp;" "&amp;'Compliance Database'!$L636&amp;" "&amp;'Compliance Database'!$M636&amp;" "&amp;'Compliance Database'!$N636&amp;" "&amp;'Compliance Database'!$O636)))),1,0)</f>
        <v>0</v>
      </c>
      <c r="B636" t="str">
        <f>IF($A636=1,SUM($A$2:$A636),"")</f>
        <v/>
      </c>
      <c r="C636">
        <f>IF($A636=1,SUM($A$2:$A636),0)</f>
        <v>0</v>
      </c>
    </row>
    <row r="637" spans="1:3" x14ac:dyDescent="0.3">
      <c r="A637">
        <f>IF(AND(OR('Compliance Database'!$A637='Data Transfer'!$B$4,'Compliance Database'!$A637='Data Transfer'!$B$5),OR('Data Transfer'!$B$6="",ISNUMBER(SEARCH('Data Transfer'!$B$6,'Compliance Database'!$D637&amp;" "&amp;'Compliance Database'!$K637&amp;" "&amp;'Compliance Database'!$L637&amp;" "&amp;'Compliance Database'!$M637&amp;" "&amp;'Compliance Database'!$N637&amp;" "&amp;'Compliance Database'!$O637)))),1,0)</f>
        <v>0</v>
      </c>
      <c r="B637" t="str">
        <f>IF($A637=1,SUM($A$2:$A637),"")</f>
        <v/>
      </c>
      <c r="C637">
        <f>IF($A637=1,SUM($A$2:$A637),0)</f>
        <v>0</v>
      </c>
    </row>
    <row r="638" spans="1:3" x14ac:dyDescent="0.3">
      <c r="A638">
        <f>IF(AND(OR('Compliance Database'!$A638='Data Transfer'!$B$4,'Compliance Database'!$A638='Data Transfer'!$B$5),OR('Data Transfer'!$B$6="",ISNUMBER(SEARCH('Data Transfer'!$B$6,'Compliance Database'!$D638&amp;" "&amp;'Compliance Database'!$K638&amp;" "&amp;'Compliance Database'!$L638&amp;" "&amp;'Compliance Database'!$M638&amp;" "&amp;'Compliance Database'!$N638&amp;" "&amp;'Compliance Database'!$O638)))),1,0)</f>
        <v>0</v>
      </c>
      <c r="B638" t="str">
        <f>IF($A638=1,SUM($A$2:$A638),"")</f>
        <v/>
      </c>
      <c r="C638">
        <f>IF($A638=1,SUM($A$2:$A638),0)</f>
        <v>0</v>
      </c>
    </row>
    <row r="639" spans="1:3" x14ac:dyDescent="0.3">
      <c r="A639">
        <f>IF(AND(OR('Compliance Database'!$A639='Data Transfer'!$B$4,'Compliance Database'!$A639='Data Transfer'!$B$5),OR('Data Transfer'!$B$6="",ISNUMBER(SEARCH('Data Transfer'!$B$6,'Compliance Database'!$D639&amp;" "&amp;'Compliance Database'!$K639&amp;" "&amp;'Compliance Database'!$L639&amp;" "&amp;'Compliance Database'!$M639&amp;" "&amp;'Compliance Database'!$N639&amp;" "&amp;'Compliance Database'!$O639)))),1,0)</f>
        <v>0</v>
      </c>
      <c r="B639" t="str">
        <f>IF($A639=1,SUM($A$2:$A639),"")</f>
        <v/>
      </c>
      <c r="C639">
        <f>IF($A639=1,SUM($A$2:$A639),0)</f>
        <v>0</v>
      </c>
    </row>
    <row r="640" spans="1:3" x14ac:dyDescent="0.3">
      <c r="A640">
        <f>IF(AND(OR('Compliance Database'!$A640='Data Transfer'!$B$4,'Compliance Database'!$A640='Data Transfer'!$B$5),OR('Data Transfer'!$B$6="",ISNUMBER(SEARCH('Data Transfer'!$B$6,'Compliance Database'!$D640&amp;" "&amp;'Compliance Database'!$K640&amp;" "&amp;'Compliance Database'!$L640&amp;" "&amp;'Compliance Database'!$M640&amp;" "&amp;'Compliance Database'!$N640&amp;" "&amp;'Compliance Database'!$O640)))),1,0)</f>
        <v>0</v>
      </c>
      <c r="B640" t="str">
        <f>IF($A640=1,SUM($A$2:$A640),"")</f>
        <v/>
      </c>
      <c r="C640">
        <f>IF($A640=1,SUM($A$2:$A640),0)</f>
        <v>0</v>
      </c>
    </row>
    <row r="641" spans="1:3" x14ac:dyDescent="0.3">
      <c r="A641">
        <f>IF(AND(OR('Compliance Database'!$A641='Data Transfer'!$B$4,'Compliance Database'!$A641='Data Transfer'!$B$5),OR('Data Transfer'!$B$6="",ISNUMBER(SEARCH('Data Transfer'!$B$6,'Compliance Database'!$D641&amp;" "&amp;'Compliance Database'!$K641&amp;" "&amp;'Compliance Database'!$L641&amp;" "&amp;'Compliance Database'!$M641&amp;" "&amp;'Compliance Database'!$N641&amp;" "&amp;'Compliance Database'!$O641)))),1,0)</f>
        <v>0</v>
      </c>
      <c r="B641" t="str">
        <f>IF($A641=1,SUM($A$2:$A641),"")</f>
        <v/>
      </c>
      <c r="C641">
        <f>IF($A641=1,SUM($A$2:$A641),0)</f>
        <v>0</v>
      </c>
    </row>
    <row r="642" spans="1:3" x14ac:dyDescent="0.3">
      <c r="A642">
        <f>IF(AND(OR('Compliance Database'!$A642='Data Transfer'!$B$4,'Compliance Database'!$A642='Data Transfer'!$B$5),OR('Data Transfer'!$B$6="",ISNUMBER(SEARCH('Data Transfer'!$B$6,'Compliance Database'!$D642&amp;" "&amp;'Compliance Database'!$K642&amp;" "&amp;'Compliance Database'!$L642&amp;" "&amp;'Compliance Database'!$M642&amp;" "&amp;'Compliance Database'!$N642&amp;" "&amp;'Compliance Database'!$O642)))),1,0)</f>
        <v>0</v>
      </c>
      <c r="B642" t="str">
        <f>IF($A642=1,SUM($A$2:$A642),"")</f>
        <v/>
      </c>
      <c r="C642">
        <f>IF($A642=1,SUM($A$2:$A642),0)</f>
        <v>0</v>
      </c>
    </row>
    <row r="643" spans="1:3" x14ac:dyDescent="0.3">
      <c r="A643">
        <f>IF(AND(OR('Compliance Database'!$A643='Data Transfer'!$B$4,'Compliance Database'!$A643='Data Transfer'!$B$5),OR('Data Transfer'!$B$6="",ISNUMBER(SEARCH('Data Transfer'!$B$6,'Compliance Database'!$D643&amp;" "&amp;'Compliance Database'!$K643&amp;" "&amp;'Compliance Database'!$L643&amp;" "&amp;'Compliance Database'!$M643&amp;" "&amp;'Compliance Database'!$N643&amp;" "&amp;'Compliance Database'!$O643)))),1,0)</f>
        <v>0</v>
      </c>
      <c r="B643" t="str">
        <f>IF($A643=1,SUM($A$2:$A643),"")</f>
        <v/>
      </c>
      <c r="C643">
        <f>IF($A643=1,SUM($A$2:$A643),0)</f>
        <v>0</v>
      </c>
    </row>
    <row r="644" spans="1:3" x14ac:dyDescent="0.3">
      <c r="A644">
        <f>IF(AND(OR('Compliance Database'!$A644='Data Transfer'!$B$4,'Compliance Database'!$A644='Data Transfer'!$B$5),OR('Data Transfer'!$B$6="",ISNUMBER(SEARCH('Data Transfer'!$B$6,'Compliance Database'!$D644&amp;" "&amp;'Compliance Database'!$K644&amp;" "&amp;'Compliance Database'!$L644&amp;" "&amp;'Compliance Database'!$M644&amp;" "&amp;'Compliance Database'!$N644&amp;" "&amp;'Compliance Database'!$O644)))),1,0)</f>
        <v>0</v>
      </c>
      <c r="B644" t="str">
        <f>IF($A644=1,SUM($A$2:$A644),"")</f>
        <v/>
      </c>
      <c r="C644">
        <f>IF($A644=1,SUM($A$2:$A644),0)</f>
        <v>0</v>
      </c>
    </row>
    <row r="645" spans="1:3" x14ac:dyDescent="0.3">
      <c r="A645">
        <f>IF(AND(OR('Compliance Database'!$A645='Data Transfer'!$B$4,'Compliance Database'!$A645='Data Transfer'!$B$5),OR('Data Transfer'!$B$6="",ISNUMBER(SEARCH('Data Transfer'!$B$6,'Compliance Database'!$D645&amp;" "&amp;'Compliance Database'!$K645&amp;" "&amp;'Compliance Database'!$L645&amp;" "&amp;'Compliance Database'!$M645&amp;" "&amp;'Compliance Database'!$N645&amp;" "&amp;'Compliance Database'!$O645)))),1,0)</f>
        <v>0</v>
      </c>
      <c r="B645" t="str">
        <f>IF($A645=1,SUM($A$2:$A645),"")</f>
        <v/>
      </c>
      <c r="C645">
        <f>IF($A645=1,SUM($A$2:$A645),0)</f>
        <v>0</v>
      </c>
    </row>
    <row r="646" spans="1:3" x14ac:dyDescent="0.3">
      <c r="A646">
        <f>IF(AND(OR('Compliance Database'!$A646='Data Transfer'!$B$4,'Compliance Database'!$A646='Data Transfer'!$B$5),OR('Data Transfer'!$B$6="",ISNUMBER(SEARCH('Data Transfer'!$B$6,'Compliance Database'!$D646&amp;" "&amp;'Compliance Database'!$K646&amp;" "&amp;'Compliance Database'!$L646&amp;" "&amp;'Compliance Database'!$M646&amp;" "&amp;'Compliance Database'!$N646&amp;" "&amp;'Compliance Database'!$O646)))),1,0)</f>
        <v>0</v>
      </c>
      <c r="B646" t="str">
        <f>IF($A646=1,SUM($A$2:$A646),"")</f>
        <v/>
      </c>
      <c r="C646">
        <f>IF($A646=1,SUM($A$2:$A646),0)</f>
        <v>0</v>
      </c>
    </row>
    <row r="647" spans="1:3" x14ac:dyDescent="0.3">
      <c r="A647">
        <f>IF(AND(OR('Compliance Database'!$A647='Data Transfer'!$B$4,'Compliance Database'!$A647='Data Transfer'!$B$5),OR('Data Transfer'!$B$6="",ISNUMBER(SEARCH('Data Transfer'!$B$6,'Compliance Database'!$D647&amp;" "&amp;'Compliance Database'!$K647&amp;" "&amp;'Compliance Database'!$L647&amp;" "&amp;'Compliance Database'!$M647&amp;" "&amp;'Compliance Database'!$N647&amp;" "&amp;'Compliance Database'!$O647)))),1,0)</f>
        <v>0</v>
      </c>
      <c r="B647" t="str">
        <f>IF($A647=1,SUM($A$2:$A647),"")</f>
        <v/>
      </c>
      <c r="C647">
        <f>IF($A647=1,SUM($A$2:$A647),0)</f>
        <v>0</v>
      </c>
    </row>
    <row r="648" spans="1:3" x14ac:dyDescent="0.3">
      <c r="A648">
        <f>IF(AND(OR('Compliance Database'!$A648='Data Transfer'!$B$4,'Compliance Database'!$A648='Data Transfer'!$B$5),OR('Data Transfer'!$B$6="",ISNUMBER(SEARCH('Data Transfer'!$B$6,'Compliance Database'!$D648&amp;" "&amp;'Compliance Database'!$K648&amp;" "&amp;'Compliance Database'!$L648&amp;" "&amp;'Compliance Database'!$M648&amp;" "&amp;'Compliance Database'!$N648&amp;" "&amp;'Compliance Database'!$O648)))),1,0)</f>
        <v>0</v>
      </c>
      <c r="B648" t="str">
        <f>IF($A648=1,SUM($A$2:$A648),"")</f>
        <v/>
      </c>
      <c r="C648">
        <f>IF($A648=1,SUM($A$2:$A648),0)</f>
        <v>0</v>
      </c>
    </row>
    <row r="649" spans="1:3" x14ac:dyDescent="0.3">
      <c r="A649">
        <f>IF(AND(OR('Compliance Database'!$A649='Data Transfer'!$B$4,'Compliance Database'!$A649='Data Transfer'!$B$5),OR('Data Transfer'!$B$6="",ISNUMBER(SEARCH('Data Transfer'!$B$6,'Compliance Database'!$D649&amp;" "&amp;'Compliance Database'!$K649&amp;" "&amp;'Compliance Database'!$L649&amp;" "&amp;'Compliance Database'!$M649&amp;" "&amp;'Compliance Database'!$N649&amp;" "&amp;'Compliance Database'!$O649)))),1,0)</f>
        <v>0</v>
      </c>
      <c r="B649" t="str">
        <f>IF($A649=1,SUM($A$2:$A649),"")</f>
        <v/>
      </c>
      <c r="C649">
        <f>IF($A649=1,SUM($A$2:$A649),0)</f>
        <v>0</v>
      </c>
    </row>
    <row r="650" spans="1:3" x14ac:dyDescent="0.3">
      <c r="A650">
        <f>IF(AND(OR('Compliance Database'!$A650='Data Transfer'!$B$4,'Compliance Database'!$A650='Data Transfer'!$B$5),OR('Data Transfer'!$B$6="",ISNUMBER(SEARCH('Data Transfer'!$B$6,'Compliance Database'!$D650&amp;" "&amp;'Compliance Database'!$K650&amp;" "&amp;'Compliance Database'!$L650&amp;" "&amp;'Compliance Database'!$M650&amp;" "&amp;'Compliance Database'!$N650&amp;" "&amp;'Compliance Database'!$O650)))),1,0)</f>
        <v>0</v>
      </c>
      <c r="B650" t="str">
        <f>IF($A650=1,SUM($A$2:$A650),"")</f>
        <v/>
      </c>
      <c r="C650">
        <f>IF($A650=1,SUM($A$2:$A650),0)</f>
        <v>0</v>
      </c>
    </row>
    <row r="651" spans="1:3" x14ac:dyDescent="0.3">
      <c r="A651">
        <f>IF(AND(OR('Compliance Database'!$A651='Data Transfer'!$B$4,'Compliance Database'!$A651='Data Transfer'!$B$5),OR('Data Transfer'!$B$6="",ISNUMBER(SEARCH('Data Transfer'!$B$6,'Compliance Database'!$D651&amp;" "&amp;'Compliance Database'!$K651&amp;" "&amp;'Compliance Database'!$L651&amp;" "&amp;'Compliance Database'!$M651&amp;" "&amp;'Compliance Database'!$N651&amp;" "&amp;'Compliance Database'!$O651)))),1,0)</f>
        <v>0</v>
      </c>
      <c r="B651" t="str">
        <f>IF($A651=1,SUM($A$2:$A651),"")</f>
        <v/>
      </c>
      <c r="C651">
        <f>IF($A651=1,SUM($A$2:$A651),0)</f>
        <v>0</v>
      </c>
    </row>
    <row r="652" spans="1:3" x14ac:dyDescent="0.3">
      <c r="A652">
        <f>IF(AND(OR('Compliance Database'!$A652='Data Transfer'!$B$4,'Compliance Database'!$A652='Data Transfer'!$B$5),OR('Data Transfer'!$B$6="",ISNUMBER(SEARCH('Data Transfer'!$B$6,'Compliance Database'!$D652&amp;" "&amp;'Compliance Database'!$K652&amp;" "&amp;'Compliance Database'!$L652&amp;" "&amp;'Compliance Database'!$M652&amp;" "&amp;'Compliance Database'!$N652&amp;" "&amp;'Compliance Database'!$O652)))),1,0)</f>
        <v>0</v>
      </c>
      <c r="B652" t="str">
        <f>IF($A652=1,SUM($A$2:$A652),"")</f>
        <v/>
      </c>
      <c r="C652">
        <f>IF($A652=1,SUM($A$2:$A652),0)</f>
        <v>0</v>
      </c>
    </row>
    <row r="653" spans="1:3" x14ac:dyDescent="0.3">
      <c r="A653">
        <f>IF(AND(OR('Compliance Database'!$A653='Data Transfer'!$B$4,'Compliance Database'!$A653='Data Transfer'!$B$5),OR('Data Transfer'!$B$6="",ISNUMBER(SEARCH('Data Transfer'!$B$6,'Compliance Database'!$D653&amp;" "&amp;'Compliance Database'!$K653&amp;" "&amp;'Compliance Database'!$L653&amp;" "&amp;'Compliance Database'!$M653&amp;" "&amp;'Compliance Database'!$N653&amp;" "&amp;'Compliance Database'!$O653)))),1,0)</f>
        <v>0</v>
      </c>
      <c r="B653" t="str">
        <f>IF($A653=1,SUM($A$2:$A653),"")</f>
        <v/>
      </c>
      <c r="C653">
        <f>IF($A653=1,SUM($A$2:$A653),0)</f>
        <v>0</v>
      </c>
    </row>
    <row r="654" spans="1:3" x14ac:dyDescent="0.3">
      <c r="A654">
        <f>IF(AND(OR('Compliance Database'!$A654='Data Transfer'!$B$4,'Compliance Database'!$A654='Data Transfer'!$B$5),OR('Data Transfer'!$B$6="",ISNUMBER(SEARCH('Data Transfer'!$B$6,'Compliance Database'!$D654&amp;" "&amp;'Compliance Database'!$K654&amp;" "&amp;'Compliance Database'!$L654&amp;" "&amp;'Compliance Database'!$M654&amp;" "&amp;'Compliance Database'!$N654&amp;" "&amp;'Compliance Database'!$O654)))),1,0)</f>
        <v>0</v>
      </c>
      <c r="B654" t="str">
        <f>IF($A654=1,SUM($A$2:$A654),"")</f>
        <v/>
      </c>
      <c r="C654">
        <f>IF($A654=1,SUM($A$2:$A654),0)</f>
        <v>0</v>
      </c>
    </row>
    <row r="655" spans="1:3" x14ac:dyDescent="0.3">
      <c r="A655">
        <f>IF(AND(OR('Compliance Database'!$A655='Data Transfer'!$B$4,'Compliance Database'!$A655='Data Transfer'!$B$5),OR('Data Transfer'!$B$6="",ISNUMBER(SEARCH('Data Transfer'!$B$6,'Compliance Database'!$D655&amp;" "&amp;'Compliance Database'!$K655&amp;" "&amp;'Compliance Database'!$L655&amp;" "&amp;'Compliance Database'!$M655&amp;" "&amp;'Compliance Database'!$N655&amp;" "&amp;'Compliance Database'!$O655)))),1,0)</f>
        <v>0</v>
      </c>
      <c r="B655" t="str">
        <f>IF($A655=1,SUM($A$2:$A655),"")</f>
        <v/>
      </c>
      <c r="C655">
        <f>IF($A655=1,SUM($A$2:$A655),0)</f>
        <v>0</v>
      </c>
    </row>
    <row r="656" spans="1:3" x14ac:dyDescent="0.3">
      <c r="A656">
        <f>IF(AND(OR('Compliance Database'!$A656='Data Transfer'!$B$4,'Compliance Database'!$A656='Data Transfer'!$B$5),OR('Data Transfer'!$B$6="",ISNUMBER(SEARCH('Data Transfer'!$B$6,'Compliance Database'!$D656&amp;" "&amp;'Compliance Database'!$K656&amp;" "&amp;'Compliance Database'!$L656&amp;" "&amp;'Compliance Database'!$M656&amp;" "&amp;'Compliance Database'!$N656&amp;" "&amp;'Compliance Database'!$O656)))),1,0)</f>
        <v>0</v>
      </c>
      <c r="B656" t="str">
        <f>IF($A656=1,SUM($A$2:$A656),"")</f>
        <v/>
      </c>
      <c r="C656">
        <f>IF($A656=1,SUM($A$2:$A656),0)</f>
        <v>0</v>
      </c>
    </row>
    <row r="657" spans="1:3" x14ac:dyDescent="0.3">
      <c r="A657">
        <f>IF(AND(OR('Compliance Database'!$A657='Data Transfer'!$B$4,'Compliance Database'!$A657='Data Transfer'!$B$5),OR('Data Transfer'!$B$6="",ISNUMBER(SEARCH('Data Transfer'!$B$6,'Compliance Database'!$D657&amp;" "&amp;'Compliance Database'!$K657&amp;" "&amp;'Compliance Database'!$L657&amp;" "&amp;'Compliance Database'!$M657&amp;" "&amp;'Compliance Database'!$N657&amp;" "&amp;'Compliance Database'!$O657)))),1,0)</f>
        <v>0</v>
      </c>
      <c r="B657" t="str">
        <f>IF($A657=1,SUM($A$2:$A657),"")</f>
        <v/>
      </c>
      <c r="C657">
        <f>IF($A657=1,SUM($A$2:$A657),0)</f>
        <v>0</v>
      </c>
    </row>
    <row r="658" spans="1:3" x14ac:dyDescent="0.3">
      <c r="A658">
        <f>IF(AND(OR('Compliance Database'!$A658='Data Transfer'!$B$4,'Compliance Database'!$A658='Data Transfer'!$B$5),OR('Data Transfer'!$B$6="",ISNUMBER(SEARCH('Data Transfer'!$B$6,'Compliance Database'!$D658&amp;" "&amp;'Compliance Database'!$K658&amp;" "&amp;'Compliance Database'!$L658&amp;" "&amp;'Compliance Database'!$M658&amp;" "&amp;'Compliance Database'!$N658&amp;" "&amp;'Compliance Database'!$O658)))),1,0)</f>
        <v>0</v>
      </c>
      <c r="B658" t="str">
        <f>IF($A658=1,SUM($A$2:$A658),"")</f>
        <v/>
      </c>
      <c r="C658">
        <f>IF($A658=1,SUM($A$2:$A658),0)</f>
        <v>0</v>
      </c>
    </row>
    <row r="659" spans="1:3" x14ac:dyDescent="0.3">
      <c r="A659">
        <f>IF(AND(OR('Compliance Database'!$A659='Data Transfer'!$B$4,'Compliance Database'!$A659='Data Transfer'!$B$5),OR('Data Transfer'!$B$6="",ISNUMBER(SEARCH('Data Transfer'!$B$6,'Compliance Database'!$D659&amp;" "&amp;'Compliance Database'!$K659&amp;" "&amp;'Compliance Database'!$L659&amp;" "&amp;'Compliance Database'!$M659&amp;" "&amp;'Compliance Database'!$N659&amp;" "&amp;'Compliance Database'!$O659)))),1,0)</f>
        <v>0</v>
      </c>
      <c r="B659" t="str">
        <f>IF($A659=1,SUM($A$2:$A659),"")</f>
        <v/>
      </c>
      <c r="C659">
        <f>IF($A659=1,SUM($A$2:$A659),0)</f>
        <v>0</v>
      </c>
    </row>
    <row r="660" spans="1:3" x14ac:dyDescent="0.3">
      <c r="A660">
        <f>IF(AND(OR('Compliance Database'!$A660='Data Transfer'!$B$4,'Compliance Database'!$A660='Data Transfer'!$B$5),OR('Data Transfer'!$B$6="",ISNUMBER(SEARCH('Data Transfer'!$B$6,'Compliance Database'!$D660&amp;" "&amp;'Compliance Database'!$K660&amp;" "&amp;'Compliance Database'!$L660&amp;" "&amp;'Compliance Database'!$M660&amp;" "&amp;'Compliance Database'!$N660&amp;" "&amp;'Compliance Database'!$O660)))),1,0)</f>
        <v>0</v>
      </c>
      <c r="B660" t="str">
        <f>IF($A660=1,SUM($A$2:$A660),"")</f>
        <v/>
      </c>
      <c r="C660">
        <f>IF($A660=1,SUM($A$2:$A660),0)</f>
        <v>0</v>
      </c>
    </row>
    <row r="661" spans="1:3" x14ac:dyDescent="0.3">
      <c r="A661">
        <f>IF(AND(OR('Compliance Database'!$A661='Data Transfer'!$B$4,'Compliance Database'!$A661='Data Transfer'!$B$5),OR('Data Transfer'!$B$6="",ISNUMBER(SEARCH('Data Transfer'!$B$6,'Compliance Database'!$D661&amp;" "&amp;'Compliance Database'!$K661&amp;" "&amp;'Compliance Database'!$L661&amp;" "&amp;'Compliance Database'!$M661&amp;" "&amp;'Compliance Database'!$N661&amp;" "&amp;'Compliance Database'!$O661)))),1,0)</f>
        <v>0</v>
      </c>
      <c r="B661" t="str">
        <f>IF($A661=1,SUM($A$2:$A661),"")</f>
        <v/>
      </c>
      <c r="C661">
        <f>IF($A661=1,SUM($A$2:$A661),0)</f>
        <v>0</v>
      </c>
    </row>
    <row r="662" spans="1:3" x14ac:dyDescent="0.3">
      <c r="A662">
        <f>IF(AND(OR('Compliance Database'!$A662='Data Transfer'!$B$4,'Compliance Database'!$A662='Data Transfer'!$B$5),OR('Data Transfer'!$B$6="",ISNUMBER(SEARCH('Data Transfer'!$B$6,'Compliance Database'!$D662&amp;" "&amp;'Compliance Database'!$K662&amp;" "&amp;'Compliance Database'!$L662&amp;" "&amp;'Compliance Database'!$M662&amp;" "&amp;'Compliance Database'!$N662&amp;" "&amp;'Compliance Database'!$O662)))),1,0)</f>
        <v>0</v>
      </c>
      <c r="B662" t="str">
        <f>IF($A662=1,SUM($A$2:$A662),"")</f>
        <v/>
      </c>
      <c r="C662">
        <f>IF($A662=1,SUM($A$2:$A662),0)</f>
        <v>0</v>
      </c>
    </row>
    <row r="663" spans="1:3" x14ac:dyDescent="0.3">
      <c r="A663">
        <f>IF(AND(OR('Compliance Database'!$A663='Data Transfer'!$B$4,'Compliance Database'!$A663='Data Transfer'!$B$5),OR('Data Transfer'!$B$6="",ISNUMBER(SEARCH('Data Transfer'!$B$6,'Compliance Database'!$D663&amp;" "&amp;'Compliance Database'!$K663&amp;" "&amp;'Compliance Database'!$L663&amp;" "&amp;'Compliance Database'!$M663&amp;" "&amp;'Compliance Database'!$N663&amp;" "&amp;'Compliance Database'!$O663)))),1,0)</f>
        <v>0</v>
      </c>
      <c r="B663" t="str">
        <f>IF($A663=1,SUM($A$2:$A663),"")</f>
        <v/>
      </c>
      <c r="C663">
        <f>IF($A663=1,SUM($A$2:$A663),0)</f>
        <v>0</v>
      </c>
    </row>
    <row r="664" spans="1:3" x14ac:dyDescent="0.3">
      <c r="A664">
        <f>IF(AND(OR('Compliance Database'!$A664='Data Transfer'!$B$4,'Compliance Database'!$A664='Data Transfer'!$B$5),OR('Data Transfer'!$B$6="",ISNUMBER(SEARCH('Data Transfer'!$B$6,'Compliance Database'!$D664&amp;" "&amp;'Compliance Database'!$K664&amp;" "&amp;'Compliance Database'!$L664&amp;" "&amp;'Compliance Database'!$M664&amp;" "&amp;'Compliance Database'!$N664&amp;" "&amp;'Compliance Database'!$O664)))),1,0)</f>
        <v>0</v>
      </c>
      <c r="B664" t="str">
        <f>IF($A664=1,SUM($A$2:$A664),"")</f>
        <v/>
      </c>
      <c r="C664">
        <f>IF($A664=1,SUM($A$2:$A664),0)</f>
        <v>0</v>
      </c>
    </row>
    <row r="665" spans="1:3" x14ac:dyDescent="0.3">
      <c r="A665">
        <f>IF(AND(OR('Compliance Database'!$A665='Data Transfer'!$B$4,'Compliance Database'!$A665='Data Transfer'!$B$5),OR('Data Transfer'!$B$6="",ISNUMBER(SEARCH('Data Transfer'!$B$6,'Compliance Database'!$D665&amp;" "&amp;'Compliance Database'!$K665&amp;" "&amp;'Compliance Database'!$L665&amp;" "&amp;'Compliance Database'!$M665&amp;" "&amp;'Compliance Database'!$N665&amp;" "&amp;'Compliance Database'!$O665)))),1,0)</f>
        <v>0</v>
      </c>
      <c r="B665" t="str">
        <f>IF($A665=1,SUM($A$2:$A665),"")</f>
        <v/>
      </c>
      <c r="C665">
        <f>IF($A665=1,SUM($A$2:$A665),0)</f>
        <v>0</v>
      </c>
    </row>
    <row r="666" spans="1:3" x14ac:dyDescent="0.3">
      <c r="A666">
        <f>IF(AND(OR('Compliance Database'!$A666='Data Transfer'!$B$4,'Compliance Database'!$A666='Data Transfer'!$B$5),OR('Data Transfer'!$B$6="",ISNUMBER(SEARCH('Data Transfer'!$B$6,'Compliance Database'!$D666&amp;" "&amp;'Compliance Database'!$K666&amp;" "&amp;'Compliance Database'!$L666&amp;" "&amp;'Compliance Database'!$M666&amp;" "&amp;'Compliance Database'!$N666&amp;" "&amp;'Compliance Database'!$O666)))),1,0)</f>
        <v>0</v>
      </c>
      <c r="B666" t="str">
        <f>IF($A666=1,SUM($A$2:$A666),"")</f>
        <v/>
      </c>
      <c r="C666">
        <f>IF($A666=1,SUM($A$2:$A666),0)</f>
        <v>0</v>
      </c>
    </row>
    <row r="667" spans="1:3" x14ac:dyDescent="0.3">
      <c r="A667">
        <f>IF(AND(OR('Compliance Database'!$A667='Data Transfer'!$B$4,'Compliance Database'!$A667='Data Transfer'!$B$5),OR('Data Transfer'!$B$6="",ISNUMBER(SEARCH('Data Transfer'!$B$6,'Compliance Database'!$D667&amp;" "&amp;'Compliance Database'!$K667&amp;" "&amp;'Compliance Database'!$L667&amp;" "&amp;'Compliance Database'!$M667&amp;" "&amp;'Compliance Database'!$N667&amp;" "&amp;'Compliance Database'!$O667)))),1,0)</f>
        <v>0</v>
      </c>
      <c r="B667" t="str">
        <f>IF($A667=1,SUM($A$2:$A667),"")</f>
        <v/>
      </c>
      <c r="C667">
        <f>IF($A667=1,SUM($A$2:$A667),0)</f>
        <v>0</v>
      </c>
    </row>
    <row r="668" spans="1:3" x14ac:dyDescent="0.3">
      <c r="A668">
        <f>IF(AND(OR('Compliance Database'!$A668='Data Transfer'!$B$4,'Compliance Database'!$A668='Data Transfer'!$B$5),OR('Data Transfer'!$B$6="",ISNUMBER(SEARCH('Data Transfer'!$B$6,'Compliance Database'!$D668&amp;" "&amp;'Compliance Database'!$K668&amp;" "&amp;'Compliance Database'!$L668&amp;" "&amp;'Compliance Database'!$M668&amp;" "&amp;'Compliance Database'!$N668&amp;" "&amp;'Compliance Database'!$O668)))),1,0)</f>
        <v>0</v>
      </c>
      <c r="B668" t="str">
        <f>IF($A668=1,SUM($A$2:$A668),"")</f>
        <v/>
      </c>
      <c r="C668">
        <f>IF($A668=1,SUM($A$2:$A668),0)</f>
        <v>0</v>
      </c>
    </row>
    <row r="669" spans="1:3" x14ac:dyDescent="0.3">
      <c r="A669">
        <f>IF(AND(OR('Compliance Database'!$A669='Data Transfer'!$B$4,'Compliance Database'!$A669='Data Transfer'!$B$5),OR('Data Transfer'!$B$6="",ISNUMBER(SEARCH('Data Transfer'!$B$6,'Compliance Database'!$D669&amp;" "&amp;'Compliance Database'!$K669&amp;" "&amp;'Compliance Database'!$L669&amp;" "&amp;'Compliance Database'!$M669&amp;" "&amp;'Compliance Database'!$N669&amp;" "&amp;'Compliance Database'!$O669)))),1,0)</f>
        <v>0</v>
      </c>
      <c r="B669" t="str">
        <f>IF($A669=1,SUM($A$2:$A669),"")</f>
        <v/>
      </c>
      <c r="C669">
        <f>IF($A669=1,SUM($A$2:$A669),0)</f>
        <v>0</v>
      </c>
    </row>
    <row r="670" spans="1:3" x14ac:dyDescent="0.3">
      <c r="A670">
        <f>IF(AND(OR('Compliance Database'!$A670='Data Transfer'!$B$4,'Compliance Database'!$A670='Data Transfer'!$B$5),OR('Data Transfer'!$B$6="",ISNUMBER(SEARCH('Data Transfer'!$B$6,'Compliance Database'!$D670&amp;" "&amp;'Compliance Database'!$K670&amp;" "&amp;'Compliance Database'!$L670&amp;" "&amp;'Compliance Database'!$M670&amp;" "&amp;'Compliance Database'!$N670&amp;" "&amp;'Compliance Database'!$O670)))),1,0)</f>
        <v>0</v>
      </c>
      <c r="B670" t="str">
        <f>IF($A670=1,SUM($A$2:$A670),"")</f>
        <v/>
      </c>
      <c r="C670">
        <f>IF($A670=1,SUM($A$2:$A670),0)</f>
        <v>0</v>
      </c>
    </row>
    <row r="671" spans="1:3" x14ac:dyDescent="0.3">
      <c r="A671">
        <f>IF(AND(OR('Compliance Database'!$A671='Data Transfer'!$B$4,'Compliance Database'!$A671='Data Transfer'!$B$5),OR('Data Transfer'!$B$6="",ISNUMBER(SEARCH('Data Transfer'!$B$6,'Compliance Database'!$D671&amp;" "&amp;'Compliance Database'!$K671&amp;" "&amp;'Compliance Database'!$L671&amp;" "&amp;'Compliance Database'!$M671&amp;" "&amp;'Compliance Database'!$N671&amp;" "&amp;'Compliance Database'!$O671)))),1,0)</f>
        <v>0</v>
      </c>
      <c r="B671" t="str">
        <f>IF($A671=1,SUM($A$2:$A671),"")</f>
        <v/>
      </c>
      <c r="C671">
        <f>IF($A671=1,SUM($A$2:$A671),0)</f>
        <v>0</v>
      </c>
    </row>
    <row r="672" spans="1:3" x14ac:dyDescent="0.3">
      <c r="A672">
        <f>IF(AND(OR('Compliance Database'!$A672='Data Transfer'!$B$4,'Compliance Database'!$A672='Data Transfer'!$B$5),OR('Data Transfer'!$B$6="",ISNUMBER(SEARCH('Data Transfer'!$B$6,'Compliance Database'!$D672&amp;" "&amp;'Compliance Database'!$K672&amp;" "&amp;'Compliance Database'!$L672&amp;" "&amp;'Compliance Database'!$M672&amp;" "&amp;'Compliance Database'!$N672&amp;" "&amp;'Compliance Database'!$O672)))),1,0)</f>
        <v>0</v>
      </c>
      <c r="B672" t="str">
        <f>IF($A672=1,SUM($A$2:$A672),"")</f>
        <v/>
      </c>
      <c r="C672">
        <f>IF($A672=1,SUM($A$2:$A672),0)</f>
        <v>0</v>
      </c>
    </row>
    <row r="673" spans="1:3" x14ac:dyDescent="0.3">
      <c r="A673">
        <f>IF(AND(OR('Compliance Database'!$A673='Data Transfer'!$B$4,'Compliance Database'!$A673='Data Transfer'!$B$5),OR('Data Transfer'!$B$6="",ISNUMBER(SEARCH('Data Transfer'!$B$6,'Compliance Database'!$D673&amp;" "&amp;'Compliance Database'!$K673&amp;" "&amp;'Compliance Database'!$L673&amp;" "&amp;'Compliance Database'!$M673&amp;" "&amp;'Compliance Database'!$N673&amp;" "&amp;'Compliance Database'!$O673)))),1,0)</f>
        <v>0</v>
      </c>
      <c r="B673" t="str">
        <f>IF($A673=1,SUM($A$2:$A673),"")</f>
        <v/>
      </c>
      <c r="C673">
        <f>IF($A673=1,SUM($A$2:$A673),0)</f>
        <v>0</v>
      </c>
    </row>
    <row r="674" spans="1:3" x14ac:dyDescent="0.3">
      <c r="A674">
        <f>IF(AND(OR('Compliance Database'!$A674='Data Transfer'!$B$4,'Compliance Database'!$A674='Data Transfer'!$B$5),OR('Data Transfer'!$B$6="",ISNUMBER(SEARCH('Data Transfer'!$B$6,'Compliance Database'!$D674&amp;" "&amp;'Compliance Database'!$K674&amp;" "&amp;'Compliance Database'!$L674&amp;" "&amp;'Compliance Database'!$M674&amp;" "&amp;'Compliance Database'!$N674&amp;" "&amp;'Compliance Database'!$O674)))),1,0)</f>
        <v>0</v>
      </c>
      <c r="B674" t="str">
        <f>IF($A674=1,SUM($A$2:$A674),"")</f>
        <v/>
      </c>
      <c r="C674">
        <f>IF($A674=1,SUM($A$2:$A674),0)</f>
        <v>0</v>
      </c>
    </row>
    <row r="675" spans="1:3" x14ac:dyDescent="0.3">
      <c r="A675">
        <f>IF(AND(OR('Compliance Database'!$A675='Data Transfer'!$B$4,'Compliance Database'!$A675='Data Transfer'!$B$5),OR('Data Transfer'!$B$6="",ISNUMBER(SEARCH('Data Transfer'!$B$6,'Compliance Database'!$D675&amp;" "&amp;'Compliance Database'!$K675&amp;" "&amp;'Compliance Database'!$L675&amp;" "&amp;'Compliance Database'!$M675&amp;" "&amp;'Compliance Database'!$N675&amp;" "&amp;'Compliance Database'!$O675)))),1,0)</f>
        <v>0</v>
      </c>
      <c r="B675" t="str">
        <f>IF($A675=1,SUM($A$2:$A675),"")</f>
        <v/>
      </c>
      <c r="C675">
        <f>IF($A675=1,SUM($A$2:$A675),0)</f>
        <v>0</v>
      </c>
    </row>
    <row r="676" spans="1:3" x14ac:dyDescent="0.3">
      <c r="A676">
        <f>IF(AND(OR('Compliance Database'!$A676='Data Transfer'!$B$4,'Compliance Database'!$A676='Data Transfer'!$B$5),OR('Data Transfer'!$B$6="",ISNUMBER(SEARCH('Data Transfer'!$B$6,'Compliance Database'!$D676&amp;" "&amp;'Compliance Database'!$K676&amp;" "&amp;'Compliance Database'!$L676&amp;" "&amp;'Compliance Database'!$M676&amp;" "&amp;'Compliance Database'!$N676&amp;" "&amp;'Compliance Database'!$O676)))),1,0)</f>
        <v>0</v>
      </c>
      <c r="B676" t="str">
        <f>IF($A676=1,SUM($A$2:$A676),"")</f>
        <v/>
      </c>
      <c r="C676">
        <f>IF($A676=1,SUM($A$2:$A676),0)</f>
        <v>0</v>
      </c>
    </row>
    <row r="677" spans="1:3" x14ac:dyDescent="0.3">
      <c r="A677">
        <f>IF(AND(OR('Compliance Database'!$A677='Data Transfer'!$B$4,'Compliance Database'!$A677='Data Transfer'!$B$5),OR('Data Transfer'!$B$6="",ISNUMBER(SEARCH('Data Transfer'!$B$6,'Compliance Database'!$D677&amp;" "&amp;'Compliance Database'!$K677&amp;" "&amp;'Compliance Database'!$L677&amp;" "&amp;'Compliance Database'!$M677&amp;" "&amp;'Compliance Database'!$N677&amp;" "&amp;'Compliance Database'!$O677)))),1,0)</f>
        <v>0</v>
      </c>
      <c r="B677" t="str">
        <f>IF($A677=1,SUM($A$2:$A677),"")</f>
        <v/>
      </c>
      <c r="C677">
        <f>IF($A677=1,SUM($A$2:$A677),0)</f>
        <v>0</v>
      </c>
    </row>
    <row r="678" spans="1:3" x14ac:dyDescent="0.3">
      <c r="A678">
        <f>IF(AND(OR('Compliance Database'!$A678='Data Transfer'!$B$4,'Compliance Database'!$A678='Data Transfer'!$B$5),OR('Data Transfer'!$B$6="",ISNUMBER(SEARCH('Data Transfer'!$B$6,'Compliance Database'!$D678&amp;" "&amp;'Compliance Database'!$K678&amp;" "&amp;'Compliance Database'!$L678&amp;" "&amp;'Compliance Database'!$M678&amp;" "&amp;'Compliance Database'!$N678&amp;" "&amp;'Compliance Database'!$O678)))),1,0)</f>
        <v>0</v>
      </c>
      <c r="B678" t="str">
        <f>IF($A678=1,SUM($A$2:$A678),"")</f>
        <v/>
      </c>
      <c r="C678">
        <f>IF($A678=1,SUM($A$2:$A678),0)</f>
        <v>0</v>
      </c>
    </row>
    <row r="679" spans="1:3" x14ac:dyDescent="0.3">
      <c r="A679">
        <f>IF(AND(OR('Compliance Database'!$A679='Data Transfer'!$B$4,'Compliance Database'!$A679='Data Transfer'!$B$5),OR('Data Transfer'!$B$6="",ISNUMBER(SEARCH('Data Transfer'!$B$6,'Compliance Database'!$D679&amp;" "&amp;'Compliance Database'!$K679&amp;" "&amp;'Compliance Database'!$L679&amp;" "&amp;'Compliance Database'!$M679&amp;" "&amp;'Compliance Database'!$N679&amp;" "&amp;'Compliance Database'!$O679)))),1,0)</f>
        <v>0</v>
      </c>
      <c r="B679" t="str">
        <f>IF($A679=1,SUM($A$2:$A679),"")</f>
        <v/>
      </c>
      <c r="C679">
        <f>IF($A679=1,SUM($A$2:$A679),0)</f>
        <v>0</v>
      </c>
    </row>
    <row r="680" spans="1:3" x14ac:dyDescent="0.3">
      <c r="A680">
        <f>IF(AND(OR('Compliance Database'!$A680='Data Transfer'!$B$4,'Compliance Database'!$A680='Data Transfer'!$B$5),OR('Data Transfer'!$B$6="",ISNUMBER(SEARCH('Data Transfer'!$B$6,'Compliance Database'!$D680&amp;" "&amp;'Compliance Database'!$K680&amp;" "&amp;'Compliance Database'!$L680&amp;" "&amp;'Compliance Database'!$M680&amp;" "&amp;'Compliance Database'!$N680&amp;" "&amp;'Compliance Database'!$O680)))),1,0)</f>
        <v>0</v>
      </c>
      <c r="B680" t="str">
        <f>IF($A680=1,SUM($A$2:$A680),"")</f>
        <v/>
      </c>
      <c r="C680">
        <f>IF($A680=1,SUM($A$2:$A680),0)</f>
        <v>0</v>
      </c>
    </row>
    <row r="681" spans="1:3" x14ac:dyDescent="0.3">
      <c r="A681">
        <f>IF(AND(OR('Compliance Database'!$A681='Data Transfer'!$B$4,'Compliance Database'!$A681='Data Transfer'!$B$5),OR('Data Transfer'!$B$6="",ISNUMBER(SEARCH('Data Transfer'!$B$6,'Compliance Database'!$D681&amp;" "&amp;'Compliance Database'!$K681&amp;" "&amp;'Compliance Database'!$L681&amp;" "&amp;'Compliance Database'!$M681&amp;" "&amp;'Compliance Database'!$N681&amp;" "&amp;'Compliance Database'!$O681)))),1,0)</f>
        <v>0</v>
      </c>
      <c r="B681" t="str">
        <f>IF($A681=1,SUM($A$2:$A681),"")</f>
        <v/>
      </c>
      <c r="C681">
        <f>IF($A681=1,SUM($A$2:$A681),0)</f>
        <v>0</v>
      </c>
    </row>
    <row r="682" spans="1:3" x14ac:dyDescent="0.3">
      <c r="A682">
        <f>IF(AND(OR('Compliance Database'!$A682='Data Transfer'!$B$4,'Compliance Database'!$A682='Data Transfer'!$B$5),OR('Data Transfer'!$B$6="",ISNUMBER(SEARCH('Data Transfer'!$B$6,'Compliance Database'!$D682&amp;" "&amp;'Compliance Database'!$K682&amp;" "&amp;'Compliance Database'!$L682&amp;" "&amp;'Compliance Database'!$M682&amp;" "&amp;'Compliance Database'!$N682&amp;" "&amp;'Compliance Database'!$O682)))),1,0)</f>
        <v>0</v>
      </c>
      <c r="B682" t="str">
        <f>IF($A682=1,SUM($A$2:$A682),"")</f>
        <v/>
      </c>
      <c r="C682">
        <f>IF($A682=1,SUM($A$2:$A682),0)</f>
        <v>0</v>
      </c>
    </row>
    <row r="683" spans="1:3" x14ac:dyDescent="0.3">
      <c r="A683">
        <f>IF(AND(OR('Compliance Database'!$A683='Data Transfer'!$B$4,'Compliance Database'!$A683='Data Transfer'!$B$5),OR('Data Transfer'!$B$6="",ISNUMBER(SEARCH('Data Transfer'!$B$6,'Compliance Database'!$D683&amp;" "&amp;'Compliance Database'!$K683&amp;" "&amp;'Compliance Database'!$L683&amp;" "&amp;'Compliance Database'!$M683&amp;" "&amp;'Compliance Database'!$N683&amp;" "&amp;'Compliance Database'!$O683)))),1,0)</f>
        <v>0</v>
      </c>
      <c r="B683" t="str">
        <f>IF($A683=1,SUM($A$2:$A683),"")</f>
        <v/>
      </c>
      <c r="C683">
        <f>IF($A683=1,SUM($A$2:$A683),0)</f>
        <v>0</v>
      </c>
    </row>
    <row r="684" spans="1:3" x14ac:dyDescent="0.3">
      <c r="A684">
        <f>IF(AND(OR('Compliance Database'!$A684='Data Transfer'!$B$4,'Compliance Database'!$A684='Data Transfer'!$B$5),OR('Data Transfer'!$B$6="",ISNUMBER(SEARCH('Data Transfer'!$B$6,'Compliance Database'!$D684&amp;" "&amp;'Compliance Database'!$K684&amp;" "&amp;'Compliance Database'!$L684&amp;" "&amp;'Compliance Database'!$M684&amp;" "&amp;'Compliance Database'!$N684&amp;" "&amp;'Compliance Database'!$O684)))),1,0)</f>
        <v>0</v>
      </c>
      <c r="B684" t="str">
        <f>IF($A684=1,SUM($A$2:$A684),"")</f>
        <v/>
      </c>
      <c r="C684">
        <f>IF($A684=1,SUM($A$2:$A684),0)</f>
        <v>0</v>
      </c>
    </row>
    <row r="685" spans="1:3" x14ac:dyDescent="0.3">
      <c r="A685">
        <f>IF(AND(OR('Compliance Database'!$A685='Data Transfer'!$B$4,'Compliance Database'!$A685='Data Transfer'!$B$5),OR('Data Transfer'!$B$6="",ISNUMBER(SEARCH('Data Transfer'!$B$6,'Compliance Database'!$D685&amp;" "&amp;'Compliance Database'!$K685&amp;" "&amp;'Compliance Database'!$L685&amp;" "&amp;'Compliance Database'!$M685&amp;" "&amp;'Compliance Database'!$N685&amp;" "&amp;'Compliance Database'!$O685)))),1,0)</f>
        <v>0</v>
      </c>
      <c r="B685" t="str">
        <f>IF($A685=1,SUM($A$2:$A685),"")</f>
        <v/>
      </c>
      <c r="C685">
        <f>IF($A685=1,SUM($A$2:$A685),0)</f>
        <v>0</v>
      </c>
    </row>
    <row r="686" spans="1:3" x14ac:dyDescent="0.3">
      <c r="A686">
        <f>IF(AND(OR('Compliance Database'!$A686='Data Transfer'!$B$4,'Compliance Database'!$A686='Data Transfer'!$B$5),OR('Data Transfer'!$B$6="",ISNUMBER(SEARCH('Data Transfer'!$B$6,'Compliance Database'!$D686&amp;" "&amp;'Compliance Database'!$K686&amp;" "&amp;'Compliance Database'!$L686&amp;" "&amp;'Compliance Database'!$M686&amp;" "&amp;'Compliance Database'!$N686&amp;" "&amp;'Compliance Database'!$O686)))),1,0)</f>
        <v>0</v>
      </c>
      <c r="B686" t="str">
        <f>IF($A686=1,SUM($A$2:$A686),"")</f>
        <v/>
      </c>
      <c r="C686">
        <f>IF($A686=1,SUM($A$2:$A686),0)</f>
        <v>0</v>
      </c>
    </row>
    <row r="687" spans="1:3" x14ac:dyDescent="0.3">
      <c r="A687">
        <f>IF(AND(OR('Compliance Database'!$A687='Data Transfer'!$B$4,'Compliance Database'!$A687='Data Transfer'!$B$5),OR('Data Transfer'!$B$6="",ISNUMBER(SEARCH('Data Transfer'!$B$6,'Compliance Database'!$D687&amp;" "&amp;'Compliance Database'!$K687&amp;" "&amp;'Compliance Database'!$L687&amp;" "&amp;'Compliance Database'!$M687&amp;" "&amp;'Compliance Database'!$N687&amp;" "&amp;'Compliance Database'!$O687)))),1,0)</f>
        <v>0</v>
      </c>
      <c r="B687" t="str">
        <f>IF($A687=1,SUM($A$2:$A687),"")</f>
        <v/>
      </c>
      <c r="C687">
        <f>IF($A687=1,SUM($A$2:$A687),0)</f>
        <v>0</v>
      </c>
    </row>
    <row r="688" spans="1:3" x14ac:dyDescent="0.3">
      <c r="A688">
        <f>IF(AND(OR('Compliance Database'!$A688='Data Transfer'!$B$4,'Compliance Database'!$A688='Data Transfer'!$B$5),OR('Data Transfer'!$B$6="",ISNUMBER(SEARCH('Data Transfer'!$B$6,'Compliance Database'!$D688&amp;" "&amp;'Compliance Database'!$K688&amp;" "&amp;'Compliance Database'!$L688&amp;" "&amp;'Compliance Database'!$M688&amp;" "&amp;'Compliance Database'!$N688&amp;" "&amp;'Compliance Database'!$O688)))),1,0)</f>
        <v>0</v>
      </c>
      <c r="B688" t="str">
        <f>IF($A688=1,SUM($A$2:$A688),"")</f>
        <v/>
      </c>
      <c r="C688">
        <f>IF($A688=1,SUM($A$2:$A688),0)</f>
        <v>0</v>
      </c>
    </row>
    <row r="689" spans="1:3" x14ac:dyDescent="0.3">
      <c r="A689">
        <f>IF(AND(OR('Compliance Database'!$A689='Data Transfer'!$B$4,'Compliance Database'!$A689='Data Transfer'!$B$5),OR('Data Transfer'!$B$6="",ISNUMBER(SEARCH('Data Transfer'!$B$6,'Compliance Database'!$D689&amp;" "&amp;'Compliance Database'!$K689&amp;" "&amp;'Compliance Database'!$L689&amp;" "&amp;'Compliance Database'!$M689&amp;" "&amp;'Compliance Database'!$N689&amp;" "&amp;'Compliance Database'!$O689)))),1,0)</f>
        <v>0</v>
      </c>
      <c r="B689" t="str">
        <f>IF($A689=1,SUM($A$2:$A689),"")</f>
        <v/>
      </c>
      <c r="C689">
        <f>IF($A689=1,SUM($A$2:$A689),0)</f>
        <v>0</v>
      </c>
    </row>
    <row r="690" spans="1:3" x14ac:dyDescent="0.3">
      <c r="A690">
        <f>IF(AND(OR('Compliance Database'!$A690='Data Transfer'!$B$4,'Compliance Database'!$A690='Data Transfer'!$B$5),OR('Data Transfer'!$B$6="",ISNUMBER(SEARCH('Data Transfer'!$B$6,'Compliance Database'!$D690&amp;" "&amp;'Compliance Database'!$K690&amp;" "&amp;'Compliance Database'!$L690&amp;" "&amp;'Compliance Database'!$M690&amp;" "&amp;'Compliance Database'!$N690&amp;" "&amp;'Compliance Database'!$O690)))),1,0)</f>
        <v>0</v>
      </c>
      <c r="B690" t="str">
        <f>IF($A690=1,SUM($A$2:$A690),"")</f>
        <v/>
      </c>
      <c r="C690">
        <f>IF($A690=1,SUM($A$2:$A690),0)</f>
        <v>0</v>
      </c>
    </row>
    <row r="691" spans="1:3" x14ac:dyDescent="0.3">
      <c r="A691">
        <f>IF(AND(OR('Compliance Database'!$A691='Data Transfer'!$B$4,'Compliance Database'!$A691='Data Transfer'!$B$5),OR('Data Transfer'!$B$6="",ISNUMBER(SEARCH('Data Transfer'!$B$6,'Compliance Database'!$D691&amp;" "&amp;'Compliance Database'!$K691&amp;" "&amp;'Compliance Database'!$L691&amp;" "&amp;'Compliance Database'!$M691&amp;" "&amp;'Compliance Database'!$N691&amp;" "&amp;'Compliance Database'!$O691)))),1,0)</f>
        <v>0</v>
      </c>
      <c r="B691" t="str">
        <f>IF($A691=1,SUM($A$2:$A691),"")</f>
        <v/>
      </c>
      <c r="C691">
        <f>IF($A691=1,SUM($A$2:$A691),0)</f>
        <v>0</v>
      </c>
    </row>
    <row r="692" spans="1:3" x14ac:dyDescent="0.3">
      <c r="A692">
        <f>IF(AND(OR('Compliance Database'!$A692='Data Transfer'!$B$4,'Compliance Database'!$A692='Data Transfer'!$B$5),OR('Data Transfer'!$B$6="",ISNUMBER(SEARCH('Data Transfer'!$B$6,'Compliance Database'!$D692&amp;" "&amp;'Compliance Database'!$K692&amp;" "&amp;'Compliance Database'!$L692&amp;" "&amp;'Compliance Database'!$M692&amp;" "&amp;'Compliance Database'!$N692&amp;" "&amp;'Compliance Database'!$O692)))),1,0)</f>
        <v>0</v>
      </c>
      <c r="B692" t="str">
        <f>IF($A692=1,SUM($A$2:$A692),"")</f>
        <v/>
      </c>
      <c r="C692">
        <f>IF($A692=1,SUM($A$2:$A692),0)</f>
        <v>0</v>
      </c>
    </row>
    <row r="693" spans="1:3" x14ac:dyDescent="0.3">
      <c r="A693">
        <f>IF(AND(OR('Compliance Database'!$A693='Data Transfer'!$B$4,'Compliance Database'!$A693='Data Transfer'!$B$5),OR('Data Transfer'!$B$6="",ISNUMBER(SEARCH('Data Transfer'!$B$6,'Compliance Database'!$D693&amp;" "&amp;'Compliance Database'!$K693&amp;" "&amp;'Compliance Database'!$L693&amp;" "&amp;'Compliance Database'!$M693&amp;" "&amp;'Compliance Database'!$N693&amp;" "&amp;'Compliance Database'!$O693)))),1,0)</f>
        <v>0</v>
      </c>
      <c r="B693" t="str">
        <f>IF($A693=1,SUM($A$2:$A693),"")</f>
        <v/>
      </c>
      <c r="C693">
        <f>IF($A693=1,SUM($A$2:$A693),0)</f>
        <v>0</v>
      </c>
    </row>
    <row r="694" spans="1:3" x14ac:dyDescent="0.3">
      <c r="A694">
        <f>IF(AND(OR('Compliance Database'!$A694='Data Transfer'!$B$4,'Compliance Database'!$A694='Data Transfer'!$B$5),OR('Data Transfer'!$B$6="",ISNUMBER(SEARCH('Data Transfer'!$B$6,'Compliance Database'!$D694&amp;" "&amp;'Compliance Database'!$K694&amp;" "&amp;'Compliance Database'!$L694&amp;" "&amp;'Compliance Database'!$M694&amp;" "&amp;'Compliance Database'!$N694&amp;" "&amp;'Compliance Database'!$O694)))),1,0)</f>
        <v>0</v>
      </c>
      <c r="B694" t="str">
        <f>IF($A694=1,SUM($A$2:$A694),"")</f>
        <v/>
      </c>
      <c r="C694">
        <f>IF($A694=1,SUM($A$2:$A694),0)</f>
        <v>0</v>
      </c>
    </row>
    <row r="695" spans="1:3" x14ac:dyDescent="0.3">
      <c r="A695">
        <f>IF(AND(OR('Compliance Database'!$A695='Data Transfer'!$B$4,'Compliance Database'!$A695='Data Transfer'!$B$5),OR('Data Transfer'!$B$6="",ISNUMBER(SEARCH('Data Transfer'!$B$6,'Compliance Database'!$D695&amp;" "&amp;'Compliance Database'!$K695&amp;" "&amp;'Compliance Database'!$L695&amp;" "&amp;'Compliance Database'!$M695&amp;" "&amp;'Compliance Database'!$N695&amp;" "&amp;'Compliance Database'!$O695)))),1,0)</f>
        <v>0</v>
      </c>
      <c r="B695" t="str">
        <f>IF($A695=1,SUM($A$2:$A695),"")</f>
        <v/>
      </c>
      <c r="C695">
        <f>IF($A695=1,SUM($A$2:$A695),0)</f>
        <v>0</v>
      </c>
    </row>
    <row r="696" spans="1:3" x14ac:dyDescent="0.3">
      <c r="A696">
        <f>IF(AND(OR('Compliance Database'!$A696='Data Transfer'!$B$4,'Compliance Database'!$A696='Data Transfer'!$B$5),OR('Data Transfer'!$B$6="",ISNUMBER(SEARCH('Data Transfer'!$B$6,'Compliance Database'!$D696&amp;" "&amp;'Compliance Database'!$K696&amp;" "&amp;'Compliance Database'!$L696&amp;" "&amp;'Compliance Database'!$M696&amp;" "&amp;'Compliance Database'!$N696&amp;" "&amp;'Compliance Database'!$O696)))),1,0)</f>
        <v>0</v>
      </c>
      <c r="B696" t="str">
        <f>IF($A696=1,SUM($A$2:$A696),"")</f>
        <v/>
      </c>
      <c r="C696">
        <f>IF($A696=1,SUM($A$2:$A696),0)</f>
        <v>0</v>
      </c>
    </row>
    <row r="697" spans="1:3" x14ac:dyDescent="0.3">
      <c r="A697">
        <f>IF(AND(OR('Compliance Database'!$A697='Data Transfer'!$B$4,'Compliance Database'!$A697='Data Transfer'!$B$5),OR('Data Transfer'!$B$6="",ISNUMBER(SEARCH('Data Transfer'!$B$6,'Compliance Database'!$D697&amp;" "&amp;'Compliance Database'!$K697&amp;" "&amp;'Compliance Database'!$L697&amp;" "&amp;'Compliance Database'!$M697&amp;" "&amp;'Compliance Database'!$N697&amp;" "&amp;'Compliance Database'!$O697)))),1,0)</f>
        <v>0</v>
      </c>
      <c r="B697" t="str">
        <f>IF($A697=1,SUM($A$2:$A697),"")</f>
        <v/>
      </c>
      <c r="C697">
        <f>IF($A697=1,SUM($A$2:$A697),0)</f>
        <v>0</v>
      </c>
    </row>
    <row r="698" spans="1:3" x14ac:dyDescent="0.3">
      <c r="A698">
        <f>IF(AND(OR('Compliance Database'!$A698='Data Transfer'!$B$4,'Compliance Database'!$A698='Data Transfer'!$B$5),OR('Data Transfer'!$B$6="",ISNUMBER(SEARCH('Data Transfer'!$B$6,'Compliance Database'!$D698&amp;" "&amp;'Compliance Database'!$K698&amp;" "&amp;'Compliance Database'!$L698&amp;" "&amp;'Compliance Database'!$M698&amp;" "&amp;'Compliance Database'!$N698&amp;" "&amp;'Compliance Database'!$O698)))),1,0)</f>
        <v>0</v>
      </c>
      <c r="B698" t="str">
        <f>IF($A698=1,SUM($A$2:$A698),"")</f>
        <v/>
      </c>
      <c r="C698">
        <f>IF($A698=1,SUM($A$2:$A698),0)</f>
        <v>0</v>
      </c>
    </row>
    <row r="699" spans="1:3" x14ac:dyDescent="0.3">
      <c r="A699">
        <f>IF(AND(OR('Compliance Database'!$A699='Data Transfer'!$B$4,'Compliance Database'!$A699='Data Transfer'!$B$5),OR('Data Transfer'!$B$6="",ISNUMBER(SEARCH('Data Transfer'!$B$6,'Compliance Database'!$D699&amp;" "&amp;'Compliance Database'!$K699&amp;" "&amp;'Compliance Database'!$L699&amp;" "&amp;'Compliance Database'!$M699&amp;" "&amp;'Compliance Database'!$N699&amp;" "&amp;'Compliance Database'!$O699)))),1,0)</f>
        <v>0</v>
      </c>
      <c r="B699" t="str">
        <f>IF($A699=1,SUM($A$2:$A699),"")</f>
        <v/>
      </c>
      <c r="C699">
        <f>IF($A699=1,SUM($A$2:$A699),0)</f>
        <v>0</v>
      </c>
    </row>
    <row r="700" spans="1:3" x14ac:dyDescent="0.3">
      <c r="A700">
        <f>IF(AND(OR('Compliance Database'!$A700='Data Transfer'!$B$4,'Compliance Database'!$A700='Data Transfer'!$B$5),OR('Data Transfer'!$B$6="",ISNUMBER(SEARCH('Data Transfer'!$B$6,'Compliance Database'!$D700&amp;" "&amp;'Compliance Database'!$K700&amp;" "&amp;'Compliance Database'!$L700&amp;" "&amp;'Compliance Database'!$M700&amp;" "&amp;'Compliance Database'!$N700&amp;" "&amp;'Compliance Database'!$O700)))),1,0)</f>
        <v>0</v>
      </c>
      <c r="B700" t="str">
        <f>IF($A700=1,SUM($A$2:$A700),"")</f>
        <v/>
      </c>
      <c r="C700">
        <f>IF($A700=1,SUM($A$2:$A700),0)</f>
        <v>0</v>
      </c>
    </row>
    <row r="701" spans="1:3" x14ac:dyDescent="0.3">
      <c r="A701">
        <f>IF(AND(OR('Compliance Database'!$A701='Data Transfer'!$B$4,'Compliance Database'!$A701='Data Transfer'!$B$5),OR('Data Transfer'!$B$6="",ISNUMBER(SEARCH('Data Transfer'!$B$6,'Compliance Database'!$D701&amp;" "&amp;'Compliance Database'!$K701&amp;" "&amp;'Compliance Database'!$L701&amp;" "&amp;'Compliance Database'!$M701&amp;" "&amp;'Compliance Database'!$N701&amp;" "&amp;'Compliance Database'!$O701)))),1,0)</f>
        <v>0</v>
      </c>
      <c r="B701" t="str">
        <f>IF($A701=1,SUM($A$2:$A701),"")</f>
        <v/>
      </c>
      <c r="C701">
        <f>IF($A701=1,SUM($A$2:$A701),0)</f>
        <v>0</v>
      </c>
    </row>
    <row r="702" spans="1:3" x14ac:dyDescent="0.3">
      <c r="A702">
        <f>IF(AND(OR('Compliance Database'!$A702='Data Transfer'!$B$4,'Compliance Database'!$A702='Data Transfer'!$B$5),OR('Data Transfer'!$B$6="",ISNUMBER(SEARCH('Data Transfer'!$B$6,'Compliance Database'!$D702&amp;" "&amp;'Compliance Database'!$K702&amp;" "&amp;'Compliance Database'!$L702&amp;" "&amp;'Compliance Database'!$M702&amp;" "&amp;'Compliance Database'!$N702&amp;" "&amp;'Compliance Database'!$O702)))),1,0)</f>
        <v>0</v>
      </c>
      <c r="B702" t="str">
        <f>IF($A702=1,SUM($A$2:$A702),"")</f>
        <v/>
      </c>
      <c r="C702">
        <f>IF($A702=1,SUM($A$2:$A702),0)</f>
        <v>0</v>
      </c>
    </row>
    <row r="703" spans="1:3" x14ac:dyDescent="0.3">
      <c r="A703">
        <f>IF(AND(OR('Compliance Database'!$A703='Data Transfer'!$B$4,'Compliance Database'!$A703='Data Transfer'!$B$5),OR('Data Transfer'!$B$6="",ISNUMBER(SEARCH('Data Transfer'!$B$6,'Compliance Database'!$D703&amp;" "&amp;'Compliance Database'!$K703&amp;" "&amp;'Compliance Database'!$L703&amp;" "&amp;'Compliance Database'!$M703&amp;" "&amp;'Compliance Database'!$N703&amp;" "&amp;'Compliance Database'!$O703)))),1,0)</f>
        <v>0</v>
      </c>
      <c r="B703" t="str">
        <f>IF($A703=1,SUM($A$2:$A703),"")</f>
        <v/>
      </c>
      <c r="C703">
        <f>IF($A703=1,SUM($A$2:$A703),0)</f>
        <v>0</v>
      </c>
    </row>
    <row r="704" spans="1:3" x14ac:dyDescent="0.3">
      <c r="A704">
        <f>IF(AND(OR('Compliance Database'!$A704='Data Transfer'!$B$4,'Compliance Database'!$A704='Data Transfer'!$B$5),OR('Data Transfer'!$B$6="",ISNUMBER(SEARCH('Data Transfer'!$B$6,'Compliance Database'!$D704&amp;" "&amp;'Compliance Database'!$K704&amp;" "&amp;'Compliance Database'!$L704&amp;" "&amp;'Compliance Database'!$M704&amp;" "&amp;'Compliance Database'!$N704&amp;" "&amp;'Compliance Database'!$O704)))),1,0)</f>
        <v>0</v>
      </c>
      <c r="B704" t="str">
        <f>IF($A704=1,SUM($A$2:$A704),"")</f>
        <v/>
      </c>
      <c r="C704">
        <f>IF($A704=1,SUM($A$2:$A704),0)</f>
        <v>0</v>
      </c>
    </row>
    <row r="705" spans="1:3" x14ac:dyDescent="0.3">
      <c r="A705">
        <f>IF(AND(OR('Compliance Database'!$A705='Data Transfer'!$B$4,'Compliance Database'!$A705='Data Transfer'!$B$5),OR('Data Transfer'!$B$6="",ISNUMBER(SEARCH('Data Transfer'!$B$6,'Compliance Database'!$D705&amp;" "&amp;'Compliance Database'!$K705&amp;" "&amp;'Compliance Database'!$L705&amp;" "&amp;'Compliance Database'!$M705&amp;" "&amp;'Compliance Database'!$N705&amp;" "&amp;'Compliance Database'!$O705)))),1,0)</f>
        <v>0</v>
      </c>
      <c r="B705" t="str">
        <f>IF($A705=1,SUM($A$2:$A705),"")</f>
        <v/>
      </c>
      <c r="C705">
        <f>IF($A705=1,SUM($A$2:$A705),0)</f>
        <v>0</v>
      </c>
    </row>
    <row r="706" spans="1:3" x14ac:dyDescent="0.3">
      <c r="A706">
        <f>IF(AND(OR('Compliance Database'!$A706='Data Transfer'!$B$4,'Compliance Database'!$A706='Data Transfer'!$B$5),OR('Data Transfer'!$B$6="",ISNUMBER(SEARCH('Data Transfer'!$B$6,'Compliance Database'!$D706&amp;" "&amp;'Compliance Database'!$K706&amp;" "&amp;'Compliance Database'!$L706&amp;" "&amp;'Compliance Database'!$M706&amp;" "&amp;'Compliance Database'!$N706&amp;" "&amp;'Compliance Database'!$O706)))),1,0)</f>
        <v>0</v>
      </c>
      <c r="B706" t="str">
        <f>IF($A706=1,SUM($A$2:$A706),"")</f>
        <v/>
      </c>
      <c r="C706">
        <f>IF($A706=1,SUM($A$2:$A706),0)</f>
        <v>0</v>
      </c>
    </row>
    <row r="707" spans="1:3" x14ac:dyDescent="0.3">
      <c r="A707">
        <f>IF(AND(OR('Compliance Database'!$A707='Data Transfer'!$B$4,'Compliance Database'!$A707='Data Transfer'!$B$5),OR('Data Transfer'!$B$6="",ISNUMBER(SEARCH('Data Transfer'!$B$6,'Compliance Database'!$D707&amp;" "&amp;'Compliance Database'!$K707&amp;" "&amp;'Compliance Database'!$L707&amp;" "&amp;'Compliance Database'!$M707&amp;" "&amp;'Compliance Database'!$N707&amp;" "&amp;'Compliance Database'!$O707)))),1,0)</f>
        <v>0</v>
      </c>
      <c r="B707" t="str">
        <f>IF($A707=1,SUM($A$2:$A707),"")</f>
        <v/>
      </c>
      <c r="C707">
        <f>IF($A707=1,SUM($A$2:$A707),0)</f>
        <v>0</v>
      </c>
    </row>
    <row r="708" spans="1:3" x14ac:dyDescent="0.3">
      <c r="A708">
        <f>IF(AND(OR('Compliance Database'!$A708='Data Transfer'!$B$4,'Compliance Database'!$A708='Data Transfer'!$B$5),OR('Data Transfer'!$B$6="",ISNUMBER(SEARCH('Data Transfer'!$B$6,'Compliance Database'!$D708&amp;" "&amp;'Compliance Database'!$K708&amp;" "&amp;'Compliance Database'!$L708&amp;" "&amp;'Compliance Database'!$M708&amp;" "&amp;'Compliance Database'!$N708&amp;" "&amp;'Compliance Database'!$O708)))),1,0)</f>
        <v>0</v>
      </c>
      <c r="B708" t="str">
        <f>IF($A708=1,SUM($A$2:$A708),"")</f>
        <v/>
      </c>
      <c r="C708">
        <f>IF($A708=1,SUM($A$2:$A708),0)</f>
        <v>0</v>
      </c>
    </row>
    <row r="709" spans="1:3" x14ac:dyDescent="0.3">
      <c r="A709">
        <f>IF(AND(OR('Compliance Database'!$A709='Data Transfer'!$B$4,'Compliance Database'!$A709='Data Transfer'!$B$5),OR('Data Transfer'!$B$6="",ISNUMBER(SEARCH('Data Transfer'!$B$6,'Compliance Database'!$D709&amp;" "&amp;'Compliance Database'!$K709&amp;" "&amp;'Compliance Database'!$L709&amp;" "&amp;'Compliance Database'!$M709&amp;" "&amp;'Compliance Database'!$N709&amp;" "&amp;'Compliance Database'!$O709)))),1,0)</f>
        <v>0</v>
      </c>
      <c r="B709" t="str">
        <f>IF($A709=1,SUM($A$2:$A709),"")</f>
        <v/>
      </c>
      <c r="C709">
        <f>IF($A709=1,SUM($A$2:$A709),0)</f>
        <v>0</v>
      </c>
    </row>
    <row r="710" spans="1:3" x14ac:dyDescent="0.3">
      <c r="A710">
        <f>IF(AND(OR('Compliance Database'!$A710='Data Transfer'!$B$4,'Compliance Database'!$A710='Data Transfer'!$B$5),OR('Data Transfer'!$B$6="",ISNUMBER(SEARCH('Data Transfer'!$B$6,'Compliance Database'!$D710&amp;" "&amp;'Compliance Database'!$K710&amp;" "&amp;'Compliance Database'!$L710&amp;" "&amp;'Compliance Database'!$M710&amp;" "&amp;'Compliance Database'!$N710&amp;" "&amp;'Compliance Database'!$O710)))),1,0)</f>
        <v>0</v>
      </c>
      <c r="B710" t="str">
        <f>IF($A710=1,SUM($A$2:$A710),"")</f>
        <v/>
      </c>
      <c r="C710">
        <f>IF($A710=1,SUM($A$2:$A710),0)</f>
        <v>0</v>
      </c>
    </row>
    <row r="711" spans="1:3" x14ac:dyDescent="0.3">
      <c r="A711">
        <f>IF(AND(OR('Compliance Database'!$A711='Data Transfer'!$B$4,'Compliance Database'!$A711='Data Transfer'!$B$5),OR('Data Transfer'!$B$6="",ISNUMBER(SEARCH('Data Transfer'!$B$6,'Compliance Database'!$D711&amp;" "&amp;'Compliance Database'!$K711&amp;" "&amp;'Compliance Database'!$L711&amp;" "&amp;'Compliance Database'!$M711&amp;" "&amp;'Compliance Database'!$N711&amp;" "&amp;'Compliance Database'!$O711)))),1,0)</f>
        <v>0</v>
      </c>
      <c r="B711" t="str">
        <f>IF($A711=1,SUM($A$2:$A711),"")</f>
        <v/>
      </c>
      <c r="C711">
        <f>IF($A711=1,SUM($A$2:$A711),0)</f>
        <v>0</v>
      </c>
    </row>
    <row r="712" spans="1:3" x14ac:dyDescent="0.3">
      <c r="A712">
        <f>IF(AND(OR('Compliance Database'!$A712='Data Transfer'!$B$4,'Compliance Database'!$A712='Data Transfer'!$B$5),OR('Data Transfer'!$B$6="",ISNUMBER(SEARCH('Data Transfer'!$B$6,'Compliance Database'!$D712&amp;" "&amp;'Compliance Database'!$K712&amp;" "&amp;'Compliance Database'!$L712&amp;" "&amp;'Compliance Database'!$M712&amp;" "&amp;'Compliance Database'!$N712&amp;" "&amp;'Compliance Database'!$O712)))),1,0)</f>
        <v>0</v>
      </c>
      <c r="B712" t="str">
        <f>IF($A712=1,SUM($A$2:$A712),"")</f>
        <v/>
      </c>
      <c r="C712">
        <f>IF($A712=1,SUM($A$2:$A712),0)</f>
        <v>0</v>
      </c>
    </row>
    <row r="713" spans="1:3" x14ac:dyDescent="0.3">
      <c r="A713">
        <f>IF(AND(OR('Compliance Database'!$A713='Data Transfer'!$B$4,'Compliance Database'!$A713='Data Transfer'!$B$5),OR('Data Transfer'!$B$6="",ISNUMBER(SEARCH('Data Transfer'!$B$6,'Compliance Database'!$D713&amp;" "&amp;'Compliance Database'!$K713&amp;" "&amp;'Compliance Database'!$L713&amp;" "&amp;'Compliance Database'!$M713&amp;" "&amp;'Compliance Database'!$N713&amp;" "&amp;'Compliance Database'!$O713)))),1,0)</f>
        <v>0</v>
      </c>
      <c r="B713" t="str">
        <f>IF($A713=1,SUM($A$2:$A713),"")</f>
        <v/>
      </c>
      <c r="C713">
        <f>IF($A713=1,SUM($A$2:$A713),0)</f>
        <v>0</v>
      </c>
    </row>
    <row r="714" spans="1:3" x14ac:dyDescent="0.3">
      <c r="A714">
        <f>IF(AND(OR('Compliance Database'!$A714='Data Transfer'!$B$4,'Compliance Database'!$A714='Data Transfer'!$B$5),OR('Data Transfer'!$B$6="",ISNUMBER(SEARCH('Data Transfer'!$B$6,'Compliance Database'!$D714&amp;" "&amp;'Compliance Database'!$K714&amp;" "&amp;'Compliance Database'!$L714&amp;" "&amp;'Compliance Database'!$M714&amp;" "&amp;'Compliance Database'!$N714&amp;" "&amp;'Compliance Database'!$O714)))),1,0)</f>
        <v>0</v>
      </c>
      <c r="B714" t="str">
        <f>IF($A714=1,SUM($A$2:$A714),"")</f>
        <v/>
      </c>
      <c r="C714">
        <f>IF($A714=1,SUM($A$2:$A714),0)</f>
        <v>0</v>
      </c>
    </row>
    <row r="715" spans="1:3" x14ac:dyDescent="0.3">
      <c r="A715">
        <f>IF(AND(OR('Compliance Database'!$A715='Data Transfer'!$B$4,'Compliance Database'!$A715='Data Transfer'!$B$5),OR('Data Transfer'!$B$6="",ISNUMBER(SEARCH('Data Transfer'!$B$6,'Compliance Database'!$D715&amp;" "&amp;'Compliance Database'!$K715&amp;" "&amp;'Compliance Database'!$L715&amp;" "&amp;'Compliance Database'!$M715&amp;" "&amp;'Compliance Database'!$N715&amp;" "&amp;'Compliance Database'!$O715)))),1,0)</f>
        <v>0</v>
      </c>
      <c r="B715" t="str">
        <f>IF($A715=1,SUM($A$2:$A715),"")</f>
        <v/>
      </c>
      <c r="C715">
        <f>IF($A715=1,SUM($A$2:$A715),0)</f>
        <v>0</v>
      </c>
    </row>
    <row r="716" spans="1:3" x14ac:dyDescent="0.3">
      <c r="A716">
        <f>IF(AND(OR('Compliance Database'!$A716='Data Transfer'!$B$4,'Compliance Database'!$A716='Data Transfer'!$B$5),OR('Data Transfer'!$B$6="",ISNUMBER(SEARCH('Data Transfer'!$B$6,'Compliance Database'!$D716&amp;" "&amp;'Compliance Database'!$K716&amp;" "&amp;'Compliance Database'!$L716&amp;" "&amp;'Compliance Database'!$M716&amp;" "&amp;'Compliance Database'!$N716&amp;" "&amp;'Compliance Database'!$O716)))),1,0)</f>
        <v>0</v>
      </c>
      <c r="B716" t="str">
        <f>IF($A716=1,SUM($A$2:$A716),"")</f>
        <v/>
      </c>
      <c r="C716">
        <f>IF($A716=1,SUM($A$2:$A716),0)</f>
        <v>0</v>
      </c>
    </row>
    <row r="717" spans="1:3" x14ac:dyDescent="0.3">
      <c r="A717">
        <f>IF(AND(OR('Compliance Database'!$A717='Data Transfer'!$B$4,'Compliance Database'!$A717='Data Transfer'!$B$5),OR('Data Transfer'!$B$6="",ISNUMBER(SEARCH('Data Transfer'!$B$6,'Compliance Database'!$D717&amp;" "&amp;'Compliance Database'!$K717&amp;" "&amp;'Compliance Database'!$L717&amp;" "&amp;'Compliance Database'!$M717&amp;" "&amp;'Compliance Database'!$N717&amp;" "&amp;'Compliance Database'!$O717)))),1,0)</f>
        <v>0</v>
      </c>
      <c r="B717" t="str">
        <f>IF($A717=1,SUM($A$2:$A717),"")</f>
        <v/>
      </c>
      <c r="C717">
        <f>IF($A717=1,SUM($A$2:$A717),0)</f>
        <v>0</v>
      </c>
    </row>
    <row r="718" spans="1:3" x14ac:dyDescent="0.3">
      <c r="A718">
        <f>IF(AND(OR('Compliance Database'!$A718='Data Transfer'!$B$4,'Compliance Database'!$A718='Data Transfer'!$B$5),OR('Data Transfer'!$B$6="",ISNUMBER(SEARCH('Data Transfer'!$B$6,'Compliance Database'!$D718&amp;" "&amp;'Compliance Database'!$K718&amp;" "&amp;'Compliance Database'!$L718&amp;" "&amp;'Compliance Database'!$M718&amp;" "&amp;'Compliance Database'!$N718&amp;" "&amp;'Compliance Database'!$O718)))),1,0)</f>
        <v>0</v>
      </c>
      <c r="B718" t="str">
        <f>IF($A718=1,SUM($A$2:$A718),"")</f>
        <v/>
      </c>
      <c r="C718">
        <f>IF($A718=1,SUM($A$2:$A718),0)</f>
        <v>0</v>
      </c>
    </row>
    <row r="719" spans="1:3" x14ac:dyDescent="0.3">
      <c r="A719">
        <f>IF(AND(OR('Compliance Database'!$A719='Data Transfer'!$B$4,'Compliance Database'!$A719='Data Transfer'!$B$5),OR('Data Transfer'!$B$6="",ISNUMBER(SEARCH('Data Transfer'!$B$6,'Compliance Database'!$D719&amp;" "&amp;'Compliance Database'!$K719&amp;" "&amp;'Compliance Database'!$L719&amp;" "&amp;'Compliance Database'!$M719&amp;" "&amp;'Compliance Database'!$N719&amp;" "&amp;'Compliance Database'!$O719)))),1,0)</f>
        <v>0</v>
      </c>
      <c r="B719" t="str">
        <f>IF($A719=1,SUM($A$2:$A719),"")</f>
        <v/>
      </c>
      <c r="C719">
        <f>IF($A719=1,SUM($A$2:$A719),0)</f>
        <v>0</v>
      </c>
    </row>
    <row r="720" spans="1:3" x14ac:dyDescent="0.3">
      <c r="A720">
        <f>IF(AND(OR('Compliance Database'!$A720='Data Transfer'!$B$4,'Compliance Database'!$A720='Data Transfer'!$B$5),OR('Data Transfer'!$B$6="",ISNUMBER(SEARCH('Data Transfer'!$B$6,'Compliance Database'!$D720&amp;" "&amp;'Compliance Database'!$K720&amp;" "&amp;'Compliance Database'!$L720&amp;" "&amp;'Compliance Database'!$M720&amp;" "&amp;'Compliance Database'!$N720&amp;" "&amp;'Compliance Database'!$O720)))),1,0)</f>
        <v>0</v>
      </c>
      <c r="B720" t="str">
        <f>IF($A720=1,SUM($A$2:$A720),"")</f>
        <v/>
      </c>
      <c r="C720">
        <f>IF($A720=1,SUM($A$2:$A720),0)</f>
        <v>0</v>
      </c>
    </row>
    <row r="721" spans="1:3" x14ac:dyDescent="0.3">
      <c r="A721">
        <f>IF(AND(OR('Compliance Database'!$A721='Data Transfer'!$B$4,'Compliance Database'!$A721='Data Transfer'!$B$5),OR('Data Transfer'!$B$6="",ISNUMBER(SEARCH('Data Transfer'!$B$6,'Compliance Database'!$D721&amp;" "&amp;'Compliance Database'!$K721&amp;" "&amp;'Compliance Database'!$L721&amp;" "&amp;'Compliance Database'!$M721&amp;" "&amp;'Compliance Database'!$N721&amp;" "&amp;'Compliance Database'!$O721)))),1,0)</f>
        <v>0</v>
      </c>
      <c r="B721" t="str">
        <f>IF($A721=1,SUM($A$2:$A721),"")</f>
        <v/>
      </c>
      <c r="C721">
        <f>IF($A721=1,SUM($A$2:$A721),0)</f>
        <v>0</v>
      </c>
    </row>
    <row r="722" spans="1:3" x14ac:dyDescent="0.3">
      <c r="A722">
        <f>IF(AND(OR('Compliance Database'!$A722='Data Transfer'!$B$4,'Compliance Database'!$A722='Data Transfer'!$B$5),OR('Data Transfer'!$B$6="",ISNUMBER(SEARCH('Data Transfer'!$B$6,'Compliance Database'!$D722&amp;" "&amp;'Compliance Database'!$K722&amp;" "&amp;'Compliance Database'!$L722&amp;" "&amp;'Compliance Database'!$M722&amp;" "&amp;'Compliance Database'!$N722&amp;" "&amp;'Compliance Database'!$O722)))),1,0)</f>
        <v>0</v>
      </c>
      <c r="B722" t="str">
        <f>IF($A722=1,SUM($A$2:$A722),"")</f>
        <v/>
      </c>
      <c r="C722">
        <f>IF($A722=1,SUM($A$2:$A722),0)</f>
        <v>0</v>
      </c>
    </row>
    <row r="723" spans="1:3" x14ac:dyDescent="0.3">
      <c r="A723">
        <f>IF(AND(OR('Compliance Database'!$A723='Data Transfer'!$B$4,'Compliance Database'!$A723='Data Transfer'!$B$5),OR('Data Transfer'!$B$6="",ISNUMBER(SEARCH('Data Transfer'!$B$6,'Compliance Database'!$D723&amp;" "&amp;'Compliance Database'!$K723&amp;" "&amp;'Compliance Database'!$L723&amp;" "&amp;'Compliance Database'!$M723&amp;" "&amp;'Compliance Database'!$N723&amp;" "&amp;'Compliance Database'!$O723)))),1,0)</f>
        <v>0</v>
      </c>
      <c r="B723" t="str">
        <f>IF($A723=1,SUM($A$2:$A723),"")</f>
        <v/>
      </c>
      <c r="C723">
        <f>IF($A723=1,SUM($A$2:$A723),0)</f>
        <v>0</v>
      </c>
    </row>
    <row r="724" spans="1:3" x14ac:dyDescent="0.3">
      <c r="A724">
        <f>IF(AND(OR('Compliance Database'!$A724='Data Transfer'!$B$4,'Compliance Database'!$A724='Data Transfer'!$B$5),OR('Data Transfer'!$B$6="",ISNUMBER(SEARCH('Data Transfer'!$B$6,'Compliance Database'!$D724&amp;" "&amp;'Compliance Database'!$K724&amp;" "&amp;'Compliance Database'!$L724&amp;" "&amp;'Compliance Database'!$M724&amp;" "&amp;'Compliance Database'!$N724&amp;" "&amp;'Compliance Database'!$O724)))),1,0)</f>
        <v>0</v>
      </c>
      <c r="B724" t="str">
        <f>IF($A724=1,SUM($A$2:$A724),"")</f>
        <v/>
      </c>
      <c r="C724">
        <f>IF($A724=1,SUM($A$2:$A724),0)</f>
        <v>0</v>
      </c>
    </row>
    <row r="725" spans="1:3" x14ac:dyDescent="0.3">
      <c r="A725">
        <f>IF(AND(OR('Compliance Database'!$A725='Data Transfer'!$B$4,'Compliance Database'!$A725='Data Transfer'!$B$5),OR('Data Transfer'!$B$6="",ISNUMBER(SEARCH('Data Transfer'!$B$6,'Compliance Database'!$D725&amp;" "&amp;'Compliance Database'!$K725&amp;" "&amp;'Compliance Database'!$L725&amp;" "&amp;'Compliance Database'!$M725&amp;" "&amp;'Compliance Database'!$N725&amp;" "&amp;'Compliance Database'!$O725)))),1,0)</f>
        <v>0</v>
      </c>
      <c r="B725" t="str">
        <f>IF($A725=1,SUM($A$2:$A725),"")</f>
        <v/>
      </c>
      <c r="C725">
        <f>IF($A725=1,SUM($A$2:$A725),0)</f>
        <v>0</v>
      </c>
    </row>
    <row r="726" spans="1:3" x14ac:dyDescent="0.3">
      <c r="A726">
        <f>IF(AND(OR('Compliance Database'!$A726='Data Transfer'!$B$4,'Compliance Database'!$A726='Data Transfer'!$B$5),OR('Data Transfer'!$B$6="",ISNUMBER(SEARCH('Data Transfer'!$B$6,'Compliance Database'!$D726&amp;" "&amp;'Compliance Database'!$K726&amp;" "&amp;'Compliance Database'!$L726&amp;" "&amp;'Compliance Database'!$M726&amp;" "&amp;'Compliance Database'!$N726&amp;" "&amp;'Compliance Database'!$O726)))),1,0)</f>
        <v>0</v>
      </c>
      <c r="B726" t="str">
        <f>IF($A726=1,SUM($A$2:$A726),"")</f>
        <v/>
      </c>
      <c r="C726">
        <f>IF($A726=1,SUM($A$2:$A726),0)</f>
        <v>0</v>
      </c>
    </row>
    <row r="727" spans="1:3" x14ac:dyDescent="0.3">
      <c r="A727">
        <f>IF(AND(OR('Compliance Database'!$A727='Data Transfer'!$B$4,'Compliance Database'!$A727='Data Transfer'!$B$5),OR('Data Transfer'!$B$6="",ISNUMBER(SEARCH('Data Transfer'!$B$6,'Compliance Database'!$D727&amp;" "&amp;'Compliance Database'!$K727&amp;" "&amp;'Compliance Database'!$L727&amp;" "&amp;'Compliance Database'!$M727&amp;" "&amp;'Compliance Database'!$N727&amp;" "&amp;'Compliance Database'!$O727)))),1,0)</f>
        <v>0</v>
      </c>
      <c r="B727" t="str">
        <f>IF($A727=1,SUM($A$2:$A727),"")</f>
        <v/>
      </c>
      <c r="C727">
        <f>IF($A727=1,SUM($A$2:$A727),0)</f>
        <v>0</v>
      </c>
    </row>
    <row r="728" spans="1:3" x14ac:dyDescent="0.3">
      <c r="A728">
        <f>IF(AND(OR('Compliance Database'!$A728='Data Transfer'!$B$4,'Compliance Database'!$A728='Data Transfer'!$B$5),OR('Data Transfer'!$B$6="",ISNUMBER(SEARCH('Data Transfer'!$B$6,'Compliance Database'!$D728&amp;" "&amp;'Compliance Database'!$K728&amp;" "&amp;'Compliance Database'!$L728&amp;" "&amp;'Compliance Database'!$M728&amp;" "&amp;'Compliance Database'!$N728&amp;" "&amp;'Compliance Database'!$O728)))),1,0)</f>
        <v>0</v>
      </c>
      <c r="B728" t="str">
        <f>IF($A728=1,SUM($A$2:$A728),"")</f>
        <v/>
      </c>
      <c r="C728">
        <f>IF($A728=1,SUM($A$2:$A728),0)</f>
        <v>0</v>
      </c>
    </row>
    <row r="729" spans="1:3" x14ac:dyDescent="0.3">
      <c r="A729">
        <f>IF(AND(OR('Compliance Database'!$A729='Data Transfer'!$B$4,'Compliance Database'!$A729='Data Transfer'!$B$5),OR('Data Transfer'!$B$6="",ISNUMBER(SEARCH('Data Transfer'!$B$6,'Compliance Database'!$D729&amp;" "&amp;'Compliance Database'!$K729&amp;" "&amp;'Compliance Database'!$L729&amp;" "&amp;'Compliance Database'!$M729&amp;" "&amp;'Compliance Database'!$N729&amp;" "&amp;'Compliance Database'!$O729)))),1,0)</f>
        <v>0</v>
      </c>
      <c r="B729" t="str">
        <f>IF($A729=1,SUM($A$2:$A729),"")</f>
        <v/>
      </c>
      <c r="C729">
        <f>IF($A729=1,SUM($A$2:$A729),0)</f>
        <v>0</v>
      </c>
    </row>
    <row r="730" spans="1:3" x14ac:dyDescent="0.3">
      <c r="A730">
        <f>IF(AND(OR('Compliance Database'!$A730='Data Transfer'!$B$4,'Compliance Database'!$A730='Data Transfer'!$B$5),OR('Data Transfer'!$B$6="",ISNUMBER(SEARCH('Data Transfer'!$B$6,'Compliance Database'!$D730&amp;" "&amp;'Compliance Database'!$K730&amp;" "&amp;'Compliance Database'!$L730&amp;" "&amp;'Compliance Database'!$M730&amp;" "&amp;'Compliance Database'!$N730&amp;" "&amp;'Compliance Database'!$O730)))),1,0)</f>
        <v>0</v>
      </c>
      <c r="B730" t="str">
        <f>IF($A730=1,SUM($A$2:$A730),"")</f>
        <v/>
      </c>
      <c r="C730">
        <f>IF($A730=1,SUM($A$2:$A730),0)</f>
        <v>0</v>
      </c>
    </row>
    <row r="731" spans="1:3" x14ac:dyDescent="0.3">
      <c r="A731">
        <f>IF(AND(OR('Compliance Database'!$A731='Data Transfer'!$B$4,'Compliance Database'!$A731='Data Transfer'!$B$5),OR('Data Transfer'!$B$6="",ISNUMBER(SEARCH('Data Transfer'!$B$6,'Compliance Database'!$D731&amp;" "&amp;'Compliance Database'!$K731&amp;" "&amp;'Compliance Database'!$L731&amp;" "&amp;'Compliance Database'!$M731&amp;" "&amp;'Compliance Database'!$N731&amp;" "&amp;'Compliance Database'!$O731)))),1,0)</f>
        <v>0</v>
      </c>
      <c r="B731" t="str">
        <f>IF($A731=1,SUM($A$2:$A731),"")</f>
        <v/>
      </c>
      <c r="C731">
        <f>IF($A731=1,SUM($A$2:$A731),0)</f>
        <v>0</v>
      </c>
    </row>
    <row r="732" spans="1:3" x14ac:dyDescent="0.3">
      <c r="A732">
        <f>IF(AND(OR('Compliance Database'!$A732='Data Transfer'!$B$4,'Compliance Database'!$A732='Data Transfer'!$B$5),OR('Data Transfer'!$B$6="",ISNUMBER(SEARCH('Data Transfer'!$B$6,'Compliance Database'!$D732&amp;" "&amp;'Compliance Database'!$K732&amp;" "&amp;'Compliance Database'!$L732&amp;" "&amp;'Compliance Database'!$M732&amp;" "&amp;'Compliance Database'!$N732&amp;" "&amp;'Compliance Database'!$O732)))),1,0)</f>
        <v>0</v>
      </c>
      <c r="B732" t="str">
        <f>IF($A732=1,SUM($A$2:$A732),"")</f>
        <v/>
      </c>
      <c r="C732">
        <f>IF($A732=1,SUM($A$2:$A732),0)</f>
        <v>0</v>
      </c>
    </row>
    <row r="733" spans="1:3" x14ac:dyDescent="0.3">
      <c r="A733">
        <f>IF(AND(OR('Compliance Database'!$A733='Data Transfer'!$B$4,'Compliance Database'!$A733='Data Transfer'!$B$5),OR('Data Transfer'!$B$6="",ISNUMBER(SEARCH('Data Transfer'!$B$6,'Compliance Database'!$D733&amp;" "&amp;'Compliance Database'!$K733&amp;" "&amp;'Compliance Database'!$L733&amp;" "&amp;'Compliance Database'!$M733&amp;" "&amp;'Compliance Database'!$N733&amp;" "&amp;'Compliance Database'!$O733)))),1,0)</f>
        <v>0</v>
      </c>
      <c r="B733" t="str">
        <f>IF($A733=1,SUM($A$2:$A733),"")</f>
        <v/>
      </c>
      <c r="C733">
        <f>IF($A733=1,SUM($A$2:$A733),0)</f>
        <v>0</v>
      </c>
    </row>
    <row r="734" spans="1:3" x14ac:dyDescent="0.3">
      <c r="A734">
        <f>IF(AND(OR('Compliance Database'!$A734='Data Transfer'!$B$4,'Compliance Database'!$A734='Data Transfer'!$B$5),OR('Data Transfer'!$B$6="",ISNUMBER(SEARCH('Data Transfer'!$B$6,'Compliance Database'!$D734&amp;" "&amp;'Compliance Database'!$K734&amp;" "&amp;'Compliance Database'!$L734&amp;" "&amp;'Compliance Database'!$M734&amp;" "&amp;'Compliance Database'!$N734&amp;" "&amp;'Compliance Database'!$O734)))),1,0)</f>
        <v>0</v>
      </c>
      <c r="B734" t="str">
        <f>IF($A734=1,SUM($A$2:$A734),"")</f>
        <v/>
      </c>
      <c r="C734">
        <f>IF($A734=1,SUM($A$2:$A734),0)</f>
        <v>0</v>
      </c>
    </row>
    <row r="735" spans="1:3" x14ac:dyDescent="0.3">
      <c r="A735">
        <f>IF(AND(OR('Compliance Database'!$A735='Data Transfer'!$B$4,'Compliance Database'!$A735='Data Transfer'!$B$5),OR('Data Transfer'!$B$6="",ISNUMBER(SEARCH('Data Transfer'!$B$6,'Compliance Database'!$D735&amp;" "&amp;'Compliance Database'!$K735&amp;" "&amp;'Compliance Database'!$L735&amp;" "&amp;'Compliance Database'!$M735&amp;" "&amp;'Compliance Database'!$N735&amp;" "&amp;'Compliance Database'!$O735)))),1,0)</f>
        <v>0</v>
      </c>
      <c r="B735" t="str">
        <f>IF($A735=1,SUM($A$2:$A735),"")</f>
        <v/>
      </c>
      <c r="C735">
        <f>IF($A735=1,SUM($A$2:$A735),0)</f>
        <v>0</v>
      </c>
    </row>
    <row r="736" spans="1:3" x14ac:dyDescent="0.3">
      <c r="A736">
        <f>IF(AND(OR('Compliance Database'!$A736='Data Transfer'!$B$4,'Compliance Database'!$A736='Data Transfer'!$B$5),OR('Data Transfer'!$B$6="",ISNUMBER(SEARCH('Data Transfer'!$B$6,'Compliance Database'!$D736&amp;" "&amp;'Compliance Database'!$K736&amp;" "&amp;'Compliance Database'!$L736&amp;" "&amp;'Compliance Database'!$M736&amp;" "&amp;'Compliance Database'!$N736&amp;" "&amp;'Compliance Database'!$O736)))),1,0)</f>
        <v>0</v>
      </c>
      <c r="B736" t="str">
        <f>IF($A736=1,SUM($A$2:$A736),"")</f>
        <v/>
      </c>
      <c r="C736">
        <f>IF($A736=1,SUM($A$2:$A736),0)</f>
        <v>0</v>
      </c>
    </row>
    <row r="737" spans="1:3" x14ac:dyDescent="0.3">
      <c r="A737">
        <f>IF(AND(OR('Compliance Database'!$A737='Data Transfer'!$B$4,'Compliance Database'!$A737='Data Transfer'!$B$5),OR('Data Transfer'!$B$6="",ISNUMBER(SEARCH('Data Transfer'!$B$6,'Compliance Database'!$D737&amp;" "&amp;'Compliance Database'!$K737&amp;" "&amp;'Compliance Database'!$L737&amp;" "&amp;'Compliance Database'!$M737&amp;" "&amp;'Compliance Database'!$N737&amp;" "&amp;'Compliance Database'!$O737)))),1,0)</f>
        <v>0</v>
      </c>
      <c r="B737" t="str">
        <f>IF($A737=1,SUM($A$2:$A737),"")</f>
        <v/>
      </c>
      <c r="C737">
        <f>IF($A737=1,SUM($A$2:$A737),0)</f>
        <v>0</v>
      </c>
    </row>
    <row r="738" spans="1:3" x14ac:dyDescent="0.3">
      <c r="A738">
        <f>IF(AND(OR('Compliance Database'!$A738='Data Transfer'!$B$4,'Compliance Database'!$A738='Data Transfer'!$B$5),OR('Data Transfer'!$B$6="",ISNUMBER(SEARCH('Data Transfer'!$B$6,'Compliance Database'!$D738&amp;" "&amp;'Compliance Database'!$K738&amp;" "&amp;'Compliance Database'!$L738&amp;" "&amp;'Compliance Database'!$M738&amp;" "&amp;'Compliance Database'!$N738&amp;" "&amp;'Compliance Database'!$O738)))),1,0)</f>
        <v>0</v>
      </c>
      <c r="B738" t="str">
        <f>IF($A738=1,SUM($A$2:$A738),"")</f>
        <v/>
      </c>
      <c r="C738">
        <f>IF($A738=1,SUM($A$2:$A738),0)</f>
        <v>0</v>
      </c>
    </row>
    <row r="739" spans="1:3" x14ac:dyDescent="0.3">
      <c r="A739">
        <f>IF(AND(OR('Compliance Database'!$A739='Data Transfer'!$B$4,'Compliance Database'!$A739='Data Transfer'!$B$5),OR('Data Transfer'!$B$6="",ISNUMBER(SEARCH('Data Transfer'!$B$6,'Compliance Database'!$D739&amp;" "&amp;'Compliance Database'!$K739&amp;" "&amp;'Compliance Database'!$L739&amp;" "&amp;'Compliance Database'!$M739&amp;" "&amp;'Compliance Database'!$N739&amp;" "&amp;'Compliance Database'!$O739)))),1,0)</f>
        <v>0</v>
      </c>
      <c r="B739" t="str">
        <f>IF($A739=1,SUM($A$2:$A739),"")</f>
        <v/>
      </c>
      <c r="C739">
        <f>IF($A739=1,SUM($A$2:$A739),0)</f>
        <v>0</v>
      </c>
    </row>
    <row r="740" spans="1:3" x14ac:dyDescent="0.3">
      <c r="A740">
        <f>IF(AND(OR('Compliance Database'!$A740='Data Transfer'!$B$4,'Compliance Database'!$A740='Data Transfer'!$B$5),OR('Data Transfer'!$B$6="",ISNUMBER(SEARCH('Data Transfer'!$B$6,'Compliance Database'!$D740&amp;" "&amp;'Compliance Database'!$K740&amp;" "&amp;'Compliance Database'!$L740&amp;" "&amp;'Compliance Database'!$M740&amp;" "&amp;'Compliance Database'!$N740&amp;" "&amp;'Compliance Database'!$O740)))),1,0)</f>
        <v>0</v>
      </c>
      <c r="B740" t="str">
        <f>IF($A740=1,SUM($A$2:$A740),"")</f>
        <v/>
      </c>
      <c r="C740">
        <f>IF($A740=1,SUM($A$2:$A740),0)</f>
        <v>0</v>
      </c>
    </row>
    <row r="741" spans="1:3" x14ac:dyDescent="0.3">
      <c r="A741">
        <f>IF(AND(OR('Compliance Database'!$A741='Data Transfer'!$B$4,'Compliance Database'!$A741='Data Transfer'!$B$5),OR('Data Transfer'!$B$6="",ISNUMBER(SEARCH('Data Transfer'!$B$6,'Compliance Database'!$D741&amp;" "&amp;'Compliance Database'!$K741&amp;" "&amp;'Compliance Database'!$L741&amp;" "&amp;'Compliance Database'!$M741&amp;" "&amp;'Compliance Database'!$N741&amp;" "&amp;'Compliance Database'!$O741)))),1,0)</f>
        <v>0</v>
      </c>
      <c r="B741" t="str">
        <f>IF($A741=1,SUM($A$2:$A741),"")</f>
        <v/>
      </c>
      <c r="C741">
        <f>IF($A741=1,SUM($A$2:$A741),0)</f>
        <v>0</v>
      </c>
    </row>
    <row r="742" spans="1:3" x14ac:dyDescent="0.3">
      <c r="A742">
        <f>IF(AND(OR('Compliance Database'!$A742='Data Transfer'!$B$4,'Compliance Database'!$A742='Data Transfer'!$B$5),OR('Data Transfer'!$B$6="",ISNUMBER(SEARCH('Data Transfer'!$B$6,'Compliance Database'!$D742&amp;" "&amp;'Compliance Database'!$K742&amp;" "&amp;'Compliance Database'!$L742&amp;" "&amp;'Compliance Database'!$M742&amp;" "&amp;'Compliance Database'!$N742&amp;" "&amp;'Compliance Database'!$O742)))),1,0)</f>
        <v>0</v>
      </c>
      <c r="B742" t="str">
        <f>IF($A742=1,SUM($A$2:$A742),"")</f>
        <v/>
      </c>
      <c r="C742">
        <f>IF($A742=1,SUM($A$2:$A742),0)</f>
        <v>0</v>
      </c>
    </row>
    <row r="743" spans="1:3" x14ac:dyDescent="0.3">
      <c r="A743">
        <f>IF(AND(OR('Compliance Database'!$A743='Data Transfer'!$B$4,'Compliance Database'!$A743='Data Transfer'!$B$5),OR('Data Transfer'!$B$6="",ISNUMBER(SEARCH('Data Transfer'!$B$6,'Compliance Database'!$D743&amp;" "&amp;'Compliance Database'!$K743&amp;" "&amp;'Compliance Database'!$L743&amp;" "&amp;'Compliance Database'!$M743&amp;" "&amp;'Compliance Database'!$N743&amp;" "&amp;'Compliance Database'!$O743)))),1,0)</f>
        <v>0</v>
      </c>
      <c r="B743" t="str">
        <f>IF($A743=1,SUM($A$2:$A743),"")</f>
        <v/>
      </c>
      <c r="C743">
        <f>IF($A743=1,SUM($A$2:$A743),0)</f>
        <v>0</v>
      </c>
    </row>
    <row r="744" spans="1:3" x14ac:dyDescent="0.3">
      <c r="A744">
        <f>IF(AND(OR('Compliance Database'!$A744='Data Transfer'!$B$4,'Compliance Database'!$A744='Data Transfer'!$B$5),OR('Data Transfer'!$B$6="",ISNUMBER(SEARCH('Data Transfer'!$B$6,'Compliance Database'!$D744&amp;" "&amp;'Compliance Database'!$K744&amp;" "&amp;'Compliance Database'!$L744&amp;" "&amp;'Compliance Database'!$M744&amp;" "&amp;'Compliance Database'!$N744&amp;" "&amp;'Compliance Database'!$O744)))),1,0)</f>
        <v>0</v>
      </c>
      <c r="B744" t="str">
        <f>IF($A744=1,SUM($A$2:$A744),"")</f>
        <v/>
      </c>
      <c r="C744">
        <f>IF($A744=1,SUM($A$2:$A744),0)</f>
        <v>0</v>
      </c>
    </row>
    <row r="745" spans="1:3" x14ac:dyDescent="0.3">
      <c r="A745">
        <f>IF(AND(OR('Compliance Database'!$A745='Data Transfer'!$B$4,'Compliance Database'!$A745='Data Transfer'!$B$5),OR('Data Transfer'!$B$6="",ISNUMBER(SEARCH('Data Transfer'!$B$6,'Compliance Database'!$D745&amp;" "&amp;'Compliance Database'!$K745&amp;" "&amp;'Compliance Database'!$L745&amp;" "&amp;'Compliance Database'!$M745&amp;" "&amp;'Compliance Database'!$N745&amp;" "&amp;'Compliance Database'!$O745)))),1,0)</f>
        <v>0</v>
      </c>
      <c r="B745" t="str">
        <f>IF($A745=1,SUM($A$2:$A745),"")</f>
        <v/>
      </c>
      <c r="C745">
        <f>IF($A745=1,SUM($A$2:$A745),0)</f>
        <v>0</v>
      </c>
    </row>
    <row r="746" spans="1:3" x14ac:dyDescent="0.3">
      <c r="A746">
        <f>IF(AND(OR('Compliance Database'!$A746='Data Transfer'!$B$4,'Compliance Database'!$A746='Data Transfer'!$B$5),OR('Data Transfer'!$B$6="",ISNUMBER(SEARCH('Data Transfer'!$B$6,'Compliance Database'!$D746&amp;" "&amp;'Compliance Database'!$K746&amp;" "&amp;'Compliance Database'!$L746&amp;" "&amp;'Compliance Database'!$M746&amp;" "&amp;'Compliance Database'!$N746&amp;" "&amp;'Compliance Database'!$O746)))),1,0)</f>
        <v>0</v>
      </c>
      <c r="B746" t="str">
        <f>IF($A746=1,SUM($A$2:$A746),"")</f>
        <v/>
      </c>
      <c r="C746">
        <f>IF($A746=1,SUM($A$2:$A746),0)</f>
        <v>0</v>
      </c>
    </row>
    <row r="747" spans="1:3" x14ac:dyDescent="0.3">
      <c r="A747">
        <f>IF(AND(OR('Compliance Database'!$A747='Data Transfer'!$B$4,'Compliance Database'!$A747='Data Transfer'!$B$5),OR('Data Transfer'!$B$6="",ISNUMBER(SEARCH('Data Transfer'!$B$6,'Compliance Database'!$D747&amp;" "&amp;'Compliance Database'!$K747&amp;" "&amp;'Compliance Database'!$L747&amp;" "&amp;'Compliance Database'!$M747&amp;" "&amp;'Compliance Database'!$N747&amp;" "&amp;'Compliance Database'!$O747)))),1,0)</f>
        <v>0</v>
      </c>
      <c r="B747" t="str">
        <f>IF($A747=1,SUM($A$2:$A747),"")</f>
        <v/>
      </c>
      <c r="C747">
        <f>IF($A747=1,SUM($A$2:$A747),0)</f>
        <v>0</v>
      </c>
    </row>
    <row r="748" spans="1:3" x14ac:dyDescent="0.3">
      <c r="A748">
        <f>IF(AND(OR('Compliance Database'!$A748='Data Transfer'!$B$4,'Compliance Database'!$A748='Data Transfer'!$B$5),OR('Data Transfer'!$B$6="",ISNUMBER(SEARCH('Data Transfer'!$B$6,'Compliance Database'!$D748&amp;" "&amp;'Compliance Database'!$K748&amp;" "&amp;'Compliance Database'!$L748&amp;" "&amp;'Compliance Database'!$M748&amp;" "&amp;'Compliance Database'!$N748&amp;" "&amp;'Compliance Database'!$O748)))),1,0)</f>
        <v>0</v>
      </c>
      <c r="B748" t="str">
        <f>IF($A748=1,SUM($A$2:$A748),"")</f>
        <v/>
      </c>
      <c r="C748">
        <f>IF($A748=1,SUM($A$2:$A748),0)</f>
        <v>0</v>
      </c>
    </row>
    <row r="749" spans="1:3" x14ac:dyDescent="0.3">
      <c r="A749">
        <f>IF(AND(OR('Compliance Database'!$A749='Data Transfer'!$B$4,'Compliance Database'!$A749='Data Transfer'!$B$5),OR('Data Transfer'!$B$6="",ISNUMBER(SEARCH('Data Transfer'!$B$6,'Compliance Database'!$D749&amp;" "&amp;'Compliance Database'!$K749&amp;" "&amp;'Compliance Database'!$L749&amp;" "&amp;'Compliance Database'!$M749&amp;" "&amp;'Compliance Database'!$N749&amp;" "&amp;'Compliance Database'!$O749)))),1,0)</f>
        <v>0</v>
      </c>
      <c r="B749" t="str">
        <f>IF($A749=1,SUM($A$2:$A749),"")</f>
        <v/>
      </c>
      <c r="C749">
        <f>IF($A749=1,SUM($A$2:$A749),0)</f>
        <v>0</v>
      </c>
    </row>
    <row r="750" spans="1:3" x14ac:dyDescent="0.3">
      <c r="A750">
        <f>IF(AND(OR('Compliance Database'!$A750='Data Transfer'!$B$4,'Compliance Database'!$A750='Data Transfer'!$B$5),OR('Data Transfer'!$B$6="",ISNUMBER(SEARCH('Data Transfer'!$B$6,'Compliance Database'!$D750&amp;" "&amp;'Compliance Database'!$K750&amp;" "&amp;'Compliance Database'!$L750&amp;" "&amp;'Compliance Database'!$M750&amp;" "&amp;'Compliance Database'!$N750&amp;" "&amp;'Compliance Database'!$O750)))),1,0)</f>
        <v>0</v>
      </c>
      <c r="B750" t="str">
        <f>IF($A750=1,SUM($A$2:$A750),"")</f>
        <v/>
      </c>
      <c r="C750">
        <f>IF($A750=1,SUM($A$2:$A750),0)</f>
        <v>0</v>
      </c>
    </row>
    <row r="751" spans="1:3" x14ac:dyDescent="0.3">
      <c r="A751">
        <f>IF(AND(OR('Compliance Database'!$A751='Data Transfer'!$B$4,'Compliance Database'!$A751='Data Transfer'!$B$5),OR('Data Transfer'!$B$6="",ISNUMBER(SEARCH('Data Transfer'!$B$6,'Compliance Database'!$D751&amp;" "&amp;'Compliance Database'!$K751&amp;" "&amp;'Compliance Database'!$L751&amp;" "&amp;'Compliance Database'!$M751&amp;" "&amp;'Compliance Database'!$N751&amp;" "&amp;'Compliance Database'!$O751)))),1,0)</f>
        <v>0</v>
      </c>
      <c r="B751" t="str">
        <f>IF($A751=1,SUM($A$2:$A751),"")</f>
        <v/>
      </c>
      <c r="C751">
        <f>IF($A751=1,SUM($A$2:$A751),0)</f>
        <v>0</v>
      </c>
    </row>
    <row r="752" spans="1:3" x14ac:dyDescent="0.3">
      <c r="A752">
        <f>IF(AND(OR('Compliance Database'!$A752='Data Transfer'!$B$4,'Compliance Database'!$A752='Data Transfer'!$B$5),OR('Data Transfer'!$B$6="",ISNUMBER(SEARCH('Data Transfer'!$B$6,'Compliance Database'!$D752&amp;" "&amp;'Compliance Database'!$K752&amp;" "&amp;'Compliance Database'!$L752&amp;" "&amp;'Compliance Database'!$M752&amp;" "&amp;'Compliance Database'!$N752&amp;" "&amp;'Compliance Database'!$O752)))),1,0)</f>
        <v>0</v>
      </c>
      <c r="B752" t="str">
        <f>IF($A752=1,SUM($A$2:$A752),"")</f>
        <v/>
      </c>
      <c r="C752">
        <f>IF($A752=1,SUM($A$2:$A752),0)</f>
        <v>0</v>
      </c>
    </row>
    <row r="753" spans="1:3" x14ac:dyDescent="0.3">
      <c r="A753">
        <f>IF(AND(OR('Compliance Database'!$A753='Data Transfer'!$B$4,'Compliance Database'!$A753='Data Transfer'!$B$5),OR('Data Transfer'!$B$6="",ISNUMBER(SEARCH('Data Transfer'!$B$6,'Compliance Database'!$D753&amp;" "&amp;'Compliance Database'!$K753&amp;" "&amp;'Compliance Database'!$L753&amp;" "&amp;'Compliance Database'!$M753&amp;" "&amp;'Compliance Database'!$N753&amp;" "&amp;'Compliance Database'!$O753)))),1,0)</f>
        <v>0</v>
      </c>
      <c r="B753" t="str">
        <f>IF($A753=1,SUM($A$2:$A753),"")</f>
        <v/>
      </c>
      <c r="C753">
        <f>IF($A753=1,SUM($A$2:$A753),0)</f>
        <v>0</v>
      </c>
    </row>
    <row r="754" spans="1:3" x14ac:dyDescent="0.3">
      <c r="A754">
        <f>IF(AND(OR('Compliance Database'!$A754='Data Transfer'!$B$4,'Compliance Database'!$A754='Data Transfer'!$B$5),OR('Data Transfer'!$B$6="",ISNUMBER(SEARCH('Data Transfer'!$B$6,'Compliance Database'!$D754&amp;" "&amp;'Compliance Database'!$K754&amp;" "&amp;'Compliance Database'!$L754&amp;" "&amp;'Compliance Database'!$M754&amp;" "&amp;'Compliance Database'!$N754&amp;" "&amp;'Compliance Database'!$O754)))),1,0)</f>
        <v>0</v>
      </c>
      <c r="B754" t="str">
        <f>IF($A754=1,SUM($A$2:$A754),"")</f>
        <v/>
      </c>
      <c r="C754">
        <f>IF($A754=1,SUM($A$2:$A754),0)</f>
        <v>0</v>
      </c>
    </row>
    <row r="755" spans="1:3" x14ac:dyDescent="0.3">
      <c r="A755">
        <f>IF(AND(OR('Compliance Database'!$A755='Data Transfer'!$B$4,'Compliance Database'!$A755='Data Transfer'!$B$5),OR('Data Transfer'!$B$6="",ISNUMBER(SEARCH('Data Transfer'!$B$6,'Compliance Database'!$D755&amp;" "&amp;'Compliance Database'!$K755&amp;" "&amp;'Compliance Database'!$L755&amp;" "&amp;'Compliance Database'!$M755&amp;" "&amp;'Compliance Database'!$N755&amp;" "&amp;'Compliance Database'!$O755)))),1,0)</f>
        <v>0</v>
      </c>
      <c r="B755" t="str">
        <f>IF($A755=1,SUM($A$2:$A755),"")</f>
        <v/>
      </c>
      <c r="C755">
        <f>IF($A755=1,SUM($A$2:$A755),0)</f>
        <v>0</v>
      </c>
    </row>
    <row r="756" spans="1:3" x14ac:dyDescent="0.3">
      <c r="A756">
        <f>IF(AND(OR('Compliance Database'!$A756='Data Transfer'!$B$4,'Compliance Database'!$A756='Data Transfer'!$B$5),OR('Data Transfer'!$B$6="",ISNUMBER(SEARCH('Data Transfer'!$B$6,'Compliance Database'!$D756&amp;" "&amp;'Compliance Database'!$K756&amp;" "&amp;'Compliance Database'!$L756&amp;" "&amp;'Compliance Database'!$M756&amp;" "&amp;'Compliance Database'!$N756&amp;" "&amp;'Compliance Database'!$O756)))),1,0)</f>
        <v>0</v>
      </c>
      <c r="B756" t="str">
        <f>IF($A756=1,SUM($A$2:$A756),"")</f>
        <v/>
      </c>
      <c r="C756">
        <f>IF($A756=1,SUM($A$2:$A756),0)</f>
        <v>0</v>
      </c>
    </row>
    <row r="757" spans="1:3" x14ac:dyDescent="0.3">
      <c r="A757">
        <f>IF(AND(OR('Compliance Database'!$A757='Data Transfer'!$B$4,'Compliance Database'!$A757='Data Transfer'!$B$5),OR('Data Transfer'!$B$6="",ISNUMBER(SEARCH('Data Transfer'!$B$6,'Compliance Database'!$D757&amp;" "&amp;'Compliance Database'!$K757&amp;" "&amp;'Compliance Database'!$L757&amp;" "&amp;'Compliance Database'!$M757&amp;" "&amp;'Compliance Database'!$N757&amp;" "&amp;'Compliance Database'!$O757)))),1,0)</f>
        <v>0</v>
      </c>
      <c r="B757" t="str">
        <f>IF($A757=1,SUM($A$2:$A757),"")</f>
        <v/>
      </c>
      <c r="C757">
        <f>IF($A757=1,SUM($A$2:$A757),0)</f>
        <v>0</v>
      </c>
    </row>
    <row r="758" spans="1:3" x14ac:dyDescent="0.3">
      <c r="A758">
        <f>IF(AND(OR('Compliance Database'!$A758='Data Transfer'!$B$4,'Compliance Database'!$A758='Data Transfer'!$B$5),OR('Data Transfer'!$B$6="",ISNUMBER(SEARCH('Data Transfer'!$B$6,'Compliance Database'!$D758&amp;" "&amp;'Compliance Database'!$K758&amp;" "&amp;'Compliance Database'!$L758&amp;" "&amp;'Compliance Database'!$M758&amp;" "&amp;'Compliance Database'!$N758&amp;" "&amp;'Compliance Database'!$O758)))),1,0)</f>
        <v>0</v>
      </c>
      <c r="B758" t="str">
        <f>IF($A758=1,SUM($A$2:$A758),"")</f>
        <v/>
      </c>
      <c r="C758">
        <f>IF($A758=1,SUM($A$2:$A758),0)</f>
        <v>0</v>
      </c>
    </row>
    <row r="759" spans="1:3" x14ac:dyDescent="0.3">
      <c r="A759">
        <f>IF(AND(OR('Compliance Database'!$A759='Data Transfer'!$B$4,'Compliance Database'!$A759='Data Transfer'!$B$5),OR('Data Transfer'!$B$6="",ISNUMBER(SEARCH('Data Transfer'!$B$6,'Compliance Database'!$D759&amp;" "&amp;'Compliance Database'!$K759&amp;" "&amp;'Compliance Database'!$L759&amp;" "&amp;'Compliance Database'!$M759&amp;" "&amp;'Compliance Database'!$N759&amp;" "&amp;'Compliance Database'!$O759)))),1,0)</f>
        <v>0</v>
      </c>
      <c r="B759" t="str">
        <f>IF($A759=1,SUM($A$2:$A759),"")</f>
        <v/>
      </c>
      <c r="C759">
        <f>IF($A759=1,SUM($A$2:$A759),0)</f>
        <v>0</v>
      </c>
    </row>
    <row r="760" spans="1:3" x14ac:dyDescent="0.3">
      <c r="A760">
        <f>IF(AND(OR('Compliance Database'!$A760='Data Transfer'!$B$4,'Compliance Database'!$A760='Data Transfer'!$B$5),OR('Data Transfer'!$B$6="",ISNUMBER(SEARCH('Data Transfer'!$B$6,'Compliance Database'!$D760&amp;" "&amp;'Compliance Database'!$K760&amp;" "&amp;'Compliance Database'!$L760&amp;" "&amp;'Compliance Database'!$M760&amp;" "&amp;'Compliance Database'!$N760&amp;" "&amp;'Compliance Database'!$O760)))),1,0)</f>
        <v>0</v>
      </c>
      <c r="B760" t="str">
        <f>IF($A760=1,SUM($A$2:$A760),"")</f>
        <v/>
      </c>
      <c r="C760">
        <f>IF($A760=1,SUM($A$2:$A760),0)</f>
        <v>0</v>
      </c>
    </row>
    <row r="761" spans="1:3" x14ac:dyDescent="0.3">
      <c r="A761">
        <f>IF(AND(OR('Compliance Database'!$A761='Data Transfer'!$B$4,'Compliance Database'!$A761='Data Transfer'!$B$5),OR('Data Transfer'!$B$6="",ISNUMBER(SEARCH('Data Transfer'!$B$6,'Compliance Database'!$D761&amp;" "&amp;'Compliance Database'!$K761&amp;" "&amp;'Compliance Database'!$L761&amp;" "&amp;'Compliance Database'!$M761&amp;" "&amp;'Compliance Database'!$N761&amp;" "&amp;'Compliance Database'!$O761)))),1,0)</f>
        <v>0</v>
      </c>
      <c r="B761" t="str">
        <f>IF($A761=1,SUM($A$2:$A761),"")</f>
        <v/>
      </c>
      <c r="C761">
        <f>IF($A761=1,SUM($A$2:$A761),0)</f>
        <v>0</v>
      </c>
    </row>
    <row r="762" spans="1:3" x14ac:dyDescent="0.3">
      <c r="A762">
        <f>IF(AND(OR('Compliance Database'!$A762='Data Transfer'!$B$4,'Compliance Database'!$A762='Data Transfer'!$B$5),OR('Data Transfer'!$B$6="",ISNUMBER(SEARCH('Data Transfer'!$B$6,'Compliance Database'!$D762&amp;" "&amp;'Compliance Database'!$K762&amp;" "&amp;'Compliance Database'!$L762&amp;" "&amp;'Compliance Database'!$M762&amp;" "&amp;'Compliance Database'!$N762&amp;" "&amp;'Compliance Database'!$O762)))),1,0)</f>
        <v>0</v>
      </c>
      <c r="B762" t="str">
        <f>IF($A762=1,SUM($A$2:$A762),"")</f>
        <v/>
      </c>
      <c r="C762">
        <f>IF($A762=1,SUM($A$2:$A762),0)</f>
        <v>0</v>
      </c>
    </row>
    <row r="763" spans="1:3" x14ac:dyDescent="0.3">
      <c r="A763">
        <f>IF(AND(OR('Compliance Database'!$A763='Data Transfer'!$B$4,'Compliance Database'!$A763='Data Transfer'!$B$5),OR('Data Transfer'!$B$6="",ISNUMBER(SEARCH('Data Transfer'!$B$6,'Compliance Database'!$D763&amp;" "&amp;'Compliance Database'!$K763&amp;" "&amp;'Compliance Database'!$L763&amp;" "&amp;'Compliance Database'!$M763&amp;" "&amp;'Compliance Database'!$N763&amp;" "&amp;'Compliance Database'!$O763)))),1,0)</f>
        <v>0</v>
      </c>
      <c r="B763" t="str">
        <f>IF($A763=1,SUM($A$2:$A763),"")</f>
        <v/>
      </c>
      <c r="C763">
        <f>IF($A763=1,SUM($A$2:$A763),0)</f>
        <v>0</v>
      </c>
    </row>
    <row r="764" spans="1:3" x14ac:dyDescent="0.3">
      <c r="A764">
        <f>IF(AND(OR('Compliance Database'!$A764='Data Transfer'!$B$4,'Compliance Database'!$A764='Data Transfer'!$B$5),OR('Data Transfer'!$B$6="",ISNUMBER(SEARCH('Data Transfer'!$B$6,'Compliance Database'!$D764&amp;" "&amp;'Compliance Database'!$K764&amp;" "&amp;'Compliance Database'!$L764&amp;" "&amp;'Compliance Database'!$M764&amp;" "&amp;'Compliance Database'!$N764&amp;" "&amp;'Compliance Database'!$O764)))),1,0)</f>
        <v>0</v>
      </c>
      <c r="B764" t="str">
        <f>IF($A764=1,SUM($A$2:$A764),"")</f>
        <v/>
      </c>
      <c r="C764">
        <f>IF($A764=1,SUM($A$2:$A764),0)</f>
        <v>0</v>
      </c>
    </row>
    <row r="765" spans="1:3" x14ac:dyDescent="0.3">
      <c r="A765">
        <f>IF(AND(OR('Compliance Database'!$A765='Data Transfer'!$B$4,'Compliance Database'!$A765='Data Transfer'!$B$5),OR('Data Transfer'!$B$6="",ISNUMBER(SEARCH('Data Transfer'!$B$6,'Compliance Database'!$D765&amp;" "&amp;'Compliance Database'!$K765&amp;" "&amp;'Compliance Database'!$L765&amp;" "&amp;'Compliance Database'!$M765&amp;" "&amp;'Compliance Database'!$N765&amp;" "&amp;'Compliance Database'!$O765)))),1,0)</f>
        <v>0</v>
      </c>
      <c r="B765" t="str">
        <f>IF($A765=1,SUM($A$2:$A765),"")</f>
        <v/>
      </c>
      <c r="C765">
        <f>IF($A765=1,SUM($A$2:$A765),0)</f>
        <v>0</v>
      </c>
    </row>
    <row r="766" spans="1:3" x14ac:dyDescent="0.3">
      <c r="A766">
        <f>IF(AND(OR('Compliance Database'!$A766='Data Transfer'!$B$4,'Compliance Database'!$A766='Data Transfer'!$B$5),OR('Data Transfer'!$B$6="",ISNUMBER(SEARCH('Data Transfer'!$B$6,'Compliance Database'!$D766&amp;" "&amp;'Compliance Database'!$K766&amp;" "&amp;'Compliance Database'!$L766&amp;" "&amp;'Compliance Database'!$M766&amp;" "&amp;'Compliance Database'!$N766&amp;" "&amp;'Compliance Database'!$O766)))),1,0)</f>
        <v>0</v>
      </c>
      <c r="B766" t="str">
        <f>IF($A766=1,SUM($A$2:$A766),"")</f>
        <v/>
      </c>
      <c r="C766">
        <f>IF($A766=1,SUM($A$2:$A766),0)</f>
        <v>0</v>
      </c>
    </row>
    <row r="767" spans="1:3" x14ac:dyDescent="0.3">
      <c r="A767">
        <f>IF(AND(OR('Compliance Database'!$A767='Data Transfer'!$B$4,'Compliance Database'!$A767='Data Transfer'!$B$5),OR('Data Transfer'!$B$6="",ISNUMBER(SEARCH('Data Transfer'!$B$6,'Compliance Database'!$D767&amp;" "&amp;'Compliance Database'!$K767&amp;" "&amp;'Compliance Database'!$L767&amp;" "&amp;'Compliance Database'!$M767&amp;" "&amp;'Compliance Database'!$N767&amp;" "&amp;'Compliance Database'!$O767)))),1,0)</f>
        <v>0</v>
      </c>
      <c r="B767" t="str">
        <f>IF($A767=1,SUM($A$2:$A767),"")</f>
        <v/>
      </c>
      <c r="C767">
        <f>IF($A767=1,SUM($A$2:$A767),0)</f>
        <v>0</v>
      </c>
    </row>
    <row r="768" spans="1:3" x14ac:dyDescent="0.3">
      <c r="A768">
        <f>IF(AND(OR('Compliance Database'!$A768='Data Transfer'!$B$4,'Compliance Database'!$A768='Data Transfer'!$B$5),OR('Data Transfer'!$B$6="",ISNUMBER(SEARCH('Data Transfer'!$B$6,'Compliance Database'!$D768&amp;" "&amp;'Compliance Database'!$K768&amp;" "&amp;'Compliance Database'!$L768&amp;" "&amp;'Compliance Database'!$M768&amp;" "&amp;'Compliance Database'!$N768&amp;" "&amp;'Compliance Database'!$O768)))),1,0)</f>
        <v>0</v>
      </c>
      <c r="B768" t="str">
        <f>IF($A768=1,SUM($A$2:$A768),"")</f>
        <v/>
      </c>
      <c r="C768">
        <f>IF($A768=1,SUM($A$2:$A768),0)</f>
        <v>0</v>
      </c>
    </row>
    <row r="769" spans="1:3" x14ac:dyDescent="0.3">
      <c r="A769">
        <f>IF(AND(OR('Compliance Database'!$A769='Data Transfer'!$B$4,'Compliance Database'!$A769='Data Transfer'!$B$5),OR('Data Transfer'!$B$6="",ISNUMBER(SEARCH('Data Transfer'!$B$6,'Compliance Database'!$D769&amp;" "&amp;'Compliance Database'!$K769&amp;" "&amp;'Compliance Database'!$L769&amp;" "&amp;'Compliance Database'!$M769&amp;" "&amp;'Compliance Database'!$N769&amp;" "&amp;'Compliance Database'!$O769)))),1,0)</f>
        <v>0</v>
      </c>
      <c r="B769" t="str">
        <f>IF($A769=1,SUM($A$2:$A769),"")</f>
        <v/>
      </c>
      <c r="C769">
        <f>IF($A769=1,SUM($A$2:$A769),0)</f>
        <v>0</v>
      </c>
    </row>
    <row r="770" spans="1:3" x14ac:dyDescent="0.3">
      <c r="A770">
        <f>IF(AND(OR('Compliance Database'!$A770='Data Transfer'!$B$4,'Compliance Database'!$A770='Data Transfer'!$B$5),OR('Data Transfer'!$B$6="",ISNUMBER(SEARCH('Data Transfer'!$B$6,'Compliance Database'!$D770&amp;" "&amp;'Compliance Database'!$K770&amp;" "&amp;'Compliance Database'!$L770&amp;" "&amp;'Compliance Database'!$M770&amp;" "&amp;'Compliance Database'!$N770&amp;" "&amp;'Compliance Database'!$O770)))),1,0)</f>
        <v>0</v>
      </c>
      <c r="B770" t="str">
        <f>IF($A770=1,SUM($A$2:$A770),"")</f>
        <v/>
      </c>
      <c r="C770">
        <f>IF($A770=1,SUM($A$2:$A770),0)</f>
        <v>0</v>
      </c>
    </row>
    <row r="771" spans="1:3" x14ac:dyDescent="0.3">
      <c r="A771">
        <f>IF(AND(OR('Compliance Database'!$A771='Data Transfer'!$B$4,'Compliance Database'!$A771='Data Transfer'!$B$5),OR('Data Transfer'!$B$6="",ISNUMBER(SEARCH('Data Transfer'!$B$6,'Compliance Database'!$D771&amp;" "&amp;'Compliance Database'!$K771&amp;" "&amp;'Compliance Database'!$L771&amp;" "&amp;'Compliance Database'!$M771&amp;" "&amp;'Compliance Database'!$N771&amp;" "&amp;'Compliance Database'!$O771)))),1,0)</f>
        <v>0</v>
      </c>
      <c r="B771" t="str">
        <f>IF($A771=1,SUM($A$2:$A771),"")</f>
        <v/>
      </c>
      <c r="C771">
        <f>IF($A771=1,SUM($A$2:$A771),0)</f>
        <v>0</v>
      </c>
    </row>
    <row r="772" spans="1:3" x14ac:dyDescent="0.3">
      <c r="A772">
        <f>IF(AND(OR('Compliance Database'!$A772='Data Transfer'!$B$4,'Compliance Database'!$A772='Data Transfer'!$B$5),OR('Data Transfer'!$B$6="",ISNUMBER(SEARCH('Data Transfer'!$B$6,'Compliance Database'!$D772&amp;" "&amp;'Compliance Database'!$K772&amp;" "&amp;'Compliance Database'!$L772&amp;" "&amp;'Compliance Database'!$M772&amp;" "&amp;'Compliance Database'!$N772&amp;" "&amp;'Compliance Database'!$O772)))),1,0)</f>
        <v>0</v>
      </c>
      <c r="B772" t="str">
        <f>IF($A772=1,SUM($A$2:$A772),"")</f>
        <v/>
      </c>
      <c r="C772">
        <f>IF($A772=1,SUM($A$2:$A772),0)</f>
        <v>0</v>
      </c>
    </row>
    <row r="773" spans="1:3" x14ac:dyDescent="0.3">
      <c r="A773">
        <f>IF(AND(OR('Compliance Database'!$A773='Data Transfer'!$B$4,'Compliance Database'!$A773='Data Transfer'!$B$5),OR('Data Transfer'!$B$6="",ISNUMBER(SEARCH('Data Transfer'!$B$6,'Compliance Database'!$D773&amp;" "&amp;'Compliance Database'!$K773&amp;" "&amp;'Compliance Database'!$L773&amp;" "&amp;'Compliance Database'!$M773&amp;" "&amp;'Compliance Database'!$N773&amp;" "&amp;'Compliance Database'!$O773)))),1,0)</f>
        <v>0</v>
      </c>
      <c r="B773" t="str">
        <f>IF($A773=1,SUM($A$2:$A773),"")</f>
        <v/>
      </c>
      <c r="C773">
        <f>IF($A773=1,SUM($A$2:$A773),0)</f>
        <v>0</v>
      </c>
    </row>
    <row r="774" spans="1:3" x14ac:dyDescent="0.3">
      <c r="A774">
        <f>IF(AND(OR('Compliance Database'!$A774='Data Transfer'!$B$4,'Compliance Database'!$A774='Data Transfer'!$B$5),OR('Data Transfer'!$B$6="",ISNUMBER(SEARCH('Data Transfer'!$B$6,'Compliance Database'!$D774&amp;" "&amp;'Compliance Database'!$K774&amp;" "&amp;'Compliance Database'!$L774&amp;" "&amp;'Compliance Database'!$M774&amp;" "&amp;'Compliance Database'!$N774&amp;" "&amp;'Compliance Database'!$O774)))),1,0)</f>
        <v>0</v>
      </c>
      <c r="B774" t="str">
        <f>IF($A774=1,SUM($A$2:$A774),"")</f>
        <v/>
      </c>
      <c r="C774">
        <f>IF($A774=1,SUM($A$2:$A774),0)</f>
        <v>0</v>
      </c>
    </row>
    <row r="775" spans="1:3" x14ac:dyDescent="0.3">
      <c r="A775">
        <f>IF(AND(OR('Compliance Database'!$A775='Data Transfer'!$B$4,'Compliance Database'!$A775='Data Transfer'!$B$5),OR('Data Transfer'!$B$6="",ISNUMBER(SEARCH('Data Transfer'!$B$6,'Compliance Database'!$D775&amp;" "&amp;'Compliance Database'!$K775&amp;" "&amp;'Compliance Database'!$L775&amp;" "&amp;'Compliance Database'!$M775&amp;" "&amp;'Compliance Database'!$N775&amp;" "&amp;'Compliance Database'!$O775)))),1,0)</f>
        <v>0</v>
      </c>
      <c r="B775" t="str">
        <f>IF($A775=1,SUM($A$2:$A775),"")</f>
        <v/>
      </c>
      <c r="C775">
        <f>IF($A775=1,SUM($A$2:$A775),0)</f>
        <v>0</v>
      </c>
    </row>
    <row r="776" spans="1:3" x14ac:dyDescent="0.3">
      <c r="A776">
        <f>IF(AND(OR('Compliance Database'!$A776='Data Transfer'!$B$4,'Compliance Database'!$A776='Data Transfer'!$B$5),OR('Data Transfer'!$B$6="",ISNUMBER(SEARCH('Data Transfer'!$B$6,'Compliance Database'!$D776&amp;" "&amp;'Compliance Database'!$K776&amp;" "&amp;'Compliance Database'!$L776&amp;" "&amp;'Compliance Database'!$M776&amp;" "&amp;'Compliance Database'!$N776&amp;" "&amp;'Compliance Database'!$O776)))),1,0)</f>
        <v>0</v>
      </c>
      <c r="B776" t="str">
        <f>IF($A776=1,SUM($A$2:$A776),"")</f>
        <v/>
      </c>
      <c r="C776">
        <f>IF($A776=1,SUM($A$2:$A776),0)</f>
        <v>0</v>
      </c>
    </row>
    <row r="777" spans="1:3" x14ac:dyDescent="0.3">
      <c r="A777">
        <f>IF(AND(OR('Compliance Database'!$A777='Data Transfer'!$B$4,'Compliance Database'!$A777='Data Transfer'!$B$5),OR('Data Transfer'!$B$6="",ISNUMBER(SEARCH('Data Transfer'!$B$6,'Compliance Database'!$D777&amp;" "&amp;'Compliance Database'!$K777&amp;" "&amp;'Compliance Database'!$L777&amp;" "&amp;'Compliance Database'!$M777&amp;" "&amp;'Compliance Database'!$N777&amp;" "&amp;'Compliance Database'!$O777)))),1,0)</f>
        <v>0</v>
      </c>
      <c r="B777" t="str">
        <f>IF($A777=1,SUM($A$2:$A777),"")</f>
        <v/>
      </c>
      <c r="C777">
        <f>IF($A777=1,SUM($A$2:$A777),0)</f>
        <v>0</v>
      </c>
    </row>
    <row r="778" spans="1:3" x14ac:dyDescent="0.3">
      <c r="A778">
        <f>IF(AND(OR('Compliance Database'!$A778='Data Transfer'!$B$4,'Compliance Database'!$A778='Data Transfer'!$B$5),OR('Data Transfer'!$B$6="",ISNUMBER(SEARCH('Data Transfer'!$B$6,'Compliance Database'!$D778&amp;" "&amp;'Compliance Database'!$K778&amp;" "&amp;'Compliance Database'!$L778&amp;" "&amp;'Compliance Database'!$M778&amp;" "&amp;'Compliance Database'!$N778&amp;" "&amp;'Compliance Database'!$O778)))),1,0)</f>
        <v>0</v>
      </c>
      <c r="B778" t="str">
        <f>IF($A778=1,SUM($A$2:$A778),"")</f>
        <v/>
      </c>
      <c r="C778">
        <f>IF($A778=1,SUM($A$2:$A778),0)</f>
        <v>0</v>
      </c>
    </row>
    <row r="779" spans="1:3" x14ac:dyDescent="0.3">
      <c r="A779">
        <f>IF(AND(OR('Compliance Database'!$A779='Data Transfer'!$B$4,'Compliance Database'!$A779='Data Transfer'!$B$5),OR('Data Transfer'!$B$6="",ISNUMBER(SEARCH('Data Transfer'!$B$6,'Compliance Database'!$D779&amp;" "&amp;'Compliance Database'!$K779&amp;" "&amp;'Compliance Database'!$L779&amp;" "&amp;'Compliance Database'!$M779&amp;" "&amp;'Compliance Database'!$N779&amp;" "&amp;'Compliance Database'!$O779)))),1,0)</f>
        <v>0</v>
      </c>
      <c r="B779" t="str">
        <f>IF($A779=1,SUM($A$2:$A779),"")</f>
        <v/>
      </c>
      <c r="C779">
        <f>IF($A779=1,SUM($A$2:$A779),0)</f>
        <v>0</v>
      </c>
    </row>
    <row r="780" spans="1:3" x14ac:dyDescent="0.3">
      <c r="A780">
        <f>IF(AND(OR('Compliance Database'!$A780='Data Transfer'!$B$4,'Compliance Database'!$A780='Data Transfer'!$B$5),OR('Data Transfer'!$B$6="",ISNUMBER(SEARCH('Data Transfer'!$B$6,'Compliance Database'!$D780&amp;" "&amp;'Compliance Database'!$K780&amp;" "&amp;'Compliance Database'!$L780&amp;" "&amp;'Compliance Database'!$M780&amp;" "&amp;'Compliance Database'!$N780&amp;" "&amp;'Compliance Database'!$O780)))),1,0)</f>
        <v>0</v>
      </c>
      <c r="B780" t="str">
        <f>IF($A780=1,SUM($A$2:$A780),"")</f>
        <v/>
      </c>
      <c r="C780">
        <f>IF($A780=1,SUM($A$2:$A780),0)</f>
        <v>0</v>
      </c>
    </row>
    <row r="781" spans="1:3" x14ac:dyDescent="0.3">
      <c r="A781">
        <f>IF(AND(OR('Compliance Database'!$A781='Data Transfer'!$B$4,'Compliance Database'!$A781='Data Transfer'!$B$5),OR('Data Transfer'!$B$6="",ISNUMBER(SEARCH('Data Transfer'!$B$6,'Compliance Database'!$D781&amp;" "&amp;'Compliance Database'!$K781&amp;" "&amp;'Compliance Database'!$L781&amp;" "&amp;'Compliance Database'!$M781&amp;" "&amp;'Compliance Database'!$N781&amp;" "&amp;'Compliance Database'!$O781)))),1,0)</f>
        <v>0</v>
      </c>
      <c r="B781" t="str">
        <f>IF($A781=1,SUM($A$2:$A781),"")</f>
        <v/>
      </c>
      <c r="C781">
        <f>IF($A781=1,SUM($A$2:$A781),0)</f>
        <v>0</v>
      </c>
    </row>
    <row r="782" spans="1:3" x14ac:dyDescent="0.3">
      <c r="A782">
        <f>IF(AND(OR('Compliance Database'!$A782='Data Transfer'!$B$4,'Compliance Database'!$A782='Data Transfer'!$B$5),OR('Data Transfer'!$B$6="",ISNUMBER(SEARCH('Data Transfer'!$B$6,'Compliance Database'!$D782&amp;" "&amp;'Compliance Database'!$K782&amp;" "&amp;'Compliance Database'!$L782&amp;" "&amp;'Compliance Database'!$M782&amp;" "&amp;'Compliance Database'!$N782&amp;" "&amp;'Compliance Database'!$O782)))),1,0)</f>
        <v>0</v>
      </c>
      <c r="B782" t="str">
        <f>IF($A782=1,SUM($A$2:$A782),"")</f>
        <v/>
      </c>
      <c r="C782">
        <f>IF($A782=1,SUM($A$2:$A782),0)</f>
        <v>0</v>
      </c>
    </row>
    <row r="783" spans="1:3" x14ac:dyDescent="0.3">
      <c r="A783">
        <f>IF(AND(OR('Compliance Database'!$A783='Data Transfer'!$B$4,'Compliance Database'!$A783='Data Transfer'!$B$5),OR('Data Transfer'!$B$6="",ISNUMBER(SEARCH('Data Transfer'!$B$6,'Compliance Database'!$D783&amp;" "&amp;'Compliance Database'!$K783&amp;" "&amp;'Compliance Database'!$L783&amp;" "&amp;'Compliance Database'!$M783&amp;" "&amp;'Compliance Database'!$N783&amp;" "&amp;'Compliance Database'!$O783)))),1,0)</f>
        <v>0</v>
      </c>
      <c r="B783" t="str">
        <f>IF($A783=1,SUM($A$2:$A783),"")</f>
        <v/>
      </c>
      <c r="C783">
        <f>IF($A783=1,SUM($A$2:$A783),0)</f>
        <v>0</v>
      </c>
    </row>
    <row r="784" spans="1:3" x14ac:dyDescent="0.3">
      <c r="A784">
        <f>IF(AND(OR('Compliance Database'!$A784='Data Transfer'!$B$4,'Compliance Database'!$A784='Data Transfer'!$B$5),OR('Data Transfer'!$B$6="",ISNUMBER(SEARCH('Data Transfer'!$B$6,'Compliance Database'!$D784&amp;" "&amp;'Compliance Database'!$K784&amp;" "&amp;'Compliance Database'!$L784&amp;" "&amp;'Compliance Database'!$M784&amp;" "&amp;'Compliance Database'!$N784&amp;" "&amp;'Compliance Database'!$O784)))),1,0)</f>
        <v>0</v>
      </c>
      <c r="B784" t="str">
        <f>IF($A784=1,SUM($A$2:$A784),"")</f>
        <v/>
      </c>
      <c r="C784">
        <f>IF($A784=1,SUM($A$2:$A784),0)</f>
        <v>0</v>
      </c>
    </row>
    <row r="785" spans="1:3" x14ac:dyDescent="0.3">
      <c r="A785">
        <f>IF(AND(OR('Compliance Database'!$A785='Data Transfer'!$B$4,'Compliance Database'!$A785='Data Transfer'!$B$5),OR('Data Transfer'!$B$6="",ISNUMBER(SEARCH('Data Transfer'!$B$6,'Compliance Database'!$D785&amp;" "&amp;'Compliance Database'!$K785&amp;" "&amp;'Compliance Database'!$L785&amp;" "&amp;'Compliance Database'!$M785&amp;" "&amp;'Compliance Database'!$N785&amp;" "&amp;'Compliance Database'!$O785)))),1,0)</f>
        <v>0</v>
      </c>
      <c r="B785" t="str">
        <f>IF($A785=1,SUM($A$2:$A785),"")</f>
        <v/>
      </c>
      <c r="C785">
        <f>IF($A785=1,SUM($A$2:$A785),0)</f>
        <v>0</v>
      </c>
    </row>
    <row r="786" spans="1:3" x14ac:dyDescent="0.3">
      <c r="A786">
        <f>IF(AND(OR('Compliance Database'!$A786='Data Transfer'!$B$4,'Compliance Database'!$A786='Data Transfer'!$B$5),OR('Data Transfer'!$B$6="",ISNUMBER(SEARCH('Data Transfer'!$B$6,'Compliance Database'!$D786&amp;" "&amp;'Compliance Database'!$K786&amp;" "&amp;'Compliance Database'!$L786&amp;" "&amp;'Compliance Database'!$M786&amp;" "&amp;'Compliance Database'!$N786&amp;" "&amp;'Compliance Database'!$O786)))),1,0)</f>
        <v>0</v>
      </c>
      <c r="B786" t="str">
        <f>IF($A786=1,SUM($A$2:$A786),"")</f>
        <v/>
      </c>
      <c r="C786">
        <f>IF($A786=1,SUM($A$2:$A786),0)</f>
        <v>0</v>
      </c>
    </row>
    <row r="787" spans="1:3" x14ac:dyDescent="0.3">
      <c r="A787">
        <f>IF(AND(OR('Compliance Database'!$A787='Data Transfer'!$B$4,'Compliance Database'!$A787='Data Transfer'!$B$5),OR('Data Transfer'!$B$6="",ISNUMBER(SEARCH('Data Transfer'!$B$6,'Compliance Database'!$D787&amp;" "&amp;'Compliance Database'!$K787&amp;" "&amp;'Compliance Database'!$L787&amp;" "&amp;'Compliance Database'!$M787&amp;" "&amp;'Compliance Database'!$N787&amp;" "&amp;'Compliance Database'!$O787)))),1,0)</f>
        <v>0</v>
      </c>
      <c r="B787" t="str">
        <f>IF($A787=1,SUM($A$2:$A787),"")</f>
        <v/>
      </c>
      <c r="C787">
        <f>IF($A787=1,SUM($A$2:$A787),0)</f>
        <v>0</v>
      </c>
    </row>
    <row r="788" spans="1:3" x14ac:dyDescent="0.3">
      <c r="A788">
        <f>IF(AND(OR('Compliance Database'!$A788='Data Transfer'!$B$4,'Compliance Database'!$A788='Data Transfer'!$B$5),OR('Data Transfer'!$B$6="",ISNUMBER(SEARCH('Data Transfer'!$B$6,'Compliance Database'!$D788&amp;" "&amp;'Compliance Database'!$K788&amp;" "&amp;'Compliance Database'!$L788&amp;" "&amp;'Compliance Database'!$M788&amp;" "&amp;'Compliance Database'!$N788&amp;" "&amp;'Compliance Database'!$O788)))),1,0)</f>
        <v>0</v>
      </c>
      <c r="B788" t="str">
        <f>IF($A788=1,SUM($A$2:$A788),"")</f>
        <v/>
      </c>
      <c r="C788">
        <f>IF($A788=1,SUM($A$2:$A788),0)</f>
        <v>0</v>
      </c>
    </row>
    <row r="789" spans="1:3" x14ac:dyDescent="0.3">
      <c r="A789">
        <f>IF(AND(OR('Compliance Database'!$A789='Data Transfer'!$B$4,'Compliance Database'!$A789='Data Transfer'!$B$5),OR('Data Transfer'!$B$6="",ISNUMBER(SEARCH('Data Transfer'!$B$6,'Compliance Database'!$D789&amp;" "&amp;'Compliance Database'!$K789&amp;" "&amp;'Compliance Database'!$L789&amp;" "&amp;'Compliance Database'!$M789&amp;" "&amp;'Compliance Database'!$N789&amp;" "&amp;'Compliance Database'!$O789)))),1,0)</f>
        <v>0</v>
      </c>
      <c r="B789" t="str">
        <f>IF($A789=1,SUM($A$2:$A789),"")</f>
        <v/>
      </c>
      <c r="C789">
        <f>IF($A789=1,SUM($A$2:$A789),0)</f>
        <v>0</v>
      </c>
    </row>
    <row r="790" spans="1:3" x14ac:dyDescent="0.3">
      <c r="A790">
        <f>IF(AND(OR('Compliance Database'!$A790='Data Transfer'!$B$4,'Compliance Database'!$A790='Data Transfer'!$B$5),OR('Data Transfer'!$B$6="",ISNUMBER(SEARCH('Data Transfer'!$B$6,'Compliance Database'!$D790&amp;" "&amp;'Compliance Database'!$K790&amp;" "&amp;'Compliance Database'!$L790&amp;" "&amp;'Compliance Database'!$M790&amp;" "&amp;'Compliance Database'!$N790&amp;" "&amp;'Compliance Database'!$O790)))),1,0)</f>
        <v>0</v>
      </c>
      <c r="B790" t="str">
        <f>IF($A790=1,SUM($A$2:$A790),"")</f>
        <v/>
      </c>
      <c r="C790">
        <f>IF($A790=1,SUM($A$2:$A790),0)</f>
        <v>0</v>
      </c>
    </row>
    <row r="791" spans="1:3" x14ac:dyDescent="0.3">
      <c r="A791">
        <f>IF(AND(OR('Compliance Database'!$A791='Data Transfer'!$B$4,'Compliance Database'!$A791='Data Transfer'!$B$5),OR('Data Transfer'!$B$6="",ISNUMBER(SEARCH('Data Transfer'!$B$6,'Compliance Database'!$D791&amp;" "&amp;'Compliance Database'!$K791&amp;" "&amp;'Compliance Database'!$L791&amp;" "&amp;'Compliance Database'!$M791&amp;" "&amp;'Compliance Database'!$N791&amp;" "&amp;'Compliance Database'!$O791)))),1,0)</f>
        <v>0</v>
      </c>
      <c r="B791" t="str">
        <f>IF($A791=1,SUM($A$2:$A791),"")</f>
        <v/>
      </c>
      <c r="C791">
        <f>IF($A791=1,SUM($A$2:$A791),0)</f>
        <v>0</v>
      </c>
    </row>
    <row r="792" spans="1:3" x14ac:dyDescent="0.3">
      <c r="A792">
        <f>IF(AND(OR('Compliance Database'!$A792='Data Transfer'!$B$4,'Compliance Database'!$A792='Data Transfer'!$B$5),OR('Data Transfer'!$B$6="",ISNUMBER(SEARCH('Data Transfer'!$B$6,'Compliance Database'!$D792&amp;" "&amp;'Compliance Database'!$K792&amp;" "&amp;'Compliance Database'!$L792&amp;" "&amp;'Compliance Database'!$M792&amp;" "&amp;'Compliance Database'!$N792&amp;" "&amp;'Compliance Database'!$O792)))),1,0)</f>
        <v>0</v>
      </c>
      <c r="B792" t="str">
        <f>IF($A792=1,SUM($A$2:$A792),"")</f>
        <v/>
      </c>
      <c r="C792">
        <f>IF($A792=1,SUM($A$2:$A792),0)</f>
        <v>0</v>
      </c>
    </row>
    <row r="793" spans="1:3" x14ac:dyDescent="0.3">
      <c r="A793">
        <f>IF(AND(OR('Compliance Database'!$A793='Data Transfer'!$B$4,'Compliance Database'!$A793='Data Transfer'!$B$5),OR('Data Transfer'!$B$6="",ISNUMBER(SEARCH('Data Transfer'!$B$6,'Compliance Database'!$D793&amp;" "&amp;'Compliance Database'!$K793&amp;" "&amp;'Compliance Database'!$L793&amp;" "&amp;'Compliance Database'!$M793&amp;" "&amp;'Compliance Database'!$N793&amp;" "&amp;'Compliance Database'!$O793)))),1,0)</f>
        <v>0</v>
      </c>
      <c r="B793" t="str">
        <f>IF($A793=1,SUM($A$2:$A793),"")</f>
        <v/>
      </c>
      <c r="C793">
        <f>IF($A793=1,SUM($A$2:$A793),0)</f>
        <v>0</v>
      </c>
    </row>
    <row r="794" spans="1:3" x14ac:dyDescent="0.3">
      <c r="A794">
        <f>IF(AND(OR('Compliance Database'!$A794='Data Transfer'!$B$4,'Compliance Database'!$A794='Data Transfer'!$B$5),OR('Data Transfer'!$B$6="",ISNUMBER(SEARCH('Data Transfer'!$B$6,'Compliance Database'!$D794&amp;" "&amp;'Compliance Database'!$K794&amp;" "&amp;'Compliance Database'!$L794&amp;" "&amp;'Compliance Database'!$M794&amp;" "&amp;'Compliance Database'!$N794&amp;" "&amp;'Compliance Database'!$O794)))),1,0)</f>
        <v>0</v>
      </c>
      <c r="B794" t="str">
        <f>IF($A794=1,SUM($A$2:$A794),"")</f>
        <v/>
      </c>
      <c r="C794">
        <f>IF($A794=1,SUM($A$2:$A794),0)</f>
        <v>0</v>
      </c>
    </row>
    <row r="795" spans="1:3" x14ac:dyDescent="0.3">
      <c r="A795">
        <f>IF(AND(OR('Compliance Database'!$A795='Data Transfer'!$B$4,'Compliance Database'!$A795='Data Transfer'!$B$5),OR('Data Transfer'!$B$6="",ISNUMBER(SEARCH('Data Transfer'!$B$6,'Compliance Database'!$D795&amp;" "&amp;'Compliance Database'!$K795&amp;" "&amp;'Compliance Database'!$L795&amp;" "&amp;'Compliance Database'!$M795&amp;" "&amp;'Compliance Database'!$N795&amp;" "&amp;'Compliance Database'!$O795)))),1,0)</f>
        <v>0</v>
      </c>
      <c r="B795" t="str">
        <f>IF($A795=1,SUM($A$2:$A795),"")</f>
        <v/>
      </c>
      <c r="C795">
        <f>IF($A795=1,SUM($A$2:$A795),0)</f>
        <v>0</v>
      </c>
    </row>
    <row r="796" spans="1:3" x14ac:dyDescent="0.3">
      <c r="A796">
        <f>IF(AND(OR('Compliance Database'!$A796='Data Transfer'!$B$4,'Compliance Database'!$A796='Data Transfer'!$B$5),OR('Data Transfer'!$B$6="",ISNUMBER(SEARCH('Data Transfer'!$B$6,'Compliance Database'!$D796&amp;" "&amp;'Compliance Database'!$K796&amp;" "&amp;'Compliance Database'!$L796&amp;" "&amp;'Compliance Database'!$M796&amp;" "&amp;'Compliance Database'!$N796&amp;" "&amp;'Compliance Database'!$O796)))),1,0)</f>
        <v>0</v>
      </c>
      <c r="B796" t="str">
        <f>IF($A796=1,SUM($A$2:$A796),"")</f>
        <v/>
      </c>
      <c r="C796">
        <f>IF($A796=1,SUM($A$2:$A796),0)</f>
        <v>0</v>
      </c>
    </row>
    <row r="797" spans="1:3" x14ac:dyDescent="0.3">
      <c r="A797">
        <f>IF(AND(OR('Compliance Database'!$A797='Data Transfer'!$B$4,'Compliance Database'!$A797='Data Transfer'!$B$5),OR('Data Transfer'!$B$6="",ISNUMBER(SEARCH('Data Transfer'!$B$6,'Compliance Database'!$D797&amp;" "&amp;'Compliance Database'!$K797&amp;" "&amp;'Compliance Database'!$L797&amp;" "&amp;'Compliance Database'!$M797&amp;" "&amp;'Compliance Database'!$N797&amp;" "&amp;'Compliance Database'!$O797)))),1,0)</f>
        <v>0</v>
      </c>
      <c r="B797" t="str">
        <f>IF($A797=1,SUM($A$2:$A797),"")</f>
        <v/>
      </c>
      <c r="C797">
        <f>IF($A797=1,SUM($A$2:$A797),0)</f>
        <v>0</v>
      </c>
    </row>
    <row r="798" spans="1:3" x14ac:dyDescent="0.3">
      <c r="A798">
        <f>IF(AND(OR('Compliance Database'!$A798='Data Transfer'!$B$4,'Compliance Database'!$A798='Data Transfer'!$B$5),OR('Data Transfer'!$B$6="",ISNUMBER(SEARCH('Data Transfer'!$B$6,'Compliance Database'!$D798&amp;" "&amp;'Compliance Database'!$K798&amp;" "&amp;'Compliance Database'!$L798&amp;" "&amp;'Compliance Database'!$M798&amp;" "&amp;'Compliance Database'!$N798&amp;" "&amp;'Compliance Database'!$O798)))),1,0)</f>
        <v>0</v>
      </c>
      <c r="B798" t="str">
        <f>IF($A798=1,SUM($A$2:$A798),"")</f>
        <v/>
      </c>
      <c r="C798">
        <f>IF($A798=1,SUM($A$2:$A798),0)</f>
        <v>0</v>
      </c>
    </row>
    <row r="799" spans="1:3" x14ac:dyDescent="0.3">
      <c r="A799">
        <f>IF(AND(OR('Compliance Database'!$A799='Data Transfer'!$B$4,'Compliance Database'!$A799='Data Transfer'!$B$5),OR('Data Transfer'!$B$6="",ISNUMBER(SEARCH('Data Transfer'!$B$6,'Compliance Database'!$D799&amp;" "&amp;'Compliance Database'!$K799&amp;" "&amp;'Compliance Database'!$L799&amp;" "&amp;'Compliance Database'!$M799&amp;" "&amp;'Compliance Database'!$N799&amp;" "&amp;'Compliance Database'!$O799)))),1,0)</f>
        <v>0</v>
      </c>
      <c r="B799" t="str">
        <f>IF($A799=1,SUM($A$2:$A799),"")</f>
        <v/>
      </c>
      <c r="C799">
        <f>IF($A799=1,SUM($A$2:$A799),0)</f>
        <v>0</v>
      </c>
    </row>
    <row r="800" spans="1:3" x14ac:dyDescent="0.3">
      <c r="A800">
        <f>IF(AND(OR('Compliance Database'!$A800='Data Transfer'!$B$4,'Compliance Database'!$A800='Data Transfer'!$B$5),OR('Data Transfer'!$B$6="",ISNUMBER(SEARCH('Data Transfer'!$B$6,'Compliance Database'!$D800&amp;" "&amp;'Compliance Database'!$K800&amp;" "&amp;'Compliance Database'!$L800&amp;" "&amp;'Compliance Database'!$M800&amp;" "&amp;'Compliance Database'!$N800&amp;" "&amp;'Compliance Database'!$O800)))),1,0)</f>
        <v>0</v>
      </c>
      <c r="B800" t="str">
        <f>IF($A800=1,SUM($A$2:$A800),"")</f>
        <v/>
      </c>
      <c r="C800">
        <f>IF($A800=1,SUM($A$2:$A800),0)</f>
        <v>0</v>
      </c>
    </row>
    <row r="801" spans="1:3" x14ac:dyDescent="0.3">
      <c r="A801">
        <f>IF(AND(OR('Compliance Database'!$A801='Data Transfer'!$B$4,'Compliance Database'!$A801='Data Transfer'!$B$5),OR('Data Transfer'!$B$6="",ISNUMBER(SEARCH('Data Transfer'!$B$6,'Compliance Database'!$D801&amp;" "&amp;'Compliance Database'!$K801&amp;" "&amp;'Compliance Database'!$L801&amp;" "&amp;'Compliance Database'!$M801&amp;" "&amp;'Compliance Database'!$N801&amp;" "&amp;'Compliance Database'!$O801)))),1,0)</f>
        <v>0</v>
      </c>
      <c r="B801" t="str">
        <f>IF($A801=1,SUM($A$2:$A801),"")</f>
        <v/>
      </c>
      <c r="C801">
        <f>IF($A801=1,SUM($A$2:$A801),0)</f>
        <v>0</v>
      </c>
    </row>
    <row r="802" spans="1:3" x14ac:dyDescent="0.3">
      <c r="A802">
        <f>IF(AND(OR('Compliance Database'!$A802='Data Transfer'!$B$4,'Compliance Database'!$A802='Data Transfer'!$B$5),OR('Data Transfer'!$B$6="",ISNUMBER(SEARCH('Data Transfer'!$B$6,'Compliance Database'!$D802&amp;" "&amp;'Compliance Database'!$K802&amp;" "&amp;'Compliance Database'!$L802&amp;" "&amp;'Compliance Database'!$M802&amp;" "&amp;'Compliance Database'!$N802&amp;" "&amp;'Compliance Database'!$O802)))),1,0)</f>
        <v>0</v>
      </c>
      <c r="B802" t="str">
        <f>IF($A802=1,SUM($A$2:$A802),"")</f>
        <v/>
      </c>
      <c r="C802">
        <f>IF($A802=1,SUM($A$2:$A802),0)</f>
        <v>0</v>
      </c>
    </row>
    <row r="803" spans="1:3" x14ac:dyDescent="0.3">
      <c r="A803">
        <f>IF(AND(OR('Compliance Database'!$A803='Data Transfer'!$B$4,'Compliance Database'!$A803='Data Transfer'!$B$5),OR('Data Transfer'!$B$6="",ISNUMBER(SEARCH('Data Transfer'!$B$6,'Compliance Database'!$D803&amp;" "&amp;'Compliance Database'!$K803&amp;" "&amp;'Compliance Database'!$L803&amp;" "&amp;'Compliance Database'!$M803&amp;" "&amp;'Compliance Database'!$N803&amp;" "&amp;'Compliance Database'!$O803)))),1,0)</f>
        <v>0</v>
      </c>
      <c r="B803" t="str">
        <f>IF($A803=1,SUM($A$2:$A803),"")</f>
        <v/>
      </c>
      <c r="C803">
        <f>IF($A803=1,SUM($A$2:$A803),0)</f>
        <v>0</v>
      </c>
    </row>
    <row r="804" spans="1:3" x14ac:dyDescent="0.3">
      <c r="A804">
        <f>IF(AND(OR('Compliance Database'!$A804='Data Transfer'!$B$4,'Compliance Database'!$A804='Data Transfer'!$B$5),OR('Data Transfer'!$B$6="",ISNUMBER(SEARCH('Data Transfer'!$B$6,'Compliance Database'!$D804&amp;" "&amp;'Compliance Database'!$K804&amp;" "&amp;'Compliance Database'!$L804&amp;" "&amp;'Compliance Database'!$M804&amp;" "&amp;'Compliance Database'!$N804&amp;" "&amp;'Compliance Database'!$O804)))),1,0)</f>
        <v>0</v>
      </c>
      <c r="B804" t="str">
        <f>IF($A804=1,SUM($A$2:$A804),"")</f>
        <v/>
      </c>
      <c r="C804">
        <f>IF($A804=1,SUM($A$2:$A804),0)</f>
        <v>0</v>
      </c>
    </row>
    <row r="805" spans="1:3" x14ac:dyDescent="0.3">
      <c r="A805">
        <f>IF(AND(OR('Compliance Database'!$A805='Data Transfer'!$B$4,'Compliance Database'!$A805='Data Transfer'!$B$5),OR('Data Transfer'!$B$6="",ISNUMBER(SEARCH('Data Transfer'!$B$6,'Compliance Database'!$D805&amp;" "&amp;'Compliance Database'!$K805&amp;" "&amp;'Compliance Database'!$L805&amp;" "&amp;'Compliance Database'!$M805&amp;" "&amp;'Compliance Database'!$N805&amp;" "&amp;'Compliance Database'!$O805)))),1,0)</f>
        <v>0</v>
      </c>
      <c r="B805" t="str">
        <f>IF($A805=1,SUM($A$2:$A805),"")</f>
        <v/>
      </c>
      <c r="C805">
        <f>IF($A805=1,SUM($A$2:$A805),0)</f>
        <v>0</v>
      </c>
    </row>
    <row r="806" spans="1:3" x14ac:dyDescent="0.3">
      <c r="A806">
        <f>IF(AND(OR('Compliance Database'!$A806='Data Transfer'!$B$4,'Compliance Database'!$A806='Data Transfer'!$B$5),OR('Data Transfer'!$B$6="",ISNUMBER(SEARCH('Data Transfer'!$B$6,'Compliance Database'!$D806&amp;" "&amp;'Compliance Database'!$K806&amp;" "&amp;'Compliance Database'!$L806&amp;" "&amp;'Compliance Database'!$M806&amp;" "&amp;'Compliance Database'!$N806&amp;" "&amp;'Compliance Database'!$O806)))),1,0)</f>
        <v>0</v>
      </c>
      <c r="B806" t="str">
        <f>IF($A806=1,SUM($A$2:$A806),"")</f>
        <v/>
      </c>
      <c r="C806">
        <f>IF($A806=1,SUM($A$2:$A806),0)</f>
        <v>0</v>
      </c>
    </row>
    <row r="807" spans="1:3" x14ac:dyDescent="0.3">
      <c r="A807">
        <f>IF(AND(OR('Compliance Database'!$A807='Data Transfer'!$B$4,'Compliance Database'!$A807='Data Transfer'!$B$5),OR('Data Transfer'!$B$6="",ISNUMBER(SEARCH('Data Transfer'!$B$6,'Compliance Database'!$D807&amp;" "&amp;'Compliance Database'!$K807&amp;" "&amp;'Compliance Database'!$L807&amp;" "&amp;'Compliance Database'!$M807&amp;" "&amp;'Compliance Database'!$N807&amp;" "&amp;'Compliance Database'!$O807)))),1,0)</f>
        <v>0</v>
      </c>
      <c r="B807" t="str">
        <f>IF($A807=1,SUM($A$2:$A807),"")</f>
        <v/>
      </c>
      <c r="C807">
        <f>IF($A807=1,SUM($A$2:$A807),0)</f>
        <v>0</v>
      </c>
    </row>
    <row r="808" spans="1:3" x14ac:dyDescent="0.3">
      <c r="A808">
        <f>IF(AND(OR('Compliance Database'!$A808='Data Transfer'!$B$4,'Compliance Database'!$A808='Data Transfer'!$B$5),OR('Data Transfer'!$B$6="",ISNUMBER(SEARCH('Data Transfer'!$B$6,'Compliance Database'!$D808&amp;" "&amp;'Compliance Database'!$K808&amp;" "&amp;'Compliance Database'!$L808&amp;" "&amp;'Compliance Database'!$M808&amp;" "&amp;'Compliance Database'!$N808&amp;" "&amp;'Compliance Database'!$O808)))),1,0)</f>
        <v>0</v>
      </c>
      <c r="B808" t="str">
        <f>IF($A808=1,SUM($A$2:$A808),"")</f>
        <v/>
      </c>
      <c r="C808">
        <f>IF($A808=1,SUM($A$2:$A808),0)</f>
        <v>0</v>
      </c>
    </row>
    <row r="809" spans="1:3" x14ac:dyDescent="0.3">
      <c r="A809">
        <f>IF(AND(OR('Compliance Database'!$A809='Data Transfer'!$B$4,'Compliance Database'!$A809='Data Transfer'!$B$5),OR('Data Transfer'!$B$6="",ISNUMBER(SEARCH('Data Transfer'!$B$6,'Compliance Database'!$D809&amp;" "&amp;'Compliance Database'!$K809&amp;" "&amp;'Compliance Database'!$L809&amp;" "&amp;'Compliance Database'!$M809&amp;" "&amp;'Compliance Database'!$N809&amp;" "&amp;'Compliance Database'!$O809)))),1,0)</f>
        <v>0</v>
      </c>
      <c r="B809" t="str">
        <f>IF($A809=1,SUM($A$2:$A809),"")</f>
        <v/>
      </c>
      <c r="C809">
        <f>IF($A809=1,SUM($A$2:$A809),0)</f>
        <v>0</v>
      </c>
    </row>
    <row r="810" spans="1:3" x14ac:dyDescent="0.3">
      <c r="A810">
        <f>IF(AND(OR('Compliance Database'!$A810='Data Transfer'!$B$4,'Compliance Database'!$A810='Data Transfer'!$B$5),OR('Data Transfer'!$B$6="",ISNUMBER(SEARCH('Data Transfer'!$B$6,'Compliance Database'!$D810&amp;" "&amp;'Compliance Database'!$K810&amp;" "&amp;'Compliance Database'!$L810&amp;" "&amp;'Compliance Database'!$M810&amp;" "&amp;'Compliance Database'!$N810&amp;" "&amp;'Compliance Database'!$O810)))),1,0)</f>
        <v>0</v>
      </c>
      <c r="B810" t="str">
        <f>IF($A810=1,SUM($A$2:$A810),"")</f>
        <v/>
      </c>
      <c r="C810">
        <f>IF($A810=1,SUM($A$2:$A810),0)</f>
        <v>0</v>
      </c>
    </row>
    <row r="811" spans="1:3" x14ac:dyDescent="0.3">
      <c r="A811">
        <f>IF(AND(OR('Compliance Database'!$A811='Data Transfer'!$B$4,'Compliance Database'!$A811='Data Transfer'!$B$5),OR('Data Transfer'!$B$6="",ISNUMBER(SEARCH('Data Transfer'!$B$6,'Compliance Database'!$D811&amp;" "&amp;'Compliance Database'!$K811&amp;" "&amp;'Compliance Database'!$L811&amp;" "&amp;'Compliance Database'!$M811&amp;" "&amp;'Compliance Database'!$N811&amp;" "&amp;'Compliance Database'!$O811)))),1,0)</f>
        <v>0</v>
      </c>
      <c r="B811" t="str">
        <f>IF($A811=1,SUM($A$2:$A811),"")</f>
        <v/>
      </c>
      <c r="C811">
        <f>IF($A811=1,SUM($A$2:$A811),0)</f>
        <v>0</v>
      </c>
    </row>
    <row r="812" spans="1:3" x14ac:dyDescent="0.3">
      <c r="A812">
        <f>IF(AND(OR('Compliance Database'!$A812='Data Transfer'!$B$4,'Compliance Database'!$A812='Data Transfer'!$B$5),OR('Data Transfer'!$B$6="",ISNUMBER(SEARCH('Data Transfer'!$B$6,'Compliance Database'!$D812&amp;" "&amp;'Compliance Database'!$K812&amp;" "&amp;'Compliance Database'!$L812&amp;" "&amp;'Compliance Database'!$M812&amp;" "&amp;'Compliance Database'!$N812&amp;" "&amp;'Compliance Database'!$O812)))),1,0)</f>
        <v>0</v>
      </c>
      <c r="B812" t="str">
        <f>IF($A812=1,SUM($A$2:$A812),"")</f>
        <v/>
      </c>
      <c r="C812">
        <f>IF($A812=1,SUM($A$2:$A812),0)</f>
        <v>0</v>
      </c>
    </row>
    <row r="813" spans="1:3" x14ac:dyDescent="0.3">
      <c r="A813">
        <f>IF(AND(OR('Compliance Database'!$A813='Data Transfer'!$B$4,'Compliance Database'!$A813='Data Transfer'!$B$5),OR('Data Transfer'!$B$6="",ISNUMBER(SEARCH('Data Transfer'!$B$6,'Compliance Database'!$D813&amp;" "&amp;'Compliance Database'!$K813&amp;" "&amp;'Compliance Database'!$L813&amp;" "&amp;'Compliance Database'!$M813&amp;" "&amp;'Compliance Database'!$N813&amp;" "&amp;'Compliance Database'!$O813)))),1,0)</f>
        <v>0</v>
      </c>
      <c r="B813" t="str">
        <f>IF($A813=1,SUM($A$2:$A813),"")</f>
        <v/>
      </c>
      <c r="C813">
        <f>IF($A813=1,SUM($A$2:$A813),0)</f>
        <v>0</v>
      </c>
    </row>
    <row r="814" spans="1:3" x14ac:dyDescent="0.3">
      <c r="A814">
        <f>IF(AND(OR('Compliance Database'!$A814='Data Transfer'!$B$4,'Compliance Database'!$A814='Data Transfer'!$B$5),OR('Data Transfer'!$B$6="",ISNUMBER(SEARCH('Data Transfer'!$B$6,'Compliance Database'!$D814&amp;" "&amp;'Compliance Database'!$K814&amp;" "&amp;'Compliance Database'!$L814&amp;" "&amp;'Compliance Database'!$M814&amp;" "&amp;'Compliance Database'!$N814&amp;" "&amp;'Compliance Database'!$O814)))),1,0)</f>
        <v>0</v>
      </c>
      <c r="B814" t="str">
        <f>IF($A814=1,SUM($A$2:$A814),"")</f>
        <v/>
      </c>
      <c r="C814">
        <f>IF($A814=1,SUM($A$2:$A814),0)</f>
        <v>0</v>
      </c>
    </row>
    <row r="815" spans="1:3" x14ac:dyDescent="0.3">
      <c r="A815">
        <f>IF(AND(OR('Compliance Database'!$A815='Data Transfer'!$B$4,'Compliance Database'!$A815='Data Transfer'!$B$5),OR('Data Transfer'!$B$6="",ISNUMBER(SEARCH('Data Transfer'!$B$6,'Compliance Database'!$D815&amp;" "&amp;'Compliance Database'!$K815&amp;" "&amp;'Compliance Database'!$L815&amp;" "&amp;'Compliance Database'!$M815&amp;" "&amp;'Compliance Database'!$N815&amp;" "&amp;'Compliance Database'!$O815)))),1,0)</f>
        <v>0</v>
      </c>
      <c r="B815" t="str">
        <f>IF($A815=1,SUM($A$2:$A815),"")</f>
        <v/>
      </c>
      <c r="C815">
        <f>IF($A815=1,SUM($A$2:$A815),0)</f>
        <v>0</v>
      </c>
    </row>
    <row r="816" spans="1:3" x14ac:dyDescent="0.3">
      <c r="A816">
        <f>IF(AND(OR('Compliance Database'!$A816='Data Transfer'!$B$4,'Compliance Database'!$A816='Data Transfer'!$B$5),OR('Data Transfer'!$B$6="",ISNUMBER(SEARCH('Data Transfer'!$B$6,'Compliance Database'!$D816&amp;" "&amp;'Compliance Database'!$K816&amp;" "&amp;'Compliance Database'!$L816&amp;" "&amp;'Compliance Database'!$M816&amp;" "&amp;'Compliance Database'!$N816&amp;" "&amp;'Compliance Database'!$O816)))),1,0)</f>
        <v>0</v>
      </c>
      <c r="B816" t="str">
        <f>IF($A816=1,SUM($A$2:$A816),"")</f>
        <v/>
      </c>
      <c r="C816">
        <f>IF($A816=1,SUM($A$2:$A816),0)</f>
        <v>0</v>
      </c>
    </row>
    <row r="817" spans="1:3" x14ac:dyDescent="0.3">
      <c r="A817">
        <f>IF(AND(OR('Compliance Database'!$A817='Data Transfer'!$B$4,'Compliance Database'!$A817='Data Transfer'!$B$5),OR('Data Transfer'!$B$6="",ISNUMBER(SEARCH('Data Transfer'!$B$6,'Compliance Database'!$D817&amp;" "&amp;'Compliance Database'!$K817&amp;" "&amp;'Compliance Database'!$L817&amp;" "&amp;'Compliance Database'!$M817&amp;" "&amp;'Compliance Database'!$N817&amp;" "&amp;'Compliance Database'!$O817)))),1,0)</f>
        <v>0</v>
      </c>
      <c r="B817" t="str">
        <f>IF($A817=1,SUM($A$2:$A817),"")</f>
        <v/>
      </c>
      <c r="C817">
        <f>IF($A817=1,SUM($A$2:$A817),0)</f>
        <v>0</v>
      </c>
    </row>
    <row r="818" spans="1:3" x14ac:dyDescent="0.3">
      <c r="A818">
        <f>IF(AND(OR('Compliance Database'!$A818='Data Transfer'!$B$4,'Compliance Database'!$A818='Data Transfer'!$B$5),OR('Data Transfer'!$B$6="",ISNUMBER(SEARCH('Data Transfer'!$B$6,'Compliance Database'!$D818&amp;" "&amp;'Compliance Database'!$K818&amp;" "&amp;'Compliance Database'!$L818&amp;" "&amp;'Compliance Database'!$M818&amp;" "&amp;'Compliance Database'!$N818&amp;" "&amp;'Compliance Database'!$O818)))),1,0)</f>
        <v>0</v>
      </c>
      <c r="B818" t="str">
        <f>IF($A818=1,SUM($A$2:$A818),"")</f>
        <v/>
      </c>
      <c r="C818">
        <f>IF($A818=1,SUM($A$2:$A818),0)</f>
        <v>0</v>
      </c>
    </row>
    <row r="819" spans="1:3" x14ac:dyDescent="0.3">
      <c r="A819">
        <f>IF(AND(OR('Compliance Database'!$A819='Data Transfer'!$B$4,'Compliance Database'!$A819='Data Transfer'!$B$5),OR('Data Transfer'!$B$6="",ISNUMBER(SEARCH('Data Transfer'!$B$6,'Compliance Database'!$D819&amp;" "&amp;'Compliance Database'!$K819&amp;" "&amp;'Compliance Database'!$L819&amp;" "&amp;'Compliance Database'!$M819&amp;" "&amp;'Compliance Database'!$N819&amp;" "&amp;'Compliance Database'!$O819)))),1,0)</f>
        <v>0</v>
      </c>
      <c r="B819" t="str">
        <f>IF($A819=1,SUM($A$2:$A819),"")</f>
        <v/>
      </c>
      <c r="C819">
        <f>IF($A819=1,SUM($A$2:$A819),0)</f>
        <v>0</v>
      </c>
    </row>
    <row r="820" spans="1:3" x14ac:dyDescent="0.3">
      <c r="A820">
        <f>IF(AND(OR('Compliance Database'!$A820='Data Transfer'!$B$4,'Compliance Database'!$A820='Data Transfer'!$B$5),OR('Data Transfer'!$B$6="",ISNUMBER(SEARCH('Data Transfer'!$B$6,'Compliance Database'!$D820&amp;" "&amp;'Compliance Database'!$K820&amp;" "&amp;'Compliance Database'!$L820&amp;" "&amp;'Compliance Database'!$M820&amp;" "&amp;'Compliance Database'!$N820&amp;" "&amp;'Compliance Database'!$O820)))),1,0)</f>
        <v>0</v>
      </c>
      <c r="B820" t="str">
        <f>IF($A820=1,SUM($A$2:$A820),"")</f>
        <v/>
      </c>
      <c r="C820">
        <f>IF($A820=1,SUM($A$2:$A820),0)</f>
        <v>0</v>
      </c>
    </row>
    <row r="821" spans="1:3" x14ac:dyDescent="0.3">
      <c r="A821">
        <f>IF(AND(OR('Compliance Database'!$A821='Data Transfer'!$B$4,'Compliance Database'!$A821='Data Transfer'!$B$5),OR('Data Transfer'!$B$6="",ISNUMBER(SEARCH('Data Transfer'!$B$6,'Compliance Database'!$D821&amp;" "&amp;'Compliance Database'!$K821&amp;" "&amp;'Compliance Database'!$L821&amp;" "&amp;'Compliance Database'!$M821&amp;" "&amp;'Compliance Database'!$N821&amp;" "&amp;'Compliance Database'!$O821)))),1,0)</f>
        <v>0</v>
      </c>
      <c r="B821" t="str">
        <f>IF($A821=1,SUM($A$2:$A821),"")</f>
        <v/>
      </c>
      <c r="C821">
        <f>IF($A821=1,SUM($A$2:$A821),0)</f>
        <v>0</v>
      </c>
    </row>
    <row r="822" spans="1:3" x14ac:dyDescent="0.3">
      <c r="A822">
        <f>IF(AND(OR('Compliance Database'!$A822='Data Transfer'!$B$4,'Compliance Database'!$A822='Data Transfer'!$B$5),OR('Data Transfer'!$B$6="",ISNUMBER(SEARCH('Data Transfer'!$B$6,'Compliance Database'!$D822&amp;" "&amp;'Compliance Database'!$K822&amp;" "&amp;'Compliance Database'!$L822&amp;" "&amp;'Compliance Database'!$M822&amp;" "&amp;'Compliance Database'!$N822&amp;" "&amp;'Compliance Database'!$O822)))),1,0)</f>
        <v>0</v>
      </c>
      <c r="B822" t="str">
        <f>IF($A822=1,SUM($A$2:$A822),"")</f>
        <v/>
      </c>
      <c r="C822">
        <f>IF($A822=1,SUM($A$2:$A822),0)</f>
        <v>0</v>
      </c>
    </row>
    <row r="823" spans="1:3" x14ac:dyDescent="0.3">
      <c r="A823">
        <f>IF(AND(OR('Compliance Database'!$A823='Data Transfer'!$B$4,'Compliance Database'!$A823='Data Transfer'!$B$5),OR('Data Transfer'!$B$6="",ISNUMBER(SEARCH('Data Transfer'!$B$6,'Compliance Database'!$D823&amp;" "&amp;'Compliance Database'!$K823&amp;" "&amp;'Compliance Database'!$L823&amp;" "&amp;'Compliance Database'!$M823&amp;" "&amp;'Compliance Database'!$N823&amp;" "&amp;'Compliance Database'!$O823)))),1,0)</f>
        <v>0</v>
      </c>
      <c r="B823" t="str">
        <f>IF($A823=1,SUM($A$2:$A823),"")</f>
        <v/>
      </c>
      <c r="C823">
        <f>IF($A823=1,SUM($A$2:$A823),0)</f>
        <v>0</v>
      </c>
    </row>
    <row r="824" spans="1:3" x14ac:dyDescent="0.3">
      <c r="A824">
        <f>IF(AND(OR('Compliance Database'!$A824='Data Transfer'!$B$4,'Compliance Database'!$A824='Data Transfer'!$B$5),OR('Data Transfer'!$B$6="",ISNUMBER(SEARCH('Data Transfer'!$B$6,'Compliance Database'!$D824&amp;" "&amp;'Compliance Database'!$K824&amp;" "&amp;'Compliance Database'!$L824&amp;" "&amp;'Compliance Database'!$M824&amp;" "&amp;'Compliance Database'!$N824&amp;" "&amp;'Compliance Database'!$O824)))),1,0)</f>
        <v>0</v>
      </c>
      <c r="B824" t="str">
        <f>IF($A824=1,SUM($A$2:$A824),"")</f>
        <v/>
      </c>
      <c r="C824">
        <f>IF($A824=1,SUM($A$2:$A824),0)</f>
        <v>0</v>
      </c>
    </row>
    <row r="825" spans="1:3" x14ac:dyDescent="0.3">
      <c r="A825">
        <f>IF(AND(OR('Compliance Database'!$A825='Data Transfer'!$B$4,'Compliance Database'!$A825='Data Transfer'!$B$5),OR('Data Transfer'!$B$6="",ISNUMBER(SEARCH('Data Transfer'!$B$6,'Compliance Database'!$D825&amp;" "&amp;'Compliance Database'!$K825&amp;" "&amp;'Compliance Database'!$L825&amp;" "&amp;'Compliance Database'!$M825&amp;" "&amp;'Compliance Database'!$N825&amp;" "&amp;'Compliance Database'!$O825)))),1,0)</f>
        <v>0</v>
      </c>
      <c r="B825" t="str">
        <f>IF($A825=1,SUM($A$2:$A825),"")</f>
        <v/>
      </c>
      <c r="C825">
        <f>IF($A825=1,SUM($A$2:$A825),0)</f>
        <v>0</v>
      </c>
    </row>
    <row r="826" spans="1:3" x14ac:dyDescent="0.3">
      <c r="A826">
        <f>IF(AND(OR('Compliance Database'!$A826='Data Transfer'!$B$4,'Compliance Database'!$A826='Data Transfer'!$B$5),OR('Data Transfer'!$B$6="",ISNUMBER(SEARCH('Data Transfer'!$B$6,'Compliance Database'!$D826&amp;" "&amp;'Compliance Database'!$K826&amp;" "&amp;'Compliance Database'!$L826&amp;" "&amp;'Compliance Database'!$M826&amp;" "&amp;'Compliance Database'!$N826&amp;" "&amp;'Compliance Database'!$O826)))),1,0)</f>
        <v>0</v>
      </c>
      <c r="B826" t="str">
        <f>IF($A826=1,SUM($A$2:$A826),"")</f>
        <v/>
      </c>
      <c r="C826">
        <f>IF($A826=1,SUM($A$2:$A826),0)</f>
        <v>0</v>
      </c>
    </row>
    <row r="827" spans="1:3" x14ac:dyDescent="0.3">
      <c r="A827">
        <f>IF(AND(OR('Compliance Database'!$A827='Data Transfer'!$B$4,'Compliance Database'!$A827='Data Transfer'!$B$5),OR('Data Transfer'!$B$6="",ISNUMBER(SEARCH('Data Transfer'!$B$6,'Compliance Database'!$D827&amp;" "&amp;'Compliance Database'!$K827&amp;" "&amp;'Compliance Database'!$L827&amp;" "&amp;'Compliance Database'!$M827&amp;" "&amp;'Compliance Database'!$N827&amp;" "&amp;'Compliance Database'!$O827)))),1,0)</f>
        <v>0</v>
      </c>
      <c r="B827" t="str">
        <f>IF($A827=1,SUM($A$2:$A827),"")</f>
        <v/>
      </c>
      <c r="C827">
        <f>IF($A827=1,SUM($A$2:$A827),0)</f>
        <v>0</v>
      </c>
    </row>
    <row r="828" spans="1:3" x14ac:dyDescent="0.3">
      <c r="A828">
        <f>IF(AND(OR('Compliance Database'!$A828='Data Transfer'!$B$4,'Compliance Database'!$A828='Data Transfer'!$B$5),OR('Data Transfer'!$B$6="",ISNUMBER(SEARCH('Data Transfer'!$B$6,'Compliance Database'!$D828&amp;" "&amp;'Compliance Database'!$K828&amp;" "&amp;'Compliance Database'!$L828&amp;" "&amp;'Compliance Database'!$M828&amp;" "&amp;'Compliance Database'!$N828&amp;" "&amp;'Compliance Database'!$O828)))),1,0)</f>
        <v>0</v>
      </c>
      <c r="B828" t="str">
        <f>IF($A828=1,SUM($A$2:$A828),"")</f>
        <v/>
      </c>
      <c r="C828">
        <f>IF($A828=1,SUM($A$2:$A828),0)</f>
        <v>0</v>
      </c>
    </row>
    <row r="829" spans="1:3" x14ac:dyDescent="0.3">
      <c r="A829">
        <f>IF(AND(OR('Compliance Database'!$A829='Data Transfer'!$B$4,'Compliance Database'!$A829='Data Transfer'!$B$5),OR('Data Transfer'!$B$6="",ISNUMBER(SEARCH('Data Transfer'!$B$6,'Compliance Database'!$D829&amp;" "&amp;'Compliance Database'!$K829&amp;" "&amp;'Compliance Database'!$L829&amp;" "&amp;'Compliance Database'!$M829&amp;" "&amp;'Compliance Database'!$N829&amp;" "&amp;'Compliance Database'!$O829)))),1,0)</f>
        <v>0</v>
      </c>
      <c r="B829" t="str">
        <f>IF($A829=1,SUM($A$2:$A829),"")</f>
        <v/>
      </c>
      <c r="C829">
        <f>IF($A829=1,SUM($A$2:$A829),0)</f>
        <v>0</v>
      </c>
    </row>
    <row r="830" spans="1:3" x14ac:dyDescent="0.3">
      <c r="A830">
        <f>IF(AND(OR('Compliance Database'!$A830='Data Transfer'!$B$4,'Compliance Database'!$A830='Data Transfer'!$B$5),OR('Data Transfer'!$B$6="",ISNUMBER(SEARCH('Data Transfer'!$B$6,'Compliance Database'!$D830&amp;" "&amp;'Compliance Database'!$K830&amp;" "&amp;'Compliance Database'!$L830&amp;" "&amp;'Compliance Database'!$M830&amp;" "&amp;'Compliance Database'!$N830&amp;" "&amp;'Compliance Database'!$O830)))),1,0)</f>
        <v>0</v>
      </c>
      <c r="B830" t="str">
        <f>IF($A830=1,SUM($A$2:$A830),"")</f>
        <v/>
      </c>
      <c r="C830">
        <f>IF($A830=1,SUM($A$2:$A830),0)</f>
        <v>0</v>
      </c>
    </row>
    <row r="831" spans="1:3" x14ac:dyDescent="0.3">
      <c r="A831">
        <f>IF(AND(OR('Compliance Database'!$A831='Data Transfer'!$B$4,'Compliance Database'!$A831='Data Transfer'!$B$5),OR('Data Transfer'!$B$6="",ISNUMBER(SEARCH('Data Transfer'!$B$6,'Compliance Database'!$D831&amp;" "&amp;'Compliance Database'!$K831&amp;" "&amp;'Compliance Database'!$L831&amp;" "&amp;'Compliance Database'!$M831&amp;" "&amp;'Compliance Database'!$N831&amp;" "&amp;'Compliance Database'!$O831)))),1,0)</f>
        <v>0</v>
      </c>
      <c r="B831" t="str">
        <f>IF($A831=1,SUM($A$2:$A831),"")</f>
        <v/>
      </c>
      <c r="C831">
        <f>IF($A831=1,SUM($A$2:$A831),0)</f>
        <v>0</v>
      </c>
    </row>
    <row r="832" spans="1:3" x14ac:dyDescent="0.3">
      <c r="A832">
        <f>IF(AND(OR('Compliance Database'!$A832='Data Transfer'!$B$4,'Compliance Database'!$A832='Data Transfer'!$B$5),OR('Data Transfer'!$B$6="",ISNUMBER(SEARCH('Data Transfer'!$B$6,'Compliance Database'!$D832&amp;" "&amp;'Compliance Database'!$K832&amp;" "&amp;'Compliance Database'!$L832&amp;" "&amp;'Compliance Database'!$M832&amp;" "&amp;'Compliance Database'!$N832&amp;" "&amp;'Compliance Database'!$O832)))),1,0)</f>
        <v>0</v>
      </c>
      <c r="B832" t="str">
        <f>IF($A832=1,SUM($A$2:$A832),"")</f>
        <v/>
      </c>
      <c r="C832">
        <f>IF($A832=1,SUM($A$2:$A832),0)</f>
        <v>0</v>
      </c>
    </row>
    <row r="833" spans="1:3" x14ac:dyDescent="0.3">
      <c r="A833">
        <f>IF(AND(OR('Compliance Database'!$A833='Data Transfer'!$B$4,'Compliance Database'!$A833='Data Transfer'!$B$5),OR('Data Transfer'!$B$6="",ISNUMBER(SEARCH('Data Transfer'!$B$6,'Compliance Database'!$D833&amp;" "&amp;'Compliance Database'!$K833&amp;" "&amp;'Compliance Database'!$L833&amp;" "&amp;'Compliance Database'!$M833&amp;" "&amp;'Compliance Database'!$N833&amp;" "&amp;'Compliance Database'!$O833)))),1,0)</f>
        <v>0</v>
      </c>
      <c r="B833" t="str">
        <f>IF($A833=1,SUM($A$2:$A833),"")</f>
        <v/>
      </c>
      <c r="C833">
        <f>IF($A833=1,SUM($A$2:$A833),0)</f>
        <v>0</v>
      </c>
    </row>
    <row r="834" spans="1:3" x14ac:dyDescent="0.3">
      <c r="A834">
        <f>IF(AND(OR('Compliance Database'!$A834='Data Transfer'!$B$4,'Compliance Database'!$A834='Data Transfer'!$B$5),OR('Data Transfer'!$B$6="",ISNUMBER(SEARCH('Data Transfer'!$B$6,'Compliance Database'!$D834&amp;" "&amp;'Compliance Database'!$K834&amp;" "&amp;'Compliance Database'!$L834&amp;" "&amp;'Compliance Database'!$M834&amp;" "&amp;'Compliance Database'!$N834&amp;" "&amp;'Compliance Database'!$O834)))),1,0)</f>
        <v>0</v>
      </c>
      <c r="B834" t="str">
        <f>IF($A834=1,SUM($A$2:$A834),"")</f>
        <v/>
      </c>
      <c r="C834">
        <f>IF($A834=1,SUM($A$2:$A834),0)</f>
        <v>0</v>
      </c>
    </row>
    <row r="835" spans="1:3" x14ac:dyDescent="0.3">
      <c r="A835">
        <f>IF(AND(OR('Compliance Database'!$A835='Data Transfer'!$B$4,'Compliance Database'!$A835='Data Transfer'!$B$5),OR('Data Transfer'!$B$6="",ISNUMBER(SEARCH('Data Transfer'!$B$6,'Compliance Database'!$D835&amp;" "&amp;'Compliance Database'!$K835&amp;" "&amp;'Compliance Database'!$L835&amp;" "&amp;'Compliance Database'!$M835&amp;" "&amp;'Compliance Database'!$N835&amp;" "&amp;'Compliance Database'!$O835)))),1,0)</f>
        <v>0</v>
      </c>
      <c r="B835" t="str">
        <f>IF($A835=1,SUM($A$2:$A835),"")</f>
        <v/>
      </c>
      <c r="C835">
        <f>IF($A835=1,SUM($A$2:$A835),0)</f>
        <v>0</v>
      </c>
    </row>
    <row r="836" spans="1:3" x14ac:dyDescent="0.3">
      <c r="A836">
        <f>IF(AND(OR('Compliance Database'!$A836='Data Transfer'!$B$4,'Compliance Database'!$A836='Data Transfer'!$B$5),OR('Data Transfer'!$B$6="",ISNUMBER(SEARCH('Data Transfer'!$B$6,'Compliance Database'!$D836&amp;" "&amp;'Compliance Database'!$K836&amp;" "&amp;'Compliance Database'!$L836&amp;" "&amp;'Compliance Database'!$M836&amp;" "&amp;'Compliance Database'!$N836&amp;" "&amp;'Compliance Database'!$O836)))),1,0)</f>
        <v>0</v>
      </c>
      <c r="B836" t="str">
        <f>IF($A836=1,SUM($A$2:$A836),"")</f>
        <v/>
      </c>
      <c r="C836">
        <f>IF($A836=1,SUM($A$2:$A836),0)</f>
        <v>0</v>
      </c>
    </row>
    <row r="837" spans="1:3" x14ac:dyDescent="0.3">
      <c r="A837">
        <f>IF(AND(OR('Compliance Database'!$A837='Data Transfer'!$B$4,'Compliance Database'!$A837='Data Transfer'!$B$5),OR('Data Transfer'!$B$6="",ISNUMBER(SEARCH('Data Transfer'!$B$6,'Compliance Database'!$D837&amp;" "&amp;'Compliance Database'!$K837&amp;" "&amp;'Compliance Database'!$L837&amp;" "&amp;'Compliance Database'!$M837&amp;" "&amp;'Compliance Database'!$N837&amp;" "&amp;'Compliance Database'!$O837)))),1,0)</f>
        <v>0</v>
      </c>
      <c r="B837" t="str">
        <f>IF($A837=1,SUM($A$2:$A837),"")</f>
        <v/>
      </c>
      <c r="C837">
        <f>IF($A837=1,SUM($A$2:$A837),0)</f>
        <v>0</v>
      </c>
    </row>
    <row r="838" spans="1:3" x14ac:dyDescent="0.3">
      <c r="A838">
        <f>IF(AND(OR('Compliance Database'!$A838='Data Transfer'!$B$4,'Compliance Database'!$A838='Data Transfer'!$B$5),OR('Data Transfer'!$B$6="",ISNUMBER(SEARCH('Data Transfer'!$B$6,'Compliance Database'!$D838&amp;" "&amp;'Compliance Database'!$K838&amp;" "&amp;'Compliance Database'!$L838&amp;" "&amp;'Compliance Database'!$M838&amp;" "&amp;'Compliance Database'!$N838&amp;" "&amp;'Compliance Database'!$O838)))),1,0)</f>
        <v>0</v>
      </c>
      <c r="B838" t="str">
        <f>IF($A838=1,SUM($A$2:$A838),"")</f>
        <v/>
      </c>
      <c r="C838">
        <f>IF($A838=1,SUM($A$2:$A838),0)</f>
        <v>0</v>
      </c>
    </row>
    <row r="839" spans="1:3" x14ac:dyDescent="0.3">
      <c r="A839">
        <f>IF(AND(OR('Compliance Database'!$A839='Data Transfer'!$B$4,'Compliance Database'!$A839='Data Transfer'!$B$5),OR('Data Transfer'!$B$6="",ISNUMBER(SEARCH('Data Transfer'!$B$6,'Compliance Database'!$D839&amp;" "&amp;'Compliance Database'!$K839&amp;" "&amp;'Compliance Database'!$L839&amp;" "&amp;'Compliance Database'!$M839&amp;" "&amp;'Compliance Database'!$N839&amp;" "&amp;'Compliance Database'!$O839)))),1,0)</f>
        <v>0</v>
      </c>
      <c r="B839" t="str">
        <f>IF($A839=1,SUM($A$2:$A839),"")</f>
        <v/>
      </c>
      <c r="C839">
        <f>IF($A839=1,SUM($A$2:$A839),0)</f>
        <v>0</v>
      </c>
    </row>
    <row r="840" spans="1:3" x14ac:dyDescent="0.3">
      <c r="A840">
        <f>IF(AND(OR('Compliance Database'!$A840='Data Transfer'!$B$4,'Compliance Database'!$A840='Data Transfer'!$B$5),OR('Data Transfer'!$B$6="",ISNUMBER(SEARCH('Data Transfer'!$B$6,'Compliance Database'!$D840&amp;" "&amp;'Compliance Database'!$K840&amp;" "&amp;'Compliance Database'!$L840&amp;" "&amp;'Compliance Database'!$M840&amp;" "&amp;'Compliance Database'!$N840&amp;" "&amp;'Compliance Database'!$O840)))),1,0)</f>
        <v>0</v>
      </c>
      <c r="B840" t="str">
        <f>IF($A840=1,SUM($A$2:$A840),"")</f>
        <v/>
      </c>
      <c r="C840">
        <f>IF($A840=1,SUM($A$2:$A840),0)</f>
        <v>0</v>
      </c>
    </row>
    <row r="841" spans="1:3" x14ac:dyDescent="0.3">
      <c r="A841">
        <f>IF(AND(OR('Compliance Database'!$A841='Data Transfer'!$B$4,'Compliance Database'!$A841='Data Transfer'!$B$5),OR('Data Transfer'!$B$6="",ISNUMBER(SEARCH('Data Transfer'!$B$6,'Compliance Database'!$D841&amp;" "&amp;'Compliance Database'!$K841&amp;" "&amp;'Compliance Database'!$L841&amp;" "&amp;'Compliance Database'!$M841&amp;" "&amp;'Compliance Database'!$N841&amp;" "&amp;'Compliance Database'!$O841)))),1,0)</f>
        <v>0</v>
      </c>
      <c r="B841" t="str">
        <f>IF($A841=1,SUM($A$2:$A841),"")</f>
        <v/>
      </c>
      <c r="C841">
        <f>IF($A841=1,SUM($A$2:$A841),0)</f>
        <v>0</v>
      </c>
    </row>
    <row r="842" spans="1:3" x14ac:dyDescent="0.3">
      <c r="A842">
        <f>IF(AND(OR('Compliance Database'!$A842='Data Transfer'!$B$4,'Compliance Database'!$A842='Data Transfer'!$B$5),OR('Data Transfer'!$B$6="",ISNUMBER(SEARCH('Data Transfer'!$B$6,'Compliance Database'!$D842&amp;" "&amp;'Compliance Database'!$K842&amp;" "&amp;'Compliance Database'!$L842&amp;" "&amp;'Compliance Database'!$M842&amp;" "&amp;'Compliance Database'!$N842&amp;" "&amp;'Compliance Database'!$O842)))),1,0)</f>
        <v>0</v>
      </c>
      <c r="B842" t="str">
        <f>IF($A842=1,SUM($A$2:$A842),"")</f>
        <v/>
      </c>
      <c r="C842">
        <f>IF($A842=1,SUM($A$2:$A842),0)</f>
        <v>0</v>
      </c>
    </row>
    <row r="843" spans="1:3" x14ac:dyDescent="0.3">
      <c r="A843">
        <f>IF(AND(OR('Compliance Database'!$A843='Data Transfer'!$B$4,'Compliance Database'!$A843='Data Transfer'!$B$5),OR('Data Transfer'!$B$6="",ISNUMBER(SEARCH('Data Transfer'!$B$6,'Compliance Database'!$D843&amp;" "&amp;'Compliance Database'!$K843&amp;" "&amp;'Compliance Database'!$L843&amp;" "&amp;'Compliance Database'!$M843&amp;" "&amp;'Compliance Database'!$N843&amp;" "&amp;'Compliance Database'!$O843)))),1,0)</f>
        <v>0</v>
      </c>
      <c r="B843" t="str">
        <f>IF($A843=1,SUM($A$2:$A843),"")</f>
        <v/>
      </c>
      <c r="C843">
        <f>IF($A843=1,SUM($A$2:$A843),0)</f>
        <v>0</v>
      </c>
    </row>
    <row r="844" spans="1:3" x14ac:dyDescent="0.3">
      <c r="A844">
        <f>IF(AND(OR('Compliance Database'!$A844='Data Transfer'!$B$4,'Compliance Database'!$A844='Data Transfer'!$B$5),OR('Data Transfer'!$B$6="",ISNUMBER(SEARCH('Data Transfer'!$B$6,'Compliance Database'!$D844&amp;" "&amp;'Compliance Database'!$K844&amp;" "&amp;'Compliance Database'!$L844&amp;" "&amp;'Compliance Database'!$M844&amp;" "&amp;'Compliance Database'!$N844&amp;" "&amp;'Compliance Database'!$O844)))),1,0)</f>
        <v>0</v>
      </c>
      <c r="B844" t="str">
        <f>IF($A844=1,SUM($A$2:$A844),"")</f>
        <v/>
      </c>
      <c r="C844">
        <f>IF($A844=1,SUM($A$2:$A844),0)</f>
        <v>0</v>
      </c>
    </row>
    <row r="845" spans="1:3" x14ac:dyDescent="0.3">
      <c r="A845">
        <f>IF(AND(OR('Compliance Database'!$A845='Data Transfer'!$B$4,'Compliance Database'!$A845='Data Transfer'!$B$5),OR('Data Transfer'!$B$6="",ISNUMBER(SEARCH('Data Transfer'!$B$6,'Compliance Database'!$D845&amp;" "&amp;'Compliance Database'!$K845&amp;" "&amp;'Compliance Database'!$L845&amp;" "&amp;'Compliance Database'!$M845&amp;" "&amp;'Compliance Database'!$N845&amp;" "&amp;'Compliance Database'!$O845)))),1,0)</f>
        <v>0</v>
      </c>
      <c r="B845" t="str">
        <f>IF($A845=1,SUM($A$2:$A845),"")</f>
        <v/>
      </c>
      <c r="C845">
        <f>IF($A845=1,SUM($A$2:$A845),0)</f>
        <v>0</v>
      </c>
    </row>
    <row r="846" spans="1:3" x14ac:dyDescent="0.3">
      <c r="A846">
        <f>IF(AND(OR('Compliance Database'!$A846='Data Transfer'!$B$4,'Compliance Database'!$A846='Data Transfer'!$B$5),OR('Data Transfer'!$B$6="",ISNUMBER(SEARCH('Data Transfer'!$B$6,'Compliance Database'!$D846&amp;" "&amp;'Compliance Database'!$K846&amp;" "&amp;'Compliance Database'!$L846&amp;" "&amp;'Compliance Database'!$M846&amp;" "&amp;'Compliance Database'!$N846&amp;" "&amp;'Compliance Database'!$O846)))),1,0)</f>
        <v>0</v>
      </c>
      <c r="B846" t="str">
        <f>IF($A846=1,SUM($A$2:$A846),"")</f>
        <v/>
      </c>
      <c r="C846">
        <f>IF($A846=1,SUM($A$2:$A846),0)</f>
        <v>0</v>
      </c>
    </row>
    <row r="847" spans="1:3" x14ac:dyDescent="0.3">
      <c r="A847">
        <f>IF(AND(OR('Compliance Database'!$A847='Data Transfer'!$B$4,'Compliance Database'!$A847='Data Transfer'!$B$5),OR('Data Transfer'!$B$6="",ISNUMBER(SEARCH('Data Transfer'!$B$6,'Compliance Database'!$D847&amp;" "&amp;'Compliance Database'!$K847&amp;" "&amp;'Compliance Database'!$L847&amp;" "&amp;'Compliance Database'!$M847&amp;" "&amp;'Compliance Database'!$N847&amp;" "&amp;'Compliance Database'!$O847)))),1,0)</f>
        <v>0</v>
      </c>
      <c r="B847" t="str">
        <f>IF($A847=1,SUM($A$2:$A847),"")</f>
        <v/>
      </c>
      <c r="C847">
        <f>IF($A847=1,SUM($A$2:$A847),0)</f>
        <v>0</v>
      </c>
    </row>
    <row r="848" spans="1:3" x14ac:dyDescent="0.3">
      <c r="A848">
        <f>IF(AND(OR('Compliance Database'!$A848='Data Transfer'!$B$4,'Compliance Database'!$A848='Data Transfer'!$B$5),OR('Data Transfer'!$B$6="",ISNUMBER(SEARCH('Data Transfer'!$B$6,'Compliance Database'!$D848&amp;" "&amp;'Compliance Database'!$K848&amp;" "&amp;'Compliance Database'!$L848&amp;" "&amp;'Compliance Database'!$M848&amp;" "&amp;'Compliance Database'!$N848&amp;" "&amp;'Compliance Database'!$O848)))),1,0)</f>
        <v>0</v>
      </c>
      <c r="B848" t="str">
        <f>IF($A848=1,SUM($A$2:$A848),"")</f>
        <v/>
      </c>
      <c r="C848">
        <f>IF($A848=1,SUM($A$2:$A848),0)</f>
        <v>0</v>
      </c>
    </row>
    <row r="849" spans="1:3" x14ac:dyDescent="0.3">
      <c r="A849">
        <f>IF(AND(OR('Compliance Database'!$A849='Data Transfer'!$B$4,'Compliance Database'!$A849='Data Transfer'!$B$5),OR('Data Transfer'!$B$6="",ISNUMBER(SEARCH('Data Transfer'!$B$6,'Compliance Database'!$D849&amp;" "&amp;'Compliance Database'!$K849&amp;" "&amp;'Compliance Database'!$L849&amp;" "&amp;'Compliance Database'!$M849&amp;" "&amp;'Compliance Database'!$N849&amp;" "&amp;'Compliance Database'!$O849)))),1,0)</f>
        <v>0</v>
      </c>
      <c r="B849" t="str">
        <f>IF($A849=1,SUM($A$2:$A849),"")</f>
        <v/>
      </c>
      <c r="C849">
        <f>IF($A849=1,SUM($A$2:$A849),0)</f>
        <v>0</v>
      </c>
    </row>
    <row r="850" spans="1:3" x14ac:dyDescent="0.3">
      <c r="A850">
        <f>IF(AND(OR('Compliance Database'!$A850='Data Transfer'!$B$4,'Compliance Database'!$A850='Data Transfer'!$B$5),OR('Data Transfer'!$B$6="",ISNUMBER(SEARCH('Data Transfer'!$B$6,'Compliance Database'!$D850&amp;" "&amp;'Compliance Database'!$K850&amp;" "&amp;'Compliance Database'!$L850&amp;" "&amp;'Compliance Database'!$M850&amp;" "&amp;'Compliance Database'!$N850&amp;" "&amp;'Compliance Database'!$O850)))),1,0)</f>
        <v>0</v>
      </c>
      <c r="B850" t="str">
        <f>IF($A850=1,SUM($A$2:$A850),"")</f>
        <v/>
      </c>
      <c r="C850">
        <f>IF($A850=1,SUM($A$2:$A850),0)</f>
        <v>0</v>
      </c>
    </row>
    <row r="851" spans="1:3" x14ac:dyDescent="0.3">
      <c r="A851">
        <f>IF(AND(OR('Compliance Database'!$A851='Data Transfer'!$B$4,'Compliance Database'!$A851='Data Transfer'!$B$5),OR('Data Transfer'!$B$6="",ISNUMBER(SEARCH('Data Transfer'!$B$6,'Compliance Database'!$D851&amp;" "&amp;'Compliance Database'!$K851&amp;" "&amp;'Compliance Database'!$L851&amp;" "&amp;'Compliance Database'!$M851&amp;" "&amp;'Compliance Database'!$N851&amp;" "&amp;'Compliance Database'!$O851)))),1,0)</f>
        <v>0</v>
      </c>
      <c r="B851" t="str">
        <f>IF($A851=1,SUM($A$2:$A851),"")</f>
        <v/>
      </c>
      <c r="C851">
        <f>IF($A851=1,SUM($A$2:$A851),0)</f>
        <v>0</v>
      </c>
    </row>
    <row r="852" spans="1:3" x14ac:dyDescent="0.3">
      <c r="A852">
        <f>IF(AND(OR('Compliance Database'!$A852='Data Transfer'!$B$4,'Compliance Database'!$A852='Data Transfer'!$B$5),OR('Data Transfer'!$B$6="",ISNUMBER(SEARCH('Data Transfer'!$B$6,'Compliance Database'!$D852&amp;" "&amp;'Compliance Database'!$K852&amp;" "&amp;'Compliance Database'!$L852&amp;" "&amp;'Compliance Database'!$M852&amp;" "&amp;'Compliance Database'!$N852&amp;" "&amp;'Compliance Database'!$O852)))),1,0)</f>
        <v>0</v>
      </c>
      <c r="B852" t="str">
        <f>IF($A852=1,SUM($A$2:$A852),"")</f>
        <v/>
      </c>
      <c r="C852">
        <f>IF($A852=1,SUM($A$2:$A852),0)</f>
        <v>0</v>
      </c>
    </row>
    <row r="853" spans="1:3" x14ac:dyDescent="0.3">
      <c r="A853">
        <f>IF(AND(OR('Compliance Database'!$A853='Data Transfer'!$B$4,'Compliance Database'!$A853='Data Transfer'!$B$5),OR('Data Transfer'!$B$6="",ISNUMBER(SEARCH('Data Transfer'!$B$6,'Compliance Database'!$D853&amp;" "&amp;'Compliance Database'!$K853&amp;" "&amp;'Compliance Database'!$L853&amp;" "&amp;'Compliance Database'!$M853&amp;" "&amp;'Compliance Database'!$N853&amp;" "&amp;'Compliance Database'!$O853)))),1,0)</f>
        <v>0</v>
      </c>
      <c r="B853" t="str">
        <f>IF($A853=1,SUM($A$2:$A853),"")</f>
        <v/>
      </c>
      <c r="C853">
        <f>IF($A853=1,SUM($A$2:$A853),0)</f>
        <v>0</v>
      </c>
    </row>
    <row r="854" spans="1:3" x14ac:dyDescent="0.3">
      <c r="A854">
        <f>IF(AND(OR('Compliance Database'!$A854='Data Transfer'!$B$4,'Compliance Database'!$A854='Data Transfer'!$B$5),OR('Data Transfer'!$B$6="",ISNUMBER(SEARCH('Data Transfer'!$B$6,'Compliance Database'!$D854&amp;" "&amp;'Compliance Database'!$K854&amp;" "&amp;'Compliance Database'!$L854&amp;" "&amp;'Compliance Database'!$M854&amp;" "&amp;'Compliance Database'!$N854&amp;" "&amp;'Compliance Database'!$O854)))),1,0)</f>
        <v>0</v>
      </c>
      <c r="B854" t="str">
        <f>IF($A854=1,SUM($A$2:$A854),"")</f>
        <v/>
      </c>
      <c r="C854">
        <f>IF($A854=1,SUM($A$2:$A854),0)</f>
        <v>0</v>
      </c>
    </row>
    <row r="855" spans="1:3" x14ac:dyDescent="0.3">
      <c r="A855">
        <f>IF(AND(OR('Compliance Database'!$A855='Data Transfer'!$B$4,'Compliance Database'!$A855='Data Transfer'!$B$5),OR('Data Transfer'!$B$6="",ISNUMBER(SEARCH('Data Transfer'!$B$6,'Compliance Database'!$D855&amp;" "&amp;'Compliance Database'!$K855&amp;" "&amp;'Compliance Database'!$L855&amp;" "&amp;'Compliance Database'!$M855&amp;" "&amp;'Compliance Database'!$N855&amp;" "&amp;'Compliance Database'!$O855)))),1,0)</f>
        <v>0</v>
      </c>
      <c r="B855" t="str">
        <f>IF($A855=1,SUM($A$2:$A855),"")</f>
        <v/>
      </c>
      <c r="C855">
        <f>IF($A855=1,SUM($A$2:$A855),0)</f>
        <v>0</v>
      </c>
    </row>
    <row r="856" spans="1:3" x14ac:dyDescent="0.3">
      <c r="A856">
        <f>IF(AND(OR('Compliance Database'!$A856='Data Transfer'!$B$4,'Compliance Database'!$A856='Data Transfer'!$B$5),OR('Data Transfer'!$B$6="",ISNUMBER(SEARCH('Data Transfer'!$B$6,'Compliance Database'!$D856&amp;" "&amp;'Compliance Database'!$K856&amp;" "&amp;'Compliance Database'!$L856&amp;" "&amp;'Compliance Database'!$M856&amp;" "&amp;'Compliance Database'!$N856&amp;" "&amp;'Compliance Database'!$O856)))),1,0)</f>
        <v>0</v>
      </c>
      <c r="B856" t="str">
        <f>IF($A856=1,SUM($A$2:$A856),"")</f>
        <v/>
      </c>
      <c r="C856">
        <f>IF($A856=1,SUM($A$2:$A856),0)</f>
        <v>0</v>
      </c>
    </row>
    <row r="857" spans="1:3" x14ac:dyDescent="0.3">
      <c r="A857">
        <f>IF(AND(OR('Compliance Database'!$A857='Data Transfer'!$B$4,'Compliance Database'!$A857='Data Transfer'!$B$5),OR('Data Transfer'!$B$6="",ISNUMBER(SEARCH('Data Transfer'!$B$6,'Compliance Database'!$D857&amp;" "&amp;'Compliance Database'!$K857&amp;" "&amp;'Compliance Database'!$L857&amp;" "&amp;'Compliance Database'!$M857&amp;" "&amp;'Compliance Database'!$N857&amp;" "&amp;'Compliance Database'!$O857)))),1,0)</f>
        <v>0</v>
      </c>
      <c r="B857" t="str">
        <f>IF($A857=1,SUM($A$2:$A857),"")</f>
        <v/>
      </c>
      <c r="C857">
        <f>IF($A857=1,SUM($A$2:$A857),0)</f>
        <v>0</v>
      </c>
    </row>
    <row r="858" spans="1:3" x14ac:dyDescent="0.3">
      <c r="A858">
        <f>IF(AND(OR('Compliance Database'!$A858='Data Transfer'!$B$4,'Compliance Database'!$A858='Data Transfer'!$B$5),OR('Data Transfer'!$B$6="",ISNUMBER(SEARCH('Data Transfer'!$B$6,'Compliance Database'!$D858&amp;" "&amp;'Compliance Database'!$K858&amp;" "&amp;'Compliance Database'!$L858&amp;" "&amp;'Compliance Database'!$M858&amp;" "&amp;'Compliance Database'!$N858&amp;" "&amp;'Compliance Database'!$O858)))),1,0)</f>
        <v>0</v>
      </c>
      <c r="B858" t="str">
        <f>IF($A858=1,SUM($A$2:$A858),"")</f>
        <v/>
      </c>
      <c r="C858">
        <f>IF($A858=1,SUM($A$2:$A858),0)</f>
        <v>0</v>
      </c>
    </row>
    <row r="859" spans="1:3" x14ac:dyDescent="0.3">
      <c r="A859">
        <f>IF(AND(OR('Compliance Database'!$A859='Data Transfer'!$B$4,'Compliance Database'!$A859='Data Transfer'!$B$5),OR('Data Transfer'!$B$6="",ISNUMBER(SEARCH('Data Transfer'!$B$6,'Compliance Database'!$D859&amp;" "&amp;'Compliance Database'!$K859&amp;" "&amp;'Compliance Database'!$L859&amp;" "&amp;'Compliance Database'!$M859&amp;" "&amp;'Compliance Database'!$N859&amp;" "&amp;'Compliance Database'!$O859)))),1,0)</f>
        <v>0</v>
      </c>
      <c r="B859" t="str">
        <f>IF($A859=1,SUM($A$2:$A859),"")</f>
        <v/>
      </c>
      <c r="C859">
        <f>IF($A859=1,SUM($A$2:$A859),0)</f>
        <v>0</v>
      </c>
    </row>
    <row r="860" spans="1:3" x14ac:dyDescent="0.3">
      <c r="A860">
        <f>IF(AND(OR('Compliance Database'!$A860='Data Transfer'!$B$4,'Compliance Database'!$A860='Data Transfer'!$B$5),OR('Data Transfer'!$B$6="",ISNUMBER(SEARCH('Data Transfer'!$B$6,'Compliance Database'!$D860&amp;" "&amp;'Compliance Database'!$K860&amp;" "&amp;'Compliance Database'!$L860&amp;" "&amp;'Compliance Database'!$M860&amp;" "&amp;'Compliance Database'!$N860&amp;" "&amp;'Compliance Database'!$O860)))),1,0)</f>
        <v>0</v>
      </c>
      <c r="B860" t="str">
        <f>IF($A860=1,SUM($A$2:$A860),"")</f>
        <v/>
      </c>
      <c r="C860">
        <f>IF($A860=1,SUM($A$2:$A860),0)</f>
        <v>0</v>
      </c>
    </row>
    <row r="861" spans="1:3" x14ac:dyDescent="0.3">
      <c r="A861">
        <f>IF(AND(OR('Compliance Database'!$A861='Data Transfer'!$B$4,'Compliance Database'!$A861='Data Transfer'!$B$5),OR('Data Transfer'!$B$6="",ISNUMBER(SEARCH('Data Transfer'!$B$6,'Compliance Database'!$D861&amp;" "&amp;'Compliance Database'!$K861&amp;" "&amp;'Compliance Database'!$L861&amp;" "&amp;'Compliance Database'!$M861&amp;" "&amp;'Compliance Database'!$N861&amp;" "&amp;'Compliance Database'!$O861)))),1,0)</f>
        <v>0</v>
      </c>
      <c r="B861" t="str">
        <f>IF($A861=1,SUM($A$2:$A861),"")</f>
        <v/>
      </c>
      <c r="C861">
        <f>IF($A861=1,SUM($A$2:$A861),0)</f>
        <v>0</v>
      </c>
    </row>
    <row r="862" spans="1:3" x14ac:dyDescent="0.3">
      <c r="A862">
        <f>IF(AND(OR('Compliance Database'!$A862='Data Transfer'!$B$4,'Compliance Database'!$A862='Data Transfer'!$B$5),OR('Data Transfer'!$B$6="",ISNUMBER(SEARCH('Data Transfer'!$B$6,'Compliance Database'!$D862&amp;" "&amp;'Compliance Database'!$K862&amp;" "&amp;'Compliance Database'!$L862&amp;" "&amp;'Compliance Database'!$M862&amp;" "&amp;'Compliance Database'!$N862&amp;" "&amp;'Compliance Database'!$O862)))),1,0)</f>
        <v>0</v>
      </c>
      <c r="B862" t="str">
        <f>IF($A862=1,SUM($A$2:$A862),"")</f>
        <v/>
      </c>
      <c r="C862">
        <f>IF($A862=1,SUM($A$2:$A862),0)</f>
        <v>0</v>
      </c>
    </row>
    <row r="863" spans="1:3" x14ac:dyDescent="0.3">
      <c r="A863">
        <f>IF(AND(OR('Compliance Database'!$A863='Data Transfer'!$B$4,'Compliance Database'!$A863='Data Transfer'!$B$5),OR('Data Transfer'!$B$6="",ISNUMBER(SEARCH('Data Transfer'!$B$6,'Compliance Database'!$D863&amp;" "&amp;'Compliance Database'!$K863&amp;" "&amp;'Compliance Database'!$L863&amp;" "&amp;'Compliance Database'!$M863&amp;" "&amp;'Compliance Database'!$N863&amp;" "&amp;'Compliance Database'!$O863)))),1,0)</f>
        <v>0</v>
      </c>
      <c r="B863" t="str">
        <f>IF($A863=1,SUM($A$2:$A863),"")</f>
        <v/>
      </c>
      <c r="C863">
        <f>IF($A863=1,SUM($A$2:$A863),0)</f>
        <v>0</v>
      </c>
    </row>
    <row r="864" spans="1:3" x14ac:dyDescent="0.3">
      <c r="A864">
        <f>IF(AND(OR('Compliance Database'!$A864='Data Transfer'!$B$4,'Compliance Database'!$A864='Data Transfer'!$B$5),OR('Data Transfer'!$B$6="",ISNUMBER(SEARCH('Data Transfer'!$B$6,'Compliance Database'!$D864&amp;" "&amp;'Compliance Database'!$K864&amp;" "&amp;'Compliance Database'!$L864&amp;" "&amp;'Compliance Database'!$M864&amp;" "&amp;'Compliance Database'!$N864&amp;" "&amp;'Compliance Database'!$O864)))),1,0)</f>
        <v>0</v>
      </c>
      <c r="B864" t="str">
        <f>IF($A864=1,SUM($A$2:$A864),"")</f>
        <v/>
      </c>
      <c r="C864">
        <f>IF($A864=1,SUM($A$2:$A864),0)</f>
        <v>0</v>
      </c>
    </row>
    <row r="865" spans="1:3" x14ac:dyDescent="0.3">
      <c r="A865">
        <f>IF(AND(OR('Compliance Database'!$A865='Data Transfer'!$B$4,'Compliance Database'!$A865='Data Transfer'!$B$5),OR('Data Transfer'!$B$6="",ISNUMBER(SEARCH('Data Transfer'!$B$6,'Compliance Database'!$D865&amp;" "&amp;'Compliance Database'!$K865&amp;" "&amp;'Compliance Database'!$L865&amp;" "&amp;'Compliance Database'!$M865&amp;" "&amp;'Compliance Database'!$N865&amp;" "&amp;'Compliance Database'!$O865)))),1,0)</f>
        <v>0</v>
      </c>
      <c r="B865" t="str">
        <f>IF($A865=1,SUM($A$2:$A865),"")</f>
        <v/>
      </c>
      <c r="C865">
        <f>IF($A865=1,SUM($A$2:$A865),0)</f>
        <v>0</v>
      </c>
    </row>
    <row r="866" spans="1:3" x14ac:dyDescent="0.3">
      <c r="A866">
        <f>IF(AND(OR('Compliance Database'!$A866='Data Transfer'!$B$4,'Compliance Database'!$A866='Data Transfer'!$B$5),OR('Data Transfer'!$B$6="",ISNUMBER(SEARCH('Data Transfer'!$B$6,'Compliance Database'!$D866&amp;" "&amp;'Compliance Database'!$K866&amp;" "&amp;'Compliance Database'!$L866&amp;" "&amp;'Compliance Database'!$M866&amp;" "&amp;'Compliance Database'!$N866&amp;" "&amp;'Compliance Database'!$O866)))),1,0)</f>
        <v>0</v>
      </c>
      <c r="B866" t="str">
        <f>IF($A866=1,SUM($A$2:$A866),"")</f>
        <v/>
      </c>
      <c r="C866">
        <f>IF($A866=1,SUM($A$2:$A866),0)</f>
        <v>0</v>
      </c>
    </row>
    <row r="867" spans="1:3" x14ac:dyDescent="0.3">
      <c r="A867">
        <f>IF(AND(OR('Compliance Database'!$A867='Data Transfer'!$B$4,'Compliance Database'!$A867='Data Transfer'!$B$5),OR('Data Transfer'!$B$6="",ISNUMBER(SEARCH('Data Transfer'!$B$6,'Compliance Database'!$D867&amp;" "&amp;'Compliance Database'!$K867&amp;" "&amp;'Compliance Database'!$L867&amp;" "&amp;'Compliance Database'!$M867&amp;" "&amp;'Compliance Database'!$N867&amp;" "&amp;'Compliance Database'!$O867)))),1,0)</f>
        <v>0</v>
      </c>
      <c r="B867" t="str">
        <f>IF($A867=1,SUM($A$2:$A867),"")</f>
        <v/>
      </c>
      <c r="C867">
        <f>IF($A867=1,SUM($A$2:$A867),0)</f>
        <v>0</v>
      </c>
    </row>
    <row r="868" spans="1:3" x14ac:dyDescent="0.3">
      <c r="A868">
        <f>IF(AND(OR('Compliance Database'!$A868='Data Transfer'!$B$4,'Compliance Database'!$A868='Data Transfer'!$B$5),OR('Data Transfer'!$B$6="",ISNUMBER(SEARCH('Data Transfer'!$B$6,'Compliance Database'!$D868&amp;" "&amp;'Compliance Database'!$K868&amp;" "&amp;'Compliance Database'!$L868&amp;" "&amp;'Compliance Database'!$M868&amp;" "&amp;'Compliance Database'!$N868&amp;" "&amp;'Compliance Database'!$O868)))),1,0)</f>
        <v>0</v>
      </c>
      <c r="B868" t="str">
        <f>IF($A868=1,SUM($A$2:$A868),"")</f>
        <v/>
      </c>
      <c r="C868">
        <f>IF($A868=1,SUM($A$2:$A868),0)</f>
        <v>0</v>
      </c>
    </row>
    <row r="869" spans="1:3" x14ac:dyDescent="0.3">
      <c r="A869">
        <f>IF(AND(OR('Compliance Database'!$A869='Data Transfer'!$B$4,'Compliance Database'!$A869='Data Transfer'!$B$5),OR('Data Transfer'!$B$6="",ISNUMBER(SEARCH('Data Transfer'!$B$6,'Compliance Database'!$D869&amp;" "&amp;'Compliance Database'!$K869&amp;" "&amp;'Compliance Database'!$L869&amp;" "&amp;'Compliance Database'!$M869&amp;" "&amp;'Compliance Database'!$N869&amp;" "&amp;'Compliance Database'!$O869)))),1,0)</f>
        <v>0</v>
      </c>
      <c r="B869" t="str">
        <f>IF($A869=1,SUM($A$2:$A869),"")</f>
        <v/>
      </c>
      <c r="C869">
        <f>IF($A869=1,SUM($A$2:$A869),0)</f>
        <v>0</v>
      </c>
    </row>
    <row r="870" spans="1:3" x14ac:dyDescent="0.3">
      <c r="A870">
        <f>IF(AND(OR('Compliance Database'!$A870='Data Transfer'!$B$4,'Compliance Database'!$A870='Data Transfer'!$B$5),OR('Data Transfer'!$B$6="",ISNUMBER(SEARCH('Data Transfer'!$B$6,'Compliance Database'!$D870&amp;" "&amp;'Compliance Database'!$K870&amp;" "&amp;'Compliance Database'!$L870&amp;" "&amp;'Compliance Database'!$M870&amp;" "&amp;'Compliance Database'!$N870&amp;" "&amp;'Compliance Database'!$O870)))),1,0)</f>
        <v>0</v>
      </c>
      <c r="B870" t="str">
        <f>IF($A870=1,SUM($A$2:$A870),"")</f>
        <v/>
      </c>
      <c r="C870">
        <f>IF($A870=1,SUM($A$2:$A870),0)</f>
        <v>0</v>
      </c>
    </row>
    <row r="871" spans="1:3" x14ac:dyDescent="0.3">
      <c r="A871">
        <f>IF(AND(OR('Compliance Database'!$A871='Data Transfer'!$B$4,'Compliance Database'!$A871='Data Transfer'!$B$5),OR('Data Transfer'!$B$6="",ISNUMBER(SEARCH('Data Transfer'!$B$6,'Compliance Database'!$D871&amp;" "&amp;'Compliance Database'!$K871&amp;" "&amp;'Compliance Database'!$L871&amp;" "&amp;'Compliance Database'!$M871&amp;" "&amp;'Compliance Database'!$N871&amp;" "&amp;'Compliance Database'!$O871)))),1,0)</f>
        <v>0</v>
      </c>
      <c r="B871" t="str">
        <f>IF($A871=1,SUM($A$2:$A871),"")</f>
        <v/>
      </c>
      <c r="C871">
        <f>IF($A871=1,SUM($A$2:$A871),0)</f>
        <v>0</v>
      </c>
    </row>
    <row r="872" spans="1:3" x14ac:dyDescent="0.3">
      <c r="A872">
        <f>IF(AND(OR('Compliance Database'!$A872='Data Transfer'!$B$4,'Compliance Database'!$A872='Data Transfer'!$B$5),OR('Data Transfer'!$B$6="",ISNUMBER(SEARCH('Data Transfer'!$B$6,'Compliance Database'!$D872&amp;" "&amp;'Compliance Database'!$K872&amp;" "&amp;'Compliance Database'!$L872&amp;" "&amp;'Compliance Database'!$M872&amp;" "&amp;'Compliance Database'!$N872&amp;" "&amp;'Compliance Database'!$O872)))),1,0)</f>
        <v>0</v>
      </c>
      <c r="B872" t="str">
        <f>IF($A872=1,SUM($A$2:$A872),"")</f>
        <v/>
      </c>
      <c r="C872">
        <f>IF($A872=1,SUM($A$2:$A872),0)</f>
        <v>0</v>
      </c>
    </row>
    <row r="873" spans="1:3" x14ac:dyDescent="0.3">
      <c r="A873">
        <f>IF(AND(OR('Compliance Database'!$A873='Data Transfer'!$B$4,'Compliance Database'!$A873='Data Transfer'!$B$5),OR('Data Transfer'!$B$6="",ISNUMBER(SEARCH('Data Transfer'!$B$6,'Compliance Database'!$D873&amp;" "&amp;'Compliance Database'!$K873&amp;" "&amp;'Compliance Database'!$L873&amp;" "&amp;'Compliance Database'!$M873&amp;" "&amp;'Compliance Database'!$N873&amp;" "&amp;'Compliance Database'!$O873)))),1,0)</f>
        <v>0</v>
      </c>
      <c r="B873" t="str">
        <f>IF($A873=1,SUM($A$2:$A873),"")</f>
        <v/>
      </c>
      <c r="C873">
        <f>IF($A873=1,SUM($A$2:$A873),0)</f>
        <v>0</v>
      </c>
    </row>
    <row r="874" spans="1:3" x14ac:dyDescent="0.3">
      <c r="A874">
        <f>IF(AND(OR('Compliance Database'!$A874='Data Transfer'!$B$4,'Compliance Database'!$A874='Data Transfer'!$B$5),OR('Data Transfer'!$B$6="",ISNUMBER(SEARCH('Data Transfer'!$B$6,'Compliance Database'!$D874&amp;" "&amp;'Compliance Database'!$K874&amp;" "&amp;'Compliance Database'!$L874&amp;" "&amp;'Compliance Database'!$M874&amp;" "&amp;'Compliance Database'!$N874&amp;" "&amp;'Compliance Database'!$O874)))),1,0)</f>
        <v>0</v>
      </c>
      <c r="B874" t="str">
        <f>IF($A874=1,SUM($A$2:$A874),"")</f>
        <v/>
      </c>
      <c r="C874">
        <f>IF($A874=1,SUM($A$2:$A874),0)</f>
        <v>0</v>
      </c>
    </row>
    <row r="875" spans="1:3" x14ac:dyDescent="0.3">
      <c r="A875">
        <f>IF(AND(OR('Compliance Database'!$A875='Data Transfer'!$B$4,'Compliance Database'!$A875='Data Transfer'!$B$5),OR('Data Transfer'!$B$6="",ISNUMBER(SEARCH('Data Transfer'!$B$6,'Compliance Database'!$D875&amp;" "&amp;'Compliance Database'!$K875&amp;" "&amp;'Compliance Database'!$L875&amp;" "&amp;'Compliance Database'!$M875&amp;" "&amp;'Compliance Database'!$N875&amp;" "&amp;'Compliance Database'!$O875)))),1,0)</f>
        <v>0</v>
      </c>
      <c r="B875" t="str">
        <f>IF($A875=1,SUM($A$2:$A875),"")</f>
        <v/>
      </c>
      <c r="C875">
        <f>IF($A875=1,SUM($A$2:$A875),0)</f>
        <v>0</v>
      </c>
    </row>
    <row r="876" spans="1:3" x14ac:dyDescent="0.3">
      <c r="A876">
        <f>IF(AND(OR('Compliance Database'!$A876='Data Transfer'!$B$4,'Compliance Database'!$A876='Data Transfer'!$B$5),OR('Data Transfer'!$B$6="",ISNUMBER(SEARCH('Data Transfer'!$B$6,'Compliance Database'!$D876&amp;" "&amp;'Compliance Database'!$K876&amp;" "&amp;'Compliance Database'!$L876&amp;" "&amp;'Compliance Database'!$M876&amp;" "&amp;'Compliance Database'!$N876&amp;" "&amp;'Compliance Database'!$O876)))),1,0)</f>
        <v>0</v>
      </c>
      <c r="B876" t="str">
        <f>IF($A876=1,SUM($A$2:$A876),"")</f>
        <v/>
      </c>
      <c r="C876">
        <f>IF($A876=1,SUM($A$2:$A876),0)</f>
        <v>0</v>
      </c>
    </row>
    <row r="877" spans="1:3" x14ac:dyDescent="0.3">
      <c r="A877">
        <f>IF(AND(OR('Compliance Database'!$A877='Data Transfer'!$B$4,'Compliance Database'!$A877='Data Transfer'!$B$5),OR('Data Transfer'!$B$6="",ISNUMBER(SEARCH('Data Transfer'!$B$6,'Compliance Database'!$D877&amp;" "&amp;'Compliance Database'!$K877&amp;" "&amp;'Compliance Database'!$L877&amp;" "&amp;'Compliance Database'!$M877&amp;" "&amp;'Compliance Database'!$N877&amp;" "&amp;'Compliance Database'!$O877)))),1,0)</f>
        <v>0</v>
      </c>
      <c r="B877" t="str">
        <f>IF($A877=1,SUM($A$2:$A877),"")</f>
        <v/>
      </c>
      <c r="C877">
        <f>IF($A877=1,SUM($A$2:$A877),0)</f>
        <v>0</v>
      </c>
    </row>
    <row r="878" spans="1:3" x14ac:dyDescent="0.3">
      <c r="A878">
        <f>IF(AND(OR('Compliance Database'!$A878='Data Transfer'!$B$4,'Compliance Database'!$A878='Data Transfer'!$B$5),OR('Data Transfer'!$B$6="",ISNUMBER(SEARCH('Data Transfer'!$B$6,'Compliance Database'!$D878&amp;" "&amp;'Compliance Database'!$K878&amp;" "&amp;'Compliance Database'!$L878&amp;" "&amp;'Compliance Database'!$M878&amp;" "&amp;'Compliance Database'!$N878&amp;" "&amp;'Compliance Database'!$O878)))),1,0)</f>
        <v>0</v>
      </c>
      <c r="B878" t="str">
        <f>IF($A878=1,SUM($A$2:$A878),"")</f>
        <v/>
      </c>
      <c r="C878">
        <f>IF($A878=1,SUM($A$2:$A878),0)</f>
        <v>0</v>
      </c>
    </row>
    <row r="879" spans="1:3" x14ac:dyDescent="0.3">
      <c r="A879">
        <f>IF(AND(OR('Compliance Database'!$A879='Data Transfer'!$B$4,'Compliance Database'!$A879='Data Transfer'!$B$5),OR('Data Transfer'!$B$6="",ISNUMBER(SEARCH('Data Transfer'!$B$6,'Compliance Database'!$D879&amp;" "&amp;'Compliance Database'!$K879&amp;" "&amp;'Compliance Database'!$L879&amp;" "&amp;'Compliance Database'!$M879&amp;" "&amp;'Compliance Database'!$N879&amp;" "&amp;'Compliance Database'!$O879)))),1,0)</f>
        <v>0</v>
      </c>
      <c r="B879" t="str">
        <f>IF($A879=1,SUM($A$2:$A879),"")</f>
        <v/>
      </c>
      <c r="C879">
        <f>IF($A879=1,SUM($A$2:$A879),0)</f>
        <v>0</v>
      </c>
    </row>
    <row r="880" spans="1:3" x14ac:dyDescent="0.3">
      <c r="A880">
        <f>IF(AND(OR('Compliance Database'!$A880='Data Transfer'!$B$4,'Compliance Database'!$A880='Data Transfer'!$B$5),OR('Data Transfer'!$B$6="",ISNUMBER(SEARCH('Data Transfer'!$B$6,'Compliance Database'!$D880&amp;" "&amp;'Compliance Database'!$K880&amp;" "&amp;'Compliance Database'!$L880&amp;" "&amp;'Compliance Database'!$M880&amp;" "&amp;'Compliance Database'!$N880&amp;" "&amp;'Compliance Database'!$O880)))),1,0)</f>
        <v>0</v>
      </c>
      <c r="B880" t="str">
        <f>IF($A880=1,SUM($A$2:$A880),"")</f>
        <v/>
      </c>
      <c r="C880">
        <f>IF($A880=1,SUM($A$2:$A880),0)</f>
        <v>0</v>
      </c>
    </row>
    <row r="881" spans="1:3" x14ac:dyDescent="0.3">
      <c r="A881">
        <f>IF(AND(OR('Compliance Database'!$A881='Data Transfer'!$B$4,'Compliance Database'!$A881='Data Transfer'!$B$5),OR('Data Transfer'!$B$6="",ISNUMBER(SEARCH('Data Transfer'!$B$6,'Compliance Database'!$D881&amp;" "&amp;'Compliance Database'!$K881&amp;" "&amp;'Compliance Database'!$L881&amp;" "&amp;'Compliance Database'!$M881&amp;" "&amp;'Compliance Database'!$N881&amp;" "&amp;'Compliance Database'!$O881)))),1,0)</f>
        <v>0</v>
      </c>
      <c r="B881" t="str">
        <f>IF($A881=1,SUM($A$2:$A881),"")</f>
        <v/>
      </c>
      <c r="C881">
        <f>IF($A881=1,SUM($A$2:$A881),0)</f>
        <v>0</v>
      </c>
    </row>
    <row r="882" spans="1:3" x14ac:dyDescent="0.3">
      <c r="A882">
        <f>IF(AND(OR('Compliance Database'!$A882='Data Transfer'!$B$4,'Compliance Database'!$A882='Data Transfer'!$B$5),OR('Data Transfer'!$B$6="",ISNUMBER(SEARCH('Data Transfer'!$B$6,'Compliance Database'!$D882&amp;" "&amp;'Compliance Database'!$K882&amp;" "&amp;'Compliance Database'!$L882&amp;" "&amp;'Compliance Database'!$M882&amp;" "&amp;'Compliance Database'!$N882&amp;" "&amp;'Compliance Database'!$O882)))),1,0)</f>
        <v>0</v>
      </c>
      <c r="B882" t="str">
        <f>IF($A882=1,SUM($A$2:$A882),"")</f>
        <v/>
      </c>
      <c r="C882">
        <f>IF($A882=1,SUM($A$2:$A882),0)</f>
        <v>0</v>
      </c>
    </row>
    <row r="883" spans="1:3" x14ac:dyDescent="0.3">
      <c r="A883">
        <f>IF(AND(OR('Compliance Database'!$A883='Data Transfer'!$B$4,'Compliance Database'!$A883='Data Transfer'!$B$5),OR('Data Transfer'!$B$6="",ISNUMBER(SEARCH('Data Transfer'!$B$6,'Compliance Database'!$D883&amp;" "&amp;'Compliance Database'!$K883&amp;" "&amp;'Compliance Database'!$L883&amp;" "&amp;'Compliance Database'!$M883&amp;" "&amp;'Compliance Database'!$N883&amp;" "&amp;'Compliance Database'!$O883)))),1,0)</f>
        <v>0</v>
      </c>
      <c r="B883" t="str">
        <f>IF($A883=1,SUM($A$2:$A883),"")</f>
        <v/>
      </c>
      <c r="C883">
        <f>IF($A883=1,SUM($A$2:$A883),0)</f>
        <v>0</v>
      </c>
    </row>
    <row r="884" spans="1:3" x14ac:dyDescent="0.3">
      <c r="A884">
        <f>IF(AND(OR('Compliance Database'!$A884='Data Transfer'!$B$4,'Compliance Database'!$A884='Data Transfer'!$B$5),OR('Data Transfer'!$B$6="",ISNUMBER(SEARCH('Data Transfer'!$B$6,'Compliance Database'!$D884&amp;" "&amp;'Compliance Database'!$K884&amp;" "&amp;'Compliance Database'!$L884&amp;" "&amp;'Compliance Database'!$M884&amp;" "&amp;'Compliance Database'!$N884&amp;" "&amp;'Compliance Database'!$O884)))),1,0)</f>
        <v>0</v>
      </c>
      <c r="B884" t="str">
        <f>IF($A884=1,SUM($A$2:$A884),"")</f>
        <v/>
      </c>
      <c r="C884">
        <f>IF($A884=1,SUM($A$2:$A884),0)</f>
        <v>0</v>
      </c>
    </row>
    <row r="885" spans="1:3" x14ac:dyDescent="0.3">
      <c r="A885">
        <f>IF(AND(OR('Compliance Database'!$A885='Data Transfer'!$B$4,'Compliance Database'!$A885='Data Transfer'!$B$5),OR('Data Transfer'!$B$6="",ISNUMBER(SEARCH('Data Transfer'!$B$6,'Compliance Database'!$D885&amp;" "&amp;'Compliance Database'!$K885&amp;" "&amp;'Compliance Database'!$L885&amp;" "&amp;'Compliance Database'!$M885&amp;" "&amp;'Compliance Database'!$N885&amp;" "&amp;'Compliance Database'!$O885)))),1,0)</f>
        <v>0</v>
      </c>
      <c r="B885" t="str">
        <f>IF($A885=1,SUM($A$2:$A885),"")</f>
        <v/>
      </c>
      <c r="C885">
        <f>IF($A885=1,SUM($A$2:$A885),0)</f>
        <v>0</v>
      </c>
    </row>
    <row r="886" spans="1:3" x14ac:dyDescent="0.3">
      <c r="A886">
        <f>IF(AND(OR('Compliance Database'!$A886='Data Transfer'!$B$4,'Compliance Database'!$A886='Data Transfer'!$B$5),OR('Data Transfer'!$B$6="",ISNUMBER(SEARCH('Data Transfer'!$B$6,'Compliance Database'!$D886&amp;" "&amp;'Compliance Database'!$K886&amp;" "&amp;'Compliance Database'!$L886&amp;" "&amp;'Compliance Database'!$M886&amp;" "&amp;'Compliance Database'!$N886&amp;" "&amp;'Compliance Database'!$O886)))),1,0)</f>
        <v>0</v>
      </c>
      <c r="B886" t="str">
        <f>IF($A886=1,SUM($A$2:$A886),"")</f>
        <v/>
      </c>
      <c r="C886">
        <f>IF($A886=1,SUM($A$2:$A886),0)</f>
        <v>0</v>
      </c>
    </row>
    <row r="887" spans="1:3" x14ac:dyDescent="0.3">
      <c r="A887">
        <f>IF(AND(OR('Compliance Database'!$A887='Data Transfer'!$B$4,'Compliance Database'!$A887='Data Transfer'!$B$5),OR('Data Transfer'!$B$6="",ISNUMBER(SEARCH('Data Transfer'!$B$6,'Compliance Database'!$D887&amp;" "&amp;'Compliance Database'!$K887&amp;" "&amp;'Compliance Database'!$L887&amp;" "&amp;'Compliance Database'!$M887&amp;" "&amp;'Compliance Database'!$N887&amp;" "&amp;'Compliance Database'!$O887)))),1,0)</f>
        <v>0</v>
      </c>
      <c r="B887" t="str">
        <f>IF($A887=1,SUM($A$2:$A887),"")</f>
        <v/>
      </c>
      <c r="C887">
        <f>IF($A887=1,SUM($A$2:$A887),0)</f>
        <v>0</v>
      </c>
    </row>
    <row r="888" spans="1:3" x14ac:dyDescent="0.3">
      <c r="A888">
        <f>IF(AND(OR('Compliance Database'!$A888='Data Transfer'!$B$4,'Compliance Database'!$A888='Data Transfer'!$B$5),OR('Data Transfer'!$B$6="",ISNUMBER(SEARCH('Data Transfer'!$B$6,'Compliance Database'!$D888&amp;" "&amp;'Compliance Database'!$K888&amp;" "&amp;'Compliance Database'!$L888&amp;" "&amp;'Compliance Database'!$M888&amp;" "&amp;'Compliance Database'!$N888&amp;" "&amp;'Compliance Database'!$O888)))),1,0)</f>
        <v>0</v>
      </c>
      <c r="B888" t="str">
        <f>IF($A888=1,SUM($A$2:$A888),"")</f>
        <v/>
      </c>
      <c r="C888">
        <f>IF($A888=1,SUM($A$2:$A888),0)</f>
        <v>0</v>
      </c>
    </row>
    <row r="889" spans="1:3" x14ac:dyDescent="0.3">
      <c r="A889">
        <f>IF(AND(OR('Compliance Database'!$A889='Data Transfer'!$B$4,'Compliance Database'!$A889='Data Transfer'!$B$5),OR('Data Transfer'!$B$6="",ISNUMBER(SEARCH('Data Transfer'!$B$6,'Compliance Database'!$D889&amp;" "&amp;'Compliance Database'!$K889&amp;" "&amp;'Compliance Database'!$L889&amp;" "&amp;'Compliance Database'!$M889&amp;" "&amp;'Compliance Database'!$N889&amp;" "&amp;'Compliance Database'!$O889)))),1,0)</f>
        <v>0</v>
      </c>
      <c r="B889" t="str">
        <f>IF($A889=1,SUM($A$2:$A889),"")</f>
        <v/>
      </c>
      <c r="C889">
        <f>IF($A889=1,SUM($A$2:$A889),0)</f>
        <v>0</v>
      </c>
    </row>
    <row r="890" spans="1:3" x14ac:dyDescent="0.3">
      <c r="A890">
        <f>IF(AND(OR('Compliance Database'!$A890='Data Transfer'!$B$4,'Compliance Database'!$A890='Data Transfer'!$B$5),OR('Data Transfer'!$B$6="",ISNUMBER(SEARCH('Data Transfer'!$B$6,'Compliance Database'!$D890&amp;" "&amp;'Compliance Database'!$K890&amp;" "&amp;'Compliance Database'!$L890&amp;" "&amp;'Compliance Database'!$M890&amp;" "&amp;'Compliance Database'!$N890&amp;" "&amp;'Compliance Database'!$O890)))),1,0)</f>
        <v>0</v>
      </c>
      <c r="B890" t="str">
        <f>IF($A890=1,SUM($A$2:$A890),"")</f>
        <v/>
      </c>
      <c r="C890">
        <f>IF($A890=1,SUM($A$2:$A890),0)</f>
        <v>0</v>
      </c>
    </row>
    <row r="891" spans="1:3" x14ac:dyDescent="0.3">
      <c r="A891">
        <f>IF(AND(OR('Compliance Database'!$A891='Data Transfer'!$B$4,'Compliance Database'!$A891='Data Transfer'!$B$5),OR('Data Transfer'!$B$6="",ISNUMBER(SEARCH('Data Transfer'!$B$6,'Compliance Database'!$D891&amp;" "&amp;'Compliance Database'!$K891&amp;" "&amp;'Compliance Database'!$L891&amp;" "&amp;'Compliance Database'!$M891&amp;" "&amp;'Compliance Database'!$N891&amp;" "&amp;'Compliance Database'!$O891)))),1,0)</f>
        <v>0</v>
      </c>
      <c r="B891" t="str">
        <f>IF($A891=1,SUM($A$2:$A891),"")</f>
        <v/>
      </c>
      <c r="C891">
        <f>IF($A891=1,SUM($A$2:$A891),0)</f>
        <v>0</v>
      </c>
    </row>
    <row r="892" spans="1:3" x14ac:dyDescent="0.3">
      <c r="A892">
        <f>IF(AND(OR('Compliance Database'!$A892='Data Transfer'!$B$4,'Compliance Database'!$A892='Data Transfer'!$B$5),OR('Data Transfer'!$B$6="",ISNUMBER(SEARCH('Data Transfer'!$B$6,'Compliance Database'!$D892&amp;" "&amp;'Compliance Database'!$K892&amp;" "&amp;'Compliance Database'!$L892&amp;" "&amp;'Compliance Database'!$M892&amp;" "&amp;'Compliance Database'!$N892&amp;" "&amp;'Compliance Database'!$O892)))),1,0)</f>
        <v>0</v>
      </c>
      <c r="B892" t="str">
        <f>IF($A892=1,SUM($A$2:$A892),"")</f>
        <v/>
      </c>
      <c r="C892">
        <f>IF($A892=1,SUM($A$2:$A892),0)</f>
        <v>0</v>
      </c>
    </row>
    <row r="893" spans="1:3" x14ac:dyDescent="0.3">
      <c r="A893">
        <f>IF(AND(OR('Compliance Database'!$A893='Data Transfer'!$B$4,'Compliance Database'!$A893='Data Transfer'!$B$5),OR('Data Transfer'!$B$6="",ISNUMBER(SEARCH('Data Transfer'!$B$6,'Compliance Database'!$D893&amp;" "&amp;'Compliance Database'!$K893&amp;" "&amp;'Compliance Database'!$L893&amp;" "&amp;'Compliance Database'!$M893&amp;" "&amp;'Compliance Database'!$N893&amp;" "&amp;'Compliance Database'!$O893)))),1,0)</f>
        <v>0</v>
      </c>
      <c r="B893" t="str">
        <f>IF($A893=1,SUM($A$2:$A893),"")</f>
        <v/>
      </c>
      <c r="C893">
        <f>IF($A893=1,SUM($A$2:$A893),0)</f>
        <v>0</v>
      </c>
    </row>
    <row r="894" spans="1:3" x14ac:dyDescent="0.3">
      <c r="A894">
        <f>IF(AND(OR('Compliance Database'!$A894='Data Transfer'!$B$4,'Compliance Database'!$A894='Data Transfer'!$B$5),OR('Data Transfer'!$B$6="",ISNUMBER(SEARCH('Data Transfer'!$B$6,'Compliance Database'!$D894&amp;" "&amp;'Compliance Database'!$K894&amp;" "&amp;'Compliance Database'!$L894&amp;" "&amp;'Compliance Database'!$M894&amp;" "&amp;'Compliance Database'!$N894&amp;" "&amp;'Compliance Database'!$O894)))),1,0)</f>
        <v>0</v>
      </c>
      <c r="B894" t="str">
        <f>IF($A894=1,SUM($A$2:$A894),"")</f>
        <v/>
      </c>
      <c r="C894">
        <f>IF($A894=1,SUM($A$2:$A894),0)</f>
        <v>0</v>
      </c>
    </row>
    <row r="895" spans="1:3" x14ac:dyDescent="0.3">
      <c r="A895">
        <f>IF(AND(OR('Compliance Database'!$A895='Data Transfer'!$B$4,'Compliance Database'!$A895='Data Transfer'!$B$5),OR('Data Transfer'!$B$6="",ISNUMBER(SEARCH('Data Transfer'!$B$6,'Compliance Database'!$D895&amp;" "&amp;'Compliance Database'!$K895&amp;" "&amp;'Compliance Database'!$L895&amp;" "&amp;'Compliance Database'!$M895&amp;" "&amp;'Compliance Database'!$N895&amp;" "&amp;'Compliance Database'!$O895)))),1,0)</f>
        <v>0</v>
      </c>
      <c r="B895" t="str">
        <f>IF($A895=1,SUM($A$2:$A895),"")</f>
        <v/>
      </c>
      <c r="C895">
        <f>IF($A895=1,SUM($A$2:$A895),0)</f>
        <v>0</v>
      </c>
    </row>
    <row r="896" spans="1:3" x14ac:dyDescent="0.3">
      <c r="A896">
        <f>IF(AND(OR('Compliance Database'!$A896='Data Transfer'!$B$4,'Compliance Database'!$A896='Data Transfer'!$B$5),OR('Data Transfer'!$B$6="",ISNUMBER(SEARCH('Data Transfer'!$B$6,'Compliance Database'!$D896&amp;" "&amp;'Compliance Database'!$K896&amp;" "&amp;'Compliance Database'!$L896&amp;" "&amp;'Compliance Database'!$M896&amp;" "&amp;'Compliance Database'!$N896&amp;" "&amp;'Compliance Database'!$O896)))),1,0)</f>
        <v>0</v>
      </c>
      <c r="B896" t="str">
        <f>IF($A896=1,SUM($A$2:$A896),"")</f>
        <v/>
      </c>
      <c r="C896">
        <f>IF($A896=1,SUM($A$2:$A896),0)</f>
        <v>0</v>
      </c>
    </row>
    <row r="897" spans="1:3" x14ac:dyDescent="0.3">
      <c r="A897">
        <f>IF(AND(OR('Compliance Database'!$A897='Data Transfer'!$B$4,'Compliance Database'!$A897='Data Transfer'!$B$5),OR('Data Transfer'!$B$6="",ISNUMBER(SEARCH('Data Transfer'!$B$6,'Compliance Database'!$D897&amp;" "&amp;'Compliance Database'!$K897&amp;" "&amp;'Compliance Database'!$L897&amp;" "&amp;'Compliance Database'!$M897&amp;" "&amp;'Compliance Database'!$N897&amp;" "&amp;'Compliance Database'!$O897)))),1,0)</f>
        <v>0</v>
      </c>
      <c r="B897" t="str">
        <f>IF($A897=1,SUM($A$2:$A897),"")</f>
        <v/>
      </c>
      <c r="C897">
        <f>IF($A897=1,SUM($A$2:$A897),0)</f>
        <v>0</v>
      </c>
    </row>
    <row r="898" spans="1:3" x14ac:dyDescent="0.3">
      <c r="A898">
        <f>IF(AND(OR('Compliance Database'!$A898='Data Transfer'!$B$4,'Compliance Database'!$A898='Data Transfer'!$B$5),OR('Data Transfer'!$B$6="",ISNUMBER(SEARCH('Data Transfer'!$B$6,'Compliance Database'!$D898&amp;" "&amp;'Compliance Database'!$K898&amp;" "&amp;'Compliance Database'!$L898&amp;" "&amp;'Compliance Database'!$M898&amp;" "&amp;'Compliance Database'!$N898&amp;" "&amp;'Compliance Database'!$O898)))),1,0)</f>
        <v>0</v>
      </c>
      <c r="B898" t="str">
        <f>IF($A898=1,SUM($A$2:$A898),"")</f>
        <v/>
      </c>
      <c r="C898">
        <f>IF($A898=1,SUM($A$2:$A898),0)</f>
        <v>0</v>
      </c>
    </row>
    <row r="899" spans="1:3" x14ac:dyDescent="0.3">
      <c r="A899">
        <f>IF(AND(OR('Compliance Database'!$A899='Data Transfer'!$B$4,'Compliance Database'!$A899='Data Transfer'!$B$5),OR('Data Transfer'!$B$6="",ISNUMBER(SEARCH('Data Transfer'!$B$6,'Compliance Database'!$D899&amp;" "&amp;'Compliance Database'!$K899&amp;" "&amp;'Compliance Database'!$L899&amp;" "&amp;'Compliance Database'!$M899&amp;" "&amp;'Compliance Database'!$N899&amp;" "&amp;'Compliance Database'!$O899)))),1,0)</f>
        <v>0</v>
      </c>
      <c r="B899" t="str">
        <f>IF($A899=1,SUM($A$2:$A899),"")</f>
        <v/>
      </c>
      <c r="C899">
        <f>IF($A899=1,SUM($A$2:$A899),0)</f>
        <v>0</v>
      </c>
    </row>
    <row r="900" spans="1:3" x14ac:dyDescent="0.3">
      <c r="A900">
        <f>IF(AND(OR('Compliance Database'!$A900='Data Transfer'!$B$4,'Compliance Database'!$A900='Data Transfer'!$B$5),OR('Data Transfer'!$B$6="",ISNUMBER(SEARCH('Data Transfer'!$B$6,'Compliance Database'!$D900&amp;" "&amp;'Compliance Database'!$K900&amp;" "&amp;'Compliance Database'!$L900&amp;" "&amp;'Compliance Database'!$M900&amp;" "&amp;'Compliance Database'!$N900&amp;" "&amp;'Compliance Database'!$O900)))),1,0)</f>
        <v>0</v>
      </c>
      <c r="B900" t="str">
        <f>IF($A900=1,SUM($A$2:$A900),"")</f>
        <v/>
      </c>
      <c r="C900">
        <f>IF($A900=1,SUM($A$2:$A900),0)</f>
        <v>0</v>
      </c>
    </row>
    <row r="901" spans="1:3" x14ac:dyDescent="0.3">
      <c r="A901">
        <f>IF(AND(OR('Compliance Database'!$A901='Data Transfer'!$B$4,'Compliance Database'!$A901='Data Transfer'!$B$5),OR('Data Transfer'!$B$6="",ISNUMBER(SEARCH('Data Transfer'!$B$6,'Compliance Database'!$D901&amp;" "&amp;'Compliance Database'!$K901&amp;" "&amp;'Compliance Database'!$L901&amp;" "&amp;'Compliance Database'!$M901&amp;" "&amp;'Compliance Database'!$N901&amp;" "&amp;'Compliance Database'!$O901)))),1,0)</f>
        <v>0</v>
      </c>
      <c r="B901" t="str">
        <f>IF($A901=1,SUM($A$2:$A901),"")</f>
        <v/>
      </c>
      <c r="C901">
        <f>IF($A901=1,SUM($A$2:$A901),0)</f>
        <v>0</v>
      </c>
    </row>
    <row r="902" spans="1:3" x14ac:dyDescent="0.3">
      <c r="A902">
        <f>IF(AND(OR('Compliance Database'!$A902='Data Transfer'!$B$4,'Compliance Database'!$A902='Data Transfer'!$B$5),OR('Data Transfer'!$B$6="",ISNUMBER(SEARCH('Data Transfer'!$B$6,'Compliance Database'!$D902&amp;" "&amp;'Compliance Database'!$K902&amp;" "&amp;'Compliance Database'!$L902&amp;" "&amp;'Compliance Database'!$M902&amp;" "&amp;'Compliance Database'!$N902&amp;" "&amp;'Compliance Database'!$O902)))),1,0)</f>
        <v>0</v>
      </c>
      <c r="B902" t="str">
        <f>IF($A902=1,SUM($A$2:$A902),"")</f>
        <v/>
      </c>
      <c r="C902">
        <f>IF($A902=1,SUM($A$2:$A902),0)</f>
        <v>0</v>
      </c>
    </row>
    <row r="903" spans="1:3" x14ac:dyDescent="0.3">
      <c r="A903">
        <f>IF(AND(OR('Compliance Database'!$A903='Data Transfer'!$B$4,'Compliance Database'!$A903='Data Transfer'!$B$5),OR('Data Transfer'!$B$6="",ISNUMBER(SEARCH('Data Transfer'!$B$6,'Compliance Database'!$D903&amp;" "&amp;'Compliance Database'!$K903&amp;" "&amp;'Compliance Database'!$L903&amp;" "&amp;'Compliance Database'!$M903&amp;" "&amp;'Compliance Database'!$N903&amp;" "&amp;'Compliance Database'!$O903)))),1,0)</f>
        <v>0</v>
      </c>
      <c r="B903" t="str">
        <f>IF($A903=1,SUM($A$2:$A903),"")</f>
        <v/>
      </c>
      <c r="C903">
        <f>IF($A903=1,SUM($A$2:$A903),0)</f>
        <v>0</v>
      </c>
    </row>
    <row r="904" spans="1:3" x14ac:dyDescent="0.3">
      <c r="A904">
        <f>IF(AND(OR('Compliance Database'!$A904='Data Transfer'!$B$4,'Compliance Database'!$A904='Data Transfer'!$B$5),OR('Data Transfer'!$B$6="",ISNUMBER(SEARCH('Data Transfer'!$B$6,'Compliance Database'!$D904&amp;" "&amp;'Compliance Database'!$K904&amp;" "&amp;'Compliance Database'!$L904&amp;" "&amp;'Compliance Database'!$M904&amp;" "&amp;'Compliance Database'!$N904&amp;" "&amp;'Compliance Database'!$O904)))),1,0)</f>
        <v>0</v>
      </c>
      <c r="B904" t="str">
        <f>IF($A904=1,SUM($A$2:$A904),"")</f>
        <v/>
      </c>
      <c r="C904">
        <f>IF($A904=1,SUM($A$2:$A904),0)</f>
        <v>0</v>
      </c>
    </row>
    <row r="905" spans="1:3" x14ac:dyDescent="0.3">
      <c r="A905">
        <f>IF(AND(OR('Compliance Database'!$A905='Data Transfer'!$B$4,'Compliance Database'!$A905='Data Transfer'!$B$5),OR('Data Transfer'!$B$6="",ISNUMBER(SEARCH('Data Transfer'!$B$6,'Compliance Database'!$D905&amp;" "&amp;'Compliance Database'!$K905&amp;" "&amp;'Compliance Database'!$L905&amp;" "&amp;'Compliance Database'!$M905&amp;" "&amp;'Compliance Database'!$N905&amp;" "&amp;'Compliance Database'!$O905)))),1,0)</f>
        <v>0</v>
      </c>
      <c r="B905" t="str">
        <f>IF($A905=1,SUM($A$2:$A905),"")</f>
        <v/>
      </c>
      <c r="C905">
        <f>IF($A905=1,SUM($A$2:$A905),0)</f>
        <v>0</v>
      </c>
    </row>
    <row r="906" spans="1:3" x14ac:dyDescent="0.3">
      <c r="A906">
        <f>IF(AND(OR('Compliance Database'!$A906='Data Transfer'!$B$4,'Compliance Database'!$A906='Data Transfer'!$B$5),OR('Data Transfer'!$B$6="",ISNUMBER(SEARCH('Data Transfer'!$B$6,'Compliance Database'!$D906&amp;" "&amp;'Compliance Database'!$K906&amp;" "&amp;'Compliance Database'!$L906&amp;" "&amp;'Compliance Database'!$M906&amp;" "&amp;'Compliance Database'!$N906&amp;" "&amp;'Compliance Database'!$O906)))),1,0)</f>
        <v>0</v>
      </c>
      <c r="B906" t="str">
        <f>IF($A906=1,SUM($A$2:$A906),"")</f>
        <v/>
      </c>
      <c r="C906">
        <f>IF($A906=1,SUM($A$2:$A906),0)</f>
        <v>0</v>
      </c>
    </row>
    <row r="907" spans="1:3" x14ac:dyDescent="0.3">
      <c r="A907">
        <f>IF(AND(OR('Compliance Database'!$A907='Data Transfer'!$B$4,'Compliance Database'!$A907='Data Transfer'!$B$5),OR('Data Transfer'!$B$6="",ISNUMBER(SEARCH('Data Transfer'!$B$6,'Compliance Database'!$D907&amp;" "&amp;'Compliance Database'!$K907&amp;" "&amp;'Compliance Database'!$L907&amp;" "&amp;'Compliance Database'!$M907&amp;" "&amp;'Compliance Database'!$N907&amp;" "&amp;'Compliance Database'!$O907)))),1,0)</f>
        <v>0</v>
      </c>
      <c r="B907" t="str">
        <f>IF($A907=1,SUM($A$2:$A907),"")</f>
        <v/>
      </c>
      <c r="C907">
        <f>IF($A907=1,SUM($A$2:$A907),0)</f>
        <v>0</v>
      </c>
    </row>
    <row r="908" spans="1:3" x14ac:dyDescent="0.3">
      <c r="A908">
        <f>IF(AND(OR('Compliance Database'!$A908='Data Transfer'!$B$4,'Compliance Database'!$A908='Data Transfer'!$B$5),OR('Data Transfer'!$B$6="",ISNUMBER(SEARCH('Data Transfer'!$B$6,'Compliance Database'!$D908&amp;" "&amp;'Compliance Database'!$K908&amp;" "&amp;'Compliance Database'!$L908&amp;" "&amp;'Compliance Database'!$M908&amp;" "&amp;'Compliance Database'!$N908&amp;" "&amp;'Compliance Database'!$O908)))),1,0)</f>
        <v>0</v>
      </c>
      <c r="B908" t="str">
        <f>IF($A908=1,SUM($A$2:$A908),"")</f>
        <v/>
      </c>
      <c r="C908">
        <f>IF($A908=1,SUM($A$2:$A908),0)</f>
        <v>0</v>
      </c>
    </row>
    <row r="909" spans="1:3" x14ac:dyDescent="0.3">
      <c r="A909">
        <f>IF(AND(OR('Compliance Database'!$A909='Data Transfer'!$B$4,'Compliance Database'!$A909='Data Transfer'!$B$5),OR('Data Transfer'!$B$6="",ISNUMBER(SEARCH('Data Transfer'!$B$6,'Compliance Database'!$D909&amp;" "&amp;'Compliance Database'!$K909&amp;" "&amp;'Compliance Database'!$L909&amp;" "&amp;'Compliance Database'!$M909&amp;" "&amp;'Compliance Database'!$N909&amp;" "&amp;'Compliance Database'!$O909)))),1,0)</f>
        <v>0</v>
      </c>
      <c r="B909" t="str">
        <f>IF($A909=1,SUM($A$2:$A909),"")</f>
        <v/>
      </c>
      <c r="C909">
        <f>IF($A909=1,SUM($A$2:$A909),0)</f>
        <v>0</v>
      </c>
    </row>
    <row r="910" spans="1:3" x14ac:dyDescent="0.3">
      <c r="A910">
        <f>IF(AND(OR('Compliance Database'!$A910='Data Transfer'!$B$4,'Compliance Database'!$A910='Data Transfer'!$B$5),OR('Data Transfer'!$B$6="",ISNUMBER(SEARCH('Data Transfer'!$B$6,'Compliance Database'!$D910&amp;" "&amp;'Compliance Database'!$K910&amp;" "&amp;'Compliance Database'!$L910&amp;" "&amp;'Compliance Database'!$M910&amp;" "&amp;'Compliance Database'!$N910&amp;" "&amp;'Compliance Database'!$O910)))),1,0)</f>
        <v>0</v>
      </c>
      <c r="B910" t="str">
        <f>IF($A910=1,SUM($A$2:$A910),"")</f>
        <v/>
      </c>
      <c r="C910">
        <f>IF($A910=1,SUM($A$2:$A910),0)</f>
        <v>0</v>
      </c>
    </row>
    <row r="911" spans="1:3" x14ac:dyDescent="0.3">
      <c r="A911">
        <f>IF(AND(OR('Compliance Database'!$A911='Data Transfer'!$B$4,'Compliance Database'!$A911='Data Transfer'!$B$5),OR('Data Transfer'!$B$6="",ISNUMBER(SEARCH('Data Transfer'!$B$6,'Compliance Database'!$D911&amp;" "&amp;'Compliance Database'!$K911&amp;" "&amp;'Compliance Database'!$L911&amp;" "&amp;'Compliance Database'!$M911&amp;" "&amp;'Compliance Database'!$N911&amp;" "&amp;'Compliance Database'!$O911)))),1,0)</f>
        <v>0</v>
      </c>
      <c r="B911" t="str">
        <f>IF($A911=1,SUM($A$2:$A911),"")</f>
        <v/>
      </c>
      <c r="C911">
        <f>IF($A911=1,SUM($A$2:$A911),0)</f>
        <v>0</v>
      </c>
    </row>
    <row r="912" spans="1:3" x14ac:dyDescent="0.3">
      <c r="A912">
        <f>IF(AND(OR('Compliance Database'!$A912='Data Transfer'!$B$4,'Compliance Database'!$A912='Data Transfer'!$B$5),OR('Data Transfer'!$B$6="",ISNUMBER(SEARCH('Data Transfer'!$B$6,'Compliance Database'!$D912&amp;" "&amp;'Compliance Database'!$K912&amp;" "&amp;'Compliance Database'!$L912&amp;" "&amp;'Compliance Database'!$M912&amp;" "&amp;'Compliance Database'!$N912&amp;" "&amp;'Compliance Database'!$O912)))),1,0)</f>
        <v>0</v>
      </c>
      <c r="B912" t="str">
        <f>IF($A912=1,SUM($A$2:$A912),"")</f>
        <v/>
      </c>
      <c r="C912">
        <f>IF($A912=1,SUM($A$2:$A912),0)</f>
        <v>0</v>
      </c>
    </row>
    <row r="913" spans="1:3" x14ac:dyDescent="0.3">
      <c r="A913">
        <f>IF(AND(OR('Compliance Database'!$A913='Data Transfer'!$B$4,'Compliance Database'!$A913='Data Transfer'!$B$5),OR('Data Transfer'!$B$6="",ISNUMBER(SEARCH('Data Transfer'!$B$6,'Compliance Database'!$D913&amp;" "&amp;'Compliance Database'!$K913&amp;" "&amp;'Compliance Database'!$L913&amp;" "&amp;'Compliance Database'!$M913&amp;" "&amp;'Compliance Database'!$N913&amp;" "&amp;'Compliance Database'!$O913)))),1,0)</f>
        <v>0</v>
      </c>
      <c r="B913" t="str">
        <f>IF($A913=1,SUM($A$2:$A913),"")</f>
        <v/>
      </c>
      <c r="C913">
        <f>IF($A913=1,SUM($A$2:$A913),0)</f>
        <v>0</v>
      </c>
    </row>
    <row r="914" spans="1:3" x14ac:dyDescent="0.3">
      <c r="A914">
        <f>IF(AND(OR('Compliance Database'!$A914='Data Transfer'!$B$4,'Compliance Database'!$A914='Data Transfer'!$B$5),OR('Data Transfer'!$B$6="",ISNUMBER(SEARCH('Data Transfer'!$B$6,'Compliance Database'!$D914&amp;" "&amp;'Compliance Database'!$K914&amp;" "&amp;'Compliance Database'!$L914&amp;" "&amp;'Compliance Database'!$M914&amp;" "&amp;'Compliance Database'!$N914&amp;" "&amp;'Compliance Database'!$O914)))),1,0)</f>
        <v>0</v>
      </c>
      <c r="B914" t="str">
        <f>IF($A914=1,SUM($A$2:$A914),"")</f>
        <v/>
      </c>
      <c r="C914">
        <f>IF($A914=1,SUM($A$2:$A914),0)</f>
        <v>0</v>
      </c>
    </row>
    <row r="915" spans="1:3" x14ac:dyDescent="0.3">
      <c r="A915">
        <f>IF(AND(OR('Compliance Database'!$A915='Data Transfer'!$B$4,'Compliance Database'!$A915='Data Transfer'!$B$5),OR('Data Transfer'!$B$6="",ISNUMBER(SEARCH('Data Transfer'!$B$6,'Compliance Database'!$D915&amp;" "&amp;'Compliance Database'!$K915&amp;" "&amp;'Compliance Database'!$L915&amp;" "&amp;'Compliance Database'!$M915&amp;" "&amp;'Compliance Database'!$N915&amp;" "&amp;'Compliance Database'!$O915)))),1,0)</f>
        <v>0</v>
      </c>
      <c r="B915" t="str">
        <f>IF($A915=1,SUM($A$2:$A915),"")</f>
        <v/>
      </c>
      <c r="C915">
        <f>IF($A915=1,SUM($A$2:$A915),0)</f>
        <v>0</v>
      </c>
    </row>
    <row r="916" spans="1:3" x14ac:dyDescent="0.3">
      <c r="A916">
        <f>IF(AND(OR('Compliance Database'!$A916='Data Transfer'!$B$4,'Compliance Database'!$A916='Data Transfer'!$B$5),OR('Data Transfer'!$B$6="",ISNUMBER(SEARCH('Data Transfer'!$B$6,'Compliance Database'!$D916&amp;" "&amp;'Compliance Database'!$K916&amp;" "&amp;'Compliance Database'!$L916&amp;" "&amp;'Compliance Database'!$M916&amp;" "&amp;'Compliance Database'!$N916&amp;" "&amp;'Compliance Database'!$O916)))),1,0)</f>
        <v>0</v>
      </c>
      <c r="B916" t="str">
        <f>IF($A916=1,SUM($A$2:$A916),"")</f>
        <v/>
      </c>
      <c r="C916">
        <f>IF($A916=1,SUM($A$2:$A916),0)</f>
        <v>0</v>
      </c>
    </row>
    <row r="917" spans="1:3" x14ac:dyDescent="0.3">
      <c r="A917">
        <f>IF(AND(OR('Compliance Database'!$A917='Data Transfer'!$B$4,'Compliance Database'!$A917='Data Transfer'!$B$5),OR('Data Transfer'!$B$6="",ISNUMBER(SEARCH('Data Transfer'!$B$6,'Compliance Database'!$D917&amp;" "&amp;'Compliance Database'!$K917&amp;" "&amp;'Compliance Database'!$L917&amp;" "&amp;'Compliance Database'!$M917&amp;" "&amp;'Compliance Database'!$N917&amp;" "&amp;'Compliance Database'!$O917)))),1,0)</f>
        <v>0</v>
      </c>
      <c r="B917" t="str">
        <f>IF($A917=1,SUM($A$2:$A917),"")</f>
        <v/>
      </c>
      <c r="C917">
        <f>IF($A917=1,SUM($A$2:$A917),0)</f>
        <v>0</v>
      </c>
    </row>
    <row r="918" spans="1:3" x14ac:dyDescent="0.3">
      <c r="A918">
        <f>IF(AND(OR('Compliance Database'!$A918='Data Transfer'!$B$4,'Compliance Database'!$A918='Data Transfer'!$B$5),OR('Data Transfer'!$B$6="",ISNUMBER(SEARCH('Data Transfer'!$B$6,'Compliance Database'!$D918&amp;" "&amp;'Compliance Database'!$K918&amp;" "&amp;'Compliance Database'!$L918&amp;" "&amp;'Compliance Database'!$M918&amp;" "&amp;'Compliance Database'!$N918&amp;" "&amp;'Compliance Database'!$O918)))),1,0)</f>
        <v>0</v>
      </c>
      <c r="B918" t="str">
        <f>IF($A918=1,SUM($A$2:$A918),"")</f>
        <v/>
      </c>
      <c r="C918">
        <f>IF($A918=1,SUM($A$2:$A918),0)</f>
        <v>0</v>
      </c>
    </row>
    <row r="919" spans="1:3" x14ac:dyDescent="0.3">
      <c r="A919">
        <f>IF(AND(OR('Compliance Database'!$A919='Data Transfer'!$B$4,'Compliance Database'!$A919='Data Transfer'!$B$5),OR('Data Transfer'!$B$6="",ISNUMBER(SEARCH('Data Transfer'!$B$6,'Compliance Database'!$D919&amp;" "&amp;'Compliance Database'!$K919&amp;" "&amp;'Compliance Database'!$L919&amp;" "&amp;'Compliance Database'!$M919&amp;" "&amp;'Compliance Database'!$N919&amp;" "&amp;'Compliance Database'!$O919)))),1,0)</f>
        <v>0</v>
      </c>
      <c r="B919" t="str">
        <f>IF($A919=1,SUM($A$2:$A919),"")</f>
        <v/>
      </c>
      <c r="C919">
        <f>IF($A919=1,SUM($A$2:$A919),0)</f>
        <v>0</v>
      </c>
    </row>
    <row r="920" spans="1:3" x14ac:dyDescent="0.3">
      <c r="A920">
        <f>IF(AND(OR('Compliance Database'!$A920='Data Transfer'!$B$4,'Compliance Database'!$A920='Data Transfer'!$B$5),OR('Data Transfer'!$B$6="",ISNUMBER(SEARCH('Data Transfer'!$B$6,'Compliance Database'!$D920&amp;" "&amp;'Compliance Database'!$K920&amp;" "&amp;'Compliance Database'!$L920&amp;" "&amp;'Compliance Database'!$M920&amp;" "&amp;'Compliance Database'!$N920&amp;" "&amp;'Compliance Database'!$O920)))),1,0)</f>
        <v>0</v>
      </c>
      <c r="B920" t="str">
        <f>IF($A920=1,SUM($A$2:$A920),"")</f>
        <v/>
      </c>
      <c r="C920">
        <f>IF($A920=1,SUM($A$2:$A920),0)</f>
        <v>0</v>
      </c>
    </row>
    <row r="921" spans="1:3" x14ac:dyDescent="0.3">
      <c r="A921">
        <f>IF(AND(OR('Compliance Database'!$A921='Data Transfer'!$B$4,'Compliance Database'!$A921='Data Transfer'!$B$5),OR('Data Transfer'!$B$6="",ISNUMBER(SEARCH('Data Transfer'!$B$6,'Compliance Database'!$D921&amp;" "&amp;'Compliance Database'!$K921&amp;" "&amp;'Compliance Database'!$L921&amp;" "&amp;'Compliance Database'!$M921&amp;" "&amp;'Compliance Database'!$N921&amp;" "&amp;'Compliance Database'!$O921)))),1,0)</f>
        <v>0</v>
      </c>
      <c r="B921" t="str">
        <f>IF($A921=1,SUM($A$2:$A921),"")</f>
        <v/>
      </c>
      <c r="C921">
        <f>IF($A921=1,SUM($A$2:$A921),0)</f>
        <v>0</v>
      </c>
    </row>
    <row r="922" spans="1:3" x14ac:dyDescent="0.3">
      <c r="A922">
        <f>IF(AND(OR('Compliance Database'!$A922='Data Transfer'!$B$4,'Compliance Database'!$A922='Data Transfer'!$B$5),OR('Data Transfer'!$B$6="",ISNUMBER(SEARCH('Data Transfer'!$B$6,'Compliance Database'!$D922&amp;" "&amp;'Compliance Database'!$K922&amp;" "&amp;'Compliance Database'!$L922&amp;" "&amp;'Compliance Database'!$M922&amp;" "&amp;'Compliance Database'!$N922&amp;" "&amp;'Compliance Database'!$O922)))),1,0)</f>
        <v>0</v>
      </c>
      <c r="B922" t="str">
        <f>IF($A922=1,SUM($A$2:$A922),"")</f>
        <v/>
      </c>
      <c r="C922">
        <f>IF($A922=1,SUM($A$2:$A922),0)</f>
        <v>0</v>
      </c>
    </row>
    <row r="923" spans="1:3" x14ac:dyDescent="0.3">
      <c r="A923">
        <f>IF(AND(OR('Compliance Database'!$A923='Data Transfer'!$B$4,'Compliance Database'!$A923='Data Transfer'!$B$5),OR('Data Transfer'!$B$6="",ISNUMBER(SEARCH('Data Transfer'!$B$6,'Compliance Database'!$D923&amp;" "&amp;'Compliance Database'!$K923&amp;" "&amp;'Compliance Database'!$L923&amp;" "&amp;'Compliance Database'!$M923&amp;" "&amp;'Compliance Database'!$N923&amp;" "&amp;'Compliance Database'!$O923)))),1,0)</f>
        <v>0</v>
      </c>
      <c r="B923" t="str">
        <f>IF($A923=1,SUM($A$2:$A923),"")</f>
        <v/>
      </c>
      <c r="C923">
        <f>IF($A923=1,SUM($A$2:$A923),0)</f>
        <v>0</v>
      </c>
    </row>
    <row r="924" spans="1:3" x14ac:dyDescent="0.3">
      <c r="A924">
        <f>IF(AND(OR('Compliance Database'!$A924='Data Transfer'!$B$4,'Compliance Database'!$A924='Data Transfer'!$B$5),OR('Data Transfer'!$B$6="",ISNUMBER(SEARCH('Data Transfer'!$B$6,'Compliance Database'!$D924&amp;" "&amp;'Compliance Database'!$K924&amp;" "&amp;'Compliance Database'!$L924&amp;" "&amp;'Compliance Database'!$M924&amp;" "&amp;'Compliance Database'!$N924&amp;" "&amp;'Compliance Database'!$O924)))),1,0)</f>
        <v>0</v>
      </c>
      <c r="B924" t="str">
        <f>IF($A924=1,SUM($A$2:$A924),"")</f>
        <v/>
      </c>
      <c r="C924">
        <f>IF($A924=1,SUM($A$2:$A924),0)</f>
        <v>0</v>
      </c>
    </row>
    <row r="925" spans="1:3" x14ac:dyDescent="0.3">
      <c r="A925">
        <f>IF(AND(OR('Compliance Database'!$A925='Data Transfer'!$B$4,'Compliance Database'!$A925='Data Transfer'!$B$5),OR('Data Transfer'!$B$6="",ISNUMBER(SEARCH('Data Transfer'!$B$6,'Compliance Database'!$D925&amp;" "&amp;'Compliance Database'!$K925&amp;" "&amp;'Compliance Database'!$L925&amp;" "&amp;'Compliance Database'!$M925&amp;" "&amp;'Compliance Database'!$N925&amp;" "&amp;'Compliance Database'!$O925)))),1,0)</f>
        <v>0</v>
      </c>
      <c r="B925" t="str">
        <f>IF($A925=1,SUM($A$2:$A925),"")</f>
        <v/>
      </c>
      <c r="C925">
        <f>IF($A925=1,SUM($A$2:$A925),0)</f>
        <v>0</v>
      </c>
    </row>
    <row r="926" spans="1:3" x14ac:dyDescent="0.3">
      <c r="A926">
        <f>IF(AND(OR('Compliance Database'!$A926='Data Transfer'!$B$4,'Compliance Database'!$A926='Data Transfer'!$B$5),OR('Data Transfer'!$B$6="",ISNUMBER(SEARCH('Data Transfer'!$B$6,'Compliance Database'!$D926&amp;" "&amp;'Compliance Database'!$K926&amp;" "&amp;'Compliance Database'!$L926&amp;" "&amp;'Compliance Database'!$M926&amp;" "&amp;'Compliance Database'!$N926&amp;" "&amp;'Compliance Database'!$O926)))),1,0)</f>
        <v>0</v>
      </c>
      <c r="B926" t="str">
        <f>IF($A926=1,SUM($A$2:$A926),"")</f>
        <v/>
      </c>
      <c r="C926">
        <f>IF($A926=1,SUM($A$2:$A926),0)</f>
        <v>0</v>
      </c>
    </row>
    <row r="927" spans="1:3" x14ac:dyDescent="0.3">
      <c r="A927">
        <f>IF(AND(OR('Compliance Database'!$A927='Data Transfer'!$B$4,'Compliance Database'!$A927='Data Transfer'!$B$5),OR('Data Transfer'!$B$6="",ISNUMBER(SEARCH('Data Transfer'!$B$6,'Compliance Database'!$D927&amp;" "&amp;'Compliance Database'!$K927&amp;" "&amp;'Compliance Database'!$L927&amp;" "&amp;'Compliance Database'!$M927&amp;" "&amp;'Compliance Database'!$N927&amp;" "&amp;'Compliance Database'!$O927)))),1,0)</f>
        <v>0</v>
      </c>
      <c r="B927" t="str">
        <f>IF($A927=1,SUM($A$2:$A927),"")</f>
        <v/>
      </c>
      <c r="C927">
        <f>IF($A927=1,SUM($A$2:$A927),0)</f>
        <v>0</v>
      </c>
    </row>
    <row r="928" spans="1:3" x14ac:dyDescent="0.3">
      <c r="A928">
        <f>IF(AND(OR('Compliance Database'!$A928='Data Transfer'!$B$4,'Compliance Database'!$A928='Data Transfer'!$B$5),OR('Data Transfer'!$B$6="",ISNUMBER(SEARCH('Data Transfer'!$B$6,'Compliance Database'!$D928&amp;" "&amp;'Compliance Database'!$K928&amp;" "&amp;'Compliance Database'!$L928&amp;" "&amp;'Compliance Database'!$M928&amp;" "&amp;'Compliance Database'!$N928&amp;" "&amp;'Compliance Database'!$O928)))),1,0)</f>
        <v>0</v>
      </c>
      <c r="B928" t="str">
        <f>IF($A928=1,SUM($A$2:$A928),"")</f>
        <v/>
      </c>
      <c r="C928">
        <f>IF($A928=1,SUM($A$2:$A928),0)</f>
        <v>0</v>
      </c>
    </row>
    <row r="929" spans="1:3" x14ac:dyDescent="0.3">
      <c r="A929">
        <f>IF(AND(OR('Compliance Database'!$A929='Data Transfer'!$B$4,'Compliance Database'!$A929='Data Transfer'!$B$5),OR('Data Transfer'!$B$6="",ISNUMBER(SEARCH('Data Transfer'!$B$6,'Compliance Database'!$D929&amp;" "&amp;'Compliance Database'!$K929&amp;" "&amp;'Compliance Database'!$L929&amp;" "&amp;'Compliance Database'!$M929&amp;" "&amp;'Compliance Database'!$N929&amp;" "&amp;'Compliance Database'!$O929)))),1,0)</f>
        <v>0</v>
      </c>
      <c r="B929" t="str">
        <f>IF($A929=1,SUM($A$2:$A929),"")</f>
        <v/>
      </c>
      <c r="C929">
        <f>IF($A929=1,SUM($A$2:$A929),0)</f>
        <v>0</v>
      </c>
    </row>
    <row r="930" spans="1:3" x14ac:dyDescent="0.3">
      <c r="A930">
        <f>IF(AND(OR('Compliance Database'!$A930='Data Transfer'!$B$4,'Compliance Database'!$A930='Data Transfer'!$B$5),OR('Data Transfer'!$B$6="",ISNUMBER(SEARCH('Data Transfer'!$B$6,'Compliance Database'!$D930&amp;" "&amp;'Compliance Database'!$K930&amp;" "&amp;'Compliance Database'!$L930&amp;" "&amp;'Compliance Database'!$M930&amp;" "&amp;'Compliance Database'!$N930&amp;" "&amp;'Compliance Database'!$O930)))),1,0)</f>
        <v>0</v>
      </c>
      <c r="B930" t="str">
        <f>IF($A930=1,SUM($A$2:$A930),"")</f>
        <v/>
      </c>
      <c r="C930">
        <f>IF($A930=1,SUM($A$2:$A930),0)</f>
        <v>0</v>
      </c>
    </row>
    <row r="931" spans="1:3" x14ac:dyDescent="0.3">
      <c r="A931">
        <f>IF(AND(OR('Compliance Database'!$A931='Data Transfer'!$B$4,'Compliance Database'!$A931='Data Transfer'!$B$5),OR('Data Transfer'!$B$6="",ISNUMBER(SEARCH('Data Transfer'!$B$6,'Compliance Database'!$D931&amp;" "&amp;'Compliance Database'!$K931&amp;" "&amp;'Compliance Database'!$L931&amp;" "&amp;'Compliance Database'!$M931&amp;" "&amp;'Compliance Database'!$N931&amp;" "&amp;'Compliance Database'!$O931)))),1,0)</f>
        <v>0</v>
      </c>
      <c r="B931" t="str">
        <f>IF($A931=1,SUM($A$2:$A931),"")</f>
        <v/>
      </c>
      <c r="C931">
        <f>IF($A931=1,SUM($A$2:$A931),0)</f>
        <v>0</v>
      </c>
    </row>
    <row r="932" spans="1:3" x14ac:dyDescent="0.3">
      <c r="A932">
        <f>IF(AND(OR('Compliance Database'!$A932='Data Transfer'!$B$4,'Compliance Database'!$A932='Data Transfer'!$B$5),OR('Data Transfer'!$B$6="",ISNUMBER(SEARCH('Data Transfer'!$B$6,'Compliance Database'!$D932&amp;" "&amp;'Compliance Database'!$K932&amp;" "&amp;'Compliance Database'!$L932&amp;" "&amp;'Compliance Database'!$M932&amp;" "&amp;'Compliance Database'!$N932&amp;" "&amp;'Compliance Database'!$O932)))),1,0)</f>
        <v>0</v>
      </c>
      <c r="B932" t="str">
        <f>IF($A932=1,SUM($A$2:$A932),"")</f>
        <v/>
      </c>
      <c r="C932">
        <f>IF($A932=1,SUM($A$2:$A932),0)</f>
        <v>0</v>
      </c>
    </row>
    <row r="933" spans="1:3" x14ac:dyDescent="0.3">
      <c r="A933">
        <f>IF(AND(OR('Compliance Database'!$A933='Data Transfer'!$B$4,'Compliance Database'!$A933='Data Transfer'!$B$5),OR('Data Transfer'!$B$6="",ISNUMBER(SEARCH('Data Transfer'!$B$6,'Compliance Database'!$D933&amp;" "&amp;'Compliance Database'!$K933&amp;" "&amp;'Compliance Database'!$L933&amp;" "&amp;'Compliance Database'!$M933&amp;" "&amp;'Compliance Database'!$N933&amp;" "&amp;'Compliance Database'!$O933)))),1,0)</f>
        <v>0</v>
      </c>
      <c r="B933" t="str">
        <f>IF($A933=1,SUM($A$2:$A933),"")</f>
        <v/>
      </c>
      <c r="C933">
        <f>IF($A933=1,SUM($A$2:$A933),0)</f>
        <v>0</v>
      </c>
    </row>
    <row r="934" spans="1:3" x14ac:dyDescent="0.3">
      <c r="A934">
        <f>IF(AND(OR('Compliance Database'!$A934='Data Transfer'!$B$4,'Compliance Database'!$A934='Data Transfer'!$B$5),OR('Data Transfer'!$B$6="",ISNUMBER(SEARCH('Data Transfer'!$B$6,'Compliance Database'!$D934&amp;" "&amp;'Compliance Database'!$K934&amp;" "&amp;'Compliance Database'!$L934&amp;" "&amp;'Compliance Database'!$M934&amp;" "&amp;'Compliance Database'!$N934&amp;" "&amp;'Compliance Database'!$O934)))),1,0)</f>
        <v>0</v>
      </c>
      <c r="B934" t="str">
        <f>IF($A934=1,SUM($A$2:$A934),"")</f>
        <v/>
      </c>
      <c r="C934">
        <f>IF($A934=1,SUM($A$2:$A934),0)</f>
        <v>0</v>
      </c>
    </row>
    <row r="935" spans="1:3" x14ac:dyDescent="0.3">
      <c r="A935">
        <f>IF(AND(OR('Compliance Database'!$A935='Data Transfer'!$B$4,'Compliance Database'!$A935='Data Transfer'!$B$5),OR('Data Transfer'!$B$6="",ISNUMBER(SEARCH('Data Transfer'!$B$6,'Compliance Database'!$D935&amp;" "&amp;'Compliance Database'!$K935&amp;" "&amp;'Compliance Database'!$L935&amp;" "&amp;'Compliance Database'!$M935&amp;" "&amp;'Compliance Database'!$N935&amp;" "&amp;'Compliance Database'!$O935)))),1,0)</f>
        <v>0</v>
      </c>
      <c r="B935" t="str">
        <f>IF($A935=1,SUM($A$2:$A935),"")</f>
        <v/>
      </c>
      <c r="C935">
        <f>IF($A935=1,SUM($A$2:$A935),0)</f>
        <v>0</v>
      </c>
    </row>
    <row r="936" spans="1:3" x14ac:dyDescent="0.3">
      <c r="A936">
        <f>IF(AND(OR('Compliance Database'!$A936='Data Transfer'!$B$4,'Compliance Database'!$A936='Data Transfer'!$B$5),OR('Data Transfer'!$B$6="",ISNUMBER(SEARCH('Data Transfer'!$B$6,'Compliance Database'!$D936&amp;" "&amp;'Compliance Database'!$K936&amp;" "&amp;'Compliance Database'!$L936&amp;" "&amp;'Compliance Database'!$M936&amp;" "&amp;'Compliance Database'!$N936&amp;" "&amp;'Compliance Database'!$O936)))),1,0)</f>
        <v>0</v>
      </c>
      <c r="B936" t="str">
        <f>IF($A936=1,SUM($A$2:$A936),"")</f>
        <v/>
      </c>
      <c r="C936">
        <f>IF($A936=1,SUM($A$2:$A936),0)</f>
        <v>0</v>
      </c>
    </row>
    <row r="937" spans="1:3" x14ac:dyDescent="0.3">
      <c r="A937">
        <f>IF(AND(OR('Compliance Database'!$A937='Data Transfer'!$B$4,'Compliance Database'!$A937='Data Transfer'!$B$5),OR('Data Transfer'!$B$6="",ISNUMBER(SEARCH('Data Transfer'!$B$6,'Compliance Database'!$D937&amp;" "&amp;'Compliance Database'!$K937&amp;" "&amp;'Compliance Database'!$L937&amp;" "&amp;'Compliance Database'!$M937&amp;" "&amp;'Compliance Database'!$N937&amp;" "&amp;'Compliance Database'!$O937)))),1,0)</f>
        <v>0</v>
      </c>
      <c r="B937" t="str">
        <f>IF($A937=1,SUM($A$2:$A937),"")</f>
        <v/>
      </c>
      <c r="C937">
        <f>IF($A937=1,SUM($A$2:$A937),0)</f>
        <v>0</v>
      </c>
    </row>
    <row r="938" spans="1:3" x14ac:dyDescent="0.3">
      <c r="A938">
        <f>IF(AND(OR('Compliance Database'!$A938='Data Transfer'!$B$4,'Compliance Database'!$A938='Data Transfer'!$B$5),OR('Data Transfer'!$B$6="",ISNUMBER(SEARCH('Data Transfer'!$B$6,'Compliance Database'!$D938&amp;" "&amp;'Compliance Database'!$K938&amp;" "&amp;'Compliance Database'!$L938&amp;" "&amp;'Compliance Database'!$M938&amp;" "&amp;'Compliance Database'!$N938&amp;" "&amp;'Compliance Database'!$O938)))),1,0)</f>
        <v>0</v>
      </c>
      <c r="B938" t="str">
        <f>IF($A938=1,SUM($A$2:$A938),"")</f>
        <v/>
      </c>
      <c r="C938">
        <f>IF($A938=1,SUM($A$2:$A938),0)</f>
        <v>0</v>
      </c>
    </row>
    <row r="939" spans="1:3" x14ac:dyDescent="0.3">
      <c r="A939">
        <f>IF(AND(OR('Compliance Database'!$A939='Data Transfer'!$B$4,'Compliance Database'!$A939='Data Transfer'!$B$5),OR('Data Transfer'!$B$6="",ISNUMBER(SEARCH('Data Transfer'!$B$6,'Compliance Database'!$D939&amp;" "&amp;'Compliance Database'!$K939&amp;" "&amp;'Compliance Database'!$L939&amp;" "&amp;'Compliance Database'!$M939&amp;" "&amp;'Compliance Database'!$N939&amp;" "&amp;'Compliance Database'!$O939)))),1,0)</f>
        <v>0</v>
      </c>
      <c r="B939" t="str">
        <f>IF($A939=1,SUM($A$2:$A939),"")</f>
        <v/>
      </c>
      <c r="C939">
        <f>IF($A939=1,SUM($A$2:$A939),0)</f>
        <v>0</v>
      </c>
    </row>
    <row r="940" spans="1:3" x14ac:dyDescent="0.3">
      <c r="A940">
        <f>IF(AND(OR('Compliance Database'!$A940='Data Transfer'!$B$4,'Compliance Database'!$A940='Data Transfer'!$B$5),OR('Data Transfer'!$B$6="",ISNUMBER(SEARCH('Data Transfer'!$B$6,'Compliance Database'!$D940&amp;" "&amp;'Compliance Database'!$K940&amp;" "&amp;'Compliance Database'!$L940&amp;" "&amp;'Compliance Database'!$M940&amp;" "&amp;'Compliance Database'!$N940&amp;" "&amp;'Compliance Database'!$O940)))),1,0)</f>
        <v>0</v>
      </c>
      <c r="B940" t="str">
        <f>IF($A940=1,SUM($A$2:$A940),"")</f>
        <v/>
      </c>
      <c r="C940">
        <f>IF($A940=1,SUM($A$2:$A940),0)</f>
        <v>0</v>
      </c>
    </row>
    <row r="941" spans="1:3" x14ac:dyDescent="0.3">
      <c r="A941">
        <f>IF(AND(OR('Compliance Database'!$A941='Data Transfer'!$B$4,'Compliance Database'!$A941='Data Transfer'!$B$5),OR('Data Transfer'!$B$6="",ISNUMBER(SEARCH('Data Transfer'!$B$6,'Compliance Database'!$D941&amp;" "&amp;'Compliance Database'!$K941&amp;" "&amp;'Compliance Database'!$L941&amp;" "&amp;'Compliance Database'!$M941&amp;" "&amp;'Compliance Database'!$N941&amp;" "&amp;'Compliance Database'!$O941)))),1,0)</f>
        <v>0</v>
      </c>
      <c r="B941" t="str">
        <f>IF($A941=1,SUM($A$2:$A941),"")</f>
        <v/>
      </c>
      <c r="C941">
        <f>IF($A941=1,SUM($A$2:$A941),0)</f>
        <v>0</v>
      </c>
    </row>
    <row r="942" spans="1:3" x14ac:dyDescent="0.3">
      <c r="A942">
        <f>IF(AND(OR('Compliance Database'!$A942='Data Transfer'!$B$4,'Compliance Database'!$A942='Data Transfer'!$B$5),OR('Data Transfer'!$B$6="",ISNUMBER(SEARCH('Data Transfer'!$B$6,'Compliance Database'!$D942&amp;" "&amp;'Compliance Database'!$K942&amp;" "&amp;'Compliance Database'!$L942&amp;" "&amp;'Compliance Database'!$M942&amp;" "&amp;'Compliance Database'!$N942&amp;" "&amp;'Compliance Database'!$O942)))),1,0)</f>
        <v>0</v>
      </c>
      <c r="B942" t="str">
        <f>IF($A942=1,SUM($A$2:$A942),"")</f>
        <v/>
      </c>
      <c r="C942">
        <f>IF($A942=1,SUM($A$2:$A942),0)</f>
        <v>0</v>
      </c>
    </row>
    <row r="943" spans="1:3" x14ac:dyDescent="0.3">
      <c r="A943">
        <f>IF(AND(OR('Compliance Database'!$A943='Data Transfer'!$B$4,'Compliance Database'!$A943='Data Transfer'!$B$5),OR('Data Transfer'!$B$6="",ISNUMBER(SEARCH('Data Transfer'!$B$6,'Compliance Database'!$D943&amp;" "&amp;'Compliance Database'!$K943&amp;" "&amp;'Compliance Database'!$L943&amp;" "&amp;'Compliance Database'!$M943&amp;" "&amp;'Compliance Database'!$N943&amp;" "&amp;'Compliance Database'!$O943)))),1,0)</f>
        <v>0</v>
      </c>
      <c r="B943" t="str">
        <f>IF($A943=1,SUM($A$2:$A943),"")</f>
        <v/>
      </c>
      <c r="C943">
        <f>IF($A943=1,SUM($A$2:$A943),0)</f>
        <v>0</v>
      </c>
    </row>
    <row r="944" spans="1:3" x14ac:dyDescent="0.3">
      <c r="A944">
        <f>IF(AND(OR('Compliance Database'!$A944='Data Transfer'!$B$4,'Compliance Database'!$A944='Data Transfer'!$B$5),OR('Data Transfer'!$B$6="",ISNUMBER(SEARCH('Data Transfer'!$B$6,'Compliance Database'!$D944&amp;" "&amp;'Compliance Database'!$K944&amp;" "&amp;'Compliance Database'!$L944&amp;" "&amp;'Compliance Database'!$M944&amp;" "&amp;'Compliance Database'!$N944&amp;" "&amp;'Compliance Database'!$O944)))),1,0)</f>
        <v>0</v>
      </c>
      <c r="B944" t="str">
        <f>IF($A944=1,SUM($A$2:$A944),"")</f>
        <v/>
      </c>
      <c r="C944">
        <f>IF($A944=1,SUM($A$2:$A944),0)</f>
        <v>0</v>
      </c>
    </row>
    <row r="945" spans="1:3" x14ac:dyDescent="0.3">
      <c r="A945">
        <f>IF(AND(OR('Compliance Database'!$A945='Data Transfer'!$B$4,'Compliance Database'!$A945='Data Transfer'!$B$5),OR('Data Transfer'!$B$6="",ISNUMBER(SEARCH('Data Transfer'!$B$6,'Compliance Database'!$D945&amp;" "&amp;'Compliance Database'!$K945&amp;" "&amp;'Compliance Database'!$L945&amp;" "&amp;'Compliance Database'!$M945&amp;" "&amp;'Compliance Database'!$N945&amp;" "&amp;'Compliance Database'!$O945)))),1,0)</f>
        <v>0</v>
      </c>
      <c r="B945" t="str">
        <f>IF($A945=1,SUM($A$2:$A945),"")</f>
        <v/>
      </c>
      <c r="C945">
        <f>IF($A945=1,SUM($A$2:$A945),0)</f>
        <v>0</v>
      </c>
    </row>
    <row r="946" spans="1:3" x14ac:dyDescent="0.3">
      <c r="A946">
        <f>IF(AND(OR('Compliance Database'!$A946='Data Transfer'!$B$4,'Compliance Database'!$A946='Data Transfer'!$B$5),OR('Data Transfer'!$B$6="",ISNUMBER(SEARCH('Data Transfer'!$B$6,'Compliance Database'!$D946&amp;" "&amp;'Compliance Database'!$K946&amp;" "&amp;'Compliance Database'!$L946&amp;" "&amp;'Compliance Database'!$M946&amp;" "&amp;'Compliance Database'!$N946&amp;" "&amp;'Compliance Database'!$O946)))),1,0)</f>
        <v>0</v>
      </c>
      <c r="B946" t="str">
        <f>IF($A946=1,SUM($A$2:$A946),"")</f>
        <v/>
      </c>
      <c r="C946">
        <f>IF($A946=1,SUM($A$2:$A946),0)</f>
        <v>0</v>
      </c>
    </row>
    <row r="947" spans="1:3" x14ac:dyDescent="0.3">
      <c r="A947">
        <f>IF(AND(OR('Compliance Database'!$A947='Data Transfer'!$B$4,'Compliance Database'!$A947='Data Transfer'!$B$5),OR('Data Transfer'!$B$6="",ISNUMBER(SEARCH('Data Transfer'!$B$6,'Compliance Database'!$D947&amp;" "&amp;'Compliance Database'!$K947&amp;" "&amp;'Compliance Database'!$L947&amp;" "&amp;'Compliance Database'!$M947&amp;" "&amp;'Compliance Database'!$N947&amp;" "&amp;'Compliance Database'!$O947)))),1,0)</f>
        <v>0</v>
      </c>
      <c r="B947" t="str">
        <f>IF($A947=1,SUM($A$2:$A947),"")</f>
        <v/>
      </c>
      <c r="C947">
        <f>IF($A947=1,SUM($A$2:$A947),0)</f>
        <v>0</v>
      </c>
    </row>
    <row r="948" spans="1:3" x14ac:dyDescent="0.3">
      <c r="A948">
        <f>IF(AND(OR('Compliance Database'!$A948='Data Transfer'!$B$4,'Compliance Database'!$A948='Data Transfer'!$B$5),OR('Data Transfer'!$B$6="",ISNUMBER(SEARCH('Data Transfer'!$B$6,'Compliance Database'!$D948&amp;" "&amp;'Compliance Database'!$K948&amp;" "&amp;'Compliance Database'!$L948&amp;" "&amp;'Compliance Database'!$M948&amp;" "&amp;'Compliance Database'!$N948&amp;" "&amp;'Compliance Database'!$O948)))),1,0)</f>
        <v>0</v>
      </c>
      <c r="B948" t="str">
        <f>IF($A948=1,SUM($A$2:$A948),"")</f>
        <v/>
      </c>
      <c r="C948">
        <f>IF($A948=1,SUM($A$2:$A948),0)</f>
        <v>0</v>
      </c>
    </row>
    <row r="949" spans="1:3" x14ac:dyDescent="0.3">
      <c r="A949">
        <f>IF(AND(OR('Compliance Database'!$A949='Data Transfer'!$B$4,'Compliance Database'!$A949='Data Transfer'!$B$5),OR('Data Transfer'!$B$6="",ISNUMBER(SEARCH('Data Transfer'!$B$6,'Compliance Database'!$D949&amp;" "&amp;'Compliance Database'!$K949&amp;" "&amp;'Compliance Database'!$L949&amp;" "&amp;'Compliance Database'!$M949&amp;" "&amp;'Compliance Database'!$N949&amp;" "&amp;'Compliance Database'!$O949)))),1,0)</f>
        <v>0</v>
      </c>
      <c r="B949" t="str">
        <f>IF($A949=1,SUM($A$2:$A949),"")</f>
        <v/>
      </c>
      <c r="C949">
        <f>IF($A949=1,SUM($A$2:$A949),0)</f>
        <v>0</v>
      </c>
    </row>
    <row r="950" spans="1:3" x14ac:dyDescent="0.3">
      <c r="A950">
        <f>IF(AND(OR('Compliance Database'!$A950='Data Transfer'!$B$4,'Compliance Database'!$A950='Data Transfer'!$B$5),OR('Data Transfer'!$B$6="",ISNUMBER(SEARCH('Data Transfer'!$B$6,'Compliance Database'!$D950&amp;" "&amp;'Compliance Database'!$K950&amp;" "&amp;'Compliance Database'!$L950&amp;" "&amp;'Compliance Database'!$M950&amp;" "&amp;'Compliance Database'!$N950&amp;" "&amp;'Compliance Database'!$O950)))),1,0)</f>
        <v>0</v>
      </c>
      <c r="B950" t="str">
        <f>IF($A950=1,SUM($A$2:$A950),"")</f>
        <v/>
      </c>
      <c r="C950">
        <f>IF($A950=1,SUM($A$2:$A950),0)</f>
        <v>0</v>
      </c>
    </row>
    <row r="951" spans="1:3" x14ac:dyDescent="0.3">
      <c r="A951">
        <f>IF(AND(OR('Compliance Database'!$A951='Data Transfer'!$B$4,'Compliance Database'!$A951='Data Transfer'!$B$5),OR('Data Transfer'!$B$6="",ISNUMBER(SEARCH('Data Transfer'!$B$6,'Compliance Database'!$D951&amp;" "&amp;'Compliance Database'!$K951&amp;" "&amp;'Compliance Database'!$L951&amp;" "&amp;'Compliance Database'!$M951&amp;" "&amp;'Compliance Database'!$N951&amp;" "&amp;'Compliance Database'!$O951)))),1,0)</f>
        <v>0</v>
      </c>
      <c r="B951" t="str">
        <f>IF($A951=1,SUM($A$2:$A951),"")</f>
        <v/>
      </c>
      <c r="C951">
        <f>IF($A951=1,SUM($A$2:$A951),0)</f>
        <v>0</v>
      </c>
    </row>
    <row r="952" spans="1:3" x14ac:dyDescent="0.3">
      <c r="A952">
        <f>IF(AND(OR('Compliance Database'!$A952='Data Transfer'!$B$4,'Compliance Database'!$A952='Data Transfer'!$B$5),OR('Data Transfer'!$B$6="",ISNUMBER(SEARCH('Data Transfer'!$B$6,'Compliance Database'!$D952&amp;" "&amp;'Compliance Database'!$K952&amp;" "&amp;'Compliance Database'!$L952&amp;" "&amp;'Compliance Database'!$M952&amp;" "&amp;'Compliance Database'!$N952&amp;" "&amp;'Compliance Database'!$O952)))),1,0)</f>
        <v>0</v>
      </c>
      <c r="B952" t="str">
        <f>IF($A952=1,SUM($A$2:$A952),"")</f>
        <v/>
      </c>
      <c r="C952">
        <f>IF($A952=1,SUM($A$2:$A952),0)</f>
        <v>0</v>
      </c>
    </row>
    <row r="953" spans="1:3" x14ac:dyDescent="0.3">
      <c r="A953">
        <f>IF(AND(OR('Compliance Database'!$A953='Data Transfer'!$B$4,'Compliance Database'!$A953='Data Transfer'!$B$5),OR('Data Transfer'!$B$6="",ISNUMBER(SEARCH('Data Transfer'!$B$6,'Compliance Database'!$D953&amp;" "&amp;'Compliance Database'!$K953&amp;" "&amp;'Compliance Database'!$L953&amp;" "&amp;'Compliance Database'!$M953&amp;" "&amp;'Compliance Database'!$N953&amp;" "&amp;'Compliance Database'!$O953)))),1,0)</f>
        <v>0</v>
      </c>
      <c r="B953" t="str">
        <f>IF($A953=1,SUM($A$2:$A953),"")</f>
        <v/>
      </c>
      <c r="C953">
        <f>IF($A953=1,SUM($A$2:$A953),0)</f>
        <v>0</v>
      </c>
    </row>
    <row r="954" spans="1:3" x14ac:dyDescent="0.3">
      <c r="A954">
        <f>IF(AND(OR('Compliance Database'!$A954='Data Transfer'!$B$4,'Compliance Database'!$A954='Data Transfer'!$B$5),OR('Data Transfer'!$B$6="",ISNUMBER(SEARCH('Data Transfer'!$B$6,'Compliance Database'!$D954&amp;" "&amp;'Compliance Database'!$K954&amp;" "&amp;'Compliance Database'!$L954&amp;" "&amp;'Compliance Database'!$M954&amp;" "&amp;'Compliance Database'!$N954&amp;" "&amp;'Compliance Database'!$O954)))),1,0)</f>
        <v>0</v>
      </c>
      <c r="B954" t="str">
        <f>IF($A954=1,SUM($A$2:$A954),"")</f>
        <v/>
      </c>
      <c r="C954">
        <f>IF($A954=1,SUM($A$2:$A954),0)</f>
        <v>0</v>
      </c>
    </row>
    <row r="955" spans="1:3" x14ac:dyDescent="0.3">
      <c r="A955">
        <f>IF(AND(OR('Compliance Database'!$A955='Data Transfer'!$B$4,'Compliance Database'!$A955='Data Transfer'!$B$5),OR('Data Transfer'!$B$6="",ISNUMBER(SEARCH('Data Transfer'!$B$6,'Compliance Database'!$D955&amp;" "&amp;'Compliance Database'!$K955&amp;" "&amp;'Compliance Database'!$L955&amp;" "&amp;'Compliance Database'!$M955&amp;" "&amp;'Compliance Database'!$N955&amp;" "&amp;'Compliance Database'!$O955)))),1,0)</f>
        <v>0</v>
      </c>
      <c r="B955" t="str">
        <f>IF($A955=1,SUM($A$2:$A955),"")</f>
        <v/>
      </c>
      <c r="C955">
        <f>IF($A955=1,SUM($A$2:$A955),0)</f>
        <v>0</v>
      </c>
    </row>
    <row r="956" spans="1:3" x14ac:dyDescent="0.3">
      <c r="A956">
        <f>IF(AND(OR('Compliance Database'!$A956='Data Transfer'!$B$4,'Compliance Database'!$A956='Data Transfer'!$B$5),OR('Data Transfer'!$B$6="",ISNUMBER(SEARCH('Data Transfer'!$B$6,'Compliance Database'!$D956&amp;" "&amp;'Compliance Database'!$K956&amp;" "&amp;'Compliance Database'!$L956&amp;" "&amp;'Compliance Database'!$M956&amp;" "&amp;'Compliance Database'!$N956&amp;" "&amp;'Compliance Database'!$O956)))),1,0)</f>
        <v>0</v>
      </c>
      <c r="B956" t="str">
        <f>IF($A956=1,SUM($A$2:$A956),"")</f>
        <v/>
      </c>
      <c r="C956">
        <f>IF($A956=1,SUM($A$2:$A956),0)</f>
        <v>0</v>
      </c>
    </row>
    <row r="957" spans="1:3" x14ac:dyDescent="0.3">
      <c r="A957">
        <f>IF(AND(OR('Compliance Database'!$A957='Data Transfer'!$B$4,'Compliance Database'!$A957='Data Transfer'!$B$5),OR('Data Transfer'!$B$6="",ISNUMBER(SEARCH('Data Transfer'!$B$6,'Compliance Database'!$D957&amp;" "&amp;'Compliance Database'!$K957&amp;" "&amp;'Compliance Database'!$L957&amp;" "&amp;'Compliance Database'!$M957&amp;" "&amp;'Compliance Database'!$N957&amp;" "&amp;'Compliance Database'!$O957)))),1,0)</f>
        <v>0</v>
      </c>
      <c r="B957" t="str">
        <f>IF($A957=1,SUM($A$2:$A957),"")</f>
        <v/>
      </c>
      <c r="C957">
        <f>IF($A957=1,SUM($A$2:$A957),0)</f>
        <v>0</v>
      </c>
    </row>
    <row r="958" spans="1:3" x14ac:dyDescent="0.3">
      <c r="A958">
        <f>IF(AND(OR('Compliance Database'!$A958='Data Transfer'!$B$4,'Compliance Database'!$A958='Data Transfer'!$B$5),OR('Data Transfer'!$B$6="",ISNUMBER(SEARCH('Data Transfer'!$B$6,'Compliance Database'!$D958&amp;" "&amp;'Compliance Database'!$K958&amp;" "&amp;'Compliance Database'!$L958&amp;" "&amp;'Compliance Database'!$M958&amp;" "&amp;'Compliance Database'!$N958&amp;" "&amp;'Compliance Database'!$O958)))),1,0)</f>
        <v>0</v>
      </c>
      <c r="B958" t="str">
        <f>IF($A958=1,SUM($A$2:$A958),"")</f>
        <v/>
      </c>
      <c r="C958">
        <f>IF($A958=1,SUM($A$2:$A958),0)</f>
        <v>0</v>
      </c>
    </row>
    <row r="959" spans="1:3" x14ac:dyDescent="0.3">
      <c r="A959">
        <f>IF(AND(OR('Compliance Database'!$A959='Data Transfer'!$B$4,'Compliance Database'!$A959='Data Transfer'!$B$5),OR('Data Transfer'!$B$6="",ISNUMBER(SEARCH('Data Transfer'!$B$6,'Compliance Database'!$D959&amp;" "&amp;'Compliance Database'!$K959&amp;" "&amp;'Compliance Database'!$L959&amp;" "&amp;'Compliance Database'!$M959&amp;" "&amp;'Compliance Database'!$N959&amp;" "&amp;'Compliance Database'!$O959)))),1,0)</f>
        <v>0</v>
      </c>
      <c r="B959" t="str">
        <f>IF($A959=1,SUM($A$2:$A959),"")</f>
        <v/>
      </c>
      <c r="C959">
        <f>IF($A959=1,SUM($A$2:$A959),0)</f>
        <v>0</v>
      </c>
    </row>
    <row r="960" spans="1:3" x14ac:dyDescent="0.3">
      <c r="A960">
        <f>IF(AND(OR('Compliance Database'!$A960='Data Transfer'!$B$4,'Compliance Database'!$A960='Data Transfer'!$B$5),OR('Data Transfer'!$B$6="",ISNUMBER(SEARCH('Data Transfer'!$B$6,'Compliance Database'!$D960&amp;" "&amp;'Compliance Database'!$K960&amp;" "&amp;'Compliance Database'!$L960&amp;" "&amp;'Compliance Database'!$M960&amp;" "&amp;'Compliance Database'!$N960&amp;" "&amp;'Compliance Database'!$O960)))),1,0)</f>
        <v>0</v>
      </c>
      <c r="B960" t="str">
        <f>IF($A960=1,SUM($A$2:$A960),"")</f>
        <v/>
      </c>
      <c r="C960">
        <f>IF($A960=1,SUM($A$2:$A960),0)</f>
        <v>0</v>
      </c>
    </row>
    <row r="961" spans="1:3" x14ac:dyDescent="0.3">
      <c r="A961">
        <f>IF(AND(OR('Compliance Database'!$A961='Data Transfer'!$B$4,'Compliance Database'!$A961='Data Transfer'!$B$5),OR('Data Transfer'!$B$6="",ISNUMBER(SEARCH('Data Transfer'!$B$6,'Compliance Database'!$D961&amp;" "&amp;'Compliance Database'!$K961&amp;" "&amp;'Compliance Database'!$L961&amp;" "&amp;'Compliance Database'!$M961&amp;" "&amp;'Compliance Database'!$N961&amp;" "&amp;'Compliance Database'!$O961)))),1,0)</f>
        <v>0</v>
      </c>
      <c r="B961" t="str">
        <f>IF($A961=1,SUM($A$2:$A961),"")</f>
        <v/>
      </c>
      <c r="C961">
        <f>IF($A961=1,SUM($A$2:$A961),0)</f>
        <v>0</v>
      </c>
    </row>
    <row r="962" spans="1:3" x14ac:dyDescent="0.3">
      <c r="A962">
        <f>IF(AND(OR('Compliance Database'!$A962='Data Transfer'!$B$4,'Compliance Database'!$A962='Data Transfer'!$B$5),OR('Data Transfer'!$B$6="",ISNUMBER(SEARCH('Data Transfer'!$B$6,'Compliance Database'!$D962&amp;" "&amp;'Compliance Database'!$K962&amp;" "&amp;'Compliance Database'!$L962&amp;" "&amp;'Compliance Database'!$M962&amp;" "&amp;'Compliance Database'!$N962&amp;" "&amp;'Compliance Database'!$O962)))),1,0)</f>
        <v>0</v>
      </c>
      <c r="B962" t="str">
        <f>IF($A962=1,SUM($A$2:$A962),"")</f>
        <v/>
      </c>
      <c r="C962">
        <f>IF($A962=1,SUM($A$2:$A962),0)</f>
        <v>0</v>
      </c>
    </row>
    <row r="963" spans="1:3" x14ac:dyDescent="0.3">
      <c r="A963">
        <f>IF(AND(OR('Compliance Database'!$A963='Data Transfer'!$B$4,'Compliance Database'!$A963='Data Transfer'!$B$5),OR('Data Transfer'!$B$6="",ISNUMBER(SEARCH('Data Transfer'!$B$6,'Compliance Database'!$D963&amp;" "&amp;'Compliance Database'!$K963&amp;" "&amp;'Compliance Database'!$L963&amp;" "&amp;'Compliance Database'!$M963&amp;" "&amp;'Compliance Database'!$N963&amp;" "&amp;'Compliance Database'!$O963)))),1,0)</f>
        <v>0</v>
      </c>
      <c r="B963" t="str">
        <f>IF($A963=1,SUM($A$2:$A963),"")</f>
        <v/>
      </c>
      <c r="C963">
        <f>IF($A963=1,SUM($A$2:$A963),0)</f>
        <v>0</v>
      </c>
    </row>
    <row r="964" spans="1:3" x14ac:dyDescent="0.3">
      <c r="A964">
        <f>IF(AND(OR('Compliance Database'!$A964='Data Transfer'!$B$4,'Compliance Database'!$A964='Data Transfer'!$B$5),OR('Data Transfer'!$B$6="",ISNUMBER(SEARCH('Data Transfer'!$B$6,'Compliance Database'!$D964&amp;" "&amp;'Compliance Database'!$K964&amp;" "&amp;'Compliance Database'!$L964&amp;" "&amp;'Compliance Database'!$M964&amp;" "&amp;'Compliance Database'!$N964&amp;" "&amp;'Compliance Database'!$O964)))),1,0)</f>
        <v>0</v>
      </c>
      <c r="B964" t="str">
        <f>IF($A964=1,SUM($A$2:$A964),"")</f>
        <v/>
      </c>
      <c r="C964">
        <f>IF($A964=1,SUM($A$2:$A964),0)</f>
        <v>0</v>
      </c>
    </row>
    <row r="965" spans="1:3" x14ac:dyDescent="0.3">
      <c r="A965">
        <f>IF(AND(OR('Compliance Database'!$A965='Data Transfer'!$B$4,'Compliance Database'!$A965='Data Transfer'!$B$5),OR('Data Transfer'!$B$6="",ISNUMBER(SEARCH('Data Transfer'!$B$6,'Compliance Database'!$D965&amp;" "&amp;'Compliance Database'!$K965&amp;" "&amp;'Compliance Database'!$L965&amp;" "&amp;'Compliance Database'!$M965&amp;" "&amp;'Compliance Database'!$N965&amp;" "&amp;'Compliance Database'!$O965)))),1,0)</f>
        <v>0</v>
      </c>
      <c r="B965" t="str">
        <f>IF($A965=1,SUM($A$2:$A965),"")</f>
        <v/>
      </c>
      <c r="C965">
        <f>IF($A965=1,SUM($A$2:$A965),0)</f>
        <v>0</v>
      </c>
    </row>
    <row r="966" spans="1:3" x14ac:dyDescent="0.3">
      <c r="A966">
        <f>IF(AND(OR('Compliance Database'!$A966='Data Transfer'!$B$4,'Compliance Database'!$A966='Data Transfer'!$B$5),OR('Data Transfer'!$B$6="",ISNUMBER(SEARCH('Data Transfer'!$B$6,'Compliance Database'!$D966&amp;" "&amp;'Compliance Database'!$K966&amp;" "&amp;'Compliance Database'!$L966&amp;" "&amp;'Compliance Database'!$M966&amp;" "&amp;'Compliance Database'!$N966&amp;" "&amp;'Compliance Database'!$O966)))),1,0)</f>
        <v>0</v>
      </c>
      <c r="B966" t="str">
        <f>IF($A966=1,SUM($A$2:$A966),"")</f>
        <v/>
      </c>
      <c r="C966">
        <f>IF($A966=1,SUM($A$2:$A966),0)</f>
        <v>0</v>
      </c>
    </row>
    <row r="967" spans="1:3" x14ac:dyDescent="0.3">
      <c r="A967">
        <f>IF(AND(OR('Compliance Database'!$A967='Data Transfer'!$B$4,'Compliance Database'!$A967='Data Transfer'!$B$5),OR('Data Transfer'!$B$6="",ISNUMBER(SEARCH('Data Transfer'!$B$6,'Compliance Database'!$D967&amp;" "&amp;'Compliance Database'!$K967&amp;" "&amp;'Compliance Database'!$L967&amp;" "&amp;'Compliance Database'!$M967&amp;" "&amp;'Compliance Database'!$N967&amp;" "&amp;'Compliance Database'!$O967)))),1,0)</f>
        <v>0</v>
      </c>
      <c r="B967" t="str">
        <f>IF($A967=1,SUM($A$2:$A967),"")</f>
        <v/>
      </c>
      <c r="C967">
        <f>IF($A967=1,SUM($A$2:$A967),0)</f>
        <v>0</v>
      </c>
    </row>
    <row r="968" spans="1:3" x14ac:dyDescent="0.3">
      <c r="A968">
        <f>IF(AND(OR('Compliance Database'!$A968='Data Transfer'!$B$4,'Compliance Database'!$A968='Data Transfer'!$B$5),OR('Data Transfer'!$B$6="",ISNUMBER(SEARCH('Data Transfer'!$B$6,'Compliance Database'!$D968&amp;" "&amp;'Compliance Database'!$K968&amp;" "&amp;'Compliance Database'!$L968&amp;" "&amp;'Compliance Database'!$M968&amp;" "&amp;'Compliance Database'!$N968&amp;" "&amp;'Compliance Database'!$O968)))),1,0)</f>
        <v>0</v>
      </c>
      <c r="B968" t="str">
        <f>IF($A968=1,SUM($A$2:$A968),"")</f>
        <v/>
      </c>
      <c r="C968">
        <f>IF($A968=1,SUM($A$2:$A968),0)</f>
        <v>0</v>
      </c>
    </row>
    <row r="969" spans="1:3" x14ac:dyDescent="0.3">
      <c r="A969">
        <f>IF(AND(OR('Compliance Database'!$A969='Data Transfer'!$B$4,'Compliance Database'!$A969='Data Transfer'!$B$5),OR('Data Transfer'!$B$6="",ISNUMBER(SEARCH('Data Transfer'!$B$6,'Compliance Database'!$D969&amp;" "&amp;'Compliance Database'!$K969&amp;" "&amp;'Compliance Database'!$L969&amp;" "&amp;'Compliance Database'!$M969&amp;" "&amp;'Compliance Database'!$N969&amp;" "&amp;'Compliance Database'!$O969)))),1,0)</f>
        <v>0</v>
      </c>
      <c r="B969" t="str">
        <f>IF($A969=1,SUM($A$2:$A969),"")</f>
        <v/>
      </c>
      <c r="C969">
        <f>IF($A969=1,SUM($A$2:$A969),0)</f>
        <v>0</v>
      </c>
    </row>
    <row r="970" spans="1:3" x14ac:dyDescent="0.3">
      <c r="A970">
        <f>IF(AND(OR('Compliance Database'!$A970='Data Transfer'!$B$4,'Compliance Database'!$A970='Data Transfer'!$B$5),OR('Data Transfer'!$B$6="",ISNUMBER(SEARCH('Data Transfer'!$B$6,'Compliance Database'!$D970&amp;" "&amp;'Compliance Database'!$K970&amp;" "&amp;'Compliance Database'!$L970&amp;" "&amp;'Compliance Database'!$M970&amp;" "&amp;'Compliance Database'!$N970&amp;" "&amp;'Compliance Database'!$O970)))),1,0)</f>
        <v>0</v>
      </c>
      <c r="B970" t="str">
        <f>IF($A970=1,SUM($A$2:$A970),"")</f>
        <v/>
      </c>
      <c r="C970">
        <f>IF($A970=1,SUM($A$2:$A970),0)</f>
        <v>0</v>
      </c>
    </row>
    <row r="971" spans="1:3" x14ac:dyDescent="0.3">
      <c r="A971">
        <f>IF(AND(OR('Compliance Database'!$A971='Data Transfer'!$B$4,'Compliance Database'!$A971='Data Transfer'!$B$5),OR('Data Transfer'!$B$6="",ISNUMBER(SEARCH('Data Transfer'!$B$6,'Compliance Database'!$D971&amp;" "&amp;'Compliance Database'!$K971&amp;" "&amp;'Compliance Database'!$L971&amp;" "&amp;'Compliance Database'!$M971&amp;" "&amp;'Compliance Database'!$N971&amp;" "&amp;'Compliance Database'!$O971)))),1,0)</f>
        <v>0</v>
      </c>
      <c r="B971" t="str">
        <f>IF($A971=1,SUM($A$2:$A971),"")</f>
        <v/>
      </c>
      <c r="C971">
        <f>IF($A971=1,SUM($A$2:$A971),0)</f>
        <v>0</v>
      </c>
    </row>
    <row r="972" spans="1:3" x14ac:dyDescent="0.3">
      <c r="A972">
        <f>IF(AND(OR('Compliance Database'!$A972='Data Transfer'!$B$4,'Compliance Database'!$A972='Data Transfer'!$B$5),OR('Data Transfer'!$B$6="",ISNUMBER(SEARCH('Data Transfer'!$B$6,'Compliance Database'!$D972&amp;" "&amp;'Compliance Database'!$K972&amp;" "&amp;'Compliance Database'!$L972&amp;" "&amp;'Compliance Database'!$M972&amp;" "&amp;'Compliance Database'!$N972&amp;" "&amp;'Compliance Database'!$O972)))),1,0)</f>
        <v>0</v>
      </c>
      <c r="B972" t="str">
        <f>IF($A972=1,SUM($A$2:$A972),"")</f>
        <v/>
      </c>
      <c r="C972">
        <f>IF($A972=1,SUM($A$2:$A972),0)</f>
        <v>0</v>
      </c>
    </row>
    <row r="973" spans="1:3" x14ac:dyDescent="0.3">
      <c r="A973">
        <f>IF(AND(OR('Compliance Database'!$A973='Data Transfer'!$B$4,'Compliance Database'!$A973='Data Transfer'!$B$5),OR('Data Transfer'!$B$6="",ISNUMBER(SEARCH('Data Transfer'!$B$6,'Compliance Database'!$D973&amp;" "&amp;'Compliance Database'!$K973&amp;" "&amp;'Compliance Database'!$L973&amp;" "&amp;'Compliance Database'!$M973&amp;" "&amp;'Compliance Database'!$N973&amp;" "&amp;'Compliance Database'!$O973)))),1,0)</f>
        <v>0</v>
      </c>
      <c r="B973" t="str">
        <f>IF($A973=1,SUM($A$2:$A973),"")</f>
        <v/>
      </c>
      <c r="C973">
        <f>IF($A973=1,SUM($A$2:$A973),0)</f>
        <v>0</v>
      </c>
    </row>
    <row r="974" spans="1:3" x14ac:dyDescent="0.3">
      <c r="A974">
        <f>IF(AND(OR('Compliance Database'!$A974='Data Transfer'!$B$4,'Compliance Database'!$A974='Data Transfer'!$B$5),OR('Data Transfer'!$B$6="",ISNUMBER(SEARCH('Data Transfer'!$B$6,'Compliance Database'!$D974&amp;" "&amp;'Compliance Database'!$K974&amp;" "&amp;'Compliance Database'!$L974&amp;" "&amp;'Compliance Database'!$M974&amp;" "&amp;'Compliance Database'!$N974&amp;" "&amp;'Compliance Database'!$O974)))),1,0)</f>
        <v>0</v>
      </c>
      <c r="B974" t="str">
        <f>IF($A974=1,SUM($A$2:$A974),"")</f>
        <v/>
      </c>
      <c r="C974">
        <f>IF($A974=1,SUM($A$2:$A974),0)</f>
        <v>0</v>
      </c>
    </row>
    <row r="975" spans="1:3" x14ac:dyDescent="0.3">
      <c r="A975">
        <f>IF(AND(OR('Compliance Database'!$A975='Data Transfer'!$B$4,'Compliance Database'!$A975='Data Transfer'!$B$5),OR('Data Transfer'!$B$6="",ISNUMBER(SEARCH('Data Transfer'!$B$6,'Compliance Database'!$D975&amp;" "&amp;'Compliance Database'!$K975&amp;" "&amp;'Compliance Database'!$L975&amp;" "&amp;'Compliance Database'!$M975&amp;" "&amp;'Compliance Database'!$N975&amp;" "&amp;'Compliance Database'!$O975)))),1,0)</f>
        <v>0</v>
      </c>
      <c r="B975" t="str">
        <f>IF($A975=1,SUM($A$2:$A975),"")</f>
        <v/>
      </c>
      <c r="C975">
        <f>IF($A975=1,SUM($A$2:$A975),0)</f>
        <v>0</v>
      </c>
    </row>
    <row r="976" spans="1:3" x14ac:dyDescent="0.3">
      <c r="A976">
        <f>IF(AND(OR('Compliance Database'!$A976='Data Transfer'!$B$4,'Compliance Database'!$A976='Data Transfer'!$B$5),OR('Data Transfer'!$B$6="",ISNUMBER(SEARCH('Data Transfer'!$B$6,'Compliance Database'!$D976&amp;" "&amp;'Compliance Database'!$K976&amp;" "&amp;'Compliance Database'!$L976&amp;" "&amp;'Compliance Database'!$M976&amp;" "&amp;'Compliance Database'!$N976&amp;" "&amp;'Compliance Database'!$O976)))),1,0)</f>
        <v>0</v>
      </c>
      <c r="B976" t="str">
        <f>IF($A976=1,SUM($A$2:$A976),"")</f>
        <v/>
      </c>
      <c r="C976">
        <f>IF($A976=1,SUM($A$2:$A976),0)</f>
        <v>0</v>
      </c>
    </row>
    <row r="977" spans="1:3" x14ac:dyDescent="0.3">
      <c r="A977">
        <f>IF(AND(OR('Compliance Database'!$A977='Data Transfer'!$B$4,'Compliance Database'!$A977='Data Transfer'!$B$5),OR('Data Transfer'!$B$6="",ISNUMBER(SEARCH('Data Transfer'!$B$6,'Compliance Database'!$D977&amp;" "&amp;'Compliance Database'!$K977&amp;" "&amp;'Compliance Database'!$L977&amp;" "&amp;'Compliance Database'!$M977&amp;" "&amp;'Compliance Database'!$N977&amp;" "&amp;'Compliance Database'!$O977)))),1,0)</f>
        <v>0</v>
      </c>
      <c r="B977" t="str">
        <f>IF($A977=1,SUM($A$2:$A977),"")</f>
        <v/>
      </c>
      <c r="C977">
        <f>IF($A977=1,SUM($A$2:$A977),0)</f>
        <v>0</v>
      </c>
    </row>
    <row r="978" spans="1:3" x14ac:dyDescent="0.3">
      <c r="A978">
        <f>IF(AND(OR('Compliance Database'!$A978='Data Transfer'!$B$4,'Compliance Database'!$A978='Data Transfer'!$B$5),OR('Data Transfer'!$B$6="",ISNUMBER(SEARCH('Data Transfer'!$B$6,'Compliance Database'!$D978&amp;" "&amp;'Compliance Database'!$K978&amp;" "&amp;'Compliance Database'!$L978&amp;" "&amp;'Compliance Database'!$M978&amp;" "&amp;'Compliance Database'!$N978&amp;" "&amp;'Compliance Database'!$O978)))),1,0)</f>
        <v>0</v>
      </c>
      <c r="B978" t="str">
        <f>IF($A978=1,SUM($A$2:$A978),"")</f>
        <v/>
      </c>
      <c r="C978">
        <f>IF($A978=1,SUM($A$2:$A978),0)</f>
        <v>0</v>
      </c>
    </row>
    <row r="979" spans="1:3" x14ac:dyDescent="0.3">
      <c r="A979">
        <f>IF(AND(OR('Compliance Database'!$A979='Data Transfer'!$B$4,'Compliance Database'!$A979='Data Transfer'!$B$5),OR('Data Transfer'!$B$6="",ISNUMBER(SEARCH('Data Transfer'!$B$6,'Compliance Database'!$D979&amp;" "&amp;'Compliance Database'!$K979&amp;" "&amp;'Compliance Database'!$L979&amp;" "&amp;'Compliance Database'!$M979&amp;" "&amp;'Compliance Database'!$N979&amp;" "&amp;'Compliance Database'!$O979)))),1,0)</f>
        <v>0</v>
      </c>
      <c r="B979" t="str">
        <f>IF($A979=1,SUM($A$2:$A979),"")</f>
        <v/>
      </c>
      <c r="C979">
        <f>IF($A979=1,SUM($A$2:$A979),0)</f>
        <v>0</v>
      </c>
    </row>
    <row r="980" spans="1:3" x14ac:dyDescent="0.3">
      <c r="A980">
        <f>IF(AND(OR('Compliance Database'!$A980='Data Transfer'!$B$4,'Compliance Database'!$A980='Data Transfer'!$B$5),OR('Data Transfer'!$B$6="",ISNUMBER(SEARCH('Data Transfer'!$B$6,'Compliance Database'!$D980&amp;" "&amp;'Compliance Database'!$K980&amp;" "&amp;'Compliance Database'!$L980&amp;" "&amp;'Compliance Database'!$M980&amp;" "&amp;'Compliance Database'!$N980&amp;" "&amp;'Compliance Database'!$O980)))),1,0)</f>
        <v>0</v>
      </c>
      <c r="B980" t="str">
        <f>IF($A980=1,SUM($A$2:$A980),"")</f>
        <v/>
      </c>
      <c r="C980">
        <f>IF($A980=1,SUM($A$2:$A980),0)</f>
        <v>0</v>
      </c>
    </row>
    <row r="981" spans="1:3" x14ac:dyDescent="0.3">
      <c r="A981">
        <f>IF(AND(OR('Compliance Database'!$A981='Data Transfer'!$B$4,'Compliance Database'!$A981='Data Transfer'!$B$5),OR('Data Transfer'!$B$6="",ISNUMBER(SEARCH('Data Transfer'!$B$6,'Compliance Database'!$D981&amp;" "&amp;'Compliance Database'!$K981&amp;" "&amp;'Compliance Database'!$L981&amp;" "&amp;'Compliance Database'!$M981&amp;" "&amp;'Compliance Database'!$N981&amp;" "&amp;'Compliance Database'!$O981)))),1,0)</f>
        <v>0</v>
      </c>
      <c r="B981" t="str">
        <f>IF($A981=1,SUM($A$2:$A981),"")</f>
        <v/>
      </c>
      <c r="C981">
        <f>IF($A981=1,SUM($A$2:$A981),0)</f>
        <v>0</v>
      </c>
    </row>
    <row r="982" spans="1:3" x14ac:dyDescent="0.3">
      <c r="A982">
        <f>IF(AND(OR('Compliance Database'!$A982='Data Transfer'!$B$4,'Compliance Database'!$A982='Data Transfer'!$B$5),OR('Data Transfer'!$B$6="",ISNUMBER(SEARCH('Data Transfer'!$B$6,'Compliance Database'!$D982&amp;" "&amp;'Compliance Database'!$K982&amp;" "&amp;'Compliance Database'!$L982&amp;" "&amp;'Compliance Database'!$M982&amp;" "&amp;'Compliance Database'!$N982&amp;" "&amp;'Compliance Database'!$O982)))),1,0)</f>
        <v>0</v>
      </c>
      <c r="B982" t="str">
        <f>IF($A982=1,SUM($A$2:$A982),"")</f>
        <v/>
      </c>
      <c r="C982">
        <f>IF($A982=1,SUM($A$2:$A982),0)</f>
        <v>0</v>
      </c>
    </row>
    <row r="983" spans="1:3" x14ac:dyDescent="0.3">
      <c r="A983">
        <f>IF(AND(OR('Compliance Database'!$A983='Data Transfer'!$B$4,'Compliance Database'!$A983='Data Transfer'!$B$5),OR('Data Transfer'!$B$6="",ISNUMBER(SEARCH('Data Transfer'!$B$6,'Compliance Database'!$D983&amp;" "&amp;'Compliance Database'!$K983&amp;" "&amp;'Compliance Database'!$L983&amp;" "&amp;'Compliance Database'!$M983&amp;" "&amp;'Compliance Database'!$N983&amp;" "&amp;'Compliance Database'!$O983)))),1,0)</f>
        <v>0</v>
      </c>
      <c r="B983" t="str">
        <f>IF($A983=1,SUM($A$2:$A983),"")</f>
        <v/>
      </c>
      <c r="C983">
        <f>IF($A983=1,SUM($A$2:$A983),0)</f>
        <v>0</v>
      </c>
    </row>
    <row r="984" spans="1:3" x14ac:dyDescent="0.3">
      <c r="A984">
        <f>IF(AND(OR('Compliance Database'!$A984='Data Transfer'!$B$4,'Compliance Database'!$A984='Data Transfer'!$B$5),OR('Data Transfer'!$B$6="",ISNUMBER(SEARCH('Data Transfer'!$B$6,'Compliance Database'!$D984&amp;" "&amp;'Compliance Database'!$K984&amp;" "&amp;'Compliance Database'!$L984&amp;" "&amp;'Compliance Database'!$M984&amp;" "&amp;'Compliance Database'!$N984&amp;" "&amp;'Compliance Database'!$O984)))),1,0)</f>
        <v>0</v>
      </c>
      <c r="B984" t="str">
        <f>IF($A984=1,SUM($A$2:$A984),"")</f>
        <v/>
      </c>
      <c r="C984">
        <f>IF($A984=1,SUM($A$2:$A984),0)</f>
        <v>0</v>
      </c>
    </row>
    <row r="985" spans="1:3" x14ac:dyDescent="0.3">
      <c r="A985">
        <f>IF(AND(OR('Compliance Database'!$A985='Data Transfer'!$B$4,'Compliance Database'!$A985='Data Transfer'!$B$5),OR('Data Transfer'!$B$6="",ISNUMBER(SEARCH('Data Transfer'!$B$6,'Compliance Database'!$D985&amp;" "&amp;'Compliance Database'!$K985&amp;" "&amp;'Compliance Database'!$L985&amp;" "&amp;'Compliance Database'!$M985&amp;" "&amp;'Compliance Database'!$N985&amp;" "&amp;'Compliance Database'!$O985)))),1,0)</f>
        <v>0</v>
      </c>
      <c r="B985" t="str">
        <f>IF($A985=1,SUM($A$2:$A985),"")</f>
        <v/>
      </c>
      <c r="C985">
        <f>IF($A985=1,SUM($A$2:$A985),0)</f>
        <v>0</v>
      </c>
    </row>
    <row r="986" spans="1:3" x14ac:dyDescent="0.3">
      <c r="A986">
        <f>IF(AND(OR('Compliance Database'!$A986='Data Transfer'!$B$4,'Compliance Database'!$A986='Data Transfer'!$B$5),OR('Data Transfer'!$B$6="",ISNUMBER(SEARCH('Data Transfer'!$B$6,'Compliance Database'!$D986&amp;" "&amp;'Compliance Database'!$K986&amp;" "&amp;'Compliance Database'!$L986&amp;" "&amp;'Compliance Database'!$M986&amp;" "&amp;'Compliance Database'!$N986&amp;" "&amp;'Compliance Database'!$O986)))),1,0)</f>
        <v>0</v>
      </c>
      <c r="B986" t="str">
        <f>IF($A986=1,SUM($A$2:$A986),"")</f>
        <v/>
      </c>
      <c r="C986">
        <f>IF($A986=1,SUM($A$2:$A986),0)</f>
        <v>0</v>
      </c>
    </row>
    <row r="987" spans="1:3" x14ac:dyDescent="0.3">
      <c r="A987">
        <f>IF(AND(OR('Compliance Database'!$A987='Data Transfer'!$B$4,'Compliance Database'!$A987='Data Transfer'!$B$5),OR('Data Transfer'!$B$6="",ISNUMBER(SEARCH('Data Transfer'!$B$6,'Compliance Database'!$D987&amp;" "&amp;'Compliance Database'!$K987&amp;" "&amp;'Compliance Database'!$L987&amp;" "&amp;'Compliance Database'!$M987&amp;" "&amp;'Compliance Database'!$N987&amp;" "&amp;'Compliance Database'!$O987)))),1,0)</f>
        <v>0</v>
      </c>
      <c r="B987" t="str">
        <f>IF($A987=1,SUM($A$2:$A987),"")</f>
        <v/>
      </c>
      <c r="C987">
        <f>IF($A987=1,SUM($A$2:$A987),0)</f>
        <v>0</v>
      </c>
    </row>
    <row r="988" spans="1:3" x14ac:dyDescent="0.3">
      <c r="A988">
        <f>IF(AND(OR('Compliance Database'!$A988='Data Transfer'!$B$4,'Compliance Database'!$A988='Data Transfer'!$B$5),OR('Data Transfer'!$B$6="",ISNUMBER(SEARCH('Data Transfer'!$B$6,'Compliance Database'!$D988&amp;" "&amp;'Compliance Database'!$K988&amp;" "&amp;'Compliance Database'!$L988&amp;" "&amp;'Compliance Database'!$M988&amp;" "&amp;'Compliance Database'!$N988&amp;" "&amp;'Compliance Database'!$O988)))),1,0)</f>
        <v>0</v>
      </c>
      <c r="B988" t="str">
        <f>IF($A988=1,SUM($A$2:$A988),"")</f>
        <v/>
      </c>
      <c r="C988">
        <f>IF($A988=1,SUM($A$2:$A988),0)</f>
        <v>0</v>
      </c>
    </row>
    <row r="989" spans="1:3" x14ac:dyDescent="0.3">
      <c r="A989">
        <f>IF(AND(OR('Compliance Database'!$A989='Data Transfer'!$B$4,'Compliance Database'!$A989='Data Transfer'!$B$5),OR('Data Transfer'!$B$6="",ISNUMBER(SEARCH('Data Transfer'!$B$6,'Compliance Database'!$D989&amp;" "&amp;'Compliance Database'!$K989&amp;" "&amp;'Compliance Database'!$L989&amp;" "&amp;'Compliance Database'!$M989&amp;" "&amp;'Compliance Database'!$N989&amp;" "&amp;'Compliance Database'!$O989)))),1,0)</f>
        <v>0</v>
      </c>
      <c r="B989" t="str">
        <f>IF($A989=1,SUM($A$2:$A989),"")</f>
        <v/>
      </c>
      <c r="C989">
        <f>IF($A989=1,SUM($A$2:$A989),0)</f>
        <v>0</v>
      </c>
    </row>
    <row r="990" spans="1:3" x14ac:dyDescent="0.3">
      <c r="A990">
        <f>IF(AND(OR('Compliance Database'!$A990='Data Transfer'!$B$4,'Compliance Database'!$A990='Data Transfer'!$B$5),OR('Data Transfer'!$B$6="",ISNUMBER(SEARCH('Data Transfer'!$B$6,'Compliance Database'!$D990&amp;" "&amp;'Compliance Database'!$K990&amp;" "&amp;'Compliance Database'!$L990&amp;" "&amp;'Compliance Database'!$M990&amp;" "&amp;'Compliance Database'!$N990&amp;" "&amp;'Compliance Database'!$O990)))),1,0)</f>
        <v>0</v>
      </c>
      <c r="B990" t="str">
        <f>IF($A990=1,SUM($A$2:$A990),"")</f>
        <v/>
      </c>
      <c r="C990">
        <f>IF($A990=1,SUM($A$2:$A990),0)</f>
        <v>0</v>
      </c>
    </row>
    <row r="991" spans="1:3" x14ac:dyDescent="0.3">
      <c r="A991">
        <f>IF(AND(OR('Compliance Database'!$A991='Data Transfer'!$B$4,'Compliance Database'!$A991='Data Transfer'!$B$5),OR('Data Transfer'!$B$6="",ISNUMBER(SEARCH('Data Transfer'!$B$6,'Compliance Database'!$D991&amp;" "&amp;'Compliance Database'!$K991&amp;" "&amp;'Compliance Database'!$L991&amp;" "&amp;'Compliance Database'!$M991&amp;" "&amp;'Compliance Database'!$N991&amp;" "&amp;'Compliance Database'!$O991)))),1,0)</f>
        <v>0</v>
      </c>
      <c r="B991" t="str">
        <f>IF($A991=1,SUM($A$2:$A991),"")</f>
        <v/>
      </c>
      <c r="C991">
        <f>IF($A991=1,SUM($A$2:$A991),0)</f>
        <v>0</v>
      </c>
    </row>
    <row r="992" spans="1:3" x14ac:dyDescent="0.3">
      <c r="A992">
        <f>IF(AND(OR('Compliance Database'!$A992='Data Transfer'!$B$4,'Compliance Database'!$A992='Data Transfer'!$B$5),OR('Data Transfer'!$B$6="",ISNUMBER(SEARCH('Data Transfer'!$B$6,'Compliance Database'!$D992&amp;" "&amp;'Compliance Database'!$K992&amp;" "&amp;'Compliance Database'!$L992&amp;" "&amp;'Compliance Database'!$M992&amp;" "&amp;'Compliance Database'!$N992&amp;" "&amp;'Compliance Database'!$O992)))),1,0)</f>
        <v>0</v>
      </c>
      <c r="B992" t="str">
        <f>IF($A992=1,SUM($A$2:$A992),"")</f>
        <v/>
      </c>
      <c r="C992">
        <f>IF($A992=1,SUM($A$2:$A992),0)</f>
        <v>0</v>
      </c>
    </row>
    <row r="993" spans="1:3" x14ac:dyDescent="0.3">
      <c r="A993">
        <f>IF(AND(OR('Compliance Database'!$A993='Data Transfer'!$B$4,'Compliance Database'!$A993='Data Transfer'!$B$5),OR('Data Transfer'!$B$6="",ISNUMBER(SEARCH('Data Transfer'!$B$6,'Compliance Database'!$D993&amp;" "&amp;'Compliance Database'!$K993&amp;" "&amp;'Compliance Database'!$L993&amp;" "&amp;'Compliance Database'!$M993&amp;" "&amp;'Compliance Database'!$N993&amp;" "&amp;'Compliance Database'!$O993)))),1,0)</f>
        <v>0</v>
      </c>
      <c r="B993" t="str">
        <f>IF($A993=1,SUM($A$2:$A993),"")</f>
        <v/>
      </c>
      <c r="C993">
        <f>IF($A993=1,SUM($A$2:$A993),0)</f>
        <v>0</v>
      </c>
    </row>
    <row r="994" spans="1:3" x14ac:dyDescent="0.3">
      <c r="A994">
        <f>IF(AND(OR('Compliance Database'!$A994='Data Transfer'!$B$4,'Compliance Database'!$A994='Data Transfer'!$B$5),OR('Data Transfer'!$B$6="",ISNUMBER(SEARCH('Data Transfer'!$B$6,'Compliance Database'!$D994&amp;" "&amp;'Compliance Database'!$K994&amp;" "&amp;'Compliance Database'!$L994&amp;" "&amp;'Compliance Database'!$M994&amp;" "&amp;'Compliance Database'!$N994&amp;" "&amp;'Compliance Database'!$O994)))),1,0)</f>
        <v>0</v>
      </c>
      <c r="B994" t="str">
        <f>IF($A994=1,SUM($A$2:$A994),"")</f>
        <v/>
      </c>
      <c r="C994">
        <f>IF($A994=1,SUM($A$2:$A994),0)</f>
        <v>0</v>
      </c>
    </row>
    <row r="995" spans="1:3" x14ac:dyDescent="0.3">
      <c r="A995">
        <f>IF(AND(OR('Compliance Database'!$A995='Data Transfer'!$B$4,'Compliance Database'!$A995='Data Transfer'!$B$5),OR('Data Transfer'!$B$6="",ISNUMBER(SEARCH('Data Transfer'!$B$6,'Compliance Database'!$D995&amp;" "&amp;'Compliance Database'!$K995&amp;" "&amp;'Compliance Database'!$L995&amp;" "&amp;'Compliance Database'!$M995&amp;" "&amp;'Compliance Database'!$N995&amp;" "&amp;'Compliance Database'!$O995)))),1,0)</f>
        <v>0</v>
      </c>
      <c r="B995" t="str">
        <f>IF($A995=1,SUM($A$2:$A995),"")</f>
        <v/>
      </c>
      <c r="C995">
        <f>IF($A995=1,SUM($A$2:$A995),0)</f>
        <v>0</v>
      </c>
    </row>
    <row r="996" spans="1:3" x14ac:dyDescent="0.3">
      <c r="A996">
        <f>IF(AND(OR('Compliance Database'!$A996='Data Transfer'!$B$4,'Compliance Database'!$A996='Data Transfer'!$B$5),OR('Data Transfer'!$B$6="",ISNUMBER(SEARCH('Data Transfer'!$B$6,'Compliance Database'!$D996&amp;" "&amp;'Compliance Database'!$K996&amp;" "&amp;'Compliance Database'!$L996&amp;" "&amp;'Compliance Database'!$M996&amp;" "&amp;'Compliance Database'!$N996&amp;" "&amp;'Compliance Database'!$O996)))),1,0)</f>
        <v>0</v>
      </c>
      <c r="B996" t="str">
        <f>IF($A996=1,SUM($A$2:$A996),"")</f>
        <v/>
      </c>
      <c r="C996">
        <f>IF($A996=1,SUM($A$2:$A996),0)</f>
        <v>0</v>
      </c>
    </row>
    <row r="997" spans="1:3" x14ac:dyDescent="0.3">
      <c r="A997">
        <f>IF(AND(OR('Compliance Database'!$A997='Data Transfer'!$B$4,'Compliance Database'!$A997='Data Transfer'!$B$5),OR('Data Transfer'!$B$6="",ISNUMBER(SEARCH('Data Transfer'!$B$6,'Compliance Database'!$D997&amp;" "&amp;'Compliance Database'!$K997&amp;" "&amp;'Compliance Database'!$L997&amp;" "&amp;'Compliance Database'!$M997&amp;" "&amp;'Compliance Database'!$N997&amp;" "&amp;'Compliance Database'!$O997)))),1,0)</f>
        <v>0</v>
      </c>
      <c r="B997" t="str">
        <f>IF($A997=1,SUM($A$2:$A997),"")</f>
        <v/>
      </c>
      <c r="C997">
        <f>IF($A997=1,SUM($A$2:$A997),0)</f>
        <v>0</v>
      </c>
    </row>
    <row r="998" spans="1:3" x14ac:dyDescent="0.3">
      <c r="A998">
        <f>IF(AND(OR('Compliance Database'!$A998='Data Transfer'!$B$4,'Compliance Database'!$A998='Data Transfer'!$B$5),OR('Data Transfer'!$B$6="",ISNUMBER(SEARCH('Data Transfer'!$B$6,'Compliance Database'!$D998&amp;" "&amp;'Compliance Database'!$K998&amp;" "&amp;'Compliance Database'!$L998&amp;" "&amp;'Compliance Database'!$M998&amp;" "&amp;'Compliance Database'!$N998&amp;" "&amp;'Compliance Database'!$O998)))),1,0)</f>
        <v>0</v>
      </c>
      <c r="B998" t="str">
        <f>IF($A998=1,SUM($A$2:$A998),"")</f>
        <v/>
      </c>
      <c r="C998">
        <f>IF($A998=1,SUM($A$2:$A998),0)</f>
        <v>0</v>
      </c>
    </row>
    <row r="999" spans="1:3" x14ac:dyDescent="0.3">
      <c r="A999">
        <f>IF(AND(OR('Compliance Database'!$A999='Data Transfer'!$B$4,'Compliance Database'!$A999='Data Transfer'!$B$5),OR('Data Transfer'!$B$6="",ISNUMBER(SEARCH('Data Transfer'!$B$6,'Compliance Database'!$D999&amp;" "&amp;'Compliance Database'!$K999&amp;" "&amp;'Compliance Database'!$L999&amp;" "&amp;'Compliance Database'!$M999&amp;" "&amp;'Compliance Database'!$N999&amp;" "&amp;'Compliance Database'!$O999)))),1,0)</f>
        <v>0</v>
      </c>
      <c r="B999" t="str">
        <f>IF($A999=1,SUM($A$2:$A999),"")</f>
        <v/>
      </c>
      <c r="C999">
        <f>IF($A999=1,SUM($A$2:$A999),0)</f>
        <v>0</v>
      </c>
    </row>
    <row r="1000" spans="1:3" x14ac:dyDescent="0.3">
      <c r="A1000">
        <f>IF(AND(OR('Compliance Database'!$A1000='Data Transfer'!$B$4,'Compliance Database'!$A1000='Data Transfer'!$B$5),OR('Data Transfer'!$B$6="",ISNUMBER(SEARCH('Data Transfer'!$B$6,'Compliance Database'!$D1000&amp;" "&amp;'Compliance Database'!$K1000&amp;" "&amp;'Compliance Database'!$L1000&amp;" "&amp;'Compliance Database'!$M1000&amp;" "&amp;'Compliance Database'!$N1000&amp;" "&amp;'Compliance Database'!$O1000)))),1,0)</f>
        <v>0</v>
      </c>
      <c r="B1000" t="str">
        <f>IF($A1000=1,SUM($A$2:$A1000),"")</f>
        <v/>
      </c>
      <c r="C1000">
        <f>IF($A1000=1,SUM($A$2:$A1000),0)</f>
        <v>0</v>
      </c>
    </row>
    <row r="1001" spans="1:3" x14ac:dyDescent="0.3">
      <c r="A1001">
        <f>IF(AND(OR('Compliance Database'!$A1001='Data Transfer'!$B$4,'Compliance Database'!$A1001='Data Transfer'!$B$5),OR('Data Transfer'!$B$6="",ISNUMBER(SEARCH('Data Transfer'!$B$6,'Compliance Database'!$D1001&amp;" "&amp;'Compliance Database'!$K1001&amp;" "&amp;'Compliance Database'!$L1001&amp;" "&amp;'Compliance Database'!$M1001&amp;" "&amp;'Compliance Database'!$N1001&amp;" "&amp;'Compliance Database'!$O1001)))),1,0)</f>
        <v>0</v>
      </c>
      <c r="B1001" t="str">
        <f>IF($A1001=1,SUM($A$2:$A1001),"")</f>
        <v/>
      </c>
      <c r="C1001">
        <f>IF($A1001=1,SUM($A$2:$A1001),0)</f>
        <v>0</v>
      </c>
    </row>
    <row r="1002" spans="1:3" x14ac:dyDescent="0.3">
      <c r="A1002">
        <f>IF(AND(OR('Compliance Database'!$A1002='Data Transfer'!$B$4,'Compliance Database'!$A1002='Data Transfer'!$B$5),OR('Data Transfer'!$B$6="",ISNUMBER(SEARCH('Data Transfer'!$B$6,'Compliance Database'!$D1002&amp;" "&amp;'Compliance Database'!$K1002&amp;" "&amp;'Compliance Database'!$L1002&amp;" "&amp;'Compliance Database'!$M1002&amp;" "&amp;'Compliance Database'!$N1002&amp;" "&amp;'Compliance Database'!$O1002)))),1,0)</f>
        <v>0</v>
      </c>
      <c r="B1002" t="str">
        <f>IF($A1002=1,SUM($A$2:$A1002),"")</f>
        <v/>
      </c>
      <c r="C1002">
        <f>IF($A1002=1,SUM($A$2:$A1002),0)</f>
        <v>0</v>
      </c>
    </row>
    <row r="1003" spans="1:3" x14ac:dyDescent="0.3">
      <c r="A1003">
        <f>IF(AND(OR('Compliance Database'!$A1003='Data Transfer'!$B$4,'Compliance Database'!$A1003='Data Transfer'!$B$5),OR('Data Transfer'!$B$6="",ISNUMBER(SEARCH('Data Transfer'!$B$6,'Compliance Database'!$D1003&amp;" "&amp;'Compliance Database'!$K1003&amp;" "&amp;'Compliance Database'!$L1003&amp;" "&amp;'Compliance Database'!$M1003&amp;" "&amp;'Compliance Database'!$N1003&amp;" "&amp;'Compliance Database'!$O1003)))),1,0)</f>
        <v>0</v>
      </c>
      <c r="B1003" t="str">
        <f>IF($A1003=1,SUM($A$2:$A1003),"")</f>
        <v/>
      </c>
      <c r="C1003">
        <f>IF($A1003=1,SUM($A$2:$A1003),0)</f>
        <v>0</v>
      </c>
    </row>
    <row r="1004" spans="1:3" x14ac:dyDescent="0.3">
      <c r="A1004">
        <f>IF(AND(OR('Compliance Database'!$A1004='Data Transfer'!$B$4,'Compliance Database'!$A1004='Data Transfer'!$B$5),OR('Data Transfer'!$B$6="",ISNUMBER(SEARCH('Data Transfer'!$B$6,'Compliance Database'!$D1004&amp;" "&amp;'Compliance Database'!$K1004&amp;" "&amp;'Compliance Database'!$L1004&amp;" "&amp;'Compliance Database'!$M1004&amp;" "&amp;'Compliance Database'!$N1004&amp;" "&amp;'Compliance Database'!$O1004)))),1,0)</f>
        <v>0</v>
      </c>
      <c r="B1004" t="str">
        <f>IF($A1004=1,SUM($A$2:$A1004),"")</f>
        <v/>
      </c>
      <c r="C1004">
        <f>IF($A1004=1,SUM($A$2:$A1004),0)</f>
        <v>0</v>
      </c>
    </row>
    <row r="1005" spans="1:3" x14ac:dyDescent="0.3">
      <c r="A1005">
        <f>IF(AND(OR('Compliance Database'!$A1005='Data Transfer'!$B$4,'Compliance Database'!$A1005='Data Transfer'!$B$5),OR('Data Transfer'!$B$6="",ISNUMBER(SEARCH('Data Transfer'!$B$6,'Compliance Database'!$D1005&amp;" "&amp;'Compliance Database'!$K1005&amp;" "&amp;'Compliance Database'!$L1005&amp;" "&amp;'Compliance Database'!$M1005&amp;" "&amp;'Compliance Database'!$N1005&amp;" "&amp;'Compliance Database'!$O1005)))),1,0)</f>
        <v>0</v>
      </c>
      <c r="B1005" t="str">
        <f>IF($A1005=1,SUM($A$2:$A1005),"")</f>
        <v/>
      </c>
      <c r="C1005">
        <f>IF($A1005=1,SUM($A$2:$A1005),0)</f>
        <v>0</v>
      </c>
    </row>
    <row r="1006" spans="1:3" x14ac:dyDescent="0.3">
      <c r="A1006">
        <f>IF(AND(OR('Compliance Database'!$A1006='Data Transfer'!$B$4,'Compliance Database'!$A1006='Data Transfer'!$B$5),OR('Data Transfer'!$B$6="",ISNUMBER(SEARCH('Data Transfer'!$B$6,'Compliance Database'!$D1006&amp;" "&amp;'Compliance Database'!$K1006&amp;" "&amp;'Compliance Database'!$L1006&amp;" "&amp;'Compliance Database'!$M1006&amp;" "&amp;'Compliance Database'!$N1006&amp;" "&amp;'Compliance Database'!$O1006)))),1,0)</f>
        <v>0</v>
      </c>
      <c r="B1006" t="str">
        <f>IF($A1006=1,SUM($A$2:$A1006),"")</f>
        <v/>
      </c>
      <c r="C1006">
        <f>IF($A1006=1,SUM($A$2:$A1006),0)</f>
        <v>0</v>
      </c>
    </row>
    <row r="1007" spans="1:3" x14ac:dyDescent="0.3">
      <c r="A1007">
        <f>IF(AND(OR('Compliance Database'!$A1007='Data Transfer'!$B$4,'Compliance Database'!$A1007='Data Transfer'!$B$5),OR('Data Transfer'!$B$6="",ISNUMBER(SEARCH('Data Transfer'!$B$6,'Compliance Database'!$D1007&amp;" "&amp;'Compliance Database'!$K1007&amp;" "&amp;'Compliance Database'!$L1007&amp;" "&amp;'Compliance Database'!$M1007&amp;" "&amp;'Compliance Database'!$N1007&amp;" "&amp;'Compliance Database'!$O1007)))),1,0)</f>
        <v>0</v>
      </c>
      <c r="B1007" t="str">
        <f>IF($A1007=1,SUM($A$2:$A1007),"")</f>
        <v/>
      </c>
      <c r="C1007">
        <f>IF($A1007=1,SUM($A$2:$A1007),0)</f>
        <v>0</v>
      </c>
    </row>
    <row r="1008" spans="1:3" x14ac:dyDescent="0.3">
      <c r="A1008">
        <f>IF(AND(OR('Compliance Database'!$A1008='Data Transfer'!$B$4,'Compliance Database'!$A1008='Data Transfer'!$B$5),OR('Data Transfer'!$B$6="",ISNUMBER(SEARCH('Data Transfer'!$B$6,'Compliance Database'!$D1008&amp;" "&amp;'Compliance Database'!$K1008&amp;" "&amp;'Compliance Database'!$L1008&amp;" "&amp;'Compliance Database'!$M1008&amp;" "&amp;'Compliance Database'!$N1008&amp;" "&amp;'Compliance Database'!$O1008)))),1,0)</f>
        <v>0</v>
      </c>
      <c r="B1008" t="str">
        <f>IF($A1008=1,SUM($A$2:$A1008),"")</f>
        <v/>
      </c>
      <c r="C1008">
        <f>IF($A1008=1,SUM($A$2:$A1008),0)</f>
        <v>0</v>
      </c>
    </row>
    <row r="1009" spans="1:3" x14ac:dyDescent="0.3">
      <c r="A1009">
        <f>IF(AND(OR('Compliance Database'!$A1009='Data Transfer'!$B$4,'Compliance Database'!$A1009='Data Transfer'!$B$5),OR('Data Transfer'!$B$6="",ISNUMBER(SEARCH('Data Transfer'!$B$6,'Compliance Database'!$D1009&amp;" "&amp;'Compliance Database'!$K1009&amp;" "&amp;'Compliance Database'!$L1009&amp;" "&amp;'Compliance Database'!$M1009&amp;" "&amp;'Compliance Database'!$N1009&amp;" "&amp;'Compliance Database'!$O1009)))),1,0)</f>
        <v>0</v>
      </c>
      <c r="B1009" t="str">
        <f>IF($A1009=1,SUM($A$2:$A1009),"")</f>
        <v/>
      </c>
      <c r="C1009">
        <f>IF($A1009=1,SUM($A$2:$A1009),0)</f>
        <v>0</v>
      </c>
    </row>
    <row r="1010" spans="1:3" x14ac:dyDescent="0.3">
      <c r="A1010">
        <f>IF(AND(OR('Compliance Database'!$A1010='Data Transfer'!$B$4,'Compliance Database'!$A1010='Data Transfer'!$B$5),OR('Data Transfer'!$B$6="",ISNUMBER(SEARCH('Data Transfer'!$B$6,'Compliance Database'!$D1010&amp;" "&amp;'Compliance Database'!$K1010&amp;" "&amp;'Compliance Database'!$L1010&amp;" "&amp;'Compliance Database'!$M1010&amp;" "&amp;'Compliance Database'!$N1010&amp;" "&amp;'Compliance Database'!$O1010)))),1,0)</f>
        <v>0</v>
      </c>
      <c r="B1010" t="str">
        <f>IF($A1010=1,SUM($A$2:$A1010),"")</f>
        <v/>
      </c>
      <c r="C1010">
        <f>IF($A1010=1,SUM($A$2:$A1010),0)</f>
        <v>0</v>
      </c>
    </row>
    <row r="1011" spans="1:3" x14ac:dyDescent="0.3">
      <c r="A1011">
        <f>IF(AND(OR('Compliance Database'!$A1011='Data Transfer'!$B$4,'Compliance Database'!$A1011='Data Transfer'!$B$5),OR('Data Transfer'!$B$6="",ISNUMBER(SEARCH('Data Transfer'!$B$6,'Compliance Database'!$D1011&amp;" "&amp;'Compliance Database'!$K1011&amp;" "&amp;'Compliance Database'!$L1011&amp;" "&amp;'Compliance Database'!$M1011&amp;" "&amp;'Compliance Database'!$N1011&amp;" "&amp;'Compliance Database'!$O1011)))),1,0)</f>
        <v>0</v>
      </c>
      <c r="B1011" t="str">
        <f>IF($A1011=1,SUM($A$2:$A1011),"")</f>
        <v/>
      </c>
      <c r="C1011">
        <f>IF($A1011=1,SUM($A$2:$A1011),0)</f>
        <v>0</v>
      </c>
    </row>
    <row r="1012" spans="1:3" x14ac:dyDescent="0.3">
      <c r="A1012">
        <f>IF(AND(OR('Compliance Database'!$A1012='Data Transfer'!$B$4,'Compliance Database'!$A1012='Data Transfer'!$B$5),OR('Data Transfer'!$B$6="",ISNUMBER(SEARCH('Data Transfer'!$B$6,'Compliance Database'!$D1012&amp;" "&amp;'Compliance Database'!$K1012&amp;" "&amp;'Compliance Database'!$L1012&amp;" "&amp;'Compliance Database'!$M1012&amp;" "&amp;'Compliance Database'!$N1012&amp;" "&amp;'Compliance Database'!$O1012)))),1,0)</f>
        <v>0</v>
      </c>
      <c r="B1012" t="str">
        <f>IF($A1012=1,SUM($A$2:$A1012),"")</f>
        <v/>
      </c>
      <c r="C1012">
        <f>IF($A1012=1,SUM($A$2:$A1012),0)</f>
        <v>0</v>
      </c>
    </row>
    <row r="1013" spans="1:3" x14ac:dyDescent="0.3">
      <c r="A1013">
        <f>IF(AND(OR('Compliance Database'!$A1013='Data Transfer'!$B$4,'Compliance Database'!$A1013='Data Transfer'!$B$5),OR('Data Transfer'!$B$6="",ISNUMBER(SEARCH('Data Transfer'!$B$6,'Compliance Database'!$D1013&amp;" "&amp;'Compliance Database'!$K1013&amp;" "&amp;'Compliance Database'!$L1013&amp;" "&amp;'Compliance Database'!$M1013&amp;" "&amp;'Compliance Database'!$N1013&amp;" "&amp;'Compliance Database'!$O1013)))),1,0)</f>
        <v>0</v>
      </c>
      <c r="B1013" t="str">
        <f>IF($A1013=1,SUM($A$2:$A1013),"")</f>
        <v/>
      </c>
      <c r="C1013">
        <f>IF($A1013=1,SUM($A$2:$A1013),0)</f>
        <v>0</v>
      </c>
    </row>
    <row r="1014" spans="1:3" x14ac:dyDescent="0.3">
      <c r="A1014">
        <f>IF(AND(OR('Compliance Database'!$A1014='Data Transfer'!$B$4,'Compliance Database'!$A1014='Data Transfer'!$B$5),OR('Data Transfer'!$B$6="",ISNUMBER(SEARCH('Data Transfer'!$B$6,'Compliance Database'!$D1014&amp;" "&amp;'Compliance Database'!$K1014&amp;" "&amp;'Compliance Database'!$L1014&amp;" "&amp;'Compliance Database'!$M1014&amp;" "&amp;'Compliance Database'!$N1014&amp;" "&amp;'Compliance Database'!$O1014)))),1,0)</f>
        <v>0</v>
      </c>
      <c r="B1014" t="str">
        <f>IF($A1014=1,SUM($A$2:$A1014),"")</f>
        <v/>
      </c>
      <c r="C1014">
        <f>IF($A1014=1,SUM($A$2:$A1014),0)</f>
        <v>0</v>
      </c>
    </row>
    <row r="1015" spans="1:3" x14ac:dyDescent="0.3">
      <c r="A1015">
        <f>IF(AND(OR('Compliance Database'!$A1015='Data Transfer'!$B$4,'Compliance Database'!$A1015='Data Transfer'!$B$5),OR('Data Transfer'!$B$6="",ISNUMBER(SEARCH('Data Transfer'!$B$6,'Compliance Database'!$D1015&amp;" "&amp;'Compliance Database'!$K1015&amp;" "&amp;'Compliance Database'!$L1015&amp;" "&amp;'Compliance Database'!$M1015&amp;" "&amp;'Compliance Database'!$N1015&amp;" "&amp;'Compliance Database'!$O1015)))),1,0)</f>
        <v>0</v>
      </c>
      <c r="B1015" t="str">
        <f>IF($A1015=1,SUM($A$2:$A1015),"")</f>
        <v/>
      </c>
      <c r="C1015">
        <f>IF($A1015=1,SUM($A$2:$A1015),0)</f>
        <v>0</v>
      </c>
    </row>
    <row r="1016" spans="1:3" x14ac:dyDescent="0.3">
      <c r="A1016">
        <f>IF(AND(OR('Compliance Database'!$A1016='Data Transfer'!$B$4,'Compliance Database'!$A1016='Data Transfer'!$B$5),OR('Data Transfer'!$B$6="",ISNUMBER(SEARCH('Data Transfer'!$B$6,'Compliance Database'!$D1016&amp;" "&amp;'Compliance Database'!$K1016&amp;" "&amp;'Compliance Database'!$L1016&amp;" "&amp;'Compliance Database'!$M1016&amp;" "&amp;'Compliance Database'!$N1016&amp;" "&amp;'Compliance Database'!$O1016)))),1,0)</f>
        <v>0</v>
      </c>
      <c r="B1016" t="str">
        <f>IF($A1016=1,SUM($A$2:$A1016),"")</f>
        <v/>
      </c>
      <c r="C1016">
        <f>IF($A1016=1,SUM($A$2:$A1016),0)</f>
        <v>0</v>
      </c>
    </row>
    <row r="1017" spans="1:3" x14ac:dyDescent="0.3">
      <c r="A1017">
        <f>IF(AND(OR('Compliance Database'!$A1017='Data Transfer'!$B$4,'Compliance Database'!$A1017='Data Transfer'!$B$5),OR('Data Transfer'!$B$6="",ISNUMBER(SEARCH('Data Transfer'!$B$6,'Compliance Database'!$D1017&amp;" "&amp;'Compliance Database'!$K1017&amp;" "&amp;'Compliance Database'!$L1017&amp;" "&amp;'Compliance Database'!$M1017&amp;" "&amp;'Compliance Database'!$N1017&amp;" "&amp;'Compliance Database'!$O1017)))),1,0)</f>
        <v>0</v>
      </c>
      <c r="B1017" t="str">
        <f>IF($A1017=1,SUM($A$2:$A1017),"")</f>
        <v/>
      </c>
      <c r="C1017">
        <f>IF($A1017=1,SUM($A$2:$A1017),0)</f>
        <v>0</v>
      </c>
    </row>
    <row r="1018" spans="1:3" x14ac:dyDescent="0.3">
      <c r="A1018">
        <f>IF(AND(OR('Compliance Database'!$A1018='Data Transfer'!$B$4,'Compliance Database'!$A1018='Data Transfer'!$B$5),OR('Data Transfer'!$B$6="",ISNUMBER(SEARCH('Data Transfer'!$B$6,'Compliance Database'!$D1018&amp;" "&amp;'Compliance Database'!$K1018&amp;" "&amp;'Compliance Database'!$L1018&amp;" "&amp;'Compliance Database'!$M1018&amp;" "&amp;'Compliance Database'!$N1018&amp;" "&amp;'Compliance Database'!$O1018)))),1,0)</f>
        <v>0</v>
      </c>
      <c r="B1018" t="str">
        <f>IF($A1018=1,SUM($A$2:$A1018),"")</f>
        <v/>
      </c>
      <c r="C1018">
        <f>IF($A1018=1,SUM($A$2:$A1018),0)</f>
        <v>0</v>
      </c>
    </row>
    <row r="1019" spans="1:3" x14ac:dyDescent="0.3">
      <c r="A1019">
        <f>IF(AND(OR('Compliance Database'!$A1019='Data Transfer'!$B$4,'Compliance Database'!$A1019='Data Transfer'!$B$5),OR('Data Transfer'!$B$6="",ISNUMBER(SEARCH('Data Transfer'!$B$6,'Compliance Database'!$D1019&amp;" "&amp;'Compliance Database'!$K1019&amp;" "&amp;'Compliance Database'!$L1019&amp;" "&amp;'Compliance Database'!$M1019&amp;" "&amp;'Compliance Database'!$N1019&amp;" "&amp;'Compliance Database'!$O1019)))),1,0)</f>
        <v>0</v>
      </c>
      <c r="B1019" t="str">
        <f>IF($A1019=1,SUM($A$2:$A1019),"")</f>
        <v/>
      </c>
      <c r="C1019">
        <f>IF($A1019=1,SUM($A$2:$A1019),0)</f>
        <v>0</v>
      </c>
    </row>
    <row r="1020" spans="1:3" x14ac:dyDescent="0.3">
      <c r="A1020">
        <f>IF(AND(OR('Compliance Database'!$A1020='Data Transfer'!$B$4,'Compliance Database'!$A1020='Data Transfer'!$B$5),OR('Data Transfer'!$B$6="",ISNUMBER(SEARCH('Data Transfer'!$B$6,'Compliance Database'!$D1020&amp;" "&amp;'Compliance Database'!$K1020&amp;" "&amp;'Compliance Database'!$L1020&amp;" "&amp;'Compliance Database'!$M1020&amp;" "&amp;'Compliance Database'!$N1020&amp;" "&amp;'Compliance Database'!$O1020)))),1,0)</f>
        <v>0</v>
      </c>
      <c r="B1020" t="str">
        <f>IF($A1020=1,SUM($A$2:$A1020),"")</f>
        <v/>
      </c>
      <c r="C1020">
        <f>IF($A1020=1,SUM($A$2:$A1020),0)</f>
        <v>0</v>
      </c>
    </row>
    <row r="1021" spans="1:3" x14ac:dyDescent="0.3">
      <c r="A1021">
        <f>IF(AND(OR('Compliance Database'!$A1021='Data Transfer'!$B$4,'Compliance Database'!$A1021='Data Transfer'!$B$5),OR('Data Transfer'!$B$6="",ISNUMBER(SEARCH('Data Transfer'!$B$6,'Compliance Database'!$D1021&amp;" "&amp;'Compliance Database'!$K1021&amp;" "&amp;'Compliance Database'!$L1021&amp;" "&amp;'Compliance Database'!$M1021&amp;" "&amp;'Compliance Database'!$N1021&amp;" "&amp;'Compliance Database'!$O1021)))),1,0)</f>
        <v>0</v>
      </c>
      <c r="B1021" t="str">
        <f>IF($A1021=1,SUM($A$2:$A1021),"")</f>
        <v/>
      </c>
      <c r="C1021">
        <f>IF($A1021=1,SUM($A$2:$A1021),0)</f>
        <v>0</v>
      </c>
    </row>
    <row r="1022" spans="1:3" x14ac:dyDescent="0.3">
      <c r="A1022">
        <f>IF(AND(OR('Compliance Database'!$A1022='Data Transfer'!$B$4,'Compliance Database'!$A1022='Data Transfer'!$B$5),OR('Data Transfer'!$B$6="",ISNUMBER(SEARCH('Data Transfer'!$B$6,'Compliance Database'!$D1022&amp;" "&amp;'Compliance Database'!$K1022&amp;" "&amp;'Compliance Database'!$L1022&amp;" "&amp;'Compliance Database'!$M1022&amp;" "&amp;'Compliance Database'!$N1022&amp;" "&amp;'Compliance Database'!$O1022)))),1,0)</f>
        <v>0</v>
      </c>
      <c r="B1022" t="str">
        <f>IF($A1022=1,SUM($A$2:$A1022),"")</f>
        <v/>
      </c>
      <c r="C1022">
        <f>IF($A1022=1,SUM($A$2:$A1022),0)</f>
        <v>0</v>
      </c>
    </row>
    <row r="1023" spans="1:3" x14ac:dyDescent="0.3">
      <c r="A1023">
        <f>IF(AND(OR('Compliance Database'!$A1023='Data Transfer'!$B$4,'Compliance Database'!$A1023='Data Transfer'!$B$5),OR('Data Transfer'!$B$6="",ISNUMBER(SEARCH('Data Transfer'!$B$6,'Compliance Database'!$D1023&amp;" "&amp;'Compliance Database'!$K1023&amp;" "&amp;'Compliance Database'!$L1023&amp;" "&amp;'Compliance Database'!$M1023&amp;" "&amp;'Compliance Database'!$N1023&amp;" "&amp;'Compliance Database'!$O1023)))),1,0)</f>
        <v>0</v>
      </c>
      <c r="B1023" t="str">
        <f>IF($A1023=1,SUM($A$2:$A1023),"")</f>
        <v/>
      </c>
      <c r="C1023">
        <f>IF($A1023=1,SUM($A$2:$A1023),0)</f>
        <v>0</v>
      </c>
    </row>
    <row r="1024" spans="1:3" x14ac:dyDescent="0.3">
      <c r="A1024">
        <f>IF(AND(OR('Compliance Database'!$A1024='Data Transfer'!$B$4,'Compliance Database'!$A1024='Data Transfer'!$B$5),OR('Data Transfer'!$B$6="",ISNUMBER(SEARCH('Data Transfer'!$B$6,'Compliance Database'!$D1024&amp;" "&amp;'Compliance Database'!$K1024&amp;" "&amp;'Compliance Database'!$L1024&amp;" "&amp;'Compliance Database'!$M1024&amp;" "&amp;'Compliance Database'!$N1024&amp;" "&amp;'Compliance Database'!$O1024)))),1,0)</f>
        <v>0</v>
      </c>
      <c r="B1024" t="str">
        <f>IF($A1024=1,SUM($A$2:$A1024),"")</f>
        <v/>
      </c>
      <c r="C1024">
        <f>IF($A1024=1,SUM($A$2:$A1024),0)</f>
        <v>0</v>
      </c>
    </row>
    <row r="1025" spans="1:3" x14ac:dyDescent="0.3">
      <c r="A1025">
        <f>IF(AND(OR('Compliance Database'!$A1025='Data Transfer'!$B$4,'Compliance Database'!$A1025='Data Transfer'!$B$5),OR('Data Transfer'!$B$6="",ISNUMBER(SEARCH('Data Transfer'!$B$6,'Compliance Database'!$D1025&amp;" "&amp;'Compliance Database'!$K1025&amp;" "&amp;'Compliance Database'!$L1025&amp;" "&amp;'Compliance Database'!$M1025&amp;" "&amp;'Compliance Database'!$N1025&amp;" "&amp;'Compliance Database'!$O1025)))),1,0)</f>
        <v>0</v>
      </c>
      <c r="B1025" t="str">
        <f>IF($A1025=1,SUM($A$2:$A1025),"")</f>
        <v/>
      </c>
      <c r="C1025">
        <f>IF($A1025=1,SUM($A$2:$A1025),0)</f>
        <v>0</v>
      </c>
    </row>
    <row r="1026" spans="1:3" x14ac:dyDescent="0.3">
      <c r="A1026">
        <f>IF(AND(OR('Compliance Database'!$A1026='Data Transfer'!$B$4,'Compliance Database'!$A1026='Data Transfer'!$B$5),OR('Data Transfer'!$B$6="",ISNUMBER(SEARCH('Data Transfer'!$B$6,'Compliance Database'!$D1026&amp;" "&amp;'Compliance Database'!$K1026&amp;" "&amp;'Compliance Database'!$L1026&amp;" "&amp;'Compliance Database'!$M1026&amp;" "&amp;'Compliance Database'!$N1026&amp;" "&amp;'Compliance Database'!$O1026)))),1,0)</f>
        <v>0</v>
      </c>
      <c r="B1026" t="str">
        <f>IF($A1026=1,SUM($A$2:$A1026),"")</f>
        <v/>
      </c>
      <c r="C1026">
        <f>IF($A1026=1,SUM($A$2:$A1026),0)</f>
        <v>0</v>
      </c>
    </row>
    <row r="1027" spans="1:3" x14ac:dyDescent="0.3">
      <c r="A1027">
        <f>IF(AND(OR('Compliance Database'!$A1027='Data Transfer'!$B$4,'Compliance Database'!$A1027='Data Transfer'!$B$5),OR('Data Transfer'!$B$6="",ISNUMBER(SEARCH('Data Transfer'!$B$6,'Compliance Database'!$D1027&amp;" "&amp;'Compliance Database'!$K1027&amp;" "&amp;'Compliance Database'!$L1027&amp;" "&amp;'Compliance Database'!$M1027&amp;" "&amp;'Compliance Database'!$N1027&amp;" "&amp;'Compliance Database'!$O1027)))),1,0)</f>
        <v>0</v>
      </c>
      <c r="B1027" t="str">
        <f>IF($A1027=1,SUM($A$2:$A1027),"")</f>
        <v/>
      </c>
      <c r="C1027">
        <f>IF($A1027=1,SUM($A$2:$A1027),0)</f>
        <v>0</v>
      </c>
    </row>
    <row r="1028" spans="1:3" x14ac:dyDescent="0.3">
      <c r="A1028">
        <f>IF(AND(OR('Compliance Database'!$A1028='Data Transfer'!$B$4,'Compliance Database'!$A1028='Data Transfer'!$B$5),OR('Data Transfer'!$B$6="",ISNUMBER(SEARCH('Data Transfer'!$B$6,'Compliance Database'!$D1028&amp;" "&amp;'Compliance Database'!$K1028&amp;" "&amp;'Compliance Database'!$L1028&amp;" "&amp;'Compliance Database'!$M1028&amp;" "&amp;'Compliance Database'!$N1028&amp;" "&amp;'Compliance Database'!$O1028)))),1,0)</f>
        <v>0</v>
      </c>
      <c r="B1028" t="str">
        <f>IF($A1028=1,SUM($A$2:$A1028),"")</f>
        <v/>
      </c>
      <c r="C1028">
        <f>IF($A1028=1,SUM($A$2:$A1028),0)</f>
        <v>0</v>
      </c>
    </row>
    <row r="1029" spans="1:3" x14ac:dyDescent="0.3">
      <c r="A1029">
        <f>IF(AND(OR('Compliance Database'!$A1029='Data Transfer'!$B$4,'Compliance Database'!$A1029='Data Transfer'!$B$5),OR('Data Transfer'!$B$6="",ISNUMBER(SEARCH('Data Transfer'!$B$6,'Compliance Database'!$D1029&amp;" "&amp;'Compliance Database'!$K1029&amp;" "&amp;'Compliance Database'!$L1029&amp;" "&amp;'Compliance Database'!$M1029&amp;" "&amp;'Compliance Database'!$N1029&amp;" "&amp;'Compliance Database'!$O1029)))),1,0)</f>
        <v>0</v>
      </c>
      <c r="B1029" t="str">
        <f>IF($A1029=1,SUM($A$2:$A1029),"")</f>
        <v/>
      </c>
      <c r="C1029">
        <f>IF($A1029=1,SUM($A$2:$A1029),0)</f>
        <v>0</v>
      </c>
    </row>
    <row r="1030" spans="1:3" x14ac:dyDescent="0.3">
      <c r="A1030">
        <f>IF(AND(OR('Compliance Database'!$A1030='Data Transfer'!$B$4,'Compliance Database'!$A1030='Data Transfer'!$B$5),OR('Data Transfer'!$B$6="",ISNUMBER(SEARCH('Data Transfer'!$B$6,'Compliance Database'!$D1030&amp;" "&amp;'Compliance Database'!$K1030&amp;" "&amp;'Compliance Database'!$L1030&amp;" "&amp;'Compliance Database'!$M1030&amp;" "&amp;'Compliance Database'!$N1030&amp;" "&amp;'Compliance Database'!$O1030)))),1,0)</f>
        <v>0</v>
      </c>
      <c r="B1030" t="str">
        <f>IF($A1030=1,SUM($A$2:$A1030),"")</f>
        <v/>
      </c>
      <c r="C1030">
        <f>IF($A1030=1,SUM($A$2:$A1030),0)</f>
        <v>0</v>
      </c>
    </row>
    <row r="1031" spans="1:3" x14ac:dyDescent="0.3">
      <c r="A1031">
        <f>IF(AND(OR('Compliance Database'!$A1031='Data Transfer'!$B$4,'Compliance Database'!$A1031='Data Transfer'!$B$5),OR('Data Transfer'!$B$6="",ISNUMBER(SEARCH('Data Transfer'!$B$6,'Compliance Database'!$D1031&amp;" "&amp;'Compliance Database'!$K1031&amp;" "&amp;'Compliance Database'!$L1031&amp;" "&amp;'Compliance Database'!$M1031&amp;" "&amp;'Compliance Database'!$N1031&amp;" "&amp;'Compliance Database'!$O1031)))),1,0)</f>
        <v>0</v>
      </c>
      <c r="B1031" t="str">
        <f>IF($A1031=1,SUM($A$2:$A1031),"")</f>
        <v/>
      </c>
      <c r="C1031">
        <f>IF($A1031=1,SUM($A$2:$A1031),0)</f>
        <v>0</v>
      </c>
    </row>
    <row r="1032" spans="1:3" x14ac:dyDescent="0.3">
      <c r="A1032">
        <f>IF(AND(OR('Compliance Database'!$A1032='Data Transfer'!$B$4,'Compliance Database'!$A1032='Data Transfer'!$B$5),OR('Data Transfer'!$B$6="",ISNUMBER(SEARCH('Data Transfer'!$B$6,'Compliance Database'!$D1032&amp;" "&amp;'Compliance Database'!$K1032&amp;" "&amp;'Compliance Database'!$L1032&amp;" "&amp;'Compliance Database'!$M1032&amp;" "&amp;'Compliance Database'!$N1032&amp;" "&amp;'Compliance Database'!$O1032)))),1,0)</f>
        <v>0</v>
      </c>
      <c r="B1032" t="str">
        <f>IF($A1032=1,SUM($A$2:$A1032),"")</f>
        <v/>
      </c>
      <c r="C1032">
        <f>IF($A1032=1,SUM($A$2:$A1032),0)</f>
        <v>0</v>
      </c>
    </row>
    <row r="1033" spans="1:3" x14ac:dyDescent="0.3">
      <c r="A1033">
        <f>IF(AND(OR('Compliance Database'!$A1033='Data Transfer'!$B$4,'Compliance Database'!$A1033='Data Transfer'!$B$5),OR('Data Transfer'!$B$6="",ISNUMBER(SEARCH('Data Transfer'!$B$6,'Compliance Database'!$D1033&amp;" "&amp;'Compliance Database'!$K1033&amp;" "&amp;'Compliance Database'!$L1033&amp;" "&amp;'Compliance Database'!$M1033&amp;" "&amp;'Compliance Database'!$N1033&amp;" "&amp;'Compliance Database'!$O1033)))),1,0)</f>
        <v>0</v>
      </c>
      <c r="B1033" t="str">
        <f>IF($A1033=1,SUM($A$2:$A1033),"")</f>
        <v/>
      </c>
      <c r="C1033">
        <f>IF($A1033=1,SUM($A$2:$A1033),0)</f>
        <v>0</v>
      </c>
    </row>
    <row r="1034" spans="1:3" x14ac:dyDescent="0.3">
      <c r="A1034">
        <f>IF(AND(OR('Compliance Database'!$A1034='Data Transfer'!$B$4,'Compliance Database'!$A1034='Data Transfer'!$B$5),OR('Data Transfer'!$B$6="",ISNUMBER(SEARCH('Data Transfer'!$B$6,'Compliance Database'!$D1034&amp;" "&amp;'Compliance Database'!$K1034&amp;" "&amp;'Compliance Database'!$L1034&amp;" "&amp;'Compliance Database'!$M1034&amp;" "&amp;'Compliance Database'!$N1034&amp;" "&amp;'Compliance Database'!$O1034)))),1,0)</f>
        <v>0</v>
      </c>
      <c r="B1034" t="str">
        <f>IF($A1034=1,SUM($A$2:$A1034),"")</f>
        <v/>
      </c>
      <c r="C1034">
        <f>IF($A1034=1,SUM($A$2:$A1034),0)</f>
        <v>0</v>
      </c>
    </row>
    <row r="1035" spans="1:3" x14ac:dyDescent="0.3">
      <c r="A1035">
        <f>IF(AND(OR('Compliance Database'!$A1035='Data Transfer'!$B$4,'Compliance Database'!$A1035='Data Transfer'!$B$5),OR('Data Transfer'!$B$6="",ISNUMBER(SEARCH('Data Transfer'!$B$6,'Compliance Database'!$D1035&amp;" "&amp;'Compliance Database'!$K1035&amp;" "&amp;'Compliance Database'!$L1035&amp;" "&amp;'Compliance Database'!$M1035&amp;" "&amp;'Compliance Database'!$N1035&amp;" "&amp;'Compliance Database'!$O1035)))),1,0)</f>
        <v>0</v>
      </c>
      <c r="B1035" t="str">
        <f>IF($A1035=1,SUM($A$2:$A1035),"")</f>
        <v/>
      </c>
      <c r="C1035">
        <f>IF($A1035=1,SUM($A$2:$A1035),0)</f>
        <v>0</v>
      </c>
    </row>
    <row r="1036" spans="1:3" x14ac:dyDescent="0.3">
      <c r="A1036">
        <f>IF(AND(OR('Compliance Database'!$A1036='Data Transfer'!$B$4,'Compliance Database'!$A1036='Data Transfer'!$B$5),OR('Data Transfer'!$B$6="",ISNUMBER(SEARCH('Data Transfer'!$B$6,'Compliance Database'!$D1036&amp;" "&amp;'Compliance Database'!$K1036&amp;" "&amp;'Compliance Database'!$L1036&amp;" "&amp;'Compliance Database'!$M1036&amp;" "&amp;'Compliance Database'!$N1036&amp;" "&amp;'Compliance Database'!$O1036)))),1,0)</f>
        <v>0</v>
      </c>
      <c r="B1036" t="str">
        <f>IF($A1036=1,SUM($A$2:$A1036),"")</f>
        <v/>
      </c>
      <c r="C1036">
        <f>IF($A1036=1,SUM($A$2:$A1036),0)</f>
        <v>0</v>
      </c>
    </row>
    <row r="1037" spans="1:3" x14ac:dyDescent="0.3">
      <c r="A1037">
        <f>IF(AND(OR('Compliance Database'!$A1037='Data Transfer'!$B$4,'Compliance Database'!$A1037='Data Transfer'!$B$5),OR('Data Transfer'!$B$6="",ISNUMBER(SEARCH('Data Transfer'!$B$6,'Compliance Database'!$D1037&amp;" "&amp;'Compliance Database'!$K1037&amp;" "&amp;'Compliance Database'!$L1037&amp;" "&amp;'Compliance Database'!$M1037&amp;" "&amp;'Compliance Database'!$N1037&amp;" "&amp;'Compliance Database'!$O1037)))),1,0)</f>
        <v>0</v>
      </c>
      <c r="B1037" t="str">
        <f>IF($A1037=1,SUM($A$2:$A1037),"")</f>
        <v/>
      </c>
      <c r="C1037">
        <f>IF($A1037=1,SUM($A$2:$A1037),0)</f>
        <v>0</v>
      </c>
    </row>
    <row r="1038" spans="1:3" x14ac:dyDescent="0.3">
      <c r="A1038">
        <f>IF(AND(OR('Compliance Database'!$A1038='Data Transfer'!$B$4,'Compliance Database'!$A1038='Data Transfer'!$B$5),OR('Data Transfer'!$B$6="",ISNUMBER(SEARCH('Data Transfer'!$B$6,'Compliance Database'!$D1038&amp;" "&amp;'Compliance Database'!$K1038&amp;" "&amp;'Compliance Database'!$L1038&amp;" "&amp;'Compliance Database'!$M1038&amp;" "&amp;'Compliance Database'!$N1038&amp;" "&amp;'Compliance Database'!$O1038)))),1,0)</f>
        <v>0</v>
      </c>
      <c r="B1038" t="str">
        <f>IF($A1038=1,SUM($A$2:$A1038),"")</f>
        <v/>
      </c>
      <c r="C1038">
        <f>IF($A1038=1,SUM($A$2:$A1038),0)</f>
        <v>0</v>
      </c>
    </row>
    <row r="1039" spans="1:3" x14ac:dyDescent="0.3">
      <c r="A1039">
        <f>IF(AND(OR('Compliance Database'!$A1039='Data Transfer'!$B$4,'Compliance Database'!$A1039='Data Transfer'!$B$5),OR('Data Transfer'!$B$6="",ISNUMBER(SEARCH('Data Transfer'!$B$6,'Compliance Database'!$D1039&amp;" "&amp;'Compliance Database'!$K1039&amp;" "&amp;'Compliance Database'!$L1039&amp;" "&amp;'Compliance Database'!$M1039&amp;" "&amp;'Compliance Database'!$N1039&amp;" "&amp;'Compliance Database'!$O1039)))),1,0)</f>
        <v>0</v>
      </c>
      <c r="B1039" t="str">
        <f>IF($A1039=1,SUM($A$2:$A1039),"")</f>
        <v/>
      </c>
      <c r="C1039">
        <f>IF($A1039=1,SUM($A$2:$A1039),0)</f>
        <v>0</v>
      </c>
    </row>
    <row r="1040" spans="1:3" x14ac:dyDescent="0.3">
      <c r="A1040">
        <f>IF(AND(OR('Compliance Database'!$A1040='Data Transfer'!$B$4,'Compliance Database'!$A1040='Data Transfer'!$B$5),OR('Data Transfer'!$B$6="",ISNUMBER(SEARCH('Data Transfer'!$B$6,'Compliance Database'!$D1040&amp;" "&amp;'Compliance Database'!$K1040&amp;" "&amp;'Compliance Database'!$L1040&amp;" "&amp;'Compliance Database'!$M1040&amp;" "&amp;'Compliance Database'!$N1040&amp;" "&amp;'Compliance Database'!$O1040)))),1,0)</f>
        <v>0</v>
      </c>
      <c r="B1040" t="str">
        <f>IF($A1040=1,SUM($A$2:$A1040),"")</f>
        <v/>
      </c>
      <c r="C1040">
        <f>IF($A1040=1,SUM($A$2:$A1040),0)</f>
        <v>0</v>
      </c>
    </row>
    <row r="1041" spans="1:3" x14ac:dyDescent="0.3">
      <c r="A1041">
        <f>IF(AND(OR('Compliance Database'!$A1041='Data Transfer'!$B$4,'Compliance Database'!$A1041='Data Transfer'!$B$5),OR('Data Transfer'!$B$6="",ISNUMBER(SEARCH('Data Transfer'!$B$6,'Compliance Database'!$D1041&amp;" "&amp;'Compliance Database'!$K1041&amp;" "&amp;'Compliance Database'!$L1041&amp;" "&amp;'Compliance Database'!$M1041&amp;" "&amp;'Compliance Database'!$N1041&amp;" "&amp;'Compliance Database'!$O1041)))),1,0)</f>
        <v>0</v>
      </c>
      <c r="B1041" t="str">
        <f>IF($A1041=1,SUM($A$2:$A1041),"")</f>
        <v/>
      </c>
      <c r="C1041">
        <f>IF($A1041=1,SUM($A$2:$A1041),0)</f>
        <v>0</v>
      </c>
    </row>
    <row r="1042" spans="1:3" x14ac:dyDescent="0.3">
      <c r="A1042">
        <f>IF(AND(OR('Compliance Database'!$A1042='Data Transfer'!$B$4,'Compliance Database'!$A1042='Data Transfer'!$B$5),OR('Data Transfer'!$B$6="",ISNUMBER(SEARCH('Data Transfer'!$B$6,'Compliance Database'!$D1042&amp;" "&amp;'Compliance Database'!$K1042&amp;" "&amp;'Compliance Database'!$L1042&amp;" "&amp;'Compliance Database'!$M1042&amp;" "&amp;'Compliance Database'!$N1042&amp;" "&amp;'Compliance Database'!$O1042)))),1,0)</f>
        <v>0</v>
      </c>
      <c r="B1042" t="str">
        <f>IF($A1042=1,SUM($A$2:$A1042),"")</f>
        <v/>
      </c>
      <c r="C1042">
        <f>IF($A1042=1,SUM($A$2:$A1042),0)</f>
        <v>0</v>
      </c>
    </row>
    <row r="1043" spans="1:3" x14ac:dyDescent="0.3">
      <c r="A1043">
        <f>IF(AND(OR('Compliance Database'!$A1043='Data Transfer'!$B$4,'Compliance Database'!$A1043='Data Transfer'!$B$5),OR('Data Transfer'!$B$6="",ISNUMBER(SEARCH('Data Transfer'!$B$6,'Compliance Database'!$D1043&amp;" "&amp;'Compliance Database'!$K1043&amp;" "&amp;'Compliance Database'!$L1043&amp;" "&amp;'Compliance Database'!$M1043&amp;" "&amp;'Compliance Database'!$N1043&amp;" "&amp;'Compliance Database'!$O1043)))),1,0)</f>
        <v>0</v>
      </c>
      <c r="B1043" t="str">
        <f>IF($A1043=1,SUM($A$2:$A1043),"")</f>
        <v/>
      </c>
      <c r="C1043">
        <f>IF($A1043=1,SUM($A$2:$A1043),0)</f>
        <v>0</v>
      </c>
    </row>
    <row r="1044" spans="1:3" x14ac:dyDescent="0.3">
      <c r="A1044">
        <f>IF(AND(OR('Compliance Database'!$A1044='Data Transfer'!$B$4,'Compliance Database'!$A1044='Data Transfer'!$B$5),OR('Data Transfer'!$B$6="",ISNUMBER(SEARCH('Data Transfer'!$B$6,'Compliance Database'!$D1044&amp;" "&amp;'Compliance Database'!$K1044&amp;" "&amp;'Compliance Database'!$L1044&amp;" "&amp;'Compliance Database'!$M1044&amp;" "&amp;'Compliance Database'!$N1044&amp;" "&amp;'Compliance Database'!$O1044)))),1,0)</f>
        <v>0</v>
      </c>
      <c r="B1044" t="str">
        <f>IF($A1044=1,SUM($A$2:$A1044),"")</f>
        <v/>
      </c>
      <c r="C1044">
        <f>IF($A1044=1,SUM($A$2:$A1044),0)</f>
        <v>0</v>
      </c>
    </row>
    <row r="1045" spans="1:3" x14ac:dyDescent="0.3">
      <c r="A1045">
        <f>IF(AND(OR('Compliance Database'!$A1045='Data Transfer'!$B$4,'Compliance Database'!$A1045='Data Transfer'!$B$5),OR('Data Transfer'!$B$6="",ISNUMBER(SEARCH('Data Transfer'!$B$6,'Compliance Database'!$D1045&amp;" "&amp;'Compliance Database'!$K1045&amp;" "&amp;'Compliance Database'!$L1045&amp;" "&amp;'Compliance Database'!$M1045&amp;" "&amp;'Compliance Database'!$N1045&amp;" "&amp;'Compliance Database'!$O1045)))),1,0)</f>
        <v>0</v>
      </c>
      <c r="B1045" t="str">
        <f>IF($A1045=1,SUM($A$2:$A1045),"")</f>
        <v/>
      </c>
      <c r="C1045">
        <f>IF($A1045=1,SUM($A$2:$A1045),0)</f>
        <v>0</v>
      </c>
    </row>
    <row r="1046" spans="1:3" x14ac:dyDescent="0.3">
      <c r="A1046">
        <f>IF(AND(OR('Compliance Database'!$A1046='Data Transfer'!$B$4,'Compliance Database'!$A1046='Data Transfer'!$B$5),OR('Data Transfer'!$B$6="",ISNUMBER(SEARCH('Data Transfer'!$B$6,'Compliance Database'!$D1046&amp;" "&amp;'Compliance Database'!$K1046&amp;" "&amp;'Compliance Database'!$L1046&amp;" "&amp;'Compliance Database'!$M1046&amp;" "&amp;'Compliance Database'!$N1046&amp;" "&amp;'Compliance Database'!$O1046)))),1,0)</f>
        <v>0</v>
      </c>
      <c r="B1046" t="str">
        <f>IF($A1046=1,SUM($A$2:$A1046),"")</f>
        <v/>
      </c>
      <c r="C1046">
        <f>IF($A1046=1,SUM($A$2:$A1046),0)</f>
        <v>0</v>
      </c>
    </row>
    <row r="1047" spans="1:3" x14ac:dyDescent="0.3">
      <c r="A1047">
        <f>IF(AND(OR('Compliance Database'!$A1047='Data Transfer'!$B$4,'Compliance Database'!$A1047='Data Transfer'!$B$5),OR('Data Transfer'!$B$6="",ISNUMBER(SEARCH('Data Transfer'!$B$6,'Compliance Database'!$D1047&amp;" "&amp;'Compliance Database'!$K1047&amp;" "&amp;'Compliance Database'!$L1047&amp;" "&amp;'Compliance Database'!$M1047&amp;" "&amp;'Compliance Database'!$N1047&amp;" "&amp;'Compliance Database'!$O1047)))),1,0)</f>
        <v>0</v>
      </c>
      <c r="B1047" t="str">
        <f>IF($A1047=1,SUM($A$2:$A1047),"")</f>
        <v/>
      </c>
      <c r="C1047">
        <f>IF($A1047=1,SUM($A$2:$A1047),0)</f>
        <v>0</v>
      </c>
    </row>
    <row r="1048" spans="1:3" x14ac:dyDescent="0.3">
      <c r="A1048">
        <f>IF(AND(OR('Compliance Database'!$A1048='Data Transfer'!$B$4,'Compliance Database'!$A1048='Data Transfer'!$B$5),OR('Data Transfer'!$B$6="",ISNUMBER(SEARCH('Data Transfer'!$B$6,'Compliance Database'!$D1048&amp;" "&amp;'Compliance Database'!$K1048&amp;" "&amp;'Compliance Database'!$L1048&amp;" "&amp;'Compliance Database'!$M1048&amp;" "&amp;'Compliance Database'!$N1048&amp;" "&amp;'Compliance Database'!$O1048)))),1,0)</f>
        <v>0</v>
      </c>
      <c r="B1048" t="str">
        <f>IF($A1048=1,SUM($A$2:$A1048),"")</f>
        <v/>
      </c>
      <c r="C1048">
        <f>IF($A1048=1,SUM($A$2:$A1048),0)</f>
        <v>0</v>
      </c>
    </row>
    <row r="1049" spans="1:3" x14ac:dyDescent="0.3">
      <c r="A1049">
        <f>IF(AND(OR('Compliance Database'!$A1049='Data Transfer'!$B$4,'Compliance Database'!$A1049='Data Transfer'!$B$5),OR('Data Transfer'!$B$6="",ISNUMBER(SEARCH('Data Transfer'!$B$6,'Compliance Database'!$D1049&amp;" "&amp;'Compliance Database'!$K1049&amp;" "&amp;'Compliance Database'!$L1049&amp;" "&amp;'Compliance Database'!$M1049&amp;" "&amp;'Compliance Database'!$N1049&amp;" "&amp;'Compliance Database'!$O1049)))),1,0)</f>
        <v>0</v>
      </c>
      <c r="B1049" t="str">
        <f>IF($A1049=1,SUM($A$2:$A1049),"")</f>
        <v/>
      </c>
      <c r="C1049">
        <f>IF($A1049=1,SUM($A$2:$A1049),0)</f>
        <v>0</v>
      </c>
    </row>
    <row r="1050" spans="1:3" x14ac:dyDescent="0.3">
      <c r="A1050">
        <f>IF(AND(OR('Compliance Database'!$A1050='Data Transfer'!$B$4,'Compliance Database'!$A1050='Data Transfer'!$B$5),OR('Data Transfer'!$B$6="",ISNUMBER(SEARCH('Data Transfer'!$B$6,'Compliance Database'!$D1050&amp;" "&amp;'Compliance Database'!$K1050&amp;" "&amp;'Compliance Database'!$L1050&amp;" "&amp;'Compliance Database'!$M1050&amp;" "&amp;'Compliance Database'!$N1050&amp;" "&amp;'Compliance Database'!$O1050)))),1,0)</f>
        <v>0</v>
      </c>
      <c r="B1050" t="str">
        <f>IF($A1050=1,SUM($A$2:$A1050),"")</f>
        <v/>
      </c>
      <c r="C1050">
        <f>IF($A1050=1,SUM($A$2:$A1050),0)</f>
        <v>0</v>
      </c>
    </row>
    <row r="1051" spans="1:3" x14ac:dyDescent="0.3">
      <c r="A1051">
        <f>IF(AND(OR('Compliance Database'!$A1051='Data Transfer'!$B$4,'Compliance Database'!$A1051='Data Transfer'!$B$5),OR('Data Transfer'!$B$6="",ISNUMBER(SEARCH('Data Transfer'!$B$6,'Compliance Database'!$D1051&amp;" "&amp;'Compliance Database'!$K1051&amp;" "&amp;'Compliance Database'!$L1051&amp;" "&amp;'Compliance Database'!$M1051&amp;" "&amp;'Compliance Database'!$N1051&amp;" "&amp;'Compliance Database'!$O1051)))),1,0)</f>
        <v>0</v>
      </c>
      <c r="B1051" t="str">
        <f>IF($A1051=1,SUM($A$2:$A1051),"")</f>
        <v/>
      </c>
      <c r="C1051">
        <f>IF($A1051=1,SUM($A$2:$A1051),0)</f>
        <v>0</v>
      </c>
    </row>
    <row r="1052" spans="1:3" x14ac:dyDescent="0.3">
      <c r="A1052">
        <f>IF(AND(OR('Compliance Database'!$A1052='Data Transfer'!$B$4,'Compliance Database'!$A1052='Data Transfer'!$B$5),OR('Data Transfer'!$B$6="",ISNUMBER(SEARCH('Data Transfer'!$B$6,'Compliance Database'!$D1052&amp;" "&amp;'Compliance Database'!$K1052&amp;" "&amp;'Compliance Database'!$L1052&amp;" "&amp;'Compliance Database'!$M1052&amp;" "&amp;'Compliance Database'!$N1052&amp;" "&amp;'Compliance Database'!$O1052)))),1,0)</f>
        <v>0</v>
      </c>
      <c r="B1052" t="str">
        <f>IF($A1052=1,SUM($A$2:$A1052),"")</f>
        <v/>
      </c>
      <c r="C1052">
        <f>IF($A1052=1,SUM($A$2:$A1052),0)</f>
        <v>0</v>
      </c>
    </row>
    <row r="1053" spans="1:3" x14ac:dyDescent="0.3">
      <c r="A1053">
        <f>IF(AND(OR('Compliance Database'!$A1053='Data Transfer'!$B$4,'Compliance Database'!$A1053='Data Transfer'!$B$5),OR('Data Transfer'!$B$6="",ISNUMBER(SEARCH('Data Transfer'!$B$6,'Compliance Database'!$D1053&amp;" "&amp;'Compliance Database'!$K1053&amp;" "&amp;'Compliance Database'!$L1053&amp;" "&amp;'Compliance Database'!$M1053&amp;" "&amp;'Compliance Database'!$N1053&amp;" "&amp;'Compliance Database'!$O1053)))),1,0)</f>
        <v>0</v>
      </c>
      <c r="B1053" t="str">
        <f>IF($A1053=1,SUM($A$2:$A1053),"")</f>
        <v/>
      </c>
      <c r="C1053">
        <f>IF($A1053=1,SUM($A$2:$A1053),0)</f>
        <v>0</v>
      </c>
    </row>
    <row r="1054" spans="1:3" x14ac:dyDescent="0.3">
      <c r="A1054">
        <f>IF(AND(OR('Compliance Database'!$A1054='Data Transfer'!$B$4,'Compliance Database'!$A1054='Data Transfer'!$B$5),OR('Data Transfer'!$B$6="",ISNUMBER(SEARCH('Data Transfer'!$B$6,'Compliance Database'!$D1054&amp;" "&amp;'Compliance Database'!$K1054&amp;" "&amp;'Compliance Database'!$L1054&amp;" "&amp;'Compliance Database'!$M1054&amp;" "&amp;'Compliance Database'!$N1054&amp;" "&amp;'Compliance Database'!$O1054)))),1,0)</f>
        <v>0</v>
      </c>
      <c r="B1054" t="str">
        <f>IF($A1054=1,SUM($A$2:$A1054),"")</f>
        <v/>
      </c>
      <c r="C1054">
        <f>IF($A1054=1,SUM($A$2:$A1054),0)</f>
        <v>0</v>
      </c>
    </row>
    <row r="1055" spans="1:3" x14ac:dyDescent="0.3">
      <c r="A1055">
        <f>IF(AND(OR('Compliance Database'!$A1055='Data Transfer'!$B$4,'Compliance Database'!$A1055='Data Transfer'!$B$5),OR('Data Transfer'!$B$6="",ISNUMBER(SEARCH('Data Transfer'!$B$6,'Compliance Database'!$D1055&amp;" "&amp;'Compliance Database'!$K1055&amp;" "&amp;'Compliance Database'!$L1055&amp;" "&amp;'Compliance Database'!$M1055&amp;" "&amp;'Compliance Database'!$N1055&amp;" "&amp;'Compliance Database'!$O1055)))),1,0)</f>
        <v>0</v>
      </c>
      <c r="B1055" t="str">
        <f>IF($A1055=1,SUM($A$2:$A1055),"")</f>
        <v/>
      </c>
      <c r="C1055">
        <f>IF($A1055=1,SUM($A$2:$A1055),0)</f>
        <v>0</v>
      </c>
    </row>
    <row r="1056" spans="1:3" x14ac:dyDescent="0.3">
      <c r="A1056">
        <f>IF(AND(OR('Compliance Database'!$A1056='Data Transfer'!$B$4,'Compliance Database'!$A1056='Data Transfer'!$B$5),OR('Data Transfer'!$B$6="",ISNUMBER(SEARCH('Data Transfer'!$B$6,'Compliance Database'!$D1056&amp;" "&amp;'Compliance Database'!$K1056&amp;" "&amp;'Compliance Database'!$L1056&amp;" "&amp;'Compliance Database'!$M1056&amp;" "&amp;'Compliance Database'!$N1056&amp;" "&amp;'Compliance Database'!$O1056)))),1,0)</f>
        <v>0</v>
      </c>
      <c r="B1056" t="str">
        <f>IF($A1056=1,SUM($A$2:$A1056),"")</f>
        <v/>
      </c>
      <c r="C1056">
        <f>IF($A1056=1,SUM($A$2:$A1056),0)</f>
        <v>0</v>
      </c>
    </row>
    <row r="1057" spans="1:3" x14ac:dyDescent="0.3">
      <c r="A1057">
        <f>IF(AND(OR('Compliance Database'!$A1057='Data Transfer'!$B$4,'Compliance Database'!$A1057='Data Transfer'!$B$5),OR('Data Transfer'!$B$6="",ISNUMBER(SEARCH('Data Transfer'!$B$6,'Compliance Database'!$D1057&amp;" "&amp;'Compliance Database'!$K1057&amp;" "&amp;'Compliance Database'!$L1057&amp;" "&amp;'Compliance Database'!$M1057&amp;" "&amp;'Compliance Database'!$N1057&amp;" "&amp;'Compliance Database'!$O1057)))),1,0)</f>
        <v>0</v>
      </c>
      <c r="B1057" t="str">
        <f>IF($A1057=1,SUM($A$2:$A1057),"")</f>
        <v/>
      </c>
      <c r="C1057">
        <f>IF($A1057=1,SUM($A$2:$A1057),0)</f>
        <v>0</v>
      </c>
    </row>
    <row r="1058" spans="1:3" x14ac:dyDescent="0.3">
      <c r="A1058">
        <f>IF(AND(OR('Compliance Database'!$A1058='Data Transfer'!$B$4,'Compliance Database'!$A1058='Data Transfer'!$B$5),OR('Data Transfer'!$B$6="",ISNUMBER(SEARCH('Data Transfer'!$B$6,'Compliance Database'!$D1058&amp;" "&amp;'Compliance Database'!$K1058&amp;" "&amp;'Compliance Database'!$L1058&amp;" "&amp;'Compliance Database'!$M1058&amp;" "&amp;'Compliance Database'!$N1058&amp;" "&amp;'Compliance Database'!$O1058)))),1,0)</f>
        <v>0</v>
      </c>
      <c r="B1058" t="str">
        <f>IF($A1058=1,SUM($A$2:$A1058),"")</f>
        <v/>
      </c>
      <c r="C1058">
        <f>IF($A1058=1,SUM($A$2:$A1058),0)</f>
        <v>0</v>
      </c>
    </row>
    <row r="1059" spans="1:3" x14ac:dyDescent="0.3">
      <c r="A1059">
        <f>IF(AND(OR('Compliance Database'!$A1059='Data Transfer'!$B$4,'Compliance Database'!$A1059='Data Transfer'!$B$5),OR('Data Transfer'!$B$6="",ISNUMBER(SEARCH('Data Transfer'!$B$6,'Compliance Database'!$D1059&amp;" "&amp;'Compliance Database'!$K1059&amp;" "&amp;'Compliance Database'!$L1059&amp;" "&amp;'Compliance Database'!$M1059&amp;" "&amp;'Compliance Database'!$N1059&amp;" "&amp;'Compliance Database'!$O1059)))),1,0)</f>
        <v>0</v>
      </c>
      <c r="B1059" t="str">
        <f>IF($A1059=1,SUM($A$2:$A1059),"")</f>
        <v/>
      </c>
      <c r="C1059">
        <f>IF($A1059=1,SUM($A$2:$A1059),0)</f>
        <v>0</v>
      </c>
    </row>
    <row r="1060" spans="1:3" x14ac:dyDescent="0.3">
      <c r="A1060">
        <f>IF(AND(OR('Compliance Database'!$A1060='Data Transfer'!$B$4,'Compliance Database'!$A1060='Data Transfer'!$B$5),OR('Data Transfer'!$B$6="",ISNUMBER(SEARCH('Data Transfer'!$B$6,'Compliance Database'!$D1060&amp;" "&amp;'Compliance Database'!$K1060&amp;" "&amp;'Compliance Database'!$L1060&amp;" "&amp;'Compliance Database'!$M1060&amp;" "&amp;'Compliance Database'!$N1060&amp;" "&amp;'Compliance Database'!$O1060)))),1,0)</f>
        <v>0</v>
      </c>
      <c r="B1060" t="str">
        <f>IF($A1060=1,SUM($A$2:$A1060),"")</f>
        <v/>
      </c>
      <c r="C1060">
        <f>IF($A1060=1,SUM($A$2:$A1060),0)</f>
        <v>0</v>
      </c>
    </row>
    <row r="1061" spans="1:3" x14ac:dyDescent="0.3">
      <c r="A1061">
        <f>IF(AND(OR('Compliance Database'!$A1061='Data Transfer'!$B$4,'Compliance Database'!$A1061='Data Transfer'!$B$5),OR('Data Transfer'!$B$6="",ISNUMBER(SEARCH('Data Transfer'!$B$6,'Compliance Database'!$D1061&amp;" "&amp;'Compliance Database'!$K1061&amp;" "&amp;'Compliance Database'!$L1061&amp;" "&amp;'Compliance Database'!$M1061&amp;" "&amp;'Compliance Database'!$N1061&amp;" "&amp;'Compliance Database'!$O1061)))),1,0)</f>
        <v>0</v>
      </c>
      <c r="B1061" t="str">
        <f>IF($A1061=1,SUM($A$2:$A1061),"")</f>
        <v/>
      </c>
      <c r="C1061">
        <f>IF($A1061=1,SUM($A$2:$A1061),0)</f>
        <v>0</v>
      </c>
    </row>
    <row r="1062" spans="1:3" x14ac:dyDescent="0.3">
      <c r="A1062">
        <f>IF(AND(OR('Compliance Database'!$A1062='Data Transfer'!$B$4,'Compliance Database'!$A1062='Data Transfer'!$B$5),OR('Data Transfer'!$B$6="",ISNUMBER(SEARCH('Data Transfer'!$B$6,'Compliance Database'!$D1062&amp;" "&amp;'Compliance Database'!$K1062&amp;" "&amp;'Compliance Database'!$L1062&amp;" "&amp;'Compliance Database'!$M1062&amp;" "&amp;'Compliance Database'!$N1062&amp;" "&amp;'Compliance Database'!$O1062)))),1,0)</f>
        <v>0</v>
      </c>
      <c r="B1062" t="str">
        <f>IF($A1062=1,SUM($A$2:$A1062),"")</f>
        <v/>
      </c>
      <c r="C1062">
        <f>IF($A1062=1,SUM($A$2:$A1062),0)</f>
        <v>0</v>
      </c>
    </row>
    <row r="1063" spans="1:3" x14ac:dyDescent="0.3">
      <c r="A1063">
        <f>IF(AND(OR('Compliance Database'!$A1063='Data Transfer'!$B$4,'Compliance Database'!$A1063='Data Transfer'!$B$5),OR('Data Transfer'!$B$6="",ISNUMBER(SEARCH('Data Transfer'!$B$6,'Compliance Database'!$D1063&amp;" "&amp;'Compliance Database'!$K1063&amp;" "&amp;'Compliance Database'!$L1063&amp;" "&amp;'Compliance Database'!$M1063&amp;" "&amp;'Compliance Database'!$N1063&amp;" "&amp;'Compliance Database'!$O1063)))),1,0)</f>
        <v>0</v>
      </c>
      <c r="B1063" t="str">
        <f>IF($A1063=1,SUM($A$2:$A1063),"")</f>
        <v/>
      </c>
      <c r="C1063">
        <f>IF($A1063=1,SUM($A$2:$A1063),0)</f>
        <v>0</v>
      </c>
    </row>
    <row r="1064" spans="1:3" x14ac:dyDescent="0.3">
      <c r="A1064">
        <f>IF(AND(OR('Compliance Database'!$A1064='Data Transfer'!$B$4,'Compliance Database'!$A1064='Data Transfer'!$B$5),OR('Data Transfer'!$B$6="",ISNUMBER(SEARCH('Data Transfer'!$B$6,'Compliance Database'!$D1064&amp;" "&amp;'Compliance Database'!$K1064&amp;" "&amp;'Compliance Database'!$L1064&amp;" "&amp;'Compliance Database'!$M1064&amp;" "&amp;'Compliance Database'!$N1064&amp;" "&amp;'Compliance Database'!$O1064)))),1,0)</f>
        <v>0</v>
      </c>
      <c r="B1064" t="str">
        <f>IF($A1064=1,SUM($A$2:$A1064),"")</f>
        <v/>
      </c>
      <c r="C1064">
        <f>IF($A1064=1,SUM($A$2:$A1064),0)</f>
        <v>0</v>
      </c>
    </row>
    <row r="1065" spans="1:3" x14ac:dyDescent="0.3">
      <c r="A1065">
        <f>IF(AND(OR('Compliance Database'!$A1065='Data Transfer'!$B$4,'Compliance Database'!$A1065='Data Transfer'!$B$5),OR('Data Transfer'!$B$6="",ISNUMBER(SEARCH('Data Transfer'!$B$6,'Compliance Database'!$D1065&amp;" "&amp;'Compliance Database'!$K1065&amp;" "&amp;'Compliance Database'!$L1065&amp;" "&amp;'Compliance Database'!$M1065&amp;" "&amp;'Compliance Database'!$N1065&amp;" "&amp;'Compliance Database'!$O1065)))),1,0)</f>
        <v>0</v>
      </c>
      <c r="B1065" t="str">
        <f>IF($A1065=1,SUM($A$2:$A1065),"")</f>
        <v/>
      </c>
      <c r="C1065">
        <f>IF($A1065=1,SUM($A$2:$A1065),0)</f>
        <v>0</v>
      </c>
    </row>
    <row r="1066" spans="1:3" x14ac:dyDescent="0.3">
      <c r="A1066">
        <f>IF(AND(OR('Compliance Database'!$A1066='Data Transfer'!$B$4,'Compliance Database'!$A1066='Data Transfer'!$B$5),OR('Data Transfer'!$B$6="",ISNUMBER(SEARCH('Data Transfer'!$B$6,'Compliance Database'!$D1066&amp;" "&amp;'Compliance Database'!$K1066&amp;" "&amp;'Compliance Database'!$L1066&amp;" "&amp;'Compliance Database'!$M1066&amp;" "&amp;'Compliance Database'!$N1066&amp;" "&amp;'Compliance Database'!$O1066)))),1,0)</f>
        <v>0</v>
      </c>
      <c r="B1066" t="str">
        <f>IF($A1066=1,SUM($A$2:$A1066),"")</f>
        <v/>
      </c>
      <c r="C1066">
        <f>IF($A1066=1,SUM($A$2:$A1066),0)</f>
        <v>0</v>
      </c>
    </row>
    <row r="1067" spans="1:3" x14ac:dyDescent="0.3">
      <c r="A1067">
        <f>IF(AND(OR('Compliance Database'!$A1067='Data Transfer'!$B$4,'Compliance Database'!$A1067='Data Transfer'!$B$5),OR('Data Transfer'!$B$6="",ISNUMBER(SEARCH('Data Transfer'!$B$6,'Compliance Database'!$D1067&amp;" "&amp;'Compliance Database'!$K1067&amp;" "&amp;'Compliance Database'!$L1067&amp;" "&amp;'Compliance Database'!$M1067&amp;" "&amp;'Compliance Database'!$N1067&amp;" "&amp;'Compliance Database'!$O1067)))),1,0)</f>
        <v>0</v>
      </c>
      <c r="B1067" t="str">
        <f>IF($A1067=1,SUM($A$2:$A1067),"")</f>
        <v/>
      </c>
      <c r="C1067">
        <f>IF($A1067=1,SUM($A$2:$A1067),0)</f>
        <v>0</v>
      </c>
    </row>
    <row r="1068" spans="1:3" x14ac:dyDescent="0.3">
      <c r="A1068">
        <f>IF(AND(OR('Compliance Database'!$A1068='Data Transfer'!$B$4,'Compliance Database'!$A1068='Data Transfer'!$B$5),OR('Data Transfer'!$B$6="",ISNUMBER(SEARCH('Data Transfer'!$B$6,'Compliance Database'!$D1068&amp;" "&amp;'Compliance Database'!$K1068&amp;" "&amp;'Compliance Database'!$L1068&amp;" "&amp;'Compliance Database'!$M1068&amp;" "&amp;'Compliance Database'!$N1068&amp;" "&amp;'Compliance Database'!$O1068)))),1,0)</f>
        <v>0</v>
      </c>
      <c r="B1068" t="str">
        <f>IF($A1068=1,SUM($A$2:$A1068),"")</f>
        <v/>
      </c>
      <c r="C1068">
        <f>IF($A1068=1,SUM($A$2:$A1068),0)</f>
        <v>0</v>
      </c>
    </row>
    <row r="1069" spans="1:3" x14ac:dyDescent="0.3">
      <c r="A1069">
        <f>IF(AND(OR('Compliance Database'!$A1069='Data Transfer'!$B$4,'Compliance Database'!$A1069='Data Transfer'!$B$5),OR('Data Transfer'!$B$6="",ISNUMBER(SEARCH('Data Transfer'!$B$6,'Compliance Database'!$D1069&amp;" "&amp;'Compliance Database'!$K1069&amp;" "&amp;'Compliance Database'!$L1069&amp;" "&amp;'Compliance Database'!$M1069&amp;" "&amp;'Compliance Database'!$N1069&amp;" "&amp;'Compliance Database'!$O1069)))),1,0)</f>
        <v>0</v>
      </c>
      <c r="B1069" t="str">
        <f>IF($A1069=1,SUM($A$2:$A1069),"")</f>
        <v/>
      </c>
      <c r="C1069">
        <f>IF($A1069=1,SUM($A$2:$A1069),0)</f>
        <v>0</v>
      </c>
    </row>
    <row r="1070" spans="1:3" x14ac:dyDescent="0.3">
      <c r="A1070">
        <f>IF(AND(OR('Compliance Database'!$A1070='Data Transfer'!$B$4,'Compliance Database'!$A1070='Data Transfer'!$B$5),OR('Data Transfer'!$B$6="",ISNUMBER(SEARCH('Data Transfer'!$B$6,'Compliance Database'!$D1070&amp;" "&amp;'Compliance Database'!$K1070&amp;" "&amp;'Compliance Database'!$L1070&amp;" "&amp;'Compliance Database'!$M1070&amp;" "&amp;'Compliance Database'!$N1070&amp;" "&amp;'Compliance Database'!$O1070)))),1,0)</f>
        <v>0</v>
      </c>
      <c r="B1070" t="str">
        <f>IF($A1070=1,SUM($A$2:$A1070),"")</f>
        <v/>
      </c>
      <c r="C1070">
        <f>IF($A1070=1,SUM($A$2:$A1070),0)</f>
        <v>0</v>
      </c>
    </row>
    <row r="1071" spans="1:3" x14ac:dyDescent="0.3">
      <c r="A1071">
        <f>IF(AND(OR('Compliance Database'!$A1071='Data Transfer'!$B$4,'Compliance Database'!$A1071='Data Transfer'!$B$5),OR('Data Transfer'!$B$6="",ISNUMBER(SEARCH('Data Transfer'!$B$6,'Compliance Database'!$D1071&amp;" "&amp;'Compliance Database'!$K1071&amp;" "&amp;'Compliance Database'!$L1071&amp;" "&amp;'Compliance Database'!$M1071&amp;" "&amp;'Compliance Database'!$N1071&amp;" "&amp;'Compliance Database'!$O1071)))),1,0)</f>
        <v>0</v>
      </c>
      <c r="B1071" t="str">
        <f>IF($A1071=1,SUM($A$2:$A1071),"")</f>
        <v/>
      </c>
      <c r="C1071">
        <f>IF($A1071=1,SUM($A$2:$A1071),0)</f>
        <v>0</v>
      </c>
    </row>
    <row r="1072" spans="1:3" x14ac:dyDescent="0.3">
      <c r="A1072">
        <f>IF(AND(OR('Compliance Database'!$A1072='Data Transfer'!$B$4,'Compliance Database'!$A1072='Data Transfer'!$B$5),OR('Data Transfer'!$B$6="",ISNUMBER(SEARCH('Data Transfer'!$B$6,'Compliance Database'!$D1072&amp;" "&amp;'Compliance Database'!$K1072&amp;" "&amp;'Compliance Database'!$L1072&amp;" "&amp;'Compliance Database'!$M1072&amp;" "&amp;'Compliance Database'!$N1072&amp;" "&amp;'Compliance Database'!$O1072)))),1,0)</f>
        <v>0</v>
      </c>
      <c r="B1072" t="str">
        <f>IF($A1072=1,SUM($A$2:$A1072),"")</f>
        <v/>
      </c>
      <c r="C1072">
        <f>IF($A1072=1,SUM($A$2:$A1072),0)</f>
        <v>0</v>
      </c>
    </row>
    <row r="1073" spans="1:3" x14ac:dyDescent="0.3">
      <c r="A1073">
        <f>IF(AND(OR('Compliance Database'!$A1073='Data Transfer'!$B$4,'Compliance Database'!$A1073='Data Transfer'!$B$5),OR('Data Transfer'!$B$6="",ISNUMBER(SEARCH('Data Transfer'!$B$6,'Compliance Database'!$D1073&amp;" "&amp;'Compliance Database'!$K1073&amp;" "&amp;'Compliance Database'!$L1073&amp;" "&amp;'Compliance Database'!$M1073&amp;" "&amp;'Compliance Database'!$N1073&amp;" "&amp;'Compliance Database'!$O1073)))),1,0)</f>
        <v>0</v>
      </c>
      <c r="B1073" t="str">
        <f>IF($A1073=1,SUM($A$2:$A1073),"")</f>
        <v/>
      </c>
      <c r="C1073">
        <f>IF($A1073=1,SUM($A$2:$A1073),0)</f>
        <v>0</v>
      </c>
    </row>
    <row r="1074" spans="1:3" x14ac:dyDescent="0.3">
      <c r="A1074">
        <f>IF(AND(OR('Compliance Database'!$A1074='Data Transfer'!$B$4,'Compliance Database'!$A1074='Data Transfer'!$B$5),OR('Data Transfer'!$B$6="",ISNUMBER(SEARCH('Data Transfer'!$B$6,'Compliance Database'!$D1074&amp;" "&amp;'Compliance Database'!$K1074&amp;" "&amp;'Compliance Database'!$L1074&amp;" "&amp;'Compliance Database'!$M1074&amp;" "&amp;'Compliance Database'!$N1074&amp;" "&amp;'Compliance Database'!$O1074)))),1,0)</f>
        <v>0</v>
      </c>
      <c r="B1074" t="str">
        <f>IF($A1074=1,SUM($A$2:$A1074),"")</f>
        <v/>
      </c>
      <c r="C1074">
        <f>IF($A1074=1,SUM($A$2:$A1074),0)</f>
        <v>0</v>
      </c>
    </row>
    <row r="1075" spans="1:3" x14ac:dyDescent="0.3">
      <c r="A1075">
        <f>IF(AND(OR('Compliance Database'!$A1075='Data Transfer'!$B$4,'Compliance Database'!$A1075='Data Transfer'!$B$5),OR('Data Transfer'!$B$6="",ISNUMBER(SEARCH('Data Transfer'!$B$6,'Compliance Database'!$D1075&amp;" "&amp;'Compliance Database'!$K1075&amp;" "&amp;'Compliance Database'!$L1075&amp;" "&amp;'Compliance Database'!$M1075&amp;" "&amp;'Compliance Database'!$N1075&amp;" "&amp;'Compliance Database'!$O1075)))),1,0)</f>
        <v>0</v>
      </c>
      <c r="B1075" t="str">
        <f>IF($A1075=1,SUM($A$2:$A1075),"")</f>
        <v/>
      </c>
      <c r="C1075">
        <f>IF($A1075=1,SUM($A$2:$A1075),0)</f>
        <v>0</v>
      </c>
    </row>
    <row r="1076" spans="1:3" x14ac:dyDescent="0.3">
      <c r="A1076">
        <f>IF(AND(OR('Compliance Database'!$A1076='Data Transfer'!$B$4,'Compliance Database'!$A1076='Data Transfer'!$B$5),OR('Data Transfer'!$B$6="",ISNUMBER(SEARCH('Data Transfer'!$B$6,'Compliance Database'!$D1076&amp;" "&amp;'Compliance Database'!$K1076&amp;" "&amp;'Compliance Database'!$L1076&amp;" "&amp;'Compliance Database'!$M1076&amp;" "&amp;'Compliance Database'!$N1076&amp;" "&amp;'Compliance Database'!$O1076)))),1,0)</f>
        <v>0</v>
      </c>
      <c r="B1076" t="str">
        <f>IF($A1076=1,SUM($A$2:$A1076),"")</f>
        <v/>
      </c>
      <c r="C1076">
        <f>IF($A1076=1,SUM($A$2:$A1076),0)</f>
        <v>0</v>
      </c>
    </row>
    <row r="1077" spans="1:3" x14ac:dyDescent="0.3">
      <c r="A1077">
        <f>IF(AND(OR('Compliance Database'!$A1077='Data Transfer'!$B$4,'Compliance Database'!$A1077='Data Transfer'!$B$5),OR('Data Transfer'!$B$6="",ISNUMBER(SEARCH('Data Transfer'!$B$6,'Compliance Database'!$D1077&amp;" "&amp;'Compliance Database'!$K1077&amp;" "&amp;'Compliance Database'!$L1077&amp;" "&amp;'Compliance Database'!$M1077&amp;" "&amp;'Compliance Database'!$N1077&amp;" "&amp;'Compliance Database'!$O1077)))),1,0)</f>
        <v>0</v>
      </c>
      <c r="B1077" t="str">
        <f>IF($A1077=1,SUM($A$2:$A1077),"")</f>
        <v/>
      </c>
      <c r="C1077">
        <f>IF($A1077=1,SUM($A$2:$A1077),0)</f>
        <v>0</v>
      </c>
    </row>
    <row r="1078" spans="1:3" x14ac:dyDescent="0.3">
      <c r="A1078">
        <f>IF(AND(OR('Compliance Database'!$A1078='Data Transfer'!$B$4,'Compliance Database'!$A1078='Data Transfer'!$B$5),OR('Data Transfer'!$B$6="",ISNUMBER(SEARCH('Data Transfer'!$B$6,'Compliance Database'!$D1078&amp;" "&amp;'Compliance Database'!$K1078&amp;" "&amp;'Compliance Database'!$L1078&amp;" "&amp;'Compliance Database'!$M1078&amp;" "&amp;'Compliance Database'!$N1078&amp;" "&amp;'Compliance Database'!$O1078)))),1,0)</f>
        <v>0</v>
      </c>
      <c r="B1078" t="str">
        <f>IF($A1078=1,SUM($A$2:$A1078),"")</f>
        <v/>
      </c>
      <c r="C1078">
        <f>IF($A1078=1,SUM($A$2:$A1078),0)</f>
        <v>0</v>
      </c>
    </row>
    <row r="1079" spans="1:3" x14ac:dyDescent="0.3">
      <c r="A1079">
        <f>IF(AND(OR('Compliance Database'!$A1079='Data Transfer'!$B$4,'Compliance Database'!$A1079='Data Transfer'!$B$5),OR('Data Transfer'!$B$6="",ISNUMBER(SEARCH('Data Transfer'!$B$6,'Compliance Database'!$D1079&amp;" "&amp;'Compliance Database'!$K1079&amp;" "&amp;'Compliance Database'!$L1079&amp;" "&amp;'Compliance Database'!$M1079&amp;" "&amp;'Compliance Database'!$N1079&amp;" "&amp;'Compliance Database'!$O1079)))),1,0)</f>
        <v>0</v>
      </c>
      <c r="B1079" t="str">
        <f>IF($A1079=1,SUM($A$2:$A1079),"")</f>
        <v/>
      </c>
      <c r="C1079">
        <f>IF($A1079=1,SUM($A$2:$A1079),0)</f>
        <v>0</v>
      </c>
    </row>
    <row r="1080" spans="1:3" x14ac:dyDescent="0.3">
      <c r="A1080">
        <f>IF(AND(OR('Compliance Database'!$A1080='Data Transfer'!$B$4,'Compliance Database'!$A1080='Data Transfer'!$B$5),OR('Data Transfer'!$B$6="",ISNUMBER(SEARCH('Data Transfer'!$B$6,'Compliance Database'!$D1080&amp;" "&amp;'Compliance Database'!$K1080&amp;" "&amp;'Compliance Database'!$L1080&amp;" "&amp;'Compliance Database'!$M1080&amp;" "&amp;'Compliance Database'!$N1080&amp;" "&amp;'Compliance Database'!$O1080)))),1,0)</f>
        <v>0</v>
      </c>
      <c r="B1080" t="str">
        <f>IF($A1080=1,SUM($A$2:$A1080),"")</f>
        <v/>
      </c>
      <c r="C1080">
        <f>IF($A1080=1,SUM($A$2:$A1080),0)</f>
        <v>0</v>
      </c>
    </row>
    <row r="1081" spans="1:3" x14ac:dyDescent="0.3">
      <c r="A1081">
        <f>IF(AND(OR('Compliance Database'!$A1081='Data Transfer'!$B$4,'Compliance Database'!$A1081='Data Transfer'!$B$5),OR('Data Transfer'!$B$6="",ISNUMBER(SEARCH('Data Transfer'!$B$6,'Compliance Database'!$D1081&amp;" "&amp;'Compliance Database'!$K1081&amp;" "&amp;'Compliance Database'!$L1081&amp;" "&amp;'Compliance Database'!$M1081&amp;" "&amp;'Compliance Database'!$N1081&amp;" "&amp;'Compliance Database'!$O1081)))),1,0)</f>
        <v>0</v>
      </c>
      <c r="B1081" t="str">
        <f>IF($A1081=1,SUM($A$2:$A1081),"")</f>
        <v/>
      </c>
      <c r="C1081">
        <f>IF($A1081=1,SUM($A$2:$A1081),0)</f>
        <v>0</v>
      </c>
    </row>
    <row r="1082" spans="1:3" x14ac:dyDescent="0.3">
      <c r="A1082">
        <f>IF(AND(OR('Compliance Database'!$A1082='Data Transfer'!$B$4,'Compliance Database'!$A1082='Data Transfer'!$B$5),OR('Data Transfer'!$B$6="",ISNUMBER(SEARCH('Data Transfer'!$B$6,'Compliance Database'!$D1082&amp;" "&amp;'Compliance Database'!$K1082&amp;" "&amp;'Compliance Database'!$L1082&amp;" "&amp;'Compliance Database'!$M1082&amp;" "&amp;'Compliance Database'!$N1082&amp;" "&amp;'Compliance Database'!$O1082)))),1,0)</f>
        <v>0</v>
      </c>
      <c r="B1082" t="str">
        <f>IF($A1082=1,SUM($A$2:$A1082),"")</f>
        <v/>
      </c>
      <c r="C1082">
        <f>IF($A1082=1,SUM($A$2:$A1082),0)</f>
        <v>0</v>
      </c>
    </row>
    <row r="1083" spans="1:3" x14ac:dyDescent="0.3">
      <c r="A1083">
        <f>IF(AND(OR('Compliance Database'!$A1083='Data Transfer'!$B$4,'Compliance Database'!$A1083='Data Transfer'!$B$5),OR('Data Transfer'!$B$6="",ISNUMBER(SEARCH('Data Transfer'!$B$6,'Compliance Database'!$D1083&amp;" "&amp;'Compliance Database'!$K1083&amp;" "&amp;'Compliance Database'!$L1083&amp;" "&amp;'Compliance Database'!$M1083&amp;" "&amp;'Compliance Database'!$N1083&amp;" "&amp;'Compliance Database'!$O1083)))),1,0)</f>
        <v>0</v>
      </c>
      <c r="B1083" t="str">
        <f>IF($A1083=1,SUM($A$2:$A1083),"")</f>
        <v/>
      </c>
      <c r="C1083">
        <f>IF($A1083=1,SUM($A$2:$A1083),0)</f>
        <v>0</v>
      </c>
    </row>
    <row r="1084" spans="1:3" x14ac:dyDescent="0.3">
      <c r="A1084">
        <f>IF(AND(OR('Compliance Database'!$A1084='Data Transfer'!$B$4,'Compliance Database'!$A1084='Data Transfer'!$B$5),OR('Data Transfer'!$B$6="",ISNUMBER(SEARCH('Data Transfer'!$B$6,'Compliance Database'!$D1084&amp;" "&amp;'Compliance Database'!$K1084&amp;" "&amp;'Compliance Database'!$L1084&amp;" "&amp;'Compliance Database'!$M1084&amp;" "&amp;'Compliance Database'!$N1084&amp;" "&amp;'Compliance Database'!$O1084)))),1,0)</f>
        <v>0</v>
      </c>
      <c r="B1084" t="str">
        <f>IF($A1084=1,SUM($A$2:$A1084),"")</f>
        <v/>
      </c>
      <c r="C1084">
        <f>IF($A1084=1,SUM($A$2:$A1084),0)</f>
        <v>0</v>
      </c>
    </row>
    <row r="1085" spans="1:3" x14ac:dyDescent="0.3">
      <c r="A1085">
        <f>IF(AND(OR('Compliance Database'!$A1085='Data Transfer'!$B$4,'Compliance Database'!$A1085='Data Transfer'!$B$5),OR('Data Transfer'!$B$6="",ISNUMBER(SEARCH('Data Transfer'!$B$6,'Compliance Database'!$D1085&amp;" "&amp;'Compliance Database'!$K1085&amp;" "&amp;'Compliance Database'!$L1085&amp;" "&amp;'Compliance Database'!$M1085&amp;" "&amp;'Compliance Database'!$N1085&amp;" "&amp;'Compliance Database'!$O1085)))),1,0)</f>
        <v>0</v>
      </c>
      <c r="B1085" t="str">
        <f>IF($A1085=1,SUM($A$2:$A1085),"")</f>
        <v/>
      </c>
      <c r="C1085">
        <f>IF($A1085=1,SUM($A$2:$A1085),0)</f>
        <v>0</v>
      </c>
    </row>
    <row r="1086" spans="1:3" x14ac:dyDescent="0.3">
      <c r="A1086">
        <f>IF(AND(OR('Compliance Database'!$A1086='Data Transfer'!$B$4,'Compliance Database'!$A1086='Data Transfer'!$B$5),OR('Data Transfer'!$B$6="",ISNUMBER(SEARCH('Data Transfer'!$B$6,'Compliance Database'!$D1086&amp;" "&amp;'Compliance Database'!$K1086&amp;" "&amp;'Compliance Database'!$L1086&amp;" "&amp;'Compliance Database'!$M1086&amp;" "&amp;'Compliance Database'!$N1086&amp;" "&amp;'Compliance Database'!$O1086)))),1,0)</f>
        <v>0</v>
      </c>
      <c r="B1086" t="str">
        <f>IF($A1086=1,SUM($A$2:$A1086),"")</f>
        <v/>
      </c>
      <c r="C1086">
        <f>IF($A1086=1,SUM($A$2:$A1086),0)</f>
        <v>0</v>
      </c>
    </row>
    <row r="1087" spans="1:3" x14ac:dyDescent="0.3">
      <c r="A1087">
        <f>IF(AND(OR('Compliance Database'!$A1087='Data Transfer'!$B$4,'Compliance Database'!$A1087='Data Transfer'!$B$5),OR('Data Transfer'!$B$6="",ISNUMBER(SEARCH('Data Transfer'!$B$6,'Compliance Database'!$D1087&amp;" "&amp;'Compliance Database'!$K1087&amp;" "&amp;'Compliance Database'!$L1087&amp;" "&amp;'Compliance Database'!$M1087&amp;" "&amp;'Compliance Database'!$N1087&amp;" "&amp;'Compliance Database'!$O1087)))),1,0)</f>
        <v>0</v>
      </c>
      <c r="B1087" t="str">
        <f>IF($A1087=1,SUM($A$2:$A1087),"")</f>
        <v/>
      </c>
      <c r="C1087">
        <f>IF($A1087=1,SUM($A$2:$A1087),0)</f>
        <v>0</v>
      </c>
    </row>
    <row r="1088" spans="1:3" x14ac:dyDescent="0.3">
      <c r="A1088">
        <f>IF(AND(OR('Compliance Database'!$A1088='Data Transfer'!$B$4,'Compliance Database'!$A1088='Data Transfer'!$B$5),OR('Data Transfer'!$B$6="",ISNUMBER(SEARCH('Data Transfer'!$B$6,'Compliance Database'!$D1088&amp;" "&amp;'Compliance Database'!$K1088&amp;" "&amp;'Compliance Database'!$L1088&amp;" "&amp;'Compliance Database'!$M1088&amp;" "&amp;'Compliance Database'!$N1088&amp;" "&amp;'Compliance Database'!$O1088)))),1,0)</f>
        <v>0</v>
      </c>
      <c r="B1088" t="str">
        <f>IF($A1088=1,SUM($A$2:$A1088),"")</f>
        <v/>
      </c>
      <c r="C1088">
        <f>IF($A1088=1,SUM($A$2:$A1088),0)</f>
        <v>0</v>
      </c>
    </row>
    <row r="1089" spans="1:3" x14ac:dyDescent="0.3">
      <c r="A1089">
        <f>IF(AND(OR('Compliance Database'!$A1089='Data Transfer'!$B$4,'Compliance Database'!$A1089='Data Transfer'!$B$5),OR('Data Transfer'!$B$6="",ISNUMBER(SEARCH('Data Transfer'!$B$6,'Compliance Database'!$D1089&amp;" "&amp;'Compliance Database'!$K1089&amp;" "&amp;'Compliance Database'!$L1089&amp;" "&amp;'Compliance Database'!$M1089&amp;" "&amp;'Compliance Database'!$N1089&amp;" "&amp;'Compliance Database'!$O1089)))),1,0)</f>
        <v>0</v>
      </c>
      <c r="B1089" t="str">
        <f>IF($A1089=1,SUM($A$2:$A1089),"")</f>
        <v/>
      </c>
      <c r="C1089">
        <f>IF($A1089=1,SUM($A$2:$A1089),0)</f>
        <v>0</v>
      </c>
    </row>
    <row r="1090" spans="1:3" x14ac:dyDescent="0.3">
      <c r="A1090">
        <f>IF(AND(OR('Compliance Database'!$A1090='Data Transfer'!$B$4,'Compliance Database'!$A1090='Data Transfer'!$B$5),OR('Data Transfer'!$B$6="",ISNUMBER(SEARCH('Data Transfer'!$B$6,'Compliance Database'!$D1090&amp;" "&amp;'Compliance Database'!$K1090&amp;" "&amp;'Compliance Database'!$L1090&amp;" "&amp;'Compliance Database'!$M1090&amp;" "&amp;'Compliance Database'!$N1090&amp;" "&amp;'Compliance Database'!$O1090)))),1,0)</f>
        <v>0</v>
      </c>
      <c r="B1090" t="str">
        <f>IF($A1090=1,SUM($A$2:$A1090),"")</f>
        <v/>
      </c>
      <c r="C1090">
        <f>IF($A1090=1,SUM($A$2:$A1090),0)</f>
        <v>0</v>
      </c>
    </row>
    <row r="1091" spans="1:3" x14ac:dyDescent="0.3">
      <c r="A1091">
        <f>IF(AND(OR('Compliance Database'!$A1091='Data Transfer'!$B$4,'Compliance Database'!$A1091='Data Transfer'!$B$5),OR('Data Transfer'!$B$6="",ISNUMBER(SEARCH('Data Transfer'!$B$6,'Compliance Database'!$D1091&amp;" "&amp;'Compliance Database'!$K1091&amp;" "&amp;'Compliance Database'!$L1091&amp;" "&amp;'Compliance Database'!$M1091&amp;" "&amp;'Compliance Database'!$N1091&amp;" "&amp;'Compliance Database'!$O1091)))),1,0)</f>
        <v>0</v>
      </c>
      <c r="B1091" t="str">
        <f>IF($A1091=1,SUM($A$2:$A1091),"")</f>
        <v/>
      </c>
      <c r="C1091">
        <f>IF($A1091=1,SUM($A$2:$A1091),0)</f>
        <v>0</v>
      </c>
    </row>
    <row r="1092" spans="1:3" x14ac:dyDescent="0.3">
      <c r="A1092">
        <f>IF(AND(OR('Compliance Database'!$A1092='Data Transfer'!$B$4,'Compliance Database'!$A1092='Data Transfer'!$B$5),OR('Data Transfer'!$B$6="",ISNUMBER(SEARCH('Data Transfer'!$B$6,'Compliance Database'!$D1092&amp;" "&amp;'Compliance Database'!$K1092&amp;" "&amp;'Compliance Database'!$L1092&amp;" "&amp;'Compliance Database'!$M1092&amp;" "&amp;'Compliance Database'!$N1092&amp;" "&amp;'Compliance Database'!$O1092)))),1,0)</f>
        <v>0</v>
      </c>
      <c r="B1092" t="str">
        <f>IF($A1092=1,SUM($A$2:$A1092),"")</f>
        <v/>
      </c>
      <c r="C1092">
        <f>IF($A1092=1,SUM($A$2:$A1092),0)</f>
        <v>0</v>
      </c>
    </row>
    <row r="1093" spans="1:3" x14ac:dyDescent="0.3">
      <c r="A1093">
        <f>IF(AND(OR('Compliance Database'!$A1093='Data Transfer'!$B$4,'Compliance Database'!$A1093='Data Transfer'!$B$5),OR('Data Transfer'!$B$6="",ISNUMBER(SEARCH('Data Transfer'!$B$6,'Compliance Database'!$D1093&amp;" "&amp;'Compliance Database'!$K1093&amp;" "&amp;'Compliance Database'!$L1093&amp;" "&amp;'Compliance Database'!$M1093&amp;" "&amp;'Compliance Database'!$N1093&amp;" "&amp;'Compliance Database'!$O1093)))),1,0)</f>
        <v>0</v>
      </c>
      <c r="B1093" t="str">
        <f>IF($A1093=1,SUM($A$2:$A1093),"")</f>
        <v/>
      </c>
      <c r="C1093">
        <f>IF($A1093=1,SUM($A$2:$A1093),0)</f>
        <v>0</v>
      </c>
    </row>
    <row r="1094" spans="1:3" x14ac:dyDescent="0.3">
      <c r="A1094">
        <f>IF(AND(OR('Compliance Database'!$A1094='Data Transfer'!$B$4,'Compliance Database'!$A1094='Data Transfer'!$B$5),OR('Data Transfer'!$B$6="",ISNUMBER(SEARCH('Data Transfer'!$B$6,'Compliance Database'!$D1094&amp;" "&amp;'Compliance Database'!$K1094&amp;" "&amp;'Compliance Database'!$L1094&amp;" "&amp;'Compliance Database'!$M1094&amp;" "&amp;'Compliance Database'!$N1094&amp;" "&amp;'Compliance Database'!$O1094)))),1,0)</f>
        <v>0</v>
      </c>
      <c r="B1094" t="str">
        <f>IF($A1094=1,SUM($A$2:$A1094),"")</f>
        <v/>
      </c>
      <c r="C1094">
        <f>IF($A1094=1,SUM($A$2:$A1094),0)</f>
        <v>0</v>
      </c>
    </row>
    <row r="1095" spans="1:3" x14ac:dyDescent="0.3">
      <c r="A1095">
        <f>IF(AND(OR('Compliance Database'!$A1095='Data Transfer'!$B$4,'Compliance Database'!$A1095='Data Transfer'!$B$5),OR('Data Transfer'!$B$6="",ISNUMBER(SEARCH('Data Transfer'!$B$6,'Compliance Database'!$D1095&amp;" "&amp;'Compliance Database'!$K1095&amp;" "&amp;'Compliance Database'!$L1095&amp;" "&amp;'Compliance Database'!$M1095&amp;" "&amp;'Compliance Database'!$N1095&amp;" "&amp;'Compliance Database'!$O1095)))),1,0)</f>
        <v>0</v>
      </c>
      <c r="B1095" t="str">
        <f>IF($A1095=1,SUM($A$2:$A1095),"")</f>
        <v/>
      </c>
      <c r="C1095">
        <f>IF($A1095=1,SUM($A$2:$A1095),0)</f>
        <v>0</v>
      </c>
    </row>
    <row r="1096" spans="1:3" x14ac:dyDescent="0.3">
      <c r="A1096">
        <f>IF(AND(OR('Compliance Database'!$A1096='Data Transfer'!$B$4,'Compliance Database'!$A1096='Data Transfer'!$B$5),OR('Data Transfer'!$B$6="",ISNUMBER(SEARCH('Data Transfer'!$B$6,'Compliance Database'!$D1096&amp;" "&amp;'Compliance Database'!$K1096&amp;" "&amp;'Compliance Database'!$L1096&amp;" "&amp;'Compliance Database'!$M1096&amp;" "&amp;'Compliance Database'!$N1096&amp;" "&amp;'Compliance Database'!$O1096)))),1,0)</f>
        <v>0</v>
      </c>
      <c r="B1096" t="str">
        <f>IF($A1096=1,SUM($A$2:$A1096),"")</f>
        <v/>
      </c>
      <c r="C1096">
        <f>IF($A1096=1,SUM($A$2:$A1096),0)</f>
        <v>0</v>
      </c>
    </row>
    <row r="1097" spans="1:3" x14ac:dyDescent="0.3">
      <c r="A1097">
        <f>IF(AND(OR('Compliance Database'!$A1097='Data Transfer'!$B$4,'Compliance Database'!$A1097='Data Transfer'!$B$5),OR('Data Transfer'!$B$6="",ISNUMBER(SEARCH('Data Transfer'!$B$6,'Compliance Database'!$D1097&amp;" "&amp;'Compliance Database'!$K1097&amp;" "&amp;'Compliance Database'!$L1097&amp;" "&amp;'Compliance Database'!$M1097&amp;" "&amp;'Compliance Database'!$N1097&amp;" "&amp;'Compliance Database'!$O1097)))),1,0)</f>
        <v>0</v>
      </c>
      <c r="B1097" t="str">
        <f>IF($A1097=1,SUM($A$2:$A1097),"")</f>
        <v/>
      </c>
      <c r="C1097">
        <f>IF($A1097=1,SUM($A$2:$A1097),0)</f>
        <v>0</v>
      </c>
    </row>
    <row r="1098" spans="1:3" x14ac:dyDescent="0.3">
      <c r="A1098">
        <f>IF(AND(OR('Compliance Database'!$A1098='Data Transfer'!$B$4,'Compliance Database'!$A1098='Data Transfer'!$B$5),OR('Data Transfer'!$B$6="",ISNUMBER(SEARCH('Data Transfer'!$B$6,'Compliance Database'!$D1098&amp;" "&amp;'Compliance Database'!$K1098&amp;" "&amp;'Compliance Database'!$L1098&amp;" "&amp;'Compliance Database'!$M1098&amp;" "&amp;'Compliance Database'!$N1098&amp;" "&amp;'Compliance Database'!$O1098)))),1,0)</f>
        <v>0</v>
      </c>
      <c r="B1098" t="str">
        <f>IF($A1098=1,SUM($A$2:$A1098),"")</f>
        <v/>
      </c>
      <c r="C1098">
        <f>IF($A1098=1,SUM($A$2:$A1098),0)</f>
        <v>0</v>
      </c>
    </row>
    <row r="1099" spans="1:3" x14ac:dyDescent="0.3">
      <c r="A1099">
        <f>IF(AND(OR('Compliance Database'!$A1099='Data Transfer'!$B$4,'Compliance Database'!$A1099='Data Transfer'!$B$5),OR('Data Transfer'!$B$6="",ISNUMBER(SEARCH('Data Transfer'!$B$6,'Compliance Database'!$D1099&amp;" "&amp;'Compliance Database'!$K1099&amp;" "&amp;'Compliance Database'!$L1099&amp;" "&amp;'Compliance Database'!$M1099&amp;" "&amp;'Compliance Database'!$N1099&amp;" "&amp;'Compliance Database'!$O1099)))),1,0)</f>
        <v>0</v>
      </c>
      <c r="B1099" t="str">
        <f>IF($A1099=1,SUM($A$2:$A1099),"")</f>
        <v/>
      </c>
      <c r="C1099">
        <f>IF($A1099=1,SUM($A$2:$A1099),0)</f>
        <v>0</v>
      </c>
    </row>
    <row r="1100" spans="1:3" x14ac:dyDescent="0.3">
      <c r="A1100">
        <f>IF(AND(OR('Compliance Database'!$A1100='Data Transfer'!$B$4,'Compliance Database'!$A1100='Data Transfer'!$B$5),OR('Data Transfer'!$B$6="",ISNUMBER(SEARCH('Data Transfer'!$B$6,'Compliance Database'!$D1100&amp;" "&amp;'Compliance Database'!$K1100&amp;" "&amp;'Compliance Database'!$L1100&amp;" "&amp;'Compliance Database'!$M1100&amp;" "&amp;'Compliance Database'!$N1100&amp;" "&amp;'Compliance Database'!$O1100)))),1,0)</f>
        <v>0</v>
      </c>
      <c r="B1100" t="str">
        <f>IF($A1100=1,SUM($A$2:$A1100),"")</f>
        <v/>
      </c>
      <c r="C1100">
        <f>IF($A1100=1,SUM($A$2:$A1100),0)</f>
        <v>0</v>
      </c>
    </row>
    <row r="1101" spans="1:3" x14ac:dyDescent="0.3">
      <c r="A1101">
        <f>IF(AND(OR('Compliance Database'!$A1101='Data Transfer'!$B$4,'Compliance Database'!$A1101='Data Transfer'!$B$5),OR('Data Transfer'!$B$6="",ISNUMBER(SEARCH('Data Transfer'!$B$6,'Compliance Database'!$D1101&amp;" "&amp;'Compliance Database'!$K1101&amp;" "&amp;'Compliance Database'!$L1101&amp;" "&amp;'Compliance Database'!$M1101&amp;" "&amp;'Compliance Database'!$N1101&amp;" "&amp;'Compliance Database'!$O1101)))),1,0)</f>
        <v>0</v>
      </c>
      <c r="B1101" t="str">
        <f>IF($A1101=1,SUM($A$2:$A1101),"")</f>
        <v/>
      </c>
      <c r="C1101">
        <f>IF($A1101=1,SUM($A$2:$A1101),0)</f>
        <v>0</v>
      </c>
    </row>
    <row r="1102" spans="1:3" x14ac:dyDescent="0.3">
      <c r="A1102">
        <f>IF(AND(OR('Compliance Database'!$A1102='Data Transfer'!$B$4,'Compliance Database'!$A1102='Data Transfer'!$B$5),OR('Data Transfer'!$B$6="",ISNUMBER(SEARCH('Data Transfer'!$B$6,'Compliance Database'!$D1102&amp;" "&amp;'Compliance Database'!$K1102&amp;" "&amp;'Compliance Database'!$L1102&amp;" "&amp;'Compliance Database'!$M1102&amp;" "&amp;'Compliance Database'!$N1102&amp;" "&amp;'Compliance Database'!$O1102)))),1,0)</f>
        <v>0</v>
      </c>
      <c r="B1102" t="str">
        <f>IF($A1102=1,SUM($A$2:$A1102),"")</f>
        <v/>
      </c>
      <c r="C1102">
        <f>IF($A1102=1,SUM($A$2:$A1102),0)</f>
        <v>0</v>
      </c>
    </row>
    <row r="1103" spans="1:3" x14ac:dyDescent="0.3">
      <c r="A1103">
        <f>IF(AND(OR('Compliance Database'!$A1103='Data Transfer'!$B$4,'Compliance Database'!$A1103='Data Transfer'!$B$5),OR('Data Transfer'!$B$6="",ISNUMBER(SEARCH('Data Transfer'!$B$6,'Compliance Database'!$D1103&amp;" "&amp;'Compliance Database'!$K1103&amp;" "&amp;'Compliance Database'!$L1103&amp;" "&amp;'Compliance Database'!$M1103&amp;" "&amp;'Compliance Database'!$N1103&amp;" "&amp;'Compliance Database'!$O1103)))),1,0)</f>
        <v>0</v>
      </c>
      <c r="B1103" t="str">
        <f>IF($A1103=1,SUM($A$2:$A1103),"")</f>
        <v/>
      </c>
      <c r="C1103">
        <f>IF($A1103=1,SUM($A$2:$A1103),0)</f>
        <v>0</v>
      </c>
    </row>
    <row r="1104" spans="1:3" x14ac:dyDescent="0.3">
      <c r="A1104">
        <f>IF(AND(OR('Compliance Database'!$A1104='Data Transfer'!$B$4,'Compliance Database'!$A1104='Data Transfer'!$B$5),OR('Data Transfer'!$B$6="",ISNUMBER(SEARCH('Data Transfer'!$B$6,'Compliance Database'!$D1104&amp;" "&amp;'Compliance Database'!$K1104&amp;" "&amp;'Compliance Database'!$L1104&amp;" "&amp;'Compliance Database'!$M1104&amp;" "&amp;'Compliance Database'!$N1104&amp;" "&amp;'Compliance Database'!$O1104)))),1,0)</f>
        <v>0</v>
      </c>
      <c r="B1104" t="str">
        <f>IF($A1104=1,SUM($A$2:$A1104),"")</f>
        <v/>
      </c>
      <c r="C1104">
        <f>IF($A1104=1,SUM($A$2:$A1104),0)</f>
        <v>0</v>
      </c>
    </row>
    <row r="1105" spans="1:3" x14ac:dyDescent="0.3">
      <c r="A1105">
        <f>IF(AND(OR('Compliance Database'!$A1105='Data Transfer'!$B$4,'Compliance Database'!$A1105='Data Transfer'!$B$5),OR('Data Transfer'!$B$6="",ISNUMBER(SEARCH('Data Transfer'!$B$6,'Compliance Database'!$D1105&amp;" "&amp;'Compliance Database'!$K1105&amp;" "&amp;'Compliance Database'!$L1105&amp;" "&amp;'Compliance Database'!$M1105&amp;" "&amp;'Compliance Database'!$N1105&amp;" "&amp;'Compliance Database'!$O1105)))),1,0)</f>
        <v>0</v>
      </c>
      <c r="B1105" t="str">
        <f>IF($A1105=1,SUM($A$2:$A1105),"")</f>
        <v/>
      </c>
      <c r="C1105">
        <f>IF($A1105=1,SUM($A$2:$A1105),0)</f>
        <v>0</v>
      </c>
    </row>
    <row r="1106" spans="1:3" x14ac:dyDescent="0.3">
      <c r="A1106">
        <f>IF(AND(OR('Compliance Database'!$A1106='Data Transfer'!$B$4,'Compliance Database'!$A1106='Data Transfer'!$B$5),OR('Data Transfer'!$B$6="",ISNUMBER(SEARCH('Data Transfer'!$B$6,'Compliance Database'!$D1106&amp;" "&amp;'Compliance Database'!$K1106&amp;" "&amp;'Compliance Database'!$L1106&amp;" "&amp;'Compliance Database'!$M1106&amp;" "&amp;'Compliance Database'!$N1106&amp;" "&amp;'Compliance Database'!$O1106)))),1,0)</f>
        <v>0</v>
      </c>
      <c r="B1106" t="str">
        <f>IF($A1106=1,SUM($A$2:$A1106),"")</f>
        <v/>
      </c>
      <c r="C1106">
        <f>IF($A1106=1,SUM($A$2:$A1106),0)</f>
        <v>0</v>
      </c>
    </row>
    <row r="1107" spans="1:3" x14ac:dyDescent="0.3">
      <c r="A1107">
        <f>IF(AND(OR('Compliance Database'!$A1107='Data Transfer'!$B$4,'Compliance Database'!$A1107='Data Transfer'!$B$5),OR('Data Transfer'!$B$6="",ISNUMBER(SEARCH('Data Transfer'!$B$6,'Compliance Database'!$D1107&amp;" "&amp;'Compliance Database'!$K1107&amp;" "&amp;'Compliance Database'!$L1107&amp;" "&amp;'Compliance Database'!$M1107&amp;" "&amp;'Compliance Database'!$N1107&amp;" "&amp;'Compliance Database'!$O1107)))),1,0)</f>
        <v>0</v>
      </c>
      <c r="B1107" t="str">
        <f>IF($A1107=1,SUM($A$2:$A1107),"")</f>
        <v/>
      </c>
      <c r="C1107">
        <f>IF($A1107=1,SUM($A$2:$A1107),0)</f>
        <v>0</v>
      </c>
    </row>
    <row r="1108" spans="1:3" x14ac:dyDescent="0.3">
      <c r="A1108">
        <f>IF(AND(OR('Compliance Database'!$A1108='Data Transfer'!$B$4,'Compliance Database'!$A1108='Data Transfer'!$B$5),OR('Data Transfer'!$B$6="",ISNUMBER(SEARCH('Data Transfer'!$B$6,'Compliance Database'!$D1108&amp;" "&amp;'Compliance Database'!$K1108&amp;" "&amp;'Compliance Database'!$L1108&amp;" "&amp;'Compliance Database'!$M1108&amp;" "&amp;'Compliance Database'!$N1108&amp;" "&amp;'Compliance Database'!$O1108)))),1,0)</f>
        <v>0</v>
      </c>
      <c r="B1108" t="str">
        <f>IF($A1108=1,SUM($A$2:$A1108),"")</f>
        <v/>
      </c>
      <c r="C1108">
        <f>IF($A1108=1,SUM($A$2:$A1108),0)</f>
        <v>0</v>
      </c>
    </row>
    <row r="1109" spans="1:3" x14ac:dyDescent="0.3">
      <c r="A1109">
        <f>IF(AND(OR('Compliance Database'!$A1109='Data Transfer'!$B$4,'Compliance Database'!$A1109='Data Transfer'!$B$5),OR('Data Transfer'!$B$6="",ISNUMBER(SEARCH('Data Transfer'!$B$6,'Compliance Database'!$D1109&amp;" "&amp;'Compliance Database'!$K1109&amp;" "&amp;'Compliance Database'!$L1109&amp;" "&amp;'Compliance Database'!$M1109&amp;" "&amp;'Compliance Database'!$N1109&amp;" "&amp;'Compliance Database'!$O1109)))),1,0)</f>
        <v>0</v>
      </c>
      <c r="B1109" t="str">
        <f>IF($A1109=1,SUM($A$2:$A1109),"")</f>
        <v/>
      </c>
      <c r="C1109">
        <f>IF($A1109=1,SUM($A$2:$A1109),0)</f>
        <v>0</v>
      </c>
    </row>
    <row r="1110" spans="1:3" x14ac:dyDescent="0.3">
      <c r="A1110">
        <f>IF(AND(OR('Compliance Database'!$A1110='Data Transfer'!$B$4,'Compliance Database'!$A1110='Data Transfer'!$B$5),OR('Data Transfer'!$B$6="",ISNUMBER(SEARCH('Data Transfer'!$B$6,'Compliance Database'!$D1110&amp;" "&amp;'Compliance Database'!$K1110&amp;" "&amp;'Compliance Database'!$L1110&amp;" "&amp;'Compliance Database'!$M1110&amp;" "&amp;'Compliance Database'!$N1110&amp;" "&amp;'Compliance Database'!$O1110)))),1,0)</f>
        <v>0</v>
      </c>
      <c r="B1110" t="str">
        <f>IF($A1110=1,SUM($A$2:$A1110),"")</f>
        <v/>
      </c>
      <c r="C1110">
        <f>IF($A1110=1,SUM($A$2:$A1110),0)</f>
        <v>0</v>
      </c>
    </row>
    <row r="1111" spans="1:3" x14ac:dyDescent="0.3">
      <c r="A1111">
        <f>IF(AND(OR('Compliance Database'!$A1111='Data Transfer'!$B$4,'Compliance Database'!$A1111='Data Transfer'!$B$5),OR('Data Transfer'!$B$6="",ISNUMBER(SEARCH('Data Transfer'!$B$6,'Compliance Database'!$D1111&amp;" "&amp;'Compliance Database'!$K1111&amp;" "&amp;'Compliance Database'!$L1111&amp;" "&amp;'Compliance Database'!$M1111&amp;" "&amp;'Compliance Database'!$N1111&amp;" "&amp;'Compliance Database'!$O1111)))),1,0)</f>
        <v>0</v>
      </c>
      <c r="B1111" t="str">
        <f>IF($A1111=1,SUM($A$2:$A1111),"")</f>
        <v/>
      </c>
      <c r="C1111">
        <f>IF($A1111=1,SUM($A$2:$A1111),0)</f>
        <v>0</v>
      </c>
    </row>
    <row r="1112" spans="1:3" x14ac:dyDescent="0.3">
      <c r="A1112">
        <f>IF(AND(OR('Compliance Database'!$A1112='Data Transfer'!$B$4,'Compliance Database'!$A1112='Data Transfer'!$B$5),OR('Data Transfer'!$B$6="",ISNUMBER(SEARCH('Data Transfer'!$B$6,'Compliance Database'!$D1112&amp;" "&amp;'Compliance Database'!$K1112&amp;" "&amp;'Compliance Database'!$L1112&amp;" "&amp;'Compliance Database'!$M1112&amp;" "&amp;'Compliance Database'!$N1112&amp;" "&amp;'Compliance Database'!$O1112)))),1,0)</f>
        <v>0</v>
      </c>
      <c r="B1112" t="str">
        <f>IF($A1112=1,SUM($A$2:$A1112),"")</f>
        <v/>
      </c>
      <c r="C1112">
        <f>IF($A1112=1,SUM($A$2:$A1112),0)</f>
        <v>0</v>
      </c>
    </row>
    <row r="1113" spans="1:3" x14ac:dyDescent="0.3">
      <c r="A1113">
        <f>IF(AND(OR('Compliance Database'!$A1113='Data Transfer'!$B$4,'Compliance Database'!$A1113='Data Transfer'!$B$5),OR('Data Transfer'!$B$6="",ISNUMBER(SEARCH('Data Transfer'!$B$6,'Compliance Database'!$D1113&amp;" "&amp;'Compliance Database'!$K1113&amp;" "&amp;'Compliance Database'!$L1113&amp;" "&amp;'Compliance Database'!$M1113&amp;" "&amp;'Compliance Database'!$N1113&amp;" "&amp;'Compliance Database'!$O1113)))),1,0)</f>
        <v>0</v>
      </c>
      <c r="B1113" t="str">
        <f>IF($A1113=1,SUM($A$2:$A1113),"")</f>
        <v/>
      </c>
      <c r="C1113">
        <f>IF($A1113=1,SUM($A$2:$A1113),0)</f>
        <v>0</v>
      </c>
    </row>
    <row r="1114" spans="1:3" x14ac:dyDescent="0.3">
      <c r="A1114">
        <f>IF(AND(OR('Compliance Database'!$A1114='Data Transfer'!$B$4,'Compliance Database'!$A1114='Data Transfer'!$B$5),OR('Data Transfer'!$B$6="",ISNUMBER(SEARCH('Data Transfer'!$B$6,'Compliance Database'!$D1114&amp;" "&amp;'Compliance Database'!$K1114&amp;" "&amp;'Compliance Database'!$L1114&amp;" "&amp;'Compliance Database'!$M1114&amp;" "&amp;'Compliance Database'!$N1114&amp;" "&amp;'Compliance Database'!$O1114)))),1,0)</f>
        <v>0</v>
      </c>
      <c r="B1114" t="str">
        <f>IF($A1114=1,SUM($A$2:$A1114),"")</f>
        <v/>
      </c>
      <c r="C1114">
        <f>IF($A1114=1,SUM($A$2:$A1114),0)</f>
        <v>0</v>
      </c>
    </row>
    <row r="1115" spans="1:3" x14ac:dyDescent="0.3">
      <c r="A1115">
        <f>IF(AND(OR('Compliance Database'!$A1115='Data Transfer'!$B$4,'Compliance Database'!$A1115='Data Transfer'!$B$5),OR('Data Transfer'!$B$6="",ISNUMBER(SEARCH('Data Transfer'!$B$6,'Compliance Database'!$D1115&amp;" "&amp;'Compliance Database'!$K1115&amp;" "&amp;'Compliance Database'!$L1115&amp;" "&amp;'Compliance Database'!$M1115&amp;" "&amp;'Compliance Database'!$N1115&amp;" "&amp;'Compliance Database'!$O1115)))),1,0)</f>
        <v>0</v>
      </c>
      <c r="B1115" t="str">
        <f>IF($A1115=1,SUM($A$2:$A1115),"")</f>
        <v/>
      </c>
      <c r="C1115">
        <f>IF($A1115=1,SUM($A$2:$A1115),0)</f>
        <v>0</v>
      </c>
    </row>
    <row r="1116" spans="1:3" x14ac:dyDescent="0.3">
      <c r="A1116">
        <f>IF(AND(OR('Compliance Database'!$A1116='Data Transfer'!$B$4,'Compliance Database'!$A1116='Data Transfer'!$B$5),OR('Data Transfer'!$B$6="",ISNUMBER(SEARCH('Data Transfer'!$B$6,'Compliance Database'!$D1116&amp;" "&amp;'Compliance Database'!$K1116&amp;" "&amp;'Compliance Database'!$L1116&amp;" "&amp;'Compliance Database'!$M1116&amp;" "&amp;'Compliance Database'!$N1116&amp;" "&amp;'Compliance Database'!$O1116)))),1,0)</f>
        <v>0</v>
      </c>
      <c r="B1116" t="str">
        <f>IF($A1116=1,SUM($A$2:$A1116),"")</f>
        <v/>
      </c>
      <c r="C1116">
        <f>IF($A1116=1,SUM($A$2:$A1116),0)</f>
        <v>0</v>
      </c>
    </row>
    <row r="1117" spans="1:3" x14ac:dyDescent="0.3">
      <c r="A1117">
        <f>IF(AND(OR('Compliance Database'!$A1117='Data Transfer'!$B$4,'Compliance Database'!$A1117='Data Transfer'!$B$5),OR('Data Transfer'!$B$6="",ISNUMBER(SEARCH('Data Transfer'!$B$6,'Compliance Database'!$D1117&amp;" "&amp;'Compliance Database'!$K1117&amp;" "&amp;'Compliance Database'!$L1117&amp;" "&amp;'Compliance Database'!$M1117&amp;" "&amp;'Compliance Database'!$N1117&amp;" "&amp;'Compliance Database'!$O1117)))),1,0)</f>
        <v>0</v>
      </c>
      <c r="B1117" t="str">
        <f>IF($A1117=1,SUM($A$2:$A1117),"")</f>
        <v/>
      </c>
      <c r="C1117">
        <f>IF($A1117=1,SUM($A$2:$A1117),0)</f>
        <v>0</v>
      </c>
    </row>
    <row r="1118" spans="1:3" x14ac:dyDescent="0.3">
      <c r="A1118">
        <f>IF(AND(OR('Compliance Database'!$A1118='Data Transfer'!$B$4,'Compliance Database'!$A1118='Data Transfer'!$B$5),OR('Data Transfer'!$B$6="",ISNUMBER(SEARCH('Data Transfer'!$B$6,'Compliance Database'!$D1118&amp;" "&amp;'Compliance Database'!$K1118&amp;" "&amp;'Compliance Database'!$L1118&amp;" "&amp;'Compliance Database'!$M1118&amp;" "&amp;'Compliance Database'!$N1118&amp;" "&amp;'Compliance Database'!$O1118)))),1,0)</f>
        <v>0</v>
      </c>
      <c r="B1118" t="str">
        <f>IF($A1118=1,SUM($A$2:$A1118),"")</f>
        <v/>
      </c>
      <c r="C1118">
        <f>IF($A1118=1,SUM($A$2:$A1118),0)</f>
        <v>0</v>
      </c>
    </row>
    <row r="1119" spans="1:3" x14ac:dyDescent="0.3">
      <c r="A1119">
        <f>IF(AND(OR('Compliance Database'!$A1119='Data Transfer'!$B$4,'Compliance Database'!$A1119='Data Transfer'!$B$5),OR('Data Transfer'!$B$6="",ISNUMBER(SEARCH('Data Transfer'!$B$6,'Compliance Database'!$D1119&amp;" "&amp;'Compliance Database'!$K1119&amp;" "&amp;'Compliance Database'!$L1119&amp;" "&amp;'Compliance Database'!$M1119&amp;" "&amp;'Compliance Database'!$N1119&amp;" "&amp;'Compliance Database'!$O1119)))),1,0)</f>
        <v>0</v>
      </c>
      <c r="B1119" t="str">
        <f>IF($A1119=1,SUM($A$2:$A1119),"")</f>
        <v/>
      </c>
      <c r="C1119">
        <f>IF($A1119=1,SUM($A$2:$A1119),0)</f>
        <v>0</v>
      </c>
    </row>
    <row r="1120" spans="1:3" x14ac:dyDescent="0.3">
      <c r="A1120">
        <f>IF(AND(OR('Compliance Database'!$A1120='Data Transfer'!$B$4,'Compliance Database'!$A1120='Data Transfer'!$B$5),OR('Data Transfer'!$B$6="",ISNUMBER(SEARCH('Data Transfer'!$B$6,'Compliance Database'!$D1120&amp;" "&amp;'Compliance Database'!$K1120&amp;" "&amp;'Compliance Database'!$L1120&amp;" "&amp;'Compliance Database'!$M1120&amp;" "&amp;'Compliance Database'!$N1120&amp;" "&amp;'Compliance Database'!$O1120)))),1,0)</f>
        <v>0</v>
      </c>
      <c r="B1120" t="str">
        <f>IF($A1120=1,SUM($A$2:$A1120),"")</f>
        <v/>
      </c>
      <c r="C1120">
        <f>IF($A1120=1,SUM($A$2:$A1120),0)</f>
        <v>0</v>
      </c>
    </row>
    <row r="1121" spans="1:3" x14ac:dyDescent="0.3">
      <c r="A1121">
        <f>IF(AND(OR('Compliance Database'!$A1121='Data Transfer'!$B$4,'Compliance Database'!$A1121='Data Transfer'!$B$5),OR('Data Transfer'!$B$6="",ISNUMBER(SEARCH('Data Transfer'!$B$6,'Compliance Database'!$D1121&amp;" "&amp;'Compliance Database'!$K1121&amp;" "&amp;'Compliance Database'!$L1121&amp;" "&amp;'Compliance Database'!$M1121&amp;" "&amp;'Compliance Database'!$N1121&amp;" "&amp;'Compliance Database'!$O1121)))),1,0)</f>
        <v>0</v>
      </c>
      <c r="B1121" t="str">
        <f>IF($A1121=1,SUM($A$2:$A1121),"")</f>
        <v/>
      </c>
      <c r="C1121">
        <f>IF($A1121=1,SUM($A$2:$A1121),0)</f>
        <v>0</v>
      </c>
    </row>
    <row r="1122" spans="1:3" x14ac:dyDescent="0.3">
      <c r="A1122">
        <f>IF(AND(OR('Compliance Database'!$A1122='Data Transfer'!$B$4,'Compliance Database'!$A1122='Data Transfer'!$B$5),OR('Data Transfer'!$B$6="",ISNUMBER(SEARCH('Data Transfer'!$B$6,'Compliance Database'!$D1122&amp;" "&amp;'Compliance Database'!$K1122&amp;" "&amp;'Compliance Database'!$L1122&amp;" "&amp;'Compliance Database'!$M1122&amp;" "&amp;'Compliance Database'!$N1122&amp;" "&amp;'Compliance Database'!$O1122)))),1,0)</f>
        <v>0</v>
      </c>
      <c r="B1122" t="str">
        <f>IF($A1122=1,SUM($A$2:$A1122),"")</f>
        <v/>
      </c>
      <c r="C1122">
        <f>IF($A1122=1,SUM($A$2:$A1122),0)</f>
        <v>0</v>
      </c>
    </row>
    <row r="1123" spans="1:3" x14ac:dyDescent="0.3">
      <c r="A1123">
        <f>IF(AND(OR('Compliance Database'!$A1123='Data Transfer'!$B$4,'Compliance Database'!$A1123='Data Transfer'!$B$5),OR('Data Transfer'!$B$6="",ISNUMBER(SEARCH('Data Transfer'!$B$6,'Compliance Database'!$D1123&amp;" "&amp;'Compliance Database'!$K1123&amp;" "&amp;'Compliance Database'!$L1123&amp;" "&amp;'Compliance Database'!$M1123&amp;" "&amp;'Compliance Database'!$N1123&amp;" "&amp;'Compliance Database'!$O1123)))),1,0)</f>
        <v>0</v>
      </c>
      <c r="B1123" t="str">
        <f>IF($A1123=1,SUM($A$2:$A1123),"")</f>
        <v/>
      </c>
      <c r="C1123">
        <f>IF($A1123=1,SUM($A$2:$A1123),0)</f>
        <v>0</v>
      </c>
    </row>
    <row r="1124" spans="1:3" x14ac:dyDescent="0.3">
      <c r="A1124">
        <f>IF(AND(OR('Compliance Database'!$A1124='Data Transfer'!$B$4,'Compliance Database'!$A1124='Data Transfer'!$B$5),OR('Data Transfer'!$B$6="",ISNUMBER(SEARCH('Data Transfer'!$B$6,'Compliance Database'!$D1124&amp;" "&amp;'Compliance Database'!$K1124&amp;" "&amp;'Compliance Database'!$L1124&amp;" "&amp;'Compliance Database'!$M1124&amp;" "&amp;'Compliance Database'!$N1124&amp;" "&amp;'Compliance Database'!$O1124)))),1,0)</f>
        <v>0</v>
      </c>
      <c r="B1124" t="str">
        <f>IF($A1124=1,SUM($A$2:$A1124),"")</f>
        <v/>
      </c>
      <c r="C1124">
        <f>IF($A1124=1,SUM($A$2:$A1124),0)</f>
        <v>0</v>
      </c>
    </row>
    <row r="1125" spans="1:3" x14ac:dyDescent="0.3">
      <c r="A1125">
        <f>IF(AND(OR('Compliance Database'!$A1125='Data Transfer'!$B$4,'Compliance Database'!$A1125='Data Transfer'!$B$5),OR('Data Transfer'!$B$6="",ISNUMBER(SEARCH('Data Transfer'!$B$6,'Compliance Database'!$D1125&amp;" "&amp;'Compliance Database'!$K1125&amp;" "&amp;'Compliance Database'!$L1125&amp;" "&amp;'Compliance Database'!$M1125&amp;" "&amp;'Compliance Database'!$N1125&amp;" "&amp;'Compliance Database'!$O1125)))),1,0)</f>
        <v>0</v>
      </c>
      <c r="B1125" t="str">
        <f>IF($A1125=1,SUM($A$2:$A1125),"")</f>
        <v/>
      </c>
      <c r="C1125">
        <f>IF($A1125=1,SUM($A$2:$A1125),0)</f>
        <v>0</v>
      </c>
    </row>
    <row r="1126" spans="1:3" x14ac:dyDescent="0.3">
      <c r="A1126">
        <f>IF(AND(OR('Compliance Database'!$A1126='Data Transfer'!$B$4,'Compliance Database'!$A1126='Data Transfer'!$B$5),OR('Data Transfer'!$B$6="",ISNUMBER(SEARCH('Data Transfer'!$B$6,'Compliance Database'!$D1126&amp;" "&amp;'Compliance Database'!$K1126&amp;" "&amp;'Compliance Database'!$L1126&amp;" "&amp;'Compliance Database'!$M1126&amp;" "&amp;'Compliance Database'!$N1126&amp;" "&amp;'Compliance Database'!$O1126)))),1,0)</f>
        <v>0</v>
      </c>
      <c r="B1126" t="str">
        <f>IF($A1126=1,SUM($A$2:$A1126),"")</f>
        <v/>
      </c>
      <c r="C1126">
        <f>IF($A1126=1,SUM($A$2:$A1126),0)</f>
        <v>0</v>
      </c>
    </row>
    <row r="1127" spans="1:3" x14ac:dyDescent="0.3">
      <c r="A1127">
        <f>IF(AND(OR('Compliance Database'!$A1127='Data Transfer'!$B$4,'Compliance Database'!$A1127='Data Transfer'!$B$5),OR('Data Transfer'!$B$6="",ISNUMBER(SEARCH('Data Transfer'!$B$6,'Compliance Database'!$D1127&amp;" "&amp;'Compliance Database'!$K1127&amp;" "&amp;'Compliance Database'!$L1127&amp;" "&amp;'Compliance Database'!$M1127&amp;" "&amp;'Compliance Database'!$N1127&amp;" "&amp;'Compliance Database'!$O1127)))),1,0)</f>
        <v>0</v>
      </c>
      <c r="B1127" t="str">
        <f>IF($A1127=1,SUM($A$2:$A1127),"")</f>
        <v/>
      </c>
      <c r="C1127">
        <f>IF($A1127=1,SUM($A$2:$A1127),0)</f>
        <v>0</v>
      </c>
    </row>
    <row r="1128" spans="1:3" x14ac:dyDescent="0.3">
      <c r="A1128">
        <f>IF(AND(OR('Compliance Database'!$A1128='Data Transfer'!$B$4,'Compliance Database'!$A1128='Data Transfer'!$B$5),OR('Data Transfer'!$B$6="",ISNUMBER(SEARCH('Data Transfer'!$B$6,'Compliance Database'!$D1128&amp;" "&amp;'Compliance Database'!$K1128&amp;" "&amp;'Compliance Database'!$L1128&amp;" "&amp;'Compliance Database'!$M1128&amp;" "&amp;'Compliance Database'!$N1128&amp;" "&amp;'Compliance Database'!$O1128)))),1,0)</f>
        <v>0</v>
      </c>
      <c r="B1128" t="str">
        <f>IF($A1128=1,SUM($A$2:$A1128),"")</f>
        <v/>
      </c>
      <c r="C1128">
        <f>IF($A1128=1,SUM($A$2:$A1128),0)</f>
        <v>0</v>
      </c>
    </row>
    <row r="1129" spans="1:3" x14ac:dyDescent="0.3">
      <c r="A1129">
        <f>IF(AND(OR('Compliance Database'!$A1129='Data Transfer'!$B$4,'Compliance Database'!$A1129='Data Transfer'!$B$5),OR('Data Transfer'!$B$6="",ISNUMBER(SEARCH('Data Transfer'!$B$6,'Compliance Database'!$D1129&amp;" "&amp;'Compliance Database'!$K1129&amp;" "&amp;'Compliance Database'!$L1129&amp;" "&amp;'Compliance Database'!$M1129&amp;" "&amp;'Compliance Database'!$N1129&amp;" "&amp;'Compliance Database'!$O1129)))),1,0)</f>
        <v>0</v>
      </c>
      <c r="B1129" t="str">
        <f>IF($A1129=1,SUM($A$2:$A1129),"")</f>
        <v/>
      </c>
      <c r="C1129">
        <f>IF($A1129=1,SUM($A$2:$A1129),0)</f>
        <v>0</v>
      </c>
    </row>
    <row r="1130" spans="1:3" x14ac:dyDescent="0.3">
      <c r="A1130">
        <f>IF(AND(OR('Compliance Database'!$A1130='Data Transfer'!$B$4,'Compliance Database'!$A1130='Data Transfer'!$B$5),OR('Data Transfer'!$B$6="",ISNUMBER(SEARCH('Data Transfer'!$B$6,'Compliance Database'!$D1130&amp;" "&amp;'Compliance Database'!$K1130&amp;" "&amp;'Compliance Database'!$L1130&amp;" "&amp;'Compliance Database'!$M1130&amp;" "&amp;'Compliance Database'!$N1130&amp;" "&amp;'Compliance Database'!$O1130)))),1,0)</f>
        <v>0</v>
      </c>
      <c r="B1130" t="str">
        <f>IF($A1130=1,SUM($A$2:$A1130),"")</f>
        <v/>
      </c>
      <c r="C1130">
        <f>IF($A1130=1,SUM($A$2:$A1130),0)</f>
        <v>0</v>
      </c>
    </row>
    <row r="1131" spans="1:3" x14ac:dyDescent="0.3">
      <c r="A1131">
        <f>IF(AND(OR('Compliance Database'!$A1131='Data Transfer'!$B$4,'Compliance Database'!$A1131='Data Transfer'!$B$5),OR('Data Transfer'!$B$6="",ISNUMBER(SEARCH('Data Transfer'!$B$6,'Compliance Database'!$D1131&amp;" "&amp;'Compliance Database'!$K1131&amp;" "&amp;'Compliance Database'!$L1131&amp;" "&amp;'Compliance Database'!$M1131&amp;" "&amp;'Compliance Database'!$N1131&amp;" "&amp;'Compliance Database'!$O1131)))),1,0)</f>
        <v>0</v>
      </c>
      <c r="B1131" t="str">
        <f>IF($A1131=1,SUM($A$2:$A1131),"")</f>
        <v/>
      </c>
      <c r="C1131">
        <f>IF($A1131=1,SUM($A$2:$A1131),0)</f>
        <v>0</v>
      </c>
    </row>
    <row r="1132" spans="1:3" x14ac:dyDescent="0.3">
      <c r="A1132">
        <f>IF(AND(OR('Compliance Database'!$A1132='Data Transfer'!$B$4,'Compliance Database'!$A1132='Data Transfer'!$B$5),OR('Data Transfer'!$B$6="",ISNUMBER(SEARCH('Data Transfer'!$B$6,'Compliance Database'!$D1132&amp;" "&amp;'Compliance Database'!$K1132&amp;" "&amp;'Compliance Database'!$L1132&amp;" "&amp;'Compliance Database'!$M1132&amp;" "&amp;'Compliance Database'!$N1132&amp;" "&amp;'Compliance Database'!$O1132)))),1,0)</f>
        <v>0</v>
      </c>
      <c r="B1132" t="str">
        <f>IF($A1132=1,SUM($A$2:$A1132),"")</f>
        <v/>
      </c>
      <c r="C1132">
        <f>IF($A1132=1,SUM($A$2:$A1132),0)</f>
        <v>0</v>
      </c>
    </row>
    <row r="1133" spans="1:3" x14ac:dyDescent="0.3">
      <c r="A1133">
        <f>IF(AND(OR('Compliance Database'!$A1133='Data Transfer'!$B$4,'Compliance Database'!$A1133='Data Transfer'!$B$5),OR('Data Transfer'!$B$6="",ISNUMBER(SEARCH('Data Transfer'!$B$6,'Compliance Database'!$D1133&amp;" "&amp;'Compliance Database'!$K1133&amp;" "&amp;'Compliance Database'!$L1133&amp;" "&amp;'Compliance Database'!$M1133&amp;" "&amp;'Compliance Database'!$N1133&amp;" "&amp;'Compliance Database'!$O1133)))),1,0)</f>
        <v>0</v>
      </c>
      <c r="B1133" t="str">
        <f>IF($A1133=1,SUM($A$2:$A1133),"")</f>
        <v/>
      </c>
      <c r="C1133">
        <f>IF($A1133=1,SUM($A$2:$A1133),0)</f>
        <v>0</v>
      </c>
    </row>
    <row r="1134" spans="1:3" x14ac:dyDescent="0.3">
      <c r="A1134">
        <f>IF(AND(OR('Compliance Database'!$A1134='Data Transfer'!$B$4,'Compliance Database'!$A1134='Data Transfer'!$B$5),OR('Data Transfer'!$B$6="",ISNUMBER(SEARCH('Data Transfer'!$B$6,'Compliance Database'!$D1134&amp;" "&amp;'Compliance Database'!$K1134&amp;" "&amp;'Compliance Database'!$L1134&amp;" "&amp;'Compliance Database'!$M1134&amp;" "&amp;'Compliance Database'!$N1134&amp;" "&amp;'Compliance Database'!$O1134)))),1,0)</f>
        <v>0</v>
      </c>
      <c r="B1134" t="str">
        <f>IF($A1134=1,SUM($A$2:$A1134),"")</f>
        <v/>
      </c>
      <c r="C1134">
        <f>IF($A1134=1,SUM($A$2:$A1134),0)</f>
        <v>0</v>
      </c>
    </row>
    <row r="1135" spans="1:3" x14ac:dyDescent="0.3">
      <c r="A1135">
        <f>IF(AND(OR('Compliance Database'!$A1135='Data Transfer'!$B$4,'Compliance Database'!$A1135='Data Transfer'!$B$5),OR('Data Transfer'!$B$6="",ISNUMBER(SEARCH('Data Transfer'!$B$6,'Compliance Database'!$D1135&amp;" "&amp;'Compliance Database'!$K1135&amp;" "&amp;'Compliance Database'!$L1135&amp;" "&amp;'Compliance Database'!$M1135&amp;" "&amp;'Compliance Database'!$N1135&amp;" "&amp;'Compliance Database'!$O1135)))),1,0)</f>
        <v>0</v>
      </c>
      <c r="B1135" t="str">
        <f>IF($A1135=1,SUM($A$2:$A1135),"")</f>
        <v/>
      </c>
      <c r="C1135">
        <f>IF($A1135=1,SUM($A$2:$A1135),0)</f>
        <v>0</v>
      </c>
    </row>
    <row r="1136" spans="1:3" x14ac:dyDescent="0.3">
      <c r="A1136">
        <f>IF(AND(OR('Compliance Database'!$A1136='Data Transfer'!$B$4,'Compliance Database'!$A1136='Data Transfer'!$B$5),OR('Data Transfer'!$B$6="",ISNUMBER(SEARCH('Data Transfer'!$B$6,'Compliance Database'!$D1136&amp;" "&amp;'Compliance Database'!$K1136&amp;" "&amp;'Compliance Database'!$L1136&amp;" "&amp;'Compliance Database'!$M1136&amp;" "&amp;'Compliance Database'!$N1136&amp;" "&amp;'Compliance Database'!$O1136)))),1,0)</f>
        <v>0</v>
      </c>
      <c r="B1136" t="str">
        <f>IF($A1136=1,SUM($A$2:$A1136),"")</f>
        <v/>
      </c>
      <c r="C1136">
        <f>IF($A1136=1,SUM($A$2:$A1136),0)</f>
        <v>0</v>
      </c>
    </row>
    <row r="1137" spans="1:3" x14ac:dyDescent="0.3">
      <c r="A1137">
        <f>IF(AND(OR('Compliance Database'!$A1137='Data Transfer'!$B$4,'Compliance Database'!$A1137='Data Transfer'!$B$5),OR('Data Transfer'!$B$6="",ISNUMBER(SEARCH('Data Transfer'!$B$6,'Compliance Database'!$D1137&amp;" "&amp;'Compliance Database'!$K1137&amp;" "&amp;'Compliance Database'!$L1137&amp;" "&amp;'Compliance Database'!$M1137&amp;" "&amp;'Compliance Database'!$N1137&amp;" "&amp;'Compliance Database'!$O1137)))),1,0)</f>
        <v>0</v>
      </c>
      <c r="B1137" t="str">
        <f>IF($A1137=1,SUM($A$2:$A1137),"")</f>
        <v/>
      </c>
      <c r="C1137">
        <f>IF($A1137=1,SUM($A$2:$A1137),0)</f>
        <v>0</v>
      </c>
    </row>
    <row r="1138" spans="1:3" x14ac:dyDescent="0.3">
      <c r="A1138">
        <f>IF(AND(OR('Compliance Database'!$A1138='Data Transfer'!$B$4,'Compliance Database'!$A1138='Data Transfer'!$B$5),OR('Data Transfer'!$B$6="",ISNUMBER(SEARCH('Data Transfer'!$B$6,'Compliance Database'!$D1138&amp;" "&amp;'Compliance Database'!$K1138&amp;" "&amp;'Compliance Database'!$L1138&amp;" "&amp;'Compliance Database'!$M1138&amp;" "&amp;'Compliance Database'!$N1138&amp;" "&amp;'Compliance Database'!$O1138)))),1,0)</f>
        <v>0</v>
      </c>
      <c r="B1138" t="str">
        <f>IF($A1138=1,SUM($A$2:$A1138),"")</f>
        <v/>
      </c>
      <c r="C1138">
        <f>IF($A1138=1,SUM($A$2:$A1138),0)</f>
        <v>0</v>
      </c>
    </row>
    <row r="1139" spans="1:3" x14ac:dyDescent="0.3">
      <c r="A1139">
        <f>IF(AND(OR('Compliance Database'!$A1139='Data Transfer'!$B$4,'Compliance Database'!$A1139='Data Transfer'!$B$5),OR('Data Transfer'!$B$6="",ISNUMBER(SEARCH('Data Transfer'!$B$6,'Compliance Database'!$D1139&amp;" "&amp;'Compliance Database'!$K1139&amp;" "&amp;'Compliance Database'!$L1139&amp;" "&amp;'Compliance Database'!$M1139&amp;" "&amp;'Compliance Database'!$N1139&amp;" "&amp;'Compliance Database'!$O1139)))),1,0)</f>
        <v>0</v>
      </c>
      <c r="B1139" t="str">
        <f>IF($A1139=1,SUM($A$2:$A1139),"")</f>
        <v/>
      </c>
      <c r="C1139">
        <f>IF($A1139=1,SUM($A$2:$A1139),0)</f>
        <v>0</v>
      </c>
    </row>
    <row r="1140" spans="1:3" x14ac:dyDescent="0.3">
      <c r="A1140">
        <f>IF(AND(OR('Compliance Database'!$A1140='Data Transfer'!$B$4,'Compliance Database'!$A1140='Data Transfer'!$B$5),OR('Data Transfer'!$B$6="",ISNUMBER(SEARCH('Data Transfer'!$B$6,'Compliance Database'!$D1140&amp;" "&amp;'Compliance Database'!$K1140&amp;" "&amp;'Compliance Database'!$L1140&amp;" "&amp;'Compliance Database'!$M1140&amp;" "&amp;'Compliance Database'!$N1140&amp;" "&amp;'Compliance Database'!$O1140)))),1,0)</f>
        <v>0</v>
      </c>
      <c r="B1140" t="str">
        <f>IF($A1140=1,SUM($A$2:$A1140),"")</f>
        <v/>
      </c>
      <c r="C1140">
        <f>IF($A1140=1,SUM($A$2:$A1140),0)</f>
        <v>0</v>
      </c>
    </row>
    <row r="1141" spans="1:3" x14ac:dyDescent="0.3">
      <c r="A1141">
        <f>IF(AND(OR('Compliance Database'!$A1141='Data Transfer'!$B$4,'Compliance Database'!$A1141='Data Transfer'!$B$5),OR('Data Transfer'!$B$6="",ISNUMBER(SEARCH('Data Transfer'!$B$6,'Compliance Database'!$D1141&amp;" "&amp;'Compliance Database'!$K1141&amp;" "&amp;'Compliance Database'!$L1141&amp;" "&amp;'Compliance Database'!$M1141&amp;" "&amp;'Compliance Database'!$N1141&amp;" "&amp;'Compliance Database'!$O1141)))),1,0)</f>
        <v>0</v>
      </c>
      <c r="B1141" t="str">
        <f>IF($A1141=1,SUM($A$2:$A1141),"")</f>
        <v/>
      </c>
      <c r="C1141">
        <f>IF($A1141=1,SUM($A$2:$A1141),0)</f>
        <v>0</v>
      </c>
    </row>
    <row r="1142" spans="1:3" x14ac:dyDescent="0.3">
      <c r="A1142">
        <f>IF(AND(OR('Compliance Database'!$A1142='Data Transfer'!$B$4,'Compliance Database'!$A1142='Data Transfer'!$B$5),OR('Data Transfer'!$B$6="",ISNUMBER(SEARCH('Data Transfer'!$B$6,'Compliance Database'!$D1142&amp;" "&amp;'Compliance Database'!$K1142&amp;" "&amp;'Compliance Database'!$L1142&amp;" "&amp;'Compliance Database'!$M1142&amp;" "&amp;'Compliance Database'!$N1142&amp;" "&amp;'Compliance Database'!$O1142)))),1,0)</f>
        <v>0</v>
      </c>
      <c r="B1142" t="str">
        <f>IF($A1142=1,SUM($A$2:$A1142),"")</f>
        <v/>
      </c>
      <c r="C1142">
        <f>IF($A1142=1,SUM($A$2:$A1142),0)</f>
        <v>0</v>
      </c>
    </row>
    <row r="1143" spans="1:3" x14ac:dyDescent="0.3">
      <c r="A1143">
        <f>IF(AND(OR('Compliance Database'!$A1143='Data Transfer'!$B$4,'Compliance Database'!$A1143='Data Transfer'!$B$5),OR('Data Transfer'!$B$6="",ISNUMBER(SEARCH('Data Transfer'!$B$6,'Compliance Database'!$D1143&amp;" "&amp;'Compliance Database'!$K1143&amp;" "&amp;'Compliance Database'!$L1143&amp;" "&amp;'Compliance Database'!$M1143&amp;" "&amp;'Compliance Database'!$N1143&amp;" "&amp;'Compliance Database'!$O1143)))),1,0)</f>
        <v>0</v>
      </c>
      <c r="B1143" t="str">
        <f>IF($A1143=1,SUM($A$2:$A1143),"")</f>
        <v/>
      </c>
      <c r="C1143">
        <f>IF($A1143=1,SUM($A$2:$A1143),0)</f>
        <v>0</v>
      </c>
    </row>
    <row r="1144" spans="1:3" x14ac:dyDescent="0.3">
      <c r="A1144">
        <f>IF(AND(OR('Compliance Database'!$A1144='Data Transfer'!$B$4,'Compliance Database'!$A1144='Data Transfer'!$B$5),OR('Data Transfer'!$B$6="",ISNUMBER(SEARCH('Data Transfer'!$B$6,'Compliance Database'!$D1144&amp;" "&amp;'Compliance Database'!$K1144&amp;" "&amp;'Compliance Database'!$L1144&amp;" "&amp;'Compliance Database'!$M1144&amp;" "&amp;'Compliance Database'!$N1144&amp;" "&amp;'Compliance Database'!$O1144)))),1,0)</f>
        <v>0</v>
      </c>
      <c r="B1144" t="str">
        <f>IF($A1144=1,SUM($A$2:$A1144),"")</f>
        <v/>
      </c>
      <c r="C1144">
        <f>IF($A1144=1,SUM($A$2:$A1144),0)</f>
        <v>0</v>
      </c>
    </row>
    <row r="1145" spans="1:3" x14ac:dyDescent="0.3">
      <c r="A1145">
        <f>IF(AND(OR('Compliance Database'!$A1145='Data Transfer'!$B$4,'Compliance Database'!$A1145='Data Transfer'!$B$5),OR('Data Transfer'!$B$6="",ISNUMBER(SEARCH('Data Transfer'!$B$6,'Compliance Database'!$D1145&amp;" "&amp;'Compliance Database'!$K1145&amp;" "&amp;'Compliance Database'!$L1145&amp;" "&amp;'Compliance Database'!$M1145&amp;" "&amp;'Compliance Database'!$N1145&amp;" "&amp;'Compliance Database'!$O1145)))),1,0)</f>
        <v>0</v>
      </c>
      <c r="B1145" t="str">
        <f>IF($A1145=1,SUM($A$2:$A1145),"")</f>
        <v/>
      </c>
      <c r="C1145">
        <f>IF($A1145=1,SUM($A$2:$A1145),0)</f>
        <v>0</v>
      </c>
    </row>
    <row r="1146" spans="1:3" x14ac:dyDescent="0.3">
      <c r="A1146">
        <f>IF(AND(OR('Compliance Database'!$A1146='Data Transfer'!$B$4,'Compliance Database'!$A1146='Data Transfer'!$B$5),OR('Data Transfer'!$B$6="",ISNUMBER(SEARCH('Data Transfer'!$B$6,'Compliance Database'!$D1146&amp;" "&amp;'Compliance Database'!$K1146&amp;" "&amp;'Compliance Database'!$L1146&amp;" "&amp;'Compliance Database'!$M1146&amp;" "&amp;'Compliance Database'!$N1146&amp;" "&amp;'Compliance Database'!$O1146)))),1,0)</f>
        <v>0</v>
      </c>
      <c r="B1146" t="str">
        <f>IF($A1146=1,SUM($A$2:$A1146),"")</f>
        <v/>
      </c>
      <c r="C1146">
        <f>IF($A1146=1,SUM($A$2:$A1146),0)</f>
        <v>0</v>
      </c>
    </row>
    <row r="1147" spans="1:3" x14ac:dyDescent="0.3">
      <c r="A1147">
        <f>IF(AND(OR('Compliance Database'!$A1147='Data Transfer'!$B$4,'Compliance Database'!$A1147='Data Transfer'!$B$5),OR('Data Transfer'!$B$6="",ISNUMBER(SEARCH('Data Transfer'!$B$6,'Compliance Database'!$D1147&amp;" "&amp;'Compliance Database'!$K1147&amp;" "&amp;'Compliance Database'!$L1147&amp;" "&amp;'Compliance Database'!$M1147&amp;" "&amp;'Compliance Database'!$N1147&amp;" "&amp;'Compliance Database'!$O1147)))),1,0)</f>
        <v>0</v>
      </c>
      <c r="B1147" t="str">
        <f>IF($A1147=1,SUM($A$2:$A1147),"")</f>
        <v/>
      </c>
      <c r="C1147">
        <f>IF($A1147=1,SUM($A$2:$A1147),0)</f>
        <v>0</v>
      </c>
    </row>
    <row r="1148" spans="1:3" x14ac:dyDescent="0.3">
      <c r="A1148">
        <f>IF(AND(OR('Compliance Database'!$A1148='Data Transfer'!$B$4,'Compliance Database'!$A1148='Data Transfer'!$B$5),OR('Data Transfer'!$B$6="",ISNUMBER(SEARCH('Data Transfer'!$B$6,'Compliance Database'!$D1148&amp;" "&amp;'Compliance Database'!$K1148&amp;" "&amp;'Compliance Database'!$L1148&amp;" "&amp;'Compliance Database'!$M1148&amp;" "&amp;'Compliance Database'!$N1148&amp;" "&amp;'Compliance Database'!$O1148)))),1,0)</f>
        <v>0</v>
      </c>
      <c r="B1148" t="str">
        <f>IF($A1148=1,SUM($A$2:$A1148),"")</f>
        <v/>
      </c>
      <c r="C1148">
        <f>IF($A1148=1,SUM($A$2:$A1148),0)</f>
        <v>0</v>
      </c>
    </row>
    <row r="1149" spans="1:3" x14ac:dyDescent="0.3">
      <c r="A1149">
        <f>IF(AND(OR('Compliance Database'!$A1149='Data Transfer'!$B$4,'Compliance Database'!$A1149='Data Transfer'!$B$5),OR('Data Transfer'!$B$6="",ISNUMBER(SEARCH('Data Transfer'!$B$6,'Compliance Database'!$D1149&amp;" "&amp;'Compliance Database'!$K1149&amp;" "&amp;'Compliance Database'!$L1149&amp;" "&amp;'Compliance Database'!$M1149&amp;" "&amp;'Compliance Database'!$N1149&amp;" "&amp;'Compliance Database'!$O1149)))),1,0)</f>
        <v>0</v>
      </c>
      <c r="B1149" t="str">
        <f>IF($A1149=1,SUM($A$2:$A1149),"")</f>
        <v/>
      </c>
      <c r="C1149">
        <f>IF($A1149=1,SUM($A$2:$A1149),0)</f>
        <v>0</v>
      </c>
    </row>
    <row r="1150" spans="1:3" x14ac:dyDescent="0.3">
      <c r="A1150">
        <f>IF(AND(OR('Compliance Database'!$A1150='Data Transfer'!$B$4,'Compliance Database'!$A1150='Data Transfer'!$B$5),OR('Data Transfer'!$B$6="",ISNUMBER(SEARCH('Data Transfer'!$B$6,'Compliance Database'!$D1150&amp;" "&amp;'Compliance Database'!$K1150&amp;" "&amp;'Compliance Database'!$L1150&amp;" "&amp;'Compliance Database'!$M1150&amp;" "&amp;'Compliance Database'!$N1150&amp;" "&amp;'Compliance Database'!$O1150)))),1,0)</f>
        <v>0</v>
      </c>
      <c r="B1150" t="str">
        <f>IF($A1150=1,SUM($A$2:$A1150),"")</f>
        <v/>
      </c>
      <c r="C1150">
        <f>IF($A1150=1,SUM($A$2:$A1150),0)</f>
        <v>0</v>
      </c>
    </row>
    <row r="1151" spans="1:3" x14ac:dyDescent="0.3">
      <c r="A1151">
        <f>IF(AND(OR('Compliance Database'!$A1151='Data Transfer'!$B$4,'Compliance Database'!$A1151='Data Transfer'!$B$5),OR('Data Transfer'!$B$6="",ISNUMBER(SEARCH('Data Transfer'!$B$6,'Compliance Database'!$D1151&amp;" "&amp;'Compliance Database'!$K1151&amp;" "&amp;'Compliance Database'!$L1151&amp;" "&amp;'Compliance Database'!$M1151&amp;" "&amp;'Compliance Database'!$N1151&amp;" "&amp;'Compliance Database'!$O1151)))),1,0)</f>
        <v>0</v>
      </c>
      <c r="B1151" t="str">
        <f>IF($A1151=1,SUM($A$2:$A1151),"")</f>
        <v/>
      </c>
      <c r="C1151">
        <f>IF($A1151=1,SUM($A$2:$A1151),0)</f>
        <v>0</v>
      </c>
    </row>
    <row r="1152" spans="1:3" x14ac:dyDescent="0.3">
      <c r="A1152">
        <f>IF(AND(OR('Compliance Database'!$A1152='Data Transfer'!$B$4,'Compliance Database'!$A1152='Data Transfer'!$B$5),OR('Data Transfer'!$B$6="",ISNUMBER(SEARCH('Data Transfer'!$B$6,'Compliance Database'!$D1152&amp;" "&amp;'Compliance Database'!$K1152&amp;" "&amp;'Compliance Database'!$L1152&amp;" "&amp;'Compliance Database'!$M1152&amp;" "&amp;'Compliance Database'!$N1152&amp;" "&amp;'Compliance Database'!$O1152)))),1,0)</f>
        <v>0</v>
      </c>
      <c r="B1152" t="str">
        <f>IF($A1152=1,SUM($A$2:$A1152),"")</f>
        <v/>
      </c>
      <c r="C1152">
        <f>IF($A1152=1,SUM($A$2:$A1152),0)</f>
        <v>0</v>
      </c>
    </row>
    <row r="1153" spans="1:3" x14ac:dyDescent="0.3">
      <c r="A1153">
        <f>IF(AND(OR('Compliance Database'!$A1153='Data Transfer'!$B$4,'Compliance Database'!$A1153='Data Transfer'!$B$5),OR('Data Transfer'!$B$6="",ISNUMBER(SEARCH('Data Transfer'!$B$6,'Compliance Database'!$D1153&amp;" "&amp;'Compliance Database'!$K1153&amp;" "&amp;'Compliance Database'!$L1153&amp;" "&amp;'Compliance Database'!$M1153&amp;" "&amp;'Compliance Database'!$N1153&amp;" "&amp;'Compliance Database'!$O1153)))),1,0)</f>
        <v>0</v>
      </c>
      <c r="B1153" t="str">
        <f>IF($A1153=1,SUM($A$2:$A1153),"")</f>
        <v/>
      </c>
      <c r="C1153">
        <f>IF($A1153=1,SUM($A$2:$A1153),0)</f>
        <v>0</v>
      </c>
    </row>
    <row r="1154" spans="1:3" x14ac:dyDescent="0.3">
      <c r="A1154">
        <f>IF(AND(OR('Compliance Database'!$A1154='Data Transfer'!$B$4,'Compliance Database'!$A1154='Data Transfer'!$B$5),OR('Data Transfer'!$B$6="",ISNUMBER(SEARCH('Data Transfer'!$B$6,'Compliance Database'!$D1154&amp;" "&amp;'Compliance Database'!$K1154&amp;" "&amp;'Compliance Database'!$L1154&amp;" "&amp;'Compliance Database'!$M1154&amp;" "&amp;'Compliance Database'!$N1154&amp;" "&amp;'Compliance Database'!$O1154)))),1,0)</f>
        <v>0</v>
      </c>
      <c r="B1154" t="str">
        <f>IF($A1154=1,SUM($A$2:$A1154),"")</f>
        <v/>
      </c>
      <c r="C1154">
        <f>IF($A1154=1,SUM($A$2:$A1154),0)</f>
        <v>0</v>
      </c>
    </row>
    <row r="1155" spans="1:3" x14ac:dyDescent="0.3">
      <c r="A1155">
        <f>IF(AND(OR('Compliance Database'!$A1155='Data Transfer'!$B$4,'Compliance Database'!$A1155='Data Transfer'!$B$5),OR('Data Transfer'!$B$6="",ISNUMBER(SEARCH('Data Transfer'!$B$6,'Compliance Database'!$D1155&amp;" "&amp;'Compliance Database'!$K1155&amp;" "&amp;'Compliance Database'!$L1155&amp;" "&amp;'Compliance Database'!$M1155&amp;" "&amp;'Compliance Database'!$N1155&amp;" "&amp;'Compliance Database'!$O1155)))),1,0)</f>
        <v>0</v>
      </c>
      <c r="B1155" t="str">
        <f>IF($A1155=1,SUM($A$2:$A1155),"")</f>
        <v/>
      </c>
      <c r="C1155">
        <f>IF($A1155=1,SUM($A$2:$A1155),0)</f>
        <v>0</v>
      </c>
    </row>
    <row r="1156" spans="1:3" x14ac:dyDescent="0.3">
      <c r="A1156">
        <f>IF(AND(OR('Compliance Database'!$A1156='Data Transfer'!$B$4,'Compliance Database'!$A1156='Data Transfer'!$B$5),OR('Data Transfer'!$B$6="",ISNUMBER(SEARCH('Data Transfer'!$B$6,'Compliance Database'!$D1156&amp;" "&amp;'Compliance Database'!$K1156&amp;" "&amp;'Compliance Database'!$L1156&amp;" "&amp;'Compliance Database'!$M1156&amp;" "&amp;'Compliance Database'!$N1156&amp;" "&amp;'Compliance Database'!$O1156)))),1,0)</f>
        <v>0</v>
      </c>
      <c r="B1156" t="str">
        <f>IF($A1156=1,SUM($A$2:$A1156),"")</f>
        <v/>
      </c>
      <c r="C1156">
        <f>IF($A1156=1,SUM($A$2:$A1156),0)</f>
        <v>0</v>
      </c>
    </row>
    <row r="1157" spans="1:3" x14ac:dyDescent="0.3">
      <c r="A1157">
        <f>IF(AND(OR('Compliance Database'!$A1157='Data Transfer'!$B$4,'Compliance Database'!$A1157='Data Transfer'!$B$5),OR('Data Transfer'!$B$6="",ISNUMBER(SEARCH('Data Transfer'!$B$6,'Compliance Database'!$D1157&amp;" "&amp;'Compliance Database'!$K1157&amp;" "&amp;'Compliance Database'!$L1157&amp;" "&amp;'Compliance Database'!$M1157&amp;" "&amp;'Compliance Database'!$N1157&amp;" "&amp;'Compliance Database'!$O1157)))),1,0)</f>
        <v>0</v>
      </c>
      <c r="B1157" t="str">
        <f>IF($A1157=1,SUM($A$2:$A1157),"")</f>
        <v/>
      </c>
      <c r="C1157">
        <f>IF($A1157=1,SUM($A$2:$A1157),0)</f>
        <v>0</v>
      </c>
    </row>
    <row r="1158" spans="1:3" x14ac:dyDescent="0.3">
      <c r="A1158">
        <f>IF(AND(OR('Compliance Database'!$A1158='Data Transfer'!$B$4,'Compliance Database'!$A1158='Data Transfer'!$B$5),OR('Data Transfer'!$B$6="",ISNUMBER(SEARCH('Data Transfer'!$B$6,'Compliance Database'!$D1158&amp;" "&amp;'Compliance Database'!$K1158&amp;" "&amp;'Compliance Database'!$L1158&amp;" "&amp;'Compliance Database'!$M1158&amp;" "&amp;'Compliance Database'!$N1158&amp;" "&amp;'Compliance Database'!$O1158)))),1,0)</f>
        <v>0</v>
      </c>
      <c r="B1158" t="str">
        <f>IF($A1158=1,SUM($A$2:$A1158),"")</f>
        <v/>
      </c>
      <c r="C1158">
        <f>IF($A1158=1,SUM($A$2:$A1158),0)</f>
        <v>0</v>
      </c>
    </row>
    <row r="1159" spans="1:3" x14ac:dyDescent="0.3">
      <c r="A1159">
        <f>IF(AND(OR('Compliance Database'!$A1159='Data Transfer'!$B$4,'Compliance Database'!$A1159='Data Transfer'!$B$5),OR('Data Transfer'!$B$6="",ISNUMBER(SEARCH('Data Transfer'!$B$6,'Compliance Database'!$D1159&amp;" "&amp;'Compliance Database'!$K1159&amp;" "&amp;'Compliance Database'!$L1159&amp;" "&amp;'Compliance Database'!$M1159&amp;" "&amp;'Compliance Database'!$N1159&amp;" "&amp;'Compliance Database'!$O1159)))),1,0)</f>
        <v>0</v>
      </c>
      <c r="B1159" t="str">
        <f>IF($A1159=1,SUM($A$2:$A1159),"")</f>
        <v/>
      </c>
      <c r="C1159">
        <f>IF($A1159=1,SUM($A$2:$A1159),0)</f>
        <v>0</v>
      </c>
    </row>
    <row r="1160" spans="1:3" x14ac:dyDescent="0.3">
      <c r="A1160">
        <f>IF(AND(OR('Compliance Database'!$A1160='Data Transfer'!$B$4,'Compliance Database'!$A1160='Data Transfer'!$B$5),OR('Data Transfer'!$B$6="",ISNUMBER(SEARCH('Data Transfer'!$B$6,'Compliance Database'!$D1160&amp;" "&amp;'Compliance Database'!$K1160&amp;" "&amp;'Compliance Database'!$L1160&amp;" "&amp;'Compliance Database'!$M1160&amp;" "&amp;'Compliance Database'!$N1160&amp;" "&amp;'Compliance Database'!$O1160)))),1,0)</f>
        <v>0</v>
      </c>
      <c r="B1160" t="str">
        <f>IF($A1160=1,SUM($A$2:$A1160),"")</f>
        <v/>
      </c>
      <c r="C1160">
        <f>IF($A1160=1,SUM($A$2:$A1160),0)</f>
        <v>0</v>
      </c>
    </row>
    <row r="1161" spans="1:3" x14ac:dyDescent="0.3">
      <c r="A1161">
        <f>IF(AND(OR('Compliance Database'!$A1161='Data Transfer'!$B$4,'Compliance Database'!$A1161='Data Transfer'!$B$5),OR('Data Transfer'!$B$6="",ISNUMBER(SEARCH('Data Transfer'!$B$6,'Compliance Database'!$D1161&amp;" "&amp;'Compliance Database'!$K1161&amp;" "&amp;'Compliance Database'!$L1161&amp;" "&amp;'Compliance Database'!$M1161&amp;" "&amp;'Compliance Database'!$N1161&amp;" "&amp;'Compliance Database'!$O1161)))),1,0)</f>
        <v>0</v>
      </c>
      <c r="B1161" t="str">
        <f>IF($A1161=1,SUM($A$2:$A1161),"")</f>
        <v/>
      </c>
      <c r="C1161">
        <f>IF($A1161=1,SUM($A$2:$A1161),0)</f>
        <v>0</v>
      </c>
    </row>
    <row r="1162" spans="1:3" x14ac:dyDescent="0.3">
      <c r="A1162">
        <f>IF(AND(OR('Compliance Database'!$A1162='Data Transfer'!$B$4,'Compliance Database'!$A1162='Data Transfer'!$B$5),OR('Data Transfer'!$B$6="",ISNUMBER(SEARCH('Data Transfer'!$B$6,'Compliance Database'!$D1162&amp;" "&amp;'Compliance Database'!$K1162&amp;" "&amp;'Compliance Database'!$L1162&amp;" "&amp;'Compliance Database'!$M1162&amp;" "&amp;'Compliance Database'!$N1162&amp;" "&amp;'Compliance Database'!$O1162)))),1,0)</f>
        <v>0</v>
      </c>
      <c r="B1162" t="str">
        <f>IF($A1162=1,SUM($A$2:$A1162),"")</f>
        <v/>
      </c>
      <c r="C1162">
        <f>IF($A1162=1,SUM($A$2:$A1162),0)</f>
        <v>0</v>
      </c>
    </row>
    <row r="1163" spans="1:3" x14ac:dyDescent="0.3">
      <c r="A1163">
        <f>IF(AND(OR('Compliance Database'!$A1163='Data Transfer'!$B$4,'Compliance Database'!$A1163='Data Transfer'!$B$5),OR('Data Transfer'!$B$6="",ISNUMBER(SEARCH('Data Transfer'!$B$6,'Compliance Database'!$D1163&amp;" "&amp;'Compliance Database'!$K1163&amp;" "&amp;'Compliance Database'!$L1163&amp;" "&amp;'Compliance Database'!$M1163&amp;" "&amp;'Compliance Database'!$N1163&amp;" "&amp;'Compliance Database'!$O1163)))),1,0)</f>
        <v>0</v>
      </c>
      <c r="B1163" t="str">
        <f>IF($A1163=1,SUM($A$2:$A1163),"")</f>
        <v/>
      </c>
      <c r="C1163">
        <f>IF($A1163=1,SUM($A$2:$A1163),0)</f>
        <v>0</v>
      </c>
    </row>
    <row r="1164" spans="1:3" x14ac:dyDescent="0.3">
      <c r="A1164">
        <f>IF(AND(OR('Compliance Database'!$A1164='Data Transfer'!$B$4,'Compliance Database'!$A1164='Data Transfer'!$B$5),OR('Data Transfer'!$B$6="",ISNUMBER(SEARCH('Data Transfer'!$B$6,'Compliance Database'!$D1164&amp;" "&amp;'Compliance Database'!$K1164&amp;" "&amp;'Compliance Database'!$L1164&amp;" "&amp;'Compliance Database'!$M1164&amp;" "&amp;'Compliance Database'!$N1164&amp;" "&amp;'Compliance Database'!$O1164)))),1,0)</f>
        <v>0</v>
      </c>
      <c r="B1164" t="str">
        <f>IF($A1164=1,SUM($A$2:$A1164),"")</f>
        <v/>
      </c>
      <c r="C1164">
        <f>IF($A1164=1,SUM($A$2:$A1164),0)</f>
        <v>0</v>
      </c>
    </row>
    <row r="1165" spans="1:3" x14ac:dyDescent="0.3">
      <c r="A1165">
        <f>IF(AND(OR('Compliance Database'!$A1165='Data Transfer'!$B$4,'Compliance Database'!$A1165='Data Transfer'!$B$5),OR('Data Transfer'!$B$6="",ISNUMBER(SEARCH('Data Transfer'!$B$6,'Compliance Database'!$D1165&amp;" "&amp;'Compliance Database'!$K1165&amp;" "&amp;'Compliance Database'!$L1165&amp;" "&amp;'Compliance Database'!$M1165&amp;" "&amp;'Compliance Database'!$N1165&amp;" "&amp;'Compliance Database'!$O1165)))),1,0)</f>
        <v>0</v>
      </c>
      <c r="B1165" t="str">
        <f>IF($A1165=1,SUM($A$2:$A1165),"")</f>
        <v/>
      </c>
      <c r="C1165">
        <f>IF($A1165=1,SUM($A$2:$A1165),0)</f>
        <v>0</v>
      </c>
    </row>
    <row r="1166" spans="1:3" x14ac:dyDescent="0.3">
      <c r="A1166">
        <f>IF(AND(OR('Compliance Database'!$A1166='Data Transfer'!$B$4,'Compliance Database'!$A1166='Data Transfer'!$B$5),OR('Data Transfer'!$B$6="",ISNUMBER(SEARCH('Data Transfer'!$B$6,'Compliance Database'!$D1166&amp;" "&amp;'Compliance Database'!$K1166&amp;" "&amp;'Compliance Database'!$L1166&amp;" "&amp;'Compliance Database'!$M1166&amp;" "&amp;'Compliance Database'!$N1166&amp;" "&amp;'Compliance Database'!$O1166)))),1,0)</f>
        <v>0</v>
      </c>
      <c r="B1166" t="str">
        <f>IF($A1166=1,SUM($A$2:$A1166),"")</f>
        <v/>
      </c>
      <c r="C1166">
        <f>IF($A1166=1,SUM($A$2:$A1166),0)</f>
        <v>0</v>
      </c>
    </row>
    <row r="1167" spans="1:3" x14ac:dyDescent="0.3">
      <c r="A1167">
        <f>IF(AND(OR('Compliance Database'!$A1167='Data Transfer'!$B$4,'Compliance Database'!$A1167='Data Transfer'!$B$5),OR('Data Transfer'!$B$6="",ISNUMBER(SEARCH('Data Transfer'!$B$6,'Compliance Database'!$D1167&amp;" "&amp;'Compliance Database'!$K1167&amp;" "&amp;'Compliance Database'!$L1167&amp;" "&amp;'Compliance Database'!$M1167&amp;" "&amp;'Compliance Database'!$N1167&amp;" "&amp;'Compliance Database'!$O1167)))),1,0)</f>
        <v>0</v>
      </c>
      <c r="B1167" t="str">
        <f>IF($A1167=1,SUM($A$2:$A1167),"")</f>
        <v/>
      </c>
      <c r="C1167">
        <f>IF($A1167=1,SUM($A$2:$A1167),0)</f>
        <v>0</v>
      </c>
    </row>
    <row r="1168" spans="1:3" x14ac:dyDescent="0.3">
      <c r="A1168">
        <f>IF(AND(OR('Compliance Database'!$A1168='Data Transfer'!$B$4,'Compliance Database'!$A1168='Data Transfer'!$B$5),OR('Data Transfer'!$B$6="",ISNUMBER(SEARCH('Data Transfer'!$B$6,'Compliance Database'!$D1168&amp;" "&amp;'Compliance Database'!$K1168&amp;" "&amp;'Compliance Database'!$L1168&amp;" "&amp;'Compliance Database'!$M1168&amp;" "&amp;'Compliance Database'!$N1168&amp;" "&amp;'Compliance Database'!$O1168)))),1,0)</f>
        <v>0</v>
      </c>
      <c r="B1168" t="str">
        <f>IF($A1168=1,SUM($A$2:$A1168),"")</f>
        <v/>
      </c>
      <c r="C1168">
        <f>IF($A1168=1,SUM($A$2:$A1168),0)</f>
        <v>0</v>
      </c>
    </row>
    <row r="1169" spans="1:3" x14ac:dyDescent="0.3">
      <c r="A1169">
        <f>IF(AND(OR('Compliance Database'!$A1169='Data Transfer'!$B$4,'Compliance Database'!$A1169='Data Transfer'!$B$5),OR('Data Transfer'!$B$6="",ISNUMBER(SEARCH('Data Transfer'!$B$6,'Compliance Database'!$D1169&amp;" "&amp;'Compliance Database'!$K1169&amp;" "&amp;'Compliance Database'!$L1169&amp;" "&amp;'Compliance Database'!$M1169&amp;" "&amp;'Compliance Database'!$N1169&amp;" "&amp;'Compliance Database'!$O1169)))),1,0)</f>
        <v>0</v>
      </c>
      <c r="B1169" t="str">
        <f>IF($A1169=1,SUM($A$2:$A1169),"")</f>
        <v/>
      </c>
      <c r="C1169">
        <f>IF($A1169=1,SUM($A$2:$A1169),0)</f>
        <v>0</v>
      </c>
    </row>
    <row r="1170" spans="1:3" x14ac:dyDescent="0.3">
      <c r="A1170">
        <f>IF(AND(OR('Compliance Database'!$A1170='Data Transfer'!$B$4,'Compliance Database'!$A1170='Data Transfer'!$B$5),OR('Data Transfer'!$B$6="",ISNUMBER(SEARCH('Data Transfer'!$B$6,'Compliance Database'!$D1170&amp;" "&amp;'Compliance Database'!$K1170&amp;" "&amp;'Compliance Database'!$L1170&amp;" "&amp;'Compliance Database'!$M1170&amp;" "&amp;'Compliance Database'!$N1170&amp;" "&amp;'Compliance Database'!$O1170)))),1,0)</f>
        <v>0</v>
      </c>
      <c r="B1170" t="str">
        <f>IF($A1170=1,SUM($A$2:$A1170),"")</f>
        <v/>
      </c>
      <c r="C1170">
        <f>IF($A1170=1,SUM($A$2:$A1170),0)</f>
        <v>0</v>
      </c>
    </row>
    <row r="1171" spans="1:3" x14ac:dyDescent="0.3">
      <c r="A1171">
        <f>IF(AND(OR('Compliance Database'!$A1171='Data Transfer'!$B$4,'Compliance Database'!$A1171='Data Transfer'!$B$5),OR('Data Transfer'!$B$6="",ISNUMBER(SEARCH('Data Transfer'!$B$6,'Compliance Database'!$D1171&amp;" "&amp;'Compliance Database'!$K1171&amp;" "&amp;'Compliance Database'!$L1171&amp;" "&amp;'Compliance Database'!$M1171&amp;" "&amp;'Compliance Database'!$N1171&amp;" "&amp;'Compliance Database'!$O1171)))),1,0)</f>
        <v>0</v>
      </c>
      <c r="B1171" t="str">
        <f>IF($A1171=1,SUM($A$2:$A1171),"")</f>
        <v/>
      </c>
      <c r="C1171">
        <f>IF($A1171=1,SUM($A$2:$A1171),0)</f>
        <v>0</v>
      </c>
    </row>
    <row r="1172" spans="1:3" x14ac:dyDescent="0.3">
      <c r="A1172">
        <f>IF(AND(OR('Compliance Database'!$A1172='Data Transfer'!$B$4,'Compliance Database'!$A1172='Data Transfer'!$B$5),OR('Data Transfer'!$B$6="",ISNUMBER(SEARCH('Data Transfer'!$B$6,'Compliance Database'!$D1172&amp;" "&amp;'Compliance Database'!$K1172&amp;" "&amp;'Compliance Database'!$L1172&amp;" "&amp;'Compliance Database'!$M1172&amp;" "&amp;'Compliance Database'!$N1172&amp;" "&amp;'Compliance Database'!$O1172)))),1,0)</f>
        <v>0</v>
      </c>
      <c r="B1172" t="str">
        <f>IF($A1172=1,SUM($A$2:$A1172),"")</f>
        <v/>
      </c>
      <c r="C1172">
        <f>IF($A1172=1,SUM($A$2:$A1172),0)</f>
        <v>0</v>
      </c>
    </row>
    <row r="1173" spans="1:3" x14ac:dyDescent="0.3">
      <c r="A1173">
        <f>IF(AND(OR('Compliance Database'!$A1173='Data Transfer'!$B$4,'Compliance Database'!$A1173='Data Transfer'!$B$5),OR('Data Transfer'!$B$6="",ISNUMBER(SEARCH('Data Transfer'!$B$6,'Compliance Database'!$D1173&amp;" "&amp;'Compliance Database'!$K1173&amp;" "&amp;'Compliance Database'!$L1173&amp;" "&amp;'Compliance Database'!$M1173&amp;" "&amp;'Compliance Database'!$N1173&amp;" "&amp;'Compliance Database'!$O1173)))),1,0)</f>
        <v>0</v>
      </c>
      <c r="B1173" t="str">
        <f>IF($A1173=1,SUM($A$2:$A1173),"")</f>
        <v/>
      </c>
      <c r="C1173">
        <f>IF($A1173=1,SUM($A$2:$A1173),0)</f>
        <v>0</v>
      </c>
    </row>
    <row r="1174" spans="1:3" x14ac:dyDescent="0.3">
      <c r="A1174">
        <f>IF(AND(OR('Compliance Database'!$A1174='Data Transfer'!$B$4,'Compliance Database'!$A1174='Data Transfer'!$B$5),OR('Data Transfer'!$B$6="",ISNUMBER(SEARCH('Data Transfer'!$B$6,'Compliance Database'!$D1174&amp;" "&amp;'Compliance Database'!$K1174&amp;" "&amp;'Compliance Database'!$L1174&amp;" "&amp;'Compliance Database'!$M1174&amp;" "&amp;'Compliance Database'!$N1174&amp;" "&amp;'Compliance Database'!$O1174)))),1,0)</f>
        <v>0</v>
      </c>
      <c r="B1174" t="str">
        <f>IF($A1174=1,SUM($A$2:$A1174),"")</f>
        <v/>
      </c>
      <c r="C1174">
        <f>IF($A1174=1,SUM($A$2:$A1174),0)</f>
        <v>0</v>
      </c>
    </row>
    <row r="1175" spans="1:3" x14ac:dyDescent="0.3">
      <c r="A1175">
        <f>IF(AND(OR('Compliance Database'!$A1175='Data Transfer'!$B$4,'Compliance Database'!$A1175='Data Transfer'!$B$5),OR('Data Transfer'!$B$6="",ISNUMBER(SEARCH('Data Transfer'!$B$6,'Compliance Database'!$D1175&amp;" "&amp;'Compliance Database'!$K1175&amp;" "&amp;'Compliance Database'!$L1175&amp;" "&amp;'Compliance Database'!$M1175&amp;" "&amp;'Compliance Database'!$N1175&amp;" "&amp;'Compliance Database'!$O1175)))),1,0)</f>
        <v>0</v>
      </c>
      <c r="B1175" t="str">
        <f>IF($A1175=1,SUM($A$2:$A1175),"")</f>
        <v/>
      </c>
      <c r="C1175">
        <f>IF($A1175=1,SUM($A$2:$A1175),0)</f>
        <v>0</v>
      </c>
    </row>
    <row r="1176" spans="1:3" x14ac:dyDescent="0.3">
      <c r="A1176">
        <f>IF(AND(OR('Compliance Database'!$A1176='Data Transfer'!$B$4,'Compliance Database'!$A1176='Data Transfer'!$B$5),OR('Data Transfer'!$B$6="",ISNUMBER(SEARCH('Data Transfer'!$B$6,'Compliance Database'!$D1176&amp;" "&amp;'Compliance Database'!$K1176&amp;" "&amp;'Compliance Database'!$L1176&amp;" "&amp;'Compliance Database'!$M1176&amp;" "&amp;'Compliance Database'!$N1176&amp;" "&amp;'Compliance Database'!$O1176)))),1,0)</f>
        <v>0</v>
      </c>
      <c r="B1176" t="str">
        <f>IF($A1176=1,SUM($A$2:$A1176),"")</f>
        <v/>
      </c>
      <c r="C1176">
        <f>IF($A1176=1,SUM($A$2:$A1176),0)</f>
        <v>0</v>
      </c>
    </row>
    <row r="1177" spans="1:3" x14ac:dyDescent="0.3">
      <c r="A1177">
        <f>IF(AND(OR('Compliance Database'!$A1177='Data Transfer'!$B$4,'Compliance Database'!$A1177='Data Transfer'!$B$5),OR('Data Transfer'!$B$6="",ISNUMBER(SEARCH('Data Transfer'!$B$6,'Compliance Database'!$D1177&amp;" "&amp;'Compliance Database'!$K1177&amp;" "&amp;'Compliance Database'!$L1177&amp;" "&amp;'Compliance Database'!$M1177&amp;" "&amp;'Compliance Database'!$N1177&amp;" "&amp;'Compliance Database'!$O1177)))),1,0)</f>
        <v>0</v>
      </c>
      <c r="B1177" t="str">
        <f>IF($A1177=1,SUM($A$2:$A1177),"")</f>
        <v/>
      </c>
      <c r="C1177">
        <f>IF($A1177=1,SUM($A$2:$A1177),0)</f>
        <v>0</v>
      </c>
    </row>
    <row r="1178" spans="1:3" x14ac:dyDescent="0.3">
      <c r="A1178">
        <f>IF(AND(OR('Compliance Database'!$A1178='Data Transfer'!$B$4,'Compliance Database'!$A1178='Data Transfer'!$B$5),OR('Data Transfer'!$B$6="",ISNUMBER(SEARCH('Data Transfer'!$B$6,'Compliance Database'!$D1178&amp;" "&amp;'Compliance Database'!$K1178&amp;" "&amp;'Compliance Database'!$L1178&amp;" "&amp;'Compliance Database'!$M1178&amp;" "&amp;'Compliance Database'!$N1178&amp;" "&amp;'Compliance Database'!$O1178)))),1,0)</f>
        <v>0</v>
      </c>
      <c r="B1178" t="str">
        <f>IF($A1178=1,SUM($A$2:$A1178),"")</f>
        <v/>
      </c>
      <c r="C1178">
        <f>IF($A1178=1,SUM($A$2:$A1178),0)</f>
        <v>0</v>
      </c>
    </row>
    <row r="1179" spans="1:3" x14ac:dyDescent="0.3">
      <c r="A1179">
        <f>IF(AND(OR('Compliance Database'!$A1179='Data Transfer'!$B$4,'Compliance Database'!$A1179='Data Transfer'!$B$5),OR('Data Transfer'!$B$6="",ISNUMBER(SEARCH('Data Transfer'!$B$6,'Compliance Database'!$D1179&amp;" "&amp;'Compliance Database'!$K1179&amp;" "&amp;'Compliance Database'!$L1179&amp;" "&amp;'Compliance Database'!$M1179&amp;" "&amp;'Compliance Database'!$N1179&amp;" "&amp;'Compliance Database'!$O1179)))),1,0)</f>
        <v>0</v>
      </c>
      <c r="B1179" t="str">
        <f>IF($A1179=1,SUM($A$2:$A1179),"")</f>
        <v/>
      </c>
      <c r="C1179">
        <f>IF($A1179=1,SUM($A$2:$A1179),0)</f>
        <v>0</v>
      </c>
    </row>
    <row r="1180" spans="1:3" x14ac:dyDescent="0.3">
      <c r="A1180">
        <f>IF(AND(OR('Compliance Database'!$A1180='Data Transfer'!$B$4,'Compliance Database'!$A1180='Data Transfer'!$B$5),OR('Data Transfer'!$B$6="",ISNUMBER(SEARCH('Data Transfer'!$B$6,'Compliance Database'!$D1180&amp;" "&amp;'Compliance Database'!$K1180&amp;" "&amp;'Compliance Database'!$L1180&amp;" "&amp;'Compliance Database'!$M1180&amp;" "&amp;'Compliance Database'!$N1180&amp;" "&amp;'Compliance Database'!$O1180)))),1,0)</f>
        <v>0</v>
      </c>
      <c r="B1180" t="str">
        <f>IF($A1180=1,SUM($A$2:$A1180),"")</f>
        <v/>
      </c>
      <c r="C1180">
        <f>IF($A1180=1,SUM($A$2:$A1180),0)</f>
        <v>0</v>
      </c>
    </row>
    <row r="1181" spans="1:3" x14ac:dyDescent="0.3">
      <c r="A1181">
        <f>IF(AND(OR('Compliance Database'!$A1181='Data Transfer'!$B$4,'Compliance Database'!$A1181='Data Transfer'!$B$5),OR('Data Transfer'!$B$6="",ISNUMBER(SEARCH('Data Transfer'!$B$6,'Compliance Database'!$D1181&amp;" "&amp;'Compliance Database'!$K1181&amp;" "&amp;'Compliance Database'!$L1181&amp;" "&amp;'Compliance Database'!$M1181&amp;" "&amp;'Compliance Database'!$N1181&amp;" "&amp;'Compliance Database'!$O1181)))),1,0)</f>
        <v>0</v>
      </c>
      <c r="B1181" t="str">
        <f>IF($A1181=1,SUM($A$2:$A1181),"")</f>
        <v/>
      </c>
      <c r="C1181">
        <f>IF($A1181=1,SUM($A$2:$A1181),0)</f>
        <v>0</v>
      </c>
    </row>
    <row r="1182" spans="1:3" x14ac:dyDescent="0.3">
      <c r="A1182">
        <f>IF(AND(OR('Compliance Database'!$A1182='Data Transfer'!$B$4,'Compliance Database'!$A1182='Data Transfer'!$B$5),OR('Data Transfer'!$B$6="",ISNUMBER(SEARCH('Data Transfer'!$B$6,'Compliance Database'!$D1182&amp;" "&amp;'Compliance Database'!$K1182&amp;" "&amp;'Compliance Database'!$L1182&amp;" "&amp;'Compliance Database'!$M1182&amp;" "&amp;'Compliance Database'!$N1182&amp;" "&amp;'Compliance Database'!$O1182)))),1,0)</f>
        <v>0</v>
      </c>
      <c r="B1182" t="str">
        <f>IF($A1182=1,SUM($A$2:$A1182),"")</f>
        <v/>
      </c>
      <c r="C1182">
        <f>IF($A1182=1,SUM($A$2:$A1182),0)</f>
        <v>0</v>
      </c>
    </row>
    <row r="1183" spans="1:3" x14ac:dyDescent="0.3">
      <c r="A1183">
        <f>IF(AND(OR('Compliance Database'!$A1183='Data Transfer'!$B$4,'Compliance Database'!$A1183='Data Transfer'!$B$5),OR('Data Transfer'!$B$6="",ISNUMBER(SEARCH('Data Transfer'!$B$6,'Compliance Database'!$D1183&amp;" "&amp;'Compliance Database'!$K1183&amp;" "&amp;'Compliance Database'!$L1183&amp;" "&amp;'Compliance Database'!$M1183&amp;" "&amp;'Compliance Database'!$N1183&amp;" "&amp;'Compliance Database'!$O1183)))),1,0)</f>
        <v>0</v>
      </c>
      <c r="B1183" t="str">
        <f>IF($A1183=1,SUM($A$2:$A1183),"")</f>
        <v/>
      </c>
      <c r="C1183">
        <f>IF($A1183=1,SUM($A$2:$A1183),0)</f>
        <v>0</v>
      </c>
    </row>
    <row r="1184" spans="1:3" x14ac:dyDescent="0.3">
      <c r="A1184">
        <f>IF(AND(OR('Compliance Database'!$A1184='Data Transfer'!$B$4,'Compliance Database'!$A1184='Data Transfer'!$B$5),OR('Data Transfer'!$B$6="",ISNUMBER(SEARCH('Data Transfer'!$B$6,'Compliance Database'!$D1184&amp;" "&amp;'Compliance Database'!$K1184&amp;" "&amp;'Compliance Database'!$L1184&amp;" "&amp;'Compliance Database'!$M1184&amp;" "&amp;'Compliance Database'!$N1184&amp;" "&amp;'Compliance Database'!$O1184)))),1,0)</f>
        <v>0</v>
      </c>
      <c r="B1184" t="str">
        <f>IF($A1184=1,SUM($A$2:$A1184),"")</f>
        <v/>
      </c>
      <c r="C1184">
        <f>IF($A1184=1,SUM($A$2:$A1184),0)</f>
        <v>0</v>
      </c>
    </row>
    <row r="1185" spans="1:3" x14ac:dyDescent="0.3">
      <c r="A1185">
        <f>IF(AND(OR('Compliance Database'!$A1185='Data Transfer'!$B$4,'Compliance Database'!$A1185='Data Transfer'!$B$5),OR('Data Transfer'!$B$6="",ISNUMBER(SEARCH('Data Transfer'!$B$6,'Compliance Database'!$D1185&amp;" "&amp;'Compliance Database'!$K1185&amp;" "&amp;'Compliance Database'!$L1185&amp;" "&amp;'Compliance Database'!$M1185&amp;" "&amp;'Compliance Database'!$N1185&amp;" "&amp;'Compliance Database'!$O1185)))),1,0)</f>
        <v>0</v>
      </c>
      <c r="B1185" t="str">
        <f>IF($A1185=1,SUM($A$2:$A1185),"")</f>
        <v/>
      </c>
      <c r="C1185">
        <f>IF($A1185=1,SUM($A$2:$A1185),0)</f>
        <v>0</v>
      </c>
    </row>
    <row r="1186" spans="1:3" x14ac:dyDescent="0.3">
      <c r="A1186">
        <f>IF(AND(OR('Compliance Database'!$A1186='Data Transfer'!$B$4,'Compliance Database'!$A1186='Data Transfer'!$B$5),OR('Data Transfer'!$B$6="",ISNUMBER(SEARCH('Data Transfer'!$B$6,'Compliance Database'!$D1186&amp;" "&amp;'Compliance Database'!$K1186&amp;" "&amp;'Compliance Database'!$L1186&amp;" "&amp;'Compliance Database'!$M1186&amp;" "&amp;'Compliance Database'!$N1186&amp;" "&amp;'Compliance Database'!$O1186)))),1,0)</f>
        <v>0</v>
      </c>
      <c r="B1186" t="str">
        <f>IF($A1186=1,SUM($A$2:$A1186),"")</f>
        <v/>
      </c>
      <c r="C1186">
        <f>IF($A1186=1,SUM($A$2:$A1186),0)</f>
        <v>0</v>
      </c>
    </row>
    <row r="1187" spans="1:3" x14ac:dyDescent="0.3">
      <c r="A1187">
        <f>IF(AND(OR('Compliance Database'!$A1187='Data Transfer'!$B$4,'Compliance Database'!$A1187='Data Transfer'!$B$5),OR('Data Transfer'!$B$6="",ISNUMBER(SEARCH('Data Transfer'!$B$6,'Compliance Database'!$D1187&amp;" "&amp;'Compliance Database'!$K1187&amp;" "&amp;'Compliance Database'!$L1187&amp;" "&amp;'Compliance Database'!$M1187&amp;" "&amp;'Compliance Database'!$N1187&amp;" "&amp;'Compliance Database'!$O1187)))),1,0)</f>
        <v>0</v>
      </c>
      <c r="B1187" t="str">
        <f>IF($A1187=1,SUM($A$2:$A1187),"")</f>
        <v/>
      </c>
      <c r="C1187">
        <f>IF($A1187=1,SUM($A$2:$A1187),0)</f>
        <v>0</v>
      </c>
    </row>
    <row r="1188" spans="1:3" x14ac:dyDescent="0.3">
      <c r="A1188">
        <f>IF(AND(OR('Compliance Database'!$A1188='Data Transfer'!$B$4,'Compliance Database'!$A1188='Data Transfer'!$B$5),OR('Data Transfer'!$B$6="",ISNUMBER(SEARCH('Data Transfer'!$B$6,'Compliance Database'!$D1188&amp;" "&amp;'Compliance Database'!$K1188&amp;" "&amp;'Compliance Database'!$L1188&amp;" "&amp;'Compliance Database'!$M1188&amp;" "&amp;'Compliance Database'!$N1188&amp;" "&amp;'Compliance Database'!$O1188)))),1,0)</f>
        <v>0</v>
      </c>
      <c r="B1188" t="str">
        <f>IF($A1188=1,SUM($A$2:$A1188),"")</f>
        <v/>
      </c>
      <c r="C1188">
        <f>IF($A1188=1,SUM($A$2:$A1188),0)</f>
        <v>0</v>
      </c>
    </row>
    <row r="1189" spans="1:3" x14ac:dyDescent="0.3">
      <c r="A1189">
        <f>IF(AND(OR('Compliance Database'!$A1189='Data Transfer'!$B$4,'Compliance Database'!$A1189='Data Transfer'!$B$5),OR('Data Transfer'!$B$6="",ISNUMBER(SEARCH('Data Transfer'!$B$6,'Compliance Database'!$D1189&amp;" "&amp;'Compliance Database'!$K1189&amp;" "&amp;'Compliance Database'!$L1189&amp;" "&amp;'Compliance Database'!$M1189&amp;" "&amp;'Compliance Database'!$N1189&amp;" "&amp;'Compliance Database'!$O1189)))),1,0)</f>
        <v>0</v>
      </c>
      <c r="B1189" t="str">
        <f>IF($A1189=1,SUM($A$2:$A1189),"")</f>
        <v/>
      </c>
      <c r="C1189">
        <f>IF($A1189=1,SUM($A$2:$A1189),0)</f>
        <v>0</v>
      </c>
    </row>
    <row r="1190" spans="1:3" x14ac:dyDescent="0.3">
      <c r="A1190">
        <f>IF(AND(OR('Compliance Database'!$A1190='Data Transfer'!$B$4,'Compliance Database'!$A1190='Data Transfer'!$B$5),OR('Data Transfer'!$B$6="",ISNUMBER(SEARCH('Data Transfer'!$B$6,'Compliance Database'!$D1190&amp;" "&amp;'Compliance Database'!$K1190&amp;" "&amp;'Compliance Database'!$L1190&amp;" "&amp;'Compliance Database'!$M1190&amp;" "&amp;'Compliance Database'!$N1190&amp;" "&amp;'Compliance Database'!$O1190)))),1,0)</f>
        <v>0</v>
      </c>
      <c r="B1190" t="str">
        <f>IF($A1190=1,SUM($A$2:$A1190),"")</f>
        <v/>
      </c>
      <c r="C1190">
        <f>IF($A1190=1,SUM($A$2:$A1190),0)</f>
        <v>0</v>
      </c>
    </row>
    <row r="1191" spans="1:3" x14ac:dyDescent="0.3">
      <c r="A1191">
        <f>IF(AND(OR('Compliance Database'!$A1191='Data Transfer'!$B$4,'Compliance Database'!$A1191='Data Transfer'!$B$5),OR('Data Transfer'!$B$6="",ISNUMBER(SEARCH('Data Transfer'!$B$6,'Compliance Database'!$D1191&amp;" "&amp;'Compliance Database'!$K1191&amp;" "&amp;'Compliance Database'!$L1191&amp;" "&amp;'Compliance Database'!$M1191&amp;" "&amp;'Compliance Database'!$N1191&amp;" "&amp;'Compliance Database'!$O1191)))),1,0)</f>
        <v>0</v>
      </c>
      <c r="B1191" t="str">
        <f>IF($A1191=1,SUM($A$2:$A1191),"")</f>
        <v/>
      </c>
      <c r="C1191">
        <f>IF($A1191=1,SUM($A$2:$A1191),0)</f>
        <v>0</v>
      </c>
    </row>
    <row r="1192" spans="1:3" x14ac:dyDescent="0.3">
      <c r="A1192">
        <f>IF(AND(OR('Compliance Database'!$A1192='Data Transfer'!$B$4,'Compliance Database'!$A1192='Data Transfer'!$B$5),OR('Data Transfer'!$B$6="",ISNUMBER(SEARCH('Data Transfer'!$B$6,'Compliance Database'!$D1192&amp;" "&amp;'Compliance Database'!$K1192&amp;" "&amp;'Compliance Database'!$L1192&amp;" "&amp;'Compliance Database'!$M1192&amp;" "&amp;'Compliance Database'!$N1192&amp;" "&amp;'Compliance Database'!$O1192)))),1,0)</f>
        <v>0</v>
      </c>
      <c r="B1192" t="str">
        <f>IF($A1192=1,SUM($A$2:$A1192),"")</f>
        <v/>
      </c>
      <c r="C1192">
        <f>IF($A1192=1,SUM($A$2:$A1192),0)</f>
        <v>0</v>
      </c>
    </row>
    <row r="1193" spans="1:3" x14ac:dyDescent="0.3">
      <c r="A1193">
        <f>IF(AND(OR('Compliance Database'!$A1193='Data Transfer'!$B$4,'Compliance Database'!$A1193='Data Transfer'!$B$5),OR('Data Transfer'!$B$6="",ISNUMBER(SEARCH('Data Transfer'!$B$6,'Compliance Database'!$D1193&amp;" "&amp;'Compliance Database'!$K1193&amp;" "&amp;'Compliance Database'!$L1193&amp;" "&amp;'Compliance Database'!$M1193&amp;" "&amp;'Compliance Database'!$N1193&amp;" "&amp;'Compliance Database'!$O1193)))),1,0)</f>
        <v>0</v>
      </c>
      <c r="B1193" t="str">
        <f>IF($A1193=1,SUM($A$2:$A1193),"")</f>
        <v/>
      </c>
      <c r="C1193">
        <f>IF($A1193=1,SUM($A$2:$A1193),0)</f>
        <v>0</v>
      </c>
    </row>
    <row r="1194" spans="1:3" x14ac:dyDescent="0.3">
      <c r="A1194">
        <f>IF(AND(OR('Compliance Database'!$A1194='Data Transfer'!$B$4,'Compliance Database'!$A1194='Data Transfer'!$B$5),OR('Data Transfer'!$B$6="",ISNUMBER(SEARCH('Data Transfer'!$B$6,'Compliance Database'!$D1194&amp;" "&amp;'Compliance Database'!$K1194&amp;" "&amp;'Compliance Database'!$L1194&amp;" "&amp;'Compliance Database'!$M1194&amp;" "&amp;'Compliance Database'!$N1194&amp;" "&amp;'Compliance Database'!$O1194)))),1,0)</f>
        <v>0</v>
      </c>
      <c r="B1194" t="str">
        <f>IF($A1194=1,SUM($A$2:$A1194),"")</f>
        <v/>
      </c>
      <c r="C1194">
        <f>IF($A1194=1,SUM($A$2:$A1194),0)</f>
        <v>0</v>
      </c>
    </row>
    <row r="1195" spans="1:3" x14ac:dyDescent="0.3">
      <c r="A1195">
        <f>IF(AND(OR('Compliance Database'!$A1195='Data Transfer'!$B$4,'Compliance Database'!$A1195='Data Transfer'!$B$5),OR('Data Transfer'!$B$6="",ISNUMBER(SEARCH('Data Transfer'!$B$6,'Compliance Database'!$D1195&amp;" "&amp;'Compliance Database'!$K1195&amp;" "&amp;'Compliance Database'!$L1195&amp;" "&amp;'Compliance Database'!$M1195&amp;" "&amp;'Compliance Database'!$N1195&amp;" "&amp;'Compliance Database'!$O1195)))),1,0)</f>
        <v>0</v>
      </c>
      <c r="B1195" t="str">
        <f>IF($A1195=1,SUM($A$2:$A1195),"")</f>
        <v/>
      </c>
      <c r="C1195">
        <f>IF($A1195=1,SUM($A$2:$A1195),0)</f>
        <v>0</v>
      </c>
    </row>
    <row r="1196" spans="1:3" x14ac:dyDescent="0.3">
      <c r="A1196">
        <f>IF(AND(OR('Compliance Database'!$A1196='Data Transfer'!$B$4,'Compliance Database'!$A1196='Data Transfer'!$B$5),OR('Data Transfer'!$B$6="",ISNUMBER(SEARCH('Data Transfer'!$B$6,'Compliance Database'!$D1196&amp;" "&amp;'Compliance Database'!$K1196&amp;" "&amp;'Compliance Database'!$L1196&amp;" "&amp;'Compliance Database'!$M1196&amp;" "&amp;'Compliance Database'!$N1196&amp;" "&amp;'Compliance Database'!$O1196)))),1,0)</f>
        <v>0</v>
      </c>
      <c r="B1196" t="str">
        <f>IF($A1196=1,SUM($A$2:$A1196),"")</f>
        <v/>
      </c>
      <c r="C1196">
        <f>IF($A1196=1,SUM($A$2:$A1196),0)</f>
        <v>0</v>
      </c>
    </row>
    <row r="1197" spans="1:3" x14ac:dyDescent="0.3">
      <c r="A1197">
        <f>IF(AND(OR('Compliance Database'!$A1197='Data Transfer'!$B$4,'Compliance Database'!$A1197='Data Transfer'!$B$5),OR('Data Transfer'!$B$6="",ISNUMBER(SEARCH('Data Transfer'!$B$6,'Compliance Database'!$D1197&amp;" "&amp;'Compliance Database'!$K1197&amp;" "&amp;'Compliance Database'!$L1197&amp;" "&amp;'Compliance Database'!$M1197&amp;" "&amp;'Compliance Database'!$N1197&amp;" "&amp;'Compliance Database'!$O1197)))),1,0)</f>
        <v>0</v>
      </c>
      <c r="B1197" t="str">
        <f>IF($A1197=1,SUM($A$2:$A1197),"")</f>
        <v/>
      </c>
      <c r="C1197">
        <f>IF($A1197=1,SUM($A$2:$A1197),0)</f>
        <v>0</v>
      </c>
    </row>
    <row r="1198" spans="1:3" x14ac:dyDescent="0.3">
      <c r="A1198">
        <f>IF(AND(OR('Compliance Database'!$A1198='Data Transfer'!$B$4,'Compliance Database'!$A1198='Data Transfer'!$B$5),OR('Data Transfer'!$B$6="",ISNUMBER(SEARCH('Data Transfer'!$B$6,'Compliance Database'!$D1198&amp;" "&amp;'Compliance Database'!$K1198&amp;" "&amp;'Compliance Database'!$L1198&amp;" "&amp;'Compliance Database'!$M1198&amp;" "&amp;'Compliance Database'!$N1198&amp;" "&amp;'Compliance Database'!$O1198)))),1,0)</f>
        <v>0</v>
      </c>
      <c r="B1198" t="str">
        <f>IF($A1198=1,SUM($A$2:$A1198),"")</f>
        <v/>
      </c>
      <c r="C1198">
        <f>IF($A1198=1,SUM($A$2:$A1198),0)</f>
        <v>0</v>
      </c>
    </row>
    <row r="1199" spans="1:3" x14ac:dyDescent="0.3">
      <c r="A1199">
        <f>IF(AND(OR('Compliance Database'!$A1199='Data Transfer'!$B$4,'Compliance Database'!$A1199='Data Transfer'!$B$5),OR('Data Transfer'!$B$6="",ISNUMBER(SEARCH('Data Transfer'!$B$6,'Compliance Database'!$D1199&amp;" "&amp;'Compliance Database'!$K1199&amp;" "&amp;'Compliance Database'!$L1199&amp;" "&amp;'Compliance Database'!$M1199&amp;" "&amp;'Compliance Database'!$N1199&amp;" "&amp;'Compliance Database'!$O1199)))),1,0)</f>
        <v>0</v>
      </c>
      <c r="B1199" t="str">
        <f>IF($A1199=1,SUM($A$2:$A1199),"")</f>
        <v/>
      </c>
      <c r="C1199">
        <f>IF($A1199=1,SUM($A$2:$A1199),0)</f>
        <v>0</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Home</vt:lpstr>
      <vt:lpstr>Query</vt:lpstr>
      <vt:lpstr>Data Transfer</vt:lpstr>
      <vt:lpstr>Compliance Database</vt:lpstr>
      <vt:lpstr>Acts</vt:lpstr>
      <vt:lpstr>Regulators</vt:lpstr>
      <vt:lpstr>Topics</vt:lpstr>
      <vt:lpstr>Lists</vt:lpstr>
      <vt:lpstr>Engine</vt:lpstr>
      <vt:lpstr>Transfer Engine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Deysel, E, Mr [26685248@sun.ac.za]</cp:lastModifiedBy>
  <dcterms:created xsi:type="dcterms:W3CDTF">2026-07-17T08:05:11Z</dcterms:created>
  <dcterms:modified xsi:type="dcterms:W3CDTF">2026-07-17T08:07:14Z</dcterms:modified>
</cp:coreProperties>
</file>